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ocuments\Coordenacao Técnica\Chamamento público 04-2023 SEJUSP\Celebração\Documentos Contrato de Gestão 010-2023\"/>
    </mc:Choice>
  </mc:AlternateContent>
  <bookViews>
    <workbookView xWindow="0" yWindow="0" windowWidth="21600" windowHeight="9180" tabRatio="899" activeTab="3"/>
  </bookViews>
  <sheets>
    <sheet name="Capa" sheetId="1" r:id="rId1"/>
    <sheet name="Cronogramas" sheetId="2" r:id="rId2"/>
    <sheet name="Sintético" sheetId="3" r:id="rId3"/>
    <sheet name="Gastos das Atividades" sheetId="4" r:id="rId4"/>
    <sheet name="Analítico" sheetId="5" r:id="rId5"/>
    <sheet name="Encargos e Benefícios" sheetId="6" r:id="rId6"/>
    <sheet name="Gastos com Pessoal" sheetId="7" r:id="rId7"/>
    <sheet name="Bens" sheetId="8" r:id="rId8"/>
    <sheet name="Gastos Gerais" sheetId="9" r:id="rId9"/>
    <sheet name="Desmobilização" sheetId="10" r:id="rId10"/>
    <sheet name="Assinatura" sheetId="11" r:id="rId11"/>
    <sheet name="Plano" sheetId="12" state="hidden" r:id="rId12"/>
  </sheets>
  <externalReferences>
    <externalReference r:id="rId13"/>
  </externalReferences>
  <definedNames>
    <definedName name="_xlnm._FilterDatabase" localSheetId="9" hidden="1">Desmobilização!$A$3:$H$64</definedName>
    <definedName name="_xlnm._FilterDatabase" localSheetId="8" hidden="1">'Gastos Gerais'!$A$3:$I$3633</definedName>
    <definedName name="_ftn1" localSheetId="2">Sintético!#REF!</definedName>
    <definedName name="_ftnref1" localSheetId="2">Sintético!#REF!</definedName>
    <definedName name="Aquisição_de_Bens_Permanentes">Plano!$E$2:$E$14</definedName>
    <definedName name="_xlnm.Print_Area" localSheetId="4">Analítico!$A$1:$BL$152</definedName>
    <definedName name="_xlnm.Print_Area" localSheetId="10">Assinatura!$A$1:$F$14</definedName>
    <definedName name="_xlnm.Print_Area" localSheetId="7">Bens!$A$1:$H$327</definedName>
    <definedName name="_xlnm.Print_Area" localSheetId="0">Capa!$A$1:$A$10</definedName>
    <definedName name="_xlnm.Print_Area" localSheetId="9">Desmobilização!$A$1:$H$64</definedName>
    <definedName name="_xlnm.Print_Area" localSheetId="5">'Encargos e Benefícios'!$A$1:$AD$525</definedName>
    <definedName name="_xlnm.Print_Area" localSheetId="6">'Gastos com Pessoal'!$A$1:$AQ$530</definedName>
    <definedName name="_xlnm.Print_Area" localSheetId="3">'Gastos das Atividades'!$A$1:$O$46</definedName>
    <definedName name="_xlnm.Print_Area" localSheetId="8">'Gastos Gerais'!$A$1:$H$3640</definedName>
    <definedName name="_xlnm.Print_Area" localSheetId="2">Sintético!$A$1:$BL$28</definedName>
    <definedName name="área_destinada">Plano!$I$2:$I$3</definedName>
    <definedName name="Benefícios">Analítico!$B$48:$B$56</definedName>
    <definedName name="Beneficios2">Analítico!$B$49:$B$56</definedName>
    <definedName name="Beneficios3">'Gastos com Pessoal'!$AU$1:$AU$8</definedName>
    <definedName name="Bens">Analítico!$B$135:$B$148</definedName>
    <definedName name="Categorias">Plano!$C$1:$D$1</definedName>
    <definedName name="Dropdown1" localSheetId="2">Sintético!#REF!</definedName>
    <definedName name="Gastos_com_Pessoal">Plano!$C$2:$C$27</definedName>
    <definedName name="Gastos_Gerais">Plano!$D$2:$D$63</definedName>
    <definedName name="Gerais">Analítico!$B$60:$B$132</definedName>
    <definedName name="Ocorrência">Plano!$H$2:$H$3</definedName>
    <definedName name="Receitas">Plano!$A$2:$A$4</definedName>
    <definedName name="Rendimentos_de_Aplicações_Fin.">Plano!$B$1</definedName>
    <definedName name="Reserva">Plano!$F$1:$F$3</definedName>
    <definedName name="_xlnm.Print_Titles" localSheetId="4">Analítico!$A:$B,Analítico!$2:$3</definedName>
    <definedName name="_xlnm.Print_Titles" localSheetId="9">Desmobilização!$2:$3</definedName>
    <definedName name="_xlnm.Print_Titles" localSheetId="5">'Encargos e Benefícios'!$2:$5</definedName>
    <definedName name="_xlnm.Print_Titles" localSheetId="6">'Gastos com Pessoal'!$4:$6</definedName>
    <definedName name="_xlnm.Print_Titles" localSheetId="8">'Gastos Gerais'!$2:$3</definedName>
    <definedName name="_xlnm.Print_Titles" localSheetId="2">Sintético!$A:$B,Sintético!$2:$3</definedName>
    <definedName name="Transferência_para_Reserva_de_Recursos">Plano!$F$1:$F$1</definedName>
    <definedName name="VinculoPT" localSheetId="11">INDIRECT(CONCATENATE("'Gasto das Atividades'!$B$6:$B$",COUNTA([1]Atividades!$B$4:$B$35)+5))</definedName>
    <definedName name="VinculoPTg">OFFSET('Gastos das Atividades'!$B$3,1,0,COUNTA('Gastos das Atividades'!$B$4:$B$33),1)</definedName>
    <definedName name="VinculoPTp">OFFSET('Gastos das Atividades'!$B$48,0,0,COUNTA('Gastos das Atividades'!$B$4:$B$33)+1,1)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625" i="9" l="1"/>
  <c r="H3423" i="9"/>
  <c r="H3422" i="9"/>
  <c r="H3240" i="9"/>
  <c r="H3239" i="9"/>
  <c r="H3057" i="9"/>
  <c r="H3056" i="9"/>
  <c r="H2874" i="9"/>
  <c r="H2873" i="9"/>
  <c r="H2375" i="9"/>
  <c r="H2374" i="9"/>
  <c r="H2186" i="9"/>
  <c r="H2185" i="9"/>
  <c r="H1996" i="9"/>
  <c r="H1995" i="9"/>
  <c r="H1833" i="9"/>
  <c r="H1832" i="9"/>
  <c r="H1652" i="9"/>
  <c r="H1651" i="9"/>
  <c r="H1462" i="9"/>
  <c r="H1461" i="9"/>
  <c r="H1292" i="9"/>
  <c r="H1291" i="9"/>
  <c r="H1111" i="9"/>
  <c r="H1110" i="9"/>
  <c r="H930" i="9"/>
  <c r="H929" i="9"/>
  <c r="H749" i="9"/>
  <c r="H748" i="9"/>
  <c r="H568" i="9"/>
  <c r="H567" i="9"/>
  <c r="H370" i="9"/>
  <c r="H369" i="9"/>
  <c r="H177" i="9"/>
  <c r="H176" i="9"/>
  <c r="H3436" i="9"/>
  <c r="H3435" i="9"/>
  <c r="H3254" i="9"/>
  <c r="H3253" i="9"/>
  <c r="H3071" i="9"/>
  <c r="H3070" i="9"/>
  <c r="H2887" i="9"/>
  <c r="H2886" i="9"/>
  <c r="H2705" i="9"/>
  <c r="H2527" i="9"/>
  <c r="H2369" i="9"/>
  <c r="H2188" i="9"/>
  <c r="H2010" i="9"/>
  <c r="H1826" i="9"/>
  <c r="H1645" i="9"/>
  <c r="H1644" i="9"/>
  <c r="H1470" i="9"/>
  <c r="H1469" i="9"/>
  <c r="H1468" i="9"/>
  <c r="H1285" i="9"/>
  <c r="H1284" i="9"/>
  <c r="H1104" i="9"/>
  <c r="H1103" i="9"/>
  <c r="H923" i="9"/>
  <c r="H922" i="9"/>
  <c r="H742" i="9"/>
  <c r="H741" i="9"/>
  <c r="H561" i="9"/>
  <c r="H560" i="9"/>
  <c r="H377" i="9"/>
  <c r="H376" i="9"/>
  <c r="H183" i="9"/>
  <c r="H182" i="9"/>
  <c r="G324" i="8"/>
  <c r="G325" i="8"/>
  <c r="H3437" i="9"/>
  <c r="H3256" i="9"/>
  <c r="H3255" i="9"/>
  <c r="H3073" i="9"/>
  <c r="H3072" i="9"/>
  <c r="H2889" i="9"/>
  <c r="H2888" i="9"/>
  <c r="H2707" i="9"/>
  <c r="H2706" i="9"/>
  <c r="H2370" i="9"/>
  <c r="H2190" i="9"/>
  <c r="H2189" i="9"/>
  <c r="H2012" i="9"/>
  <c r="H2011" i="9"/>
  <c r="H1828" i="9"/>
  <c r="H1827" i="9"/>
  <c r="H1647" i="9"/>
  <c r="H1646" i="9"/>
  <c r="H1472" i="9"/>
  <c r="H1471" i="9"/>
  <c r="H1287" i="9"/>
  <c r="H1286" i="9"/>
  <c r="H1106" i="9"/>
  <c r="H1105" i="9"/>
  <c r="H925" i="9"/>
  <c r="H924" i="9"/>
  <c r="H744" i="9"/>
  <c r="H743" i="9"/>
  <c r="H563" i="9"/>
  <c r="H562" i="9"/>
  <c r="H379" i="9"/>
  <c r="H378" i="9"/>
  <c r="H185" i="9"/>
  <c r="H184" i="9"/>
  <c r="H3429" i="9"/>
  <c r="H3428" i="9"/>
  <c r="H3247" i="9"/>
  <c r="H3246" i="9"/>
  <c r="H3063" i="9"/>
  <c r="H3062" i="9"/>
  <c r="H2880" i="9"/>
  <c r="H2879" i="9"/>
  <c r="H2699" i="9"/>
  <c r="H2698" i="9"/>
  <c r="H2519" i="9"/>
  <c r="H2360" i="9"/>
  <c r="H2181" i="9"/>
  <c r="H2180" i="9"/>
  <c r="H2000" i="9"/>
  <c r="H1999" i="9"/>
  <c r="H1817" i="9"/>
  <c r="H1816" i="9"/>
  <c r="H1635" i="9"/>
  <c r="H1634" i="9"/>
  <c r="H1456" i="9"/>
  <c r="H1455" i="9"/>
  <c r="H1275" i="9"/>
  <c r="H1274" i="9"/>
  <c r="H1094" i="9"/>
  <c r="H1093" i="9"/>
  <c r="H913" i="9"/>
  <c r="H912" i="9"/>
  <c r="H732" i="9"/>
  <c r="H731" i="9"/>
  <c r="H551" i="9"/>
  <c r="H550" i="9"/>
  <c r="H365" i="9"/>
  <c r="H364" i="9"/>
  <c r="H171" i="9"/>
  <c r="H250" i="9"/>
  <c r="I250" i="9"/>
  <c r="I5" i="9" l="1"/>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2" i="9"/>
  <c r="I173" i="9"/>
  <c r="I174" i="9"/>
  <c r="I175" i="9"/>
  <c r="I177" i="9"/>
  <c r="I178" i="9"/>
  <c r="I179" i="9"/>
  <c r="I180" i="9"/>
  <c r="I181" i="9"/>
  <c r="I183"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5" i="9"/>
  <c r="I366" i="9"/>
  <c r="I367" i="9"/>
  <c r="I368" i="9"/>
  <c r="I370" i="9"/>
  <c r="I371" i="9"/>
  <c r="I372" i="9"/>
  <c r="I373" i="9"/>
  <c r="I374" i="9"/>
  <c r="I375" i="9"/>
  <c r="I377"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1" i="9"/>
  <c r="I552" i="9"/>
  <c r="I553" i="9"/>
  <c r="I554" i="9"/>
  <c r="I555" i="9"/>
  <c r="I556" i="9"/>
  <c r="I557" i="9"/>
  <c r="I558" i="9"/>
  <c r="I559" i="9"/>
  <c r="I561" i="9"/>
  <c r="I563" i="9"/>
  <c r="I564" i="9"/>
  <c r="I565" i="9"/>
  <c r="I566"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720" i="9"/>
  <c r="I721" i="9"/>
  <c r="I722" i="9"/>
  <c r="I723" i="9"/>
  <c r="I724" i="9"/>
  <c r="I725" i="9"/>
  <c r="I726" i="9"/>
  <c r="I727" i="9"/>
  <c r="I728" i="9"/>
  <c r="I729" i="9"/>
  <c r="I730" i="9"/>
  <c r="I732" i="9"/>
  <c r="I733" i="9"/>
  <c r="I734" i="9"/>
  <c r="I735" i="9"/>
  <c r="I736" i="9"/>
  <c r="I737" i="9"/>
  <c r="I738" i="9"/>
  <c r="I739" i="9"/>
  <c r="I740" i="9"/>
  <c r="I742" i="9"/>
  <c r="I744" i="9"/>
  <c r="I745" i="9"/>
  <c r="I746" i="9"/>
  <c r="I747"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89" i="9"/>
  <c r="I790" i="9"/>
  <c r="I791" i="9"/>
  <c r="I792" i="9"/>
  <c r="I793" i="9"/>
  <c r="I794" i="9"/>
  <c r="I795" i="9"/>
  <c r="I796" i="9"/>
  <c r="I797" i="9"/>
  <c r="I798" i="9"/>
  <c r="I799" i="9"/>
  <c r="I800" i="9"/>
  <c r="I801" i="9"/>
  <c r="I802" i="9"/>
  <c r="I803" i="9"/>
  <c r="I804" i="9"/>
  <c r="I805" i="9"/>
  <c r="I806" i="9"/>
  <c r="I807"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7" i="9"/>
  <c r="I868" i="9"/>
  <c r="I869" i="9"/>
  <c r="I870" i="9"/>
  <c r="I871" i="9"/>
  <c r="I872" i="9"/>
  <c r="I873" i="9"/>
  <c r="I874" i="9"/>
  <c r="I875" i="9"/>
  <c r="I876" i="9"/>
  <c r="I877" i="9"/>
  <c r="I878" i="9"/>
  <c r="I879" i="9"/>
  <c r="I880" i="9"/>
  <c r="I881" i="9"/>
  <c r="I882" i="9"/>
  <c r="I883" i="9"/>
  <c r="I884" i="9"/>
  <c r="I885" i="9"/>
  <c r="I886" i="9"/>
  <c r="I887" i="9"/>
  <c r="I888" i="9"/>
  <c r="I889" i="9"/>
  <c r="I890" i="9"/>
  <c r="I891" i="9"/>
  <c r="I892" i="9"/>
  <c r="I893" i="9"/>
  <c r="I894" i="9"/>
  <c r="I895" i="9"/>
  <c r="I896" i="9"/>
  <c r="I897" i="9"/>
  <c r="I898" i="9"/>
  <c r="I899" i="9"/>
  <c r="I900" i="9"/>
  <c r="I901" i="9"/>
  <c r="I902" i="9"/>
  <c r="I903" i="9"/>
  <c r="I904" i="9"/>
  <c r="I905" i="9"/>
  <c r="I906" i="9"/>
  <c r="I907" i="9"/>
  <c r="I908" i="9"/>
  <c r="I909" i="9"/>
  <c r="I910" i="9"/>
  <c r="I911" i="9"/>
  <c r="I913" i="9"/>
  <c r="I914" i="9"/>
  <c r="I915" i="9"/>
  <c r="I916" i="9"/>
  <c r="I917" i="9"/>
  <c r="I918" i="9"/>
  <c r="I919" i="9"/>
  <c r="I920" i="9"/>
  <c r="I921" i="9"/>
  <c r="I923" i="9"/>
  <c r="I925" i="9"/>
  <c r="I926" i="9"/>
  <c r="I927" i="9"/>
  <c r="I928" i="9"/>
  <c r="I930" i="9"/>
  <c r="I931" i="9"/>
  <c r="I932" i="9"/>
  <c r="I933" i="9"/>
  <c r="I934" i="9"/>
  <c r="I935" i="9"/>
  <c r="I936" i="9"/>
  <c r="I937" i="9"/>
  <c r="I938" i="9"/>
  <c r="I939" i="9"/>
  <c r="I940" i="9"/>
  <c r="I941" i="9"/>
  <c r="I942" i="9"/>
  <c r="I943" i="9"/>
  <c r="I944" i="9"/>
  <c r="I945" i="9"/>
  <c r="I946" i="9"/>
  <c r="I947" i="9"/>
  <c r="I948" i="9"/>
  <c r="I949" i="9"/>
  <c r="I950" i="9"/>
  <c r="I951" i="9"/>
  <c r="I952" i="9"/>
  <c r="I953" i="9"/>
  <c r="I954" i="9"/>
  <c r="I955" i="9"/>
  <c r="I956" i="9"/>
  <c r="I957" i="9"/>
  <c r="I958" i="9"/>
  <c r="I959" i="9"/>
  <c r="I960" i="9"/>
  <c r="I961" i="9"/>
  <c r="I962" i="9"/>
  <c r="I963" i="9"/>
  <c r="I964" i="9"/>
  <c r="I965" i="9"/>
  <c r="I966" i="9"/>
  <c r="I967" i="9"/>
  <c r="I968" i="9"/>
  <c r="I969" i="9"/>
  <c r="I970" i="9"/>
  <c r="I971" i="9"/>
  <c r="I972" i="9"/>
  <c r="I973" i="9"/>
  <c r="I974" i="9"/>
  <c r="I975" i="9"/>
  <c r="I976" i="9"/>
  <c r="I977" i="9"/>
  <c r="I978" i="9"/>
  <c r="I979" i="9"/>
  <c r="I980" i="9"/>
  <c r="I981" i="9"/>
  <c r="I982" i="9"/>
  <c r="I983" i="9"/>
  <c r="I984" i="9"/>
  <c r="I985" i="9"/>
  <c r="I986" i="9"/>
  <c r="I987" i="9"/>
  <c r="I988" i="9"/>
  <c r="I989" i="9"/>
  <c r="I990" i="9"/>
  <c r="I991" i="9"/>
  <c r="I992" i="9"/>
  <c r="I993" i="9"/>
  <c r="I994" i="9"/>
  <c r="I995" i="9"/>
  <c r="I996" i="9"/>
  <c r="I997" i="9"/>
  <c r="I998" i="9"/>
  <c r="I999" i="9"/>
  <c r="I1000" i="9"/>
  <c r="I1001" i="9"/>
  <c r="I1002" i="9"/>
  <c r="I1003" i="9"/>
  <c r="I1004" i="9"/>
  <c r="I1005" i="9"/>
  <c r="I1006" i="9"/>
  <c r="I1007" i="9"/>
  <c r="I1008" i="9"/>
  <c r="I1009" i="9"/>
  <c r="I1010" i="9"/>
  <c r="I1011" i="9"/>
  <c r="I1012" i="9"/>
  <c r="I1013" i="9"/>
  <c r="I1014" i="9"/>
  <c r="I1015" i="9"/>
  <c r="I1016" i="9"/>
  <c r="I1017" i="9"/>
  <c r="I1018" i="9"/>
  <c r="I1019" i="9"/>
  <c r="I1020" i="9"/>
  <c r="I1021" i="9"/>
  <c r="I1022" i="9"/>
  <c r="I1023" i="9"/>
  <c r="I1024" i="9"/>
  <c r="I1025" i="9"/>
  <c r="I1026" i="9"/>
  <c r="I1027" i="9"/>
  <c r="I1028" i="9"/>
  <c r="I1029" i="9"/>
  <c r="I1030" i="9"/>
  <c r="I1031" i="9"/>
  <c r="I1032" i="9"/>
  <c r="I1033" i="9"/>
  <c r="I1034" i="9"/>
  <c r="I1035" i="9"/>
  <c r="I1036" i="9"/>
  <c r="I1037" i="9"/>
  <c r="I1038" i="9"/>
  <c r="I1039" i="9"/>
  <c r="I1040" i="9"/>
  <c r="I1041" i="9"/>
  <c r="I1042" i="9"/>
  <c r="I1043" i="9"/>
  <c r="I1044" i="9"/>
  <c r="I1045" i="9"/>
  <c r="I1046" i="9"/>
  <c r="I1047" i="9"/>
  <c r="I1048" i="9"/>
  <c r="I1049" i="9"/>
  <c r="I1050" i="9"/>
  <c r="I1051" i="9"/>
  <c r="I1052" i="9"/>
  <c r="I1053" i="9"/>
  <c r="I1054" i="9"/>
  <c r="I1055" i="9"/>
  <c r="I1056" i="9"/>
  <c r="I1057" i="9"/>
  <c r="I1058" i="9"/>
  <c r="I1059" i="9"/>
  <c r="I1060" i="9"/>
  <c r="I1061" i="9"/>
  <c r="I1062" i="9"/>
  <c r="I1063" i="9"/>
  <c r="I1064" i="9"/>
  <c r="I1065" i="9"/>
  <c r="I1066" i="9"/>
  <c r="I1067" i="9"/>
  <c r="I1068" i="9"/>
  <c r="I1069" i="9"/>
  <c r="I1070" i="9"/>
  <c r="I1071" i="9"/>
  <c r="I1072" i="9"/>
  <c r="I1073" i="9"/>
  <c r="I1074" i="9"/>
  <c r="I1075" i="9"/>
  <c r="I1076" i="9"/>
  <c r="I1077" i="9"/>
  <c r="I1078" i="9"/>
  <c r="I1079" i="9"/>
  <c r="I1080" i="9"/>
  <c r="I1081" i="9"/>
  <c r="I1082" i="9"/>
  <c r="I1083" i="9"/>
  <c r="I1084" i="9"/>
  <c r="I1085" i="9"/>
  <c r="I1086" i="9"/>
  <c r="I1087" i="9"/>
  <c r="I1088" i="9"/>
  <c r="I1089" i="9"/>
  <c r="I1090" i="9"/>
  <c r="I1091" i="9"/>
  <c r="I1092" i="9"/>
  <c r="I1094" i="9"/>
  <c r="I1095" i="9"/>
  <c r="I1096" i="9"/>
  <c r="I1097" i="9"/>
  <c r="I1098" i="9"/>
  <c r="I1099" i="9"/>
  <c r="I1100" i="9"/>
  <c r="I1101" i="9"/>
  <c r="I1102" i="9"/>
  <c r="I1104" i="9"/>
  <c r="I1106" i="9"/>
  <c r="I1107" i="9"/>
  <c r="I1108" i="9"/>
  <c r="I1109" i="9"/>
  <c r="I1111" i="9"/>
  <c r="I1112" i="9"/>
  <c r="I1113" i="9"/>
  <c r="I1114" i="9"/>
  <c r="I1115" i="9"/>
  <c r="I1116" i="9"/>
  <c r="I1117" i="9"/>
  <c r="I1118" i="9"/>
  <c r="I1119" i="9"/>
  <c r="I1120" i="9"/>
  <c r="I1121" i="9"/>
  <c r="I1122" i="9"/>
  <c r="I1123" i="9"/>
  <c r="I1124" i="9"/>
  <c r="I1125" i="9"/>
  <c r="I1126" i="9"/>
  <c r="I1127" i="9"/>
  <c r="I1128" i="9"/>
  <c r="I1129" i="9"/>
  <c r="I1130" i="9"/>
  <c r="I1131" i="9"/>
  <c r="I1132" i="9"/>
  <c r="I1133" i="9"/>
  <c r="I1134" i="9"/>
  <c r="I1135" i="9"/>
  <c r="I1136" i="9"/>
  <c r="I1137" i="9"/>
  <c r="I1138" i="9"/>
  <c r="I1139" i="9"/>
  <c r="I1140" i="9"/>
  <c r="I1141" i="9"/>
  <c r="I1142" i="9"/>
  <c r="I1143" i="9"/>
  <c r="I1144" i="9"/>
  <c r="I1145" i="9"/>
  <c r="I1146" i="9"/>
  <c r="I1147" i="9"/>
  <c r="I1148" i="9"/>
  <c r="I1149" i="9"/>
  <c r="I1150" i="9"/>
  <c r="I1151" i="9"/>
  <c r="I1152" i="9"/>
  <c r="I1153" i="9"/>
  <c r="I1154" i="9"/>
  <c r="I1155" i="9"/>
  <c r="I1156" i="9"/>
  <c r="I1157" i="9"/>
  <c r="I1158" i="9"/>
  <c r="I1159" i="9"/>
  <c r="I1160" i="9"/>
  <c r="I1161" i="9"/>
  <c r="I1162" i="9"/>
  <c r="I1163" i="9"/>
  <c r="I1164" i="9"/>
  <c r="I1165" i="9"/>
  <c r="I1166" i="9"/>
  <c r="I1167" i="9"/>
  <c r="I1168" i="9"/>
  <c r="I1169" i="9"/>
  <c r="I1170" i="9"/>
  <c r="I1171" i="9"/>
  <c r="I1172" i="9"/>
  <c r="I1173" i="9"/>
  <c r="I1174" i="9"/>
  <c r="I1175" i="9"/>
  <c r="I1176" i="9"/>
  <c r="I1177" i="9"/>
  <c r="I1178" i="9"/>
  <c r="I1179" i="9"/>
  <c r="I1180" i="9"/>
  <c r="I1181" i="9"/>
  <c r="I1182" i="9"/>
  <c r="I1183" i="9"/>
  <c r="I1184" i="9"/>
  <c r="I1185" i="9"/>
  <c r="I1186" i="9"/>
  <c r="I1187" i="9"/>
  <c r="I1188" i="9"/>
  <c r="I1189" i="9"/>
  <c r="I1190" i="9"/>
  <c r="I1191" i="9"/>
  <c r="I1192" i="9"/>
  <c r="I1193" i="9"/>
  <c r="I1194" i="9"/>
  <c r="I1195" i="9"/>
  <c r="I1196" i="9"/>
  <c r="I1197" i="9"/>
  <c r="I1198" i="9"/>
  <c r="I1199" i="9"/>
  <c r="I1200" i="9"/>
  <c r="I1201" i="9"/>
  <c r="I1202" i="9"/>
  <c r="I1203" i="9"/>
  <c r="I1204" i="9"/>
  <c r="I1205" i="9"/>
  <c r="I1206" i="9"/>
  <c r="I1207" i="9"/>
  <c r="I1208" i="9"/>
  <c r="I1209" i="9"/>
  <c r="I1210" i="9"/>
  <c r="I1211" i="9"/>
  <c r="I1212" i="9"/>
  <c r="I1213" i="9"/>
  <c r="I1214" i="9"/>
  <c r="I1215" i="9"/>
  <c r="I1216" i="9"/>
  <c r="I1217" i="9"/>
  <c r="I1218" i="9"/>
  <c r="I1219" i="9"/>
  <c r="I1220" i="9"/>
  <c r="I1221" i="9"/>
  <c r="I1222" i="9"/>
  <c r="I1223" i="9"/>
  <c r="I1224" i="9"/>
  <c r="I1225" i="9"/>
  <c r="I1226" i="9"/>
  <c r="I1227" i="9"/>
  <c r="I1228" i="9"/>
  <c r="I1229" i="9"/>
  <c r="I1230" i="9"/>
  <c r="I1231" i="9"/>
  <c r="I1232" i="9"/>
  <c r="I1233" i="9"/>
  <c r="I1234" i="9"/>
  <c r="I1235" i="9"/>
  <c r="I1236" i="9"/>
  <c r="I1237" i="9"/>
  <c r="I1238" i="9"/>
  <c r="I1239" i="9"/>
  <c r="I1240" i="9"/>
  <c r="I1241" i="9"/>
  <c r="I1242" i="9"/>
  <c r="I1243" i="9"/>
  <c r="I1244" i="9"/>
  <c r="I1245" i="9"/>
  <c r="I1246" i="9"/>
  <c r="I1247" i="9"/>
  <c r="I1248" i="9"/>
  <c r="I1249" i="9"/>
  <c r="I1250" i="9"/>
  <c r="I1251" i="9"/>
  <c r="I1252" i="9"/>
  <c r="I1253" i="9"/>
  <c r="I1254" i="9"/>
  <c r="I1255" i="9"/>
  <c r="I1256" i="9"/>
  <c r="I1257" i="9"/>
  <c r="I1258" i="9"/>
  <c r="I1259" i="9"/>
  <c r="I1260" i="9"/>
  <c r="I1261" i="9"/>
  <c r="I1262" i="9"/>
  <c r="I1263" i="9"/>
  <c r="I1264" i="9"/>
  <c r="I1265" i="9"/>
  <c r="I1266" i="9"/>
  <c r="I1267" i="9"/>
  <c r="I1268" i="9"/>
  <c r="I1269" i="9"/>
  <c r="I1270" i="9"/>
  <c r="I1271" i="9"/>
  <c r="I1272" i="9"/>
  <c r="I1273" i="9"/>
  <c r="I1275" i="9"/>
  <c r="I1276" i="9"/>
  <c r="I1277" i="9"/>
  <c r="I1278" i="9"/>
  <c r="I1279" i="9"/>
  <c r="I1280" i="9"/>
  <c r="I1281" i="9"/>
  <c r="I1282" i="9"/>
  <c r="I1283" i="9"/>
  <c r="I1285" i="9"/>
  <c r="I1287" i="9"/>
  <c r="I1288" i="9"/>
  <c r="I1289" i="9"/>
  <c r="I1290" i="9"/>
  <c r="I1292" i="9"/>
  <c r="I1293" i="9"/>
  <c r="I1294" i="9"/>
  <c r="I1295" i="9"/>
  <c r="I1296" i="9"/>
  <c r="I1297" i="9"/>
  <c r="I1298" i="9"/>
  <c r="I1299" i="9"/>
  <c r="I1300" i="9"/>
  <c r="I1301" i="9"/>
  <c r="I1302" i="9"/>
  <c r="I1303" i="9"/>
  <c r="I1304" i="9"/>
  <c r="I1305" i="9"/>
  <c r="I1306" i="9"/>
  <c r="I1307" i="9"/>
  <c r="I1308" i="9"/>
  <c r="I1309" i="9"/>
  <c r="I1310" i="9"/>
  <c r="I1311" i="9"/>
  <c r="I1312" i="9"/>
  <c r="I1313" i="9"/>
  <c r="I1314" i="9"/>
  <c r="I1315" i="9"/>
  <c r="I1316" i="9"/>
  <c r="I1317" i="9"/>
  <c r="I1318" i="9"/>
  <c r="I1319" i="9"/>
  <c r="I1320" i="9"/>
  <c r="I1321" i="9"/>
  <c r="I1322" i="9"/>
  <c r="I1323" i="9"/>
  <c r="I1324" i="9"/>
  <c r="I1325" i="9"/>
  <c r="I1326" i="9"/>
  <c r="I1327" i="9"/>
  <c r="I1328" i="9"/>
  <c r="I1329" i="9"/>
  <c r="I1330" i="9"/>
  <c r="I1331" i="9"/>
  <c r="I1332" i="9"/>
  <c r="I1333" i="9"/>
  <c r="I1334" i="9"/>
  <c r="I1335" i="9"/>
  <c r="I1336" i="9"/>
  <c r="I1337" i="9"/>
  <c r="I1338" i="9"/>
  <c r="I1339" i="9"/>
  <c r="I1340" i="9"/>
  <c r="I1341" i="9"/>
  <c r="I1342" i="9"/>
  <c r="I1343" i="9"/>
  <c r="I1344" i="9"/>
  <c r="I1345" i="9"/>
  <c r="I1346" i="9"/>
  <c r="I1347" i="9"/>
  <c r="I1348" i="9"/>
  <c r="I1349" i="9"/>
  <c r="I1350" i="9"/>
  <c r="I1351" i="9"/>
  <c r="I1352" i="9"/>
  <c r="I1353" i="9"/>
  <c r="I1354" i="9"/>
  <c r="I1355" i="9"/>
  <c r="I1356" i="9"/>
  <c r="I1357" i="9"/>
  <c r="I1358" i="9"/>
  <c r="I1359" i="9"/>
  <c r="I1360" i="9"/>
  <c r="I1361" i="9"/>
  <c r="I1362" i="9"/>
  <c r="I1363" i="9"/>
  <c r="I1364" i="9"/>
  <c r="I1365" i="9"/>
  <c r="I1366" i="9"/>
  <c r="I1367" i="9"/>
  <c r="I1368" i="9"/>
  <c r="I1369" i="9"/>
  <c r="I1370" i="9"/>
  <c r="I1371" i="9"/>
  <c r="I1372" i="9"/>
  <c r="I1373" i="9"/>
  <c r="I1374" i="9"/>
  <c r="I1375" i="9"/>
  <c r="I1376" i="9"/>
  <c r="I1377" i="9"/>
  <c r="I1378" i="9"/>
  <c r="I1379" i="9"/>
  <c r="I1380" i="9"/>
  <c r="I1381" i="9"/>
  <c r="I1382" i="9"/>
  <c r="I1383" i="9"/>
  <c r="I1384" i="9"/>
  <c r="I1385" i="9"/>
  <c r="I1386" i="9"/>
  <c r="I1387" i="9"/>
  <c r="I1388" i="9"/>
  <c r="I1389" i="9"/>
  <c r="I1390" i="9"/>
  <c r="I1391" i="9"/>
  <c r="I1392" i="9"/>
  <c r="I1393" i="9"/>
  <c r="I1394" i="9"/>
  <c r="I1395" i="9"/>
  <c r="I1396" i="9"/>
  <c r="I1397" i="9"/>
  <c r="I1398" i="9"/>
  <c r="I1399" i="9"/>
  <c r="I1400" i="9"/>
  <c r="I1401" i="9"/>
  <c r="I1402" i="9"/>
  <c r="I1403" i="9"/>
  <c r="I1404" i="9"/>
  <c r="I1405" i="9"/>
  <c r="I1406" i="9"/>
  <c r="I1407" i="9"/>
  <c r="I1408" i="9"/>
  <c r="I1409" i="9"/>
  <c r="I1410" i="9"/>
  <c r="I1411" i="9"/>
  <c r="I1412" i="9"/>
  <c r="I1413" i="9"/>
  <c r="I1414" i="9"/>
  <c r="I1415" i="9"/>
  <c r="I1416" i="9"/>
  <c r="I1417" i="9"/>
  <c r="I1418" i="9"/>
  <c r="I1419" i="9"/>
  <c r="I1420" i="9"/>
  <c r="I1421" i="9"/>
  <c r="I1422" i="9"/>
  <c r="I1423" i="9"/>
  <c r="I1424" i="9"/>
  <c r="I1425" i="9"/>
  <c r="I1426" i="9"/>
  <c r="I1427" i="9"/>
  <c r="I1428" i="9"/>
  <c r="I1429" i="9"/>
  <c r="I1430" i="9"/>
  <c r="I1431" i="9"/>
  <c r="I1432" i="9"/>
  <c r="I1433" i="9"/>
  <c r="I1434" i="9"/>
  <c r="I1435" i="9"/>
  <c r="I1436" i="9"/>
  <c r="I1437" i="9"/>
  <c r="I1438" i="9"/>
  <c r="I1439" i="9"/>
  <c r="I1440" i="9"/>
  <c r="I1441" i="9"/>
  <c r="I1442" i="9"/>
  <c r="I1443" i="9"/>
  <c r="I1444" i="9"/>
  <c r="I1445" i="9"/>
  <c r="I1446" i="9"/>
  <c r="I1447" i="9"/>
  <c r="I1448" i="9"/>
  <c r="I1449" i="9"/>
  <c r="I1450" i="9"/>
  <c r="I1451" i="9"/>
  <c r="I1452" i="9"/>
  <c r="I1453" i="9"/>
  <c r="I1454" i="9"/>
  <c r="I1456" i="9"/>
  <c r="I1457" i="9"/>
  <c r="I1458" i="9"/>
  <c r="I1459" i="9"/>
  <c r="I1460" i="9"/>
  <c r="I1462" i="9"/>
  <c r="I1463" i="9"/>
  <c r="I1464" i="9"/>
  <c r="I1465" i="9"/>
  <c r="I1466" i="9"/>
  <c r="I1467" i="9"/>
  <c r="I1469" i="9"/>
  <c r="I1470" i="9"/>
  <c r="I1472" i="9"/>
  <c r="I1473" i="9"/>
  <c r="I1474" i="9"/>
  <c r="I1475" i="9"/>
  <c r="I1476" i="9"/>
  <c r="I1477" i="9"/>
  <c r="I1478" i="9"/>
  <c r="I1479" i="9"/>
  <c r="I1480" i="9"/>
  <c r="I1481" i="9"/>
  <c r="I1482" i="9"/>
  <c r="I1483" i="9"/>
  <c r="I1484" i="9"/>
  <c r="I1485" i="9"/>
  <c r="I1486" i="9"/>
  <c r="I1487" i="9"/>
  <c r="I1488" i="9"/>
  <c r="I1489" i="9"/>
  <c r="I1490" i="9"/>
  <c r="I1491" i="9"/>
  <c r="I1492" i="9"/>
  <c r="I1493" i="9"/>
  <c r="I1494" i="9"/>
  <c r="I1495" i="9"/>
  <c r="I1496" i="9"/>
  <c r="I1497" i="9"/>
  <c r="I1498" i="9"/>
  <c r="I1499" i="9"/>
  <c r="I1500" i="9"/>
  <c r="I1501" i="9"/>
  <c r="I1502" i="9"/>
  <c r="I1503" i="9"/>
  <c r="I1504" i="9"/>
  <c r="I1505" i="9"/>
  <c r="I1506" i="9"/>
  <c r="I1507" i="9"/>
  <c r="I1508" i="9"/>
  <c r="I1509" i="9"/>
  <c r="I1510" i="9"/>
  <c r="I1511" i="9"/>
  <c r="I1512" i="9"/>
  <c r="I1513" i="9"/>
  <c r="I1514" i="9"/>
  <c r="I1515" i="9"/>
  <c r="I1516" i="9"/>
  <c r="I1517" i="9"/>
  <c r="I1518" i="9"/>
  <c r="I1519" i="9"/>
  <c r="I1520" i="9"/>
  <c r="I1521" i="9"/>
  <c r="I1522" i="9"/>
  <c r="I1523" i="9"/>
  <c r="I1524" i="9"/>
  <c r="I1525" i="9"/>
  <c r="I1526" i="9"/>
  <c r="I1527" i="9"/>
  <c r="I1528" i="9"/>
  <c r="I1529" i="9"/>
  <c r="I1530" i="9"/>
  <c r="I1531" i="9"/>
  <c r="I1532" i="9"/>
  <c r="I1533" i="9"/>
  <c r="I1534" i="9"/>
  <c r="I1535" i="9"/>
  <c r="I1536" i="9"/>
  <c r="I1537" i="9"/>
  <c r="I1538" i="9"/>
  <c r="I1539" i="9"/>
  <c r="I1540" i="9"/>
  <c r="I1541" i="9"/>
  <c r="I1542" i="9"/>
  <c r="I1543" i="9"/>
  <c r="I1544" i="9"/>
  <c r="I1545" i="9"/>
  <c r="I1546" i="9"/>
  <c r="I1547" i="9"/>
  <c r="I1548" i="9"/>
  <c r="I1549" i="9"/>
  <c r="I1550" i="9"/>
  <c r="I1551" i="9"/>
  <c r="I1552" i="9"/>
  <c r="I1553" i="9"/>
  <c r="I1554" i="9"/>
  <c r="I1555" i="9"/>
  <c r="I1556" i="9"/>
  <c r="I1557" i="9"/>
  <c r="I1558" i="9"/>
  <c r="I1559" i="9"/>
  <c r="I1560" i="9"/>
  <c r="I1561" i="9"/>
  <c r="I1562" i="9"/>
  <c r="I1563" i="9"/>
  <c r="I1564" i="9"/>
  <c r="I1565" i="9"/>
  <c r="I1566" i="9"/>
  <c r="I1567" i="9"/>
  <c r="I1568" i="9"/>
  <c r="I1569" i="9"/>
  <c r="I1570" i="9"/>
  <c r="I1571" i="9"/>
  <c r="I1572" i="9"/>
  <c r="I1573" i="9"/>
  <c r="I1574" i="9"/>
  <c r="I1575" i="9"/>
  <c r="I1576" i="9"/>
  <c r="I1577" i="9"/>
  <c r="I1578" i="9"/>
  <c r="I1579" i="9"/>
  <c r="I1580" i="9"/>
  <c r="I1581" i="9"/>
  <c r="I1582" i="9"/>
  <c r="I1583" i="9"/>
  <c r="I1584" i="9"/>
  <c r="I1585" i="9"/>
  <c r="I1586" i="9"/>
  <c r="I1587" i="9"/>
  <c r="I1588" i="9"/>
  <c r="I1589" i="9"/>
  <c r="I1590" i="9"/>
  <c r="I1591" i="9"/>
  <c r="I1592" i="9"/>
  <c r="I1593" i="9"/>
  <c r="I1594" i="9"/>
  <c r="I1595" i="9"/>
  <c r="I1596" i="9"/>
  <c r="I1597" i="9"/>
  <c r="I1598" i="9"/>
  <c r="I1599" i="9"/>
  <c r="I1600" i="9"/>
  <c r="I1601" i="9"/>
  <c r="I1602" i="9"/>
  <c r="I1603" i="9"/>
  <c r="I1604" i="9"/>
  <c r="I1605" i="9"/>
  <c r="I1606" i="9"/>
  <c r="I1607" i="9"/>
  <c r="I1608" i="9"/>
  <c r="I1609" i="9"/>
  <c r="I1610" i="9"/>
  <c r="I1611" i="9"/>
  <c r="I1612" i="9"/>
  <c r="I1613" i="9"/>
  <c r="I1614" i="9"/>
  <c r="I1615" i="9"/>
  <c r="I1616" i="9"/>
  <c r="I1617" i="9"/>
  <c r="I1618" i="9"/>
  <c r="I1619" i="9"/>
  <c r="I1620" i="9"/>
  <c r="I1621" i="9"/>
  <c r="I1622" i="9"/>
  <c r="I1623" i="9"/>
  <c r="I1624" i="9"/>
  <c r="I1625" i="9"/>
  <c r="I1626" i="9"/>
  <c r="I1627" i="9"/>
  <c r="I1628" i="9"/>
  <c r="I1629" i="9"/>
  <c r="I1630" i="9"/>
  <c r="I1631" i="9"/>
  <c r="I1632" i="9"/>
  <c r="I1633" i="9"/>
  <c r="I1635" i="9"/>
  <c r="I1636" i="9"/>
  <c r="I1637" i="9"/>
  <c r="I1638" i="9"/>
  <c r="I1639" i="9"/>
  <c r="I1640" i="9"/>
  <c r="I1641" i="9"/>
  <c r="I1642" i="9"/>
  <c r="I1643" i="9"/>
  <c r="I1645" i="9"/>
  <c r="I1647" i="9"/>
  <c r="I1648" i="9"/>
  <c r="I1649" i="9"/>
  <c r="I1650" i="9"/>
  <c r="I1652" i="9"/>
  <c r="I1653" i="9"/>
  <c r="I1654" i="9"/>
  <c r="I1655" i="9"/>
  <c r="I1656" i="9"/>
  <c r="I1657" i="9"/>
  <c r="I1658" i="9"/>
  <c r="I1659" i="9"/>
  <c r="I1660" i="9"/>
  <c r="I1661" i="9"/>
  <c r="I1662" i="9"/>
  <c r="I1663" i="9"/>
  <c r="I1664" i="9"/>
  <c r="I1665" i="9"/>
  <c r="I1666" i="9"/>
  <c r="I1667" i="9"/>
  <c r="I1668" i="9"/>
  <c r="I1669" i="9"/>
  <c r="I1670" i="9"/>
  <c r="I1671" i="9"/>
  <c r="I1672" i="9"/>
  <c r="I1673" i="9"/>
  <c r="I1674" i="9"/>
  <c r="I1675" i="9"/>
  <c r="I1676" i="9"/>
  <c r="I1677" i="9"/>
  <c r="I1678" i="9"/>
  <c r="I1679" i="9"/>
  <c r="I1680" i="9"/>
  <c r="I1681" i="9"/>
  <c r="I1682" i="9"/>
  <c r="I1683" i="9"/>
  <c r="I1684" i="9"/>
  <c r="I1685" i="9"/>
  <c r="I1686" i="9"/>
  <c r="I1687" i="9"/>
  <c r="I1688" i="9"/>
  <c r="I1689" i="9"/>
  <c r="I1690" i="9"/>
  <c r="I1691" i="9"/>
  <c r="I1692" i="9"/>
  <c r="I1693" i="9"/>
  <c r="I1694" i="9"/>
  <c r="I1695" i="9"/>
  <c r="I1696" i="9"/>
  <c r="I1697" i="9"/>
  <c r="I1698" i="9"/>
  <c r="I1699" i="9"/>
  <c r="I1700" i="9"/>
  <c r="I1701" i="9"/>
  <c r="I1702" i="9"/>
  <c r="I1703" i="9"/>
  <c r="I1704" i="9"/>
  <c r="I1705" i="9"/>
  <c r="I1706" i="9"/>
  <c r="I1707" i="9"/>
  <c r="I1708" i="9"/>
  <c r="I1709" i="9"/>
  <c r="I1710" i="9"/>
  <c r="I1711" i="9"/>
  <c r="I1712" i="9"/>
  <c r="I1713" i="9"/>
  <c r="I1714" i="9"/>
  <c r="I1715" i="9"/>
  <c r="I1716" i="9"/>
  <c r="I1717" i="9"/>
  <c r="I1718" i="9"/>
  <c r="I1719" i="9"/>
  <c r="I1720" i="9"/>
  <c r="I1721" i="9"/>
  <c r="I1722" i="9"/>
  <c r="I1723" i="9"/>
  <c r="I1724" i="9"/>
  <c r="I1725" i="9"/>
  <c r="I1726" i="9"/>
  <c r="I1727" i="9"/>
  <c r="I1728" i="9"/>
  <c r="I1729" i="9"/>
  <c r="I1730" i="9"/>
  <c r="I1731" i="9"/>
  <c r="I1732" i="9"/>
  <c r="I1733" i="9"/>
  <c r="I1734" i="9"/>
  <c r="I1735" i="9"/>
  <c r="I1736" i="9"/>
  <c r="I1737" i="9"/>
  <c r="I1738" i="9"/>
  <c r="I1739" i="9"/>
  <c r="I1740" i="9"/>
  <c r="I1741" i="9"/>
  <c r="I1742" i="9"/>
  <c r="I1743" i="9"/>
  <c r="I1744" i="9"/>
  <c r="I1745" i="9"/>
  <c r="I1746" i="9"/>
  <c r="I1747" i="9"/>
  <c r="I1748" i="9"/>
  <c r="I1749" i="9"/>
  <c r="I1750" i="9"/>
  <c r="I1751" i="9"/>
  <c r="I1752" i="9"/>
  <c r="I1753" i="9"/>
  <c r="I1754" i="9"/>
  <c r="I1755" i="9"/>
  <c r="I1756" i="9"/>
  <c r="I1757" i="9"/>
  <c r="I1758" i="9"/>
  <c r="I1759" i="9"/>
  <c r="I1760" i="9"/>
  <c r="I1761" i="9"/>
  <c r="I1762" i="9"/>
  <c r="I1763" i="9"/>
  <c r="I1764" i="9"/>
  <c r="I1765" i="9"/>
  <c r="I1766" i="9"/>
  <c r="I1767" i="9"/>
  <c r="I1768" i="9"/>
  <c r="I1769" i="9"/>
  <c r="I1770" i="9"/>
  <c r="I1771" i="9"/>
  <c r="I1772" i="9"/>
  <c r="I1773" i="9"/>
  <c r="I1774" i="9"/>
  <c r="I1775" i="9"/>
  <c r="I1776" i="9"/>
  <c r="I1777" i="9"/>
  <c r="I1778" i="9"/>
  <c r="I1779" i="9"/>
  <c r="I1780" i="9"/>
  <c r="I1781" i="9"/>
  <c r="I1782" i="9"/>
  <c r="I1783" i="9"/>
  <c r="I1784" i="9"/>
  <c r="I1785" i="9"/>
  <c r="I1786" i="9"/>
  <c r="I1787" i="9"/>
  <c r="I1788" i="9"/>
  <c r="I1789" i="9"/>
  <c r="I1790" i="9"/>
  <c r="I1791" i="9"/>
  <c r="I1792" i="9"/>
  <c r="I1793" i="9"/>
  <c r="I1794" i="9"/>
  <c r="I1795" i="9"/>
  <c r="I1796" i="9"/>
  <c r="I1797" i="9"/>
  <c r="I1798" i="9"/>
  <c r="I1799" i="9"/>
  <c r="I1800" i="9"/>
  <c r="I1801" i="9"/>
  <c r="I1802" i="9"/>
  <c r="I1803" i="9"/>
  <c r="I1804" i="9"/>
  <c r="I1805" i="9"/>
  <c r="I1806" i="9"/>
  <c r="I1807" i="9"/>
  <c r="I1808" i="9"/>
  <c r="I1809" i="9"/>
  <c r="I1810" i="9"/>
  <c r="I1811" i="9"/>
  <c r="I1812" i="9"/>
  <c r="I1813" i="9"/>
  <c r="I1814" i="9"/>
  <c r="I1815" i="9"/>
  <c r="I1817" i="9"/>
  <c r="I1818" i="9"/>
  <c r="I1819" i="9"/>
  <c r="I1820" i="9"/>
  <c r="I1821" i="9"/>
  <c r="I1822" i="9"/>
  <c r="I1823" i="9"/>
  <c r="I1824" i="9"/>
  <c r="I1825" i="9"/>
  <c r="I1826" i="9"/>
  <c r="I1828" i="9"/>
  <c r="I1829" i="9"/>
  <c r="I1830" i="9"/>
  <c r="I1831" i="9"/>
  <c r="I1833" i="9"/>
  <c r="I1834" i="9"/>
  <c r="I1835" i="9"/>
  <c r="I1836" i="9"/>
  <c r="I1837" i="9"/>
  <c r="I1838" i="9"/>
  <c r="I1839" i="9"/>
  <c r="I1840" i="9"/>
  <c r="I1841" i="9"/>
  <c r="I1842" i="9"/>
  <c r="I1843" i="9"/>
  <c r="I1844" i="9"/>
  <c r="I1845" i="9"/>
  <c r="I1846" i="9"/>
  <c r="I1847" i="9"/>
  <c r="I1848" i="9"/>
  <c r="I1849" i="9"/>
  <c r="I1850" i="9"/>
  <c r="I1851" i="9"/>
  <c r="I1852" i="9"/>
  <c r="I1853" i="9"/>
  <c r="I1854" i="9"/>
  <c r="I1855" i="9"/>
  <c r="I1856" i="9"/>
  <c r="I1857" i="9"/>
  <c r="I1858" i="9"/>
  <c r="I1859" i="9"/>
  <c r="I1860" i="9"/>
  <c r="I1861" i="9"/>
  <c r="I1862" i="9"/>
  <c r="I1863" i="9"/>
  <c r="I1864" i="9"/>
  <c r="I1865" i="9"/>
  <c r="I1866" i="9"/>
  <c r="I1867" i="9"/>
  <c r="I1868" i="9"/>
  <c r="I1869" i="9"/>
  <c r="I1870" i="9"/>
  <c r="I1871" i="9"/>
  <c r="I1872" i="9"/>
  <c r="I1873" i="9"/>
  <c r="I1874" i="9"/>
  <c r="I1875" i="9"/>
  <c r="I1876" i="9"/>
  <c r="I1877" i="9"/>
  <c r="I1878" i="9"/>
  <c r="I1879" i="9"/>
  <c r="I1880" i="9"/>
  <c r="I1881" i="9"/>
  <c r="I1882" i="9"/>
  <c r="I1883" i="9"/>
  <c r="I1884" i="9"/>
  <c r="I1885" i="9"/>
  <c r="I1886" i="9"/>
  <c r="I1887" i="9"/>
  <c r="I1888" i="9"/>
  <c r="I1889" i="9"/>
  <c r="I1890" i="9"/>
  <c r="I1891" i="9"/>
  <c r="I1892" i="9"/>
  <c r="I1893" i="9"/>
  <c r="I1894" i="9"/>
  <c r="I1895" i="9"/>
  <c r="I1896" i="9"/>
  <c r="I1897" i="9"/>
  <c r="I1898" i="9"/>
  <c r="I1899" i="9"/>
  <c r="I1900" i="9"/>
  <c r="I1901" i="9"/>
  <c r="I1902" i="9"/>
  <c r="I1903" i="9"/>
  <c r="I1904" i="9"/>
  <c r="I1905" i="9"/>
  <c r="I1906" i="9"/>
  <c r="I1907" i="9"/>
  <c r="I1908" i="9"/>
  <c r="I1909" i="9"/>
  <c r="I1910" i="9"/>
  <c r="I1911" i="9"/>
  <c r="I1912" i="9"/>
  <c r="I1913" i="9"/>
  <c r="I1914" i="9"/>
  <c r="I1915" i="9"/>
  <c r="I1916" i="9"/>
  <c r="I1917" i="9"/>
  <c r="I1918" i="9"/>
  <c r="I1919" i="9"/>
  <c r="I1920" i="9"/>
  <c r="I1921" i="9"/>
  <c r="I1922" i="9"/>
  <c r="I1923" i="9"/>
  <c r="I1924" i="9"/>
  <c r="I1925" i="9"/>
  <c r="I1926" i="9"/>
  <c r="I1927" i="9"/>
  <c r="I1928" i="9"/>
  <c r="I1929" i="9"/>
  <c r="I1930" i="9"/>
  <c r="I1931" i="9"/>
  <c r="I1932" i="9"/>
  <c r="I1933" i="9"/>
  <c r="I1934" i="9"/>
  <c r="I1935" i="9"/>
  <c r="I1936" i="9"/>
  <c r="I1937" i="9"/>
  <c r="I1938" i="9"/>
  <c r="I1939" i="9"/>
  <c r="I1940" i="9"/>
  <c r="I1941" i="9"/>
  <c r="I1942" i="9"/>
  <c r="I1943" i="9"/>
  <c r="I1944" i="9"/>
  <c r="I1945" i="9"/>
  <c r="I1946" i="9"/>
  <c r="I1947" i="9"/>
  <c r="I1948" i="9"/>
  <c r="I1949" i="9"/>
  <c r="I1950" i="9"/>
  <c r="I1951" i="9"/>
  <c r="I1952" i="9"/>
  <c r="I1953" i="9"/>
  <c r="I1954" i="9"/>
  <c r="I1955" i="9"/>
  <c r="I1956" i="9"/>
  <c r="I1957" i="9"/>
  <c r="I1958" i="9"/>
  <c r="I1959" i="9"/>
  <c r="I1960" i="9"/>
  <c r="I1961" i="9"/>
  <c r="I1962" i="9"/>
  <c r="I1963" i="9"/>
  <c r="I1964" i="9"/>
  <c r="I1965" i="9"/>
  <c r="I1966" i="9"/>
  <c r="I1967" i="9"/>
  <c r="I1968" i="9"/>
  <c r="I1969" i="9"/>
  <c r="I1970" i="9"/>
  <c r="I1971" i="9"/>
  <c r="I1972" i="9"/>
  <c r="I1973" i="9"/>
  <c r="I1974" i="9"/>
  <c r="I1975" i="9"/>
  <c r="I1976" i="9"/>
  <c r="I1977" i="9"/>
  <c r="I1978" i="9"/>
  <c r="I1979" i="9"/>
  <c r="I1980" i="9"/>
  <c r="I1981" i="9"/>
  <c r="I1982" i="9"/>
  <c r="I1983" i="9"/>
  <c r="I1984" i="9"/>
  <c r="I1985" i="9"/>
  <c r="I1986" i="9"/>
  <c r="I1987" i="9"/>
  <c r="I1988" i="9"/>
  <c r="I1989" i="9"/>
  <c r="I1990" i="9"/>
  <c r="I1991" i="9"/>
  <c r="I1992" i="9"/>
  <c r="I1993" i="9"/>
  <c r="I1994" i="9"/>
  <c r="I1996" i="9"/>
  <c r="I1997" i="9"/>
  <c r="I1998" i="9"/>
  <c r="I2000" i="9"/>
  <c r="I2001" i="9"/>
  <c r="I2002" i="9"/>
  <c r="I2003" i="9"/>
  <c r="I2004" i="9"/>
  <c r="I2005" i="9"/>
  <c r="I2006" i="9"/>
  <c r="I2007" i="9"/>
  <c r="I2008" i="9"/>
  <c r="I2009" i="9"/>
  <c r="I2010" i="9"/>
  <c r="I2012" i="9"/>
  <c r="I2013" i="9"/>
  <c r="I2014" i="9"/>
  <c r="I2015" i="9"/>
  <c r="I2016" i="9"/>
  <c r="I2017" i="9"/>
  <c r="I2018" i="9"/>
  <c r="I2019" i="9"/>
  <c r="I2020" i="9"/>
  <c r="I2021" i="9"/>
  <c r="I2022" i="9"/>
  <c r="I2023" i="9"/>
  <c r="I2024" i="9"/>
  <c r="I2025" i="9"/>
  <c r="I2026" i="9"/>
  <c r="I2027" i="9"/>
  <c r="I2028" i="9"/>
  <c r="I2029" i="9"/>
  <c r="I2030" i="9"/>
  <c r="I2031" i="9"/>
  <c r="I2032" i="9"/>
  <c r="I2033" i="9"/>
  <c r="I2034" i="9"/>
  <c r="I2035" i="9"/>
  <c r="I2036" i="9"/>
  <c r="I2037" i="9"/>
  <c r="I2038" i="9"/>
  <c r="I2039" i="9"/>
  <c r="I2040" i="9"/>
  <c r="I2041" i="9"/>
  <c r="I2042" i="9"/>
  <c r="I2043" i="9"/>
  <c r="I2044" i="9"/>
  <c r="I2045" i="9"/>
  <c r="I2046" i="9"/>
  <c r="I2047" i="9"/>
  <c r="I2048" i="9"/>
  <c r="I2049" i="9"/>
  <c r="I2050" i="9"/>
  <c r="I2051" i="9"/>
  <c r="I2052" i="9"/>
  <c r="I2053" i="9"/>
  <c r="I2054" i="9"/>
  <c r="I2055" i="9"/>
  <c r="I2056" i="9"/>
  <c r="I2057" i="9"/>
  <c r="I2058" i="9"/>
  <c r="I2059" i="9"/>
  <c r="I2060" i="9"/>
  <c r="I2061" i="9"/>
  <c r="I2062" i="9"/>
  <c r="I2063" i="9"/>
  <c r="I2064" i="9"/>
  <c r="I2065" i="9"/>
  <c r="I2066" i="9"/>
  <c r="I2067" i="9"/>
  <c r="I2068" i="9"/>
  <c r="I2069" i="9"/>
  <c r="I2070" i="9"/>
  <c r="I2071" i="9"/>
  <c r="I2072" i="9"/>
  <c r="I2073" i="9"/>
  <c r="I2074" i="9"/>
  <c r="I2075" i="9"/>
  <c r="I2076" i="9"/>
  <c r="I2077" i="9"/>
  <c r="I2078" i="9"/>
  <c r="I2079" i="9"/>
  <c r="I2080" i="9"/>
  <c r="I2081" i="9"/>
  <c r="I2082" i="9"/>
  <c r="I2083" i="9"/>
  <c r="I2084" i="9"/>
  <c r="I2085" i="9"/>
  <c r="I2086" i="9"/>
  <c r="I2087" i="9"/>
  <c r="I2088" i="9"/>
  <c r="I2089" i="9"/>
  <c r="I2090" i="9"/>
  <c r="I2091" i="9"/>
  <c r="I2092" i="9"/>
  <c r="I2093" i="9"/>
  <c r="I2094" i="9"/>
  <c r="I2095" i="9"/>
  <c r="I2096" i="9"/>
  <c r="I2097" i="9"/>
  <c r="I2098" i="9"/>
  <c r="I2099" i="9"/>
  <c r="I2100" i="9"/>
  <c r="I2101" i="9"/>
  <c r="I2102" i="9"/>
  <c r="I2103" i="9"/>
  <c r="I2104" i="9"/>
  <c r="I2105" i="9"/>
  <c r="I2106" i="9"/>
  <c r="I2107" i="9"/>
  <c r="I2108" i="9"/>
  <c r="I2109" i="9"/>
  <c r="I2110" i="9"/>
  <c r="I2111" i="9"/>
  <c r="I2112" i="9"/>
  <c r="I2113" i="9"/>
  <c r="I2114" i="9"/>
  <c r="I2115" i="9"/>
  <c r="I2116" i="9"/>
  <c r="I2117" i="9"/>
  <c r="I2118" i="9"/>
  <c r="I2119" i="9"/>
  <c r="I2120" i="9"/>
  <c r="I2121" i="9"/>
  <c r="I2122" i="9"/>
  <c r="I2123" i="9"/>
  <c r="I2124" i="9"/>
  <c r="I2125" i="9"/>
  <c r="I2126" i="9"/>
  <c r="I2127" i="9"/>
  <c r="I2128" i="9"/>
  <c r="I2129" i="9"/>
  <c r="I2130" i="9"/>
  <c r="I2131" i="9"/>
  <c r="I2132" i="9"/>
  <c r="I2133" i="9"/>
  <c r="I2134" i="9"/>
  <c r="I2135" i="9"/>
  <c r="I2136" i="9"/>
  <c r="I2137" i="9"/>
  <c r="I2138" i="9"/>
  <c r="I2139" i="9"/>
  <c r="I2140" i="9"/>
  <c r="I2141" i="9"/>
  <c r="I2142" i="9"/>
  <c r="I2143" i="9"/>
  <c r="I2144" i="9"/>
  <c r="I2145" i="9"/>
  <c r="I2146" i="9"/>
  <c r="I2147" i="9"/>
  <c r="I2148" i="9"/>
  <c r="I2149" i="9"/>
  <c r="I2150" i="9"/>
  <c r="I2151" i="9"/>
  <c r="I2152" i="9"/>
  <c r="I2153" i="9"/>
  <c r="I2154" i="9"/>
  <c r="I2155" i="9"/>
  <c r="I2156" i="9"/>
  <c r="I2157" i="9"/>
  <c r="I2158" i="9"/>
  <c r="I2159" i="9"/>
  <c r="I2160" i="9"/>
  <c r="I2161" i="9"/>
  <c r="I2162" i="9"/>
  <c r="I2163" i="9"/>
  <c r="I2164" i="9"/>
  <c r="I2165" i="9"/>
  <c r="I2166" i="9"/>
  <c r="I2167" i="9"/>
  <c r="I2168" i="9"/>
  <c r="I2169" i="9"/>
  <c r="I2170" i="9"/>
  <c r="I2171" i="9"/>
  <c r="I2172" i="9"/>
  <c r="I2173" i="9"/>
  <c r="I2174" i="9"/>
  <c r="I2175" i="9"/>
  <c r="I2176" i="9"/>
  <c r="I2177" i="9"/>
  <c r="I2178" i="9"/>
  <c r="I2179" i="9"/>
  <c r="I2181" i="9"/>
  <c r="I2182" i="9"/>
  <c r="I2183" i="9"/>
  <c r="I2184" i="9"/>
  <c r="I2186" i="9"/>
  <c r="I2187" i="9"/>
  <c r="I2188" i="9"/>
  <c r="I2190" i="9"/>
  <c r="I2191" i="9"/>
  <c r="I2192" i="9"/>
  <c r="I2193" i="9"/>
  <c r="I2194" i="9"/>
  <c r="I2195" i="9"/>
  <c r="I2196" i="9"/>
  <c r="I2197" i="9"/>
  <c r="I2198" i="9"/>
  <c r="I2199" i="9"/>
  <c r="I2200" i="9"/>
  <c r="I2201" i="9"/>
  <c r="I2202" i="9"/>
  <c r="I2203" i="9"/>
  <c r="I2204" i="9"/>
  <c r="I2205" i="9"/>
  <c r="I2206" i="9"/>
  <c r="I2207" i="9"/>
  <c r="I2208" i="9"/>
  <c r="I2209" i="9"/>
  <c r="I2210" i="9"/>
  <c r="I2211" i="9"/>
  <c r="I2212" i="9"/>
  <c r="I2213" i="9"/>
  <c r="I2214" i="9"/>
  <c r="I2215" i="9"/>
  <c r="I2216" i="9"/>
  <c r="I2217" i="9"/>
  <c r="I2218" i="9"/>
  <c r="I2219" i="9"/>
  <c r="I2220" i="9"/>
  <c r="I2221" i="9"/>
  <c r="I2222" i="9"/>
  <c r="I2223" i="9"/>
  <c r="I2224" i="9"/>
  <c r="I2225" i="9"/>
  <c r="I2226" i="9"/>
  <c r="I2227" i="9"/>
  <c r="I2228" i="9"/>
  <c r="I2229" i="9"/>
  <c r="I2230" i="9"/>
  <c r="I2231" i="9"/>
  <c r="I2232" i="9"/>
  <c r="I2233" i="9"/>
  <c r="I2234" i="9"/>
  <c r="I2235" i="9"/>
  <c r="I2236" i="9"/>
  <c r="I2237" i="9"/>
  <c r="I2238" i="9"/>
  <c r="I2239" i="9"/>
  <c r="I2240" i="9"/>
  <c r="I2241" i="9"/>
  <c r="I2242" i="9"/>
  <c r="I2243" i="9"/>
  <c r="I2244" i="9"/>
  <c r="I2245" i="9"/>
  <c r="I2246" i="9"/>
  <c r="I2247" i="9"/>
  <c r="I2248" i="9"/>
  <c r="I2249" i="9"/>
  <c r="I2250" i="9"/>
  <c r="I2251" i="9"/>
  <c r="I2252" i="9"/>
  <c r="I2253" i="9"/>
  <c r="I2254" i="9"/>
  <c r="I2255" i="9"/>
  <c r="I2256" i="9"/>
  <c r="I2257" i="9"/>
  <c r="I2258" i="9"/>
  <c r="I2259" i="9"/>
  <c r="I2260" i="9"/>
  <c r="I2261" i="9"/>
  <c r="I2262" i="9"/>
  <c r="I2263" i="9"/>
  <c r="I2264" i="9"/>
  <c r="I2265" i="9"/>
  <c r="I2266" i="9"/>
  <c r="I2267" i="9"/>
  <c r="I2268" i="9"/>
  <c r="I2269" i="9"/>
  <c r="I2270" i="9"/>
  <c r="I2271" i="9"/>
  <c r="I2272" i="9"/>
  <c r="I2273" i="9"/>
  <c r="I2274" i="9"/>
  <c r="I2275" i="9"/>
  <c r="I2276" i="9"/>
  <c r="I2277" i="9"/>
  <c r="I2278" i="9"/>
  <c r="I2279" i="9"/>
  <c r="I2280" i="9"/>
  <c r="I2281" i="9"/>
  <c r="I2282" i="9"/>
  <c r="I2283" i="9"/>
  <c r="I2284" i="9"/>
  <c r="I2285" i="9"/>
  <c r="I2286" i="9"/>
  <c r="I2287" i="9"/>
  <c r="I2288" i="9"/>
  <c r="I2289" i="9"/>
  <c r="I2290" i="9"/>
  <c r="I2291" i="9"/>
  <c r="I2292" i="9"/>
  <c r="I2293" i="9"/>
  <c r="I2294" i="9"/>
  <c r="I2295" i="9"/>
  <c r="I2296" i="9"/>
  <c r="I2297" i="9"/>
  <c r="I2298" i="9"/>
  <c r="I2299" i="9"/>
  <c r="I2300" i="9"/>
  <c r="I2301" i="9"/>
  <c r="I2302" i="9"/>
  <c r="I2303" i="9"/>
  <c r="I2304" i="9"/>
  <c r="I2305" i="9"/>
  <c r="I2306" i="9"/>
  <c r="I2307" i="9"/>
  <c r="I2308" i="9"/>
  <c r="I2309" i="9"/>
  <c r="I2310" i="9"/>
  <c r="I2311" i="9"/>
  <c r="I2312" i="9"/>
  <c r="I2313" i="9"/>
  <c r="I2314" i="9"/>
  <c r="I2315" i="9"/>
  <c r="I2316" i="9"/>
  <c r="I2317" i="9"/>
  <c r="I2318" i="9"/>
  <c r="I2319" i="9"/>
  <c r="I2320" i="9"/>
  <c r="I2321" i="9"/>
  <c r="I2322" i="9"/>
  <c r="I2323" i="9"/>
  <c r="I2324" i="9"/>
  <c r="I2325" i="9"/>
  <c r="I2326" i="9"/>
  <c r="I2327" i="9"/>
  <c r="I2328" i="9"/>
  <c r="I2329" i="9"/>
  <c r="I2330" i="9"/>
  <c r="I2331" i="9"/>
  <c r="I2332" i="9"/>
  <c r="I2333" i="9"/>
  <c r="I2334" i="9"/>
  <c r="I2335" i="9"/>
  <c r="I2336" i="9"/>
  <c r="I2337" i="9"/>
  <c r="I2338" i="9"/>
  <c r="I2339" i="9"/>
  <c r="I2340" i="9"/>
  <c r="I2341" i="9"/>
  <c r="I2342" i="9"/>
  <c r="I2343" i="9"/>
  <c r="I2344" i="9"/>
  <c r="I2345" i="9"/>
  <c r="I2346" i="9"/>
  <c r="I2347" i="9"/>
  <c r="I2348" i="9"/>
  <c r="I2349" i="9"/>
  <c r="I2350" i="9"/>
  <c r="I2351" i="9"/>
  <c r="I2352" i="9"/>
  <c r="I2353" i="9"/>
  <c r="I2354" i="9"/>
  <c r="I2355" i="9"/>
  <c r="I2356" i="9"/>
  <c r="I2357" i="9"/>
  <c r="I2358" i="9"/>
  <c r="I2359" i="9"/>
  <c r="I2360" i="9"/>
  <c r="I2361" i="9"/>
  <c r="I2362" i="9"/>
  <c r="I2363" i="9"/>
  <c r="I2364" i="9"/>
  <c r="I2365" i="9"/>
  <c r="I2366" i="9"/>
  <c r="I2367" i="9"/>
  <c r="I2368" i="9"/>
  <c r="I2369" i="9"/>
  <c r="I2370" i="9"/>
  <c r="I2371" i="9"/>
  <c r="I2372" i="9"/>
  <c r="I2373" i="9"/>
  <c r="I2375" i="9"/>
  <c r="I2376" i="9"/>
  <c r="I2377" i="9"/>
  <c r="I2378" i="9"/>
  <c r="I2379" i="9"/>
  <c r="I2380" i="9"/>
  <c r="I2381" i="9"/>
  <c r="I2382" i="9"/>
  <c r="I2383" i="9"/>
  <c r="I2384" i="9"/>
  <c r="I2385" i="9"/>
  <c r="I2386" i="9"/>
  <c r="I2387" i="9"/>
  <c r="I2388" i="9"/>
  <c r="I2389" i="9"/>
  <c r="I2390" i="9"/>
  <c r="I2391" i="9"/>
  <c r="I2392" i="9"/>
  <c r="I2393" i="9"/>
  <c r="I2394" i="9"/>
  <c r="I2395" i="9"/>
  <c r="I2396" i="9"/>
  <c r="I2397" i="9"/>
  <c r="I2398" i="9"/>
  <c r="I2399" i="9"/>
  <c r="I2400" i="9"/>
  <c r="I2401" i="9"/>
  <c r="I2402" i="9"/>
  <c r="I2403" i="9"/>
  <c r="I2404" i="9"/>
  <c r="I2405" i="9"/>
  <c r="I2406" i="9"/>
  <c r="I2407" i="9"/>
  <c r="I2408" i="9"/>
  <c r="I2409" i="9"/>
  <c r="I2410" i="9"/>
  <c r="I2411" i="9"/>
  <c r="I2412" i="9"/>
  <c r="I2413" i="9"/>
  <c r="I2414" i="9"/>
  <c r="I2415" i="9"/>
  <c r="I2416" i="9"/>
  <c r="I2417" i="9"/>
  <c r="I2418" i="9"/>
  <c r="I2419" i="9"/>
  <c r="I2420" i="9"/>
  <c r="I2421" i="9"/>
  <c r="I2422" i="9"/>
  <c r="I2423" i="9"/>
  <c r="I2424" i="9"/>
  <c r="I2425" i="9"/>
  <c r="I2426" i="9"/>
  <c r="I2427" i="9"/>
  <c r="I2428" i="9"/>
  <c r="I2429" i="9"/>
  <c r="I2430" i="9"/>
  <c r="I2431" i="9"/>
  <c r="I2432" i="9"/>
  <c r="I2433" i="9"/>
  <c r="I2434" i="9"/>
  <c r="I2435" i="9"/>
  <c r="I2436" i="9"/>
  <c r="I2437" i="9"/>
  <c r="I2438" i="9"/>
  <c r="I2439" i="9"/>
  <c r="I2440" i="9"/>
  <c r="I2441" i="9"/>
  <c r="I2442" i="9"/>
  <c r="I2443" i="9"/>
  <c r="I2444" i="9"/>
  <c r="I2445" i="9"/>
  <c r="I2446" i="9"/>
  <c r="I2447" i="9"/>
  <c r="I2448" i="9"/>
  <c r="I2449" i="9"/>
  <c r="I2450" i="9"/>
  <c r="I2451" i="9"/>
  <c r="I2452" i="9"/>
  <c r="I2453" i="9"/>
  <c r="I2454" i="9"/>
  <c r="I2455" i="9"/>
  <c r="I2456" i="9"/>
  <c r="I2457" i="9"/>
  <c r="I2458" i="9"/>
  <c r="I2459" i="9"/>
  <c r="I2460" i="9"/>
  <c r="I2461" i="9"/>
  <c r="I2462" i="9"/>
  <c r="I2463" i="9"/>
  <c r="I2464" i="9"/>
  <c r="I2465" i="9"/>
  <c r="I2466" i="9"/>
  <c r="I2467" i="9"/>
  <c r="I2468" i="9"/>
  <c r="I2469" i="9"/>
  <c r="I2470" i="9"/>
  <c r="I2471" i="9"/>
  <c r="I2472" i="9"/>
  <c r="I2473" i="9"/>
  <c r="I2474" i="9"/>
  <c r="I2475" i="9"/>
  <c r="I2476" i="9"/>
  <c r="I2477" i="9"/>
  <c r="I2478" i="9"/>
  <c r="I2479" i="9"/>
  <c r="I2480" i="9"/>
  <c r="I2481" i="9"/>
  <c r="I2482" i="9"/>
  <c r="I2483" i="9"/>
  <c r="I2484" i="9"/>
  <c r="I2485" i="9"/>
  <c r="I2486" i="9"/>
  <c r="I2487" i="9"/>
  <c r="I2488" i="9"/>
  <c r="I2489" i="9"/>
  <c r="I2490" i="9"/>
  <c r="I2491" i="9"/>
  <c r="I2492" i="9"/>
  <c r="I2493" i="9"/>
  <c r="I2494" i="9"/>
  <c r="I2495" i="9"/>
  <c r="I2496" i="9"/>
  <c r="I2497" i="9"/>
  <c r="I2498" i="9"/>
  <c r="I2499" i="9"/>
  <c r="I2500" i="9"/>
  <c r="I2501" i="9"/>
  <c r="I2502" i="9"/>
  <c r="I2503" i="9"/>
  <c r="I2504" i="9"/>
  <c r="I2505" i="9"/>
  <c r="I2506" i="9"/>
  <c r="I2507" i="9"/>
  <c r="I2508" i="9"/>
  <c r="I2509" i="9"/>
  <c r="I2510" i="9"/>
  <c r="I2511" i="9"/>
  <c r="I2512" i="9"/>
  <c r="I2513" i="9"/>
  <c r="I2514" i="9"/>
  <c r="I2515" i="9"/>
  <c r="I2516" i="9"/>
  <c r="I2517" i="9"/>
  <c r="I2518" i="9"/>
  <c r="I2519" i="9"/>
  <c r="I2520" i="9"/>
  <c r="I2521" i="9"/>
  <c r="I2522" i="9"/>
  <c r="I2523" i="9"/>
  <c r="I2524" i="9"/>
  <c r="I2525" i="9"/>
  <c r="I2526" i="9"/>
  <c r="I2527" i="9"/>
  <c r="I2528" i="9"/>
  <c r="I2529" i="9"/>
  <c r="I2530" i="9"/>
  <c r="I2531" i="9"/>
  <c r="I2532" i="9"/>
  <c r="I2533" i="9"/>
  <c r="I2534" i="9"/>
  <c r="I2535" i="9"/>
  <c r="I2536" i="9"/>
  <c r="I2537" i="9"/>
  <c r="I2538" i="9"/>
  <c r="I2539" i="9"/>
  <c r="I2540" i="9"/>
  <c r="I2541" i="9"/>
  <c r="I2542" i="9"/>
  <c r="I2543" i="9"/>
  <c r="I2544" i="9"/>
  <c r="I2545" i="9"/>
  <c r="I2546" i="9"/>
  <c r="I2547" i="9"/>
  <c r="I2548" i="9"/>
  <c r="I2549" i="9"/>
  <c r="I2550" i="9"/>
  <c r="I2551" i="9"/>
  <c r="I2552" i="9"/>
  <c r="I2553" i="9"/>
  <c r="I2554" i="9"/>
  <c r="I2555" i="9"/>
  <c r="I2556" i="9"/>
  <c r="I2557" i="9"/>
  <c r="I2558" i="9"/>
  <c r="I2559" i="9"/>
  <c r="I2560" i="9"/>
  <c r="I2561" i="9"/>
  <c r="I2562" i="9"/>
  <c r="I2563" i="9"/>
  <c r="I2564" i="9"/>
  <c r="I2565" i="9"/>
  <c r="I2566" i="9"/>
  <c r="I2567" i="9"/>
  <c r="I2568" i="9"/>
  <c r="I2569" i="9"/>
  <c r="I2570" i="9"/>
  <c r="I2571" i="9"/>
  <c r="I2572" i="9"/>
  <c r="I2573" i="9"/>
  <c r="I2574" i="9"/>
  <c r="I2575" i="9"/>
  <c r="I2576" i="9"/>
  <c r="I2577" i="9"/>
  <c r="I2578" i="9"/>
  <c r="I2579" i="9"/>
  <c r="I2580" i="9"/>
  <c r="I2581" i="9"/>
  <c r="I2582" i="9"/>
  <c r="I2583" i="9"/>
  <c r="I2584" i="9"/>
  <c r="I2585" i="9"/>
  <c r="I2586" i="9"/>
  <c r="I2587" i="9"/>
  <c r="I2588" i="9"/>
  <c r="I2589" i="9"/>
  <c r="I2590" i="9"/>
  <c r="I2591" i="9"/>
  <c r="I2592" i="9"/>
  <c r="I2593" i="9"/>
  <c r="I2594" i="9"/>
  <c r="I2595" i="9"/>
  <c r="I2596" i="9"/>
  <c r="I2597" i="9"/>
  <c r="I2598" i="9"/>
  <c r="I2599" i="9"/>
  <c r="I2600" i="9"/>
  <c r="I2601" i="9"/>
  <c r="I2602" i="9"/>
  <c r="I2603" i="9"/>
  <c r="I2604" i="9"/>
  <c r="I2605" i="9"/>
  <c r="I2606" i="9"/>
  <c r="I2607" i="9"/>
  <c r="I2608" i="9"/>
  <c r="I2609" i="9"/>
  <c r="I2610" i="9"/>
  <c r="I2611" i="9"/>
  <c r="I2612" i="9"/>
  <c r="I2613" i="9"/>
  <c r="I2614" i="9"/>
  <c r="I2615" i="9"/>
  <c r="I2616" i="9"/>
  <c r="I2617" i="9"/>
  <c r="I2618" i="9"/>
  <c r="I2619" i="9"/>
  <c r="I2620" i="9"/>
  <c r="I2621" i="9"/>
  <c r="I2622" i="9"/>
  <c r="I2623" i="9"/>
  <c r="I2624" i="9"/>
  <c r="I2625" i="9"/>
  <c r="I2626" i="9"/>
  <c r="I2627" i="9"/>
  <c r="I2628" i="9"/>
  <c r="I2629" i="9"/>
  <c r="I2630" i="9"/>
  <c r="I2631" i="9"/>
  <c r="I2632" i="9"/>
  <c r="I2633" i="9"/>
  <c r="I2634" i="9"/>
  <c r="I2635" i="9"/>
  <c r="I2636" i="9"/>
  <c r="I2637" i="9"/>
  <c r="I2638" i="9"/>
  <c r="I2639" i="9"/>
  <c r="I2640" i="9"/>
  <c r="I2641" i="9"/>
  <c r="I2642" i="9"/>
  <c r="I2643" i="9"/>
  <c r="I2644" i="9"/>
  <c r="I2645" i="9"/>
  <c r="I2646" i="9"/>
  <c r="I2647" i="9"/>
  <c r="I2648" i="9"/>
  <c r="I2649" i="9"/>
  <c r="I2650" i="9"/>
  <c r="I2651" i="9"/>
  <c r="I2652" i="9"/>
  <c r="I2653" i="9"/>
  <c r="I2654" i="9"/>
  <c r="I2655" i="9"/>
  <c r="I2656" i="9"/>
  <c r="I2657" i="9"/>
  <c r="I2658" i="9"/>
  <c r="I2659" i="9"/>
  <c r="I2660" i="9"/>
  <c r="I2661" i="9"/>
  <c r="I2662" i="9"/>
  <c r="I2663" i="9"/>
  <c r="I2664" i="9"/>
  <c r="I2665" i="9"/>
  <c r="I2666" i="9"/>
  <c r="I2667" i="9"/>
  <c r="I2668" i="9"/>
  <c r="I2669" i="9"/>
  <c r="I2670" i="9"/>
  <c r="I2671" i="9"/>
  <c r="I2672" i="9"/>
  <c r="I2673" i="9"/>
  <c r="I2674" i="9"/>
  <c r="I2675" i="9"/>
  <c r="I2676" i="9"/>
  <c r="I2677" i="9"/>
  <c r="I2678" i="9"/>
  <c r="I2679" i="9"/>
  <c r="I2680" i="9"/>
  <c r="I2681" i="9"/>
  <c r="I2682" i="9"/>
  <c r="I2683" i="9"/>
  <c r="I2684" i="9"/>
  <c r="I2685" i="9"/>
  <c r="I2686" i="9"/>
  <c r="I2687" i="9"/>
  <c r="I2688" i="9"/>
  <c r="I2689" i="9"/>
  <c r="I2690" i="9"/>
  <c r="I2691" i="9"/>
  <c r="I2692" i="9"/>
  <c r="I2693" i="9"/>
  <c r="I2694" i="9"/>
  <c r="I2695" i="9"/>
  <c r="I2696" i="9"/>
  <c r="I2697" i="9"/>
  <c r="I2699" i="9"/>
  <c r="I2700" i="9"/>
  <c r="I2701" i="9"/>
  <c r="I2702" i="9"/>
  <c r="I2703" i="9"/>
  <c r="I2704" i="9"/>
  <c r="I2705" i="9"/>
  <c r="I2707" i="9"/>
  <c r="I2708" i="9"/>
  <c r="I2709" i="9"/>
  <c r="I2710" i="9"/>
  <c r="I2711" i="9"/>
  <c r="I2712" i="9"/>
  <c r="I2713" i="9"/>
  <c r="I2714" i="9"/>
  <c r="I2715" i="9"/>
  <c r="I2716" i="9"/>
  <c r="I2717" i="9"/>
  <c r="I2718" i="9"/>
  <c r="I2719" i="9"/>
  <c r="I2720" i="9"/>
  <c r="I2721" i="9"/>
  <c r="I2722" i="9"/>
  <c r="I2723" i="9"/>
  <c r="I2724" i="9"/>
  <c r="I2725" i="9"/>
  <c r="I2726" i="9"/>
  <c r="I2727" i="9"/>
  <c r="I2728" i="9"/>
  <c r="I2729" i="9"/>
  <c r="I2730" i="9"/>
  <c r="I2731" i="9"/>
  <c r="I2732" i="9"/>
  <c r="I2733" i="9"/>
  <c r="I2734" i="9"/>
  <c r="I2735" i="9"/>
  <c r="I2736" i="9"/>
  <c r="I2737" i="9"/>
  <c r="I2738" i="9"/>
  <c r="I2739" i="9"/>
  <c r="I2740" i="9"/>
  <c r="I2741" i="9"/>
  <c r="I2742" i="9"/>
  <c r="I2743" i="9"/>
  <c r="I2744" i="9"/>
  <c r="I2745" i="9"/>
  <c r="I2746" i="9"/>
  <c r="I2747" i="9"/>
  <c r="I2748" i="9"/>
  <c r="I2749" i="9"/>
  <c r="I2750" i="9"/>
  <c r="I2751" i="9"/>
  <c r="I2752" i="9"/>
  <c r="I2753" i="9"/>
  <c r="I2754" i="9"/>
  <c r="I2755" i="9"/>
  <c r="I2756" i="9"/>
  <c r="I2757" i="9"/>
  <c r="I2758" i="9"/>
  <c r="I2759" i="9"/>
  <c r="I2760" i="9"/>
  <c r="I2761" i="9"/>
  <c r="I2762" i="9"/>
  <c r="I2763" i="9"/>
  <c r="I2764" i="9"/>
  <c r="I2765" i="9"/>
  <c r="I2766" i="9"/>
  <c r="I2767" i="9"/>
  <c r="I2768" i="9"/>
  <c r="I2769" i="9"/>
  <c r="I2770" i="9"/>
  <c r="I2771" i="9"/>
  <c r="I2772" i="9"/>
  <c r="I2773" i="9"/>
  <c r="I2774" i="9"/>
  <c r="I2775" i="9"/>
  <c r="I2776" i="9"/>
  <c r="I2777" i="9"/>
  <c r="I2778" i="9"/>
  <c r="I2779" i="9"/>
  <c r="I2780" i="9"/>
  <c r="I2781" i="9"/>
  <c r="I2782" i="9"/>
  <c r="I2783" i="9"/>
  <c r="I2784" i="9"/>
  <c r="I2785" i="9"/>
  <c r="I2786" i="9"/>
  <c r="I2787" i="9"/>
  <c r="I2788" i="9"/>
  <c r="I2789" i="9"/>
  <c r="I2790" i="9"/>
  <c r="I2791" i="9"/>
  <c r="I2792" i="9"/>
  <c r="I2793" i="9"/>
  <c r="I2794" i="9"/>
  <c r="I2795" i="9"/>
  <c r="I2796" i="9"/>
  <c r="I2797" i="9"/>
  <c r="I2798" i="9"/>
  <c r="I2799" i="9"/>
  <c r="I2800" i="9"/>
  <c r="I2801" i="9"/>
  <c r="I2802" i="9"/>
  <c r="I2803" i="9"/>
  <c r="I2804" i="9"/>
  <c r="I2805" i="9"/>
  <c r="I2806" i="9"/>
  <c r="I2807" i="9"/>
  <c r="I2808" i="9"/>
  <c r="I2809" i="9"/>
  <c r="I2810" i="9"/>
  <c r="I2811" i="9"/>
  <c r="I2812" i="9"/>
  <c r="I2813" i="9"/>
  <c r="I2814" i="9"/>
  <c r="I2815" i="9"/>
  <c r="I2816" i="9"/>
  <c r="I2817" i="9"/>
  <c r="I2818" i="9"/>
  <c r="I2819" i="9"/>
  <c r="I2820" i="9"/>
  <c r="I2821" i="9"/>
  <c r="I2822" i="9"/>
  <c r="I2823" i="9"/>
  <c r="I2824" i="9"/>
  <c r="I2825" i="9"/>
  <c r="I2826" i="9"/>
  <c r="I2827" i="9"/>
  <c r="I2828" i="9"/>
  <c r="I2829" i="9"/>
  <c r="I2830" i="9"/>
  <c r="I2831" i="9"/>
  <c r="I2832" i="9"/>
  <c r="I2833" i="9"/>
  <c r="I2834" i="9"/>
  <c r="I2835" i="9"/>
  <c r="I2836" i="9"/>
  <c r="I2837" i="9"/>
  <c r="I2838" i="9"/>
  <c r="I2839" i="9"/>
  <c r="I2840" i="9"/>
  <c r="I2841" i="9"/>
  <c r="I2842" i="9"/>
  <c r="I2843" i="9"/>
  <c r="I2844" i="9"/>
  <c r="I2845" i="9"/>
  <c r="I2846" i="9"/>
  <c r="I2847" i="9"/>
  <c r="I2848" i="9"/>
  <c r="I2849" i="9"/>
  <c r="I2850" i="9"/>
  <c r="I2851" i="9"/>
  <c r="I2852" i="9"/>
  <c r="I2853" i="9"/>
  <c r="I2854" i="9"/>
  <c r="I2855" i="9"/>
  <c r="I2856" i="9"/>
  <c r="I2857" i="9"/>
  <c r="I2858" i="9"/>
  <c r="I2859" i="9"/>
  <c r="I2860" i="9"/>
  <c r="I2861" i="9"/>
  <c r="I2862" i="9"/>
  <c r="I2863" i="9"/>
  <c r="I2864" i="9"/>
  <c r="I2865" i="9"/>
  <c r="I2866" i="9"/>
  <c r="I2867" i="9"/>
  <c r="I2868" i="9"/>
  <c r="I2869" i="9"/>
  <c r="I2870" i="9"/>
  <c r="I2871" i="9"/>
  <c r="I2872" i="9"/>
  <c r="I2874" i="9"/>
  <c r="I2875" i="9"/>
  <c r="I2876" i="9"/>
  <c r="I2877" i="9"/>
  <c r="I2878" i="9"/>
  <c r="I2880" i="9"/>
  <c r="I2881" i="9"/>
  <c r="I2882" i="9"/>
  <c r="I2883" i="9"/>
  <c r="I2884" i="9"/>
  <c r="I2885" i="9"/>
  <c r="I2887" i="9"/>
  <c r="I2889" i="9"/>
  <c r="I2890" i="9"/>
  <c r="I2891" i="9"/>
  <c r="I2892" i="9"/>
  <c r="I2893" i="9"/>
  <c r="I2894" i="9"/>
  <c r="I2895" i="9"/>
  <c r="I2896" i="9"/>
  <c r="I2897" i="9"/>
  <c r="I2898" i="9"/>
  <c r="I2899" i="9"/>
  <c r="I2900" i="9"/>
  <c r="I2901" i="9"/>
  <c r="I2902" i="9"/>
  <c r="I2903" i="9"/>
  <c r="I2904" i="9"/>
  <c r="I2905" i="9"/>
  <c r="I2906" i="9"/>
  <c r="I2907" i="9"/>
  <c r="I2908" i="9"/>
  <c r="I2909" i="9"/>
  <c r="I2910" i="9"/>
  <c r="I2911" i="9"/>
  <c r="I2912" i="9"/>
  <c r="I2913" i="9"/>
  <c r="I2914" i="9"/>
  <c r="I2915" i="9"/>
  <c r="I2916" i="9"/>
  <c r="I2917" i="9"/>
  <c r="I2918" i="9"/>
  <c r="I2919" i="9"/>
  <c r="I2920" i="9"/>
  <c r="I2921" i="9"/>
  <c r="I2922" i="9"/>
  <c r="I2923" i="9"/>
  <c r="I2924" i="9"/>
  <c r="I2925" i="9"/>
  <c r="I2926" i="9"/>
  <c r="I2927" i="9"/>
  <c r="I2928" i="9"/>
  <c r="I2929" i="9"/>
  <c r="I2930" i="9"/>
  <c r="I2931" i="9"/>
  <c r="I2932" i="9"/>
  <c r="I2933" i="9"/>
  <c r="I2934" i="9"/>
  <c r="I2935" i="9"/>
  <c r="I2936" i="9"/>
  <c r="I2937" i="9"/>
  <c r="I2938" i="9"/>
  <c r="I2939" i="9"/>
  <c r="I2940" i="9"/>
  <c r="I2941" i="9"/>
  <c r="I2942" i="9"/>
  <c r="I2943" i="9"/>
  <c r="I2944" i="9"/>
  <c r="I2945" i="9"/>
  <c r="I2946" i="9"/>
  <c r="I2947" i="9"/>
  <c r="I2948" i="9"/>
  <c r="I2949" i="9"/>
  <c r="I2950" i="9"/>
  <c r="I2951" i="9"/>
  <c r="I2952" i="9"/>
  <c r="I2953" i="9"/>
  <c r="I2954" i="9"/>
  <c r="I2955" i="9"/>
  <c r="I2956" i="9"/>
  <c r="I2957" i="9"/>
  <c r="I2958" i="9"/>
  <c r="I2959" i="9"/>
  <c r="I2960" i="9"/>
  <c r="I2961" i="9"/>
  <c r="I2962" i="9"/>
  <c r="I2963" i="9"/>
  <c r="I2964" i="9"/>
  <c r="I2965" i="9"/>
  <c r="I2966" i="9"/>
  <c r="I2967" i="9"/>
  <c r="I2968" i="9"/>
  <c r="I2969" i="9"/>
  <c r="I2970" i="9"/>
  <c r="I2971" i="9"/>
  <c r="I2972" i="9"/>
  <c r="I2973" i="9"/>
  <c r="I2974" i="9"/>
  <c r="I2975" i="9"/>
  <c r="I2976" i="9"/>
  <c r="I2977" i="9"/>
  <c r="I2978" i="9"/>
  <c r="I2979" i="9"/>
  <c r="I2980" i="9"/>
  <c r="I2981" i="9"/>
  <c r="I2982" i="9"/>
  <c r="I2983" i="9"/>
  <c r="I2984" i="9"/>
  <c r="I2985" i="9"/>
  <c r="I2986" i="9"/>
  <c r="I2987" i="9"/>
  <c r="I2988" i="9"/>
  <c r="I2989" i="9"/>
  <c r="I2990" i="9"/>
  <c r="I2991" i="9"/>
  <c r="I2992" i="9"/>
  <c r="I2993" i="9"/>
  <c r="I2994" i="9"/>
  <c r="I2995" i="9"/>
  <c r="I2996" i="9"/>
  <c r="I2997" i="9"/>
  <c r="I2998" i="9"/>
  <c r="I2999" i="9"/>
  <c r="I3000" i="9"/>
  <c r="I3001" i="9"/>
  <c r="I3002" i="9"/>
  <c r="I3003" i="9"/>
  <c r="I3004" i="9"/>
  <c r="I3005" i="9"/>
  <c r="I3006" i="9"/>
  <c r="I3007" i="9"/>
  <c r="I3008" i="9"/>
  <c r="I3009" i="9"/>
  <c r="I3010" i="9"/>
  <c r="I3011" i="9"/>
  <c r="I3012" i="9"/>
  <c r="I3013" i="9"/>
  <c r="I3014" i="9"/>
  <c r="I3015" i="9"/>
  <c r="I3016" i="9"/>
  <c r="I3017" i="9"/>
  <c r="I3018" i="9"/>
  <c r="I3019" i="9"/>
  <c r="I3020" i="9"/>
  <c r="I3021" i="9"/>
  <c r="I3022" i="9"/>
  <c r="I3023" i="9"/>
  <c r="I3024" i="9"/>
  <c r="I3025" i="9"/>
  <c r="I3026" i="9"/>
  <c r="I3027" i="9"/>
  <c r="I3028" i="9"/>
  <c r="I302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7" i="9"/>
  <c r="I3058" i="9"/>
  <c r="I3059" i="9"/>
  <c r="I3060" i="9"/>
  <c r="I3061" i="9"/>
  <c r="I3063" i="9"/>
  <c r="I3064" i="9"/>
  <c r="I3065" i="9"/>
  <c r="I3066" i="9"/>
  <c r="I3067" i="9"/>
  <c r="I3068" i="9"/>
  <c r="I3069" i="9"/>
  <c r="I3071"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40" i="9"/>
  <c r="I3241" i="9"/>
  <c r="I3242" i="9"/>
  <c r="I3243" i="9"/>
  <c r="I3244" i="9"/>
  <c r="I3245" i="9"/>
  <c r="I3247" i="9"/>
  <c r="I3248" i="9"/>
  <c r="I3249" i="9"/>
  <c r="I3250" i="9"/>
  <c r="I3251" i="9"/>
  <c r="I3252" i="9"/>
  <c r="I3254" i="9"/>
  <c r="I3256" i="9"/>
  <c r="I3257" i="9"/>
  <c r="I3258" i="9"/>
  <c r="I3259" i="9"/>
  <c r="I3260" i="9"/>
  <c r="I3261" i="9"/>
  <c r="I3262" i="9"/>
  <c r="I3263" i="9"/>
  <c r="I3264" i="9"/>
  <c r="I3265" i="9"/>
  <c r="I3266" i="9"/>
  <c r="I3267" i="9"/>
  <c r="I3268" i="9"/>
  <c r="I3269" i="9"/>
  <c r="I3270" i="9"/>
  <c r="I3271"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300" i="9"/>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3" i="9"/>
  <c r="I3424" i="9"/>
  <c r="I3425" i="9"/>
  <c r="I3426" i="9"/>
  <c r="I3427" i="9"/>
  <c r="I3429" i="9"/>
  <c r="I3430" i="9"/>
  <c r="I3431" i="9"/>
  <c r="I3432" i="9"/>
  <c r="I3433" i="9"/>
  <c r="I3434" i="9"/>
  <c r="I3436"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6" i="9"/>
  <c r="I3627" i="9"/>
  <c r="I3628" i="9"/>
  <c r="I3629" i="9"/>
  <c r="I3630" i="9"/>
  <c r="I3631" i="9"/>
  <c r="I3632" i="9"/>
  <c r="D12" i="2"/>
  <c r="D15" i="2"/>
  <c r="D18" i="2" s="1"/>
  <c r="D21" i="2" s="1"/>
  <c r="D24" i="2" s="1"/>
  <c r="D27" i="2" s="1"/>
  <c r="D30" i="2" s="1"/>
  <c r="D33" i="2" s="1"/>
  <c r="D36" i="2" s="1"/>
  <c r="D39" i="2" s="1"/>
  <c r="D42" i="2" s="1"/>
  <c r="D45" i="2" s="1"/>
  <c r="D48" i="2" s="1"/>
  <c r="D51" i="2" s="1"/>
  <c r="D54" i="2" s="1"/>
  <c r="D57" i="2" s="1"/>
  <c r="D60" i="2" s="1"/>
  <c r="D63" i="2" s="1"/>
  <c r="D66" i="2" s="1"/>
  <c r="D13" i="2"/>
  <c r="D16" i="2" s="1"/>
  <c r="D14" i="2"/>
  <c r="D17" i="2" s="1"/>
  <c r="D20" i="2" s="1"/>
  <c r="D23" i="2" s="1"/>
  <c r="D26" i="2" s="1"/>
  <c r="D29" i="2" s="1"/>
  <c r="D32" i="2" s="1"/>
  <c r="D35" i="2" s="1"/>
  <c r="D38" i="2" s="1"/>
  <c r="D41" i="2" s="1"/>
  <c r="D44" i="2" s="1"/>
  <c r="D47" i="2" s="1"/>
  <c r="D50" i="2" s="1"/>
  <c r="D53" i="2" s="1"/>
  <c r="D56" i="2" s="1"/>
  <c r="D59" i="2" s="1"/>
  <c r="D62" i="2" s="1"/>
  <c r="D65" i="2" s="1"/>
  <c r="D11" i="2"/>
  <c r="C44" i="5"/>
  <c r="C43" i="5"/>
  <c r="C27" i="5"/>
  <c r="BN3" i="5"/>
  <c r="BN126" i="5"/>
  <c r="C126" i="5" s="1"/>
  <c r="BN114" i="5"/>
  <c r="C114" i="5" s="1"/>
  <c r="BN102" i="5"/>
  <c r="C102" i="5" s="1"/>
  <c r="BN90" i="5"/>
  <c r="C90" i="5" s="1"/>
  <c r="BN78" i="5"/>
  <c r="C78" i="5" s="1"/>
  <c r="BN69" i="5"/>
  <c r="C69" i="5" s="1"/>
  <c r="BN68" i="5"/>
  <c r="C68" i="5" s="1"/>
  <c r="BN67" i="5"/>
  <c r="C67" i="5" s="1"/>
  <c r="BN66" i="5"/>
  <c r="C66" i="5" s="1"/>
  <c r="BN64" i="5"/>
  <c r="C64" i="5" s="1"/>
  <c r="BN60" i="5"/>
  <c r="C60" i="5" s="1"/>
  <c r="BN55" i="5" a="1"/>
  <c r="BN55" i="5" s="1"/>
  <c r="C55" i="5" s="1"/>
  <c r="BN49" i="5" a="1"/>
  <c r="BN49" i="5" s="1"/>
  <c r="C49" i="5" s="1"/>
  <c r="BN31" i="5" a="1"/>
  <c r="BN31" i="5" s="1"/>
  <c r="C31" i="5" s="1"/>
  <c r="BN13" i="5"/>
  <c r="BN79" i="5"/>
  <c r="C79" i="5" s="1"/>
  <c r="BN91" i="5"/>
  <c r="C91" i="5" s="1"/>
  <c r="BN103" i="5"/>
  <c r="C103" i="5" s="1"/>
  <c r="BN115" i="5"/>
  <c r="C115" i="5" s="1"/>
  <c r="BN127" i="5"/>
  <c r="C127" i="5" s="1"/>
  <c r="BN80" i="5"/>
  <c r="C80" i="5" s="1"/>
  <c r="BN92" i="5"/>
  <c r="C92" i="5" s="1"/>
  <c r="BN104" i="5"/>
  <c r="C104" i="5" s="1"/>
  <c r="BN116" i="5"/>
  <c r="C116" i="5" s="1"/>
  <c r="BN128" i="5"/>
  <c r="C128" i="5" s="1"/>
  <c r="BN81" i="5"/>
  <c r="C81" i="5" s="1"/>
  <c r="BN93" i="5"/>
  <c r="C93" i="5" s="1"/>
  <c r="BN105" i="5"/>
  <c r="C105" i="5" s="1"/>
  <c r="BN117" i="5"/>
  <c r="C117" i="5" s="1"/>
  <c r="BN129" i="5"/>
  <c r="C129" i="5" s="1"/>
  <c r="BN51" i="5" a="1"/>
  <c r="BN51" i="5" s="1"/>
  <c r="C51" i="5" s="1"/>
  <c r="BN70" i="5"/>
  <c r="C70" i="5" s="1"/>
  <c r="BN82" i="5"/>
  <c r="C82" i="5" s="1"/>
  <c r="BN94" i="5"/>
  <c r="C94" i="5" s="1"/>
  <c r="BN106" i="5"/>
  <c r="C106" i="5" s="1"/>
  <c r="BN118" i="5"/>
  <c r="C118" i="5" s="1"/>
  <c r="BN130" i="5"/>
  <c r="C130" i="5" s="1"/>
  <c r="BN71" i="5"/>
  <c r="C71" i="5" s="1"/>
  <c r="BN83" i="5"/>
  <c r="C83" i="5" s="1"/>
  <c r="BN95" i="5"/>
  <c r="C95" i="5" s="1"/>
  <c r="BN107" i="5"/>
  <c r="C107" i="5" s="1"/>
  <c r="BN119" i="5"/>
  <c r="C119" i="5" s="1"/>
  <c r="BN131" i="5"/>
  <c r="C131" i="5" s="1"/>
  <c r="BN50" i="5" a="1"/>
  <c r="BN50" i="5" s="1"/>
  <c r="C50" i="5" s="1"/>
  <c r="BN52" i="5" a="1"/>
  <c r="BN52" i="5" s="1"/>
  <c r="C52" i="5" s="1"/>
  <c r="BN72" i="5"/>
  <c r="C72" i="5" s="1"/>
  <c r="BN84" i="5"/>
  <c r="C84" i="5" s="1"/>
  <c r="BN96" i="5"/>
  <c r="C96" i="5" s="1"/>
  <c r="BN108" i="5"/>
  <c r="C108" i="5" s="1"/>
  <c r="BN120" i="5"/>
  <c r="C120" i="5" s="1"/>
  <c r="BN132" i="5"/>
  <c r="C132" i="5" s="1"/>
  <c r="BN61" i="5"/>
  <c r="C61" i="5" s="1"/>
  <c r="BN73" i="5"/>
  <c r="C73" i="5" s="1"/>
  <c r="BN85" i="5"/>
  <c r="C85" i="5" s="1"/>
  <c r="BN97" i="5"/>
  <c r="C97" i="5" s="1"/>
  <c r="BN109" i="5"/>
  <c r="C109" i="5" s="1"/>
  <c r="BN121" i="5"/>
  <c r="C121" i="5" s="1"/>
  <c r="BN26" i="5" a="1"/>
  <c r="BN26" i="5" s="1"/>
  <c r="C26" i="5" s="1"/>
  <c r="BN53" i="5" a="1"/>
  <c r="BN53" i="5" s="1"/>
  <c r="C53" i="5" s="1"/>
  <c r="BN62" i="5"/>
  <c r="C62" i="5" s="1"/>
  <c r="BN74" i="5"/>
  <c r="C74" i="5" s="1"/>
  <c r="BN86" i="5"/>
  <c r="C86" i="5" s="1"/>
  <c r="BN98" i="5"/>
  <c r="C98" i="5" s="1"/>
  <c r="BN110" i="5"/>
  <c r="C110" i="5" s="1"/>
  <c r="BN122" i="5"/>
  <c r="C122" i="5" s="1"/>
  <c r="BN56" i="5" a="1"/>
  <c r="BN56" i="5" s="1"/>
  <c r="C56" i="5" s="1"/>
  <c r="BN63" i="5"/>
  <c r="C63" i="5" s="1"/>
  <c r="BN75" i="5"/>
  <c r="C75" i="5" s="1"/>
  <c r="BN87" i="5"/>
  <c r="C87" i="5" s="1"/>
  <c r="BN99" i="5"/>
  <c r="C99" i="5" s="1"/>
  <c r="BN111" i="5"/>
  <c r="C111" i="5" s="1"/>
  <c r="BN123" i="5"/>
  <c r="C123" i="5" s="1"/>
  <c r="BN76" i="5"/>
  <c r="C76" i="5" s="1"/>
  <c r="BN88" i="5"/>
  <c r="C88" i="5" s="1"/>
  <c r="BN100" i="5"/>
  <c r="C100" i="5" s="1"/>
  <c r="BN112" i="5"/>
  <c r="C112" i="5" s="1"/>
  <c r="BN124" i="5"/>
  <c r="C124" i="5" s="1"/>
  <c r="BN48" i="5" a="1"/>
  <c r="BN48" i="5" s="1"/>
  <c r="BN54" i="5" a="1"/>
  <c r="BN54" i="5" s="1"/>
  <c r="C54" i="5" s="1"/>
  <c r="BN65" i="5"/>
  <c r="C65" i="5" s="1"/>
  <c r="BN77" i="5"/>
  <c r="C77" i="5" s="1"/>
  <c r="BN89" i="5"/>
  <c r="C89" i="5" s="1"/>
  <c r="BN101" i="5"/>
  <c r="C101" i="5" s="1"/>
  <c r="BN113" i="5"/>
  <c r="C113" i="5" s="1"/>
  <c r="BN125" i="5"/>
  <c r="C125" i="5" s="1"/>
  <c r="H3626" i="9"/>
  <c r="H3488" i="9"/>
  <c r="H3618" i="9"/>
  <c r="H3611" i="9"/>
  <c r="H3547" i="9"/>
  <c r="H1917" i="9"/>
  <c r="H2795" i="9"/>
  <c r="H3161" i="9"/>
  <c r="H1014" i="9"/>
  <c r="H1736" i="9"/>
  <c r="H1195" i="9"/>
  <c r="H2978" i="9"/>
  <c r="H3344" i="9"/>
  <c r="H466" i="9"/>
  <c r="H1559" i="9"/>
  <c r="H1376" i="9"/>
  <c r="H833" i="9"/>
  <c r="H651" i="9"/>
  <c r="H652" i="9"/>
  <c r="H617" i="9"/>
  <c r="H87" i="9"/>
  <c r="H280" i="9"/>
  <c r="H256" i="9"/>
  <c r="H251" i="9"/>
  <c r="H235" i="9"/>
  <c r="H225" i="9"/>
  <c r="H219" i="9"/>
  <c r="H213" i="9"/>
  <c r="H207" i="9"/>
  <c r="H195" i="9"/>
  <c r="H1460" i="9"/>
  <c r="G27" i="8"/>
  <c r="H2517" i="9"/>
  <c r="G90" i="8"/>
  <c r="G46" i="8"/>
  <c r="G44" i="8"/>
  <c r="H5" i="9"/>
  <c r="H3608" i="9"/>
  <c r="H3610" i="9"/>
  <c r="F327" i="8"/>
  <c r="H1457" i="9"/>
  <c r="H2005" i="9"/>
  <c r="H2523" i="9"/>
  <c r="H2364" i="9"/>
  <c r="H3065" i="9"/>
  <c r="H371" i="9"/>
  <c r="H3606" i="9"/>
  <c r="H3604" i="9"/>
  <c r="H3602" i="9"/>
  <c r="H174" i="9"/>
  <c r="H3441" i="9"/>
  <c r="H3440" i="9"/>
  <c r="H3439" i="9"/>
  <c r="H3438" i="9"/>
  <c r="H3259" i="9"/>
  <c r="H3258" i="9"/>
  <c r="H3257" i="9"/>
  <c r="H3076" i="9"/>
  <c r="H3075" i="9"/>
  <c r="H3074" i="9"/>
  <c r="H2892" i="9"/>
  <c r="H2891" i="9"/>
  <c r="H2890" i="9"/>
  <c r="H2710" i="9"/>
  <c r="H2709" i="9"/>
  <c r="H2708" i="9"/>
  <c r="H2531" i="9"/>
  <c r="H2530" i="9"/>
  <c r="H2529" i="9"/>
  <c r="H2528" i="9"/>
  <c r="H2373" i="9"/>
  <c r="H2372" i="9"/>
  <c r="H2371" i="9"/>
  <c r="H2192" i="9"/>
  <c r="H2191" i="9"/>
  <c r="H2187" i="9"/>
  <c r="H2015" i="9"/>
  <c r="H2014" i="9"/>
  <c r="H2013" i="9"/>
  <c r="H1831" i="9"/>
  <c r="H1830" i="9"/>
  <c r="H1829" i="9"/>
  <c r="H1650" i="9"/>
  <c r="H1649" i="9"/>
  <c r="H1648" i="9"/>
  <c r="H1475" i="9"/>
  <c r="H1474" i="9"/>
  <c r="H1473" i="9"/>
  <c r="H1290" i="9"/>
  <c r="H1289" i="9"/>
  <c r="H1288" i="9"/>
  <c r="H1109" i="9"/>
  <c r="H1108" i="9"/>
  <c r="H1107" i="9"/>
  <c r="H928" i="9"/>
  <c r="H927" i="9"/>
  <c r="H926" i="9"/>
  <c r="H747" i="9"/>
  <c r="H746" i="9"/>
  <c r="H745" i="9"/>
  <c r="H566" i="9"/>
  <c r="H565" i="9"/>
  <c r="H564" i="9"/>
  <c r="H188" i="9"/>
  <c r="H187" i="9"/>
  <c r="H186" i="9"/>
  <c r="H380" i="9"/>
  <c r="H381" i="9"/>
  <c r="H382" i="9"/>
  <c r="G305" i="8"/>
  <c r="G306" i="8"/>
  <c r="G307" i="8"/>
  <c r="G308" i="8"/>
  <c r="G309" i="8"/>
  <c r="G310" i="8"/>
  <c r="G311" i="8"/>
  <c r="G312" i="8"/>
  <c r="G313" i="8"/>
  <c r="G314" i="8"/>
  <c r="G315" i="8"/>
  <c r="G316" i="8"/>
  <c r="G317" i="8"/>
  <c r="G318" i="8"/>
  <c r="G319" i="8"/>
  <c r="G320" i="8"/>
  <c r="G321" i="8"/>
  <c r="G322" i="8"/>
  <c r="G323" i="8"/>
  <c r="G154" i="8"/>
  <c r="G153" i="8"/>
  <c r="G75" i="8"/>
  <c r="G76" i="8"/>
  <c r="G171" i="8"/>
  <c r="H3434" i="9"/>
  <c r="H3433" i="9"/>
  <c r="H3432" i="9"/>
  <c r="H3431" i="9"/>
  <c r="H3430" i="9"/>
  <c r="H3252" i="9"/>
  <c r="H3251" i="9"/>
  <c r="H3250" i="9"/>
  <c r="H3249" i="9"/>
  <c r="H3248" i="9"/>
  <c r="H3069" i="9"/>
  <c r="H3068" i="9"/>
  <c r="H3067" i="9"/>
  <c r="H3066" i="9"/>
  <c r="H3064" i="9"/>
  <c r="H2885" i="9"/>
  <c r="H2884" i="9"/>
  <c r="H2883" i="9"/>
  <c r="H2882" i="9"/>
  <c r="H2881" i="9"/>
  <c r="H2704" i="9"/>
  <c r="H2703" i="9"/>
  <c r="H2702" i="9"/>
  <c r="H2701" i="9"/>
  <c r="H2700" i="9"/>
  <c r="H2526" i="9"/>
  <c r="H2525" i="9"/>
  <c r="H2524" i="9"/>
  <c r="H2522" i="9"/>
  <c r="H2368" i="9"/>
  <c r="H2367" i="9"/>
  <c r="H2366" i="9"/>
  <c r="H2365" i="9"/>
  <c r="H2363" i="9"/>
  <c r="H2197" i="9"/>
  <c r="H2196" i="9"/>
  <c r="H2195" i="9"/>
  <c r="H2194" i="9"/>
  <c r="H2193" i="9"/>
  <c r="H2009" i="9"/>
  <c r="H2008" i="9"/>
  <c r="H2007" i="9"/>
  <c r="H2006" i="9"/>
  <c r="H2004" i="9"/>
  <c r="H1825" i="9"/>
  <c r="H1824" i="9"/>
  <c r="H1823" i="9"/>
  <c r="H1822" i="9"/>
  <c r="H1821" i="9"/>
  <c r="H1643" i="9"/>
  <c r="H1642" i="9"/>
  <c r="H1641" i="9"/>
  <c r="H1640" i="9"/>
  <c r="H1639" i="9"/>
  <c r="H1467" i="9"/>
  <c r="H1466" i="9"/>
  <c r="H1465" i="9"/>
  <c r="H1464" i="9"/>
  <c r="H1463" i="9"/>
  <c r="H1283" i="9"/>
  <c r="H1282" i="9"/>
  <c r="H1281" i="9"/>
  <c r="H1280" i="9"/>
  <c r="H1279" i="9"/>
  <c r="H1102" i="9"/>
  <c r="H1101" i="9"/>
  <c r="H1100" i="9"/>
  <c r="H1099" i="9"/>
  <c r="H1098" i="9"/>
  <c r="H921" i="9"/>
  <c r="H920" i="9"/>
  <c r="H919" i="9"/>
  <c r="H918" i="9"/>
  <c r="H917" i="9"/>
  <c r="H740" i="9"/>
  <c r="H739" i="9"/>
  <c r="H738" i="9"/>
  <c r="H737" i="9"/>
  <c r="H736" i="9"/>
  <c r="H559" i="9"/>
  <c r="H558" i="9"/>
  <c r="H557" i="9"/>
  <c r="H556" i="9"/>
  <c r="H555" i="9"/>
  <c r="H178" i="9"/>
  <c r="H179" i="9"/>
  <c r="H180" i="9"/>
  <c r="H181" i="9"/>
  <c r="H189" i="9"/>
  <c r="H372" i="9"/>
  <c r="H373" i="9"/>
  <c r="H374" i="9"/>
  <c r="H375" i="9"/>
  <c r="H3624" i="9"/>
  <c r="H3627" i="9"/>
  <c r="H3628" i="9"/>
  <c r="H3629" i="9"/>
  <c r="H3630" i="9"/>
  <c r="H3631" i="9"/>
  <c r="H3632" i="9"/>
  <c r="I4" i="9"/>
  <c r="H3619" i="9"/>
  <c r="G42" i="8"/>
  <c r="H1998" i="9"/>
  <c r="H2875" i="9"/>
  <c r="H2876" i="9"/>
  <c r="H2877" i="9"/>
  <c r="H3242" i="9"/>
  <c r="H3243" i="9"/>
  <c r="H3244" i="9"/>
  <c r="H1092" i="9"/>
  <c r="H1095" i="9"/>
  <c r="H1815" i="9"/>
  <c r="H1273" i="9"/>
  <c r="H1276" i="9"/>
  <c r="H3058" i="9"/>
  <c r="H3059" i="9"/>
  <c r="H3060" i="9"/>
  <c r="H3424" i="9"/>
  <c r="H3425" i="9"/>
  <c r="H3426" i="9"/>
  <c r="H549" i="9"/>
  <c r="H552" i="9"/>
  <c r="H1633" i="9"/>
  <c r="H730" i="9"/>
  <c r="H733" i="9"/>
  <c r="H911" i="9"/>
  <c r="H914" i="9"/>
  <c r="H2518" i="9"/>
  <c r="H2359" i="9"/>
  <c r="H2695" i="9"/>
  <c r="H2694" i="9"/>
  <c r="H2179" i="9"/>
  <c r="H170" i="9"/>
  <c r="H172" i="9"/>
  <c r="H363" i="9"/>
  <c r="H1454" i="9"/>
  <c r="H1072" i="9"/>
  <c r="H1071" i="9"/>
  <c r="H1070" i="9"/>
  <c r="H1069" i="9"/>
  <c r="H1068" i="9"/>
  <c r="H2853" i="9"/>
  <c r="H2852" i="9"/>
  <c r="H2851" i="9"/>
  <c r="H2850" i="9"/>
  <c r="H2849" i="9"/>
  <c r="H1975" i="9"/>
  <c r="H1974" i="9"/>
  <c r="H1973" i="9"/>
  <c r="H1972" i="9"/>
  <c r="H1971" i="9"/>
  <c r="H3219" i="9"/>
  <c r="H3218" i="9"/>
  <c r="H3217" i="9"/>
  <c r="H3216" i="9"/>
  <c r="H3215" i="9"/>
  <c r="H2500" i="9"/>
  <c r="H2499" i="9"/>
  <c r="H2498" i="9"/>
  <c r="H2497" i="9"/>
  <c r="H1794" i="9"/>
  <c r="H1793" i="9"/>
  <c r="H1792" i="9"/>
  <c r="H1791" i="9"/>
  <c r="H1790" i="9"/>
  <c r="H1253" i="9"/>
  <c r="H1252" i="9"/>
  <c r="H1251" i="9"/>
  <c r="H1250" i="9"/>
  <c r="H1249" i="9"/>
  <c r="H3036" i="9"/>
  <c r="H3035" i="9"/>
  <c r="H3034" i="9"/>
  <c r="H3033" i="9"/>
  <c r="H3032" i="9"/>
  <c r="H2338" i="9"/>
  <c r="H2337" i="9"/>
  <c r="H2336" i="9"/>
  <c r="H2335" i="9"/>
  <c r="H2334" i="9"/>
  <c r="H3402" i="9"/>
  <c r="H3401" i="9"/>
  <c r="H3400" i="9"/>
  <c r="H3399" i="9"/>
  <c r="H3398" i="9"/>
  <c r="H1613" i="9"/>
  <c r="H1612" i="9"/>
  <c r="H1611" i="9"/>
  <c r="H1610" i="9"/>
  <c r="H1609" i="9"/>
  <c r="H2674" i="9"/>
  <c r="H2673" i="9"/>
  <c r="H2672" i="9"/>
  <c r="H2671" i="9"/>
  <c r="H2670" i="9"/>
  <c r="H2158" i="9"/>
  <c r="H2157" i="9"/>
  <c r="H2156" i="9"/>
  <c r="H2155" i="9"/>
  <c r="H2154" i="9"/>
  <c r="H1434" i="9"/>
  <c r="H1433" i="9"/>
  <c r="H1432" i="9"/>
  <c r="H1431" i="9"/>
  <c r="H1430" i="9"/>
  <c r="H891" i="9"/>
  <c r="H890" i="9"/>
  <c r="H889" i="9"/>
  <c r="H888" i="9"/>
  <c r="H887" i="9"/>
  <c r="H710" i="9"/>
  <c r="H709" i="9"/>
  <c r="H708" i="9"/>
  <c r="H707" i="9"/>
  <c r="H706" i="9"/>
  <c r="H29" i="10"/>
  <c r="H28" i="10"/>
  <c r="H27" i="10"/>
  <c r="H26" i="10"/>
  <c r="H33" i="10"/>
  <c r="H32" i="10"/>
  <c r="H31" i="10"/>
  <c r="H30" i="10"/>
  <c r="H530" i="9"/>
  <c r="H531" i="9"/>
  <c r="H532" i="9"/>
  <c r="H533" i="9"/>
  <c r="H534" i="9"/>
  <c r="H151" i="9"/>
  <c r="H152" i="9"/>
  <c r="H153" i="9"/>
  <c r="H154" i="9"/>
  <c r="H155" i="9"/>
  <c r="H352" i="9"/>
  <c r="H351" i="9"/>
  <c r="H350" i="9"/>
  <c r="H349" i="9"/>
  <c r="H348" i="9"/>
  <c r="H347" i="9"/>
  <c r="H346" i="9"/>
  <c r="H345" i="9"/>
  <c r="H344" i="9"/>
  <c r="H3582" i="9"/>
  <c r="H3561" i="9"/>
  <c r="H3562" i="9"/>
  <c r="H3531" i="9"/>
  <c r="H3530" i="9"/>
  <c r="H3617" i="9"/>
  <c r="H3616" i="9"/>
  <c r="H3615" i="9"/>
  <c r="H3614" i="9"/>
  <c r="H3613" i="9"/>
  <c r="H3612" i="9"/>
  <c r="H3601" i="9"/>
  <c r="H3603" i="9"/>
  <c r="H3605" i="9"/>
  <c r="H3607" i="9"/>
  <c r="H3609" i="9"/>
  <c r="H3600" i="9"/>
  <c r="G74" i="8"/>
  <c r="G73" i="8"/>
  <c r="G72"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0" i="8"/>
  <c r="G169" i="8"/>
  <c r="G168" i="8"/>
  <c r="G167" i="8"/>
  <c r="G166" i="8"/>
  <c r="G165" i="8"/>
  <c r="G164" i="8"/>
  <c r="G163" i="8"/>
  <c r="G162" i="8"/>
  <c r="G161" i="8"/>
  <c r="G160" i="8"/>
  <c r="G159" i="8"/>
  <c r="G158" i="8"/>
  <c r="G157" i="8"/>
  <c r="G156" i="8"/>
  <c r="G155"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89" i="8"/>
  <c r="G88" i="8"/>
  <c r="G87" i="8"/>
  <c r="G86" i="8"/>
  <c r="G85" i="8"/>
  <c r="G304" i="8"/>
  <c r="G303" i="8"/>
  <c r="G302" i="8"/>
  <c r="G301" i="8"/>
  <c r="G300" i="8"/>
  <c r="G299" i="8"/>
  <c r="G298" i="8"/>
  <c r="G297" i="8"/>
  <c r="G296" i="8"/>
  <c r="G295" i="8"/>
  <c r="G294" i="8"/>
  <c r="G293" i="8"/>
  <c r="G292" i="8"/>
  <c r="G291" i="8"/>
  <c r="G290" i="8"/>
  <c r="G289" i="8"/>
  <c r="G288" i="8"/>
  <c r="H161" i="9"/>
  <c r="H162" i="9"/>
  <c r="H163" i="9"/>
  <c r="H164" i="9"/>
  <c r="H165" i="9"/>
  <c r="H166" i="9"/>
  <c r="H167" i="9"/>
  <c r="H168" i="9"/>
  <c r="H169" i="9"/>
  <c r="H173" i="9"/>
  <c r="H175" i="9"/>
  <c r="H190" i="9"/>
  <c r="H191" i="9"/>
  <c r="H192" i="9"/>
  <c r="H193" i="9"/>
  <c r="H194" i="9"/>
  <c r="H196" i="9"/>
  <c r="H197" i="9"/>
  <c r="H198" i="9"/>
  <c r="H199" i="9"/>
  <c r="H200" i="9"/>
  <c r="H201" i="9"/>
  <c r="H202" i="9"/>
  <c r="H203" i="9"/>
  <c r="H204" i="9"/>
  <c r="H205" i="9"/>
  <c r="H206" i="9"/>
  <c r="H208" i="9"/>
  <c r="H209" i="9"/>
  <c r="H210" i="9"/>
  <c r="H211" i="9"/>
  <c r="H212" i="9"/>
  <c r="H214" i="9"/>
  <c r="H215" i="9"/>
  <c r="H216" i="9"/>
  <c r="H217" i="9"/>
  <c r="H218" i="9"/>
  <c r="H220" i="9"/>
  <c r="H221" i="9"/>
  <c r="H222" i="9"/>
  <c r="H223" i="9"/>
  <c r="H224" i="9"/>
  <c r="H226" i="9"/>
  <c r="H227" i="9"/>
  <c r="H228" i="9"/>
  <c r="H229" i="9"/>
  <c r="H230" i="9"/>
  <c r="H231" i="9"/>
  <c r="H232" i="9"/>
  <c r="H233" i="9"/>
  <c r="H234" i="9"/>
  <c r="H236" i="9"/>
  <c r="H237" i="9"/>
  <c r="H238" i="9"/>
  <c r="H239" i="9"/>
  <c r="H240" i="9"/>
  <c r="H241" i="9"/>
  <c r="H242" i="9"/>
  <c r="H243" i="9"/>
  <c r="H244" i="9"/>
  <c r="H245" i="9"/>
  <c r="H246" i="9"/>
  <c r="H247" i="9"/>
  <c r="H248" i="9"/>
  <c r="H249" i="9"/>
  <c r="H252" i="9"/>
  <c r="H253" i="9"/>
  <c r="H254" i="9"/>
  <c r="H255" i="9"/>
  <c r="H257" i="9"/>
  <c r="H258" i="9"/>
  <c r="H259" i="9"/>
  <c r="H260" i="9"/>
  <c r="H261" i="9"/>
  <c r="H262" i="9"/>
  <c r="H263" i="9"/>
  <c r="H264" i="9"/>
  <c r="H265" i="9"/>
  <c r="H266" i="9"/>
  <c r="H267" i="9"/>
  <c r="H268" i="9"/>
  <c r="H269" i="9"/>
  <c r="H270" i="9"/>
  <c r="H271" i="9"/>
  <c r="H272" i="9"/>
  <c r="H273" i="9"/>
  <c r="H274" i="9"/>
  <c r="H275" i="9"/>
  <c r="H276" i="9"/>
  <c r="H277" i="9"/>
  <c r="H278" i="9"/>
  <c r="H279"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53" i="9"/>
  <c r="H354" i="9"/>
  <c r="H355" i="9"/>
  <c r="H356" i="9"/>
  <c r="H357" i="9"/>
  <c r="H358" i="9"/>
  <c r="H359" i="9"/>
  <c r="H360" i="9"/>
  <c r="H361" i="9"/>
  <c r="H362" i="9"/>
  <c r="H366" i="9"/>
  <c r="H367" i="9"/>
  <c r="H368"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5" i="9"/>
  <c r="H536" i="9"/>
  <c r="H537" i="9"/>
  <c r="H538" i="9"/>
  <c r="H539" i="9"/>
  <c r="H540" i="9"/>
  <c r="H541" i="9"/>
  <c r="H542" i="9"/>
  <c r="H543" i="9"/>
  <c r="H544" i="9"/>
  <c r="H545" i="9"/>
  <c r="H546" i="9"/>
  <c r="H547" i="9"/>
  <c r="H548" i="9"/>
  <c r="H553" i="9"/>
  <c r="H554"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11" i="9"/>
  <c r="H712" i="9"/>
  <c r="H713" i="9"/>
  <c r="H714" i="9"/>
  <c r="H715" i="9"/>
  <c r="H716" i="9"/>
  <c r="H717" i="9"/>
  <c r="H718" i="9"/>
  <c r="H719" i="9"/>
  <c r="H720" i="9"/>
  <c r="H721" i="9"/>
  <c r="H722" i="9"/>
  <c r="H723" i="9"/>
  <c r="H724" i="9"/>
  <c r="H725" i="9"/>
  <c r="H726" i="9"/>
  <c r="H727" i="9"/>
  <c r="H728" i="9"/>
  <c r="H729" i="9"/>
  <c r="H734" i="9"/>
  <c r="H735"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92" i="9"/>
  <c r="H893" i="9"/>
  <c r="H894" i="9"/>
  <c r="H895" i="9"/>
  <c r="H896" i="9"/>
  <c r="H897" i="9"/>
  <c r="H898" i="9"/>
  <c r="H899" i="9"/>
  <c r="H900" i="9"/>
  <c r="H901" i="9"/>
  <c r="H902" i="9"/>
  <c r="H903" i="9"/>
  <c r="H904" i="9"/>
  <c r="H905" i="9"/>
  <c r="H906" i="9"/>
  <c r="H907" i="9"/>
  <c r="H908" i="9"/>
  <c r="H909" i="9"/>
  <c r="H910" i="9"/>
  <c r="H915" i="9"/>
  <c r="H916"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73" i="9"/>
  <c r="H1074" i="9"/>
  <c r="H1075" i="9"/>
  <c r="H1076" i="9"/>
  <c r="H1077" i="9"/>
  <c r="H1078" i="9"/>
  <c r="H1079" i="9"/>
  <c r="H1080" i="9"/>
  <c r="H1081" i="9"/>
  <c r="H1082" i="9"/>
  <c r="H1083" i="9"/>
  <c r="H1084" i="9"/>
  <c r="H1085" i="9"/>
  <c r="H1086" i="9"/>
  <c r="H1087" i="9"/>
  <c r="H1088" i="9"/>
  <c r="H1089" i="9"/>
  <c r="H1090" i="9"/>
  <c r="H1091" i="9"/>
  <c r="H1096" i="9"/>
  <c r="H1097"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54" i="9"/>
  <c r="H1255" i="9"/>
  <c r="H1256" i="9"/>
  <c r="H1257" i="9"/>
  <c r="H1258" i="9"/>
  <c r="H1259" i="9"/>
  <c r="H1260" i="9"/>
  <c r="H1261" i="9"/>
  <c r="H1262" i="9"/>
  <c r="H1263" i="9"/>
  <c r="H1264" i="9"/>
  <c r="H1265" i="9"/>
  <c r="H1266" i="9"/>
  <c r="H1267" i="9"/>
  <c r="H1268" i="9"/>
  <c r="H1269" i="9"/>
  <c r="H1270" i="9"/>
  <c r="H1271" i="9"/>
  <c r="H1272" i="9"/>
  <c r="H1277" i="9"/>
  <c r="H1278"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5" i="9"/>
  <c r="H1436" i="9"/>
  <c r="H1437" i="9"/>
  <c r="H1438" i="9"/>
  <c r="H1439" i="9"/>
  <c r="H1440" i="9"/>
  <c r="H1441" i="9"/>
  <c r="H1442" i="9"/>
  <c r="H1443" i="9"/>
  <c r="H1444" i="9"/>
  <c r="H1445" i="9"/>
  <c r="H1446" i="9"/>
  <c r="H1447" i="9"/>
  <c r="H1448" i="9"/>
  <c r="H1449" i="9"/>
  <c r="H1450" i="9"/>
  <c r="H1451" i="9"/>
  <c r="H1452" i="9"/>
  <c r="H1453" i="9"/>
  <c r="H1458" i="9"/>
  <c r="H1459"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14" i="9"/>
  <c r="H1615" i="9"/>
  <c r="H1616" i="9"/>
  <c r="H1617" i="9"/>
  <c r="H1618" i="9"/>
  <c r="H1619" i="9"/>
  <c r="H1620" i="9"/>
  <c r="H1621" i="9"/>
  <c r="H1622" i="9"/>
  <c r="H1623" i="9"/>
  <c r="H1624" i="9"/>
  <c r="H1625" i="9"/>
  <c r="H1626" i="9"/>
  <c r="H1627" i="9"/>
  <c r="H1628" i="9"/>
  <c r="H1629" i="9"/>
  <c r="H1630" i="9"/>
  <c r="H1631" i="9"/>
  <c r="H1632" i="9"/>
  <c r="H1636" i="9"/>
  <c r="H1637" i="9"/>
  <c r="H1638"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5" i="9"/>
  <c r="H1796" i="9"/>
  <c r="H1797" i="9"/>
  <c r="H1798" i="9"/>
  <c r="H1799" i="9"/>
  <c r="H1800" i="9"/>
  <c r="H1801" i="9"/>
  <c r="H1802" i="9"/>
  <c r="H1803" i="9"/>
  <c r="H1804" i="9"/>
  <c r="H1805" i="9"/>
  <c r="H1806" i="9"/>
  <c r="H1807" i="9"/>
  <c r="H1808" i="9"/>
  <c r="H1809" i="9"/>
  <c r="H1810" i="9"/>
  <c r="H1811" i="9"/>
  <c r="H1812" i="9"/>
  <c r="H1813" i="9"/>
  <c r="H1814" i="9"/>
  <c r="H1818" i="9"/>
  <c r="H1819" i="9"/>
  <c r="H1820"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6" i="9"/>
  <c r="H1977" i="9"/>
  <c r="H1978" i="9"/>
  <c r="H1979" i="9"/>
  <c r="H1980" i="9"/>
  <c r="H1981" i="9"/>
  <c r="H1982" i="9"/>
  <c r="H1983" i="9"/>
  <c r="H1984" i="9"/>
  <c r="H1985" i="9"/>
  <c r="H1986" i="9"/>
  <c r="H1987" i="9"/>
  <c r="H1988" i="9"/>
  <c r="H1989" i="9"/>
  <c r="H1990" i="9"/>
  <c r="H1991" i="9"/>
  <c r="H1992" i="9"/>
  <c r="H1993" i="9"/>
  <c r="H1994" i="9"/>
  <c r="H1997" i="9"/>
  <c r="H2001" i="9"/>
  <c r="H2002" i="9"/>
  <c r="H2003"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H2134" i="9"/>
  <c r="H2135" i="9"/>
  <c r="H2136" i="9"/>
  <c r="H2137" i="9"/>
  <c r="H2138" i="9"/>
  <c r="H2139" i="9"/>
  <c r="H2140" i="9"/>
  <c r="H2141" i="9"/>
  <c r="H2142" i="9"/>
  <c r="H2143" i="9"/>
  <c r="H2144" i="9"/>
  <c r="H2145" i="9"/>
  <c r="H2146" i="9"/>
  <c r="H2147" i="9"/>
  <c r="H2148" i="9"/>
  <c r="H2149" i="9"/>
  <c r="H2150" i="9"/>
  <c r="H2151" i="9"/>
  <c r="H2152" i="9"/>
  <c r="H2153" i="9"/>
  <c r="H2159" i="9"/>
  <c r="H2160" i="9"/>
  <c r="H2161" i="9"/>
  <c r="H2162" i="9"/>
  <c r="H2163" i="9"/>
  <c r="H2164" i="9"/>
  <c r="H2165" i="9"/>
  <c r="H2166" i="9"/>
  <c r="H2167" i="9"/>
  <c r="H2168" i="9"/>
  <c r="H2169" i="9"/>
  <c r="H2170" i="9"/>
  <c r="H2171" i="9"/>
  <c r="H2172" i="9"/>
  <c r="H2173" i="9"/>
  <c r="H2174" i="9"/>
  <c r="H2175" i="9"/>
  <c r="H2176" i="9"/>
  <c r="H2177" i="9"/>
  <c r="H2178" i="9"/>
  <c r="H2182" i="9"/>
  <c r="H2183" i="9"/>
  <c r="H2184" i="9"/>
  <c r="H2198" i="9"/>
  <c r="H2199" i="9"/>
  <c r="H2200" i="9"/>
  <c r="H2201" i="9"/>
  <c r="H2202" i="9"/>
  <c r="H2203" i="9"/>
  <c r="H2204" i="9"/>
  <c r="H2205" i="9"/>
  <c r="H2206" i="9"/>
  <c r="H2207" i="9"/>
  <c r="H2208" i="9"/>
  <c r="H2209" i="9"/>
  <c r="H2210" i="9"/>
  <c r="H2211" i="9"/>
  <c r="H2212" i="9"/>
  <c r="H2213" i="9"/>
  <c r="H2214" i="9"/>
  <c r="H2215" i="9"/>
  <c r="H2216" i="9"/>
  <c r="H2217" i="9"/>
  <c r="H2218" i="9"/>
  <c r="H2219" i="9"/>
  <c r="H2220" i="9"/>
  <c r="H2221" i="9"/>
  <c r="H2222" i="9"/>
  <c r="H2223" i="9"/>
  <c r="H2224" i="9"/>
  <c r="H2225" i="9"/>
  <c r="H2226" i="9"/>
  <c r="H2227" i="9"/>
  <c r="H2228" i="9"/>
  <c r="H2229" i="9"/>
  <c r="H2230" i="9"/>
  <c r="H2231" i="9"/>
  <c r="H2232" i="9"/>
  <c r="H2233" i="9"/>
  <c r="H2234" i="9"/>
  <c r="H2235" i="9"/>
  <c r="H2236" i="9"/>
  <c r="H2237" i="9"/>
  <c r="H2238" i="9"/>
  <c r="H2239" i="9"/>
  <c r="H2240" i="9"/>
  <c r="H2241" i="9"/>
  <c r="H2242" i="9"/>
  <c r="H2243" i="9"/>
  <c r="H2244" i="9"/>
  <c r="H2245" i="9"/>
  <c r="H2246" i="9"/>
  <c r="H2247" i="9"/>
  <c r="H2248" i="9"/>
  <c r="H2249" i="9"/>
  <c r="H2250" i="9"/>
  <c r="H2251" i="9"/>
  <c r="H2252" i="9"/>
  <c r="H2253" i="9"/>
  <c r="H2254" i="9"/>
  <c r="H2255" i="9"/>
  <c r="H2256" i="9"/>
  <c r="H2257" i="9"/>
  <c r="H2258" i="9"/>
  <c r="H2259" i="9"/>
  <c r="H2260" i="9"/>
  <c r="H2261" i="9"/>
  <c r="H2262" i="9"/>
  <c r="H2263" i="9"/>
  <c r="H2264" i="9"/>
  <c r="H2265" i="9"/>
  <c r="H2266" i="9"/>
  <c r="H2267" i="9"/>
  <c r="H2268" i="9"/>
  <c r="H2269" i="9"/>
  <c r="H2270" i="9"/>
  <c r="H2271" i="9"/>
  <c r="H2272" i="9"/>
  <c r="H2273" i="9"/>
  <c r="H2274" i="9"/>
  <c r="H2275" i="9"/>
  <c r="H2276" i="9"/>
  <c r="H2277" i="9"/>
  <c r="H2278" i="9"/>
  <c r="H2279" i="9"/>
  <c r="H2280" i="9"/>
  <c r="H2281" i="9"/>
  <c r="H2282" i="9"/>
  <c r="H2283" i="9"/>
  <c r="H2284" i="9"/>
  <c r="H2285" i="9"/>
  <c r="H2286" i="9"/>
  <c r="H2287" i="9"/>
  <c r="H2288" i="9"/>
  <c r="H2289" i="9"/>
  <c r="H2290" i="9"/>
  <c r="H2291" i="9"/>
  <c r="H2292" i="9"/>
  <c r="H2293" i="9"/>
  <c r="H2294" i="9"/>
  <c r="H2295" i="9"/>
  <c r="H2296" i="9"/>
  <c r="H2297" i="9"/>
  <c r="H2298" i="9"/>
  <c r="H2299" i="9"/>
  <c r="H2300" i="9"/>
  <c r="H2301" i="9"/>
  <c r="H2302" i="9"/>
  <c r="H2303" i="9"/>
  <c r="H2304" i="9"/>
  <c r="H2305" i="9"/>
  <c r="H2306" i="9"/>
  <c r="H2307" i="9"/>
  <c r="H2308" i="9"/>
  <c r="H2309" i="9"/>
  <c r="H2310" i="9"/>
  <c r="H2311" i="9"/>
  <c r="H2312" i="9"/>
  <c r="H2313" i="9"/>
  <c r="H2314" i="9"/>
  <c r="H2315" i="9"/>
  <c r="H2316" i="9"/>
  <c r="H2317" i="9"/>
  <c r="H2318" i="9"/>
  <c r="H2319" i="9"/>
  <c r="H2320" i="9"/>
  <c r="H2321" i="9"/>
  <c r="H2322" i="9"/>
  <c r="H2323" i="9"/>
  <c r="H2324" i="9"/>
  <c r="H2325" i="9"/>
  <c r="H2326" i="9"/>
  <c r="H2327" i="9"/>
  <c r="H2328" i="9"/>
  <c r="H2329" i="9"/>
  <c r="H2330" i="9"/>
  <c r="H2331" i="9"/>
  <c r="H2332" i="9"/>
  <c r="H2333" i="9"/>
  <c r="H2339" i="9"/>
  <c r="H2340" i="9"/>
  <c r="H2341" i="9"/>
  <c r="H2342" i="9"/>
  <c r="H2343" i="9"/>
  <c r="H2344" i="9"/>
  <c r="H2345" i="9"/>
  <c r="H2346" i="9"/>
  <c r="H2347" i="9"/>
  <c r="H2348" i="9"/>
  <c r="H2349" i="9"/>
  <c r="H2350" i="9"/>
  <c r="H2351" i="9"/>
  <c r="H2352" i="9"/>
  <c r="H2353" i="9"/>
  <c r="H2354" i="9"/>
  <c r="H2355" i="9"/>
  <c r="H2356" i="9"/>
  <c r="H2357" i="9"/>
  <c r="H2358" i="9"/>
  <c r="H2361" i="9"/>
  <c r="H2362" i="9"/>
  <c r="H2376" i="9"/>
  <c r="H2377" i="9"/>
  <c r="H2378" i="9"/>
  <c r="H2379" i="9"/>
  <c r="H2380" i="9"/>
  <c r="H2381" i="9"/>
  <c r="H2382" i="9"/>
  <c r="H2383" i="9"/>
  <c r="H2384" i="9"/>
  <c r="H2385" i="9"/>
  <c r="H2386" i="9"/>
  <c r="H2387" i="9"/>
  <c r="H2388" i="9"/>
  <c r="H2389" i="9"/>
  <c r="H2390" i="9"/>
  <c r="H2391" i="9"/>
  <c r="H2392" i="9"/>
  <c r="H2393" i="9"/>
  <c r="H2394" i="9"/>
  <c r="H2395" i="9"/>
  <c r="H2396" i="9"/>
  <c r="H2397" i="9"/>
  <c r="H2398" i="9"/>
  <c r="H2399" i="9"/>
  <c r="H2400" i="9"/>
  <c r="H2401" i="9"/>
  <c r="H2402" i="9"/>
  <c r="H2403" i="9"/>
  <c r="H2404" i="9"/>
  <c r="H2405" i="9"/>
  <c r="H2406" i="9"/>
  <c r="H2407" i="9"/>
  <c r="H2408" i="9"/>
  <c r="H2409" i="9"/>
  <c r="H2410" i="9"/>
  <c r="H2411" i="9"/>
  <c r="H2412" i="9"/>
  <c r="H2413" i="9"/>
  <c r="H2414" i="9"/>
  <c r="H2415" i="9"/>
  <c r="H2416" i="9"/>
  <c r="H2417" i="9"/>
  <c r="H2418" i="9"/>
  <c r="H2419" i="9"/>
  <c r="H2420" i="9"/>
  <c r="H2421" i="9"/>
  <c r="H2422" i="9"/>
  <c r="H2423" i="9"/>
  <c r="H2424" i="9"/>
  <c r="H2425" i="9"/>
  <c r="H2426" i="9"/>
  <c r="H2427" i="9"/>
  <c r="H2428" i="9"/>
  <c r="H2429" i="9"/>
  <c r="H2430" i="9"/>
  <c r="H2431" i="9"/>
  <c r="H2432" i="9"/>
  <c r="H2433" i="9"/>
  <c r="H2434" i="9"/>
  <c r="H2435" i="9"/>
  <c r="H2436" i="9"/>
  <c r="H2437" i="9"/>
  <c r="H2438" i="9"/>
  <c r="H2439" i="9"/>
  <c r="H2440" i="9"/>
  <c r="H2441" i="9"/>
  <c r="H2442" i="9"/>
  <c r="H2443" i="9"/>
  <c r="H2444" i="9"/>
  <c r="H2445" i="9"/>
  <c r="H2446" i="9"/>
  <c r="H2447" i="9"/>
  <c r="H2448" i="9"/>
  <c r="H2449" i="9"/>
  <c r="H2450" i="9"/>
  <c r="H2451" i="9"/>
  <c r="H2452" i="9"/>
  <c r="H2453" i="9"/>
  <c r="H2454" i="9"/>
  <c r="H2455" i="9"/>
  <c r="H2456" i="9"/>
  <c r="H2457" i="9"/>
  <c r="H2458" i="9"/>
  <c r="H2459" i="9"/>
  <c r="H2460" i="9"/>
  <c r="H2461" i="9"/>
  <c r="H2462" i="9"/>
  <c r="H2463" i="9"/>
  <c r="H2464" i="9"/>
  <c r="H2465" i="9"/>
  <c r="H2466" i="9"/>
  <c r="H2467" i="9"/>
  <c r="H2468" i="9"/>
  <c r="H2469" i="9"/>
  <c r="H2470" i="9"/>
  <c r="H2471" i="9"/>
  <c r="H2472" i="9"/>
  <c r="H2473" i="9"/>
  <c r="H2474" i="9"/>
  <c r="H2475" i="9"/>
  <c r="H2476" i="9"/>
  <c r="H2477" i="9"/>
  <c r="H2478" i="9"/>
  <c r="H2479" i="9"/>
  <c r="H2480" i="9"/>
  <c r="H2481" i="9"/>
  <c r="H2482" i="9"/>
  <c r="H2483" i="9"/>
  <c r="H2484" i="9"/>
  <c r="H2485" i="9"/>
  <c r="H2486" i="9"/>
  <c r="H2487" i="9"/>
  <c r="H2488" i="9"/>
  <c r="H2489" i="9"/>
  <c r="H2490" i="9"/>
  <c r="H2491" i="9"/>
  <c r="H2492" i="9"/>
  <c r="H2493" i="9"/>
  <c r="H2494" i="9"/>
  <c r="H2495" i="9"/>
  <c r="H2496" i="9"/>
  <c r="H2501" i="9"/>
  <c r="H2502" i="9"/>
  <c r="H2503" i="9"/>
  <c r="H2504" i="9"/>
  <c r="H2505" i="9"/>
  <c r="H2506" i="9"/>
  <c r="H2507" i="9"/>
  <c r="H2508" i="9"/>
  <c r="H2509" i="9"/>
  <c r="H2510" i="9"/>
  <c r="H2511" i="9"/>
  <c r="H2512" i="9"/>
  <c r="H2513" i="9"/>
  <c r="H2514" i="9"/>
  <c r="H2515" i="9"/>
  <c r="H2516" i="9"/>
  <c r="H2520" i="9"/>
  <c r="H2521" i="9"/>
  <c r="H2532" i="9"/>
  <c r="H2533" i="9"/>
  <c r="H2534" i="9"/>
  <c r="H2535" i="9"/>
  <c r="H2536" i="9"/>
  <c r="H2537" i="9"/>
  <c r="H2538" i="9"/>
  <c r="H2539" i="9"/>
  <c r="H2540" i="9"/>
  <c r="H2541" i="9"/>
  <c r="H2542" i="9"/>
  <c r="H2543" i="9"/>
  <c r="H2544" i="9"/>
  <c r="H2545" i="9"/>
  <c r="H2546" i="9"/>
  <c r="H2547" i="9"/>
  <c r="H2548" i="9"/>
  <c r="H2549" i="9"/>
  <c r="H2550" i="9"/>
  <c r="H2551" i="9"/>
  <c r="H2552" i="9"/>
  <c r="H2553" i="9"/>
  <c r="H2554" i="9"/>
  <c r="H2555" i="9"/>
  <c r="H2556" i="9"/>
  <c r="H2557" i="9"/>
  <c r="H2558" i="9"/>
  <c r="H2559" i="9"/>
  <c r="H2560" i="9"/>
  <c r="H2561" i="9"/>
  <c r="H2562" i="9"/>
  <c r="H2563" i="9"/>
  <c r="H2564" i="9"/>
  <c r="H2565" i="9"/>
  <c r="H2566" i="9"/>
  <c r="H2567" i="9"/>
  <c r="H2568" i="9"/>
  <c r="H2569" i="9"/>
  <c r="H2570" i="9"/>
  <c r="H2571" i="9"/>
  <c r="H2572" i="9"/>
  <c r="H2573" i="9"/>
  <c r="H2574" i="9"/>
  <c r="H2575" i="9"/>
  <c r="H2576" i="9"/>
  <c r="H2577" i="9"/>
  <c r="H2578" i="9"/>
  <c r="H2579" i="9"/>
  <c r="H2580" i="9"/>
  <c r="H2581" i="9"/>
  <c r="H2582" i="9"/>
  <c r="H2583" i="9"/>
  <c r="H2584" i="9"/>
  <c r="H2585" i="9"/>
  <c r="H2586" i="9"/>
  <c r="H2587" i="9"/>
  <c r="H2588" i="9"/>
  <c r="H2589" i="9"/>
  <c r="H2590" i="9"/>
  <c r="H2591" i="9"/>
  <c r="H2592" i="9"/>
  <c r="H2593" i="9"/>
  <c r="H2594" i="9"/>
  <c r="H2595" i="9"/>
  <c r="H2596" i="9"/>
  <c r="H2597" i="9"/>
  <c r="H2598" i="9"/>
  <c r="H2599" i="9"/>
  <c r="H2600" i="9"/>
  <c r="H2601" i="9"/>
  <c r="H2602" i="9"/>
  <c r="H2603" i="9"/>
  <c r="H2604" i="9"/>
  <c r="H2605" i="9"/>
  <c r="H2606" i="9"/>
  <c r="H2607" i="9"/>
  <c r="H2608" i="9"/>
  <c r="H2609" i="9"/>
  <c r="H2610" i="9"/>
  <c r="H2611" i="9"/>
  <c r="H2612" i="9"/>
  <c r="H2613" i="9"/>
  <c r="H2614" i="9"/>
  <c r="H2615" i="9"/>
  <c r="H2616" i="9"/>
  <c r="H2617" i="9"/>
  <c r="H2618" i="9"/>
  <c r="H2619" i="9"/>
  <c r="H2620" i="9"/>
  <c r="H2621" i="9"/>
  <c r="H2622" i="9"/>
  <c r="H2623" i="9"/>
  <c r="H2624" i="9"/>
  <c r="H2625" i="9"/>
  <c r="H2626" i="9"/>
  <c r="H2627" i="9"/>
  <c r="H2628" i="9"/>
  <c r="H2629" i="9"/>
  <c r="H2630" i="9"/>
  <c r="H2631" i="9"/>
  <c r="H2632" i="9"/>
  <c r="H2633" i="9"/>
  <c r="H2634" i="9"/>
  <c r="H2635" i="9"/>
  <c r="H2636" i="9"/>
  <c r="H2637" i="9"/>
  <c r="H2638" i="9"/>
  <c r="H2639" i="9"/>
  <c r="H2640" i="9"/>
  <c r="H2641" i="9"/>
  <c r="H2642" i="9"/>
  <c r="H2643" i="9"/>
  <c r="H2644" i="9"/>
  <c r="H2645" i="9"/>
  <c r="H2646" i="9"/>
  <c r="H2647" i="9"/>
  <c r="H2648" i="9"/>
  <c r="H2649" i="9"/>
  <c r="H2650" i="9"/>
  <c r="H2651" i="9"/>
  <c r="H2652" i="9"/>
  <c r="H2653" i="9"/>
  <c r="H2654" i="9"/>
  <c r="H2655" i="9"/>
  <c r="H2656" i="9"/>
  <c r="H2657" i="9"/>
  <c r="H2658" i="9"/>
  <c r="H2659" i="9"/>
  <c r="H2660" i="9"/>
  <c r="H2661" i="9"/>
  <c r="H2662" i="9"/>
  <c r="H2663" i="9"/>
  <c r="H2664" i="9"/>
  <c r="H2665" i="9"/>
  <c r="H2666" i="9"/>
  <c r="H2667" i="9"/>
  <c r="H2668" i="9"/>
  <c r="H2669" i="9"/>
  <c r="H2675" i="9"/>
  <c r="H2676" i="9"/>
  <c r="H2677" i="9"/>
  <c r="H2678" i="9"/>
  <c r="H2679" i="9"/>
  <c r="H2680" i="9"/>
  <c r="H2681" i="9"/>
  <c r="H2682" i="9"/>
  <c r="H2683" i="9"/>
  <c r="H2684" i="9"/>
  <c r="H2685" i="9"/>
  <c r="H2686" i="9"/>
  <c r="H2687" i="9"/>
  <c r="H2688" i="9"/>
  <c r="H2689" i="9"/>
  <c r="H2690" i="9"/>
  <c r="H2691" i="9"/>
  <c r="H2692" i="9"/>
  <c r="H2693" i="9"/>
  <c r="H2696" i="9"/>
  <c r="H2697" i="9"/>
  <c r="H2711" i="9"/>
  <c r="H2712" i="9"/>
  <c r="H2713" i="9"/>
  <c r="H2714" i="9"/>
  <c r="H2715" i="9"/>
  <c r="H2716" i="9"/>
  <c r="H2717" i="9"/>
  <c r="H2718" i="9"/>
  <c r="H2719" i="9"/>
  <c r="H2720" i="9"/>
  <c r="H2721" i="9"/>
  <c r="H2722" i="9"/>
  <c r="H2723" i="9"/>
  <c r="H2724" i="9"/>
  <c r="H2725" i="9"/>
  <c r="H2726" i="9"/>
  <c r="H2727" i="9"/>
  <c r="H2728" i="9"/>
  <c r="H2729" i="9"/>
  <c r="H2730" i="9"/>
  <c r="H2731" i="9"/>
  <c r="H2732" i="9"/>
  <c r="H2733" i="9"/>
  <c r="H2734" i="9"/>
  <c r="H2735" i="9"/>
  <c r="H2736" i="9"/>
  <c r="H2737" i="9"/>
  <c r="H2738" i="9"/>
  <c r="H2739" i="9"/>
  <c r="H2740" i="9"/>
  <c r="H2741" i="9"/>
  <c r="H2742" i="9"/>
  <c r="H2743" i="9"/>
  <c r="H2744" i="9"/>
  <c r="H2745" i="9"/>
  <c r="H2746" i="9"/>
  <c r="H2747" i="9"/>
  <c r="H2748" i="9"/>
  <c r="H2749" i="9"/>
  <c r="H2750" i="9"/>
  <c r="H2751" i="9"/>
  <c r="H2752" i="9"/>
  <c r="H2753" i="9"/>
  <c r="H2754" i="9"/>
  <c r="H2755" i="9"/>
  <c r="H2756" i="9"/>
  <c r="H2757" i="9"/>
  <c r="H2758" i="9"/>
  <c r="H2759" i="9"/>
  <c r="H2760" i="9"/>
  <c r="H2761" i="9"/>
  <c r="H2762" i="9"/>
  <c r="H2763" i="9"/>
  <c r="H2764" i="9"/>
  <c r="H2765" i="9"/>
  <c r="H2766" i="9"/>
  <c r="H2767" i="9"/>
  <c r="H2768" i="9"/>
  <c r="H2769" i="9"/>
  <c r="H2770" i="9"/>
  <c r="H2771" i="9"/>
  <c r="H2772" i="9"/>
  <c r="H2773" i="9"/>
  <c r="H2774" i="9"/>
  <c r="H2775" i="9"/>
  <c r="H2776" i="9"/>
  <c r="H2777" i="9"/>
  <c r="H2778" i="9"/>
  <c r="H2779" i="9"/>
  <c r="H2780" i="9"/>
  <c r="H2781" i="9"/>
  <c r="H2782" i="9"/>
  <c r="H2783" i="9"/>
  <c r="H2784" i="9"/>
  <c r="H2785" i="9"/>
  <c r="H2786" i="9"/>
  <c r="H2787" i="9"/>
  <c r="H2788" i="9"/>
  <c r="H2789" i="9"/>
  <c r="H2790" i="9"/>
  <c r="H2791" i="9"/>
  <c r="H2792" i="9"/>
  <c r="H2793" i="9"/>
  <c r="H2794" i="9"/>
  <c r="H2796" i="9"/>
  <c r="H2797" i="9"/>
  <c r="H2798" i="9"/>
  <c r="H2799" i="9"/>
  <c r="H2800" i="9"/>
  <c r="H2801" i="9"/>
  <c r="H2802" i="9"/>
  <c r="H2803" i="9"/>
  <c r="H2804" i="9"/>
  <c r="H2805" i="9"/>
  <c r="H2806" i="9"/>
  <c r="H2807" i="9"/>
  <c r="H2808" i="9"/>
  <c r="H2809" i="9"/>
  <c r="H2810" i="9"/>
  <c r="H2811" i="9"/>
  <c r="H2812" i="9"/>
  <c r="H2813" i="9"/>
  <c r="H2814" i="9"/>
  <c r="H2815" i="9"/>
  <c r="H2816" i="9"/>
  <c r="H2817" i="9"/>
  <c r="H2818" i="9"/>
  <c r="H2819" i="9"/>
  <c r="H2820" i="9"/>
  <c r="H2821" i="9"/>
  <c r="H2822" i="9"/>
  <c r="H2823" i="9"/>
  <c r="H2824" i="9"/>
  <c r="H2825" i="9"/>
  <c r="H2826" i="9"/>
  <c r="H2827" i="9"/>
  <c r="H2828" i="9"/>
  <c r="H2829" i="9"/>
  <c r="H2830" i="9"/>
  <c r="H2831" i="9"/>
  <c r="H2832" i="9"/>
  <c r="H2833" i="9"/>
  <c r="H2834" i="9"/>
  <c r="H2835" i="9"/>
  <c r="H2836" i="9"/>
  <c r="H2837" i="9"/>
  <c r="H2838" i="9"/>
  <c r="H2839" i="9"/>
  <c r="H2840" i="9"/>
  <c r="H2841" i="9"/>
  <c r="H2842" i="9"/>
  <c r="H2843" i="9"/>
  <c r="H2844" i="9"/>
  <c r="H2845" i="9"/>
  <c r="H2846" i="9"/>
  <c r="H2847" i="9"/>
  <c r="H2848" i="9"/>
  <c r="H2854" i="9"/>
  <c r="H2855" i="9"/>
  <c r="H2856" i="9"/>
  <c r="H2857" i="9"/>
  <c r="H2858" i="9"/>
  <c r="H2859" i="9"/>
  <c r="H2860" i="9"/>
  <c r="H2861" i="9"/>
  <c r="H2862" i="9"/>
  <c r="H2863" i="9"/>
  <c r="H2864" i="9"/>
  <c r="H2865" i="9"/>
  <c r="H2866" i="9"/>
  <c r="H2867" i="9"/>
  <c r="H2868" i="9"/>
  <c r="H2869" i="9"/>
  <c r="H2870" i="9"/>
  <c r="H2871" i="9"/>
  <c r="H2872" i="9"/>
  <c r="H2878" i="9"/>
  <c r="H2893" i="9"/>
  <c r="H2894" i="9"/>
  <c r="H2895" i="9"/>
  <c r="H2896" i="9"/>
  <c r="H2897" i="9"/>
  <c r="H2898" i="9"/>
  <c r="H2899" i="9"/>
  <c r="H2900" i="9"/>
  <c r="H2901" i="9"/>
  <c r="H2902" i="9"/>
  <c r="H2903" i="9"/>
  <c r="H2904" i="9"/>
  <c r="H2905" i="9"/>
  <c r="H2906" i="9"/>
  <c r="H2907" i="9"/>
  <c r="H2908" i="9"/>
  <c r="H2909" i="9"/>
  <c r="H2910" i="9"/>
  <c r="H2911" i="9"/>
  <c r="H2912" i="9"/>
  <c r="H2913" i="9"/>
  <c r="H2914" i="9"/>
  <c r="H2915" i="9"/>
  <c r="H2916" i="9"/>
  <c r="H2917" i="9"/>
  <c r="H2918" i="9"/>
  <c r="H2919" i="9"/>
  <c r="H2920" i="9"/>
  <c r="H2921" i="9"/>
  <c r="H2922" i="9"/>
  <c r="H2923" i="9"/>
  <c r="H2924" i="9"/>
  <c r="H2925" i="9"/>
  <c r="H2926" i="9"/>
  <c r="H2927" i="9"/>
  <c r="H2928" i="9"/>
  <c r="H2929" i="9"/>
  <c r="H2930" i="9"/>
  <c r="H2931" i="9"/>
  <c r="H2932" i="9"/>
  <c r="H2933" i="9"/>
  <c r="H2934" i="9"/>
  <c r="H2935" i="9"/>
  <c r="H2936" i="9"/>
  <c r="H2937" i="9"/>
  <c r="H2938" i="9"/>
  <c r="H2939" i="9"/>
  <c r="H2940" i="9"/>
  <c r="H2941" i="9"/>
  <c r="H2942" i="9"/>
  <c r="H2943" i="9"/>
  <c r="H2944" i="9"/>
  <c r="H2945" i="9"/>
  <c r="H2946" i="9"/>
  <c r="H2947" i="9"/>
  <c r="H2948" i="9"/>
  <c r="H2949" i="9"/>
  <c r="H2950" i="9"/>
  <c r="H2951" i="9"/>
  <c r="H2952" i="9"/>
  <c r="H2953" i="9"/>
  <c r="H2954" i="9"/>
  <c r="H2955" i="9"/>
  <c r="H2956" i="9"/>
  <c r="H2957" i="9"/>
  <c r="H2958" i="9"/>
  <c r="H2959" i="9"/>
  <c r="H2960" i="9"/>
  <c r="H2961" i="9"/>
  <c r="H2962" i="9"/>
  <c r="H2963" i="9"/>
  <c r="H2964" i="9"/>
  <c r="H2965" i="9"/>
  <c r="H2966" i="9"/>
  <c r="H2967" i="9"/>
  <c r="H2968" i="9"/>
  <c r="H2969" i="9"/>
  <c r="H2970" i="9"/>
  <c r="H2971" i="9"/>
  <c r="H2972" i="9"/>
  <c r="H2973" i="9"/>
  <c r="H2974" i="9"/>
  <c r="H2975" i="9"/>
  <c r="H2976" i="9"/>
  <c r="H2977" i="9"/>
  <c r="H2979" i="9"/>
  <c r="H2980" i="9"/>
  <c r="H2981" i="9"/>
  <c r="H2982" i="9"/>
  <c r="H2983" i="9"/>
  <c r="H2984" i="9"/>
  <c r="H2985" i="9"/>
  <c r="H2986" i="9"/>
  <c r="H2987" i="9"/>
  <c r="H2988" i="9"/>
  <c r="H2989" i="9"/>
  <c r="H2990" i="9"/>
  <c r="H2991" i="9"/>
  <c r="H2992" i="9"/>
  <c r="H2993" i="9"/>
  <c r="H2994" i="9"/>
  <c r="H2995" i="9"/>
  <c r="H2996" i="9"/>
  <c r="H2997" i="9"/>
  <c r="H2998" i="9"/>
  <c r="H2999" i="9"/>
  <c r="H3000" i="9"/>
  <c r="H3001" i="9"/>
  <c r="H3002" i="9"/>
  <c r="H3003" i="9"/>
  <c r="H3004" i="9"/>
  <c r="H3005" i="9"/>
  <c r="H3006" i="9"/>
  <c r="H3007" i="9"/>
  <c r="H3008" i="9"/>
  <c r="H3009" i="9"/>
  <c r="H3010" i="9"/>
  <c r="H3011" i="9"/>
  <c r="H3012" i="9"/>
  <c r="H3013" i="9"/>
  <c r="H3014" i="9"/>
  <c r="H3015" i="9"/>
  <c r="H3016" i="9"/>
  <c r="H3017" i="9"/>
  <c r="H3018" i="9"/>
  <c r="H3019" i="9"/>
  <c r="H3020" i="9"/>
  <c r="H3021" i="9"/>
  <c r="H3022" i="9"/>
  <c r="H3023" i="9"/>
  <c r="H3024" i="9"/>
  <c r="H3025" i="9"/>
  <c r="H3026" i="9"/>
  <c r="H3027" i="9"/>
  <c r="H3028" i="9"/>
  <c r="H3029" i="9"/>
  <c r="H3030" i="9"/>
  <c r="H3031" i="9"/>
  <c r="H3037" i="9"/>
  <c r="H3038" i="9"/>
  <c r="H3039" i="9"/>
  <c r="H3040" i="9"/>
  <c r="H3041" i="9"/>
  <c r="H3042" i="9"/>
  <c r="H3043" i="9"/>
  <c r="H3044" i="9"/>
  <c r="H3045" i="9"/>
  <c r="H3046" i="9"/>
  <c r="H3047" i="9"/>
  <c r="H3048" i="9"/>
  <c r="H3049" i="9"/>
  <c r="H3050" i="9"/>
  <c r="H3051" i="9"/>
  <c r="H3052" i="9"/>
  <c r="H3053" i="9"/>
  <c r="H3054" i="9"/>
  <c r="H3055" i="9"/>
  <c r="H3061" i="9"/>
  <c r="H3077" i="9"/>
  <c r="H3078" i="9"/>
  <c r="H3079" i="9"/>
  <c r="H3080" i="9"/>
  <c r="H3081" i="9"/>
  <c r="H3082" i="9"/>
  <c r="H3083" i="9"/>
  <c r="H3084" i="9"/>
  <c r="H3085" i="9"/>
  <c r="H3086" i="9"/>
  <c r="H3087" i="9"/>
  <c r="H3088" i="9"/>
  <c r="H3089" i="9"/>
  <c r="H3090" i="9"/>
  <c r="H3091" i="9"/>
  <c r="H3092" i="9"/>
  <c r="H3093" i="9"/>
  <c r="H3094" i="9"/>
  <c r="H3095" i="9"/>
  <c r="H3096" i="9"/>
  <c r="H3097" i="9"/>
  <c r="H3098" i="9"/>
  <c r="H3099" i="9"/>
  <c r="H3100" i="9"/>
  <c r="H3101" i="9"/>
  <c r="H3102" i="9"/>
  <c r="H3103" i="9"/>
  <c r="H3104" i="9"/>
  <c r="H3105" i="9"/>
  <c r="H3106" i="9"/>
  <c r="H3107" i="9"/>
  <c r="H3108" i="9"/>
  <c r="H3109" i="9"/>
  <c r="H3110" i="9"/>
  <c r="H3111" i="9"/>
  <c r="H3112" i="9"/>
  <c r="H3113" i="9"/>
  <c r="H3114" i="9"/>
  <c r="H3115" i="9"/>
  <c r="H3116" i="9"/>
  <c r="H3117" i="9"/>
  <c r="H3118" i="9"/>
  <c r="H3119" i="9"/>
  <c r="H3120" i="9"/>
  <c r="H3121" i="9"/>
  <c r="H3122" i="9"/>
  <c r="H3123" i="9"/>
  <c r="H3124" i="9"/>
  <c r="H3125" i="9"/>
  <c r="H3126" i="9"/>
  <c r="H3127" i="9"/>
  <c r="H3128" i="9"/>
  <c r="H3129" i="9"/>
  <c r="H3130" i="9"/>
  <c r="H3131" i="9"/>
  <c r="H3132" i="9"/>
  <c r="H3133" i="9"/>
  <c r="H3134" i="9"/>
  <c r="H3135" i="9"/>
  <c r="H3136" i="9"/>
  <c r="H3137" i="9"/>
  <c r="H3138" i="9"/>
  <c r="H3139" i="9"/>
  <c r="H3140" i="9"/>
  <c r="H3141" i="9"/>
  <c r="H3142" i="9"/>
  <c r="H3143" i="9"/>
  <c r="H3144" i="9"/>
  <c r="H3145" i="9"/>
  <c r="H3146" i="9"/>
  <c r="H3147" i="9"/>
  <c r="H3148" i="9"/>
  <c r="H3149" i="9"/>
  <c r="H3150" i="9"/>
  <c r="H3151" i="9"/>
  <c r="H3152" i="9"/>
  <c r="H3153" i="9"/>
  <c r="H3154" i="9"/>
  <c r="H3155" i="9"/>
  <c r="H3156" i="9"/>
  <c r="H3157" i="9"/>
  <c r="H3158" i="9"/>
  <c r="H3159" i="9"/>
  <c r="H3160" i="9"/>
  <c r="H3162" i="9"/>
  <c r="H3163" i="9"/>
  <c r="H3164" i="9"/>
  <c r="H3165" i="9"/>
  <c r="H3166" i="9"/>
  <c r="H3167" i="9"/>
  <c r="H3168" i="9"/>
  <c r="H3169" i="9"/>
  <c r="H3170" i="9"/>
  <c r="H3171" i="9"/>
  <c r="H3172" i="9"/>
  <c r="H3173" i="9"/>
  <c r="H3174" i="9"/>
  <c r="H3175" i="9"/>
  <c r="H3176" i="9"/>
  <c r="H3177" i="9"/>
  <c r="H3178" i="9"/>
  <c r="H3179" i="9"/>
  <c r="H3180" i="9"/>
  <c r="H3181" i="9"/>
  <c r="H3182" i="9"/>
  <c r="H3183" i="9"/>
  <c r="H3184" i="9"/>
  <c r="H3185" i="9"/>
  <c r="H3186" i="9"/>
  <c r="H3187" i="9"/>
  <c r="H3188" i="9"/>
  <c r="H3189" i="9"/>
  <c r="H3190" i="9"/>
  <c r="H3191" i="9"/>
  <c r="H3192" i="9"/>
  <c r="H3193" i="9"/>
  <c r="H3194" i="9"/>
  <c r="H3195" i="9"/>
  <c r="H3196" i="9"/>
  <c r="H3197" i="9"/>
  <c r="H3198" i="9"/>
  <c r="H3199" i="9"/>
  <c r="H3200" i="9"/>
  <c r="H3201" i="9"/>
  <c r="H3202" i="9"/>
  <c r="H3203" i="9"/>
  <c r="H3204" i="9"/>
  <c r="H3205" i="9"/>
  <c r="H3206" i="9"/>
  <c r="H3207" i="9"/>
  <c r="H3208" i="9"/>
  <c r="H3209" i="9"/>
  <c r="H3210" i="9"/>
  <c r="H3211" i="9"/>
  <c r="H3212" i="9"/>
  <c r="H3213" i="9"/>
  <c r="H3214" i="9"/>
  <c r="H3220" i="9"/>
  <c r="H3221" i="9"/>
  <c r="H3222" i="9"/>
  <c r="H3223" i="9"/>
  <c r="H3224" i="9"/>
  <c r="H3225" i="9"/>
  <c r="H3226" i="9"/>
  <c r="H3227" i="9"/>
  <c r="H3228" i="9"/>
  <c r="H3229" i="9"/>
  <c r="H3230" i="9"/>
  <c r="H3231" i="9"/>
  <c r="H3232" i="9"/>
  <c r="H3233" i="9"/>
  <c r="H3234" i="9"/>
  <c r="H3235" i="9"/>
  <c r="H3236" i="9"/>
  <c r="H3237" i="9"/>
  <c r="H3238" i="9"/>
  <c r="H3241" i="9"/>
  <c r="H3245" i="9"/>
  <c r="H3260" i="9"/>
  <c r="H3261" i="9"/>
  <c r="H3262" i="9"/>
  <c r="H3263" i="9"/>
  <c r="H3264" i="9"/>
  <c r="H3265" i="9"/>
  <c r="H3266" i="9"/>
  <c r="H3267" i="9"/>
  <c r="H3268" i="9"/>
  <c r="H3269" i="9"/>
  <c r="H3270" i="9"/>
  <c r="H3271" i="9"/>
  <c r="H3272" i="9"/>
  <c r="H3273" i="9"/>
  <c r="H3274" i="9"/>
  <c r="H3275" i="9"/>
  <c r="H3276" i="9"/>
  <c r="H3277" i="9"/>
  <c r="H3278" i="9"/>
  <c r="H3279" i="9"/>
  <c r="H3280" i="9"/>
  <c r="H3281" i="9"/>
  <c r="H3282" i="9"/>
  <c r="H3283" i="9"/>
  <c r="H3284" i="9"/>
  <c r="H3285" i="9"/>
  <c r="H3286" i="9"/>
  <c r="H3287" i="9"/>
  <c r="H3288" i="9"/>
  <c r="H3289" i="9"/>
  <c r="H3290" i="9"/>
  <c r="H3291" i="9"/>
  <c r="H3292" i="9"/>
  <c r="H3293" i="9"/>
  <c r="H3294" i="9"/>
  <c r="H3295" i="9"/>
  <c r="H3296" i="9"/>
  <c r="H3297" i="9"/>
  <c r="H3298" i="9"/>
  <c r="H3299" i="9"/>
  <c r="H3300" i="9"/>
  <c r="H3301" i="9"/>
  <c r="H3302" i="9"/>
  <c r="H3303" i="9"/>
  <c r="H3304" i="9"/>
  <c r="H3305" i="9"/>
  <c r="H3306" i="9"/>
  <c r="H3307" i="9"/>
  <c r="H3308" i="9"/>
  <c r="H3309" i="9"/>
  <c r="H3310" i="9"/>
  <c r="H3311" i="9"/>
  <c r="H3312" i="9"/>
  <c r="H3313" i="9"/>
  <c r="H3314" i="9"/>
  <c r="H3315" i="9"/>
  <c r="H3316" i="9"/>
  <c r="H3317" i="9"/>
  <c r="H3318" i="9"/>
  <c r="H3319" i="9"/>
  <c r="H3320" i="9"/>
  <c r="H3321" i="9"/>
  <c r="H3322" i="9"/>
  <c r="H3323" i="9"/>
  <c r="H3324" i="9"/>
  <c r="H3325" i="9"/>
  <c r="H3326" i="9"/>
  <c r="H3327" i="9"/>
  <c r="H3328" i="9"/>
  <c r="H3329" i="9"/>
  <c r="H3330" i="9"/>
  <c r="H3331" i="9"/>
  <c r="H3332" i="9"/>
  <c r="H3333" i="9"/>
  <c r="H3334" i="9"/>
  <c r="H3335" i="9"/>
  <c r="H3336" i="9"/>
  <c r="H3337" i="9"/>
  <c r="H3338" i="9"/>
  <c r="H3339" i="9"/>
  <c r="H3340" i="9"/>
  <c r="H3341" i="9"/>
  <c r="H3342" i="9"/>
  <c r="H3343" i="9"/>
  <c r="H3345" i="9"/>
  <c r="H3346" i="9"/>
  <c r="H3347" i="9"/>
  <c r="H3348" i="9"/>
  <c r="H3349" i="9"/>
  <c r="H3350" i="9"/>
  <c r="H3351" i="9"/>
  <c r="H3352" i="9"/>
  <c r="H3353" i="9"/>
  <c r="H3354" i="9"/>
  <c r="H3355" i="9"/>
  <c r="H3356" i="9"/>
  <c r="H3357" i="9"/>
  <c r="H3358" i="9"/>
  <c r="H3359" i="9"/>
  <c r="H3360" i="9"/>
  <c r="H3361" i="9"/>
  <c r="H3362" i="9"/>
  <c r="H3363" i="9"/>
  <c r="H3364" i="9"/>
  <c r="H3365" i="9"/>
  <c r="H3366" i="9"/>
  <c r="H3367" i="9"/>
  <c r="H3368" i="9"/>
  <c r="H3369" i="9"/>
  <c r="H3370" i="9"/>
  <c r="H3371" i="9"/>
  <c r="H3372" i="9"/>
  <c r="H3373" i="9"/>
  <c r="H3374" i="9"/>
  <c r="H3375" i="9"/>
  <c r="H3376" i="9"/>
  <c r="H3377" i="9"/>
  <c r="H3378" i="9"/>
  <c r="H3379" i="9"/>
  <c r="H3380" i="9"/>
  <c r="H3381" i="9"/>
  <c r="H3382" i="9"/>
  <c r="H3383" i="9"/>
  <c r="H3384" i="9"/>
  <c r="H3385" i="9"/>
  <c r="H3386" i="9"/>
  <c r="H3387" i="9"/>
  <c r="H3388" i="9"/>
  <c r="H3389" i="9"/>
  <c r="H3390" i="9"/>
  <c r="H3391" i="9"/>
  <c r="H3392" i="9"/>
  <c r="H3393" i="9"/>
  <c r="H3394" i="9"/>
  <c r="H3395" i="9"/>
  <c r="H3396" i="9"/>
  <c r="H3397" i="9"/>
  <c r="H3403" i="9"/>
  <c r="H3404" i="9"/>
  <c r="H3405" i="9"/>
  <c r="H3406" i="9"/>
  <c r="H3407" i="9"/>
  <c r="H3408" i="9"/>
  <c r="H3409" i="9"/>
  <c r="H3410" i="9"/>
  <c r="H3411" i="9"/>
  <c r="H3412" i="9"/>
  <c r="H3413" i="9"/>
  <c r="H3414" i="9"/>
  <c r="H3415" i="9"/>
  <c r="H3416" i="9"/>
  <c r="H3417" i="9"/>
  <c r="H3418" i="9"/>
  <c r="H3419" i="9"/>
  <c r="H3420" i="9"/>
  <c r="H3421" i="9"/>
  <c r="H3427" i="9"/>
  <c r="H3442" i="9"/>
  <c r="H3443" i="9"/>
  <c r="H3444" i="9"/>
  <c r="H3445" i="9"/>
  <c r="H3446" i="9"/>
  <c r="H3447" i="9"/>
  <c r="H3448" i="9"/>
  <c r="H3449" i="9"/>
  <c r="H3450" i="9"/>
  <c r="H3451" i="9"/>
  <c r="H3452" i="9"/>
  <c r="H3453" i="9"/>
  <c r="H3454" i="9"/>
  <c r="H3455" i="9"/>
  <c r="H3456" i="9"/>
  <c r="H3457" i="9"/>
  <c r="H3458" i="9"/>
  <c r="H3459" i="9"/>
  <c r="H3460" i="9"/>
  <c r="H3461" i="9"/>
  <c r="H3462" i="9"/>
  <c r="H3463" i="9"/>
  <c r="H3464" i="9"/>
  <c r="H3465" i="9"/>
  <c r="H3466" i="9"/>
  <c r="H3467" i="9"/>
  <c r="H3468" i="9"/>
  <c r="H3469" i="9"/>
  <c r="H3470" i="9"/>
  <c r="H3471" i="9"/>
  <c r="H3472" i="9"/>
  <c r="H3473" i="9"/>
  <c r="H3474" i="9"/>
  <c r="H3475" i="9"/>
  <c r="H3476" i="9"/>
  <c r="H3477" i="9"/>
  <c r="H3478" i="9"/>
  <c r="H3479" i="9"/>
  <c r="H3480" i="9"/>
  <c r="H3481" i="9"/>
  <c r="H3482" i="9"/>
  <c r="H3483" i="9"/>
  <c r="H3484" i="9"/>
  <c r="H3485" i="9"/>
  <c r="H3486" i="9"/>
  <c r="H3487" i="9"/>
  <c r="H3489" i="9"/>
  <c r="H3490" i="9"/>
  <c r="H3491" i="9"/>
  <c r="H3492" i="9"/>
  <c r="H3493" i="9"/>
  <c r="H3494" i="9"/>
  <c r="H3495" i="9"/>
  <c r="H3496" i="9"/>
  <c r="H3497" i="9"/>
  <c r="H3498" i="9"/>
  <c r="H3499" i="9"/>
  <c r="H3500" i="9"/>
  <c r="H3501" i="9"/>
  <c r="H3502" i="9"/>
  <c r="H3503" i="9"/>
  <c r="H3504" i="9"/>
  <c r="H3505" i="9"/>
  <c r="H3506" i="9"/>
  <c r="H3507" i="9"/>
  <c r="H3508" i="9"/>
  <c r="H3509" i="9"/>
  <c r="H3510" i="9"/>
  <c r="H3511" i="9"/>
  <c r="H3512" i="9"/>
  <c r="H3513" i="9"/>
  <c r="H3514" i="9"/>
  <c r="H3515" i="9"/>
  <c r="H3516" i="9"/>
  <c r="H3517" i="9"/>
  <c r="H3518" i="9"/>
  <c r="H3519" i="9"/>
  <c r="H3520" i="9"/>
  <c r="H3521" i="9"/>
  <c r="H3522" i="9"/>
  <c r="H3523" i="9"/>
  <c r="H3524" i="9"/>
  <c r="H3525" i="9"/>
  <c r="H3526" i="9"/>
  <c r="H3527" i="9"/>
  <c r="H3528" i="9"/>
  <c r="H3529" i="9"/>
  <c r="H3532" i="9"/>
  <c r="H3533" i="9"/>
  <c r="H3534" i="9"/>
  <c r="H3535" i="9"/>
  <c r="H3536" i="9"/>
  <c r="H3537" i="9"/>
  <c r="H3538" i="9"/>
  <c r="H3539" i="9"/>
  <c r="H3540" i="9"/>
  <c r="H3541" i="9"/>
  <c r="H3542" i="9"/>
  <c r="H3543" i="9"/>
  <c r="H3544" i="9"/>
  <c r="H3545" i="9"/>
  <c r="H3546" i="9"/>
  <c r="H3548" i="9"/>
  <c r="H3549" i="9"/>
  <c r="H3550" i="9"/>
  <c r="H3551" i="9"/>
  <c r="H3552" i="9"/>
  <c r="H3553" i="9"/>
  <c r="H3554" i="9"/>
  <c r="H3555" i="9"/>
  <c r="H3556" i="9"/>
  <c r="H3557" i="9"/>
  <c r="H3558" i="9"/>
  <c r="H3559" i="9"/>
  <c r="H3560" i="9"/>
  <c r="H3563" i="9"/>
  <c r="H3564" i="9"/>
  <c r="H3565" i="9"/>
  <c r="H3566" i="9"/>
  <c r="H3567" i="9"/>
  <c r="H3568" i="9"/>
  <c r="H3569" i="9"/>
  <c r="H3570" i="9"/>
  <c r="H3571" i="9"/>
  <c r="H3572" i="9"/>
  <c r="H3573" i="9"/>
  <c r="H3574" i="9"/>
  <c r="H3575" i="9"/>
  <c r="H3576" i="9"/>
  <c r="H3577" i="9"/>
  <c r="H3578" i="9"/>
  <c r="H3579" i="9"/>
  <c r="H3580" i="9"/>
  <c r="H3581" i="9"/>
  <c r="H3583" i="9"/>
  <c r="H3584" i="9"/>
  <c r="H3585" i="9"/>
  <c r="H3586" i="9"/>
  <c r="H3587" i="9"/>
  <c r="H3588" i="9"/>
  <c r="H3589" i="9"/>
  <c r="H3590" i="9"/>
  <c r="H3591" i="9"/>
  <c r="H3592" i="9"/>
  <c r="H3593" i="9"/>
  <c r="H3594" i="9"/>
  <c r="H3595" i="9"/>
  <c r="H3596" i="9"/>
  <c r="H3597" i="9"/>
  <c r="H3598" i="9"/>
  <c r="H3599" i="9"/>
  <c r="H3620" i="9"/>
  <c r="H3621" i="9"/>
  <c r="H3622" i="9"/>
  <c r="H3623" i="9"/>
  <c r="A5" i="11"/>
  <c r="A2" i="11"/>
  <c r="A1" i="11"/>
  <c r="I63" i="10"/>
  <c r="H63" i="10"/>
  <c r="I62" i="10"/>
  <c r="H62" i="10"/>
  <c r="I61" i="10"/>
  <c r="H61" i="10"/>
  <c r="I60" i="10"/>
  <c r="H60" i="10"/>
  <c r="I59" i="10"/>
  <c r="H59" i="10"/>
  <c r="I58" i="10"/>
  <c r="H58" i="10"/>
  <c r="I57" i="10"/>
  <c r="H57" i="10"/>
  <c r="I56" i="10"/>
  <c r="H56" i="10"/>
  <c r="I55" i="10"/>
  <c r="H55" i="10"/>
  <c r="I54" i="10"/>
  <c r="H54" i="10"/>
  <c r="I53" i="10"/>
  <c r="H53" i="10"/>
  <c r="I52" i="10"/>
  <c r="H52" i="10"/>
  <c r="I51" i="10"/>
  <c r="H51" i="10"/>
  <c r="I50" i="10"/>
  <c r="H50" i="10"/>
  <c r="I49" i="10"/>
  <c r="H49" i="10"/>
  <c r="I48" i="10"/>
  <c r="H48" i="10"/>
  <c r="I47" i="10"/>
  <c r="H47" i="10"/>
  <c r="I46" i="10"/>
  <c r="H46" i="10"/>
  <c r="I45" i="10"/>
  <c r="H45" i="10"/>
  <c r="I44" i="10"/>
  <c r="H44" i="10"/>
  <c r="I43" i="10"/>
  <c r="H43" i="10"/>
  <c r="I42" i="10"/>
  <c r="H42" i="10"/>
  <c r="I41" i="10"/>
  <c r="H41" i="10"/>
  <c r="I40" i="10"/>
  <c r="H40" i="10"/>
  <c r="I39" i="10"/>
  <c r="H39" i="10"/>
  <c r="I38" i="10"/>
  <c r="H38" i="10"/>
  <c r="I37" i="10"/>
  <c r="H37" i="10"/>
  <c r="I36" i="10"/>
  <c r="H36" i="10"/>
  <c r="I35" i="10"/>
  <c r="H35" i="10"/>
  <c r="I34" i="10"/>
  <c r="H34" i="10"/>
  <c r="I33" i="10"/>
  <c r="I32" i="10"/>
  <c r="I31" i="10"/>
  <c r="I30" i="10"/>
  <c r="I29" i="10"/>
  <c r="I28" i="10"/>
  <c r="I27" i="10"/>
  <c r="I26" i="10"/>
  <c r="I25" i="10"/>
  <c r="H25" i="10"/>
  <c r="I24" i="10"/>
  <c r="H24" i="10"/>
  <c r="I23" i="10"/>
  <c r="H23" i="10"/>
  <c r="I22" i="10"/>
  <c r="H22" i="10"/>
  <c r="I21" i="10"/>
  <c r="H21" i="10"/>
  <c r="I20" i="10"/>
  <c r="H20" i="10"/>
  <c r="I19" i="10"/>
  <c r="H19" i="10"/>
  <c r="I18" i="10"/>
  <c r="H18" i="10"/>
  <c r="I17" i="10"/>
  <c r="H17" i="10"/>
  <c r="I16" i="10"/>
  <c r="H16" i="10"/>
  <c r="I15" i="10"/>
  <c r="H15" i="10"/>
  <c r="I14" i="10"/>
  <c r="H14" i="10"/>
  <c r="I13" i="10"/>
  <c r="H13" i="10"/>
  <c r="I12" i="10"/>
  <c r="H12" i="10"/>
  <c r="I11" i="10"/>
  <c r="H11" i="10"/>
  <c r="I10" i="10"/>
  <c r="H10" i="10"/>
  <c r="I9" i="10"/>
  <c r="H9" i="10"/>
  <c r="I8" i="10"/>
  <c r="H8" i="10"/>
  <c r="I7" i="10"/>
  <c r="H7" i="10"/>
  <c r="I6" i="10"/>
  <c r="H6" i="10"/>
  <c r="I5" i="10"/>
  <c r="H5" i="10"/>
  <c r="I4" i="10"/>
  <c r="H4" i="10"/>
  <c r="H64" i="10" s="1"/>
  <c r="BK151" i="5" s="1"/>
  <c r="A1" i="10"/>
  <c r="H160" i="9"/>
  <c r="H159" i="9"/>
  <c r="H158" i="9"/>
  <c r="H157" i="9"/>
  <c r="H156"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4" i="9"/>
  <c r="A1" i="9"/>
  <c r="G84" i="8"/>
  <c r="G83" i="8"/>
  <c r="G82" i="8"/>
  <c r="G81" i="8"/>
  <c r="G80" i="8"/>
  <c r="G79" i="8"/>
  <c r="G78" i="8"/>
  <c r="G77" i="8"/>
  <c r="G71" i="8"/>
  <c r="G70" i="8"/>
  <c r="G69" i="8"/>
  <c r="G68" i="8"/>
  <c r="G67" i="8"/>
  <c r="G66" i="8"/>
  <c r="G65" i="8"/>
  <c r="G64" i="8"/>
  <c r="G63" i="8"/>
  <c r="G62" i="8"/>
  <c r="G61" i="8"/>
  <c r="G60" i="8"/>
  <c r="G59" i="8"/>
  <c r="G58" i="8"/>
  <c r="G57" i="8"/>
  <c r="G56" i="8"/>
  <c r="G55" i="8"/>
  <c r="G54" i="8"/>
  <c r="G53" i="8"/>
  <c r="G52" i="8"/>
  <c r="G51" i="8"/>
  <c r="G50" i="8"/>
  <c r="G49" i="8"/>
  <c r="G48" i="8"/>
  <c r="G47" i="8"/>
  <c r="G45" i="8"/>
  <c r="G43" i="8"/>
  <c r="G41" i="8"/>
  <c r="G40" i="8"/>
  <c r="G39" i="8"/>
  <c r="G38" i="8"/>
  <c r="G37" i="8"/>
  <c r="G36" i="8"/>
  <c r="G35" i="8"/>
  <c r="G34" i="8"/>
  <c r="G33" i="8"/>
  <c r="G32" i="8"/>
  <c r="G31" i="8"/>
  <c r="G30" i="8"/>
  <c r="G29" i="8"/>
  <c r="G28" i="8"/>
  <c r="G26" i="8"/>
  <c r="G25" i="8"/>
  <c r="G24" i="8"/>
  <c r="G23" i="8"/>
  <c r="G22" i="8"/>
  <c r="G21" i="8"/>
  <c r="G20" i="8"/>
  <c r="G19" i="8"/>
  <c r="G18" i="8"/>
  <c r="G17" i="8"/>
  <c r="G16" i="8"/>
  <c r="G15" i="8"/>
  <c r="G14" i="8"/>
  <c r="G13" i="8"/>
  <c r="G12" i="8"/>
  <c r="G11" i="8"/>
  <c r="G10" i="8"/>
  <c r="G9" i="8"/>
  <c r="G8" i="8"/>
  <c r="G7" i="8"/>
  <c r="G6" i="8"/>
  <c r="G5" i="8"/>
  <c r="G4" i="8"/>
  <c r="A1" i="8"/>
  <c r="AJ523" i="7"/>
  <c r="AI523" i="7"/>
  <c r="AG523" i="7"/>
  <c r="AD523" i="7"/>
  <c r="AC523" i="7"/>
  <c r="AA523" i="7"/>
  <c r="X523" i="7"/>
  <c r="W523" i="7"/>
  <c r="U523" i="7"/>
  <c r="R523" i="7"/>
  <c r="Q523" i="7"/>
  <c r="O523" i="7"/>
  <c r="L523" i="7"/>
  <c r="K523" i="7"/>
  <c r="I523" i="7"/>
  <c r="AN522" i="7"/>
  <c r="AM522" i="7"/>
  <c r="AL522" i="7"/>
  <c r="AK522" i="7"/>
  <c r="C522" i="7"/>
  <c r="B522" i="7"/>
  <c r="AN521" i="7"/>
  <c r="AM521" i="7"/>
  <c r="AL521" i="7"/>
  <c r="AK521" i="7"/>
  <c r="C521" i="7"/>
  <c r="B521" i="7"/>
  <c r="AN520" i="7"/>
  <c r="AM520" i="7"/>
  <c r="AL520" i="7"/>
  <c r="AK520" i="7"/>
  <c r="C520" i="7"/>
  <c r="B520" i="7"/>
  <c r="AN519" i="7"/>
  <c r="AM519" i="7"/>
  <c r="AL519" i="7"/>
  <c r="AK519" i="7"/>
  <c r="C519" i="7"/>
  <c r="B519" i="7"/>
  <c r="AN518" i="7"/>
  <c r="AM518" i="7"/>
  <c r="AL518" i="7"/>
  <c r="AK518" i="7"/>
  <c r="C518" i="7"/>
  <c r="B518" i="7"/>
  <c r="AN517" i="7"/>
  <c r="AM517" i="7"/>
  <c r="AL517" i="7"/>
  <c r="AK517" i="7"/>
  <c r="C517" i="7"/>
  <c r="B517" i="7"/>
  <c r="AN516" i="7"/>
  <c r="AM516" i="7"/>
  <c r="AL516" i="7"/>
  <c r="AK516" i="7"/>
  <c r="C516" i="7"/>
  <c r="B516" i="7"/>
  <c r="AL515" i="7"/>
  <c r="AK515" i="7"/>
  <c r="C515" i="7"/>
  <c r="B515" i="7"/>
  <c r="AL514" i="7"/>
  <c r="AK514" i="7"/>
  <c r="C514" i="7"/>
  <c r="B514" i="7"/>
  <c r="AL513" i="7"/>
  <c r="AK513" i="7"/>
  <c r="C513" i="7"/>
  <c r="B513" i="7"/>
  <c r="AQ507" i="7"/>
  <c r="AP507" i="7"/>
  <c r="AO507" i="7"/>
  <c r="AN506" i="7"/>
  <c r="AM506" i="7"/>
  <c r="AL506" i="7"/>
  <c r="AK506" i="7"/>
  <c r="C506" i="7"/>
  <c r="B506" i="7"/>
  <c r="AN505" i="7"/>
  <c r="AM505" i="7"/>
  <c r="AL505" i="7"/>
  <c r="AK505" i="7"/>
  <c r="C505" i="7"/>
  <c r="B505" i="7"/>
  <c r="AN504" i="7"/>
  <c r="AM504" i="7"/>
  <c r="AL504" i="7"/>
  <c r="AK504" i="7"/>
  <c r="C504" i="7"/>
  <c r="B504" i="7"/>
  <c r="AN503" i="7"/>
  <c r="AM503" i="7"/>
  <c r="AL503" i="7"/>
  <c r="AK503" i="7"/>
  <c r="C503" i="7"/>
  <c r="B503" i="7"/>
  <c r="AN502" i="7"/>
  <c r="AM502" i="7"/>
  <c r="AL502" i="7"/>
  <c r="AK502" i="7"/>
  <c r="C502" i="7"/>
  <c r="B502" i="7"/>
  <c r="AN501" i="7"/>
  <c r="AM501" i="7"/>
  <c r="AL501" i="7"/>
  <c r="AK501" i="7"/>
  <c r="C501" i="7"/>
  <c r="B501" i="7"/>
  <c r="AN500" i="7"/>
  <c r="AM500" i="7"/>
  <c r="AL500" i="7"/>
  <c r="AK500" i="7"/>
  <c r="C500" i="7"/>
  <c r="B500" i="7"/>
  <c r="AN499" i="7"/>
  <c r="AM499" i="7"/>
  <c r="AL499" i="7"/>
  <c r="AK499" i="7"/>
  <c r="C499" i="7"/>
  <c r="B499" i="7"/>
  <c r="AN498" i="7"/>
  <c r="AM498" i="7"/>
  <c r="AL498" i="7"/>
  <c r="AK498" i="7"/>
  <c r="C498" i="7"/>
  <c r="B498" i="7"/>
  <c r="AN497" i="7"/>
  <c r="AM497" i="7"/>
  <c r="AL497" i="7"/>
  <c r="AK497" i="7"/>
  <c r="C497" i="7"/>
  <c r="B497" i="7"/>
  <c r="AN496" i="7"/>
  <c r="AM496" i="7"/>
  <c r="AL496" i="7"/>
  <c r="AK496" i="7"/>
  <c r="C496" i="7"/>
  <c r="B496" i="7"/>
  <c r="AN495" i="7"/>
  <c r="AM495" i="7"/>
  <c r="AL495" i="7"/>
  <c r="AK495" i="7"/>
  <c r="C495" i="7"/>
  <c r="B495" i="7"/>
  <c r="AN494" i="7"/>
  <c r="AM494" i="7"/>
  <c r="AL494" i="7"/>
  <c r="AK494" i="7"/>
  <c r="C494" i="7"/>
  <c r="B494" i="7"/>
  <c r="AN493" i="7"/>
  <c r="AM493" i="7"/>
  <c r="AL493" i="7"/>
  <c r="AK493" i="7"/>
  <c r="C493" i="7"/>
  <c r="B493" i="7"/>
  <c r="AN492" i="7"/>
  <c r="AM492" i="7"/>
  <c r="AL492" i="7"/>
  <c r="AK492" i="7"/>
  <c r="C492" i="7"/>
  <c r="B492" i="7"/>
  <c r="AN491" i="7"/>
  <c r="AM491" i="7"/>
  <c r="AL491" i="7"/>
  <c r="AK491" i="7"/>
  <c r="C491" i="7"/>
  <c r="B491" i="7"/>
  <c r="AN490" i="7"/>
  <c r="AM490" i="7"/>
  <c r="AL490" i="7"/>
  <c r="AK490" i="7"/>
  <c r="C490" i="7"/>
  <c r="B490" i="7"/>
  <c r="AN489" i="7"/>
  <c r="AM489" i="7"/>
  <c r="AL489" i="7"/>
  <c r="AK489" i="7"/>
  <c r="C489" i="7"/>
  <c r="B489" i="7"/>
  <c r="AN488" i="7"/>
  <c r="AM488" i="7"/>
  <c r="AL488" i="7"/>
  <c r="AK488" i="7"/>
  <c r="C488" i="7"/>
  <c r="B488" i="7"/>
  <c r="AN487" i="7"/>
  <c r="AM487" i="7"/>
  <c r="AL487" i="7"/>
  <c r="AK487" i="7"/>
  <c r="C487" i="7"/>
  <c r="B487" i="7"/>
  <c r="AN486" i="7"/>
  <c r="AM486" i="7"/>
  <c r="AL486" i="7"/>
  <c r="AK486" i="7"/>
  <c r="C486" i="7"/>
  <c r="B486" i="7"/>
  <c r="AN485" i="7"/>
  <c r="AM485" i="7"/>
  <c r="AL485" i="7"/>
  <c r="AK485" i="7"/>
  <c r="C485" i="7"/>
  <c r="B485" i="7"/>
  <c r="AN484" i="7"/>
  <c r="AM484" i="7"/>
  <c r="AL484" i="7"/>
  <c r="AK484" i="7"/>
  <c r="C484" i="7"/>
  <c r="B484" i="7"/>
  <c r="AN483" i="7"/>
  <c r="AM483" i="7"/>
  <c r="AL483" i="7"/>
  <c r="AK483" i="7"/>
  <c r="C483" i="7"/>
  <c r="B483" i="7"/>
  <c r="AN482" i="7"/>
  <c r="AM482" i="7"/>
  <c r="AL482" i="7"/>
  <c r="AK482" i="7"/>
  <c r="C482" i="7"/>
  <c r="B482" i="7"/>
  <c r="AN481" i="7"/>
  <c r="AM481" i="7"/>
  <c r="AL481" i="7"/>
  <c r="AK481" i="7"/>
  <c r="C481" i="7"/>
  <c r="B481" i="7"/>
  <c r="AN480" i="7"/>
  <c r="AM480" i="7"/>
  <c r="AL480" i="7"/>
  <c r="AK480" i="7"/>
  <c r="C480" i="7"/>
  <c r="B480" i="7"/>
  <c r="AN479" i="7"/>
  <c r="AM479" i="7"/>
  <c r="AL479" i="7"/>
  <c r="AK479" i="7"/>
  <c r="C479" i="7"/>
  <c r="B479" i="7"/>
  <c r="AN478" i="7"/>
  <c r="AM478" i="7"/>
  <c r="AL478" i="7"/>
  <c r="AK478" i="7"/>
  <c r="C478" i="7"/>
  <c r="B478" i="7"/>
  <c r="AN477" i="7"/>
  <c r="AM477" i="7"/>
  <c r="AL477" i="7"/>
  <c r="AK477" i="7"/>
  <c r="C477" i="7"/>
  <c r="B477" i="7"/>
  <c r="AN476" i="7"/>
  <c r="AM476" i="7"/>
  <c r="AL476" i="7"/>
  <c r="AK476" i="7"/>
  <c r="C476" i="7"/>
  <c r="B476" i="7"/>
  <c r="AN475" i="7"/>
  <c r="AM475" i="7"/>
  <c r="AL475" i="7"/>
  <c r="AK475" i="7"/>
  <c r="C475" i="7"/>
  <c r="B475" i="7"/>
  <c r="AN474" i="7"/>
  <c r="AM474" i="7"/>
  <c r="AL474" i="7"/>
  <c r="AK474" i="7"/>
  <c r="C474" i="7"/>
  <c r="B474" i="7"/>
  <c r="AN473" i="7"/>
  <c r="AM473" i="7"/>
  <c r="AL473" i="7"/>
  <c r="AK473" i="7"/>
  <c r="C473" i="7"/>
  <c r="B473" i="7"/>
  <c r="AN472" i="7"/>
  <c r="AM472" i="7"/>
  <c r="AL472" i="7"/>
  <c r="AK472" i="7"/>
  <c r="C472" i="7"/>
  <c r="B472" i="7"/>
  <c r="AN471" i="7"/>
  <c r="AM471" i="7"/>
  <c r="AL471" i="7"/>
  <c r="AK471" i="7"/>
  <c r="C471" i="7"/>
  <c r="B471" i="7"/>
  <c r="AN470" i="7"/>
  <c r="AM470" i="7"/>
  <c r="AL470" i="7"/>
  <c r="AK470" i="7"/>
  <c r="C470" i="7"/>
  <c r="B470" i="7"/>
  <c r="AN469" i="7"/>
  <c r="AM469" i="7"/>
  <c r="AL469" i="7"/>
  <c r="AK469" i="7"/>
  <c r="C469" i="7"/>
  <c r="B469" i="7"/>
  <c r="AN468" i="7"/>
  <c r="AM468" i="7"/>
  <c r="AL468" i="7"/>
  <c r="AK468" i="7"/>
  <c r="C468" i="7"/>
  <c r="B468" i="7"/>
  <c r="AN467" i="7"/>
  <c r="AM467" i="7"/>
  <c r="AL467" i="7"/>
  <c r="AK467" i="7"/>
  <c r="C467" i="7"/>
  <c r="B467" i="7"/>
  <c r="AN466" i="7"/>
  <c r="AM466" i="7"/>
  <c r="AL466" i="7"/>
  <c r="AK466" i="7"/>
  <c r="C466" i="7"/>
  <c r="B466" i="7"/>
  <c r="AN465" i="7"/>
  <c r="AM465" i="7"/>
  <c r="AL465" i="7"/>
  <c r="AK465" i="7"/>
  <c r="C465" i="7"/>
  <c r="B465" i="7"/>
  <c r="AN464" i="7"/>
  <c r="AM464" i="7"/>
  <c r="AL464" i="7"/>
  <c r="AK464" i="7"/>
  <c r="C464" i="7"/>
  <c r="B464" i="7"/>
  <c r="AN463" i="7"/>
  <c r="AM463" i="7"/>
  <c r="AL463" i="7"/>
  <c r="AK463" i="7"/>
  <c r="C463" i="7"/>
  <c r="B463" i="7"/>
  <c r="AN462" i="7"/>
  <c r="AM462" i="7"/>
  <c r="AL462" i="7"/>
  <c r="AK462" i="7"/>
  <c r="C462" i="7"/>
  <c r="B462" i="7"/>
  <c r="AN461" i="7"/>
  <c r="AM461" i="7"/>
  <c r="AL461" i="7"/>
  <c r="AK461" i="7"/>
  <c r="C461" i="7"/>
  <c r="B461" i="7"/>
  <c r="AN460" i="7"/>
  <c r="AM460" i="7"/>
  <c r="AL460" i="7"/>
  <c r="AK460" i="7"/>
  <c r="C460" i="7"/>
  <c r="B460" i="7"/>
  <c r="AN459" i="7"/>
  <c r="AM459" i="7"/>
  <c r="AL459" i="7"/>
  <c r="AK459" i="7"/>
  <c r="C459" i="7"/>
  <c r="B459" i="7"/>
  <c r="AN458" i="7"/>
  <c r="AM458" i="7"/>
  <c r="AL458" i="7"/>
  <c r="AK458" i="7"/>
  <c r="C458" i="7"/>
  <c r="B458" i="7"/>
  <c r="AN457" i="7"/>
  <c r="AM457" i="7"/>
  <c r="AL457" i="7"/>
  <c r="AK457" i="7"/>
  <c r="C457" i="7"/>
  <c r="B457" i="7"/>
  <c r="AN456" i="7"/>
  <c r="AM456" i="7"/>
  <c r="AL456" i="7"/>
  <c r="AK456" i="7"/>
  <c r="C456" i="7"/>
  <c r="B456" i="7"/>
  <c r="AN455" i="7"/>
  <c r="AM455" i="7"/>
  <c r="AL455" i="7"/>
  <c r="AK455" i="7"/>
  <c r="C455" i="7"/>
  <c r="B455" i="7"/>
  <c r="AN454" i="7"/>
  <c r="AM454" i="7"/>
  <c r="AL454" i="7"/>
  <c r="AK454" i="7"/>
  <c r="C454" i="7"/>
  <c r="B454" i="7"/>
  <c r="AN453" i="7"/>
  <c r="AM453" i="7"/>
  <c r="AL453" i="7"/>
  <c r="AK453" i="7"/>
  <c r="C453" i="7"/>
  <c r="B453" i="7"/>
  <c r="AN452" i="7"/>
  <c r="AM452" i="7"/>
  <c r="AL452" i="7"/>
  <c r="AK452" i="7"/>
  <c r="C452" i="7"/>
  <c r="B452" i="7"/>
  <c r="AN451" i="7"/>
  <c r="AM451" i="7"/>
  <c r="AL451" i="7"/>
  <c r="AK451" i="7"/>
  <c r="C451" i="7"/>
  <c r="B451" i="7"/>
  <c r="AN450" i="7"/>
  <c r="AM450" i="7"/>
  <c r="AL450" i="7"/>
  <c r="AK450" i="7"/>
  <c r="C450" i="7"/>
  <c r="B450" i="7"/>
  <c r="AN449" i="7"/>
  <c r="AM449" i="7"/>
  <c r="AL449" i="7"/>
  <c r="AK449" i="7"/>
  <c r="C449" i="7"/>
  <c r="B449" i="7"/>
  <c r="AN448" i="7"/>
  <c r="AM448" i="7"/>
  <c r="AL448" i="7"/>
  <c r="AK448" i="7"/>
  <c r="C448" i="7"/>
  <c r="B448" i="7"/>
  <c r="AN447" i="7"/>
  <c r="AM447" i="7"/>
  <c r="AL447" i="7"/>
  <c r="AK447" i="7"/>
  <c r="C447" i="7"/>
  <c r="B447" i="7"/>
  <c r="AN446" i="7"/>
  <c r="AM446" i="7"/>
  <c r="AL446" i="7"/>
  <c r="AK446" i="7"/>
  <c r="C446" i="7"/>
  <c r="B446" i="7"/>
  <c r="AN445" i="7"/>
  <c r="AM445" i="7"/>
  <c r="AL445" i="7"/>
  <c r="AK445" i="7"/>
  <c r="C445" i="7"/>
  <c r="B445" i="7"/>
  <c r="AN444" i="7"/>
  <c r="AM444" i="7"/>
  <c r="AL444" i="7"/>
  <c r="AK444" i="7"/>
  <c r="C444" i="7"/>
  <c r="B444" i="7"/>
  <c r="AN443" i="7"/>
  <c r="AM443" i="7"/>
  <c r="AL443" i="7"/>
  <c r="AK443" i="7"/>
  <c r="C443" i="7"/>
  <c r="B443" i="7"/>
  <c r="AN442" i="7"/>
  <c r="AM442" i="7"/>
  <c r="AL442" i="7"/>
  <c r="AK442" i="7"/>
  <c r="C442" i="7"/>
  <c r="B442" i="7"/>
  <c r="AN441" i="7"/>
  <c r="AM441" i="7"/>
  <c r="AL441" i="7"/>
  <c r="AK441" i="7"/>
  <c r="C441" i="7"/>
  <c r="B441" i="7"/>
  <c r="AN440" i="7"/>
  <c r="AM440" i="7"/>
  <c r="AL440" i="7"/>
  <c r="AK440" i="7"/>
  <c r="C440" i="7"/>
  <c r="B440" i="7"/>
  <c r="AN439" i="7"/>
  <c r="AM439" i="7"/>
  <c r="AL439" i="7"/>
  <c r="AK439" i="7"/>
  <c r="C439" i="7"/>
  <c r="B439" i="7"/>
  <c r="AN438" i="7"/>
  <c r="AM438" i="7"/>
  <c r="AL438" i="7"/>
  <c r="AK438" i="7"/>
  <c r="C438" i="7"/>
  <c r="B438" i="7"/>
  <c r="AN437" i="7"/>
  <c r="AM437" i="7"/>
  <c r="AL437" i="7"/>
  <c r="AK437" i="7"/>
  <c r="C437" i="7"/>
  <c r="B437" i="7"/>
  <c r="AN436" i="7"/>
  <c r="AM436" i="7"/>
  <c r="AL436" i="7"/>
  <c r="AK436" i="7"/>
  <c r="C436" i="7"/>
  <c r="B436" i="7"/>
  <c r="AN435" i="7"/>
  <c r="AM435" i="7"/>
  <c r="AL435" i="7"/>
  <c r="AK435" i="7"/>
  <c r="C435" i="7"/>
  <c r="B435" i="7"/>
  <c r="AN434" i="7"/>
  <c r="AM434" i="7"/>
  <c r="AL434" i="7"/>
  <c r="AK434" i="7"/>
  <c r="C434" i="7"/>
  <c r="B434" i="7"/>
  <c r="AN433" i="7"/>
  <c r="AM433" i="7"/>
  <c r="AL433" i="7"/>
  <c r="AK433" i="7"/>
  <c r="C433" i="7"/>
  <c r="B433" i="7"/>
  <c r="AN432" i="7"/>
  <c r="AM432" i="7"/>
  <c r="AL432" i="7"/>
  <c r="AK432" i="7"/>
  <c r="C432" i="7"/>
  <c r="B432" i="7"/>
  <c r="AN431" i="7"/>
  <c r="AM431" i="7"/>
  <c r="AL431" i="7"/>
  <c r="AK431" i="7"/>
  <c r="C431" i="7"/>
  <c r="B431" i="7"/>
  <c r="AN430" i="7"/>
  <c r="AM430" i="7"/>
  <c r="AL430" i="7"/>
  <c r="AK430" i="7"/>
  <c r="C430" i="7"/>
  <c r="B430" i="7"/>
  <c r="AN429" i="7"/>
  <c r="AM429" i="7"/>
  <c r="AL429" i="7"/>
  <c r="AK429" i="7"/>
  <c r="C429" i="7"/>
  <c r="B429" i="7"/>
  <c r="AN428" i="7"/>
  <c r="AM428" i="7"/>
  <c r="AL428" i="7"/>
  <c r="AK428" i="7"/>
  <c r="C428" i="7"/>
  <c r="B428" i="7"/>
  <c r="AN427" i="7"/>
  <c r="AM427" i="7"/>
  <c r="AL427" i="7"/>
  <c r="AK427" i="7"/>
  <c r="C427" i="7"/>
  <c r="B427" i="7"/>
  <c r="AN426" i="7"/>
  <c r="AM426" i="7"/>
  <c r="AL426" i="7"/>
  <c r="AK426" i="7"/>
  <c r="C426" i="7"/>
  <c r="B426" i="7"/>
  <c r="AN425" i="7"/>
  <c r="AM425" i="7"/>
  <c r="AL425" i="7"/>
  <c r="AK425" i="7"/>
  <c r="C425" i="7"/>
  <c r="B425" i="7"/>
  <c r="AN424" i="7"/>
  <c r="AM424" i="7"/>
  <c r="AL424" i="7"/>
  <c r="AK424" i="7"/>
  <c r="C424" i="7"/>
  <c r="B424" i="7"/>
  <c r="AN423" i="7"/>
  <c r="AM423" i="7"/>
  <c r="AL423" i="7"/>
  <c r="AK423" i="7"/>
  <c r="C423" i="7"/>
  <c r="B423" i="7"/>
  <c r="AN422" i="7"/>
  <c r="AM422" i="7"/>
  <c r="AL422" i="7"/>
  <c r="AK422" i="7"/>
  <c r="C422" i="7"/>
  <c r="B422" i="7"/>
  <c r="AN421" i="7"/>
  <c r="AM421" i="7"/>
  <c r="AL421" i="7"/>
  <c r="AK421" i="7"/>
  <c r="C421" i="7"/>
  <c r="B421" i="7"/>
  <c r="AN420" i="7"/>
  <c r="AM420" i="7"/>
  <c r="AL420" i="7"/>
  <c r="AK420" i="7"/>
  <c r="C420" i="7"/>
  <c r="B420" i="7"/>
  <c r="AN419" i="7"/>
  <c r="AM419" i="7"/>
  <c r="AL419" i="7"/>
  <c r="AK419" i="7"/>
  <c r="C419" i="7"/>
  <c r="B419" i="7"/>
  <c r="AN418" i="7"/>
  <c r="AM418" i="7"/>
  <c r="AL418" i="7"/>
  <c r="AK418" i="7"/>
  <c r="C418" i="7"/>
  <c r="B418" i="7"/>
  <c r="AN417" i="7"/>
  <c r="AM417" i="7"/>
  <c r="AL417" i="7"/>
  <c r="AK417" i="7"/>
  <c r="C417" i="7"/>
  <c r="B417" i="7"/>
  <c r="AN416" i="7"/>
  <c r="AM416" i="7"/>
  <c r="AL416" i="7"/>
  <c r="AK416" i="7"/>
  <c r="C416" i="7"/>
  <c r="B416" i="7"/>
  <c r="AN415" i="7"/>
  <c r="AM415" i="7"/>
  <c r="AL415" i="7"/>
  <c r="AK415" i="7"/>
  <c r="C415" i="7"/>
  <c r="B415" i="7"/>
  <c r="AN414" i="7"/>
  <c r="AM414" i="7"/>
  <c r="AL414" i="7"/>
  <c r="AK414" i="7"/>
  <c r="C414" i="7"/>
  <c r="B414" i="7"/>
  <c r="AN413" i="7"/>
  <c r="AM413" i="7"/>
  <c r="AL413" i="7"/>
  <c r="AK413" i="7"/>
  <c r="C413" i="7"/>
  <c r="B413" i="7"/>
  <c r="AN412" i="7"/>
  <c r="AM412" i="7"/>
  <c r="AL412" i="7"/>
  <c r="AK412" i="7"/>
  <c r="C412" i="7"/>
  <c r="B412" i="7"/>
  <c r="AN411" i="7"/>
  <c r="AM411" i="7"/>
  <c r="AL411" i="7"/>
  <c r="AK411" i="7"/>
  <c r="C411" i="7"/>
  <c r="B411" i="7"/>
  <c r="AN410" i="7"/>
  <c r="AM410" i="7"/>
  <c r="AL410" i="7"/>
  <c r="AK410" i="7"/>
  <c r="C410" i="7"/>
  <c r="B410" i="7"/>
  <c r="AN409" i="7"/>
  <c r="AM409" i="7"/>
  <c r="AL409" i="7"/>
  <c r="AK409" i="7"/>
  <c r="C409" i="7"/>
  <c r="B409" i="7"/>
  <c r="AN408" i="7"/>
  <c r="AM408" i="7"/>
  <c r="AL408" i="7"/>
  <c r="AK408" i="7"/>
  <c r="C408" i="7"/>
  <c r="B408" i="7"/>
  <c r="AN407" i="7"/>
  <c r="AM407" i="7"/>
  <c r="AL407" i="7"/>
  <c r="AK407" i="7"/>
  <c r="C407" i="7"/>
  <c r="B407" i="7"/>
  <c r="AN406" i="7"/>
  <c r="AM406" i="7"/>
  <c r="AL406" i="7"/>
  <c r="AK406" i="7"/>
  <c r="C406" i="7"/>
  <c r="B406" i="7"/>
  <c r="AN405" i="7"/>
  <c r="AM405" i="7"/>
  <c r="AL405" i="7"/>
  <c r="AK405" i="7"/>
  <c r="C405" i="7"/>
  <c r="B405" i="7"/>
  <c r="AN404" i="7"/>
  <c r="AM404" i="7"/>
  <c r="AL404" i="7"/>
  <c r="AK404" i="7"/>
  <c r="C404" i="7"/>
  <c r="B404" i="7"/>
  <c r="AN403" i="7"/>
  <c r="AM403" i="7"/>
  <c r="AL403" i="7"/>
  <c r="AK403" i="7"/>
  <c r="C403" i="7"/>
  <c r="B403" i="7"/>
  <c r="AN402" i="7"/>
  <c r="AM402" i="7"/>
  <c r="AL402" i="7"/>
  <c r="AK402" i="7"/>
  <c r="C402" i="7"/>
  <c r="B402" i="7"/>
  <c r="AN401" i="7"/>
  <c r="AM401" i="7"/>
  <c r="AL401" i="7"/>
  <c r="AK401" i="7"/>
  <c r="C401" i="7"/>
  <c r="B401" i="7"/>
  <c r="AN400" i="7"/>
  <c r="AM400" i="7"/>
  <c r="AL400" i="7"/>
  <c r="AK400" i="7"/>
  <c r="C400" i="7"/>
  <c r="B400" i="7"/>
  <c r="AN399" i="7"/>
  <c r="AM399" i="7"/>
  <c r="AL399" i="7"/>
  <c r="AK399" i="7"/>
  <c r="C399" i="7"/>
  <c r="B399" i="7"/>
  <c r="AN398" i="7"/>
  <c r="AM398" i="7"/>
  <c r="AL398" i="7"/>
  <c r="AK398" i="7"/>
  <c r="C398" i="7"/>
  <c r="B398" i="7"/>
  <c r="AN397" i="7"/>
  <c r="AM397" i="7"/>
  <c r="AL397" i="7"/>
  <c r="AK397" i="7"/>
  <c r="C397" i="7"/>
  <c r="B397" i="7"/>
  <c r="AN396" i="7"/>
  <c r="AM396" i="7"/>
  <c r="AL396" i="7"/>
  <c r="AK396" i="7"/>
  <c r="C396" i="7"/>
  <c r="B396" i="7"/>
  <c r="AN395" i="7"/>
  <c r="AM395" i="7"/>
  <c r="AL395" i="7"/>
  <c r="AK395" i="7"/>
  <c r="C395" i="7"/>
  <c r="B395" i="7"/>
  <c r="AN394" i="7"/>
  <c r="AM394" i="7"/>
  <c r="AL394" i="7"/>
  <c r="AK394" i="7"/>
  <c r="C394" i="7"/>
  <c r="B394" i="7"/>
  <c r="AN393" i="7"/>
  <c r="AM393" i="7"/>
  <c r="AL393" i="7"/>
  <c r="AK393" i="7"/>
  <c r="C393" i="7"/>
  <c r="B393" i="7"/>
  <c r="AN392" i="7"/>
  <c r="AM392" i="7"/>
  <c r="AL392" i="7"/>
  <c r="AK392" i="7"/>
  <c r="C392" i="7"/>
  <c r="B392" i="7"/>
  <c r="AN391" i="7"/>
  <c r="AM391" i="7"/>
  <c r="AL391" i="7"/>
  <c r="AK391" i="7"/>
  <c r="C391" i="7"/>
  <c r="B391" i="7"/>
  <c r="AN390" i="7"/>
  <c r="AM390" i="7"/>
  <c r="AL390" i="7"/>
  <c r="AK390" i="7"/>
  <c r="C390" i="7"/>
  <c r="B390" i="7"/>
  <c r="AN389" i="7"/>
  <c r="AM389" i="7"/>
  <c r="AL389" i="7"/>
  <c r="AK389" i="7"/>
  <c r="C389" i="7"/>
  <c r="B389" i="7"/>
  <c r="AN388" i="7"/>
  <c r="AM388" i="7"/>
  <c r="AL388" i="7"/>
  <c r="AK388" i="7"/>
  <c r="C388" i="7"/>
  <c r="B388" i="7"/>
  <c r="AN387" i="7"/>
  <c r="AM387" i="7"/>
  <c r="AL387" i="7"/>
  <c r="AK387" i="7"/>
  <c r="C387" i="7"/>
  <c r="B387" i="7"/>
  <c r="AN386" i="7"/>
  <c r="AM386" i="7"/>
  <c r="AL386" i="7"/>
  <c r="AK386" i="7"/>
  <c r="C386" i="7"/>
  <c r="B386" i="7"/>
  <c r="AN385" i="7"/>
  <c r="AM385" i="7"/>
  <c r="AL385" i="7"/>
  <c r="AK385" i="7"/>
  <c r="C385" i="7"/>
  <c r="B385" i="7"/>
  <c r="AN384" i="7"/>
  <c r="AM384" i="7"/>
  <c r="AL384" i="7"/>
  <c r="AK384" i="7"/>
  <c r="C384" i="7"/>
  <c r="B384" i="7"/>
  <c r="AN383" i="7"/>
  <c r="AM383" i="7"/>
  <c r="AL383" i="7"/>
  <c r="AK383" i="7"/>
  <c r="C383" i="7"/>
  <c r="B383" i="7"/>
  <c r="AN382" i="7"/>
  <c r="AM382" i="7"/>
  <c r="AL382" i="7"/>
  <c r="AK382" i="7"/>
  <c r="C382" i="7"/>
  <c r="B382" i="7"/>
  <c r="AN381" i="7"/>
  <c r="AM381" i="7"/>
  <c r="AL381" i="7"/>
  <c r="AK381" i="7"/>
  <c r="C381" i="7"/>
  <c r="B381" i="7"/>
  <c r="AN380" i="7"/>
  <c r="AM380" i="7"/>
  <c r="AL380" i="7"/>
  <c r="AK380" i="7"/>
  <c r="C380" i="7"/>
  <c r="B380" i="7"/>
  <c r="AN379" i="7"/>
  <c r="AM379" i="7"/>
  <c r="AL379" i="7"/>
  <c r="AK379" i="7"/>
  <c r="C379" i="7"/>
  <c r="B379" i="7"/>
  <c r="AN378" i="7"/>
  <c r="AM378" i="7"/>
  <c r="AL378" i="7"/>
  <c r="AK378" i="7"/>
  <c r="C378" i="7"/>
  <c r="B378" i="7"/>
  <c r="AN377" i="7"/>
  <c r="AM377" i="7"/>
  <c r="AL377" i="7"/>
  <c r="AK377" i="7"/>
  <c r="C377" i="7"/>
  <c r="B377" i="7"/>
  <c r="AN376" i="7"/>
  <c r="AM376" i="7"/>
  <c r="AL376" i="7"/>
  <c r="AK376" i="7"/>
  <c r="C376" i="7"/>
  <c r="B376" i="7"/>
  <c r="AN375" i="7"/>
  <c r="AM375" i="7"/>
  <c r="AL375" i="7"/>
  <c r="AK375" i="7"/>
  <c r="C375" i="7"/>
  <c r="B375" i="7"/>
  <c r="AN374" i="7"/>
  <c r="AM374" i="7"/>
  <c r="AL374" i="7"/>
  <c r="AK374" i="7"/>
  <c r="C374" i="7"/>
  <c r="B374" i="7"/>
  <c r="AN373" i="7"/>
  <c r="AM373" i="7"/>
  <c r="AL373" i="7"/>
  <c r="AK373" i="7"/>
  <c r="C373" i="7"/>
  <c r="B373" i="7"/>
  <c r="AN372" i="7"/>
  <c r="AM372" i="7"/>
  <c r="AL372" i="7"/>
  <c r="AK372" i="7"/>
  <c r="C372" i="7"/>
  <c r="B372" i="7"/>
  <c r="AN371" i="7"/>
  <c r="AM371" i="7"/>
  <c r="AL371" i="7"/>
  <c r="AK371" i="7"/>
  <c r="C371" i="7"/>
  <c r="B371" i="7"/>
  <c r="AN370" i="7"/>
  <c r="AM370" i="7"/>
  <c r="AL370" i="7"/>
  <c r="AK370" i="7"/>
  <c r="C370" i="7"/>
  <c r="B370" i="7"/>
  <c r="AN369" i="7"/>
  <c r="AM369" i="7"/>
  <c r="AL369" i="7"/>
  <c r="AK369" i="7"/>
  <c r="C369" i="7"/>
  <c r="B369" i="7"/>
  <c r="AN368" i="7"/>
  <c r="AM368" i="7"/>
  <c r="AL368" i="7"/>
  <c r="AK368" i="7"/>
  <c r="C368" i="7"/>
  <c r="B368" i="7"/>
  <c r="AN367" i="7"/>
  <c r="AM367" i="7"/>
  <c r="AL367" i="7"/>
  <c r="AK367" i="7"/>
  <c r="C367" i="7"/>
  <c r="B367" i="7"/>
  <c r="AN366" i="7"/>
  <c r="AM366" i="7"/>
  <c r="AL366" i="7"/>
  <c r="AK366" i="7"/>
  <c r="C366" i="7"/>
  <c r="B366" i="7"/>
  <c r="AN365" i="7"/>
  <c r="AM365" i="7"/>
  <c r="AL365" i="7"/>
  <c r="AK365" i="7"/>
  <c r="C365" i="7"/>
  <c r="B365" i="7"/>
  <c r="AN364" i="7"/>
  <c r="AM364" i="7"/>
  <c r="AL364" i="7"/>
  <c r="AK364" i="7"/>
  <c r="C364" i="7"/>
  <c r="B364" i="7"/>
  <c r="AN363" i="7"/>
  <c r="AM363" i="7"/>
  <c r="AL363" i="7"/>
  <c r="AK363" i="7"/>
  <c r="C363" i="7"/>
  <c r="B363" i="7"/>
  <c r="AN362" i="7"/>
  <c r="AM362" i="7"/>
  <c r="AL362" i="7"/>
  <c r="AK362" i="7"/>
  <c r="C362" i="7"/>
  <c r="B362" i="7"/>
  <c r="AN361" i="7"/>
  <c r="AM361" i="7"/>
  <c r="AL361" i="7"/>
  <c r="AK361" i="7"/>
  <c r="C361" i="7"/>
  <c r="B361" i="7"/>
  <c r="AN360" i="7"/>
  <c r="AM360" i="7"/>
  <c r="AL360" i="7"/>
  <c r="AK360" i="7"/>
  <c r="C360" i="7"/>
  <c r="B360" i="7"/>
  <c r="AN359" i="7"/>
  <c r="AM359" i="7"/>
  <c r="AL359" i="7"/>
  <c r="AK359" i="7"/>
  <c r="C359" i="7"/>
  <c r="B359" i="7"/>
  <c r="AN358" i="7"/>
  <c r="AM358" i="7"/>
  <c r="AL358" i="7"/>
  <c r="AK358" i="7"/>
  <c r="C358" i="7"/>
  <c r="B358" i="7"/>
  <c r="AN357" i="7"/>
  <c r="AM357" i="7"/>
  <c r="AL357" i="7"/>
  <c r="AK357" i="7"/>
  <c r="C357" i="7"/>
  <c r="B357" i="7"/>
  <c r="AN356" i="7"/>
  <c r="AM356" i="7"/>
  <c r="AL356" i="7"/>
  <c r="AK356" i="7"/>
  <c r="C356" i="7"/>
  <c r="B356" i="7"/>
  <c r="AN355" i="7"/>
  <c r="AM355" i="7"/>
  <c r="AL355" i="7"/>
  <c r="AK355" i="7"/>
  <c r="C355" i="7"/>
  <c r="B355" i="7"/>
  <c r="AN354" i="7"/>
  <c r="AM354" i="7"/>
  <c r="AL354" i="7"/>
  <c r="AK354" i="7"/>
  <c r="C354" i="7"/>
  <c r="B354" i="7"/>
  <c r="AN353" i="7"/>
  <c r="AM353" i="7"/>
  <c r="AL353" i="7"/>
  <c r="AK353" i="7"/>
  <c r="C353" i="7"/>
  <c r="B353" i="7"/>
  <c r="AN352" i="7"/>
  <c r="AM352" i="7"/>
  <c r="AL352" i="7"/>
  <c r="AK352" i="7"/>
  <c r="C352" i="7"/>
  <c r="B352" i="7"/>
  <c r="AN351" i="7"/>
  <c r="AM351" i="7"/>
  <c r="AL351" i="7"/>
  <c r="AK351" i="7"/>
  <c r="C351" i="7"/>
  <c r="B351" i="7"/>
  <c r="AN350" i="7"/>
  <c r="AM350" i="7"/>
  <c r="AL350" i="7"/>
  <c r="AK350" i="7"/>
  <c r="C350" i="7"/>
  <c r="B350" i="7"/>
  <c r="AN349" i="7"/>
  <c r="AM349" i="7"/>
  <c r="AL349" i="7"/>
  <c r="AK349" i="7"/>
  <c r="C349" i="7"/>
  <c r="B349" i="7"/>
  <c r="AN348" i="7"/>
  <c r="AM348" i="7"/>
  <c r="AL348" i="7"/>
  <c r="AK348" i="7"/>
  <c r="C348" i="7"/>
  <c r="B348" i="7"/>
  <c r="AN347" i="7"/>
  <c r="AM347" i="7"/>
  <c r="AL347" i="7"/>
  <c r="AK347" i="7"/>
  <c r="C347" i="7"/>
  <c r="B347" i="7"/>
  <c r="AN346" i="7"/>
  <c r="AM346" i="7"/>
  <c r="AL346" i="7"/>
  <c r="AK346" i="7"/>
  <c r="C346" i="7"/>
  <c r="B346" i="7"/>
  <c r="AN345" i="7"/>
  <c r="AM345" i="7"/>
  <c r="AL345" i="7"/>
  <c r="AK345" i="7"/>
  <c r="C345" i="7"/>
  <c r="B345" i="7"/>
  <c r="AN344" i="7"/>
  <c r="AM344" i="7"/>
  <c r="AL344" i="7"/>
  <c r="AK344" i="7"/>
  <c r="C344" i="7"/>
  <c r="B344" i="7"/>
  <c r="AN343" i="7"/>
  <c r="AM343" i="7"/>
  <c r="AL343" i="7"/>
  <c r="AK343" i="7"/>
  <c r="C343" i="7"/>
  <c r="B343" i="7"/>
  <c r="AN342" i="7"/>
  <c r="AM342" i="7"/>
  <c r="AL342" i="7"/>
  <c r="AK342" i="7"/>
  <c r="C342" i="7"/>
  <c r="B342" i="7"/>
  <c r="AN341" i="7"/>
  <c r="AM341" i="7"/>
  <c r="AL341" i="7"/>
  <c r="AK341" i="7"/>
  <c r="C341" i="7"/>
  <c r="B341" i="7"/>
  <c r="AN340" i="7"/>
  <c r="AM340" i="7"/>
  <c r="AL340" i="7"/>
  <c r="AK340" i="7"/>
  <c r="C340" i="7"/>
  <c r="B340" i="7"/>
  <c r="AN339" i="7"/>
  <c r="AM339" i="7"/>
  <c r="AL339" i="7"/>
  <c r="AK339" i="7"/>
  <c r="C339" i="7"/>
  <c r="B339" i="7"/>
  <c r="AN338" i="7"/>
  <c r="AM338" i="7"/>
  <c r="AL338" i="7"/>
  <c r="AK338" i="7"/>
  <c r="C338" i="7"/>
  <c r="B338" i="7"/>
  <c r="AN337" i="7"/>
  <c r="AM337" i="7"/>
  <c r="AL337" i="7"/>
  <c r="AK337" i="7"/>
  <c r="C337" i="7"/>
  <c r="B337" i="7"/>
  <c r="AN336" i="7"/>
  <c r="AM336" i="7"/>
  <c r="AL336" i="7"/>
  <c r="AK336" i="7"/>
  <c r="C336" i="7"/>
  <c r="B336" i="7"/>
  <c r="AN335" i="7"/>
  <c r="AM335" i="7"/>
  <c r="AL335" i="7"/>
  <c r="AK335" i="7"/>
  <c r="C335" i="7"/>
  <c r="B335" i="7"/>
  <c r="AN334" i="7"/>
  <c r="AM334" i="7"/>
  <c r="AL334" i="7"/>
  <c r="AK334" i="7"/>
  <c r="C334" i="7"/>
  <c r="B334" i="7"/>
  <c r="AN333" i="7"/>
  <c r="AM333" i="7"/>
  <c r="AL333" i="7"/>
  <c r="AK333" i="7"/>
  <c r="C333" i="7"/>
  <c r="B333" i="7"/>
  <c r="AN332" i="7"/>
  <c r="AM332" i="7"/>
  <c r="AL332" i="7"/>
  <c r="AK332" i="7"/>
  <c r="C332" i="7"/>
  <c r="B332" i="7"/>
  <c r="AN331" i="7"/>
  <c r="AM331" i="7"/>
  <c r="AL331" i="7"/>
  <c r="AK331" i="7"/>
  <c r="C331" i="7"/>
  <c r="B331" i="7"/>
  <c r="AN330" i="7"/>
  <c r="AM330" i="7"/>
  <c r="AL330" i="7"/>
  <c r="AK330" i="7"/>
  <c r="C330" i="7"/>
  <c r="B330" i="7"/>
  <c r="AN329" i="7"/>
  <c r="AM329" i="7"/>
  <c r="AL329" i="7"/>
  <c r="AK329" i="7"/>
  <c r="C329" i="7"/>
  <c r="B329" i="7"/>
  <c r="AN328" i="7"/>
  <c r="AM328" i="7"/>
  <c r="AL328" i="7"/>
  <c r="AK328" i="7"/>
  <c r="C328" i="7"/>
  <c r="B328" i="7"/>
  <c r="AN327" i="7"/>
  <c r="AM327" i="7"/>
  <c r="AL327" i="7"/>
  <c r="AK327" i="7"/>
  <c r="C327" i="7"/>
  <c r="B327" i="7"/>
  <c r="AN326" i="7"/>
  <c r="AM326" i="7"/>
  <c r="AL326" i="7"/>
  <c r="AK326" i="7"/>
  <c r="C326" i="7"/>
  <c r="B326" i="7"/>
  <c r="AN325" i="7"/>
  <c r="AM325" i="7"/>
  <c r="AL325" i="7"/>
  <c r="AK325" i="7"/>
  <c r="C325" i="7"/>
  <c r="B325" i="7"/>
  <c r="AN324" i="7"/>
  <c r="AM324" i="7"/>
  <c r="AL324" i="7"/>
  <c r="AK324" i="7"/>
  <c r="C324" i="7"/>
  <c r="B324" i="7"/>
  <c r="AN323" i="7"/>
  <c r="AM323" i="7"/>
  <c r="AL323" i="7"/>
  <c r="AK323" i="7"/>
  <c r="C323" i="7"/>
  <c r="B323" i="7"/>
  <c r="AN322" i="7"/>
  <c r="AM322" i="7"/>
  <c r="AL322" i="7"/>
  <c r="AK322" i="7"/>
  <c r="C322" i="7"/>
  <c r="B322" i="7"/>
  <c r="AN321" i="7"/>
  <c r="AM321" i="7"/>
  <c r="AL321" i="7"/>
  <c r="AK321" i="7"/>
  <c r="C321" i="7"/>
  <c r="B321" i="7"/>
  <c r="AN320" i="7"/>
  <c r="AM320" i="7"/>
  <c r="AL320" i="7"/>
  <c r="AK320" i="7"/>
  <c r="C320" i="7"/>
  <c r="B320" i="7"/>
  <c r="AN319" i="7"/>
  <c r="AM319" i="7"/>
  <c r="AL319" i="7"/>
  <c r="AK319" i="7"/>
  <c r="C319" i="7"/>
  <c r="B319" i="7"/>
  <c r="AN318" i="7"/>
  <c r="AM318" i="7"/>
  <c r="AL318" i="7"/>
  <c r="AK318" i="7"/>
  <c r="C318" i="7"/>
  <c r="B318" i="7"/>
  <c r="AN317" i="7"/>
  <c r="AM317" i="7"/>
  <c r="AL317" i="7"/>
  <c r="AK317" i="7"/>
  <c r="C317" i="7"/>
  <c r="B317" i="7"/>
  <c r="AN316" i="7"/>
  <c r="AM316" i="7"/>
  <c r="AL316" i="7"/>
  <c r="AK316" i="7"/>
  <c r="C316" i="7"/>
  <c r="B316" i="7"/>
  <c r="AN315" i="7"/>
  <c r="AM315" i="7"/>
  <c r="AL315" i="7"/>
  <c r="AK315" i="7"/>
  <c r="C315" i="7"/>
  <c r="B315" i="7"/>
  <c r="AN314" i="7"/>
  <c r="AM314" i="7"/>
  <c r="AL314" i="7"/>
  <c r="AK314" i="7"/>
  <c r="C314" i="7"/>
  <c r="B314" i="7"/>
  <c r="AN313" i="7"/>
  <c r="AM313" i="7"/>
  <c r="AL313" i="7"/>
  <c r="AK313" i="7"/>
  <c r="C313" i="7"/>
  <c r="B313" i="7"/>
  <c r="AN312" i="7"/>
  <c r="AM312" i="7"/>
  <c r="AL312" i="7"/>
  <c r="AK312" i="7"/>
  <c r="C312" i="7"/>
  <c r="B312" i="7"/>
  <c r="AN311" i="7"/>
  <c r="AM311" i="7"/>
  <c r="AL311" i="7"/>
  <c r="AK311" i="7"/>
  <c r="C311" i="7"/>
  <c r="B311" i="7"/>
  <c r="AN310" i="7"/>
  <c r="AM310" i="7"/>
  <c r="AL310" i="7"/>
  <c r="AK310" i="7"/>
  <c r="C310" i="7"/>
  <c r="B310" i="7"/>
  <c r="AN309" i="7"/>
  <c r="AM309" i="7"/>
  <c r="AL309" i="7"/>
  <c r="AK309" i="7"/>
  <c r="C309" i="7"/>
  <c r="B309" i="7"/>
  <c r="AN308" i="7"/>
  <c r="AM308" i="7"/>
  <c r="AL308" i="7"/>
  <c r="AK308" i="7"/>
  <c r="C308" i="7"/>
  <c r="B308" i="7"/>
  <c r="AN307" i="7"/>
  <c r="AM307" i="7"/>
  <c r="AL307" i="7"/>
  <c r="AK307" i="7"/>
  <c r="C307" i="7"/>
  <c r="B307" i="7"/>
  <c r="AN306" i="7"/>
  <c r="AM306" i="7"/>
  <c r="AL306" i="7"/>
  <c r="AK306" i="7"/>
  <c r="C306" i="7"/>
  <c r="B306" i="7"/>
  <c r="AN305" i="7"/>
  <c r="AM305" i="7"/>
  <c r="AL305" i="7"/>
  <c r="AK305" i="7"/>
  <c r="C305" i="7"/>
  <c r="B305" i="7"/>
  <c r="AN304" i="7"/>
  <c r="AM304" i="7"/>
  <c r="AL304" i="7"/>
  <c r="AK304" i="7"/>
  <c r="C304" i="7"/>
  <c r="B304" i="7"/>
  <c r="AN303" i="7"/>
  <c r="AM303" i="7"/>
  <c r="AL303" i="7"/>
  <c r="AK303" i="7"/>
  <c r="C303" i="7"/>
  <c r="B303" i="7"/>
  <c r="AN302" i="7"/>
  <c r="AM302" i="7"/>
  <c r="AL302" i="7"/>
  <c r="AK302" i="7"/>
  <c r="C302" i="7"/>
  <c r="B302" i="7"/>
  <c r="AN301" i="7"/>
  <c r="AM301" i="7"/>
  <c r="AL301" i="7"/>
  <c r="AK301" i="7"/>
  <c r="C301" i="7"/>
  <c r="B301" i="7"/>
  <c r="AN300" i="7"/>
  <c r="AM300" i="7"/>
  <c r="AL300" i="7"/>
  <c r="AK300" i="7"/>
  <c r="C300" i="7"/>
  <c r="B300" i="7"/>
  <c r="AN299" i="7"/>
  <c r="AM299" i="7"/>
  <c r="AL299" i="7"/>
  <c r="AK299" i="7"/>
  <c r="C299" i="7"/>
  <c r="B299" i="7"/>
  <c r="AN298" i="7"/>
  <c r="AM298" i="7"/>
  <c r="AL298" i="7"/>
  <c r="AK298" i="7"/>
  <c r="C298" i="7"/>
  <c r="B298" i="7"/>
  <c r="AN297" i="7"/>
  <c r="AM297" i="7"/>
  <c r="AL297" i="7"/>
  <c r="AK297" i="7"/>
  <c r="C297" i="7"/>
  <c r="B297" i="7"/>
  <c r="AN296" i="7"/>
  <c r="AM296" i="7"/>
  <c r="AL296" i="7"/>
  <c r="AK296" i="7"/>
  <c r="C296" i="7"/>
  <c r="B296" i="7"/>
  <c r="AN295" i="7"/>
  <c r="AM295" i="7"/>
  <c r="AL295" i="7"/>
  <c r="AK295" i="7"/>
  <c r="C295" i="7"/>
  <c r="B295" i="7"/>
  <c r="AK294" i="7"/>
  <c r="C294" i="7"/>
  <c r="B294" i="7"/>
  <c r="AK293" i="7"/>
  <c r="C293" i="7"/>
  <c r="B293" i="7"/>
  <c r="AK292" i="7"/>
  <c r="C292" i="7"/>
  <c r="B292" i="7"/>
  <c r="AK291" i="7"/>
  <c r="C291" i="7"/>
  <c r="B291" i="7"/>
  <c r="AK290" i="7"/>
  <c r="C290" i="7"/>
  <c r="B290" i="7"/>
  <c r="AK289" i="7"/>
  <c r="C289" i="7"/>
  <c r="B289" i="7"/>
  <c r="AK288" i="7"/>
  <c r="C288" i="7"/>
  <c r="B288" i="7"/>
  <c r="AK287" i="7"/>
  <c r="C287" i="7"/>
  <c r="B287" i="7"/>
  <c r="AK286" i="7"/>
  <c r="C286" i="7"/>
  <c r="B286" i="7"/>
  <c r="AK285" i="7"/>
  <c r="C285" i="7"/>
  <c r="B285" i="7"/>
  <c r="AK284" i="7"/>
  <c r="C284" i="7"/>
  <c r="B284" i="7"/>
  <c r="AK283" i="7"/>
  <c r="C283" i="7"/>
  <c r="B283" i="7"/>
  <c r="AK282" i="7"/>
  <c r="C282" i="7"/>
  <c r="B282" i="7"/>
  <c r="AK281" i="7"/>
  <c r="C281" i="7"/>
  <c r="B281" i="7"/>
  <c r="AK280" i="7"/>
  <c r="C280" i="7"/>
  <c r="B280" i="7"/>
  <c r="AK279" i="7"/>
  <c r="C279" i="7"/>
  <c r="B279" i="7"/>
  <c r="AK278" i="7"/>
  <c r="C278" i="7"/>
  <c r="B278" i="7"/>
  <c r="AK277" i="7"/>
  <c r="C277" i="7"/>
  <c r="B277" i="7"/>
  <c r="AK276" i="7"/>
  <c r="C276" i="7"/>
  <c r="B276" i="7"/>
  <c r="AK275" i="7"/>
  <c r="C275" i="7"/>
  <c r="B275" i="7"/>
  <c r="AK274" i="7"/>
  <c r="C274" i="7"/>
  <c r="B274" i="7"/>
  <c r="AK273" i="7"/>
  <c r="C273" i="7"/>
  <c r="B273" i="7"/>
  <c r="AK272" i="7"/>
  <c r="C272" i="7"/>
  <c r="B272" i="7"/>
  <c r="AK271" i="7"/>
  <c r="C271" i="7"/>
  <c r="B271" i="7"/>
  <c r="AK270" i="7"/>
  <c r="C270" i="7"/>
  <c r="B270" i="7"/>
  <c r="AK269" i="7"/>
  <c r="C269" i="7"/>
  <c r="B269" i="7"/>
  <c r="AK268" i="7"/>
  <c r="C268" i="7"/>
  <c r="B268" i="7"/>
  <c r="AK267" i="7"/>
  <c r="C267" i="7"/>
  <c r="B267" i="7"/>
  <c r="AK266" i="7"/>
  <c r="C266" i="7"/>
  <c r="B266" i="7"/>
  <c r="AK265" i="7"/>
  <c r="C265" i="7"/>
  <c r="B265" i="7"/>
  <c r="AK264" i="7"/>
  <c r="C264" i="7"/>
  <c r="B264" i="7"/>
  <c r="AK263" i="7"/>
  <c r="C263" i="7"/>
  <c r="B263" i="7"/>
  <c r="AK262" i="7"/>
  <c r="C262" i="7"/>
  <c r="B262" i="7"/>
  <c r="AK261" i="7"/>
  <c r="C261" i="7"/>
  <c r="B261" i="7"/>
  <c r="AK260" i="7"/>
  <c r="C260" i="7"/>
  <c r="B260" i="7"/>
  <c r="AK259" i="7"/>
  <c r="C259" i="7"/>
  <c r="B259" i="7"/>
  <c r="AK258" i="7"/>
  <c r="C258" i="7"/>
  <c r="B258" i="7"/>
  <c r="AK257" i="7"/>
  <c r="C257" i="7"/>
  <c r="B257" i="7"/>
  <c r="AK256" i="7"/>
  <c r="C256" i="7"/>
  <c r="B256" i="7"/>
  <c r="AK255" i="7"/>
  <c r="C255" i="7"/>
  <c r="B255" i="7"/>
  <c r="AK254" i="7"/>
  <c r="C254" i="7"/>
  <c r="B254" i="7"/>
  <c r="AK253" i="7"/>
  <c r="C253" i="7"/>
  <c r="B253" i="7"/>
  <c r="AK252" i="7"/>
  <c r="C252" i="7"/>
  <c r="B252" i="7"/>
  <c r="AK251" i="7"/>
  <c r="C251" i="7"/>
  <c r="B251" i="7"/>
  <c r="AK250" i="7"/>
  <c r="C250" i="7"/>
  <c r="B250" i="7"/>
  <c r="AK249" i="7"/>
  <c r="C249" i="7"/>
  <c r="B249" i="7"/>
  <c r="AK248" i="7"/>
  <c r="C248" i="7"/>
  <c r="B248" i="7"/>
  <c r="AK247" i="7"/>
  <c r="C247" i="7"/>
  <c r="B247" i="7"/>
  <c r="AK246" i="7"/>
  <c r="C246" i="7"/>
  <c r="B246" i="7"/>
  <c r="AK245" i="7"/>
  <c r="C245" i="7"/>
  <c r="B245" i="7"/>
  <c r="AK244" i="7"/>
  <c r="C244" i="7"/>
  <c r="B244" i="7"/>
  <c r="AK243" i="7"/>
  <c r="C243" i="7"/>
  <c r="B243" i="7"/>
  <c r="AK242" i="7"/>
  <c r="C242" i="7"/>
  <c r="B242" i="7"/>
  <c r="AK241" i="7"/>
  <c r="C241" i="7"/>
  <c r="B241" i="7"/>
  <c r="AK240" i="7"/>
  <c r="C240" i="7"/>
  <c r="B240" i="7"/>
  <c r="AK239" i="7"/>
  <c r="C239" i="7"/>
  <c r="B239" i="7"/>
  <c r="AK238" i="7"/>
  <c r="C238" i="7"/>
  <c r="B238" i="7"/>
  <c r="AK237" i="7"/>
  <c r="C237" i="7"/>
  <c r="B237" i="7"/>
  <c r="AK236" i="7"/>
  <c r="C236" i="7"/>
  <c r="B236" i="7"/>
  <c r="AK235" i="7"/>
  <c r="C235" i="7"/>
  <c r="B235" i="7"/>
  <c r="AK234" i="7"/>
  <c r="C234" i="7"/>
  <c r="B234" i="7"/>
  <c r="AK233" i="7"/>
  <c r="C233" i="7"/>
  <c r="B233" i="7"/>
  <c r="AK232" i="7"/>
  <c r="C232" i="7"/>
  <c r="B232" i="7"/>
  <c r="AK231" i="7"/>
  <c r="C231" i="7"/>
  <c r="B231" i="7"/>
  <c r="AK230" i="7"/>
  <c r="C230" i="7"/>
  <c r="B230" i="7"/>
  <c r="AK229" i="7"/>
  <c r="C229" i="7"/>
  <c r="B229" i="7"/>
  <c r="AK228" i="7"/>
  <c r="C228" i="7"/>
  <c r="B228" i="7"/>
  <c r="AK227" i="7"/>
  <c r="C227" i="7"/>
  <c r="B227" i="7"/>
  <c r="AK226" i="7"/>
  <c r="C226" i="7"/>
  <c r="B226" i="7"/>
  <c r="AK225" i="7"/>
  <c r="C225" i="7"/>
  <c r="B225" i="7"/>
  <c r="AK224" i="7"/>
  <c r="C224" i="7"/>
  <c r="B224" i="7"/>
  <c r="AK223" i="7"/>
  <c r="C223" i="7"/>
  <c r="B223" i="7"/>
  <c r="AK222" i="7"/>
  <c r="C222" i="7"/>
  <c r="B222" i="7"/>
  <c r="AK221" i="7"/>
  <c r="C221" i="7"/>
  <c r="B221" i="7"/>
  <c r="AK220" i="7"/>
  <c r="C220" i="7"/>
  <c r="B220" i="7"/>
  <c r="AK219" i="7"/>
  <c r="C219" i="7"/>
  <c r="B219" i="7"/>
  <c r="AK218" i="7"/>
  <c r="C218" i="7"/>
  <c r="B218" i="7"/>
  <c r="AK217" i="7"/>
  <c r="C217" i="7"/>
  <c r="B217" i="7"/>
  <c r="AK216" i="7"/>
  <c r="C216" i="7"/>
  <c r="B216" i="7"/>
  <c r="AK215" i="7"/>
  <c r="C215" i="7"/>
  <c r="B215" i="7"/>
  <c r="AK214" i="7"/>
  <c r="C214" i="7"/>
  <c r="B214" i="7"/>
  <c r="AK213" i="7"/>
  <c r="C213" i="7"/>
  <c r="B213" i="7"/>
  <c r="AK212" i="7"/>
  <c r="C212" i="7"/>
  <c r="B212" i="7"/>
  <c r="AK211" i="7"/>
  <c r="C211" i="7"/>
  <c r="B211" i="7"/>
  <c r="AK210" i="7"/>
  <c r="C210" i="7"/>
  <c r="B210" i="7"/>
  <c r="AK209" i="7"/>
  <c r="C209" i="7"/>
  <c r="B209" i="7"/>
  <c r="AK208" i="7"/>
  <c r="C208" i="7"/>
  <c r="B208" i="7"/>
  <c r="AK207" i="7"/>
  <c r="C207" i="7"/>
  <c r="B207" i="7"/>
  <c r="AK206" i="7"/>
  <c r="C206" i="7"/>
  <c r="B206" i="7"/>
  <c r="AK205" i="7"/>
  <c r="C205" i="7"/>
  <c r="B205" i="7"/>
  <c r="AK204" i="7"/>
  <c r="C204" i="7"/>
  <c r="B204" i="7"/>
  <c r="AK203" i="7"/>
  <c r="C203" i="7"/>
  <c r="B203" i="7"/>
  <c r="AK202" i="7"/>
  <c r="C202" i="7"/>
  <c r="B202" i="7"/>
  <c r="AK201" i="7"/>
  <c r="C201" i="7"/>
  <c r="B201" i="7"/>
  <c r="AK200" i="7"/>
  <c r="C200" i="7"/>
  <c r="B200" i="7"/>
  <c r="AK199" i="7"/>
  <c r="C199" i="7"/>
  <c r="B199" i="7"/>
  <c r="AK198" i="7"/>
  <c r="C198" i="7"/>
  <c r="B198" i="7"/>
  <c r="AK197" i="7"/>
  <c r="C197" i="7"/>
  <c r="B197" i="7"/>
  <c r="AK196" i="7"/>
  <c r="C196" i="7"/>
  <c r="B196" i="7"/>
  <c r="AK195" i="7"/>
  <c r="C195" i="7"/>
  <c r="B195" i="7"/>
  <c r="AK194" i="7"/>
  <c r="C194" i="7"/>
  <c r="B194" i="7"/>
  <c r="AK193" i="7"/>
  <c r="C193" i="7"/>
  <c r="B193" i="7"/>
  <c r="AK192" i="7"/>
  <c r="C192" i="7"/>
  <c r="B192" i="7"/>
  <c r="AK191" i="7"/>
  <c r="C191" i="7"/>
  <c r="B191" i="7"/>
  <c r="AK190" i="7"/>
  <c r="C190" i="7"/>
  <c r="B190" i="7"/>
  <c r="AK189" i="7"/>
  <c r="C189" i="7"/>
  <c r="B189" i="7"/>
  <c r="AK188" i="7"/>
  <c r="C188" i="7"/>
  <c r="B188" i="7"/>
  <c r="AK187" i="7"/>
  <c r="C187" i="7"/>
  <c r="B187" i="7"/>
  <c r="AK186" i="7"/>
  <c r="C186" i="7"/>
  <c r="B186" i="7"/>
  <c r="AK185" i="7"/>
  <c r="C185" i="7"/>
  <c r="B185" i="7"/>
  <c r="AK184" i="7"/>
  <c r="C184" i="7"/>
  <c r="B184" i="7"/>
  <c r="AK183" i="7"/>
  <c r="C183" i="7"/>
  <c r="B183" i="7"/>
  <c r="AK182" i="7"/>
  <c r="C182" i="7"/>
  <c r="B182" i="7"/>
  <c r="AK181" i="7"/>
  <c r="C181" i="7"/>
  <c r="B181" i="7"/>
  <c r="AK180" i="7"/>
  <c r="C180" i="7"/>
  <c r="B180" i="7"/>
  <c r="AK179" i="7"/>
  <c r="C179" i="7"/>
  <c r="B179" i="7"/>
  <c r="AK178" i="7"/>
  <c r="C178" i="7"/>
  <c r="B178" i="7"/>
  <c r="AK177" i="7"/>
  <c r="C177" i="7"/>
  <c r="B177" i="7"/>
  <c r="AK176" i="7"/>
  <c r="C176" i="7"/>
  <c r="B176" i="7"/>
  <c r="AK175" i="7"/>
  <c r="C175" i="7"/>
  <c r="B175" i="7"/>
  <c r="AK174" i="7"/>
  <c r="C174" i="7"/>
  <c r="B174" i="7"/>
  <c r="AK173" i="7"/>
  <c r="C173" i="7"/>
  <c r="B173" i="7"/>
  <c r="AK172" i="7"/>
  <c r="C172" i="7"/>
  <c r="B172" i="7"/>
  <c r="AK171" i="7"/>
  <c r="C171" i="7"/>
  <c r="B171" i="7"/>
  <c r="AK170" i="7"/>
  <c r="C170" i="7"/>
  <c r="B170" i="7"/>
  <c r="AK169" i="7"/>
  <c r="C169" i="7"/>
  <c r="B169" i="7"/>
  <c r="AK168" i="7"/>
  <c r="C168" i="7"/>
  <c r="B168" i="7"/>
  <c r="AK167" i="7"/>
  <c r="C167" i="7"/>
  <c r="B167" i="7"/>
  <c r="AK166" i="7"/>
  <c r="C166" i="7"/>
  <c r="B166" i="7"/>
  <c r="AK165" i="7"/>
  <c r="C165" i="7"/>
  <c r="B165" i="7"/>
  <c r="AK164" i="7"/>
  <c r="C164" i="7"/>
  <c r="B164" i="7"/>
  <c r="AK163" i="7"/>
  <c r="C163" i="7"/>
  <c r="B163" i="7"/>
  <c r="AK162" i="7"/>
  <c r="C162" i="7"/>
  <c r="B162" i="7"/>
  <c r="AK161" i="7"/>
  <c r="C161" i="7"/>
  <c r="B161" i="7"/>
  <c r="AK160" i="7"/>
  <c r="C160" i="7"/>
  <c r="B160" i="7"/>
  <c r="AK159" i="7"/>
  <c r="C159" i="7"/>
  <c r="B159" i="7"/>
  <c r="AK158" i="7"/>
  <c r="C158" i="7"/>
  <c r="B158" i="7"/>
  <c r="AK157" i="7"/>
  <c r="C157" i="7"/>
  <c r="B157" i="7"/>
  <c r="AK156" i="7"/>
  <c r="C156" i="7"/>
  <c r="B156" i="7"/>
  <c r="AK155" i="7"/>
  <c r="C155" i="7"/>
  <c r="B155" i="7"/>
  <c r="AK154" i="7"/>
  <c r="C154" i="7"/>
  <c r="B154" i="7"/>
  <c r="AK153" i="7"/>
  <c r="C153" i="7"/>
  <c r="B153" i="7"/>
  <c r="AK152" i="7"/>
  <c r="C152" i="7"/>
  <c r="B152" i="7"/>
  <c r="AK151" i="7"/>
  <c r="C151" i="7"/>
  <c r="B151" i="7"/>
  <c r="AK150" i="7"/>
  <c r="C150" i="7"/>
  <c r="B150" i="7"/>
  <c r="AK149" i="7"/>
  <c r="C149" i="7"/>
  <c r="B149" i="7"/>
  <c r="AK148" i="7"/>
  <c r="C148" i="7"/>
  <c r="B148" i="7"/>
  <c r="AK147" i="7"/>
  <c r="C147" i="7"/>
  <c r="B147" i="7"/>
  <c r="AK146" i="7"/>
  <c r="C146" i="7"/>
  <c r="B146" i="7"/>
  <c r="AK145" i="7"/>
  <c r="C145" i="7"/>
  <c r="B145" i="7"/>
  <c r="AK144" i="7"/>
  <c r="C144" i="7"/>
  <c r="B144" i="7"/>
  <c r="AK143" i="7"/>
  <c r="C143" i="7"/>
  <c r="B143" i="7"/>
  <c r="AK142" i="7"/>
  <c r="C142" i="7"/>
  <c r="B142" i="7"/>
  <c r="AK141" i="7"/>
  <c r="C141" i="7"/>
  <c r="B141" i="7"/>
  <c r="AK140" i="7"/>
  <c r="C140" i="7"/>
  <c r="B140" i="7"/>
  <c r="AK139" i="7"/>
  <c r="C139" i="7"/>
  <c r="B139" i="7"/>
  <c r="AK138" i="7"/>
  <c r="C138" i="7"/>
  <c r="B138" i="7"/>
  <c r="AK137" i="7"/>
  <c r="C137" i="7"/>
  <c r="B137" i="7"/>
  <c r="AK136" i="7"/>
  <c r="C136" i="7"/>
  <c r="B136" i="7"/>
  <c r="AK135" i="7"/>
  <c r="C135" i="7"/>
  <c r="B135" i="7"/>
  <c r="AK134" i="7"/>
  <c r="C134" i="7"/>
  <c r="B134" i="7"/>
  <c r="AK133" i="7"/>
  <c r="C133" i="7"/>
  <c r="B133" i="7"/>
  <c r="AK132" i="7"/>
  <c r="C132" i="7"/>
  <c r="B132" i="7"/>
  <c r="AK131" i="7"/>
  <c r="C131" i="7"/>
  <c r="B131" i="7"/>
  <c r="AK130" i="7"/>
  <c r="C130" i="7"/>
  <c r="B130" i="7"/>
  <c r="AK129" i="7"/>
  <c r="C129" i="7"/>
  <c r="B129" i="7"/>
  <c r="AK128" i="7"/>
  <c r="C128" i="7"/>
  <c r="B128" i="7"/>
  <c r="AK127" i="7"/>
  <c r="C127" i="7"/>
  <c r="B127" i="7"/>
  <c r="AK126" i="7"/>
  <c r="C126" i="7"/>
  <c r="B126" i="7"/>
  <c r="AK125" i="7"/>
  <c r="C125" i="7"/>
  <c r="B125" i="7"/>
  <c r="AK124" i="7"/>
  <c r="C124" i="7"/>
  <c r="B124" i="7"/>
  <c r="AK123" i="7"/>
  <c r="C123" i="7"/>
  <c r="B123" i="7"/>
  <c r="AK122" i="7"/>
  <c r="C122" i="7"/>
  <c r="B122" i="7"/>
  <c r="AK121" i="7"/>
  <c r="C121" i="7"/>
  <c r="B121" i="7"/>
  <c r="AK120" i="7"/>
  <c r="C120" i="7"/>
  <c r="B120" i="7"/>
  <c r="AK119" i="7"/>
  <c r="C119" i="7"/>
  <c r="B119" i="7"/>
  <c r="AK118" i="7"/>
  <c r="C118" i="7"/>
  <c r="B118" i="7"/>
  <c r="AK117" i="7"/>
  <c r="C117" i="7"/>
  <c r="B117" i="7"/>
  <c r="AK116" i="7"/>
  <c r="C116" i="7"/>
  <c r="B116" i="7"/>
  <c r="AK115" i="7"/>
  <c r="C115" i="7"/>
  <c r="B115" i="7"/>
  <c r="AK114" i="7"/>
  <c r="C114" i="7"/>
  <c r="B114" i="7"/>
  <c r="AK113" i="7"/>
  <c r="C113" i="7"/>
  <c r="B113" i="7"/>
  <c r="AK112" i="7"/>
  <c r="C112" i="7"/>
  <c r="B112" i="7"/>
  <c r="AK111" i="7"/>
  <c r="C111" i="7"/>
  <c r="B111" i="7"/>
  <c r="AK110" i="7"/>
  <c r="C110" i="7"/>
  <c r="B110" i="7"/>
  <c r="AK109" i="7"/>
  <c r="C109" i="7"/>
  <c r="B109" i="7"/>
  <c r="AK108" i="7"/>
  <c r="C108" i="7"/>
  <c r="B108" i="7"/>
  <c r="AK107" i="7"/>
  <c r="C107" i="7"/>
  <c r="B107" i="7"/>
  <c r="AK106" i="7"/>
  <c r="C106" i="7"/>
  <c r="B106" i="7"/>
  <c r="AK105" i="7"/>
  <c r="C105" i="7"/>
  <c r="B105" i="7"/>
  <c r="AK104" i="7"/>
  <c r="C104" i="7"/>
  <c r="B104" i="7"/>
  <c r="AK103" i="7"/>
  <c r="C103" i="7"/>
  <c r="B103" i="7"/>
  <c r="AK102" i="7"/>
  <c r="C102" i="7"/>
  <c r="B102" i="7"/>
  <c r="AK101" i="7"/>
  <c r="C101" i="7"/>
  <c r="B101" i="7"/>
  <c r="AK100" i="7"/>
  <c r="C100" i="7"/>
  <c r="B100" i="7"/>
  <c r="AK99" i="7"/>
  <c r="C99" i="7"/>
  <c r="B99" i="7"/>
  <c r="AK98" i="7"/>
  <c r="C98" i="7"/>
  <c r="B98" i="7"/>
  <c r="AK97" i="7"/>
  <c r="C97" i="7"/>
  <c r="B97" i="7"/>
  <c r="AK96" i="7"/>
  <c r="C96" i="7"/>
  <c r="B96" i="7"/>
  <c r="AK95" i="7"/>
  <c r="C95" i="7"/>
  <c r="B95" i="7"/>
  <c r="AK94" i="7"/>
  <c r="C94" i="7"/>
  <c r="B94" i="7"/>
  <c r="AK93" i="7"/>
  <c r="C93" i="7"/>
  <c r="B93" i="7"/>
  <c r="AK92" i="7"/>
  <c r="C92" i="7"/>
  <c r="B92" i="7"/>
  <c r="AK91" i="7"/>
  <c r="C91" i="7"/>
  <c r="B91" i="7"/>
  <c r="AK90" i="7"/>
  <c r="C90" i="7"/>
  <c r="B90" i="7"/>
  <c r="AK89" i="7"/>
  <c r="C89" i="7"/>
  <c r="B89" i="7"/>
  <c r="AK88" i="7"/>
  <c r="C88" i="7"/>
  <c r="B88" i="7"/>
  <c r="AK87" i="7"/>
  <c r="C87" i="7"/>
  <c r="B87" i="7"/>
  <c r="AK86" i="7"/>
  <c r="C86" i="7"/>
  <c r="B86" i="7"/>
  <c r="AK85" i="7"/>
  <c r="C85" i="7"/>
  <c r="B85" i="7"/>
  <c r="AK84" i="7"/>
  <c r="C84" i="7"/>
  <c r="B84" i="7"/>
  <c r="AK83" i="7"/>
  <c r="C83" i="7"/>
  <c r="B83" i="7"/>
  <c r="AK82" i="7"/>
  <c r="C82" i="7"/>
  <c r="B82" i="7"/>
  <c r="AK81" i="7"/>
  <c r="C81" i="7"/>
  <c r="B81" i="7"/>
  <c r="AK80" i="7"/>
  <c r="C80" i="7"/>
  <c r="B80" i="7"/>
  <c r="AK79" i="7"/>
  <c r="C79" i="7"/>
  <c r="B79" i="7"/>
  <c r="AK78" i="7"/>
  <c r="C78" i="7"/>
  <c r="B78" i="7"/>
  <c r="AK77" i="7"/>
  <c r="C77" i="7"/>
  <c r="B77" i="7"/>
  <c r="AK76" i="7"/>
  <c r="C76" i="7"/>
  <c r="B76" i="7"/>
  <c r="AK75" i="7"/>
  <c r="C75" i="7"/>
  <c r="B75" i="7"/>
  <c r="AK74" i="7"/>
  <c r="C74" i="7"/>
  <c r="B74" i="7"/>
  <c r="AK73" i="7"/>
  <c r="C73" i="7"/>
  <c r="B73" i="7"/>
  <c r="AK72" i="7"/>
  <c r="C72" i="7"/>
  <c r="B72" i="7"/>
  <c r="AK71" i="7"/>
  <c r="C71" i="7"/>
  <c r="B71" i="7"/>
  <c r="AK70" i="7"/>
  <c r="C70" i="7"/>
  <c r="B70" i="7"/>
  <c r="AK69" i="7"/>
  <c r="C69" i="7"/>
  <c r="B69" i="7"/>
  <c r="AK68" i="7"/>
  <c r="C68" i="7"/>
  <c r="B68" i="7"/>
  <c r="AK67" i="7"/>
  <c r="C67" i="7"/>
  <c r="B67" i="7"/>
  <c r="AK66" i="7"/>
  <c r="C66" i="7"/>
  <c r="B66" i="7"/>
  <c r="AK65" i="7"/>
  <c r="C65" i="7"/>
  <c r="B65" i="7"/>
  <c r="AK64" i="7"/>
  <c r="C64" i="7"/>
  <c r="B64" i="7"/>
  <c r="AK63" i="7"/>
  <c r="C63" i="7"/>
  <c r="B63" i="7"/>
  <c r="AK62" i="7"/>
  <c r="C62" i="7"/>
  <c r="B62" i="7"/>
  <c r="AK61" i="7"/>
  <c r="C61" i="7"/>
  <c r="B61" i="7"/>
  <c r="AK60" i="7"/>
  <c r="C60" i="7"/>
  <c r="B60" i="7"/>
  <c r="AK59" i="7"/>
  <c r="C59" i="7"/>
  <c r="B59" i="7"/>
  <c r="AK58" i="7"/>
  <c r="C58" i="7"/>
  <c r="B58" i="7"/>
  <c r="AK57" i="7"/>
  <c r="C57" i="7"/>
  <c r="B57" i="7"/>
  <c r="AK56" i="7"/>
  <c r="C56" i="7"/>
  <c r="B56" i="7"/>
  <c r="AK55" i="7"/>
  <c r="C55" i="7"/>
  <c r="B55" i="7"/>
  <c r="AK54" i="7"/>
  <c r="C54" i="7"/>
  <c r="B54" i="7"/>
  <c r="AK53" i="7"/>
  <c r="C53" i="7"/>
  <c r="B53" i="7"/>
  <c r="AK52" i="7"/>
  <c r="C52" i="7"/>
  <c r="B52" i="7"/>
  <c r="AK51" i="7"/>
  <c r="C51" i="7"/>
  <c r="B51" i="7"/>
  <c r="AK50" i="7"/>
  <c r="C50" i="7"/>
  <c r="B50" i="7"/>
  <c r="AK49" i="7"/>
  <c r="C49" i="7"/>
  <c r="B49" i="7"/>
  <c r="AK48" i="7"/>
  <c r="C48" i="7"/>
  <c r="B48" i="7"/>
  <c r="AK47" i="7"/>
  <c r="C47" i="7"/>
  <c r="B47" i="7"/>
  <c r="AK46" i="7"/>
  <c r="C46" i="7"/>
  <c r="B46" i="7"/>
  <c r="AK45" i="7"/>
  <c r="C45" i="7"/>
  <c r="B45" i="7"/>
  <c r="AK44" i="7"/>
  <c r="C44" i="7"/>
  <c r="B44" i="7"/>
  <c r="AK43" i="7"/>
  <c r="C43" i="7"/>
  <c r="B43" i="7"/>
  <c r="AK42" i="7"/>
  <c r="C42" i="7"/>
  <c r="B42" i="7"/>
  <c r="AK41" i="7"/>
  <c r="C41" i="7"/>
  <c r="B41" i="7"/>
  <c r="AK40" i="7"/>
  <c r="C40" i="7"/>
  <c r="B40" i="7"/>
  <c r="AK39" i="7"/>
  <c r="C39" i="7"/>
  <c r="B39" i="7"/>
  <c r="AK38" i="7"/>
  <c r="C38" i="7"/>
  <c r="B38" i="7"/>
  <c r="AK37" i="7"/>
  <c r="C37" i="7"/>
  <c r="B37" i="7"/>
  <c r="AK36" i="7"/>
  <c r="C36" i="7"/>
  <c r="B36" i="7"/>
  <c r="AK35" i="7"/>
  <c r="C35" i="7"/>
  <c r="B35" i="7"/>
  <c r="AK34" i="7"/>
  <c r="C34" i="7"/>
  <c r="B34" i="7"/>
  <c r="AK33" i="7"/>
  <c r="C33" i="7"/>
  <c r="B33" i="7"/>
  <c r="AK32" i="7"/>
  <c r="C32" i="7"/>
  <c r="B32" i="7"/>
  <c r="AK31" i="7"/>
  <c r="C31" i="7"/>
  <c r="B31" i="7"/>
  <c r="AK30" i="7"/>
  <c r="C30" i="7"/>
  <c r="B30" i="7"/>
  <c r="AK29" i="7"/>
  <c r="C29" i="7"/>
  <c r="B29" i="7"/>
  <c r="AK28" i="7"/>
  <c r="C28" i="7"/>
  <c r="B28" i="7"/>
  <c r="AK27" i="7"/>
  <c r="C27" i="7"/>
  <c r="B27" i="7"/>
  <c r="AK26" i="7"/>
  <c r="C26" i="7"/>
  <c r="B26" i="7"/>
  <c r="AK25" i="7"/>
  <c r="C25" i="7"/>
  <c r="B25" i="7"/>
  <c r="AK24" i="7"/>
  <c r="C24" i="7"/>
  <c r="B24" i="7"/>
  <c r="AK23" i="7"/>
  <c r="C23" i="7"/>
  <c r="B23" i="7"/>
  <c r="AK22" i="7"/>
  <c r="C22" i="7"/>
  <c r="B22" i="7"/>
  <c r="AK21" i="7"/>
  <c r="C21" i="7"/>
  <c r="B21" i="7"/>
  <c r="AK20" i="7"/>
  <c r="C20" i="7"/>
  <c r="B20" i="7"/>
  <c r="AK19" i="7"/>
  <c r="C19" i="7"/>
  <c r="B19" i="7"/>
  <c r="AK18" i="7"/>
  <c r="C18" i="7"/>
  <c r="B18" i="7"/>
  <c r="AK17" i="7"/>
  <c r="C17" i="7"/>
  <c r="B17" i="7"/>
  <c r="AK16" i="7"/>
  <c r="C16" i="7"/>
  <c r="B16" i="7"/>
  <c r="AK15" i="7"/>
  <c r="C15" i="7"/>
  <c r="B15" i="7"/>
  <c r="AK14" i="7"/>
  <c r="C14" i="7"/>
  <c r="B14" i="7"/>
  <c r="AK13" i="7"/>
  <c r="C13" i="7"/>
  <c r="B13" i="7"/>
  <c r="AK12" i="7"/>
  <c r="C12" i="7"/>
  <c r="B12" i="7"/>
  <c r="AK11" i="7"/>
  <c r="C11" i="7"/>
  <c r="B11" i="7"/>
  <c r="AK10" i="7"/>
  <c r="C10" i="7"/>
  <c r="B10" i="7"/>
  <c r="AK9" i="7"/>
  <c r="C9" i="7"/>
  <c r="B9" i="7"/>
  <c r="AK8" i="7"/>
  <c r="C8" i="7"/>
  <c r="B8" i="7"/>
  <c r="AK7" i="7"/>
  <c r="C7" i="7"/>
  <c r="B7" i="7"/>
  <c r="A1" i="7"/>
  <c r="K522" i="6"/>
  <c r="J522" i="6"/>
  <c r="I522" i="6"/>
  <c r="H522" i="6"/>
  <c r="G522" i="6"/>
  <c r="F522" i="6"/>
  <c r="D522" i="6"/>
  <c r="C522" i="6"/>
  <c r="L521" i="6"/>
  <c r="E521" i="6"/>
  <c r="L520" i="6"/>
  <c r="E520" i="6"/>
  <c r="L519" i="6"/>
  <c r="E519" i="6"/>
  <c r="L518" i="6"/>
  <c r="E518" i="6"/>
  <c r="L517" i="6"/>
  <c r="E517" i="6"/>
  <c r="L516" i="6"/>
  <c r="E516" i="6"/>
  <c r="L515" i="6"/>
  <c r="E515" i="6"/>
  <c r="L514" i="6"/>
  <c r="AM515" i="7"/>
  <c r="E514" i="6"/>
  <c r="L513" i="6"/>
  <c r="AM514" i="7"/>
  <c r="E513" i="6"/>
  <c r="BN30" i="5" s="1" a="1"/>
  <c r="BN30" i="5" s="1"/>
  <c r="L512" i="6"/>
  <c r="E512" i="6"/>
  <c r="AB506" i="6"/>
  <c r="AA506" i="6"/>
  <c r="Z506" i="6"/>
  <c r="Y506" i="6"/>
  <c r="X506" i="6"/>
  <c r="W506" i="6"/>
  <c r="V506" i="6"/>
  <c r="S506" i="6"/>
  <c r="D506" i="6"/>
  <c r="AC505" i="6"/>
  <c r="E505" i="6"/>
  <c r="AC504" i="6"/>
  <c r="E504" i="6"/>
  <c r="AC503" i="6"/>
  <c r="E503" i="6"/>
  <c r="K503" i="6"/>
  <c r="L503" i="6"/>
  <c r="AC502" i="6"/>
  <c r="E502" i="6"/>
  <c r="M502" i="6"/>
  <c r="AC501" i="6"/>
  <c r="E501" i="6"/>
  <c r="AC500" i="6"/>
  <c r="E500" i="6"/>
  <c r="M500" i="6"/>
  <c r="AC499" i="6"/>
  <c r="E499" i="6"/>
  <c r="M499" i="6"/>
  <c r="AC498" i="6"/>
  <c r="E498" i="6"/>
  <c r="M498" i="6" s="1"/>
  <c r="AC497" i="6"/>
  <c r="E497" i="6"/>
  <c r="AC496" i="6"/>
  <c r="E496" i="6"/>
  <c r="M496" i="6"/>
  <c r="AC495" i="6"/>
  <c r="E495" i="6"/>
  <c r="M495" i="6" s="1"/>
  <c r="AC494" i="6"/>
  <c r="E494" i="6"/>
  <c r="M494" i="6"/>
  <c r="AC493" i="6"/>
  <c r="E493" i="6"/>
  <c r="AC492" i="6"/>
  <c r="E492" i="6"/>
  <c r="M492" i="6" s="1"/>
  <c r="AC491" i="6"/>
  <c r="E491" i="6"/>
  <c r="M491" i="6" s="1"/>
  <c r="AC490" i="6"/>
  <c r="E490" i="6"/>
  <c r="M490" i="6"/>
  <c r="AC489" i="6"/>
  <c r="E489" i="6"/>
  <c r="AC488" i="6"/>
  <c r="E488" i="6"/>
  <c r="M488" i="6" s="1"/>
  <c r="AC487" i="6"/>
  <c r="E487" i="6"/>
  <c r="M487" i="6"/>
  <c r="AC486" i="6"/>
  <c r="E486" i="6"/>
  <c r="M486" i="6"/>
  <c r="AC485" i="6"/>
  <c r="E485" i="6"/>
  <c r="AC484" i="6"/>
  <c r="E484" i="6"/>
  <c r="M484" i="6"/>
  <c r="AC483" i="6"/>
  <c r="E483" i="6"/>
  <c r="M483" i="6"/>
  <c r="AC482" i="6"/>
  <c r="E482" i="6"/>
  <c r="M482" i="6" s="1"/>
  <c r="AC481" i="6"/>
  <c r="E481" i="6"/>
  <c r="M481" i="6"/>
  <c r="AC480" i="6"/>
  <c r="E480" i="6"/>
  <c r="AC479" i="6"/>
  <c r="E479" i="6"/>
  <c r="M479" i="6" s="1"/>
  <c r="AC478" i="6"/>
  <c r="E478" i="6"/>
  <c r="M478" i="6" s="1"/>
  <c r="AC477" i="6"/>
  <c r="E477" i="6"/>
  <c r="M477" i="6"/>
  <c r="AC476" i="6"/>
  <c r="E476" i="6"/>
  <c r="M476" i="6"/>
  <c r="AC475" i="6"/>
  <c r="E475" i="6"/>
  <c r="M475" i="6" s="1"/>
  <c r="AC474" i="6"/>
  <c r="E474" i="6"/>
  <c r="M474" i="6"/>
  <c r="AC473" i="6"/>
  <c r="E473" i="6"/>
  <c r="M473" i="6" s="1"/>
  <c r="AC472" i="6"/>
  <c r="E472" i="6"/>
  <c r="M472" i="6"/>
  <c r="AC471" i="6"/>
  <c r="E471" i="6"/>
  <c r="K471" i="6" s="1"/>
  <c r="L471" i="6"/>
  <c r="AC470" i="6"/>
  <c r="E470" i="6"/>
  <c r="AC469" i="6"/>
  <c r="E469" i="6"/>
  <c r="M469" i="6" s="1"/>
  <c r="AC468" i="6"/>
  <c r="E468" i="6"/>
  <c r="M468" i="6"/>
  <c r="AC467" i="6"/>
  <c r="E467" i="6"/>
  <c r="AC466" i="6"/>
  <c r="E466" i="6"/>
  <c r="K466" i="6" s="1"/>
  <c r="L466" i="6" s="1"/>
  <c r="AC465" i="6"/>
  <c r="E465" i="6"/>
  <c r="K465" i="6"/>
  <c r="L465" i="6" s="1"/>
  <c r="AC464" i="6"/>
  <c r="E464" i="6"/>
  <c r="K464" i="6"/>
  <c r="L464" i="6" s="1"/>
  <c r="AC463" i="6"/>
  <c r="E463" i="6"/>
  <c r="K463" i="6"/>
  <c r="L463" i="6" s="1"/>
  <c r="AC462" i="6"/>
  <c r="E462" i="6"/>
  <c r="K462" i="6" s="1"/>
  <c r="L462" i="6" s="1"/>
  <c r="AC461" i="6"/>
  <c r="E461" i="6"/>
  <c r="K461" i="6"/>
  <c r="L461" i="6" s="1"/>
  <c r="AC460" i="6"/>
  <c r="E460" i="6"/>
  <c r="K460" i="6"/>
  <c r="L460" i="6" s="1"/>
  <c r="AC459" i="6"/>
  <c r="E459" i="6"/>
  <c r="K459" i="6"/>
  <c r="L459" i="6" s="1"/>
  <c r="AC458" i="6"/>
  <c r="E458" i="6"/>
  <c r="K458" i="6" s="1"/>
  <c r="L458" i="6" s="1"/>
  <c r="AC457" i="6"/>
  <c r="E457" i="6"/>
  <c r="K457" i="6"/>
  <c r="L457" i="6" s="1"/>
  <c r="AC456" i="6"/>
  <c r="E456" i="6"/>
  <c r="K456" i="6"/>
  <c r="L456" i="6" s="1"/>
  <c r="AC455" i="6"/>
  <c r="E455" i="6"/>
  <c r="K455" i="6"/>
  <c r="L455" i="6" s="1"/>
  <c r="AC454" i="6"/>
  <c r="E454" i="6"/>
  <c r="K454" i="6" s="1"/>
  <c r="L454" i="6" s="1"/>
  <c r="AC453" i="6"/>
  <c r="E453" i="6"/>
  <c r="K453" i="6"/>
  <c r="L453" i="6" s="1"/>
  <c r="AC452" i="6"/>
  <c r="E452" i="6"/>
  <c r="K452" i="6"/>
  <c r="L452" i="6" s="1"/>
  <c r="AC451" i="6"/>
  <c r="E451" i="6"/>
  <c r="K451" i="6"/>
  <c r="L451" i="6" s="1"/>
  <c r="AC450" i="6"/>
  <c r="E450" i="6"/>
  <c r="K450" i="6" s="1"/>
  <c r="L450" i="6" s="1"/>
  <c r="AC449" i="6"/>
  <c r="E449" i="6"/>
  <c r="K449" i="6"/>
  <c r="L449" i="6" s="1"/>
  <c r="AC448" i="6"/>
  <c r="E448" i="6"/>
  <c r="K448" i="6"/>
  <c r="L448" i="6" s="1"/>
  <c r="AC447" i="6"/>
  <c r="E447" i="6"/>
  <c r="K447" i="6"/>
  <c r="L447" i="6" s="1"/>
  <c r="AC446" i="6"/>
  <c r="E446" i="6"/>
  <c r="K446" i="6" s="1"/>
  <c r="L446" i="6" s="1"/>
  <c r="AC445" i="6"/>
  <c r="E445" i="6"/>
  <c r="M445" i="6"/>
  <c r="AC444" i="6"/>
  <c r="E444" i="6"/>
  <c r="M444" i="6"/>
  <c r="AC443" i="6"/>
  <c r="E443" i="6"/>
  <c r="M443" i="6" s="1"/>
  <c r="AC442" i="6"/>
  <c r="E442" i="6"/>
  <c r="M442" i="6"/>
  <c r="AC441" i="6"/>
  <c r="E441" i="6"/>
  <c r="M441" i="6"/>
  <c r="AC440" i="6"/>
  <c r="E440" i="6"/>
  <c r="M440" i="6"/>
  <c r="AC439" i="6"/>
  <c r="E439" i="6"/>
  <c r="M439" i="6" s="1"/>
  <c r="AC438" i="6"/>
  <c r="E438" i="6"/>
  <c r="M438" i="6"/>
  <c r="AC437" i="6"/>
  <c r="E437" i="6"/>
  <c r="M437" i="6"/>
  <c r="AC436" i="6"/>
  <c r="E436" i="6"/>
  <c r="M436" i="6"/>
  <c r="AC435" i="6"/>
  <c r="E435" i="6"/>
  <c r="M435" i="6" s="1"/>
  <c r="AC434" i="6"/>
  <c r="E434" i="6"/>
  <c r="M434" i="6"/>
  <c r="AC433" i="6"/>
  <c r="E433" i="6"/>
  <c r="M433" i="6" s="1"/>
  <c r="AC432" i="6"/>
  <c r="E432" i="6"/>
  <c r="M432" i="6"/>
  <c r="AC431" i="6"/>
  <c r="E431" i="6"/>
  <c r="M431" i="6" s="1"/>
  <c r="AC430" i="6"/>
  <c r="E430" i="6"/>
  <c r="M430" i="6" s="1"/>
  <c r="AC429" i="6"/>
  <c r="E429" i="6"/>
  <c r="M429" i="6"/>
  <c r="AC428" i="6"/>
  <c r="E428" i="6"/>
  <c r="M428" i="6"/>
  <c r="AC427" i="6"/>
  <c r="E427" i="6"/>
  <c r="M427" i="6" s="1"/>
  <c r="AC426" i="6"/>
  <c r="E426" i="6"/>
  <c r="M426" i="6"/>
  <c r="AC425" i="6"/>
  <c r="E425" i="6"/>
  <c r="M425" i="6" s="1"/>
  <c r="AC424" i="6"/>
  <c r="E424" i="6"/>
  <c r="M424" i="6"/>
  <c r="AC423" i="6"/>
  <c r="E423" i="6"/>
  <c r="M423" i="6" s="1"/>
  <c r="AC422" i="6"/>
  <c r="E422" i="6"/>
  <c r="M422" i="6" s="1"/>
  <c r="AC421" i="6"/>
  <c r="E421" i="6"/>
  <c r="M421" i="6"/>
  <c r="AC420" i="6"/>
  <c r="E420" i="6"/>
  <c r="M420" i="6"/>
  <c r="AC419" i="6"/>
  <c r="E419" i="6"/>
  <c r="M419" i="6" s="1"/>
  <c r="AC418" i="6"/>
  <c r="E418" i="6"/>
  <c r="M418" i="6"/>
  <c r="AC417" i="6"/>
  <c r="E417" i="6"/>
  <c r="M417" i="6" s="1"/>
  <c r="AC416" i="6"/>
  <c r="E416" i="6"/>
  <c r="M416" i="6"/>
  <c r="AC415" i="6"/>
  <c r="E415" i="6"/>
  <c r="M415" i="6" s="1"/>
  <c r="AC414" i="6"/>
  <c r="E414" i="6"/>
  <c r="M414" i="6" s="1"/>
  <c r="AC413" i="6"/>
  <c r="E413" i="6"/>
  <c r="M413" i="6"/>
  <c r="AC412" i="6"/>
  <c r="E412" i="6"/>
  <c r="M412" i="6"/>
  <c r="AC411" i="6"/>
  <c r="E411" i="6"/>
  <c r="M411" i="6" s="1"/>
  <c r="AC410" i="6"/>
  <c r="E410" i="6"/>
  <c r="M410" i="6"/>
  <c r="AC409" i="6"/>
  <c r="E409" i="6"/>
  <c r="M409" i="6"/>
  <c r="AC408" i="6"/>
  <c r="E408" i="6"/>
  <c r="M408" i="6"/>
  <c r="AC407" i="6"/>
  <c r="E407" i="6"/>
  <c r="M407" i="6" s="1"/>
  <c r="AC406" i="6"/>
  <c r="E406" i="6"/>
  <c r="M406" i="6"/>
  <c r="AC405" i="6"/>
  <c r="E405" i="6"/>
  <c r="M405" i="6"/>
  <c r="AC404" i="6"/>
  <c r="E404" i="6"/>
  <c r="AC403" i="6"/>
  <c r="E403" i="6"/>
  <c r="AC402" i="6"/>
  <c r="E402" i="6"/>
  <c r="AC401" i="6"/>
  <c r="E401" i="6"/>
  <c r="M401" i="6"/>
  <c r="AC400" i="6"/>
  <c r="E400" i="6"/>
  <c r="M400" i="6"/>
  <c r="AC399" i="6"/>
  <c r="E399" i="6"/>
  <c r="M399" i="6"/>
  <c r="AC398" i="6"/>
  <c r="E398" i="6"/>
  <c r="M398" i="6" s="1"/>
  <c r="AC397" i="6"/>
  <c r="E397" i="6"/>
  <c r="M397" i="6"/>
  <c r="AC396" i="6"/>
  <c r="E396" i="6"/>
  <c r="J396" i="6" s="1"/>
  <c r="AC395" i="6"/>
  <c r="E395" i="6"/>
  <c r="AC394" i="6"/>
  <c r="E394" i="6"/>
  <c r="J394" i="6" s="1"/>
  <c r="AC393" i="6"/>
  <c r="E393" i="6"/>
  <c r="K393" i="6" s="1"/>
  <c r="L393" i="6"/>
  <c r="AC392" i="6"/>
  <c r="E392" i="6"/>
  <c r="K392" i="6" s="1"/>
  <c r="L392" i="6"/>
  <c r="AC391" i="6"/>
  <c r="E391" i="6"/>
  <c r="K391" i="6" s="1"/>
  <c r="L391" i="6" s="1"/>
  <c r="AC390" i="6"/>
  <c r="E390" i="6"/>
  <c r="AC389" i="6"/>
  <c r="E389" i="6"/>
  <c r="K389" i="6"/>
  <c r="L389" i="6"/>
  <c r="AC388" i="6"/>
  <c r="E388" i="6"/>
  <c r="K388" i="6"/>
  <c r="L388" i="6"/>
  <c r="AC387" i="6"/>
  <c r="E387" i="6"/>
  <c r="K387" i="6"/>
  <c r="L387" i="6"/>
  <c r="AC386" i="6"/>
  <c r="E386" i="6"/>
  <c r="AC385" i="6"/>
  <c r="E385" i="6"/>
  <c r="K385" i="6" s="1"/>
  <c r="L385" i="6"/>
  <c r="AC384" i="6"/>
  <c r="E384" i="6"/>
  <c r="K384" i="6" s="1"/>
  <c r="L384" i="6"/>
  <c r="AC383" i="6"/>
  <c r="E383" i="6"/>
  <c r="K383" i="6" s="1"/>
  <c r="L383" i="6"/>
  <c r="AC382" i="6"/>
  <c r="E382" i="6"/>
  <c r="AC381" i="6"/>
  <c r="E381" i="6"/>
  <c r="K381" i="6"/>
  <c r="L381" i="6"/>
  <c r="AC380" i="6"/>
  <c r="E380" i="6"/>
  <c r="K380" i="6"/>
  <c r="L380" i="6"/>
  <c r="AC379" i="6"/>
  <c r="E379" i="6"/>
  <c r="K379" i="6"/>
  <c r="L379" i="6"/>
  <c r="AC378" i="6"/>
  <c r="E378" i="6"/>
  <c r="AC377" i="6"/>
  <c r="E377" i="6"/>
  <c r="K377" i="6" s="1"/>
  <c r="L377" i="6" s="1"/>
  <c r="AC376" i="6"/>
  <c r="E376" i="6"/>
  <c r="K376" i="6" s="1"/>
  <c r="L376" i="6"/>
  <c r="AC375" i="6"/>
  <c r="E375" i="6"/>
  <c r="K375" i="6" s="1"/>
  <c r="L375" i="6" s="1"/>
  <c r="AC374" i="6"/>
  <c r="E374" i="6"/>
  <c r="K374" i="6" s="1"/>
  <c r="L374" i="6"/>
  <c r="AC373" i="6"/>
  <c r="E373" i="6"/>
  <c r="AC372" i="6"/>
  <c r="E372" i="6"/>
  <c r="AC371" i="6"/>
  <c r="E371" i="6"/>
  <c r="K371" i="6" s="1"/>
  <c r="L371" i="6" s="1"/>
  <c r="AC370" i="6"/>
  <c r="E370" i="6"/>
  <c r="AC369" i="6"/>
  <c r="E369" i="6"/>
  <c r="AC368" i="6"/>
  <c r="E368" i="6"/>
  <c r="J368" i="6" s="1"/>
  <c r="AC367" i="6"/>
  <c r="E367" i="6"/>
  <c r="J367" i="6"/>
  <c r="AC366" i="6"/>
  <c r="E366" i="6"/>
  <c r="AC365" i="6"/>
  <c r="E365" i="6"/>
  <c r="AC364" i="6"/>
  <c r="E364" i="6"/>
  <c r="J364" i="6" s="1"/>
  <c r="AC363" i="6"/>
  <c r="E363" i="6"/>
  <c r="J363" i="6"/>
  <c r="AC362" i="6"/>
  <c r="E362" i="6"/>
  <c r="AC361" i="6"/>
  <c r="E361" i="6"/>
  <c r="AC360" i="6"/>
  <c r="E360" i="6"/>
  <c r="J360" i="6" s="1"/>
  <c r="AC359" i="6"/>
  <c r="E359" i="6"/>
  <c r="J359" i="6" s="1"/>
  <c r="AC358" i="6"/>
  <c r="E358" i="6"/>
  <c r="AC357" i="6"/>
  <c r="E357" i="6"/>
  <c r="AC356" i="6"/>
  <c r="E356" i="6"/>
  <c r="J356" i="6"/>
  <c r="AC355" i="6"/>
  <c r="E355" i="6"/>
  <c r="J355" i="6"/>
  <c r="AC354" i="6"/>
  <c r="E354" i="6"/>
  <c r="AC353" i="6"/>
  <c r="E353" i="6"/>
  <c r="AC352" i="6"/>
  <c r="E352" i="6"/>
  <c r="J352" i="6" s="1"/>
  <c r="AC351" i="6"/>
  <c r="E351" i="6"/>
  <c r="J351" i="6"/>
  <c r="AC350" i="6"/>
  <c r="E350" i="6"/>
  <c r="AC349" i="6"/>
  <c r="E349" i="6"/>
  <c r="AC348" i="6"/>
  <c r="E348" i="6"/>
  <c r="J348" i="6"/>
  <c r="AC347" i="6"/>
  <c r="E347" i="6"/>
  <c r="J347" i="6"/>
  <c r="AC346" i="6"/>
  <c r="E346" i="6"/>
  <c r="AC345" i="6"/>
  <c r="E345" i="6"/>
  <c r="AC344" i="6"/>
  <c r="E344" i="6"/>
  <c r="J344" i="6" s="1"/>
  <c r="AC343" i="6"/>
  <c r="E343" i="6"/>
  <c r="J343" i="6"/>
  <c r="AC342" i="6"/>
  <c r="E342" i="6"/>
  <c r="AC341" i="6"/>
  <c r="E341" i="6"/>
  <c r="AC340" i="6"/>
  <c r="E340" i="6"/>
  <c r="J340" i="6"/>
  <c r="AC339" i="6"/>
  <c r="E339" i="6"/>
  <c r="J339" i="6"/>
  <c r="AC338" i="6"/>
  <c r="E338" i="6"/>
  <c r="AC337" i="6"/>
  <c r="E337" i="6"/>
  <c r="AC336" i="6"/>
  <c r="E336" i="6"/>
  <c r="J336" i="6" s="1"/>
  <c r="AC335" i="6"/>
  <c r="E335" i="6"/>
  <c r="J335" i="6"/>
  <c r="AC334" i="6"/>
  <c r="E334" i="6"/>
  <c r="AC333" i="6"/>
  <c r="E333" i="6"/>
  <c r="AC332" i="6"/>
  <c r="E332" i="6"/>
  <c r="J332" i="6" s="1"/>
  <c r="AC331" i="6"/>
  <c r="E331" i="6"/>
  <c r="M331" i="6"/>
  <c r="AC330" i="6"/>
  <c r="E330" i="6"/>
  <c r="M330" i="6" s="1"/>
  <c r="AC329" i="6"/>
  <c r="E329" i="6"/>
  <c r="M329" i="6" s="1"/>
  <c r="AC328" i="6"/>
  <c r="E328" i="6"/>
  <c r="M328" i="6" s="1"/>
  <c r="AC327" i="6"/>
  <c r="E327" i="6"/>
  <c r="M327" i="6"/>
  <c r="AC326" i="6"/>
  <c r="E326" i="6"/>
  <c r="K326" i="6" s="1"/>
  <c r="L326" i="6"/>
  <c r="AC325" i="6"/>
  <c r="E325" i="6"/>
  <c r="AC324" i="6"/>
  <c r="E324" i="6"/>
  <c r="AC323" i="6"/>
  <c r="E323" i="6"/>
  <c r="AC322" i="6"/>
  <c r="E322" i="6"/>
  <c r="M322" i="6"/>
  <c r="AC321" i="6"/>
  <c r="E321" i="6"/>
  <c r="M321" i="6"/>
  <c r="AC320" i="6"/>
  <c r="E320" i="6"/>
  <c r="M320" i="6" s="1"/>
  <c r="AC319" i="6"/>
  <c r="E319" i="6"/>
  <c r="J319" i="6"/>
  <c r="AC318" i="6"/>
  <c r="E318" i="6"/>
  <c r="J318" i="6"/>
  <c r="AC317" i="6"/>
  <c r="E317" i="6"/>
  <c r="AC316" i="6"/>
  <c r="E316" i="6"/>
  <c r="AC315" i="6"/>
  <c r="E315" i="6"/>
  <c r="M315" i="6"/>
  <c r="AC314" i="6"/>
  <c r="E314" i="6"/>
  <c r="AC313" i="6"/>
  <c r="E313" i="6"/>
  <c r="AC312" i="6"/>
  <c r="E312" i="6"/>
  <c r="M312" i="6" s="1"/>
  <c r="AC311" i="6"/>
  <c r="E311" i="6"/>
  <c r="K311" i="6"/>
  <c r="L311" i="6" s="1"/>
  <c r="AC310" i="6"/>
  <c r="E310" i="6"/>
  <c r="M310" i="6" s="1"/>
  <c r="AC309" i="6"/>
  <c r="E309" i="6"/>
  <c r="M309" i="6"/>
  <c r="AC308" i="6"/>
  <c r="E308" i="6"/>
  <c r="M308" i="6"/>
  <c r="AC307" i="6"/>
  <c r="E307" i="6"/>
  <c r="M307" i="6" s="1"/>
  <c r="AC306" i="6"/>
  <c r="E306" i="6"/>
  <c r="M306" i="6"/>
  <c r="AC305" i="6"/>
  <c r="E305" i="6"/>
  <c r="M305" i="6"/>
  <c r="AC304" i="6"/>
  <c r="E304" i="6"/>
  <c r="M304" i="6"/>
  <c r="AC303" i="6"/>
  <c r="E303" i="6"/>
  <c r="M303" i="6" s="1"/>
  <c r="AC302" i="6"/>
  <c r="E302" i="6"/>
  <c r="M302" i="6"/>
  <c r="AC301" i="6"/>
  <c r="E301" i="6"/>
  <c r="M301" i="6"/>
  <c r="AC300" i="6"/>
  <c r="E300" i="6"/>
  <c r="M300" i="6"/>
  <c r="AC299" i="6"/>
  <c r="E299" i="6"/>
  <c r="M299" i="6" s="1"/>
  <c r="AC298" i="6"/>
  <c r="E298" i="6"/>
  <c r="M298" i="6"/>
  <c r="AC297" i="6"/>
  <c r="E297" i="6"/>
  <c r="M297" i="6" s="1"/>
  <c r="AC296" i="6"/>
  <c r="E296" i="6"/>
  <c r="M296" i="6"/>
  <c r="AC295" i="6"/>
  <c r="E295" i="6"/>
  <c r="M295" i="6" s="1"/>
  <c r="AC294" i="6"/>
  <c r="E294" i="6"/>
  <c r="M294" i="6" s="1"/>
  <c r="AC293" i="6"/>
  <c r="AM294" i="7"/>
  <c r="E293" i="6"/>
  <c r="AC292" i="6"/>
  <c r="AM293" i="7" s="1"/>
  <c r="E292" i="6"/>
  <c r="AC291" i="6"/>
  <c r="AM292" i="7"/>
  <c r="E291" i="6"/>
  <c r="AC290" i="6"/>
  <c r="AM291" i="7" s="1"/>
  <c r="E290" i="6"/>
  <c r="AC289" i="6"/>
  <c r="AM290" i="7"/>
  <c r="E289" i="6"/>
  <c r="AC288" i="6"/>
  <c r="AM289" i="7" s="1"/>
  <c r="E288" i="6"/>
  <c r="AC287" i="6"/>
  <c r="AM288" i="7" s="1"/>
  <c r="E287" i="6"/>
  <c r="AC286" i="6"/>
  <c r="AM287" i="7"/>
  <c r="E286" i="6"/>
  <c r="AC285" i="6"/>
  <c r="AM286" i="7"/>
  <c r="E285" i="6"/>
  <c r="AC284" i="6"/>
  <c r="AM285" i="7" s="1"/>
  <c r="E284" i="6"/>
  <c r="AC283" i="6"/>
  <c r="AM284" i="7"/>
  <c r="E283" i="6"/>
  <c r="AC282" i="6"/>
  <c r="AM283" i="7" s="1"/>
  <c r="E282" i="6"/>
  <c r="AC281" i="6"/>
  <c r="AM282" i="7"/>
  <c r="E281" i="6"/>
  <c r="AC280" i="6"/>
  <c r="AM281" i="7" s="1"/>
  <c r="E280" i="6"/>
  <c r="AC279" i="6"/>
  <c r="AM280" i="7" s="1"/>
  <c r="E279" i="6"/>
  <c r="AC278" i="6"/>
  <c r="AM279" i="7"/>
  <c r="E278" i="6"/>
  <c r="AC277" i="6"/>
  <c r="AM278" i="7"/>
  <c r="E277" i="6"/>
  <c r="AC276" i="6"/>
  <c r="AM277" i="7" s="1"/>
  <c r="E276" i="6"/>
  <c r="AC275" i="6"/>
  <c r="AM276" i="7"/>
  <c r="E275" i="6"/>
  <c r="AC274" i="6"/>
  <c r="AM275" i="7"/>
  <c r="E274" i="6"/>
  <c r="J274" i="6" s="1"/>
  <c r="AC273" i="6"/>
  <c r="AM274" i="7"/>
  <c r="E273" i="6"/>
  <c r="AC272" i="6"/>
  <c r="AM273" i="7" s="1"/>
  <c r="E272" i="6"/>
  <c r="AC271" i="6"/>
  <c r="AM272" i="7"/>
  <c r="E271" i="6"/>
  <c r="AC270" i="6"/>
  <c r="AM271" i="7"/>
  <c r="E270" i="6"/>
  <c r="AC269" i="6"/>
  <c r="AM270" i="7"/>
  <c r="E269" i="6"/>
  <c r="AC268" i="6"/>
  <c r="AM269" i="7" s="1"/>
  <c r="E268" i="6"/>
  <c r="K268" i="6" s="1"/>
  <c r="L268" i="6" s="1"/>
  <c r="AC267" i="6"/>
  <c r="AM268" i="7"/>
  <c r="E267" i="6"/>
  <c r="AC266" i="6"/>
  <c r="AM267" i="7" s="1"/>
  <c r="E266" i="6"/>
  <c r="AC265" i="6"/>
  <c r="AM266" i="7"/>
  <c r="E265" i="6"/>
  <c r="AC264" i="6"/>
  <c r="AM265" i="7" s="1"/>
  <c r="E264" i="6"/>
  <c r="AC263" i="6"/>
  <c r="AM264" i="7" s="1"/>
  <c r="E263" i="6"/>
  <c r="AC262" i="6"/>
  <c r="AM263" i="7"/>
  <c r="E262" i="6"/>
  <c r="AC261" i="6"/>
  <c r="AM262" i="7"/>
  <c r="E261" i="6"/>
  <c r="AC260" i="6"/>
  <c r="AM261" i="7" s="1"/>
  <c r="E260" i="6"/>
  <c r="AC259" i="6"/>
  <c r="AM260" i="7"/>
  <c r="E259" i="6"/>
  <c r="AC258" i="6"/>
  <c r="AM259" i="7" s="1"/>
  <c r="E258" i="6"/>
  <c r="AC257" i="6"/>
  <c r="AM258" i="7"/>
  <c r="E257" i="6"/>
  <c r="AC256" i="6"/>
  <c r="AM257" i="7" s="1"/>
  <c r="E256" i="6"/>
  <c r="AC255" i="6"/>
  <c r="AM256" i="7" s="1"/>
  <c r="E255" i="6"/>
  <c r="AC254" i="6"/>
  <c r="AM255" i="7"/>
  <c r="E254" i="6"/>
  <c r="AC253" i="6"/>
  <c r="AM254" i="7"/>
  <c r="E253" i="6"/>
  <c r="AC252" i="6"/>
  <c r="AM253" i="7" s="1"/>
  <c r="E252" i="6"/>
  <c r="AC251" i="6"/>
  <c r="AM252" i="7"/>
  <c r="E251" i="6"/>
  <c r="AC250" i="6"/>
  <c r="AM251" i="7" s="1"/>
  <c r="E250" i="6"/>
  <c r="AC249" i="6"/>
  <c r="AM250" i="7"/>
  <c r="E249" i="6"/>
  <c r="AC248" i="6"/>
  <c r="AM249" i="7" s="1"/>
  <c r="E248" i="6"/>
  <c r="AC247" i="6"/>
  <c r="AM248" i="7" s="1"/>
  <c r="E247" i="6"/>
  <c r="AC246" i="6"/>
  <c r="AM247" i="7"/>
  <c r="E246" i="6"/>
  <c r="AC245" i="6"/>
  <c r="AM246" i="7"/>
  <c r="E245" i="6"/>
  <c r="AC244" i="6"/>
  <c r="AM245" i="7" s="1"/>
  <c r="E244" i="6"/>
  <c r="AC243" i="6"/>
  <c r="AM244" i="7"/>
  <c r="E243" i="6"/>
  <c r="AC242" i="6"/>
  <c r="AM243" i="7"/>
  <c r="E242" i="6"/>
  <c r="AC241" i="6"/>
  <c r="AM242" i="7"/>
  <c r="E241" i="6"/>
  <c r="AC240" i="6"/>
  <c r="AM241" i="7" s="1"/>
  <c r="E240" i="6"/>
  <c r="AC239" i="6"/>
  <c r="AM240" i="7"/>
  <c r="E239" i="6"/>
  <c r="AC238" i="6"/>
  <c r="AM239" i="7"/>
  <c r="E238" i="6"/>
  <c r="AC237" i="6"/>
  <c r="AM238" i="7"/>
  <c r="E237" i="6"/>
  <c r="AC236" i="6"/>
  <c r="AM237" i="7" s="1"/>
  <c r="E236" i="6"/>
  <c r="AC235" i="6"/>
  <c r="AM236" i="7"/>
  <c r="E235" i="6"/>
  <c r="AC234" i="6"/>
  <c r="AM235" i="7" s="1"/>
  <c r="E234" i="6"/>
  <c r="AC233" i="6"/>
  <c r="AM234" i="7"/>
  <c r="E233" i="6"/>
  <c r="AC232" i="6"/>
  <c r="AM233" i="7" s="1"/>
  <c r="E232" i="6"/>
  <c r="AC231" i="6"/>
  <c r="AM232" i="7" s="1"/>
  <c r="E231" i="6"/>
  <c r="AC230" i="6"/>
  <c r="AM231" i="7"/>
  <c r="E230" i="6"/>
  <c r="AC229" i="6"/>
  <c r="AM230" i="7"/>
  <c r="E229" i="6"/>
  <c r="AC228" i="6"/>
  <c r="AM229" i="7" s="1"/>
  <c r="E228" i="6"/>
  <c r="AC227" i="6"/>
  <c r="AM228" i="7"/>
  <c r="E227" i="6"/>
  <c r="AC226" i="6"/>
  <c r="AM227" i="7" s="1"/>
  <c r="E226" i="6"/>
  <c r="AC225" i="6"/>
  <c r="AM226" i="7"/>
  <c r="E225" i="6"/>
  <c r="AC224" i="6"/>
  <c r="AM225" i="7" s="1"/>
  <c r="E224" i="6"/>
  <c r="AC223" i="6"/>
  <c r="AM224" i="7" s="1"/>
  <c r="E223" i="6"/>
  <c r="AC222" i="6"/>
  <c r="AM223" i="7"/>
  <c r="E222" i="6"/>
  <c r="AC221" i="6"/>
  <c r="AM222" i="7"/>
  <c r="E221" i="6"/>
  <c r="AC220" i="6"/>
  <c r="AM221" i="7" s="1"/>
  <c r="E220" i="6"/>
  <c r="AC219" i="6"/>
  <c r="AM220" i="7"/>
  <c r="E219" i="6"/>
  <c r="AC218" i="6"/>
  <c r="AM219" i="7" s="1"/>
  <c r="E218" i="6"/>
  <c r="AC217" i="6"/>
  <c r="AM218" i="7"/>
  <c r="E217" i="6"/>
  <c r="AC216" i="6"/>
  <c r="AM217" i="7" s="1"/>
  <c r="E216" i="6"/>
  <c r="M216" i="6" s="1"/>
  <c r="AC215" i="6"/>
  <c r="AM216" i="7" s="1"/>
  <c r="E215" i="6"/>
  <c r="AC214" i="6"/>
  <c r="AM215" i="7"/>
  <c r="E214" i="6"/>
  <c r="AC213" i="6"/>
  <c r="AM214" i="7"/>
  <c r="E213" i="6"/>
  <c r="AC212" i="6"/>
  <c r="AM213" i="7" s="1"/>
  <c r="E212" i="6"/>
  <c r="AC211" i="6"/>
  <c r="AM212" i="7"/>
  <c r="E211" i="6"/>
  <c r="AC210" i="6"/>
  <c r="AM211" i="7"/>
  <c r="E210" i="6"/>
  <c r="AC209" i="6"/>
  <c r="AM210" i="7"/>
  <c r="E209" i="6"/>
  <c r="AC208" i="6"/>
  <c r="AM209" i="7" s="1"/>
  <c r="E208" i="6"/>
  <c r="AC207" i="6"/>
  <c r="AM208" i="7"/>
  <c r="E207" i="6"/>
  <c r="AC206" i="6"/>
  <c r="AM207" i="7"/>
  <c r="E206" i="6"/>
  <c r="AC205" i="6"/>
  <c r="AM206" i="7"/>
  <c r="E205" i="6"/>
  <c r="AC204" i="6"/>
  <c r="AM205" i="7" s="1"/>
  <c r="E204" i="6"/>
  <c r="AC203" i="6"/>
  <c r="AM204" i="7"/>
  <c r="E203" i="6"/>
  <c r="AC202" i="6"/>
  <c r="AM203" i="7" s="1"/>
  <c r="E202" i="6"/>
  <c r="AC201" i="6"/>
  <c r="AM202" i="7"/>
  <c r="E201" i="6"/>
  <c r="AC200" i="6"/>
  <c r="AM201" i="7" s="1"/>
  <c r="E200" i="6"/>
  <c r="AC199" i="6"/>
  <c r="AM200" i="7" s="1"/>
  <c r="E199" i="6"/>
  <c r="AC198" i="6"/>
  <c r="AM199" i="7"/>
  <c r="E198" i="6"/>
  <c r="AC197" i="6"/>
  <c r="AM198" i="7"/>
  <c r="E197" i="6"/>
  <c r="AC196" i="6"/>
  <c r="AM197" i="7" s="1"/>
  <c r="E196" i="6"/>
  <c r="J196" i="6" s="1"/>
  <c r="AC195" i="6"/>
  <c r="AM196" i="7"/>
  <c r="E195" i="6"/>
  <c r="AC194" i="6"/>
  <c r="AM195" i="7" s="1"/>
  <c r="E194" i="6"/>
  <c r="AC193" i="6"/>
  <c r="AM194" i="7"/>
  <c r="E193" i="6"/>
  <c r="AC192" i="6"/>
  <c r="AM193" i="7" s="1"/>
  <c r="E192" i="6"/>
  <c r="AC191" i="6"/>
  <c r="AM192" i="7" s="1"/>
  <c r="E191" i="6"/>
  <c r="AC190" i="6"/>
  <c r="AM191" i="7"/>
  <c r="E190" i="6"/>
  <c r="AC189" i="6"/>
  <c r="AM190" i="7"/>
  <c r="E189" i="6"/>
  <c r="K189" i="6" s="1"/>
  <c r="AC188" i="6"/>
  <c r="AM189" i="7" s="1"/>
  <c r="E188" i="6"/>
  <c r="AC187" i="6"/>
  <c r="AM188" i="7"/>
  <c r="E187" i="6"/>
  <c r="AC186" i="6"/>
  <c r="AM187" i="7" s="1"/>
  <c r="E186" i="6"/>
  <c r="AC185" i="6"/>
  <c r="AM186" i="7"/>
  <c r="E185" i="6"/>
  <c r="AC184" i="6"/>
  <c r="AM185" i="7" s="1"/>
  <c r="E184" i="6"/>
  <c r="AC183" i="6"/>
  <c r="AM184" i="7" s="1"/>
  <c r="E183" i="6"/>
  <c r="AC182" i="6"/>
  <c r="AM183" i="7"/>
  <c r="E182" i="6"/>
  <c r="AC181" i="6"/>
  <c r="AM182" i="7"/>
  <c r="E181" i="6"/>
  <c r="P181" i="6" s="1"/>
  <c r="AC180" i="6"/>
  <c r="AM181" i="7"/>
  <c r="E180" i="6"/>
  <c r="AC179" i="6"/>
  <c r="AM180" i="7" s="1"/>
  <c r="E179" i="6"/>
  <c r="AC178" i="6"/>
  <c r="AM179" i="7"/>
  <c r="E178" i="6"/>
  <c r="AC177" i="6"/>
  <c r="AM178" i="7"/>
  <c r="E177" i="6"/>
  <c r="AC176" i="6"/>
  <c r="AM177" i="7"/>
  <c r="E176" i="6"/>
  <c r="AC175" i="6"/>
  <c r="AM176" i="7" s="1"/>
  <c r="E175" i="6"/>
  <c r="AC174" i="6"/>
  <c r="AM175" i="7"/>
  <c r="E174" i="6"/>
  <c r="AC173" i="6"/>
  <c r="AM174" i="7" s="1"/>
  <c r="E173" i="6"/>
  <c r="AC172" i="6"/>
  <c r="AM173" i="7"/>
  <c r="E172" i="6"/>
  <c r="AC171" i="6"/>
  <c r="AM172" i="7" s="1"/>
  <c r="E171" i="6"/>
  <c r="AC170" i="6"/>
  <c r="AM171" i="7" s="1"/>
  <c r="E170" i="6"/>
  <c r="AC169" i="6"/>
  <c r="AM170" i="7"/>
  <c r="E169" i="6"/>
  <c r="AC168" i="6"/>
  <c r="AM169" i="7"/>
  <c r="E168" i="6"/>
  <c r="AC167" i="6"/>
  <c r="AM168" i="7" s="1"/>
  <c r="E167" i="6"/>
  <c r="AC166" i="6"/>
  <c r="AM167" i="7"/>
  <c r="E166" i="6"/>
  <c r="AC165" i="6"/>
  <c r="AM166" i="7"/>
  <c r="E165" i="6"/>
  <c r="AC164" i="6"/>
  <c r="AM165" i="7"/>
  <c r="E164" i="6"/>
  <c r="AC163" i="6"/>
  <c r="AM164" i="7" s="1"/>
  <c r="E163" i="6"/>
  <c r="AC162" i="6"/>
  <c r="AM163" i="7"/>
  <c r="E162" i="6"/>
  <c r="AC161" i="6"/>
  <c r="AM162" i="7"/>
  <c r="E161" i="6"/>
  <c r="AC160" i="6"/>
  <c r="AM161" i="7"/>
  <c r="E160" i="6"/>
  <c r="AC159" i="6"/>
  <c r="AM160" i="7" s="1"/>
  <c r="E159" i="6"/>
  <c r="AC158" i="6"/>
  <c r="AM159" i="7"/>
  <c r="E158" i="6"/>
  <c r="AC157" i="6"/>
  <c r="AM158" i="7" s="1"/>
  <c r="E157" i="6"/>
  <c r="AC156" i="6"/>
  <c r="AM157" i="7"/>
  <c r="E156" i="6"/>
  <c r="AC155" i="6"/>
  <c r="AM156" i="7" s="1"/>
  <c r="E155" i="6"/>
  <c r="AC154" i="6"/>
  <c r="AM155" i="7" s="1"/>
  <c r="E154" i="6"/>
  <c r="AC153" i="6"/>
  <c r="AM154" i="7"/>
  <c r="E153" i="6"/>
  <c r="AC152" i="6"/>
  <c r="AM153" i="7"/>
  <c r="E152" i="6"/>
  <c r="AC151" i="6"/>
  <c r="AM152" i="7" s="1"/>
  <c r="E151" i="6"/>
  <c r="AC150" i="6"/>
  <c r="AM151" i="7"/>
  <c r="E150" i="6"/>
  <c r="AC149" i="6"/>
  <c r="AM150" i="7"/>
  <c r="E149" i="6"/>
  <c r="M149" i="6" s="1"/>
  <c r="AC148" i="6"/>
  <c r="AM149" i="7"/>
  <c r="E148" i="6"/>
  <c r="AC147" i="6"/>
  <c r="AM148" i="7" s="1"/>
  <c r="E147" i="6"/>
  <c r="AC146" i="6"/>
  <c r="AM147" i="7"/>
  <c r="E146" i="6"/>
  <c r="AC145" i="6"/>
  <c r="AM146" i="7"/>
  <c r="E145" i="6"/>
  <c r="AC144" i="6"/>
  <c r="AM145" i="7"/>
  <c r="E144" i="6"/>
  <c r="AC143" i="6"/>
  <c r="AM144" i="7" s="1"/>
  <c r="E143" i="6"/>
  <c r="AC142" i="6"/>
  <c r="AM143" i="7"/>
  <c r="E142" i="6"/>
  <c r="AC141" i="6"/>
  <c r="AM142" i="7" s="1"/>
  <c r="E141" i="6"/>
  <c r="AC140" i="6"/>
  <c r="AM141" i="7"/>
  <c r="E140" i="6"/>
  <c r="AC139" i="6"/>
  <c r="AM140" i="7" s="1"/>
  <c r="E139" i="6"/>
  <c r="AC138" i="6"/>
  <c r="AM139" i="7" s="1"/>
  <c r="E138" i="6"/>
  <c r="AC137" i="6"/>
  <c r="AM138" i="7"/>
  <c r="E137" i="6"/>
  <c r="AC136" i="6"/>
  <c r="AM137" i="7"/>
  <c r="E136" i="6"/>
  <c r="M136" i="6" s="1"/>
  <c r="AC135" i="6"/>
  <c r="AM136" i="7" s="1"/>
  <c r="E135" i="6"/>
  <c r="AC134" i="6"/>
  <c r="AM135" i="7"/>
  <c r="E134" i="6"/>
  <c r="AC133" i="6"/>
  <c r="AM134" i="7"/>
  <c r="E133" i="6"/>
  <c r="AC132" i="6"/>
  <c r="AM133" i="7"/>
  <c r="E132" i="6"/>
  <c r="AC131" i="6"/>
  <c r="AM132" i="7" s="1"/>
  <c r="E131" i="6"/>
  <c r="AC130" i="6"/>
  <c r="AM131" i="7"/>
  <c r="E130" i="6"/>
  <c r="AC129" i="6"/>
  <c r="AM130" i="7"/>
  <c r="E129" i="6"/>
  <c r="AC128" i="6"/>
  <c r="AM129" i="7"/>
  <c r="E128" i="6"/>
  <c r="AC127" i="6"/>
  <c r="AM128" i="7" s="1"/>
  <c r="E127" i="6"/>
  <c r="AC126" i="6"/>
  <c r="AM127" i="7"/>
  <c r="E126" i="6"/>
  <c r="AC125" i="6"/>
  <c r="AM126" i="7" s="1"/>
  <c r="E125" i="6"/>
  <c r="AC124" i="6"/>
  <c r="AM125" i="7"/>
  <c r="E124" i="6"/>
  <c r="AC123" i="6"/>
  <c r="AM124" i="7" s="1"/>
  <c r="E123" i="6"/>
  <c r="AC122" i="6"/>
  <c r="AM123" i="7" s="1"/>
  <c r="E122" i="6"/>
  <c r="AC121" i="6"/>
  <c r="AM122" i="7"/>
  <c r="E121" i="6"/>
  <c r="AC120" i="6"/>
  <c r="AM121" i="7"/>
  <c r="E120" i="6"/>
  <c r="AC119" i="6"/>
  <c r="AM120" i="7" s="1"/>
  <c r="E119" i="6"/>
  <c r="AC118" i="6"/>
  <c r="AM119" i="7"/>
  <c r="E118" i="6"/>
  <c r="AC117" i="6"/>
  <c r="AM118" i="7"/>
  <c r="E117" i="6"/>
  <c r="P117" i="6" s="1"/>
  <c r="Q117" i="6" s="1"/>
  <c r="AC116" i="6"/>
  <c r="AM117" i="7"/>
  <c r="E116" i="6"/>
  <c r="AC115" i="6"/>
  <c r="AM116" i="7" s="1"/>
  <c r="E115" i="6"/>
  <c r="AC114" i="6"/>
  <c r="AM115" i="7"/>
  <c r="E114" i="6"/>
  <c r="AC113" i="6"/>
  <c r="AM114" i="7"/>
  <c r="E113" i="6"/>
  <c r="AC112" i="6"/>
  <c r="AM113" i="7"/>
  <c r="E112" i="6"/>
  <c r="AC111" i="6"/>
  <c r="AM112" i="7" s="1"/>
  <c r="E111" i="6"/>
  <c r="M111" i="6" s="1"/>
  <c r="AC110" i="6"/>
  <c r="AM111" i="7"/>
  <c r="E110" i="6"/>
  <c r="AC109" i="6"/>
  <c r="AM110" i="7" s="1"/>
  <c r="E109" i="6"/>
  <c r="AC108" i="6"/>
  <c r="AM109" i="7"/>
  <c r="E108" i="6"/>
  <c r="AC107" i="6"/>
  <c r="AM108" i="7" s="1"/>
  <c r="E107" i="6"/>
  <c r="AC106" i="6"/>
  <c r="AM107" i="7" s="1"/>
  <c r="E106" i="6"/>
  <c r="AC105" i="6"/>
  <c r="AM106" i="7"/>
  <c r="E105" i="6"/>
  <c r="AC104" i="6"/>
  <c r="AM105" i="7"/>
  <c r="E104" i="6"/>
  <c r="M104" i="6" s="1"/>
  <c r="AC103" i="6"/>
  <c r="AM104" i="7" s="1"/>
  <c r="E103" i="6"/>
  <c r="AC102" i="6"/>
  <c r="AM103" i="7"/>
  <c r="E102" i="6"/>
  <c r="AC101" i="6"/>
  <c r="AM102" i="7"/>
  <c r="E101" i="6"/>
  <c r="AC100" i="6"/>
  <c r="AM101" i="7"/>
  <c r="E100" i="6"/>
  <c r="AC99" i="6"/>
  <c r="AM100" i="7" s="1"/>
  <c r="E99" i="6"/>
  <c r="AC98" i="6"/>
  <c r="AM99" i="7"/>
  <c r="E98" i="6"/>
  <c r="AC97" i="6"/>
  <c r="AM98" i="7"/>
  <c r="E97" i="6"/>
  <c r="AC96" i="6"/>
  <c r="AM97" i="7"/>
  <c r="E96" i="6"/>
  <c r="AC95" i="6"/>
  <c r="AM96" i="7" s="1"/>
  <c r="E95" i="6"/>
  <c r="AC94" i="6"/>
  <c r="AM95" i="7"/>
  <c r="E94" i="6"/>
  <c r="AC93" i="6"/>
  <c r="AM94" i="7" s="1"/>
  <c r="E93" i="6"/>
  <c r="AC92" i="6"/>
  <c r="AM93" i="7"/>
  <c r="E92" i="6"/>
  <c r="AC91" i="6"/>
  <c r="AM92" i="7" s="1"/>
  <c r="E91" i="6"/>
  <c r="AC90" i="6"/>
  <c r="AM91" i="7" s="1"/>
  <c r="E90" i="6"/>
  <c r="AC89" i="6"/>
  <c r="AM90" i="7"/>
  <c r="E89" i="6"/>
  <c r="AC88" i="6"/>
  <c r="AM89" i="7"/>
  <c r="E88" i="6"/>
  <c r="AC87" i="6"/>
  <c r="AM88" i="7" s="1"/>
  <c r="E87" i="6"/>
  <c r="AC86" i="6"/>
  <c r="AM87" i="7"/>
  <c r="E86" i="6"/>
  <c r="AC85" i="6"/>
  <c r="AM86" i="7"/>
  <c r="E85" i="6"/>
  <c r="J85" i="6" s="1"/>
  <c r="AC84" i="6"/>
  <c r="AM85" i="7"/>
  <c r="E84" i="6"/>
  <c r="AC83" i="6"/>
  <c r="AM84" i="7" s="1"/>
  <c r="E83" i="6"/>
  <c r="AC82" i="6"/>
  <c r="AM83" i="7"/>
  <c r="E82" i="6"/>
  <c r="AC81" i="6"/>
  <c r="AM82" i="7"/>
  <c r="E81" i="6"/>
  <c r="AC80" i="6"/>
  <c r="AM81" i="7"/>
  <c r="E80" i="6"/>
  <c r="AC79" i="6"/>
  <c r="AM80" i="7" s="1"/>
  <c r="E79" i="6"/>
  <c r="R79" i="6" s="1"/>
  <c r="AC78" i="6"/>
  <c r="AM79" i="7"/>
  <c r="E78" i="6"/>
  <c r="AC77" i="6"/>
  <c r="AM78" i="7" s="1"/>
  <c r="E77" i="6"/>
  <c r="AC76" i="6"/>
  <c r="AM77" i="7"/>
  <c r="E76" i="6"/>
  <c r="AC75" i="6"/>
  <c r="AM76" i="7" s="1"/>
  <c r="E75" i="6"/>
  <c r="AC74" i="6"/>
  <c r="AM75" i="7" s="1"/>
  <c r="E74" i="6"/>
  <c r="AC73" i="6"/>
  <c r="AM74" i="7"/>
  <c r="E73" i="6"/>
  <c r="AC72" i="6"/>
  <c r="AM73" i="7"/>
  <c r="E72" i="6"/>
  <c r="AC71" i="6"/>
  <c r="AM72" i="7" s="1"/>
  <c r="E71" i="6"/>
  <c r="AC70" i="6"/>
  <c r="AM71" i="7"/>
  <c r="E70" i="6"/>
  <c r="AC69" i="6"/>
  <c r="AM70" i="7"/>
  <c r="E69" i="6"/>
  <c r="AC68" i="6"/>
  <c r="AM69" i="7"/>
  <c r="E68" i="6"/>
  <c r="AC67" i="6"/>
  <c r="AM68" i="7" s="1"/>
  <c r="E67" i="6"/>
  <c r="AC66" i="6"/>
  <c r="AM67" i="7"/>
  <c r="E66" i="6"/>
  <c r="AC65" i="6"/>
  <c r="AM66" i="7"/>
  <c r="E65" i="6"/>
  <c r="AC64" i="6"/>
  <c r="AM65" i="7"/>
  <c r="E64" i="6"/>
  <c r="AC63" i="6"/>
  <c r="AM64" i="7" s="1"/>
  <c r="E63" i="6"/>
  <c r="AC62" i="6"/>
  <c r="AM63" i="7"/>
  <c r="E62" i="6"/>
  <c r="AC61" i="6"/>
  <c r="AM62" i="7" s="1"/>
  <c r="E61" i="6"/>
  <c r="AC60" i="6"/>
  <c r="AM61" i="7"/>
  <c r="E60" i="6"/>
  <c r="AC59" i="6"/>
  <c r="AM60" i="7" s="1"/>
  <c r="E59" i="6"/>
  <c r="AC58" i="6"/>
  <c r="AM59" i="7" s="1"/>
  <c r="E58" i="6"/>
  <c r="AC57" i="6"/>
  <c r="AM58" i="7"/>
  <c r="E57" i="6"/>
  <c r="AC56" i="6"/>
  <c r="AM57" i="7"/>
  <c r="E56" i="6"/>
  <c r="AC55" i="6"/>
  <c r="AM56" i="7" s="1"/>
  <c r="E55" i="6"/>
  <c r="AC54" i="6"/>
  <c r="AM55" i="7"/>
  <c r="E54" i="6"/>
  <c r="AC53" i="6"/>
  <c r="AM54" i="7"/>
  <c r="E53" i="6"/>
  <c r="K53" i="6" s="1"/>
  <c r="AC52" i="6"/>
  <c r="AM53" i="7"/>
  <c r="E52" i="6"/>
  <c r="AC51" i="6"/>
  <c r="AM52" i="7" s="1"/>
  <c r="E51" i="6"/>
  <c r="AC50" i="6"/>
  <c r="AM51" i="7"/>
  <c r="E50" i="6"/>
  <c r="AC49" i="6"/>
  <c r="AM50" i="7"/>
  <c r="E49" i="6"/>
  <c r="AC48" i="6"/>
  <c r="AM49" i="7" s="1"/>
  <c r="E48" i="6"/>
  <c r="AC47" i="6"/>
  <c r="AM48" i="7"/>
  <c r="E47" i="6"/>
  <c r="AC46" i="6"/>
  <c r="AM47" i="7"/>
  <c r="E46" i="6"/>
  <c r="AC45" i="6"/>
  <c r="AM46" i="7"/>
  <c r="E45" i="6"/>
  <c r="AC44" i="6"/>
  <c r="AM45" i="7" s="1"/>
  <c r="E44" i="6"/>
  <c r="AC43" i="6"/>
  <c r="AM44" i="7"/>
  <c r="E43" i="6"/>
  <c r="AC42" i="6"/>
  <c r="AM43" i="7"/>
  <c r="E42" i="6"/>
  <c r="M42" i="6" s="1"/>
  <c r="AC41" i="6"/>
  <c r="AM42" i="7"/>
  <c r="E41" i="6"/>
  <c r="AC40" i="6"/>
  <c r="AM41" i="7" s="1"/>
  <c r="E40" i="6"/>
  <c r="AC39" i="6"/>
  <c r="AM40" i="7"/>
  <c r="E39" i="6"/>
  <c r="AC38" i="6"/>
  <c r="AM39" i="7"/>
  <c r="E38" i="6"/>
  <c r="AC37" i="6"/>
  <c r="AM38" i="7"/>
  <c r="E37" i="6"/>
  <c r="AC36" i="6"/>
  <c r="AM37" i="7" s="1"/>
  <c r="E36" i="6"/>
  <c r="AC35" i="6"/>
  <c r="AM36" i="7"/>
  <c r="E35" i="6"/>
  <c r="AC34" i="6"/>
  <c r="AM35" i="7"/>
  <c r="E34" i="6"/>
  <c r="AC33" i="6"/>
  <c r="AM34" i="7"/>
  <c r="E33" i="6"/>
  <c r="AC32" i="6"/>
  <c r="AM33" i="7" s="1"/>
  <c r="E32" i="6"/>
  <c r="AC31" i="6"/>
  <c r="AM32" i="7"/>
  <c r="E31" i="6"/>
  <c r="AC30" i="6"/>
  <c r="AM31" i="7"/>
  <c r="E30" i="6"/>
  <c r="AC29" i="6"/>
  <c r="AM30" i="7"/>
  <c r="E29" i="6"/>
  <c r="AC28" i="6"/>
  <c r="AM29" i="7" s="1"/>
  <c r="E28" i="6"/>
  <c r="AC27" i="6"/>
  <c r="AM28" i="7"/>
  <c r="E27" i="6"/>
  <c r="AC26" i="6"/>
  <c r="AM27" i="7"/>
  <c r="E26" i="6"/>
  <c r="AC25" i="6"/>
  <c r="AM26" i="7"/>
  <c r="E25" i="6"/>
  <c r="AC24" i="6"/>
  <c r="AM25" i="7" s="1"/>
  <c r="E24" i="6"/>
  <c r="AC23" i="6"/>
  <c r="AM24" i="7"/>
  <c r="E23" i="6"/>
  <c r="AC22" i="6"/>
  <c r="AM23" i="7"/>
  <c r="E22" i="6"/>
  <c r="AC21" i="6"/>
  <c r="AM22" i="7"/>
  <c r="E21" i="6"/>
  <c r="AC20" i="6"/>
  <c r="AM21" i="7" s="1"/>
  <c r="E20" i="6"/>
  <c r="AC19" i="6"/>
  <c r="AM20" i="7"/>
  <c r="E19" i="6"/>
  <c r="AC18" i="6"/>
  <c r="AM19" i="7"/>
  <c r="E18" i="6"/>
  <c r="AC17" i="6"/>
  <c r="AM18" i="7"/>
  <c r="E17" i="6"/>
  <c r="AC16" i="6"/>
  <c r="AM17" i="7" s="1"/>
  <c r="E16" i="6"/>
  <c r="AC15" i="6"/>
  <c r="AM16" i="7"/>
  <c r="E15" i="6"/>
  <c r="AC14" i="6"/>
  <c r="AM15" i="7"/>
  <c r="E14" i="6"/>
  <c r="AC13" i="6"/>
  <c r="AM14" i="7"/>
  <c r="E13" i="6"/>
  <c r="AC12" i="6"/>
  <c r="AM13" i="7" s="1"/>
  <c r="E12" i="6"/>
  <c r="AC11" i="6"/>
  <c r="AM12" i="7"/>
  <c r="E11" i="6"/>
  <c r="AC10" i="6"/>
  <c r="AM11" i="7"/>
  <c r="E10" i="6"/>
  <c r="AC9" i="6"/>
  <c r="AM10" i="7"/>
  <c r="E9" i="6"/>
  <c r="AC8" i="6"/>
  <c r="AM9" i="7" s="1"/>
  <c r="E8" i="6"/>
  <c r="AC7" i="6"/>
  <c r="AM8" i="7"/>
  <c r="E7" i="6"/>
  <c r="AC6" i="6"/>
  <c r="E6" i="6"/>
  <c r="A1" i="6"/>
  <c r="BK150" i="5"/>
  <c r="BK44" i="5"/>
  <c r="BK43" i="5"/>
  <c r="BK42" i="5"/>
  <c r="BK27"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K12" i="5"/>
  <c r="BK11" i="5"/>
  <c r="BK10" i="5"/>
  <c r="BK13" i="5" s="1"/>
  <c r="BK8" i="5"/>
  <c r="BK4" i="5"/>
  <c r="AF7" i="2"/>
  <c r="C1" i="5"/>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8" i="4"/>
  <c r="C34"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BW32" i="4"/>
  <c r="BV32" i="4"/>
  <c r="BU32"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BW30" i="4"/>
  <c r="BV30"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BW28" i="4"/>
  <c r="BV28" i="4"/>
  <c r="BU28" i="4"/>
  <c r="BT28" i="4"/>
  <c r="BS28" i="4"/>
  <c r="BR28" i="4"/>
  <c r="BQ28" i="4"/>
  <c r="BP28" i="4"/>
  <c r="BO28" i="4"/>
  <c r="BN28" i="4"/>
  <c r="BM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BW27" i="4"/>
  <c r="BV27" i="4"/>
  <c r="BU27" i="4"/>
  <c r="BT27"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BW26" i="4"/>
  <c r="BV26"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BW25" i="4"/>
  <c r="BV25" i="4"/>
  <c r="BU25" i="4"/>
  <c r="BT25" i="4"/>
  <c r="BS25" i="4"/>
  <c r="BR25" i="4"/>
  <c r="BQ25" i="4"/>
  <c r="BP25" i="4"/>
  <c r="BO25" i="4"/>
  <c r="BN25" i="4"/>
  <c r="BM25" i="4"/>
  <c r="BL25" i="4"/>
  <c r="BK25"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A1" i="4"/>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BK26" i="3" s="1"/>
  <c r="C26"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C12" i="3"/>
  <c r="BJ11" i="3"/>
  <c r="BI11" i="3"/>
  <c r="BH11" i="3"/>
  <c r="BG11" i="3"/>
  <c r="BF11" i="3"/>
  <c r="BE11" i="3"/>
  <c r="BD11" i="3"/>
  <c r="BD13" i="3" s="1"/>
  <c r="BC11" i="3"/>
  <c r="BB11" i="3"/>
  <c r="BA11" i="3"/>
  <c r="AZ11" i="3"/>
  <c r="AZ13" i="3" s="1"/>
  <c r="AY11" i="3"/>
  <c r="AX11" i="3"/>
  <c r="AW11" i="3"/>
  <c r="AV11" i="3"/>
  <c r="AU11" i="3"/>
  <c r="AT11" i="3"/>
  <c r="AS11" i="3"/>
  <c r="AR11" i="3"/>
  <c r="AQ11" i="3"/>
  <c r="AP11" i="3"/>
  <c r="AO11" i="3"/>
  <c r="AN11" i="3"/>
  <c r="AN13" i="3" s="1"/>
  <c r="AM11" i="3"/>
  <c r="AL11" i="3"/>
  <c r="AK11" i="3"/>
  <c r="AJ11" i="3"/>
  <c r="AJ13" i="3" s="1"/>
  <c r="AI11" i="3"/>
  <c r="AH11" i="3"/>
  <c r="AG11" i="3"/>
  <c r="AF11" i="3"/>
  <c r="AF13" i="3" s="1"/>
  <c r="AE11" i="3"/>
  <c r="AD11" i="3"/>
  <c r="AC11" i="3"/>
  <c r="AB11" i="3"/>
  <c r="AA11" i="3"/>
  <c r="Z11" i="3"/>
  <c r="Y11" i="3"/>
  <c r="X11" i="3"/>
  <c r="W11" i="3"/>
  <c r="V11" i="3"/>
  <c r="U11" i="3"/>
  <c r="T11" i="3"/>
  <c r="T13" i="3" s="1"/>
  <c r="S11" i="3"/>
  <c r="R11" i="3"/>
  <c r="Q11" i="3"/>
  <c r="P11" i="3"/>
  <c r="P13" i="3" s="1"/>
  <c r="O11" i="3"/>
  <c r="N11" i="3"/>
  <c r="M11" i="3"/>
  <c r="L11" i="3"/>
  <c r="K11" i="3"/>
  <c r="J11" i="3"/>
  <c r="I11" i="3"/>
  <c r="H11" i="3"/>
  <c r="H13" i="3" s="1"/>
  <c r="G11" i="3"/>
  <c r="F11" i="3"/>
  <c r="E11" i="3"/>
  <c r="D11" i="3"/>
  <c r="D13" i="3" s="1"/>
  <c r="C11" i="3"/>
  <c r="BJ10" i="3"/>
  <c r="BI10" i="3"/>
  <c r="BH10" i="3"/>
  <c r="BH13" i="3" s="1"/>
  <c r="BG10" i="3"/>
  <c r="BF10" i="3"/>
  <c r="BE10" i="3"/>
  <c r="BD10" i="3"/>
  <c r="BC10" i="3"/>
  <c r="BB10" i="3"/>
  <c r="BA10" i="3"/>
  <c r="BA13" i="3" s="1"/>
  <c r="AZ10" i="3"/>
  <c r="AY10" i="3"/>
  <c r="AX10" i="3"/>
  <c r="AX13" i="3" s="1"/>
  <c r="AW10" i="3"/>
  <c r="AV10" i="3"/>
  <c r="AU10" i="3"/>
  <c r="AT10" i="3"/>
  <c r="AT13" i="3" s="1"/>
  <c r="AS10" i="3"/>
  <c r="AR10" i="3"/>
  <c r="AR13" i="3" s="1"/>
  <c r="AQ10" i="3"/>
  <c r="AP10" i="3"/>
  <c r="AO10" i="3"/>
  <c r="AN10" i="3"/>
  <c r="AM10" i="3"/>
  <c r="AL10" i="3"/>
  <c r="AK10" i="3"/>
  <c r="AJ10" i="3"/>
  <c r="AI10" i="3"/>
  <c r="AH10" i="3"/>
  <c r="AG10" i="3"/>
  <c r="AF10" i="3"/>
  <c r="AE10" i="3"/>
  <c r="AD10" i="3"/>
  <c r="AC10" i="3"/>
  <c r="AB10" i="3"/>
  <c r="AA10" i="3"/>
  <c r="Z10" i="3"/>
  <c r="Y10" i="3"/>
  <c r="X10" i="3"/>
  <c r="W10" i="3"/>
  <c r="V10" i="3"/>
  <c r="U10" i="3"/>
  <c r="U13" i="3" s="1"/>
  <c r="T10" i="3"/>
  <c r="S10" i="3"/>
  <c r="R10" i="3"/>
  <c r="Q10" i="3"/>
  <c r="P10" i="3"/>
  <c r="O10" i="3"/>
  <c r="N10" i="3"/>
  <c r="M10" i="3"/>
  <c r="L10" i="3"/>
  <c r="K10" i="3"/>
  <c r="J10" i="3"/>
  <c r="I10" i="3"/>
  <c r="H10" i="3"/>
  <c r="G10" i="3"/>
  <c r="F10" i="3"/>
  <c r="E10" i="3"/>
  <c r="D10" i="3"/>
  <c r="C10"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L4" i="3"/>
  <c r="C1" i="3"/>
  <c r="AD66" i="2"/>
  <c r="R66" i="2"/>
  <c r="AD65" i="2"/>
  <c r="R65" i="2"/>
  <c r="AD64" i="2"/>
  <c r="R64" i="2"/>
  <c r="AD63" i="2"/>
  <c r="R63" i="2"/>
  <c r="AD62" i="2"/>
  <c r="R62" i="2"/>
  <c r="AD61" i="2"/>
  <c r="R61" i="2"/>
  <c r="AD60" i="2"/>
  <c r="R60" i="2"/>
  <c r="AD59" i="2"/>
  <c r="R59" i="2"/>
  <c r="AD58" i="2"/>
  <c r="R58" i="2"/>
  <c r="AD57" i="2"/>
  <c r="R57" i="2"/>
  <c r="AD56" i="2"/>
  <c r="R56" i="2"/>
  <c r="AD55" i="2"/>
  <c r="R55" i="2"/>
  <c r="AD54" i="2"/>
  <c r="R54" i="2"/>
  <c r="AD53" i="2"/>
  <c r="R53" i="2"/>
  <c r="AD52" i="2"/>
  <c r="R52" i="2"/>
  <c r="AD51" i="2"/>
  <c r="R51" i="2"/>
  <c r="AD50" i="2"/>
  <c r="R50" i="2"/>
  <c r="AD49" i="2"/>
  <c r="R49" i="2"/>
  <c r="AD48" i="2"/>
  <c r="R48" i="2"/>
  <c r="AD47" i="2"/>
  <c r="R47" i="2"/>
  <c r="AD46" i="2"/>
  <c r="R46" i="2"/>
  <c r="AD45" i="2"/>
  <c r="R45" i="2"/>
  <c r="AD44" i="2"/>
  <c r="R44" i="2"/>
  <c r="AD43" i="2"/>
  <c r="R43" i="2"/>
  <c r="AD42" i="2"/>
  <c r="R42" i="2"/>
  <c r="AD41" i="2"/>
  <c r="R41" i="2"/>
  <c r="AD40" i="2"/>
  <c r="R40" i="2"/>
  <c r="AD39" i="2"/>
  <c r="R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Y7" i="2"/>
  <c r="W7" i="2"/>
  <c r="V7" i="2"/>
  <c r="T7" i="2"/>
  <c r="K3" i="2"/>
  <c r="AB1" i="2"/>
  <c r="A1" i="2"/>
  <c r="A36" i="1"/>
  <c r="C3" i="5"/>
  <c r="K318" i="6"/>
  <c r="L318" i="6" s="1"/>
  <c r="M519" i="6"/>
  <c r="E13" i="3"/>
  <c r="M13" i="3"/>
  <c r="AC13" i="3"/>
  <c r="AK13" i="3"/>
  <c r="AS13" i="3"/>
  <c r="BI13" i="3"/>
  <c r="M518" i="6"/>
  <c r="M520" i="6"/>
  <c r="X13" i="3"/>
  <c r="AV13" i="3"/>
  <c r="I13" i="3"/>
  <c r="Q13" i="3"/>
  <c r="Y13" i="3"/>
  <c r="AG13" i="3"/>
  <c r="AO13" i="3"/>
  <c r="AW13" i="3"/>
  <c r="BE13" i="3"/>
  <c r="R7" i="6"/>
  <c r="M7" i="6"/>
  <c r="K7" i="6"/>
  <c r="L7" i="6"/>
  <c r="J7" i="6"/>
  <c r="P9" i="6"/>
  <c r="Q9" i="6" s="1"/>
  <c r="K9" i="6"/>
  <c r="L9" i="6"/>
  <c r="M9" i="6"/>
  <c r="J9" i="6"/>
  <c r="P11" i="6"/>
  <c r="Q11" i="6"/>
  <c r="M11" i="6"/>
  <c r="K11" i="6"/>
  <c r="L11" i="6"/>
  <c r="J11" i="6"/>
  <c r="P13" i="6"/>
  <c r="Q13" i="6" s="1"/>
  <c r="K13" i="6"/>
  <c r="L13" i="6" s="1"/>
  <c r="M13" i="6"/>
  <c r="J13" i="6"/>
  <c r="P15" i="6"/>
  <c r="Q15" i="6" s="1"/>
  <c r="M15" i="6"/>
  <c r="K15" i="6"/>
  <c r="L15" i="6"/>
  <c r="J15" i="6"/>
  <c r="R17" i="6"/>
  <c r="P17" i="6" s="1"/>
  <c r="Q17" i="6" s="1"/>
  <c r="K17" i="6"/>
  <c r="L17" i="6" s="1"/>
  <c r="M17" i="6"/>
  <c r="J17" i="6"/>
  <c r="R19" i="6"/>
  <c r="M19" i="6"/>
  <c r="K19" i="6"/>
  <c r="L19" i="6"/>
  <c r="J19" i="6"/>
  <c r="K21" i="6"/>
  <c r="L21" i="6" s="1"/>
  <c r="M21" i="6"/>
  <c r="J21" i="6"/>
  <c r="P23" i="6"/>
  <c r="Q23" i="6" s="1"/>
  <c r="M23" i="6"/>
  <c r="K23" i="6"/>
  <c r="L23" i="6" s="1"/>
  <c r="J23" i="6"/>
  <c r="P25" i="6"/>
  <c r="Q25" i="6"/>
  <c r="K25" i="6"/>
  <c r="L25" i="6" s="1"/>
  <c r="M25" i="6"/>
  <c r="J25" i="6"/>
  <c r="P27" i="6"/>
  <c r="Q27" i="6" s="1"/>
  <c r="M27" i="6"/>
  <c r="K27" i="6"/>
  <c r="L27" i="6" s="1"/>
  <c r="J27" i="6"/>
  <c r="P29" i="6"/>
  <c r="Q29" i="6"/>
  <c r="K29" i="6"/>
  <c r="L29" i="6" s="1"/>
  <c r="M29" i="6"/>
  <c r="J29" i="6"/>
  <c r="P31" i="6"/>
  <c r="Q31" i="6" s="1"/>
  <c r="M31" i="6"/>
  <c r="K31" i="6"/>
  <c r="L31" i="6" s="1"/>
  <c r="J31" i="6"/>
  <c r="R33" i="6"/>
  <c r="P33" i="6"/>
  <c r="Q33" i="6" s="1"/>
  <c r="K33" i="6"/>
  <c r="L33" i="6"/>
  <c r="M33" i="6"/>
  <c r="J33" i="6"/>
  <c r="R35" i="6"/>
  <c r="M35" i="6"/>
  <c r="K35" i="6"/>
  <c r="L35" i="6" s="1"/>
  <c r="J35" i="6"/>
  <c r="R37" i="6"/>
  <c r="K37" i="6"/>
  <c r="L37" i="6" s="1"/>
  <c r="M37" i="6"/>
  <c r="J37" i="6"/>
  <c r="P39" i="6"/>
  <c r="Q39" i="6" s="1"/>
  <c r="M39" i="6"/>
  <c r="K39" i="6"/>
  <c r="L39" i="6"/>
  <c r="J39" i="6"/>
  <c r="P41" i="6"/>
  <c r="Q41" i="6"/>
  <c r="K41" i="6"/>
  <c r="L41" i="6" s="1"/>
  <c r="M41" i="6"/>
  <c r="J41" i="6"/>
  <c r="P43" i="6"/>
  <c r="Q43" i="6" s="1"/>
  <c r="M43" i="6"/>
  <c r="J43" i="6"/>
  <c r="K43" i="6"/>
  <c r="L43" i="6" s="1"/>
  <c r="P45" i="6"/>
  <c r="Q45" i="6"/>
  <c r="K45" i="6"/>
  <c r="L45" i="6" s="1"/>
  <c r="M45" i="6"/>
  <c r="J45" i="6"/>
  <c r="R47" i="6"/>
  <c r="P47" i="6" s="1"/>
  <c r="Q47" i="6" s="1"/>
  <c r="M47" i="6"/>
  <c r="J47" i="6"/>
  <c r="K47" i="6"/>
  <c r="L47" i="6" s="1"/>
  <c r="R49" i="6"/>
  <c r="K49" i="6"/>
  <c r="L49" i="6" s="1"/>
  <c r="M49" i="6"/>
  <c r="J49" i="6"/>
  <c r="M51" i="6"/>
  <c r="J51" i="6"/>
  <c r="K51" i="6"/>
  <c r="L51" i="6"/>
  <c r="P53" i="6"/>
  <c r="Q53" i="6" s="1"/>
  <c r="L53" i="6"/>
  <c r="J53" i="6"/>
  <c r="P55" i="6"/>
  <c r="Q55" i="6"/>
  <c r="M55" i="6"/>
  <c r="J55" i="6"/>
  <c r="K55" i="6"/>
  <c r="L55" i="6"/>
  <c r="P57" i="6"/>
  <c r="Q57" i="6"/>
  <c r="K57" i="6"/>
  <c r="L57" i="6"/>
  <c r="M57" i="6"/>
  <c r="J57" i="6"/>
  <c r="P59" i="6"/>
  <c r="Q59" i="6"/>
  <c r="M59" i="6"/>
  <c r="J59" i="6"/>
  <c r="K59" i="6"/>
  <c r="L59" i="6"/>
  <c r="P61" i="6"/>
  <c r="Q61" i="6"/>
  <c r="M61" i="6"/>
  <c r="K61" i="6"/>
  <c r="L61" i="6" s="1"/>
  <c r="J61" i="6"/>
  <c r="R65" i="6"/>
  <c r="M65" i="6"/>
  <c r="K65" i="6"/>
  <c r="L65" i="6" s="1"/>
  <c r="J65" i="6"/>
  <c r="R67" i="6"/>
  <c r="M67" i="6"/>
  <c r="J67" i="6"/>
  <c r="K67" i="6"/>
  <c r="L67" i="6" s="1"/>
  <c r="K69" i="6"/>
  <c r="L69" i="6" s="1"/>
  <c r="P71" i="6"/>
  <c r="Q71" i="6" s="1"/>
  <c r="M71" i="6"/>
  <c r="J71" i="6"/>
  <c r="K71" i="6"/>
  <c r="L71" i="6" s="1"/>
  <c r="P73" i="6"/>
  <c r="Q73" i="6" s="1"/>
  <c r="M73" i="6"/>
  <c r="K73" i="6"/>
  <c r="L73" i="6" s="1"/>
  <c r="J73" i="6"/>
  <c r="P75" i="6"/>
  <c r="Q75" i="6"/>
  <c r="M75" i="6"/>
  <c r="J75" i="6"/>
  <c r="K75" i="6"/>
  <c r="L75" i="6"/>
  <c r="R77" i="6"/>
  <c r="P77" i="6"/>
  <c r="Q77" i="6" s="1"/>
  <c r="M77" i="6"/>
  <c r="K77" i="6"/>
  <c r="L77" i="6"/>
  <c r="J77" i="6"/>
  <c r="M79" i="6"/>
  <c r="K79" i="6"/>
  <c r="L79" i="6" s="1"/>
  <c r="M81" i="6"/>
  <c r="K81" i="6"/>
  <c r="L81" i="6" s="1"/>
  <c r="J81" i="6"/>
  <c r="P83" i="6"/>
  <c r="Q83" i="6"/>
  <c r="M83" i="6"/>
  <c r="J83" i="6"/>
  <c r="K83" i="6"/>
  <c r="L83" i="6"/>
  <c r="M85" i="6"/>
  <c r="P87" i="6"/>
  <c r="Q87" i="6"/>
  <c r="M87" i="6"/>
  <c r="J87" i="6"/>
  <c r="K87" i="6"/>
  <c r="L87" i="6"/>
  <c r="P89" i="6"/>
  <c r="Q89" i="6" s="1"/>
  <c r="M89" i="6"/>
  <c r="K89" i="6"/>
  <c r="L89" i="6"/>
  <c r="J89" i="6"/>
  <c r="P91" i="6"/>
  <c r="Q91" i="6" s="1"/>
  <c r="M91" i="6"/>
  <c r="J91" i="6"/>
  <c r="K91" i="6"/>
  <c r="L91" i="6" s="1"/>
  <c r="R93" i="6"/>
  <c r="P93" i="6" s="1"/>
  <c r="Q93" i="6" s="1"/>
  <c r="M93" i="6"/>
  <c r="K93" i="6"/>
  <c r="L93" i="6" s="1"/>
  <c r="J93" i="6"/>
  <c r="R97" i="6"/>
  <c r="M97" i="6"/>
  <c r="K97" i="6"/>
  <c r="L97" i="6"/>
  <c r="J97" i="6"/>
  <c r="H97" i="6" s="1"/>
  <c r="I97" i="6" s="1"/>
  <c r="P99" i="6"/>
  <c r="Q99" i="6"/>
  <c r="M99" i="6"/>
  <c r="J99" i="6"/>
  <c r="H99" i="6" s="1"/>
  <c r="I99" i="6" s="1"/>
  <c r="K99" i="6"/>
  <c r="L99" i="6"/>
  <c r="P103" i="6"/>
  <c r="Q103" i="6" s="1"/>
  <c r="M103" i="6"/>
  <c r="J103" i="6"/>
  <c r="K103" i="6"/>
  <c r="L103" i="6"/>
  <c r="H103" i="6" s="1"/>
  <c r="I103" i="6" s="1"/>
  <c r="P105" i="6"/>
  <c r="Q105" i="6" s="1"/>
  <c r="M105" i="6"/>
  <c r="K105" i="6"/>
  <c r="L105" i="6"/>
  <c r="J105" i="6"/>
  <c r="R107" i="6"/>
  <c r="P107" i="6" s="1"/>
  <c r="Q107" i="6" s="1"/>
  <c r="M107" i="6"/>
  <c r="J107" i="6"/>
  <c r="K107" i="6"/>
  <c r="L107" i="6" s="1"/>
  <c r="R109" i="6"/>
  <c r="M109" i="6"/>
  <c r="K109" i="6"/>
  <c r="L109" i="6" s="1"/>
  <c r="G109" i="6"/>
  <c r="J109" i="6"/>
  <c r="F109" i="6"/>
  <c r="K111" i="6"/>
  <c r="L111" i="6" s="1"/>
  <c r="P113" i="6"/>
  <c r="Q113" i="6"/>
  <c r="M113" i="6"/>
  <c r="K113" i="6"/>
  <c r="L113" i="6" s="1"/>
  <c r="J113" i="6"/>
  <c r="P115" i="6"/>
  <c r="Q115" i="6"/>
  <c r="M115" i="6"/>
  <c r="J115" i="6"/>
  <c r="K115" i="6"/>
  <c r="L115" i="6"/>
  <c r="M117" i="6"/>
  <c r="J117" i="6"/>
  <c r="P119" i="6"/>
  <c r="Q119" i="6"/>
  <c r="M119" i="6"/>
  <c r="J119" i="6"/>
  <c r="K119" i="6"/>
  <c r="L119" i="6"/>
  <c r="P121" i="6"/>
  <c r="Q121" i="6"/>
  <c r="M121" i="6"/>
  <c r="K121" i="6"/>
  <c r="L121" i="6" s="1"/>
  <c r="J121" i="6"/>
  <c r="R123" i="6"/>
  <c r="P123" i="6" s="1"/>
  <c r="Q123" i="6" s="1"/>
  <c r="M123" i="6"/>
  <c r="J123" i="6"/>
  <c r="K123" i="6"/>
  <c r="L123" i="6" s="1"/>
  <c r="R125" i="6"/>
  <c r="M125" i="6"/>
  <c r="K125" i="6"/>
  <c r="L125" i="6" s="1"/>
  <c r="J125" i="6"/>
  <c r="P129" i="6"/>
  <c r="Q129" i="6" s="1"/>
  <c r="M129" i="6"/>
  <c r="K129" i="6"/>
  <c r="L129" i="6"/>
  <c r="J129" i="6"/>
  <c r="P131" i="6"/>
  <c r="Q131" i="6" s="1"/>
  <c r="M131" i="6"/>
  <c r="J131" i="6"/>
  <c r="K131" i="6"/>
  <c r="L131" i="6" s="1"/>
  <c r="P135" i="6"/>
  <c r="Q135" i="6" s="1"/>
  <c r="M135" i="6"/>
  <c r="J135" i="6"/>
  <c r="K135" i="6"/>
  <c r="L135" i="6" s="1"/>
  <c r="R137" i="6"/>
  <c r="P137" i="6" s="1"/>
  <c r="Q137" i="6" s="1"/>
  <c r="M137" i="6"/>
  <c r="K137" i="6"/>
  <c r="L137" i="6" s="1"/>
  <c r="J137" i="6"/>
  <c r="R139" i="6"/>
  <c r="M139" i="6"/>
  <c r="J139" i="6"/>
  <c r="K139" i="6"/>
  <c r="L139" i="6" s="1"/>
  <c r="M141" i="6"/>
  <c r="K141" i="6"/>
  <c r="L141" i="6"/>
  <c r="J141" i="6"/>
  <c r="P143" i="6"/>
  <c r="Q143" i="6" s="1"/>
  <c r="M143" i="6"/>
  <c r="J143" i="6"/>
  <c r="K143" i="6"/>
  <c r="L143" i="6" s="1"/>
  <c r="P145" i="6"/>
  <c r="Q145" i="6" s="1"/>
  <c r="M145" i="6"/>
  <c r="K145" i="6"/>
  <c r="L145" i="6"/>
  <c r="J145" i="6"/>
  <c r="P147" i="6"/>
  <c r="Q147" i="6" s="1"/>
  <c r="M147" i="6"/>
  <c r="J147" i="6"/>
  <c r="G147" i="6" s="1"/>
  <c r="K147" i="6"/>
  <c r="L147" i="6" s="1"/>
  <c r="P149" i="6"/>
  <c r="Q149" i="6"/>
  <c r="K149" i="6"/>
  <c r="L149" i="6"/>
  <c r="J149" i="6"/>
  <c r="P151" i="6"/>
  <c r="Q151" i="6"/>
  <c r="M151" i="6"/>
  <c r="H151" i="6" s="1"/>
  <c r="J151" i="6"/>
  <c r="K151" i="6"/>
  <c r="L151" i="6"/>
  <c r="G151" i="6"/>
  <c r="R153" i="6"/>
  <c r="P153" i="6" s="1"/>
  <c r="Q153" i="6"/>
  <c r="M153" i="6"/>
  <c r="K153" i="6"/>
  <c r="L153" i="6" s="1"/>
  <c r="J153" i="6"/>
  <c r="R155" i="6"/>
  <c r="M155" i="6"/>
  <c r="J155" i="6"/>
  <c r="K155" i="6"/>
  <c r="L155" i="6" s="1"/>
  <c r="R157" i="6"/>
  <c r="M157" i="6"/>
  <c r="K157" i="6"/>
  <c r="L157" i="6"/>
  <c r="J157" i="6"/>
  <c r="P161" i="6"/>
  <c r="Q161" i="6"/>
  <c r="M161" i="6"/>
  <c r="K161" i="6"/>
  <c r="L161" i="6"/>
  <c r="J161" i="6"/>
  <c r="P163" i="6"/>
  <c r="Q163" i="6" s="1"/>
  <c r="M163" i="6"/>
  <c r="J163" i="6"/>
  <c r="K163" i="6"/>
  <c r="L163" i="6" s="1"/>
  <c r="G163" i="6" s="1"/>
  <c r="R167" i="6"/>
  <c r="P167" i="6"/>
  <c r="Q167" i="6" s="1"/>
  <c r="M167" i="6"/>
  <c r="J167" i="6"/>
  <c r="K167" i="6"/>
  <c r="L167" i="6" s="1"/>
  <c r="R169" i="6"/>
  <c r="M169" i="6"/>
  <c r="K169" i="6"/>
  <c r="L169" i="6" s="1"/>
  <c r="J169" i="6"/>
  <c r="M171" i="6"/>
  <c r="J171" i="6"/>
  <c r="H171" i="6"/>
  <c r="I171" i="6" s="1"/>
  <c r="K171" i="6"/>
  <c r="L171" i="6"/>
  <c r="G171" i="6" s="1"/>
  <c r="P173" i="6"/>
  <c r="Q173" i="6" s="1"/>
  <c r="M173" i="6"/>
  <c r="K173" i="6"/>
  <c r="L173" i="6"/>
  <c r="J173" i="6"/>
  <c r="P175" i="6"/>
  <c r="Q175" i="6" s="1"/>
  <c r="M175" i="6"/>
  <c r="J175" i="6"/>
  <c r="K175" i="6"/>
  <c r="L175" i="6" s="1"/>
  <c r="P177" i="6"/>
  <c r="Q177" i="6"/>
  <c r="M177" i="6"/>
  <c r="K177" i="6"/>
  <c r="L177" i="6" s="1"/>
  <c r="J177" i="6"/>
  <c r="P179" i="6"/>
  <c r="Q179" i="6"/>
  <c r="M179" i="6"/>
  <c r="J179" i="6"/>
  <c r="K179" i="6"/>
  <c r="L179" i="6"/>
  <c r="Q181" i="6"/>
  <c r="M181" i="6"/>
  <c r="K181" i="6"/>
  <c r="L181" i="6" s="1"/>
  <c r="J181" i="6"/>
  <c r="R183" i="6"/>
  <c r="P183" i="6"/>
  <c r="Q183" i="6" s="1"/>
  <c r="M183" i="6"/>
  <c r="J183" i="6"/>
  <c r="K183" i="6"/>
  <c r="L183" i="6" s="1"/>
  <c r="R185" i="6"/>
  <c r="M185" i="6"/>
  <c r="K185" i="6"/>
  <c r="L185" i="6" s="1"/>
  <c r="J185" i="6"/>
  <c r="H185" i="6"/>
  <c r="I185" i="6" s="1"/>
  <c r="R187" i="6"/>
  <c r="M187" i="6"/>
  <c r="J187" i="6"/>
  <c r="K187" i="6"/>
  <c r="L187" i="6" s="1"/>
  <c r="P189" i="6"/>
  <c r="Q189" i="6" s="1"/>
  <c r="M189" i="6"/>
  <c r="L189" i="6"/>
  <c r="J189" i="6"/>
  <c r="G189" i="6" s="1"/>
  <c r="P191" i="6"/>
  <c r="Q191" i="6"/>
  <c r="M191" i="6"/>
  <c r="J191" i="6"/>
  <c r="K191" i="6"/>
  <c r="L191" i="6"/>
  <c r="P193" i="6"/>
  <c r="Q193" i="6" s="1"/>
  <c r="M193" i="6"/>
  <c r="K193" i="6"/>
  <c r="L193" i="6"/>
  <c r="J193" i="6"/>
  <c r="P195" i="6"/>
  <c r="Q195" i="6"/>
  <c r="M195" i="6"/>
  <c r="J195" i="6"/>
  <c r="K195" i="6"/>
  <c r="L195" i="6"/>
  <c r="R197" i="6"/>
  <c r="P197" i="6" s="1"/>
  <c r="Q197" i="6" s="1"/>
  <c r="M197" i="6"/>
  <c r="K197" i="6"/>
  <c r="L197" i="6"/>
  <c r="J197" i="6"/>
  <c r="F197" i="6"/>
  <c r="R199" i="6"/>
  <c r="M199" i="6"/>
  <c r="J199" i="6"/>
  <c r="K199" i="6"/>
  <c r="L199" i="6" s="1"/>
  <c r="M201" i="6"/>
  <c r="K201" i="6"/>
  <c r="L201" i="6"/>
  <c r="J201" i="6"/>
  <c r="P203" i="6"/>
  <c r="Q203" i="6" s="1"/>
  <c r="M203" i="6"/>
  <c r="J203" i="6"/>
  <c r="F203" i="6"/>
  <c r="K203" i="6"/>
  <c r="L203" i="6"/>
  <c r="P205" i="6"/>
  <c r="Q205" i="6"/>
  <c r="M205" i="6"/>
  <c r="K205" i="6"/>
  <c r="L205" i="6" s="1"/>
  <c r="J205" i="6"/>
  <c r="P207" i="6"/>
  <c r="Q207" i="6"/>
  <c r="M207" i="6"/>
  <c r="J207" i="6"/>
  <c r="H207" i="6" s="1"/>
  <c r="I207" i="6" s="1"/>
  <c r="K207" i="6"/>
  <c r="L207" i="6"/>
  <c r="P209" i="6"/>
  <c r="Q209" i="6"/>
  <c r="M209" i="6"/>
  <c r="K209" i="6"/>
  <c r="L209" i="6" s="1"/>
  <c r="J209" i="6"/>
  <c r="P211" i="6"/>
  <c r="Q211" i="6"/>
  <c r="M211" i="6"/>
  <c r="J211" i="6"/>
  <c r="K211" i="6"/>
  <c r="L211" i="6"/>
  <c r="M213" i="6"/>
  <c r="R215" i="6"/>
  <c r="M215" i="6"/>
  <c r="J215" i="6"/>
  <c r="K215" i="6"/>
  <c r="L215" i="6"/>
  <c r="R217" i="6"/>
  <c r="M217" i="6"/>
  <c r="K217" i="6"/>
  <c r="L217" i="6"/>
  <c r="J217" i="6"/>
  <c r="P219" i="6"/>
  <c r="Q219" i="6" s="1"/>
  <c r="M219" i="6"/>
  <c r="J219" i="6"/>
  <c r="K219" i="6"/>
  <c r="L219" i="6" s="1"/>
  <c r="P223" i="6"/>
  <c r="Q223" i="6" s="1"/>
  <c r="M223" i="6"/>
  <c r="J223" i="6"/>
  <c r="G223" i="6"/>
  <c r="K223" i="6"/>
  <c r="L223" i="6"/>
  <c r="P225" i="6"/>
  <c r="Q225" i="6"/>
  <c r="M225" i="6"/>
  <c r="K225" i="6"/>
  <c r="L225" i="6" s="1"/>
  <c r="J225" i="6"/>
  <c r="R227" i="6"/>
  <c r="P227" i="6"/>
  <c r="Q227" i="6" s="1"/>
  <c r="M227" i="6"/>
  <c r="J227" i="6"/>
  <c r="K227" i="6"/>
  <c r="L227" i="6" s="1"/>
  <c r="R229" i="6"/>
  <c r="M229" i="6"/>
  <c r="K229" i="6"/>
  <c r="L229" i="6" s="1"/>
  <c r="J229" i="6"/>
  <c r="M231" i="6"/>
  <c r="J231" i="6"/>
  <c r="K231" i="6"/>
  <c r="L231" i="6"/>
  <c r="P233" i="6"/>
  <c r="Q233" i="6"/>
  <c r="M233" i="6"/>
  <c r="K233" i="6"/>
  <c r="L233" i="6" s="1"/>
  <c r="J233" i="6"/>
  <c r="P235" i="6"/>
  <c r="Q235" i="6"/>
  <c r="M235" i="6"/>
  <c r="J235" i="6"/>
  <c r="K235" i="6"/>
  <c r="L235" i="6"/>
  <c r="P237" i="6"/>
  <c r="Q237" i="6"/>
  <c r="M237" i="6"/>
  <c r="K237" i="6"/>
  <c r="L237" i="6" s="1"/>
  <c r="J237" i="6"/>
  <c r="P239" i="6"/>
  <c r="Q239" i="6"/>
  <c r="M239" i="6"/>
  <c r="J239" i="6"/>
  <c r="K239" i="6"/>
  <c r="L239" i="6"/>
  <c r="P241" i="6"/>
  <c r="Q241" i="6"/>
  <c r="M241" i="6"/>
  <c r="K241" i="6"/>
  <c r="L241" i="6" s="1"/>
  <c r="J241" i="6"/>
  <c r="R243" i="6"/>
  <c r="P243" i="6"/>
  <c r="Q243" i="6" s="1"/>
  <c r="M243" i="6"/>
  <c r="J243" i="6"/>
  <c r="K243" i="6"/>
  <c r="L243" i="6" s="1"/>
  <c r="R245" i="6"/>
  <c r="M245" i="6"/>
  <c r="K245" i="6"/>
  <c r="L245" i="6" s="1"/>
  <c r="J245" i="6"/>
  <c r="R247" i="6"/>
  <c r="M247" i="6"/>
  <c r="J247" i="6"/>
  <c r="K247" i="6"/>
  <c r="L247" i="6" s="1"/>
  <c r="P249" i="6"/>
  <c r="Q249" i="6" s="1"/>
  <c r="M249" i="6"/>
  <c r="K249" i="6"/>
  <c r="L249" i="6"/>
  <c r="J249" i="6"/>
  <c r="P251" i="6"/>
  <c r="Q251" i="6" s="1"/>
  <c r="M251" i="6"/>
  <c r="J251" i="6"/>
  <c r="K251" i="6"/>
  <c r="L251" i="6" s="1"/>
  <c r="P253" i="6"/>
  <c r="Q253" i="6" s="1"/>
  <c r="M253" i="6"/>
  <c r="K253" i="6"/>
  <c r="L253" i="6"/>
  <c r="J253" i="6"/>
  <c r="P255" i="6"/>
  <c r="Q255" i="6" s="1"/>
  <c r="M255" i="6"/>
  <c r="J255" i="6"/>
  <c r="K255" i="6"/>
  <c r="L255" i="6" s="1"/>
  <c r="H255" i="6"/>
  <c r="I255" i="6" s="1"/>
  <c r="R257" i="6"/>
  <c r="P257" i="6" s="1"/>
  <c r="Q257" i="6"/>
  <c r="M257" i="6"/>
  <c r="K257" i="6"/>
  <c r="L257" i="6" s="1"/>
  <c r="J257" i="6"/>
  <c r="R259" i="6"/>
  <c r="M259" i="6"/>
  <c r="J259" i="6"/>
  <c r="K259" i="6"/>
  <c r="L259" i="6" s="1"/>
  <c r="M261" i="6"/>
  <c r="K261" i="6"/>
  <c r="L261" i="6"/>
  <c r="J261" i="6"/>
  <c r="P263" i="6"/>
  <c r="Q263" i="6" s="1"/>
  <c r="M263" i="6"/>
  <c r="J263" i="6"/>
  <c r="K263" i="6"/>
  <c r="L263" i="6" s="1"/>
  <c r="P265" i="6"/>
  <c r="Q265" i="6" s="1"/>
  <c r="M265" i="6"/>
  <c r="K265" i="6"/>
  <c r="L265" i="6"/>
  <c r="J265" i="6"/>
  <c r="P267" i="6"/>
  <c r="Q267" i="6" s="1"/>
  <c r="M267" i="6"/>
  <c r="J267" i="6"/>
  <c r="K267" i="6"/>
  <c r="L267" i="6"/>
  <c r="H267" i="6" s="1"/>
  <c r="I267" i="6" s="1"/>
  <c r="P269" i="6"/>
  <c r="Q269" i="6"/>
  <c r="M269" i="6"/>
  <c r="K269" i="6"/>
  <c r="L269" i="6" s="1"/>
  <c r="J269" i="6"/>
  <c r="P271" i="6"/>
  <c r="Q271" i="6"/>
  <c r="M271" i="6"/>
  <c r="J271" i="6"/>
  <c r="K271" i="6"/>
  <c r="L271" i="6"/>
  <c r="R273" i="6"/>
  <c r="P273" i="6"/>
  <c r="Q273" i="6" s="1"/>
  <c r="M273" i="6"/>
  <c r="K273" i="6"/>
  <c r="L273" i="6"/>
  <c r="J273" i="6"/>
  <c r="R275" i="6"/>
  <c r="M275" i="6"/>
  <c r="J275" i="6"/>
  <c r="K275" i="6"/>
  <c r="L275" i="6" s="1"/>
  <c r="P279" i="6"/>
  <c r="Q279" i="6"/>
  <c r="M279" i="6"/>
  <c r="J279" i="6"/>
  <c r="K279" i="6"/>
  <c r="L279" i="6"/>
  <c r="P281" i="6"/>
  <c r="Q281" i="6"/>
  <c r="M281" i="6"/>
  <c r="K281" i="6"/>
  <c r="L281" i="6" s="1"/>
  <c r="J281" i="6"/>
  <c r="P283" i="6"/>
  <c r="Q283" i="6"/>
  <c r="M283" i="6"/>
  <c r="J283" i="6"/>
  <c r="K283" i="6"/>
  <c r="L283" i="6"/>
  <c r="R287" i="6"/>
  <c r="P287" i="6"/>
  <c r="Q287" i="6" s="1"/>
  <c r="M287" i="6"/>
  <c r="J287" i="6"/>
  <c r="K287" i="6"/>
  <c r="L287" i="6" s="1"/>
  <c r="R289" i="6"/>
  <c r="M289" i="6"/>
  <c r="K289" i="6"/>
  <c r="L289" i="6" s="1"/>
  <c r="J289" i="6"/>
  <c r="M293" i="6"/>
  <c r="J293" i="6"/>
  <c r="K293" i="6"/>
  <c r="L293" i="6"/>
  <c r="K320" i="6"/>
  <c r="L320" i="6"/>
  <c r="M517" i="6"/>
  <c r="BK8" i="3"/>
  <c r="BK12" i="3"/>
  <c r="K6" i="6"/>
  <c r="J6" i="6"/>
  <c r="M6" i="6"/>
  <c r="P8" i="6"/>
  <c r="M8" i="6"/>
  <c r="K8" i="6"/>
  <c r="L8" i="6"/>
  <c r="J8" i="6"/>
  <c r="P12" i="6"/>
  <c r="Q12" i="6"/>
  <c r="M12" i="6"/>
  <c r="K12" i="6"/>
  <c r="L12" i="6" s="1"/>
  <c r="J12" i="6"/>
  <c r="P14" i="6"/>
  <c r="Q14" i="6"/>
  <c r="K14" i="6"/>
  <c r="L14" i="6"/>
  <c r="M14" i="6"/>
  <c r="J14" i="6"/>
  <c r="P16" i="6"/>
  <c r="Q16" i="6"/>
  <c r="M16" i="6"/>
  <c r="J16" i="6"/>
  <c r="K16" i="6"/>
  <c r="L16" i="6"/>
  <c r="R18" i="6"/>
  <c r="P18" i="6"/>
  <c r="Q18" i="6" s="1"/>
  <c r="K18" i="6"/>
  <c r="L18" i="6" s="1"/>
  <c r="M18" i="6"/>
  <c r="J18" i="6"/>
  <c r="R20" i="6"/>
  <c r="M20" i="6"/>
  <c r="J20" i="6"/>
  <c r="K20" i="6"/>
  <c r="L20" i="6" s="1"/>
  <c r="R22" i="6"/>
  <c r="K22" i="6"/>
  <c r="L22" i="6"/>
  <c r="M22" i="6"/>
  <c r="J22" i="6"/>
  <c r="P24" i="6"/>
  <c r="Q24" i="6"/>
  <c r="M24" i="6"/>
  <c r="K24" i="6"/>
  <c r="L24" i="6"/>
  <c r="J24" i="6"/>
  <c r="P28" i="6"/>
  <c r="Q28" i="6"/>
  <c r="M28" i="6"/>
  <c r="K28" i="6"/>
  <c r="L28" i="6"/>
  <c r="J28" i="6"/>
  <c r="P30" i="6"/>
  <c r="Q30" i="6" s="1"/>
  <c r="K30" i="6"/>
  <c r="L30" i="6" s="1"/>
  <c r="M30" i="6"/>
  <c r="J30" i="6"/>
  <c r="R32" i="6"/>
  <c r="P32" i="6" s="1"/>
  <c r="Q32" i="6"/>
  <c r="M32" i="6"/>
  <c r="J32" i="6"/>
  <c r="K32" i="6"/>
  <c r="L32" i="6"/>
  <c r="R34" i="6"/>
  <c r="K34" i="6"/>
  <c r="L34" i="6" s="1"/>
  <c r="M34" i="6"/>
  <c r="J34" i="6"/>
  <c r="M36" i="6"/>
  <c r="K36" i="6"/>
  <c r="L36" i="6"/>
  <c r="J36" i="6"/>
  <c r="P38" i="6"/>
  <c r="Q38" i="6" s="1"/>
  <c r="K38" i="6"/>
  <c r="L38" i="6" s="1"/>
  <c r="M38" i="6"/>
  <c r="J38" i="6"/>
  <c r="P40" i="6"/>
  <c r="Q40" i="6" s="1"/>
  <c r="M40" i="6"/>
  <c r="K40" i="6"/>
  <c r="L40" i="6"/>
  <c r="J40" i="6"/>
  <c r="J42" i="6"/>
  <c r="P44" i="6"/>
  <c r="Q44" i="6" s="1"/>
  <c r="M44" i="6"/>
  <c r="J44" i="6"/>
  <c r="K44" i="6"/>
  <c r="L44" i="6" s="1"/>
  <c r="P46" i="6"/>
  <c r="Q46" i="6"/>
  <c r="K46" i="6"/>
  <c r="L46" i="6" s="1"/>
  <c r="M46" i="6"/>
  <c r="J46" i="6"/>
  <c r="R48" i="6"/>
  <c r="P48" i="6" s="1"/>
  <c r="Q48" i="6" s="1"/>
  <c r="M48" i="6"/>
  <c r="K48" i="6"/>
  <c r="L48" i="6" s="1"/>
  <c r="J48" i="6"/>
  <c r="R50" i="6"/>
  <c r="K50" i="6"/>
  <c r="L50" i="6" s="1"/>
  <c r="M50" i="6"/>
  <c r="J50" i="6"/>
  <c r="R52" i="6"/>
  <c r="M52" i="6"/>
  <c r="J52" i="6"/>
  <c r="K52" i="6"/>
  <c r="L52" i="6" s="1"/>
  <c r="P54" i="6"/>
  <c r="Q54" i="6"/>
  <c r="K54" i="6"/>
  <c r="L54" i="6" s="1"/>
  <c r="M54" i="6"/>
  <c r="J54" i="6"/>
  <c r="P56" i="6"/>
  <c r="Q56" i="6" s="1"/>
  <c r="M56" i="6"/>
  <c r="K56" i="6"/>
  <c r="L56" i="6"/>
  <c r="J56" i="6"/>
  <c r="P58" i="6"/>
  <c r="Q58" i="6"/>
  <c r="M58" i="6"/>
  <c r="K58" i="6"/>
  <c r="L58" i="6" s="1"/>
  <c r="J58" i="6"/>
  <c r="P60" i="6"/>
  <c r="Q60" i="6"/>
  <c r="M60" i="6"/>
  <c r="K60" i="6"/>
  <c r="L60" i="6" s="1"/>
  <c r="J60" i="6"/>
  <c r="R62" i="6"/>
  <c r="P62" i="6"/>
  <c r="Q62" i="6" s="1"/>
  <c r="M62" i="6"/>
  <c r="K62" i="6"/>
  <c r="L62" i="6"/>
  <c r="J62" i="6"/>
  <c r="R64" i="6"/>
  <c r="M64" i="6"/>
  <c r="J64" i="6"/>
  <c r="K64" i="6"/>
  <c r="L64" i="6"/>
  <c r="K66" i="6"/>
  <c r="L66" i="6"/>
  <c r="G66" i="6" s="1"/>
  <c r="M66" i="6"/>
  <c r="J66" i="6"/>
  <c r="P68" i="6"/>
  <c r="Q68" i="6"/>
  <c r="M68" i="6"/>
  <c r="J68" i="6"/>
  <c r="K68" i="6"/>
  <c r="L68" i="6"/>
  <c r="H68" i="6" s="1"/>
  <c r="I68" i="6" s="1"/>
  <c r="P70" i="6"/>
  <c r="Q70" i="6" s="1"/>
  <c r="K70" i="6"/>
  <c r="L70" i="6" s="1"/>
  <c r="M70" i="6"/>
  <c r="G70" i="6" s="1"/>
  <c r="J70" i="6"/>
  <c r="P74" i="6"/>
  <c r="Q74" i="6"/>
  <c r="M74" i="6"/>
  <c r="K74" i="6"/>
  <c r="L74" i="6"/>
  <c r="J74" i="6"/>
  <c r="P76" i="6"/>
  <c r="Q76" i="6" s="1"/>
  <c r="M76" i="6"/>
  <c r="J76" i="6"/>
  <c r="G76" i="6"/>
  <c r="K76" i="6"/>
  <c r="L76" i="6"/>
  <c r="R78" i="6"/>
  <c r="P78" i="6"/>
  <c r="Q78" i="6" s="1"/>
  <c r="M78" i="6"/>
  <c r="K78" i="6"/>
  <c r="L78" i="6" s="1"/>
  <c r="H78" i="6" s="1"/>
  <c r="I78" i="6" s="1"/>
  <c r="J78" i="6"/>
  <c r="R80" i="6"/>
  <c r="M80" i="6"/>
  <c r="J80" i="6"/>
  <c r="K80" i="6"/>
  <c r="L80" i="6"/>
  <c r="R82" i="6"/>
  <c r="K82" i="6"/>
  <c r="L82" i="6"/>
  <c r="M82" i="6"/>
  <c r="J82" i="6"/>
  <c r="P84" i="6"/>
  <c r="Q84" i="6"/>
  <c r="M84" i="6"/>
  <c r="K84" i="6"/>
  <c r="L84" i="6" s="1"/>
  <c r="J84" i="6"/>
  <c r="P86" i="6"/>
  <c r="Q86" i="6"/>
  <c r="K86" i="6"/>
  <c r="L86" i="6"/>
  <c r="M86" i="6"/>
  <c r="J86" i="6"/>
  <c r="P88" i="6"/>
  <c r="Q88" i="6"/>
  <c r="M88" i="6"/>
  <c r="J88" i="6"/>
  <c r="K88" i="6"/>
  <c r="L88" i="6"/>
  <c r="P90" i="6"/>
  <c r="Q90" i="6"/>
  <c r="M90" i="6"/>
  <c r="K90" i="6"/>
  <c r="L90" i="6" s="1"/>
  <c r="J90" i="6"/>
  <c r="R92" i="6"/>
  <c r="P92" i="6"/>
  <c r="Q92" i="6" s="1"/>
  <c r="M92" i="6"/>
  <c r="J92" i="6"/>
  <c r="K92" i="6"/>
  <c r="L92" i="6" s="1"/>
  <c r="R94" i="6"/>
  <c r="M94" i="6"/>
  <c r="K94" i="6"/>
  <c r="L94" i="6" s="1"/>
  <c r="J94" i="6"/>
  <c r="M96" i="6"/>
  <c r="K96" i="6"/>
  <c r="L96" i="6" s="1"/>
  <c r="J96" i="6"/>
  <c r="P98" i="6"/>
  <c r="Q98" i="6"/>
  <c r="K98" i="6"/>
  <c r="L98" i="6"/>
  <c r="M98" i="6"/>
  <c r="H98" i="6"/>
  <c r="I98" i="6" s="1"/>
  <c r="J98" i="6"/>
  <c r="P100" i="6"/>
  <c r="Q100" i="6"/>
  <c r="M100" i="6"/>
  <c r="J100" i="6"/>
  <c r="K100" i="6"/>
  <c r="L100" i="6"/>
  <c r="H100" i="6" s="1"/>
  <c r="I100" i="6" s="1"/>
  <c r="P102" i="6"/>
  <c r="Q102" i="6" s="1"/>
  <c r="K102" i="6"/>
  <c r="L102" i="6" s="1"/>
  <c r="M102" i="6"/>
  <c r="J102" i="6"/>
  <c r="F102" i="6" s="1"/>
  <c r="P106" i="6"/>
  <c r="Q106" i="6"/>
  <c r="M106" i="6"/>
  <c r="K106" i="6"/>
  <c r="L106" i="6" s="1"/>
  <c r="H106" i="6" s="1"/>
  <c r="I106" i="6" s="1"/>
  <c r="J106" i="6"/>
  <c r="R108" i="6"/>
  <c r="P108" i="6"/>
  <c r="Q108" i="6" s="1"/>
  <c r="M108" i="6"/>
  <c r="F108" i="6" s="1"/>
  <c r="J108" i="6"/>
  <c r="K108" i="6"/>
  <c r="L108" i="6" s="1"/>
  <c r="R110" i="6"/>
  <c r="M110" i="6"/>
  <c r="K110" i="6"/>
  <c r="L110" i="6"/>
  <c r="J110" i="6"/>
  <c r="F110" i="6" s="1"/>
  <c r="R112" i="6"/>
  <c r="M112" i="6"/>
  <c r="K112" i="6"/>
  <c r="L112" i="6"/>
  <c r="J112" i="6"/>
  <c r="P114" i="6"/>
  <c r="Q114" i="6" s="1"/>
  <c r="K114" i="6"/>
  <c r="L114" i="6"/>
  <c r="M114" i="6"/>
  <c r="J114" i="6"/>
  <c r="P116" i="6"/>
  <c r="Q116" i="6"/>
  <c r="M116" i="6"/>
  <c r="J116" i="6"/>
  <c r="K116" i="6"/>
  <c r="L116" i="6"/>
  <c r="P118" i="6"/>
  <c r="Q118" i="6" s="1"/>
  <c r="K118" i="6"/>
  <c r="L118" i="6"/>
  <c r="M118" i="6"/>
  <c r="J118" i="6"/>
  <c r="P120" i="6"/>
  <c r="Q120" i="6"/>
  <c r="M120" i="6"/>
  <c r="J120" i="6"/>
  <c r="K120" i="6"/>
  <c r="L120" i="6"/>
  <c r="R122" i="6"/>
  <c r="P122" i="6" s="1"/>
  <c r="Q122" i="6" s="1"/>
  <c r="M122" i="6"/>
  <c r="K122" i="6"/>
  <c r="L122" i="6" s="1"/>
  <c r="J122" i="6"/>
  <c r="R124" i="6"/>
  <c r="M124" i="6"/>
  <c r="J124" i="6"/>
  <c r="K124" i="6"/>
  <c r="L124" i="6" s="1"/>
  <c r="M126" i="6"/>
  <c r="K126" i="6"/>
  <c r="L126" i="6"/>
  <c r="J126" i="6"/>
  <c r="P128" i="6"/>
  <c r="Q128" i="6" s="1"/>
  <c r="M128" i="6"/>
  <c r="K128" i="6"/>
  <c r="L128" i="6" s="1"/>
  <c r="J128" i="6"/>
  <c r="P130" i="6"/>
  <c r="Q130" i="6"/>
  <c r="K130" i="6"/>
  <c r="L130" i="6" s="1"/>
  <c r="M130" i="6"/>
  <c r="J130" i="6"/>
  <c r="P132" i="6"/>
  <c r="Q132" i="6" s="1"/>
  <c r="M132" i="6"/>
  <c r="J132" i="6"/>
  <c r="K132" i="6"/>
  <c r="L132" i="6" s="1"/>
  <c r="P134" i="6"/>
  <c r="Q134" i="6" s="1"/>
  <c r="K134" i="6"/>
  <c r="L134" i="6" s="1"/>
  <c r="M134" i="6"/>
  <c r="J134" i="6"/>
  <c r="R138" i="6"/>
  <c r="P138" i="6" s="1"/>
  <c r="Q138" i="6" s="1"/>
  <c r="M138" i="6"/>
  <c r="K138" i="6"/>
  <c r="L138" i="6" s="1"/>
  <c r="J138" i="6"/>
  <c r="R140" i="6"/>
  <c r="M140" i="6"/>
  <c r="J140" i="6"/>
  <c r="K140" i="6"/>
  <c r="L140" i="6" s="1"/>
  <c r="R142" i="6"/>
  <c r="M142" i="6"/>
  <c r="K142" i="6"/>
  <c r="L142" i="6" s="1"/>
  <c r="J142" i="6"/>
  <c r="P144" i="6"/>
  <c r="Q144" i="6"/>
  <c r="M144" i="6"/>
  <c r="J144" i="6"/>
  <c r="K144" i="6"/>
  <c r="L144" i="6"/>
  <c r="P146" i="6"/>
  <c r="Q146" i="6"/>
  <c r="K146" i="6"/>
  <c r="L146" i="6"/>
  <c r="M146" i="6"/>
  <c r="J146" i="6"/>
  <c r="P148" i="6"/>
  <c r="Q148" i="6"/>
  <c r="M148" i="6"/>
  <c r="J148" i="6"/>
  <c r="K148" i="6"/>
  <c r="L148" i="6"/>
  <c r="P150" i="6"/>
  <c r="Q150" i="6"/>
  <c r="K150" i="6"/>
  <c r="L150" i="6"/>
  <c r="M150" i="6"/>
  <c r="J150" i="6"/>
  <c r="R152" i="6"/>
  <c r="P152" i="6"/>
  <c r="Q152" i="6" s="1"/>
  <c r="M152" i="6"/>
  <c r="J152" i="6"/>
  <c r="K152" i="6"/>
  <c r="L152" i="6" s="1"/>
  <c r="R154" i="6"/>
  <c r="M154" i="6"/>
  <c r="K154" i="6"/>
  <c r="L154" i="6" s="1"/>
  <c r="J154" i="6"/>
  <c r="M156" i="6"/>
  <c r="J156" i="6"/>
  <c r="K156" i="6"/>
  <c r="L156" i="6"/>
  <c r="P158" i="6"/>
  <c r="Q158" i="6" s="1"/>
  <c r="M158" i="6"/>
  <c r="K158" i="6"/>
  <c r="L158" i="6" s="1"/>
  <c r="J158" i="6"/>
  <c r="P160" i="6"/>
  <c r="Q160" i="6"/>
  <c r="M160" i="6"/>
  <c r="J160" i="6"/>
  <c r="K160" i="6"/>
  <c r="L160" i="6"/>
  <c r="P162" i="6"/>
  <c r="Q162" i="6" s="1"/>
  <c r="K162" i="6"/>
  <c r="L162" i="6"/>
  <c r="M162" i="6"/>
  <c r="J162" i="6"/>
  <c r="P164" i="6"/>
  <c r="Q164" i="6"/>
  <c r="M164" i="6"/>
  <c r="J164" i="6"/>
  <c r="K164" i="6"/>
  <c r="L164" i="6"/>
  <c r="P166" i="6"/>
  <c r="Q166" i="6" s="1"/>
  <c r="M166" i="6"/>
  <c r="K166" i="6"/>
  <c r="L166" i="6"/>
  <c r="J166" i="6"/>
  <c r="R170" i="6"/>
  <c r="M170" i="6"/>
  <c r="K170" i="6"/>
  <c r="L170" i="6"/>
  <c r="J170" i="6"/>
  <c r="R172" i="6"/>
  <c r="M172" i="6"/>
  <c r="J172" i="6"/>
  <c r="K172" i="6"/>
  <c r="L172" i="6" s="1"/>
  <c r="P174" i="6"/>
  <c r="Q174" i="6" s="1"/>
  <c r="M174" i="6"/>
  <c r="K174" i="6"/>
  <c r="L174" i="6"/>
  <c r="J174" i="6"/>
  <c r="P176" i="6"/>
  <c r="Q176" i="6" s="1"/>
  <c r="M176" i="6"/>
  <c r="J176" i="6"/>
  <c r="K176" i="6"/>
  <c r="L176" i="6" s="1"/>
  <c r="P178" i="6"/>
  <c r="Q178" i="6"/>
  <c r="K178" i="6"/>
  <c r="L178" i="6" s="1"/>
  <c r="M178" i="6"/>
  <c r="J178" i="6"/>
  <c r="P180" i="6"/>
  <c r="Q180" i="6" s="1"/>
  <c r="M180" i="6"/>
  <c r="J180" i="6"/>
  <c r="K180" i="6"/>
  <c r="L180" i="6" s="1"/>
  <c r="R182" i="6"/>
  <c r="P182" i="6" s="1"/>
  <c r="Q182" i="6" s="1"/>
  <c r="K182" i="6"/>
  <c r="L182" i="6"/>
  <c r="M182" i="6"/>
  <c r="J182" i="6"/>
  <c r="R184" i="6"/>
  <c r="M184" i="6"/>
  <c r="J184" i="6"/>
  <c r="H184" i="6" s="1"/>
  <c r="I184" i="6" s="1"/>
  <c r="K184" i="6"/>
  <c r="L184" i="6" s="1"/>
  <c r="M186" i="6"/>
  <c r="K186" i="6"/>
  <c r="L186" i="6"/>
  <c r="J186" i="6"/>
  <c r="P188" i="6"/>
  <c r="Q188" i="6"/>
  <c r="M188" i="6"/>
  <c r="J188" i="6"/>
  <c r="K188" i="6"/>
  <c r="L188" i="6"/>
  <c r="P190" i="6"/>
  <c r="Q190" i="6" s="1"/>
  <c r="M190" i="6"/>
  <c r="K190" i="6"/>
  <c r="L190" i="6"/>
  <c r="J190" i="6"/>
  <c r="P192" i="6"/>
  <c r="Q192" i="6"/>
  <c r="M192" i="6"/>
  <c r="J192" i="6"/>
  <c r="K192" i="6"/>
  <c r="L192" i="6"/>
  <c r="P194" i="6"/>
  <c r="Q194" i="6" s="1"/>
  <c r="K194" i="6"/>
  <c r="L194" i="6" s="1"/>
  <c r="M194" i="6"/>
  <c r="J194" i="6"/>
  <c r="M196" i="6"/>
  <c r="R198" i="6"/>
  <c r="P198" i="6" s="1"/>
  <c r="Q198" i="6"/>
  <c r="K198" i="6"/>
  <c r="L198" i="6"/>
  <c r="M198" i="6"/>
  <c r="J198" i="6"/>
  <c r="R200" i="6"/>
  <c r="M200" i="6"/>
  <c r="J200" i="6"/>
  <c r="K200" i="6"/>
  <c r="L200" i="6" s="1"/>
  <c r="R202" i="6"/>
  <c r="M202" i="6"/>
  <c r="K202" i="6"/>
  <c r="L202" i="6" s="1"/>
  <c r="J202" i="6"/>
  <c r="J204" i="6"/>
  <c r="P206" i="6"/>
  <c r="Q206" i="6"/>
  <c r="M206" i="6"/>
  <c r="K206" i="6"/>
  <c r="L206" i="6" s="1"/>
  <c r="J206" i="6"/>
  <c r="H206" i="6" s="1"/>
  <c r="I206" i="6" s="1"/>
  <c r="G206" i="6"/>
  <c r="P208" i="6"/>
  <c r="Q208" i="6" s="1"/>
  <c r="M208" i="6"/>
  <c r="J208" i="6"/>
  <c r="K208" i="6"/>
  <c r="L208" i="6" s="1"/>
  <c r="R212" i="6"/>
  <c r="P212" i="6" s="1"/>
  <c r="Q212" i="6" s="1"/>
  <c r="M212" i="6"/>
  <c r="J212" i="6"/>
  <c r="K212" i="6"/>
  <c r="L212" i="6"/>
  <c r="R214" i="6"/>
  <c r="M214" i="6"/>
  <c r="K214" i="6"/>
  <c r="L214" i="6"/>
  <c r="J214" i="6"/>
  <c r="F214" i="6" s="1"/>
  <c r="K216" i="6"/>
  <c r="L216" i="6" s="1"/>
  <c r="P218" i="6"/>
  <c r="Q218" i="6"/>
  <c r="M218" i="6"/>
  <c r="K218" i="6"/>
  <c r="L218" i="6" s="1"/>
  <c r="J218" i="6"/>
  <c r="P220" i="6"/>
  <c r="Q220" i="6"/>
  <c r="M220" i="6"/>
  <c r="J220" i="6"/>
  <c r="K220" i="6"/>
  <c r="L220" i="6"/>
  <c r="P222" i="6"/>
  <c r="Q222" i="6"/>
  <c r="M222" i="6"/>
  <c r="K222" i="6"/>
  <c r="L222" i="6" s="1"/>
  <c r="J222" i="6"/>
  <c r="P224" i="6"/>
  <c r="Q224" i="6"/>
  <c r="M224" i="6"/>
  <c r="J224" i="6"/>
  <c r="K224" i="6"/>
  <c r="L224" i="6"/>
  <c r="P226" i="6"/>
  <c r="Q226" i="6"/>
  <c r="K226" i="6"/>
  <c r="L226" i="6"/>
  <c r="M226" i="6"/>
  <c r="J226" i="6"/>
  <c r="R228" i="6"/>
  <c r="P228" i="6"/>
  <c r="Q228" i="6" s="1"/>
  <c r="M228" i="6"/>
  <c r="J228" i="6"/>
  <c r="K228" i="6"/>
  <c r="L228" i="6" s="1"/>
  <c r="R230" i="6"/>
  <c r="K230" i="6"/>
  <c r="L230" i="6" s="1"/>
  <c r="M230" i="6"/>
  <c r="J230" i="6"/>
  <c r="R232" i="6"/>
  <c r="M232" i="6"/>
  <c r="J232" i="6"/>
  <c r="K232" i="6"/>
  <c r="L232" i="6"/>
  <c r="P234" i="6"/>
  <c r="Q234" i="6" s="1"/>
  <c r="M234" i="6"/>
  <c r="K234" i="6"/>
  <c r="L234" i="6"/>
  <c r="J234" i="6"/>
  <c r="P236" i="6"/>
  <c r="Q236" i="6"/>
  <c r="M236" i="6"/>
  <c r="J236" i="6"/>
  <c r="K236" i="6"/>
  <c r="L236" i="6"/>
  <c r="P238" i="6"/>
  <c r="Q238" i="6" s="1"/>
  <c r="M238" i="6"/>
  <c r="K238" i="6"/>
  <c r="L238" i="6"/>
  <c r="J238" i="6"/>
  <c r="P240" i="6"/>
  <c r="Q240" i="6" s="1"/>
  <c r="M240" i="6"/>
  <c r="J240" i="6"/>
  <c r="K240" i="6"/>
  <c r="L240" i="6" s="1"/>
  <c r="R242" i="6"/>
  <c r="P242" i="6" s="1"/>
  <c r="Q242" i="6"/>
  <c r="K242" i="6"/>
  <c r="L242" i="6" s="1"/>
  <c r="M242" i="6"/>
  <c r="J242" i="6"/>
  <c r="R244" i="6"/>
  <c r="M244" i="6"/>
  <c r="J244" i="6"/>
  <c r="K244" i="6"/>
  <c r="L244" i="6"/>
  <c r="K246" i="6"/>
  <c r="L246" i="6" s="1"/>
  <c r="M246" i="6"/>
  <c r="J246" i="6"/>
  <c r="P248" i="6"/>
  <c r="Q248" i="6" s="1"/>
  <c r="M248" i="6"/>
  <c r="J248" i="6"/>
  <c r="K248" i="6"/>
  <c r="L248" i="6" s="1"/>
  <c r="P250" i="6"/>
  <c r="Q250" i="6" s="1"/>
  <c r="M250" i="6"/>
  <c r="K250" i="6"/>
  <c r="L250" i="6"/>
  <c r="J250" i="6"/>
  <c r="F250" i="6"/>
  <c r="P252" i="6"/>
  <c r="Q252" i="6"/>
  <c r="M252" i="6"/>
  <c r="J252" i="6"/>
  <c r="K252" i="6"/>
  <c r="L252" i="6"/>
  <c r="P254" i="6"/>
  <c r="Q254" i="6"/>
  <c r="M254" i="6"/>
  <c r="K254" i="6"/>
  <c r="L254" i="6" s="1"/>
  <c r="J254" i="6"/>
  <c r="P256" i="6"/>
  <c r="Q256" i="6"/>
  <c r="M256" i="6"/>
  <c r="J256" i="6"/>
  <c r="K256" i="6"/>
  <c r="L256" i="6"/>
  <c r="R258" i="6"/>
  <c r="P258" i="6"/>
  <c r="Q258" i="6" s="1"/>
  <c r="K258" i="6"/>
  <c r="L258" i="6"/>
  <c r="M258" i="6"/>
  <c r="J258" i="6"/>
  <c r="M260" i="6"/>
  <c r="R262" i="6"/>
  <c r="K262" i="6"/>
  <c r="L262" i="6"/>
  <c r="M262" i="6"/>
  <c r="J262" i="6"/>
  <c r="P264" i="6"/>
  <c r="Q264" i="6"/>
  <c r="M264" i="6"/>
  <c r="H264" i="6"/>
  <c r="I264" i="6" s="1"/>
  <c r="J264" i="6"/>
  <c r="K264" i="6"/>
  <c r="L264" i="6"/>
  <c r="P266" i="6"/>
  <c r="Q266" i="6" s="1"/>
  <c r="M266" i="6"/>
  <c r="K266" i="6"/>
  <c r="L266" i="6"/>
  <c r="J266" i="6"/>
  <c r="P268" i="6"/>
  <c r="Q268" i="6" s="1"/>
  <c r="P270" i="6"/>
  <c r="Q270" i="6"/>
  <c r="M270" i="6"/>
  <c r="K270" i="6"/>
  <c r="L270" i="6"/>
  <c r="J270" i="6"/>
  <c r="R272" i="6"/>
  <c r="P272" i="6" s="1"/>
  <c r="Q272" i="6" s="1"/>
  <c r="M272" i="6"/>
  <c r="J272" i="6"/>
  <c r="K272" i="6"/>
  <c r="L272" i="6"/>
  <c r="M274" i="6"/>
  <c r="M276" i="6"/>
  <c r="J276" i="6"/>
  <c r="K276" i="6"/>
  <c r="L276" i="6" s="1"/>
  <c r="P278" i="6"/>
  <c r="Q278" i="6" s="1"/>
  <c r="K278" i="6"/>
  <c r="L278" i="6"/>
  <c r="M278" i="6"/>
  <c r="J278" i="6"/>
  <c r="P282" i="6"/>
  <c r="Q282" i="6" s="1"/>
  <c r="M282" i="6"/>
  <c r="K282" i="6"/>
  <c r="L282" i="6"/>
  <c r="J282" i="6"/>
  <c r="P284" i="6"/>
  <c r="Q284" i="6"/>
  <c r="M284" i="6"/>
  <c r="J284" i="6"/>
  <c r="K284" i="6"/>
  <c r="L284" i="6"/>
  <c r="P286" i="6"/>
  <c r="Q286" i="6" s="1"/>
  <c r="M286" i="6"/>
  <c r="K286" i="6"/>
  <c r="L286" i="6"/>
  <c r="J286" i="6"/>
  <c r="R288" i="6"/>
  <c r="P288" i="6" s="1"/>
  <c r="Q288" i="6"/>
  <c r="M288" i="6"/>
  <c r="J288" i="6"/>
  <c r="K288" i="6"/>
  <c r="L288" i="6"/>
  <c r="R290" i="6"/>
  <c r="K290" i="6"/>
  <c r="L290" i="6" s="1"/>
  <c r="M290" i="6"/>
  <c r="J290" i="6"/>
  <c r="M292" i="6"/>
  <c r="J292" i="6"/>
  <c r="K292" i="6"/>
  <c r="L292" i="6" s="1"/>
  <c r="K312" i="6"/>
  <c r="L312" i="6"/>
  <c r="H312" i="6" s="1"/>
  <c r="I312" i="6" s="1"/>
  <c r="M516" i="6"/>
  <c r="C523" i="7"/>
  <c r="J291" i="6"/>
  <c r="M291" i="6"/>
  <c r="K291" i="6"/>
  <c r="L291" i="6" s="1"/>
  <c r="F107" i="6"/>
  <c r="G203" i="6"/>
  <c r="I151" i="6"/>
  <c r="F70" i="6"/>
  <c r="G185" i="6"/>
  <c r="W13" i="3"/>
  <c r="K13" i="3"/>
  <c r="AA13" i="3"/>
  <c r="AM13" i="3"/>
  <c r="AY13" i="3"/>
  <c r="BC13" i="3"/>
  <c r="F13" i="3"/>
  <c r="J13" i="3"/>
  <c r="N13" i="3"/>
  <c r="R13" i="3"/>
  <c r="V13" i="3"/>
  <c r="Z13" i="3"/>
  <c r="AD13" i="3"/>
  <c r="AH13" i="3"/>
  <c r="AL13" i="3"/>
  <c r="AP13" i="3"/>
  <c r="BB13" i="3"/>
  <c r="BF13" i="3"/>
  <c r="BJ13" i="3"/>
  <c r="G13" i="3"/>
  <c r="S13" i="3"/>
  <c r="AI13" i="3"/>
  <c r="AU13" i="3"/>
  <c r="C13" i="3"/>
  <c r="O13" i="3"/>
  <c r="AE13" i="3"/>
  <c r="AQ13" i="3"/>
  <c r="BG13" i="3"/>
  <c r="M515" i="6"/>
  <c r="J308" i="6"/>
  <c r="J309" i="6"/>
  <c r="K319" i="6"/>
  <c r="L319" i="6" s="1"/>
  <c r="K308" i="6"/>
  <c r="L308" i="6"/>
  <c r="M514" i="6"/>
  <c r="AN515" i="7"/>
  <c r="M521" i="6"/>
  <c r="K315" i="6"/>
  <c r="L315" i="6"/>
  <c r="K321" i="6"/>
  <c r="L321" i="6"/>
  <c r="J294" i="6"/>
  <c r="J303" i="6"/>
  <c r="J375" i="6"/>
  <c r="J302" i="6"/>
  <c r="J327" i="6"/>
  <c r="J328" i="6"/>
  <c r="F328" i="6" s="1"/>
  <c r="G328" i="6"/>
  <c r="J329" i="6"/>
  <c r="J330" i="6"/>
  <c r="J331" i="6"/>
  <c r="F331" i="6" s="1"/>
  <c r="J383" i="6"/>
  <c r="J312" i="6"/>
  <c r="J315" i="6"/>
  <c r="H315" i="6" s="1"/>
  <c r="I315" i="6" s="1"/>
  <c r="J320" i="6"/>
  <c r="H320" i="6" s="1"/>
  <c r="I320" i="6" s="1"/>
  <c r="J321" i="6"/>
  <c r="H321" i="6" s="1"/>
  <c r="I321" i="6" s="1"/>
  <c r="J322" i="6"/>
  <c r="G322" i="6"/>
  <c r="K327" i="6"/>
  <c r="L327" i="6"/>
  <c r="G327" i="6" s="1"/>
  <c r="K328" i="6"/>
  <c r="L328" i="6" s="1"/>
  <c r="K329" i="6"/>
  <c r="L329" i="6"/>
  <c r="K330" i="6"/>
  <c r="L330" i="6" s="1"/>
  <c r="J298" i="6"/>
  <c r="J306" i="6"/>
  <c r="F306" i="6" s="1"/>
  <c r="J379" i="6"/>
  <c r="J387" i="6"/>
  <c r="J397" i="6"/>
  <c r="J398" i="6"/>
  <c r="H398" i="6" s="1"/>
  <c r="I398" i="6" s="1"/>
  <c r="J399" i="6"/>
  <c r="J400" i="6"/>
  <c r="J405" i="6"/>
  <c r="J406" i="6"/>
  <c r="J408" i="6"/>
  <c r="J409" i="6"/>
  <c r="J410" i="6"/>
  <c r="J411" i="6"/>
  <c r="H411" i="6" s="1"/>
  <c r="I411" i="6" s="1"/>
  <c r="J412" i="6"/>
  <c r="J413" i="6"/>
  <c r="F413" i="6" s="1"/>
  <c r="J414" i="6"/>
  <c r="J415" i="6"/>
  <c r="J416" i="6"/>
  <c r="J417" i="6"/>
  <c r="J418" i="6"/>
  <c r="J419" i="6"/>
  <c r="J420" i="6"/>
  <c r="H420" i="6" s="1"/>
  <c r="I420" i="6" s="1"/>
  <c r="J421" i="6"/>
  <c r="J422" i="6"/>
  <c r="G422" i="6" s="1"/>
  <c r="J423" i="6"/>
  <c r="J424" i="6"/>
  <c r="J425" i="6"/>
  <c r="J426" i="6"/>
  <c r="H426" i="6" s="1"/>
  <c r="I426" i="6" s="1"/>
  <c r="J427" i="6"/>
  <c r="G427" i="6" s="1"/>
  <c r="J428" i="6"/>
  <c r="J429" i="6"/>
  <c r="J430" i="6"/>
  <c r="G430" i="6" s="1"/>
  <c r="J431" i="6"/>
  <c r="J432" i="6"/>
  <c r="J433" i="6"/>
  <c r="J434" i="6"/>
  <c r="G434" i="6" s="1"/>
  <c r="J435" i="6"/>
  <c r="J436" i="6"/>
  <c r="H436" i="6" s="1"/>
  <c r="I436" i="6" s="1"/>
  <c r="J437" i="6"/>
  <c r="J438" i="6"/>
  <c r="J439" i="6"/>
  <c r="J440" i="6"/>
  <c r="J441" i="6"/>
  <c r="J442" i="6"/>
  <c r="F442" i="6" s="1"/>
  <c r="J443" i="6"/>
  <c r="J444" i="6"/>
  <c r="K445" i="6"/>
  <c r="L445" i="6" s="1"/>
  <c r="K468" i="6"/>
  <c r="L468" i="6" s="1"/>
  <c r="K472" i="6"/>
  <c r="L472" i="6"/>
  <c r="K473" i="6"/>
  <c r="L473" i="6" s="1"/>
  <c r="H473" i="6" s="1"/>
  <c r="I473" i="6" s="1"/>
  <c r="K474" i="6"/>
  <c r="L474" i="6"/>
  <c r="G474" i="6" s="1"/>
  <c r="J477" i="6"/>
  <c r="J478" i="6"/>
  <c r="F478" i="6" s="1"/>
  <c r="J479" i="6"/>
  <c r="J299" i="6"/>
  <c r="J380" i="6"/>
  <c r="J388" i="6"/>
  <c r="J468" i="6"/>
  <c r="J469" i="6"/>
  <c r="J472" i="6"/>
  <c r="H472" i="6"/>
  <c r="I472" i="6" s="1"/>
  <c r="J473" i="6"/>
  <c r="G473" i="6" s="1"/>
  <c r="J474" i="6"/>
  <c r="F474" i="6"/>
  <c r="J295" i="6"/>
  <c r="K306" i="6"/>
  <c r="L306" i="6"/>
  <c r="J376" i="6"/>
  <c r="F376" i="6" s="1"/>
  <c r="J384" i="6"/>
  <c r="J392" i="6"/>
  <c r="H392" i="6" s="1"/>
  <c r="I392" i="6" s="1"/>
  <c r="K397" i="6"/>
  <c r="L397" i="6"/>
  <c r="K398" i="6"/>
  <c r="L398" i="6"/>
  <c r="K399" i="6"/>
  <c r="L399" i="6"/>
  <c r="F399" i="6" s="1"/>
  <c r="K400" i="6"/>
  <c r="L400" i="6"/>
  <c r="K405" i="6"/>
  <c r="L405" i="6" s="1"/>
  <c r="F405" i="6" s="1"/>
  <c r="K406" i="6"/>
  <c r="L406" i="6"/>
  <c r="G406" i="6" s="1"/>
  <c r="K408" i="6"/>
  <c r="L408" i="6" s="1"/>
  <c r="K409" i="6"/>
  <c r="L409" i="6"/>
  <c r="H409" i="6" s="1"/>
  <c r="I409" i="6" s="1"/>
  <c r="K410" i="6"/>
  <c r="L410" i="6" s="1"/>
  <c r="F410" i="6" s="1"/>
  <c r="K411" i="6"/>
  <c r="L411" i="6"/>
  <c r="K412" i="6"/>
  <c r="L412" i="6" s="1"/>
  <c r="K413" i="6"/>
  <c r="L413" i="6"/>
  <c r="K414" i="6"/>
  <c r="L414" i="6" s="1"/>
  <c r="H414" i="6" s="1"/>
  <c r="I414" i="6" s="1"/>
  <c r="K415" i="6"/>
  <c r="L415" i="6"/>
  <c r="H415" i="6" s="1"/>
  <c r="I415" i="6" s="1"/>
  <c r="K416" i="6"/>
  <c r="L416" i="6" s="1"/>
  <c r="K417" i="6"/>
  <c r="L417" i="6"/>
  <c r="G417" i="6" s="1"/>
  <c r="K418" i="6"/>
  <c r="L418" i="6" s="1"/>
  <c r="K419" i="6"/>
  <c r="L419" i="6"/>
  <c r="G419" i="6"/>
  <c r="K420" i="6"/>
  <c r="L420" i="6"/>
  <c r="K421" i="6"/>
  <c r="L421" i="6"/>
  <c r="K422" i="6"/>
  <c r="L422" i="6"/>
  <c r="K423" i="6"/>
  <c r="L423" i="6"/>
  <c r="H423" i="6" s="1"/>
  <c r="I423" i="6" s="1"/>
  <c r="K424" i="6"/>
  <c r="L424" i="6"/>
  <c r="G424" i="6" s="1"/>
  <c r="K425" i="6"/>
  <c r="L425" i="6"/>
  <c r="K426" i="6"/>
  <c r="L426" i="6"/>
  <c r="K427" i="6"/>
  <c r="L427" i="6"/>
  <c r="K428" i="6"/>
  <c r="L428" i="6"/>
  <c r="K429" i="6"/>
  <c r="L429" i="6"/>
  <c r="K430" i="6"/>
  <c r="L430" i="6"/>
  <c r="H430" i="6" s="1"/>
  <c r="I430" i="6" s="1"/>
  <c r="K431" i="6"/>
  <c r="L431" i="6"/>
  <c r="K432" i="6"/>
  <c r="L432" i="6" s="1"/>
  <c r="H432" i="6" s="1"/>
  <c r="I432" i="6" s="1"/>
  <c r="K433" i="6"/>
  <c r="L433" i="6"/>
  <c r="G433" i="6"/>
  <c r="K434" i="6"/>
  <c r="L434" i="6"/>
  <c r="K435" i="6"/>
  <c r="L435" i="6"/>
  <c r="G435" i="6" s="1"/>
  <c r="K436" i="6"/>
  <c r="L436" i="6"/>
  <c r="K437" i="6"/>
  <c r="L437" i="6" s="1"/>
  <c r="K438" i="6"/>
  <c r="L438" i="6"/>
  <c r="H438" i="6" s="1"/>
  <c r="I438" i="6" s="1"/>
  <c r="K439" i="6"/>
  <c r="L439" i="6" s="1"/>
  <c r="H439" i="6" s="1"/>
  <c r="I439" i="6" s="1"/>
  <c r="K440" i="6"/>
  <c r="L440" i="6"/>
  <c r="K441" i="6"/>
  <c r="L441" i="6" s="1"/>
  <c r="K442" i="6"/>
  <c r="L442" i="6"/>
  <c r="K443" i="6"/>
  <c r="L443" i="6" s="1"/>
  <c r="K444" i="6"/>
  <c r="L444" i="6"/>
  <c r="K476" i="6"/>
  <c r="L476" i="6" s="1"/>
  <c r="K477" i="6"/>
  <c r="L477" i="6" s="1"/>
  <c r="K478" i="6"/>
  <c r="L478" i="6"/>
  <c r="H478" i="6" s="1"/>
  <c r="I478" i="6" s="1"/>
  <c r="M313" i="6"/>
  <c r="K313" i="6"/>
  <c r="L313" i="6"/>
  <c r="F313" i="6" s="1"/>
  <c r="M317" i="6"/>
  <c r="J317" i="6"/>
  <c r="M323" i="6"/>
  <c r="K323" i="6"/>
  <c r="L323" i="6" s="1"/>
  <c r="J323" i="6"/>
  <c r="M334" i="6"/>
  <c r="K334" i="6"/>
  <c r="L334" i="6" s="1"/>
  <c r="M338" i="6"/>
  <c r="K338" i="6"/>
  <c r="L338" i="6"/>
  <c r="F338" i="6" s="1"/>
  <c r="M342" i="6"/>
  <c r="K342" i="6"/>
  <c r="L342" i="6"/>
  <c r="M346" i="6"/>
  <c r="H346" i="6" s="1"/>
  <c r="I346" i="6" s="1"/>
  <c r="K346" i="6"/>
  <c r="L346" i="6"/>
  <c r="M350" i="6"/>
  <c r="K350" i="6"/>
  <c r="L350" i="6"/>
  <c r="M354" i="6"/>
  <c r="H354" i="6"/>
  <c r="I354" i="6" s="1"/>
  <c r="K354" i="6"/>
  <c r="L354" i="6"/>
  <c r="M358" i="6"/>
  <c r="H358" i="6" s="1"/>
  <c r="I358" i="6" s="1"/>
  <c r="K358" i="6"/>
  <c r="L358" i="6"/>
  <c r="M362" i="6"/>
  <c r="K362" i="6"/>
  <c r="L362" i="6" s="1"/>
  <c r="G362" i="6" s="1"/>
  <c r="M366" i="6"/>
  <c r="K366" i="6"/>
  <c r="L366" i="6"/>
  <c r="K372" i="6"/>
  <c r="L372" i="6"/>
  <c r="J372" i="6"/>
  <c r="M402" i="6"/>
  <c r="K402" i="6"/>
  <c r="L402" i="6"/>
  <c r="J402" i="6"/>
  <c r="M404" i="6"/>
  <c r="H404" i="6" s="1"/>
  <c r="I404" i="6" s="1"/>
  <c r="K404" i="6"/>
  <c r="L404" i="6"/>
  <c r="J404" i="6"/>
  <c r="M480" i="6"/>
  <c r="K480" i="6"/>
  <c r="L480" i="6"/>
  <c r="J480" i="6"/>
  <c r="J297" i="6"/>
  <c r="J301" i="6"/>
  <c r="J305" i="6"/>
  <c r="G305" i="6" s="1"/>
  <c r="M314" i="6"/>
  <c r="J314" i="6"/>
  <c r="F314" i="6" s="1"/>
  <c r="M316" i="6"/>
  <c r="H316" i="6" s="1"/>
  <c r="I316" i="6" s="1"/>
  <c r="K316" i="6"/>
  <c r="L316" i="6"/>
  <c r="F316" i="6" s="1"/>
  <c r="K317" i="6"/>
  <c r="L317" i="6" s="1"/>
  <c r="F317" i="6" s="1"/>
  <c r="M325" i="6"/>
  <c r="K325" i="6"/>
  <c r="L325" i="6"/>
  <c r="H325" i="6" s="1"/>
  <c r="I325" i="6" s="1"/>
  <c r="J325" i="6"/>
  <c r="M333" i="6"/>
  <c r="F333" i="6" s="1"/>
  <c r="K333" i="6"/>
  <c r="L333" i="6"/>
  <c r="J334" i="6"/>
  <c r="M337" i="6"/>
  <c r="K337" i="6"/>
  <c r="L337" i="6"/>
  <c r="J338" i="6"/>
  <c r="M341" i="6"/>
  <c r="K341" i="6"/>
  <c r="L341" i="6"/>
  <c r="J342" i="6"/>
  <c r="M345" i="6"/>
  <c r="K345" i="6"/>
  <c r="L345" i="6" s="1"/>
  <c r="J346" i="6"/>
  <c r="M349" i="6"/>
  <c r="K349" i="6"/>
  <c r="L349" i="6" s="1"/>
  <c r="J350" i="6"/>
  <c r="M353" i="6"/>
  <c r="K353" i="6"/>
  <c r="L353" i="6" s="1"/>
  <c r="J354" i="6"/>
  <c r="F354" i="6" s="1"/>
  <c r="M357" i="6"/>
  <c r="K357" i="6"/>
  <c r="L357" i="6" s="1"/>
  <c r="J358" i="6"/>
  <c r="M361" i="6"/>
  <c r="K361" i="6"/>
  <c r="L361" i="6" s="1"/>
  <c r="J362" i="6"/>
  <c r="M365" i="6"/>
  <c r="G365" i="6" s="1"/>
  <c r="K365" i="6"/>
  <c r="L365" i="6"/>
  <c r="J366" i="6"/>
  <c r="G366" i="6" s="1"/>
  <c r="M369" i="6"/>
  <c r="F369" i="6" s="1"/>
  <c r="K369" i="6"/>
  <c r="L369" i="6"/>
  <c r="J374" i="6"/>
  <c r="K382" i="6"/>
  <c r="L382" i="6" s="1"/>
  <c r="J382" i="6"/>
  <c r="K390" i="6"/>
  <c r="L390" i="6"/>
  <c r="J390" i="6"/>
  <c r="M395" i="6"/>
  <c r="K395" i="6"/>
  <c r="L395" i="6"/>
  <c r="F395" i="6" s="1"/>
  <c r="J395" i="6"/>
  <c r="M470" i="6"/>
  <c r="K470" i="6"/>
  <c r="L470" i="6"/>
  <c r="F470" i="6" s="1"/>
  <c r="J470" i="6"/>
  <c r="J296" i="6"/>
  <c r="J300" i="6"/>
  <c r="J304" i="6"/>
  <c r="J307" i="6"/>
  <c r="K309" i="6"/>
  <c r="L309" i="6"/>
  <c r="F309" i="6"/>
  <c r="J310" i="6"/>
  <c r="M311" i="6"/>
  <c r="J311" i="6"/>
  <c r="F311" i="6"/>
  <c r="J313" i="6"/>
  <c r="K314" i="6"/>
  <c r="L314" i="6"/>
  <c r="J316" i="6"/>
  <c r="G316" i="6" s="1"/>
  <c r="M332" i="6"/>
  <c r="K332" i="6"/>
  <c r="L332" i="6"/>
  <c r="G332" i="6" s="1"/>
  <c r="J333" i="6"/>
  <c r="M336" i="6"/>
  <c r="F336" i="6"/>
  <c r="K336" i="6"/>
  <c r="L336" i="6"/>
  <c r="J337" i="6"/>
  <c r="M340" i="6"/>
  <c r="F340" i="6" s="1"/>
  <c r="K340" i="6"/>
  <c r="L340" i="6"/>
  <c r="J341" i="6"/>
  <c r="G341" i="6" s="1"/>
  <c r="M344" i="6"/>
  <c r="K344" i="6"/>
  <c r="L344" i="6"/>
  <c r="H344" i="6" s="1"/>
  <c r="I344" i="6" s="1"/>
  <c r="J345" i="6"/>
  <c r="M348" i="6"/>
  <c r="K348" i="6"/>
  <c r="L348" i="6"/>
  <c r="F348" i="6" s="1"/>
  <c r="J349" i="6"/>
  <c r="M352" i="6"/>
  <c r="K352" i="6"/>
  <c r="L352" i="6" s="1"/>
  <c r="J353" i="6"/>
  <c r="M356" i="6"/>
  <c r="H356" i="6" s="1"/>
  <c r="I356" i="6" s="1"/>
  <c r="K356" i="6"/>
  <c r="L356" i="6"/>
  <c r="J357" i="6"/>
  <c r="M360" i="6"/>
  <c r="K360" i="6"/>
  <c r="L360" i="6" s="1"/>
  <c r="J361" i="6"/>
  <c r="M364" i="6"/>
  <c r="K364" i="6"/>
  <c r="L364" i="6" s="1"/>
  <c r="F364" i="6" s="1"/>
  <c r="J365" i="6"/>
  <c r="H365" i="6"/>
  <c r="I365" i="6" s="1"/>
  <c r="M368" i="6"/>
  <c r="K368" i="6"/>
  <c r="L368" i="6" s="1"/>
  <c r="J369" i="6"/>
  <c r="K373" i="6"/>
  <c r="L373" i="6" s="1"/>
  <c r="J373" i="6"/>
  <c r="M403" i="6"/>
  <c r="K403" i="6"/>
  <c r="L403" i="6" s="1"/>
  <c r="J403" i="6"/>
  <c r="K307" i="6"/>
  <c r="L307" i="6" s="1"/>
  <c r="F307" i="6" s="1"/>
  <c r="K310" i="6"/>
  <c r="L310" i="6"/>
  <c r="H310" i="6" s="1"/>
  <c r="I310" i="6" s="1"/>
  <c r="M324" i="6"/>
  <c r="K324" i="6"/>
  <c r="L324" i="6"/>
  <c r="J324" i="6"/>
  <c r="M326" i="6"/>
  <c r="J326" i="6"/>
  <c r="F326" i="6"/>
  <c r="M335" i="6"/>
  <c r="G335" i="6" s="1"/>
  <c r="K335" i="6"/>
  <c r="L335" i="6"/>
  <c r="F335" i="6" s="1"/>
  <c r="M339" i="6"/>
  <c r="H339" i="6" s="1"/>
  <c r="I339" i="6" s="1"/>
  <c r="K339" i="6"/>
  <c r="L339" i="6"/>
  <c r="M343" i="6"/>
  <c r="K343" i="6"/>
  <c r="L343" i="6" s="1"/>
  <c r="M347" i="6"/>
  <c r="F347" i="6" s="1"/>
  <c r="K347" i="6"/>
  <c r="L347" i="6"/>
  <c r="G347" i="6" s="1"/>
  <c r="M351" i="6"/>
  <c r="G351" i="6" s="1"/>
  <c r="K351" i="6"/>
  <c r="L351" i="6"/>
  <c r="M355" i="6"/>
  <c r="G355" i="6" s="1"/>
  <c r="K355" i="6"/>
  <c r="L355" i="6"/>
  <c r="M359" i="6"/>
  <c r="H359" i="6" s="1"/>
  <c r="I359" i="6" s="1"/>
  <c r="K359" i="6"/>
  <c r="L359" i="6"/>
  <c r="F359" i="6" s="1"/>
  <c r="M363" i="6"/>
  <c r="F363" i="6" s="1"/>
  <c r="K363" i="6"/>
  <c r="L363" i="6"/>
  <c r="M367" i="6"/>
  <c r="G367" i="6" s="1"/>
  <c r="K367" i="6"/>
  <c r="L367" i="6"/>
  <c r="K378" i="6"/>
  <c r="L378" i="6" s="1"/>
  <c r="J378" i="6"/>
  <c r="K386" i="6"/>
  <c r="L386" i="6" s="1"/>
  <c r="J386" i="6"/>
  <c r="K394" i="6"/>
  <c r="L394" i="6" s="1"/>
  <c r="K396" i="6"/>
  <c r="L396" i="6" s="1"/>
  <c r="M471" i="6"/>
  <c r="J471" i="6"/>
  <c r="H471" i="6" s="1"/>
  <c r="I471" i="6" s="1"/>
  <c r="K322" i="6"/>
  <c r="L322" i="6"/>
  <c r="K331" i="6"/>
  <c r="L331" i="6"/>
  <c r="H331" i="6" s="1"/>
  <c r="I331" i="6" s="1"/>
  <c r="J401" i="6"/>
  <c r="J371" i="6"/>
  <c r="J377" i="6"/>
  <c r="F377" i="6" s="1"/>
  <c r="J381" i="6"/>
  <c r="J385" i="6"/>
  <c r="F385" i="6" s="1"/>
  <c r="J389" i="6"/>
  <c r="K401" i="6"/>
  <c r="L401" i="6"/>
  <c r="H401" i="6" s="1"/>
  <c r="I401" i="6" s="1"/>
  <c r="K469" i="6"/>
  <c r="L469" i="6" s="1"/>
  <c r="H469" i="6" s="1"/>
  <c r="I469" i="6" s="1"/>
  <c r="J475" i="6"/>
  <c r="K479" i="6"/>
  <c r="L479" i="6"/>
  <c r="J481" i="6"/>
  <c r="H481" i="6" s="1"/>
  <c r="I481" i="6" s="1"/>
  <c r="K475" i="6"/>
  <c r="L475" i="6" s="1"/>
  <c r="H475" i="6" s="1"/>
  <c r="I475" i="6" s="1"/>
  <c r="J476" i="6"/>
  <c r="H476" i="6" s="1"/>
  <c r="I476" i="6" s="1"/>
  <c r="K481" i="6"/>
  <c r="L481" i="6"/>
  <c r="G481" i="6" s="1"/>
  <c r="M513" i="6"/>
  <c r="AN514" i="7"/>
  <c r="L522" i="6"/>
  <c r="AM513" i="7"/>
  <c r="AM523" i="7"/>
  <c r="AL523" i="7"/>
  <c r="AK523" i="7"/>
  <c r="E522" i="6"/>
  <c r="AM7" i="7"/>
  <c r="AM507" i="7" s="1"/>
  <c r="C507" i="7"/>
  <c r="AK507" i="7"/>
  <c r="E506" i="6"/>
  <c r="D3" i="5"/>
  <c r="B7" i="2"/>
  <c r="C3" i="3"/>
  <c r="BK4" i="3"/>
  <c r="BK11" i="3"/>
  <c r="X7" i="2"/>
  <c r="F7" i="2"/>
  <c r="P3" i="4"/>
  <c r="F312" i="6"/>
  <c r="G309" i="6"/>
  <c r="F315" i="6"/>
  <c r="U315" i="6" s="1"/>
  <c r="AD315" i="6" s="1"/>
  <c r="G312" i="6"/>
  <c r="F320" i="6"/>
  <c r="G320" i="6"/>
  <c r="K294" i="6"/>
  <c r="L294" i="6" s="1"/>
  <c r="G294" i="6" s="1"/>
  <c r="K295" i="6"/>
  <c r="L295" i="6"/>
  <c r="K296" i="6"/>
  <c r="L296" i="6"/>
  <c r="G296" i="6"/>
  <c r="K297" i="6"/>
  <c r="L297" i="6" s="1"/>
  <c r="K298" i="6"/>
  <c r="L298" i="6"/>
  <c r="K299" i="6"/>
  <c r="L299" i="6" s="1"/>
  <c r="K300" i="6"/>
  <c r="L300" i="6"/>
  <c r="G300" i="6"/>
  <c r="K301" i="6"/>
  <c r="L301" i="6"/>
  <c r="K302" i="6"/>
  <c r="L302" i="6"/>
  <c r="G302" i="6" s="1"/>
  <c r="K303" i="6"/>
  <c r="L303" i="6"/>
  <c r="K304" i="6"/>
  <c r="L304" i="6" s="1"/>
  <c r="K305" i="6"/>
  <c r="L305" i="6"/>
  <c r="H341" i="6"/>
  <c r="I341" i="6" s="1"/>
  <c r="H350" i="6"/>
  <c r="I350" i="6" s="1"/>
  <c r="H355" i="6"/>
  <c r="I355" i="6" s="1"/>
  <c r="F339" i="6"/>
  <c r="G358" i="6"/>
  <c r="G326" i="6"/>
  <c r="H327" i="6"/>
  <c r="I327" i="6"/>
  <c r="F330" i="6"/>
  <c r="M318" i="6"/>
  <c r="H318" i="6" s="1"/>
  <c r="I318" i="6" s="1"/>
  <c r="M319" i="6"/>
  <c r="G319" i="6"/>
  <c r="K370" i="6"/>
  <c r="L370" i="6"/>
  <c r="M370" i="6"/>
  <c r="J370" i="6"/>
  <c r="K504" i="6"/>
  <c r="L504" i="6"/>
  <c r="J504" i="6"/>
  <c r="M504" i="6"/>
  <c r="M371" i="6"/>
  <c r="M372" i="6"/>
  <c r="M373" i="6"/>
  <c r="M374" i="6"/>
  <c r="M375" i="6"/>
  <c r="M376" i="6"/>
  <c r="M377" i="6"/>
  <c r="M378" i="6"/>
  <c r="M379" i="6"/>
  <c r="M380" i="6"/>
  <c r="M381" i="6"/>
  <c r="M382" i="6"/>
  <c r="M383" i="6"/>
  <c r="G383" i="6"/>
  <c r="M384" i="6"/>
  <c r="M385" i="6"/>
  <c r="M386" i="6"/>
  <c r="M387" i="6"/>
  <c r="M388" i="6"/>
  <c r="M389" i="6"/>
  <c r="F389" i="6"/>
  <c r="M390" i="6"/>
  <c r="M392" i="6"/>
  <c r="M393" i="6"/>
  <c r="J393" i="6"/>
  <c r="G409" i="6"/>
  <c r="G411" i="6"/>
  <c r="G425" i="6"/>
  <c r="H431" i="6"/>
  <c r="I431" i="6" s="1"/>
  <c r="G431" i="6"/>
  <c r="F426" i="6"/>
  <c r="F444" i="6"/>
  <c r="J447" i="6"/>
  <c r="M447" i="6"/>
  <c r="J449" i="6"/>
  <c r="M449" i="6"/>
  <c r="J451" i="6"/>
  <c r="M451" i="6"/>
  <c r="J453" i="6"/>
  <c r="M453" i="6"/>
  <c r="J455" i="6"/>
  <c r="F455" i="6" s="1"/>
  <c r="M455" i="6"/>
  <c r="J457" i="6"/>
  <c r="M457" i="6"/>
  <c r="J459" i="6"/>
  <c r="M459" i="6"/>
  <c r="J461" i="6"/>
  <c r="M461" i="6"/>
  <c r="J463" i="6"/>
  <c r="M463" i="6"/>
  <c r="J465" i="6"/>
  <c r="M465" i="6"/>
  <c r="M467" i="6"/>
  <c r="F467" i="6" s="1"/>
  <c r="K467" i="6"/>
  <c r="L467" i="6"/>
  <c r="H419" i="6"/>
  <c r="I419" i="6"/>
  <c r="J445" i="6"/>
  <c r="J446" i="6"/>
  <c r="M446" i="6"/>
  <c r="J448" i="6"/>
  <c r="M448" i="6"/>
  <c r="J450" i="6"/>
  <c r="M450" i="6"/>
  <c r="J452" i="6"/>
  <c r="M452" i="6"/>
  <c r="F452" i="6" s="1"/>
  <c r="J454" i="6"/>
  <c r="M454" i="6"/>
  <c r="J456" i="6"/>
  <c r="M456" i="6"/>
  <c r="H456" i="6" s="1"/>
  <c r="I456" i="6" s="1"/>
  <c r="J458" i="6"/>
  <c r="M458" i="6"/>
  <c r="J460" i="6"/>
  <c r="M460" i="6"/>
  <c r="F460" i="6" s="1"/>
  <c r="J462" i="6"/>
  <c r="M462" i="6"/>
  <c r="J464" i="6"/>
  <c r="M464" i="6"/>
  <c r="J466" i="6"/>
  <c r="M466" i="6"/>
  <c r="J467" i="6"/>
  <c r="J485" i="6"/>
  <c r="M485" i="6"/>
  <c r="J489" i="6"/>
  <c r="M489" i="6"/>
  <c r="J493" i="6"/>
  <c r="M493" i="6"/>
  <c r="J497" i="6"/>
  <c r="M497" i="6"/>
  <c r="J501" i="6"/>
  <c r="M501" i="6"/>
  <c r="K485" i="6"/>
  <c r="L485" i="6"/>
  <c r="K489" i="6"/>
  <c r="L489" i="6" s="1"/>
  <c r="K493" i="6"/>
  <c r="L493" i="6"/>
  <c r="K497" i="6"/>
  <c r="L497" i="6" s="1"/>
  <c r="K501" i="6"/>
  <c r="L501" i="6"/>
  <c r="K505" i="6"/>
  <c r="L505" i="6" s="1"/>
  <c r="J505" i="6"/>
  <c r="M505" i="6"/>
  <c r="H480" i="6"/>
  <c r="I480" i="6" s="1"/>
  <c r="J482" i="6"/>
  <c r="K482" i="6"/>
  <c r="L482" i="6"/>
  <c r="J486" i="6"/>
  <c r="K486" i="6"/>
  <c r="L486" i="6"/>
  <c r="J490" i="6"/>
  <c r="K490" i="6"/>
  <c r="L490" i="6"/>
  <c r="J494" i="6"/>
  <c r="K494" i="6"/>
  <c r="L494" i="6" s="1"/>
  <c r="F494" i="6" s="1"/>
  <c r="J498" i="6"/>
  <c r="K498" i="6"/>
  <c r="L498" i="6"/>
  <c r="J502" i="6"/>
  <c r="K502" i="6"/>
  <c r="L502" i="6"/>
  <c r="J483" i="6"/>
  <c r="K483" i="6"/>
  <c r="L483" i="6"/>
  <c r="J487" i="6"/>
  <c r="K487" i="6"/>
  <c r="L487" i="6" s="1"/>
  <c r="J491" i="6"/>
  <c r="K491" i="6"/>
  <c r="L491" i="6"/>
  <c r="J495" i="6"/>
  <c r="K495" i="6"/>
  <c r="L495" i="6"/>
  <c r="J499" i="6"/>
  <c r="K499" i="6"/>
  <c r="L499" i="6"/>
  <c r="J503" i="6"/>
  <c r="M503" i="6"/>
  <c r="F503" i="6" s="1"/>
  <c r="J484" i="6"/>
  <c r="K484" i="6"/>
  <c r="L484" i="6"/>
  <c r="J488" i="6"/>
  <c r="K488" i="6"/>
  <c r="L488" i="6"/>
  <c r="J492" i="6"/>
  <c r="K492" i="6"/>
  <c r="L492" i="6" s="1"/>
  <c r="J496" i="6"/>
  <c r="K496" i="6"/>
  <c r="L496" i="6"/>
  <c r="H496" i="6" s="1"/>
  <c r="I496" i="6" s="1"/>
  <c r="J500" i="6"/>
  <c r="K500" i="6"/>
  <c r="L500" i="6"/>
  <c r="M512" i="6"/>
  <c r="G356" i="6"/>
  <c r="F308" i="6"/>
  <c r="F327" i="6"/>
  <c r="H163" i="6"/>
  <c r="I163" i="6"/>
  <c r="H147" i="6"/>
  <c r="I147" i="6"/>
  <c r="H308" i="6"/>
  <c r="I308" i="6"/>
  <c r="H77" i="6"/>
  <c r="I77" i="6" s="1"/>
  <c r="G423" i="6"/>
  <c r="F381" i="6"/>
  <c r="G438" i="6"/>
  <c r="F355" i="6"/>
  <c r="H329" i="6"/>
  <c r="I329" i="6" s="1"/>
  <c r="H76" i="6"/>
  <c r="I76" i="6"/>
  <c r="G74" i="6"/>
  <c r="L6" i="6"/>
  <c r="G75" i="6"/>
  <c r="H71" i="6"/>
  <c r="I71" i="6" s="1"/>
  <c r="F67" i="6"/>
  <c r="H175" i="6"/>
  <c r="I175" i="6"/>
  <c r="G315" i="6"/>
  <c r="G250" i="6"/>
  <c r="F438" i="6"/>
  <c r="F388" i="6"/>
  <c r="F380" i="6"/>
  <c r="G372" i="6"/>
  <c r="H244" i="6"/>
  <c r="I244" i="6"/>
  <c r="G110" i="6"/>
  <c r="G98" i="6"/>
  <c r="H74" i="6"/>
  <c r="I74" i="6" s="1"/>
  <c r="H70" i="6"/>
  <c r="I70" i="6"/>
  <c r="H66" i="6"/>
  <c r="I66" i="6" s="1"/>
  <c r="H249" i="6"/>
  <c r="I249" i="6"/>
  <c r="H197" i="6"/>
  <c r="I197" i="6" s="1"/>
  <c r="F185" i="6"/>
  <c r="G107" i="6"/>
  <c r="G103" i="6"/>
  <c r="H75" i="6"/>
  <c r="I75" i="6"/>
  <c r="G71" i="6"/>
  <c r="H67" i="6"/>
  <c r="I67" i="6"/>
  <c r="F379" i="6"/>
  <c r="H371" i="6"/>
  <c r="I371" i="6" s="1"/>
  <c r="G298" i="6"/>
  <c r="H223" i="6"/>
  <c r="I223" i="6" s="1"/>
  <c r="F155" i="6"/>
  <c r="F151" i="6"/>
  <c r="F147" i="6"/>
  <c r="G73" i="6"/>
  <c r="F431" i="6"/>
  <c r="F415" i="6"/>
  <c r="F207" i="6"/>
  <c r="F235" i="6"/>
  <c r="H109" i="6"/>
  <c r="I109" i="6"/>
  <c r="H351" i="6"/>
  <c r="I351" i="6" s="1"/>
  <c r="G330" i="6"/>
  <c r="F249" i="6"/>
  <c r="G207" i="6"/>
  <c r="G102" i="6"/>
  <c r="F244" i="6"/>
  <c r="G255" i="6"/>
  <c r="G235" i="6"/>
  <c r="H203" i="6"/>
  <c r="I203" i="6" s="1"/>
  <c r="H107" i="6"/>
  <c r="I107" i="6"/>
  <c r="G99" i="6"/>
  <c r="F488" i="6"/>
  <c r="F502" i="6"/>
  <c r="F486" i="6"/>
  <c r="G400" i="6"/>
  <c r="H328" i="6"/>
  <c r="I328" i="6"/>
  <c r="G249" i="6"/>
  <c r="F105" i="6"/>
  <c r="F76" i="6"/>
  <c r="F74" i="6"/>
  <c r="F171" i="6"/>
  <c r="F98" i="6"/>
  <c r="G244" i="6"/>
  <c r="F255" i="6"/>
  <c r="F175" i="6"/>
  <c r="F103" i="6"/>
  <c r="F99" i="6"/>
  <c r="G77" i="6"/>
  <c r="F75" i="6"/>
  <c r="G67" i="6"/>
  <c r="F223" i="6"/>
  <c r="G197" i="6"/>
  <c r="F100" i="6"/>
  <c r="T288" i="6"/>
  <c r="T258" i="6"/>
  <c r="T228" i="6"/>
  <c r="T198" i="6"/>
  <c r="T108" i="6"/>
  <c r="T78" i="6"/>
  <c r="T48" i="6"/>
  <c r="T18" i="6"/>
  <c r="T273" i="6"/>
  <c r="T243" i="6"/>
  <c r="T183" i="6"/>
  <c r="T153" i="6"/>
  <c r="T123" i="6"/>
  <c r="T93" i="6"/>
  <c r="T33" i="6"/>
  <c r="H309" i="6"/>
  <c r="I309" i="6" s="1"/>
  <c r="H214" i="6"/>
  <c r="I214" i="6"/>
  <c r="F206" i="6"/>
  <c r="T272" i="6"/>
  <c r="T242" i="6"/>
  <c r="T152" i="6"/>
  <c r="T92" i="6"/>
  <c r="T62" i="6"/>
  <c r="T32" i="6"/>
  <c r="T287" i="6"/>
  <c r="T257" i="6"/>
  <c r="T227" i="6"/>
  <c r="T197" i="6"/>
  <c r="T167" i="6"/>
  <c r="T137" i="6"/>
  <c r="T107" i="6"/>
  <c r="T77" i="6"/>
  <c r="T47" i="6"/>
  <c r="T17" i="6"/>
  <c r="D121" i="5"/>
  <c r="D123" i="5"/>
  <c r="D125" i="5"/>
  <c r="D127" i="5"/>
  <c r="D122" i="5"/>
  <c r="D124" i="5"/>
  <c r="D130" i="5"/>
  <c r="D132" i="5"/>
  <c r="D128" i="5"/>
  <c r="D129" i="5"/>
  <c r="D126" i="5"/>
  <c r="D131" i="5"/>
  <c r="F453" i="6"/>
  <c r="U328" i="6"/>
  <c r="AD328" i="6" s="1"/>
  <c r="H250" i="6"/>
  <c r="I250" i="6"/>
  <c r="G214" i="6"/>
  <c r="G264" i="6"/>
  <c r="P214" i="6"/>
  <c r="Q214" i="6"/>
  <c r="N214" i="6"/>
  <c r="P200" i="6"/>
  <c r="Q200" i="6" s="1"/>
  <c r="N200" i="6"/>
  <c r="P94" i="6"/>
  <c r="Q94" i="6"/>
  <c r="N94" i="6"/>
  <c r="P80" i="6"/>
  <c r="Q80" i="6"/>
  <c r="N80" i="6"/>
  <c r="P199" i="6"/>
  <c r="Q199" i="6"/>
  <c r="N199" i="6"/>
  <c r="P185" i="6"/>
  <c r="Q185" i="6" s="1"/>
  <c r="N185" i="6"/>
  <c r="N79" i="6"/>
  <c r="P79" i="6"/>
  <c r="Q79" i="6" s="1"/>
  <c r="P65" i="6"/>
  <c r="Q65" i="6" s="1"/>
  <c r="N65" i="6"/>
  <c r="P244" i="6"/>
  <c r="Q244" i="6"/>
  <c r="N244" i="6"/>
  <c r="P230" i="6"/>
  <c r="Q230" i="6" s="1"/>
  <c r="N230" i="6"/>
  <c r="P124" i="6"/>
  <c r="Q124" i="6" s="1"/>
  <c r="N124" i="6"/>
  <c r="N110" i="6"/>
  <c r="P110" i="6"/>
  <c r="Q110" i="6" s="1"/>
  <c r="P229" i="6"/>
  <c r="Q229" i="6"/>
  <c r="N229" i="6"/>
  <c r="P215" i="6"/>
  <c r="Q215" i="6" s="1"/>
  <c r="N215" i="6"/>
  <c r="N109" i="6"/>
  <c r="P109" i="6"/>
  <c r="Q109" i="6" s="1"/>
  <c r="F366" i="6"/>
  <c r="G350" i="6"/>
  <c r="F468" i="6"/>
  <c r="P154" i="6"/>
  <c r="Q154" i="6"/>
  <c r="N154" i="6"/>
  <c r="P140" i="6"/>
  <c r="Q140" i="6" s="1"/>
  <c r="N140" i="6"/>
  <c r="P34" i="6"/>
  <c r="Q34" i="6"/>
  <c r="N34" i="6"/>
  <c r="P20" i="6"/>
  <c r="Q20" i="6" s="1"/>
  <c r="N20" i="6"/>
  <c r="P259" i="6"/>
  <c r="Q259" i="6"/>
  <c r="N259" i="6"/>
  <c r="P245" i="6"/>
  <c r="Q245" i="6" s="1"/>
  <c r="N245" i="6"/>
  <c r="P139" i="6"/>
  <c r="Q139" i="6" s="1"/>
  <c r="N139" i="6"/>
  <c r="P125" i="6"/>
  <c r="Q125" i="6" s="1"/>
  <c r="N125" i="6"/>
  <c r="N19" i="6"/>
  <c r="P19" i="6"/>
  <c r="P290" i="6"/>
  <c r="Q290" i="6" s="1"/>
  <c r="N290" i="6"/>
  <c r="P184" i="6"/>
  <c r="Q184" i="6" s="1"/>
  <c r="N184" i="6"/>
  <c r="P170" i="6"/>
  <c r="Q170" i="6"/>
  <c r="N170" i="6"/>
  <c r="P64" i="6"/>
  <c r="Q64" i="6"/>
  <c r="N64" i="6"/>
  <c r="P50" i="6"/>
  <c r="Q50" i="6" s="1"/>
  <c r="N50" i="6"/>
  <c r="Q8" i="6"/>
  <c r="P289" i="6"/>
  <c r="Q289" i="6" s="1"/>
  <c r="N289" i="6"/>
  <c r="P275" i="6"/>
  <c r="Q275" i="6"/>
  <c r="N275" i="6"/>
  <c r="P169" i="6"/>
  <c r="Q169" i="6" s="1"/>
  <c r="N169" i="6"/>
  <c r="P155" i="6"/>
  <c r="Q155" i="6"/>
  <c r="N155" i="6"/>
  <c r="P49" i="6"/>
  <c r="Q49" i="6" s="1"/>
  <c r="N49" i="6"/>
  <c r="P35" i="6"/>
  <c r="Q35" i="6" s="1"/>
  <c r="N35" i="6"/>
  <c r="H21" i="6"/>
  <c r="I21" i="6" s="1"/>
  <c r="U21" i="6" s="1"/>
  <c r="F21" i="6"/>
  <c r="G21" i="6"/>
  <c r="H17" i="6"/>
  <c r="I17" i="6" s="1"/>
  <c r="U17" i="6" s="1"/>
  <c r="F17" i="6"/>
  <c r="G17" i="6"/>
  <c r="F13" i="6"/>
  <c r="H13" i="6"/>
  <c r="I13" i="6" s="1"/>
  <c r="G13" i="6"/>
  <c r="H9" i="6"/>
  <c r="I9" i="6" s="1"/>
  <c r="G9" i="6"/>
  <c r="F9" i="6"/>
  <c r="G34" i="6"/>
  <c r="F34" i="6"/>
  <c r="H34" i="6"/>
  <c r="I34" i="6"/>
  <c r="F30" i="6"/>
  <c r="H30" i="6"/>
  <c r="I30" i="6" s="1"/>
  <c r="G30" i="6"/>
  <c r="H44" i="6"/>
  <c r="I44" i="6"/>
  <c r="G44" i="6"/>
  <c r="F44" i="6"/>
  <c r="F40" i="6"/>
  <c r="G40" i="6"/>
  <c r="H40" i="6"/>
  <c r="I40" i="6"/>
  <c r="H36" i="6"/>
  <c r="I36" i="6"/>
  <c r="G36" i="6"/>
  <c r="F36" i="6"/>
  <c r="G152" i="6"/>
  <c r="H152" i="6"/>
  <c r="I152" i="6" s="1"/>
  <c r="F152" i="6"/>
  <c r="G150" i="6"/>
  <c r="H150" i="6"/>
  <c r="I150" i="6" s="1"/>
  <c r="F150" i="6"/>
  <c r="H156" i="6"/>
  <c r="I156" i="6"/>
  <c r="F156" i="6"/>
  <c r="G156" i="6"/>
  <c r="H178" i="6"/>
  <c r="I178" i="6"/>
  <c r="F178" i="6"/>
  <c r="G178" i="6"/>
  <c r="G182" i="6"/>
  <c r="H182" i="6"/>
  <c r="I182" i="6" s="1"/>
  <c r="F182" i="6"/>
  <c r="G173" i="6"/>
  <c r="H173" i="6"/>
  <c r="I173" i="6" s="1"/>
  <c r="F173" i="6"/>
  <c r="F194" i="6"/>
  <c r="H194" i="6"/>
  <c r="I194" i="6" s="1"/>
  <c r="G194" i="6"/>
  <c r="H191" i="6"/>
  <c r="I191" i="6"/>
  <c r="F191" i="6"/>
  <c r="G191" i="6"/>
  <c r="H192" i="6"/>
  <c r="I192" i="6"/>
  <c r="G192" i="6"/>
  <c r="F192" i="6"/>
  <c r="H208" i="6"/>
  <c r="I208" i="6"/>
  <c r="G208" i="6"/>
  <c r="F208" i="6"/>
  <c r="H201" i="6"/>
  <c r="I201" i="6"/>
  <c r="G201" i="6"/>
  <c r="F201" i="6"/>
  <c r="H217" i="6"/>
  <c r="I217" i="6"/>
  <c r="G217" i="6"/>
  <c r="F217" i="6"/>
  <c r="G227" i="6"/>
  <c r="H227" i="6"/>
  <c r="I227" i="6" s="1"/>
  <c r="F227" i="6"/>
  <c r="G232" i="6"/>
  <c r="H232" i="6"/>
  <c r="I232" i="6" s="1"/>
  <c r="F232" i="6"/>
  <c r="H233" i="6"/>
  <c r="I233" i="6"/>
  <c r="F233" i="6"/>
  <c r="G233" i="6"/>
  <c r="F246" i="6"/>
  <c r="G246" i="6"/>
  <c r="H246" i="6"/>
  <c r="I246" i="6"/>
  <c r="G248" i="6"/>
  <c r="H248" i="6"/>
  <c r="I248" i="6" s="1"/>
  <c r="F248" i="6"/>
  <c r="H271" i="6"/>
  <c r="I271" i="6"/>
  <c r="G271" i="6"/>
  <c r="F271" i="6"/>
  <c r="H265" i="6"/>
  <c r="I265" i="6"/>
  <c r="G265" i="6"/>
  <c r="F265" i="6"/>
  <c r="U265" i="6" s="1"/>
  <c r="AD265" i="6" s="1"/>
  <c r="G278" i="6"/>
  <c r="H278" i="6"/>
  <c r="I278" i="6"/>
  <c r="F278" i="6"/>
  <c r="H252" i="6"/>
  <c r="I252" i="6" s="1"/>
  <c r="G252" i="6"/>
  <c r="F252" i="6"/>
  <c r="H261" i="6"/>
  <c r="I261" i="6" s="1"/>
  <c r="G261" i="6"/>
  <c r="F261" i="6"/>
  <c r="H287" i="6"/>
  <c r="I287" i="6" s="1"/>
  <c r="G287" i="6"/>
  <c r="F287" i="6"/>
  <c r="F226" i="6"/>
  <c r="H226" i="6"/>
  <c r="I226" i="6"/>
  <c r="G226" i="6"/>
  <c r="H193" i="6"/>
  <c r="I193" i="6" s="1"/>
  <c r="F193" i="6"/>
  <c r="G193" i="6"/>
  <c r="H120" i="6"/>
  <c r="I120" i="6" s="1"/>
  <c r="F120" i="6"/>
  <c r="G120" i="6"/>
  <c r="H92" i="6"/>
  <c r="I92" i="6" s="1"/>
  <c r="F92" i="6"/>
  <c r="G92" i="6"/>
  <c r="H88" i="6"/>
  <c r="I88" i="6" s="1"/>
  <c r="G88" i="6"/>
  <c r="F88" i="6"/>
  <c r="H84" i="6"/>
  <c r="I84" i="6" s="1"/>
  <c r="G84" i="6"/>
  <c r="F84" i="6"/>
  <c r="G62" i="6"/>
  <c r="H62" i="6"/>
  <c r="I62" i="6"/>
  <c r="F62" i="6"/>
  <c r="H46" i="6"/>
  <c r="I46" i="6" s="1"/>
  <c r="F46" i="6"/>
  <c r="G46" i="6"/>
  <c r="G80" i="6"/>
  <c r="H80" i="6"/>
  <c r="I80" i="6"/>
  <c r="F80" i="6"/>
  <c r="G51" i="6"/>
  <c r="F51" i="6"/>
  <c r="H51" i="6"/>
  <c r="I51" i="6"/>
  <c r="H114" i="6"/>
  <c r="I114" i="6" s="1"/>
  <c r="F114" i="6"/>
  <c r="G114" i="6"/>
  <c r="H52" i="6"/>
  <c r="I52" i="6" s="1"/>
  <c r="G52" i="6"/>
  <c r="F52" i="6"/>
  <c r="F24" i="6"/>
  <c r="H24" i="6"/>
  <c r="I24" i="6"/>
  <c r="G24" i="6"/>
  <c r="H20" i="6"/>
  <c r="I20" i="6" s="1"/>
  <c r="G20" i="6"/>
  <c r="F20" i="6"/>
  <c r="G16" i="6"/>
  <c r="H16" i="6"/>
  <c r="I16" i="6"/>
  <c r="F16" i="6"/>
  <c r="H12" i="6"/>
  <c r="I12" i="6" s="1"/>
  <c r="G12" i="6"/>
  <c r="F12" i="6"/>
  <c r="G8" i="6"/>
  <c r="F8" i="6"/>
  <c r="H8" i="6"/>
  <c r="I8" i="6" s="1"/>
  <c r="U8" i="6" s="1"/>
  <c r="H33" i="6"/>
  <c r="I33" i="6" s="1"/>
  <c r="G33" i="6"/>
  <c r="F33" i="6"/>
  <c r="G29" i="6"/>
  <c r="F29" i="6"/>
  <c r="H29" i="6"/>
  <c r="I29" i="6" s="1"/>
  <c r="H25" i="6"/>
  <c r="I25" i="6" s="1"/>
  <c r="G25" i="6"/>
  <c r="F25" i="6"/>
  <c r="H43" i="6"/>
  <c r="I43" i="6" s="1"/>
  <c r="F43" i="6"/>
  <c r="G43" i="6"/>
  <c r="H39" i="6"/>
  <c r="I39" i="6" s="1"/>
  <c r="G39" i="6"/>
  <c r="F39" i="6"/>
  <c r="H146" i="6"/>
  <c r="I146" i="6"/>
  <c r="F146" i="6"/>
  <c r="G146" i="6"/>
  <c r="H149" i="6"/>
  <c r="I149" i="6"/>
  <c r="F149" i="6"/>
  <c r="G149" i="6"/>
  <c r="H164" i="6"/>
  <c r="I164" i="6"/>
  <c r="G164" i="6"/>
  <c r="F164" i="6"/>
  <c r="H167" i="6"/>
  <c r="I167" i="6"/>
  <c r="G167" i="6"/>
  <c r="F167" i="6"/>
  <c r="H162" i="6"/>
  <c r="I162" i="6"/>
  <c r="F162" i="6"/>
  <c r="G162" i="6"/>
  <c r="H177" i="6"/>
  <c r="I177" i="6"/>
  <c r="F177" i="6"/>
  <c r="G177" i="6"/>
  <c r="H181" i="6"/>
  <c r="I181" i="6"/>
  <c r="G181" i="6"/>
  <c r="F181" i="6"/>
  <c r="H172" i="6"/>
  <c r="I172" i="6"/>
  <c r="F172" i="6"/>
  <c r="G172" i="6"/>
  <c r="F190" i="6"/>
  <c r="G190" i="6"/>
  <c r="H190" i="6"/>
  <c r="I190" i="6" s="1"/>
  <c r="H187" i="6"/>
  <c r="I187" i="6"/>
  <c r="G187" i="6"/>
  <c r="F187" i="6"/>
  <c r="H188" i="6"/>
  <c r="I188" i="6"/>
  <c r="G188" i="6"/>
  <c r="F188" i="6"/>
  <c r="G205" i="6"/>
  <c r="H205" i="6"/>
  <c r="I205" i="6" s="1"/>
  <c r="U205" i="6" s="1"/>
  <c r="F205" i="6"/>
  <c r="H215" i="6"/>
  <c r="I215" i="6"/>
  <c r="G215" i="6"/>
  <c r="F215" i="6"/>
  <c r="H228" i="6"/>
  <c r="I228" i="6"/>
  <c r="G228" i="6"/>
  <c r="F228" i="6"/>
  <c r="H230" i="6"/>
  <c r="I230" i="6"/>
  <c r="F230" i="6"/>
  <c r="G230" i="6"/>
  <c r="H224" i="6"/>
  <c r="I224" i="6"/>
  <c r="G224" i="6"/>
  <c r="F224" i="6"/>
  <c r="H245" i="6"/>
  <c r="I245" i="6"/>
  <c r="G245" i="6"/>
  <c r="F245" i="6"/>
  <c r="H239" i="6"/>
  <c r="I239" i="6"/>
  <c r="G239" i="6"/>
  <c r="F239" i="6"/>
  <c r="H231" i="6"/>
  <c r="I231" i="6"/>
  <c r="G231" i="6"/>
  <c r="F231" i="6"/>
  <c r="G259" i="6"/>
  <c r="H259" i="6"/>
  <c r="I259" i="6" s="1"/>
  <c r="F259" i="6"/>
  <c r="G253" i="6"/>
  <c r="H253" i="6"/>
  <c r="I253" i="6" s="1"/>
  <c r="F253" i="6"/>
  <c r="H263" i="6"/>
  <c r="I263" i="6"/>
  <c r="F263" i="6"/>
  <c r="G263" i="6"/>
  <c r="F262" i="6"/>
  <c r="H262" i="6"/>
  <c r="I262" i="6" s="1"/>
  <c r="G262" i="6"/>
  <c r="G288" i="6"/>
  <c r="F288" i="6"/>
  <c r="H288" i="6"/>
  <c r="I288" i="6" s="1"/>
  <c r="U288" i="6" s="1"/>
  <c r="H276" i="6"/>
  <c r="I276" i="6"/>
  <c r="F276" i="6"/>
  <c r="G276" i="6"/>
  <c r="H247" i="6"/>
  <c r="I247" i="6"/>
  <c r="G247" i="6"/>
  <c r="F247" i="6"/>
  <c r="H279" i="6"/>
  <c r="I279" i="6"/>
  <c r="F279" i="6"/>
  <c r="U279" i="6" s="1"/>
  <c r="G279" i="6"/>
  <c r="H272" i="6"/>
  <c r="I272" i="6" s="1"/>
  <c r="G272" i="6"/>
  <c r="F272" i="6"/>
  <c r="G179" i="6"/>
  <c r="F179" i="6"/>
  <c r="H179" i="6"/>
  <c r="I179" i="6"/>
  <c r="H116" i="6"/>
  <c r="I116" i="6" s="1"/>
  <c r="G116" i="6"/>
  <c r="F116" i="6"/>
  <c r="H91" i="6"/>
  <c r="I91" i="6" s="1"/>
  <c r="U91" i="6" s="1"/>
  <c r="G91" i="6"/>
  <c r="F91" i="6"/>
  <c r="H87" i="6"/>
  <c r="I87" i="6" s="1"/>
  <c r="G87" i="6"/>
  <c r="F87" i="6"/>
  <c r="G83" i="6"/>
  <c r="F83" i="6"/>
  <c r="H83" i="6"/>
  <c r="I83" i="6"/>
  <c r="G58" i="6"/>
  <c r="F58" i="6"/>
  <c r="H58" i="6"/>
  <c r="I58" i="6"/>
  <c r="H47" i="6"/>
  <c r="I47" i="6" s="1"/>
  <c r="U47" i="6" s="1"/>
  <c r="G47" i="6"/>
  <c r="F47" i="6"/>
  <c r="H64" i="6"/>
  <c r="I64" i="6" s="1"/>
  <c r="F64" i="6"/>
  <c r="G64" i="6"/>
  <c r="H48" i="6"/>
  <c r="I48" i="6" s="1"/>
  <c r="G48" i="6"/>
  <c r="F48" i="6"/>
  <c r="H65" i="6"/>
  <c r="I65" i="6" s="1"/>
  <c r="G65" i="6"/>
  <c r="F65" i="6"/>
  <c r="H49" i="6"/>
  <c r="I49" i="6" s="1"/>
  <c r="F49" i="6"/>
  <c r="G49" i="6"/>
  <c r="G290" i="6"/>
  <c r="H290" i="6"/>
  <c r="I290" i="6" s="1"/>
  <c r="F290" i="6"/>
  <c r="H141" i="6"/>
  <c r="I141" i="6" s="1"/>
  <c r="U141" i="6" s="1"/>
  <c r="F141" i="6"/>
  <c r="G141" i="6"/>
  <c r="H137" i="6"/>
  <c r="I137" i="6" s="1"/>
  <c r="U137" i="6" s="1"/>
  <c r="G137" i="6"/>
  <c r="F137" i="6"/>
  <c r="H129" i="6"/>
  <c r="I129" i="6" s="1"/>
  <c r="G129" i="6"/>
  <c r="F129" i="6"/>
  <c r="G125" i="6"/>
  <c r="H125" i="6"/>
  <c r="I125" i="6" s="1"/>
  <c r="F125" i="6"/>
  <c r="H121" i="6"/>
  <c r="I121" i="6" s="1"/>
  <c r="G121" i="6"/>
  <c r="F121" i="6"/>
  <c r="H292" i="6"/>
  <c r="I292" i="6" s="1"/>
  <c r="G292" i="6"/>
  <c r="F292" i="6"/>
  <c r="H139" i="6"/>
  <c r="I139" i="6" s="1"/>
  <c r="F139" i="6"/>
  <c r="G139" i="6"/>
  <c r="H135" i="6"/>
  <c r="I135" i="6" s="1"/>
  <c r="F135" i="6"/>
  <c r="G135" i="6"/>
  <c r="H131" i="6"/>
  <c r="I131" i="6" s="1"/>
  <c r="G131" i="6"/>
  <c r="F131" i="6"/>
  <c r="G123" i="6"/>
  <c r="H123" i="6"/>
  <c r="I123" i="6" s="1"/>
  <c r="F123" i="6"/>
  <c r="H23" i="6"/>
  <c r="I23" i="6" s="1"/>
  <c r="G23" i="6"/>
  <c r="F23" i="6"/>
  <c r="F19" i="6"/>
  <c r="G19" i="6"/>
  <c r="H19" i="6"/>
  <c r="I19" i="6"/>
  <c r="H15" i="6"/>
  <c r="I15" i="6" s="1"/>
  <c r="G15" i="6"/>
  <c r="F15" i="6"/>
  <c r="H11" i="6"/>
  <c r="I11" i="6" s="1"/>
  <c r="F11" i="6"/>
  <c r="G11" i="6"/>
  <c r="H7" i="6"/>
  <c r="I7" i="6" s="1"/>
  <c r="U7" i="6" s="1"/>
  <c r="F7" i="6"/>
  <c r="G7" i="6"/>
  <c r="H32" i="6"/>
  <c r="I32" i="6" s="1"/>
  <c r="F32" i="6"/>
  <c r="G32" i="6"/>
  <c r="H28" i="6"/>
  <c r="I28" i="6" s="1"/>
  <c r="G28" i="6"/>
  <c r="F28" i="6"/>
  <c r="H38" i="6"/>
  <c r="I38" i="6" s="1"/>
  <c r="F38" i="6"/>
  <c r="G38" i="6"/>
  <c r="G154" i="6"/>
  <c r="H154" i="6"/>
  <c r="I154" i="6" s="1"/>
  <c r="F154" i="6"/>
  <c r="H145" i="6"/>
  <c r="I145" i="6" s="1"/>
  <c r="G145" i="6"/>
  <c r="F145" i="6"/>
  <c r="H148" i="6"/>
  <c r="I148" i="6" s="1"/>
  <c r="G148" i="6"/>
  <c r="F148" i="6"/>
  <c r="F158" i="6"/>
  <c r="H158" i="6"/>
  <c r="I158" i="6" s="1"/>
  <c r="G158" i="6"/>
  <c r="G170" i="6"/>
  <c r="H170" i="6"/>
  <c r="I170" i="6" s="1"/>
  <c r="F170" i="6"/>
  <c r="H161" i="6"/>
  <c r="I161" i="6" s="1"/>
  <c r="G161" i="6"/>
  <c r="F161" i="6"/>
  <c r="H176" i="6"/>
  <c r="I176" i="6" s="1"/>
  <c r="U176" i="6" s="1"/>
  <c r="AL177" i="7" s="1"/>
  <c r="G176" i="6"/>
  <c r="F176" i="6"/>
  <c r="H180" i="6"/>
  <c r="I180" i="6" s="1"/>
  <c r="G180" i="6"/>
  <c r="F180" i="6"/>
  <c r="G200" i="6"/>
  <c r="H200" i="6"/>
  <c r="I200" i="6" s="1"/>
  <c r="F200" i="6"/>
  <c r="H199" i="6"/>
  <c r="I199" i="6" s="1"/>
  <c r="F199" i="6"/>
  <c r="G199" i="6"/>
  <c r="G186" i="6"/>
  <c r="H186" i="6"/>
  <c r="I186" i="6" s="1"/>
  <c r="F186" i="6"/>
  <c r="H202" i="6"/>
  <c r="I202" i="6" s="1"/>
  <c r="U202" i="6" s="1"/>
  <c r="AL203" i="7" s="1"/>
  <c r="G202" i="6"/>
  <c r="F202" i="6"/>
  <c r="H212" i="6"/>
  <c r="I212" i="6" s="1"/>
  <c r="F212" i="6"/>
  <c r="G212" i="6"/>
  <c r="H225" i="6"/>
  <c r="I225" i="6" s="1"/>
  <c r="G225" i="6"/>
  <c r="F225" i="6"/>
  <c r="F222" i="6"/>
  <c r="H222" i="6"/>
  <c r="I222" i="6"/>
  <c r="G222" i="6"/>
  <c r="G242" i="6"/>
  <c r="H242" i="6"/>
  <c r="I242" i="6"/>
  <c r="F242" i="6"/>
  <c r="H241" i="6"/>
  <c r="I241" i="6" s="1"/>
  <c r="F241" i="6"/>
  <c r="G241" i="6"/>
  <c r="H257" i="6"/>
  <c r="I257" i="6" s="1"/>
  <c r="U257" i="6" s="1"/>
  <c r="F257" i="6"/>
  <c r="G257" i="6"/>
  <c r="H256" i="6"/>
  <c r="I256" i="6" s="1"/>
  <c r="U256" i="6" s="1"/>
  <c r="G256" i="6"/>
  <c r="F256" i="6"/>
  <c r="H273" i="6"/>
  <c r="I273" i="6" s="1"/>
  <c r="U273" i="6" s="1"/>
  <c r="AL274" i="7" s="1"/>
  <c r="G273" i="6"/>
  <c r="F273" i="6"/>
  <c r="H286" i="6"/>
  <c r="I286" i="6" s="1"/>
  <c r="F286" i="6"/>
  <c r="G286" i="6"/>
  <c r="H283" i="6"/>
  <c r="I283" i="6" s="1"/>
  <c r="G283" i="6"/>
  <c r="F283" i="6"/>
  <c r="G269" i="6"/>
  <c r="H269" i="6"/>
  <c r="I269" i="6"/>
  <c r="F269" i="6"/>
  <c r="G243" i="6"/>
  <c r="F243" i="6"/>
  <c r="H243" i="6"/>
  <c r="I243" i="6"/>
  <c r="H258" i="6"/>
  <c r="I258" i="6" s="1"/>
  <c r="G258" i="6"/>
  <c r="F258" i="6"/>
  <c r="H112" i="6"/>
  <c r="I112" i="6" s="1"/>
  <c r="G112" i="6"/>
  <c r="F112" i="6"/>
  <c r="H90" i="6"/>
  <c r="I90" i="6" s="1"/>
  <c r="U90" i="6" s="1"/>
  <c r="F90" i="6"/>
  <c r="G90" i="6"/>
  <c r="G86" i="6"/>
  <c r="F86" i="6"/>
  <c r="H86" i="6"/>
  <c r="I86" i="6"/>
  <c r="H82" i="6"/>
  <c r="I82" i="6" s="1"/>
  <c r="U82" i="6" s="1"/>
  <c r="G82" i="6"/>
  <c r="F82" i="6"/>
  <c r="H54" i="6"/>
  <c r="I54" i="6" s="1"/>
  <c r="F54" i="6"/>
  <c r="G54" i="6"/>
  <c r="G59" i="6"/>
  <c r="H59" i="6"/>
  <c r="I59" i="6"/>
  <c r="F59" i="6"/>
  <c r="H60" i="6"/>
  <c r="I60" i="6" s="1"/>
  <c r="G60" i="6"/>
  <c r="F60" i="6"/>
  <c r="H119" i="6"/>
  <c r="I119" i="6" s="1"/>
  <c r="U119" i="6" s="1"/>
  <c r="AD119" i="6" s="1"/>
  <c r="G119" i="6"/>
  <c r="F119" i="6"/>
  <c r="G61" i="6"/>
  <c r="H61" i="6"/>
  <c r="I61" i="6"/>
  <c r="F61" i="6"/>
  <c r="H293" i="6"/>
  <c r="I293" i="6" s="1"/>
  <c r="G293" i="6"/>
  <c r="F293" i="6"/>
  <c r="H289" i="6"/>
  <c r="I289" i="6" s="1"/>
  <c r="G289" i="6"/>
  <c r="F289" i="6"/>
  <c r="H140" i="6"/>
  <c r="I140" i="6" s="1"/>
  <c r="G140" i="6"/>
  <c r="F140" i="6"/>
  <c r="H132" i="6"/>
  <c r="I132" i="6" s="1"/>
  <c r="U132" i="6" s="1"/>
  <c r="AD132" i="6" s="1"/>
  <c r="G132" i="6"/>
  <c r="F132" i="6"/>
  <c r="H128" i="6"/>
  <c r="I128" i="6" s="1"/>
  <c r="F128" i="6"/>
  <c r="G128" i="6"/>
  <c r="H124" i="6"/>
  <c r="I124" i="6" s="1"/>
  <c r="G124" i="6"/>
  <c r="F124" i="6"/>
  <c r="G291" i="6"/>
  <c r="F291" i="6"/>
  <c r="H291" i="6"/>
  <c r="I291" i="6"/>
  <c r="G142" i="6"/>
  <c r="F142" i="6"/>
  <c r="H142" i="6"/>
  <c r="I142" i="6"/>
  <c r="F138" i="6"/>
  <c r="H138" i="6"/>
  <c r="I138" i="6"/>
  <c r="G138" i="6"/>
  <c r="G134" i="6"/>
  <c r="F134" i="6"/>
  <c r="H134" i="6"/>
  <c r="I134" i="6"/>
  <c r="H130" i="6"/>
  <c r="I130" i="6" s="1"/>
  <c r="U130" i="6" s="1"/>
  <c r="AL131" i="7" s="1"/>
  <c r="G130" i="6"/>
  <c r="F130" i="6"/>
  <c r="F126" i="6"/>
  <c r="G126" i="6"/>
  <c r="H126" i="6"/>
  <c r="I126" i="6"/>
  <c r="H122" i="6"/>
  <c r="I122" i="6" s="1"/>
  <c r="F122" i="6"/>
  <c r="G122" i="6"/>
  <c r="H22" i="6"/>
  <c r="I22" i="6" s="1"/>
  <c r="F22" i="6"/>
  <c r="G22" i="6"/>
  <c r="G18" i="6"/>
  <c r="H18" i="6"/>
  <c r="I18" i="6"/>
  <c r="F18" i="6"/>
  <c r="H14" i="6"/>
  <c r="I14" i="6" s="1"/>
  <c r="G14" i="6"/>
  <c r="F14" i="6"/>
  <c r="F35" i="6"/>
  <c r="H35" i="6"/>
  <c r="I35" i="6"/>
  <c r="G35" i="6"/>
  <c r="H31" i="6"/>
  <c r="I31" i="6" s="1"/>
  <c r="U31" i="6" s="1"/>
  <c r="G31" i="6"/>
  <c r="F31" i="6"/>
  <c r="H27" i="6"/>
  <c r="I27" i="6" s="1"/>
  <c r="G27" i="6"/>
  <c r="F27" i="6"/>
  <c r="F45" i="6"/>
  <c r="H45" i="6"/>
  <c r="I45" i="6"/>
  <c r="G45" i="6"/>
  <c r="H41" i="6"/>
  <c r="I41" i="6"/>
  <c r="G41" i="6"/>
  <c r="F41" i="6"/>
  <c r="G37" i="6"/>
  <c r="H37" i="6"/>
  <c r="I37" i="6"/>
  <c r="F37" i="6"/>
  <c r="H153" i="6"/>
  <c r="I153" i="6"/>
  <c r="G153" i="6"/>
  <c r="F153" i="6"/>
  <c r="G144" i="6"/>
  <c r="H144" i="6"/>
  <c r="I144" i="6"/>
  <c r="F144" i="6"/>
  <c r="G166" i="6"/>
  <c r="H166" i="6"/>
  <c r="I166" i="6"/>
  <c r="F166" i="6"/>
  <c r="G157" i="6"/>
  <c r="F157" i="6"/>
  <c r="H157" i="6"/>
  <c r="I157" i="6" s="1"/>
  <c r="H169" i="6"/>
  <c r="I169" i="6"/>
  <c r="F169" i="6"/>
  <c r="G169" i="6"/>
  <c r="H160" i="6"/>
  <c r="I160" i="6"/>
  <c r="G160" i="6"/>
  <c r="F160" i="6"/>
  <c r="H183" i="6"/>
  <c r="I183" i="6"/>
  <c r="G183" i="6"/>
  <c r="F183" i="6"/>
  <c r="F174" i="6"/>
  <c r="H174" i="6"/>
  <c r="I174" i="6"/>
  <c r="G174" i="6"/>
  <c r="H198" i="6"/>
  <c r="I198" i="6"/>
  <c r="F198" i="6"/>
  <c r="G198" i="6"/>
  <c r="G195" i="6"/>
  <c r="H195" i="6"/>
  <c r="I195" i="6"/>
  <c r="F195" i="6"/>
  <c r="G211" i="6"/>
  <c r="H211" i="6"/>
  <c r="I211" i="6"/>
  <c r="F211" i="6"/>
  <c r="H209" i="6"/>
  <c r="I209" i="6"/>
  <c r="G209" i="6"/>
  <c r="F209" i="6"/>
  <c r="H220" i="6"/>
  <c r="I220" i="6"/>
  <c r="F220" i="6"/>
  <c r="G220" i="6"/>
  <c r="H229" i="6"/>
  <c r="I229" i="6"/>
  <c r="G229" i="6"/>
  <c r="F229" i="6"/>
  <c r="H219" i="6"/>
  <c r="I219" i="6"/>
  <c r="G219" i="6"/>
  <c r="F219" i="6"/>
  <c r="H234" i="6"/>
  <c r="I234" i="6"/>
  <c r="F234" i="6"/>
  <c r="G234" i="6"/>
  <c r="G238" i="6"/>
  <c r="H238" i="6"/>
  <c r="I238" i="6"/>
  <c r="F238" i="6"/>
  <c r="F254" i="6"/>
  <c r="G254" i="6"/>
  <c r="H254" i="6"/>
  <c r="I254" i="6" s="1"/>
  <c r="H251" i="6"/>
  <c r="I251" i="6"/>
  <c r="G251" i="6"/>
  <c r="F251" i="6"/>
  <c r="F266" i="6"/>
  <c r="H266" i="6"/>
  <c r="I266" i="6"/>
  <c r="G266" i="6"/>
  <c r="H270" i="6"/>
  <c r="I270" i="6"/>
  <c r="G270" i="6"/>
  <c r="F270" i="6"/>
  <c r="H281" i="6"/>
  <c r="I281" i="6"/>
  <c r="G281" i="6"/>
  <c r="F281" i="6"/>
  <c r="G93" i="6"/>
  <c r="F93" i="6"/>
  <c r="H93" i="6"/>
  <c r="I93" i="6" s="1"/>
  <c r="H284" i="6"/>
  <c r="I284" i="6"/>
  <c r="F284" i="6"/>
  <c r="G284" i="6"/>
  <c r="H240" i="6"/>
  <c r="I240" i="6"/>
  <c r="G240" i="6"/>
  <c r="F240" i="6"/>
  <c r="F282" i="6"/>
  <c r="G282" i="6"/>
  <c r="H282" i="6"/>
  <c r="I282" i="6" s="1"/>
  <c r="G237" i="6"/>
  <c r="H237" i="6"/>
  <c r="I237" i="6"/>
  <c r="F237" i="6"/>
  <c r="G218" i="6"/>
  <c r="H218" i="6"/>
  <c r="I218" i="6"/>
  <c r="F218" i="6"/>
  <c r="H143" i="6"/>
  <c r="I143" i="6" s="1"/>
  <c r="G143" i="6"/>
  <c r="F143" i="6"/>
  <c r="G94" i="6"/>
  <c r="F94" i="6"/>
  <c r="H94" i="6"/>
  <c r="I94" i="6" s="1"/>
  <c r="H89" i="6"/>
  <c r="I89" i="6" s="1"/>
  <c r="U89" i="6" s="1"/>
  <c r="G89" i="6"/>
  <c r="F89" i="6"/>
  <c r="H81" i="6"/>
  <c r="I81" i="6" s="1"/>
  <c r="G81" i="6"/>
  <c r="F81" i="6"/>
  <c r="G50" i="6"/>
  <c r="H50" i="6"/>
  <c r="I50" i="6"/>
  <c r="F50" i="6"/>
  <c r="H236" i="6"/>
  <c r="I236" i="6" s="1"/>
  <c r="F236" i="6"/>
  <c r="G236" i="6"/>
  <c r="H113" i="6"/>
  <c r="I113" i="6" s="1"/>
  <c r="F113" i="6"/>
  <c r="G113" i="6"/>
  <c r="H55" i="6"/>
  <c r="I55" i="6" s="1"/>
  <c r="U55" i="6" s="1"/>
  <c r="G55" i="6"/>
  <c r="F55" i="6"/>
  <c r="G118" i="6"/>
  <c r="F118" i="6"/>
  <c r="H118" i="6"/>
  <c r="I118" i="6" s="1"/>
  <c r="H56" i="6"/>
  <c r="I56" i="6" s="1"/>
  <c r="U56" i="6" s="1"/>
  <c r="F56" i="6"/>
  <c r="G56" i="6"/>
  <c r="G115" i="6"/>
  <c r="H115" i="6"/>
  <c r="I115" i="6"/>
  <c r="F115" i="6"/>
  <c r="H57" i="6"/>
  <c r="I57" i="6" s="1"/>
  <c r="U57" i="6" s="1"/>
  <c r="G57" i="6"/>
  <c r="F57" i="6"/>
  <c r="F6" i="6"/>
  <c r="G6" i="6"/>
  <c r="H6" i="6"/>
  <c r="G451" i="6"/>
  <c r="H504" i="6"/>
  <c r="I504" i="6" s="1"/>
  <c r="U504" i="6" s="1"/>
  <c r="AD504" i="6" s="1"/>
  <c r="U309" i="6"/>
  <c r="AD309" i="6" s="1"/>
  <c r="H437" i="6"/>
  <c r="I437" i="6" s="1"/>
  <c r="H429" i="6"/>
  <c r="I429" i="6" s="1"/>
  <c r="F425" i="6"/>
  <c r="G421" i="6"/>
  <c r="F417" i="6"/>
  <c r="G449" i="6"/>
  <c r="G385" i="6"/>
  <c r="H317" i="6"/>
  <c r="I317" i="6"/>
  <c r="G426" i="6"/>
  <c r="G418" i="6"/>
  <c r="G410" i="6"/>
  <c r="G398" i="6"/>
  <c r="G329" i="6"/>
  <c r="F473" i="6"/>
  <c r="U473" i="6" s="1"/>
  <c r="AD473" i="6" s="1"/>
  <c r="G413" i="6"/>
  <c r="F409" i="6"/>
  <c r="U409" i="6" s="1"/>
  <c r="AD409" i="6" s="1"/>
  <c r="H405" i="6"/>
  <c r="I405" i="6" s="1"/>
  <c r="U405" i="6" s="1"/>
  <c r="H453" i="6"/>
  <c r="I453" i="6" s="1"/>
  <c r="U453" i="6" s="1"/>
  <c r="AD453" i="6" s="1"/>
  <c r="G386" i="6"/>
  <c r="F500" i="6"/>
  <c r="F492" i="6"/>
  <c r="F484" i="6"/>
  <c r="G502" i="6"/>
  <c r="H382" i="6"/>
  <c r="I382" i="6"/>
  <c r="H313" i="6"/>
  <c r="I313" i="6" s="1"/>
  <c r="G490" i="6"/>
  <c r="G465" i="6"/>
  <c r="F461" i="6"/>
  <c r="G457" i="6"/>
  <c r="U431" i="6"/>
  <c r="AD431" i="6" s="1"/>
  <c r="F504" i="6"/>
  <c r="H330" i="6"/>
  <c r="H470" i="6"/>
  <c r="I470" i="6" s="1"/>
  <c r="G390" i="6"/>
  <c r="G374" i="6"/>
  <c r="G354" i="6"/>
  <c r="U354" i="6" s="1"/>
  <c r="AD354" i="6" s="1"/>
  <c r="G345" i="6"/>
  <c r="G338" i="6"/>
  <c r="F325" i="6"/>
  <c r="H314" i="6"/>
  <c r="I314" i="6" s="1"/>
  <c r="F402" i="6"/>
  <c r="H306" i="6"/>
  <c r="G380" i="6"/>
  <c r="H479" i="6"/>
  <c r="I479" i="6" s="1"/>
  <c r="G444" i="6"/>
  <c r="G436" i="6"/>
  <c r="G428" i="6"/>
  <c r="F424" i="6"/>
  <c r="G420" i="6"/>
  <c r="F416" i="6"/>
  <c r="F400" i="6"/>
  <c r="F322" i="6"/>
  <c r="H368" i="6"/>
  <c r="I368" i="6"/>
  <c r="H364" i="6"/>
  <c r="I364" i="6" s="1"/>
  <c r="U364" i="6" s="1"/>
  <c r="G357" i="6"/>
  <c r="F332" i="6"/>
  <c r="G369" i="6"/>
  <c r="U369" i="6" s="1"/>
  <c r="AD369" i="6" s="1"/>
  <c r="H337" i="6"/>
  <c r="I337" i="6"/>
  <c r="F362" i="6"/>
  <c r="G346" i="6"/>
  <c r="F439" i="6"/>
  <c r="F435" i="6"/>
  <c r="F427" i="6"/>
  <c r="F423" i="6"/>
  <c r="U423" i="6" s="1"/>
  <c r="AD423" i="6" s="1"/>
  <c r="F419" i="6"/>
  <c r="U419" i="6" s="1"/>
  <c r="AD419" i="6" s="1"/>
  <c r="F411" i="6"/>
  <c r="U411" i="6" s="1"/>
  <c r="AD411" i="6" s="1"/>
  <c r="F404" i="6"/>
  <c r="G323" i="6"/>
  <c r="H323" i="6"/>
  <c r="I323" i="6" s="1"/>
  <c r="U323" i="6" s="1"/>
  <c r="H463" i="6"/>
  <c r="I463" i="6" s="1"/>
  <c r="F463" i="6"/>
  <c r="G494" i="6"/>
  <c r="H497" i="6"/>
  <c r="I497" i="6" s="1"/>
  <c r="H489" i="6"/>
  <c r="I489" i="6" s="1"/>
  <c r="U489" i="6" s="1"/>
  <c r="H448" i="6"/>
  <c r="I448" i="6" s="1"/>
  <c r="U448" i="6" s="1"/>
  <c r="G459" i="6"/>
  <c r="F384" i="6"/>
  <c r="G384" i="6"/>
  <c r="H352" i="6"/>
  <c r="I352" i="6"/>
  <c r="G352" i="6"/>
  <c r="H348" i="6"/>
  <c r="I348" i="6" s="1"/>
  <c r="G348" i="6"/>
  <c r="U348" i="6" s="1"/>
  <c r="AD348" i="6" s="1"/>
  <c r="H336" i="6"/>
  <c r="I336" i="6"/>
  <c r="G336" i="6"/>
  <c r="F441" i="6"/>
  <c r="H441" i="6"/>
  <c r="I441" i="6"/>
  <c r="F433" i="6"/>
  <c r="H433" i="6"/>
  <c r="I433" i="6" s="1"/>
  <c r="U433" i="6" s="1"/>
  <c r="G397" i="6"/>
  <c r="F397" i="6"/>
  <c r="H397" i="6"/>
  <c r="I397" i="6" s="1"/>
  <c r="F472" i="6"/>
  <c r="G472" i="6"/>
  <c r="G440" i="6"/>
  <c r="F440" i="6"/>
  <c r="U440" i="6" s="1"/>
  <c r="AD440" i="6" s="1"/>
  <c r="G432" i="6"/>
  <c r="F432" i="6"/>
  <c r="U432" i="6" s="1"/>
  <c r="AD432" i="6" s="1"/>
  <c r="G412" i="6"/>
  <c r="H412" i="6"/>
  <c r="I412" i="6"/>
  <c r="G408" i="6"/>
  <c r="F408" i="6"/>
  <c r="F466" i="6"/>
  <c r="F458" i="6"/>
  <c r="G461" i="6"/>
  <c r="H402" i="6"/>
  <c r="I402" i="6" s="1"/>
  <c r="G470" i="6"/>
  <c r="H455" i="6"/>
  <c r="I455" i="6" s="1"/>
  <c r="F428" i="6"/>
  <c r="G441" i="6"/>
  <c r="H413" i="6"/>
  <c r="I413" i="6" s="1"/>
  <c r="F387" i="6"/>
  <c r="H440" i="6"/>
  <c r="I440" i="6" s="1"/>
  <c r="H388" i="6"/>
  <c r="I388" i="6" s="1"/>
  <c r="G333" i="6"/>
  <c r="H366" i="6"/>
  <c r="I366" i="6" s="1"/>
  <c r="G364" i="6"/>
  <c r="F357" i="6"/>
  <c r="F350" i="6"/>
  <c r="U350" i="6" s="1"/>
  <c r="AD350" i="6" s="1"/>
  <c r="F337" i="6"/>
  <c r="H338" i="6"/>
  <c r="I338" i="6" s="1"/>
  <c r="H333" i="6"/>
  <c r="I333" i="6"/>
  <c r="F476" i="6"/>
  <c r="U476" i="6" s="1"/>
  <c r="AD476" i="6" s="1"/>
  <c r="F429" i="6"/>
  <c r="G405" i="6"/>
  <c r="H324" i="6"/>
  <c r="I324" i="6" s="1"/>
  <c r="G324" i="6"/>
  <c r="F324" i="6"/>
  <c r="H307" i="6"/>
  <c r="I307" i="6" s="1"/>
  <c r="G361" i="6"/>
  <c r="H340" i="6"/>
  <c r="I340" i="6" s="1"/>
  <c r="U340" i="6" s="1"/>
  <c r="G340" i="6"/>
  <c r="H322" i="6"/>
  <c r="I322" i="6" s="1"/>
  <c r="F358" i="6"/>
  <c r="U358" i="6" s="1"/>
  <c r="AD358" i="6" s="1"/>
  <c r="G342" i="6"/>
  <c r="F491" i="6"/>
  <c r="G453" i="6"/>
  <c r="H425" i="6"/>
  <c r="I425" i="6" s="1"/>
  <c r="H421" i="6"/>
  <c r="I421" i="6" s="1"/>
  <c r="H417" i="6"/>
  <c r="I417" i="6" s="1"/>
  <c r="H447" i="6"/>
  <c r="I447" i="6" s="1"/>
  <c r="F447" i="6"/>
  <c r="F436" i="6"/>
  <c r="G429" i="6"/>
  <c r="H444" i="6"/>
  <c r="I444" i="6"/>
  <c r="H428" i="6"/>
  <c r="I428" i="6" s="1"/>
  <c r="H376" i="6"/>
  <c r="I376" i="6"/>
  <c r="H332" i="6"/>
  <c r="I332" i="6" s="1"/>
  <c r="H369" i="6"/>
  <c r="I369" i="6"/>
  <c r="F365" i="6"/>
  <c r="U365" i="6" s="1"/>
  <c r="AD365" i="6" s="1"/>
  <c r="H357" i="6"/>
  <c r="I357" i="6" s="1"/>
  <c r="F352" i="6"/>
  <c r="F342" i="6"/>
  <c r="G337" i="6"/>
  <c r="F334" i="6"/>
  <c r="H342" i="6"/>
  <c r="I342" i="6"/>
  <c r="F481" i="6"/>
  <c r="U481" i="6" s="1"/>
  <c r="AD481" i="6" s="1"/>
  <c r="G471" i="6"/>
  <c r="G403" i="6"/>
  <c r="G416" i="6"/>
  <c r="G479" i="6"/>
  <c r="F437" i="6"/>
  <c r="F421" i="6"/>
  <c r="H464" i="6"/>
  <c r="I464" i="6"/>
  <c r="F450" i="6"/>
  <c r="H461" i="6"/>
  <c r="I461" i="6"/>
  <c r="F390" i="6"/>
  <c r="F386" i="6"/>
  <c r="H374" i="6"/>
  <c r="I374" i="6"/>
  <c r="H326" i="6"/>
  <c r="I326" i="6" s="1"/>
  <c r="G480" i="6"/>
  <c r="G402" i="6"/>
  <c r="F443" i="6"/>
  <c r="G399" i="6"/>
  <c r="F469" i="6"/>
  <c r="F483" i="6"/>
  <c r="H494" i="6"/>
  <c r="I494" i="6" s="1"/>
  <c r="U494" i="6" s="1"/>
  <c r="G489" i="6"/>
  <c r="F464" i="6"/>
  <c r="F456" i="6"/>
  <c r="F448" i="6"/>
  <c r="G463" i="6"/>
  <c r="G455" i="6"/>
  <c r="G447" i="6"/>
  <c r="F459" i="6"/>
  <c r="F451" i="6"/>
  <c r="G392" i="6"/>
  <c r="G381" i="6"/>
  <c r="G376" i="6"/>
  <c r="F392" i="6"/>
  <c r="H380" i="6"/>
  <c r="I380" i="6" s="1"/>
  <c r="U380" i="6" s="1"/>
  <c r="H385" i="6"/>
  <c r="I385" i="6"/>
  <c r="H390" i="6"/>
  <c r="I390" i="6" s="1"/>
  <c r="H372" i="6"/>
  <c r="I372" i="6" s="1"/>
  <c r="F401" i="6"/>
  <c r="G401" i="6"/>
  <c r="F373" i="6"/>
  <c r="G476" i="6"/>
  <c r="F471" i="6"/>
  <c r="G310" i="6"/>
  <c r="G314" i="6"/>
  <c r="F323" i="6"/>
  <c r="F485" i="6"/>
  <c r="H503" i="6"/>
  <c r="I503" i="6" s="1"/>
  <c r="H482" i="6"/>
  <c r="I482" i="6" s="1"/>
  <c r="G497" i="6"/>
  <c r="G467" i="6"/>
  <c r="H467" i="6"/>
  <c r="I467" i="6" s="1"/>
  <c r="F465" i="6"/>
  <c r="F457" i="6"/>
  <c r="F449" i="6"/>
  <c r="G389" i="6"/>
  <c r="G373" i="6"/>
  <c r="F372" i="6"/>
  <c r="H384" i="6"/>
  <c r="I384" i="6" s="1"/>
  <c r="H377" i="6"/>
  <c r="I377" i="6" s="1"/>
  <c r="U377" i="6" s="1"/>
  <c r="G475" i="6"/>
  <c r="F475" i="6"/>
  <c r="G469" i="6"/>
  <c r="F479" i="6"/>
  <c r="G395" i="6"/>
  <c r="F480" i="6"/>
  <c r="G404" i="6"/>
  <c r="F505" i="6"/>
  <c r="G493" i="6"/>
  <c r="F501" i="6"/>
  <c r="H493" i="6"/>
  <c r="I493" i="6" s="1"/>
  <c r="G485" i="6"/>
  <c r="G446" i="6"/>
  <c r="H465" i="6"/>
  <c r="I465" i="6"/>
  <c r="H457" i="6"/>
  <c r="I457" i="6" s="1"/>
  <c r="H449" i="6"/>
  <c r="I449" i="6"/>
  <c r="G388" i="6"/>
  <c r="G377" i="6"/>
  <c r="G318" i="6"/>
  <c r="G311" i="6"/>
  <c r="H311" i="6"/>
  <c r="I311" i="6" s="1"/>
  <c r="G307" i="6"/>
  <c r="G325" i="6"/>
  <c r="U325" i="6" s="1"/>
  <c r="AD325" i="6" s="1"/>
  <c r="G331" i="6"/>
  <c r="U331" i="6"/>
  <c r="AD331" i="6" s="1"/>
  <c r="M522" i="6"/>
  <c r="AN513" i="7"/>
  <c r="AN523" i="7"/>
  <c r="U249" i="6"/>
  <c r="U206" i="6"/>
  <c r="U98" i="6"/>
  <c r="G499" i="6"/>
  <c r="H499" i="6"/>
  <c r="I499" i="6"/>
  <c r="G495" i="6"/>
  <c r="H495" i="6"/>
  <c r="I495" i="6" s="1"/>
  <c r="H500" i="6"/>
  <c r="I500" i="6" s="1"/>
  <c r="H498" i="6"/>
  <c r="I498" i="6" s="1"/>
  <c r="G498" i="6"/>
  <c r="H484" i="6"/>
  <c r="I484" i="6" s="1"/>
  <c r="U484" i="6" s="1"/>
  <c r="F497" i="6"/>
  <c r="G462" i="6"/>
  <c r="G454" i="6"/>
  <c r="F393" i="6"/>
  <c r="H393" i="6"/>
  <c r="I393" i="6"/>
  <c r="H375" i="6"/>
  <c r="I375" i="6"/>
  <c r="U255" i="6"/>
  <c r="U103" i="6"/>
  <c r="F8" i="2"/>
  <c r="F496" i="6"/>
  <c r="G491" i="6"/>
  <c r="H491" i="6"/>
  <c r="I491" i="6" s="1"/>
  <c r="G505" i="6"/>
  <c r="H501" i="6"/>
  <c r="I501" i="6" s="1"/>
  <c r="H485" i="6"/>
  <c r="I485" i="6" s="1"/>
  <c r="G460" i="6"/>
  <c r="H446" i="6"/>
  <c r="I446" i="6" s="1"/>
  <c r="H451" i="6"/>
  <c r="I451" i="6" s="1"/>
  <c r="G393" i="6"/>
  <c r="F374" i="6"/>
  <c r="U374" i="6"/>
  <c r="AD374" i="6" s="1"/>
  <c r="F302" i="6"/>
  <c r="H302" i="6"/>
  <c r="I302" i="6"/>
  <c r="F297" i="6"/>
  <c r="H297" i="6"/>
  <c r="I297" i="6" s="1"/>
  <c r="U197" i="6"/>
  <c r="U320" i="6"/>
  <c r="AD320" i="6" s="1"/>
  <c r="F318" i="6"/>
  <c r="U70" i="6"/>
  <c r="U75" i="6"/>
  <c r="U76" i="6"/>
  <c r="P23" i="4"/>
  <c r="P22" i="4"/>
  <c r="P21" i="4"/>
  <c r="P20" i="4"/>
  <c r="P19" i="4"/>
  <c r="P18" i="4"/>
  <c r="P17" i="4"/>
  <c r="P16" i="4"/>
  <c r="P15" i="4"/>
  <c r="P14" i="4"/>
  <c r="P13" i="4"/>
  <c r="P12" i="4"/>
  <c r="P11" i="4"/>
  <c r="P10" i="4"/>
  <c r="P9" i="4"/>
  <c r="P8" i="4"/>
  <c r="P7" i="4"/>
  <c r="P4" i="4"/>
  <c r="D3" i="4"/>
  <c r="P6" i="4"/>
  <c r="P5" i="4"/>
  <c r="G501" i="6"/>
  <c r="H383" i="6"/>
  <c r="I383" i="6"/>
  <c r="F303" i="6"/>
  <c r="H303" i="6"/>
  <c r="I303" i="6"/>
  <c r="U67" i="6"/>
  <c r="U59" i="6"/>
  <c r="U114" i="6"/>
  <c r="U107" i="6"/>
  <c r="U99" i="6"/>
  <c r="F490" i="6"/>
  <c r="H505" i="6"/>
  <c r="I505" i="6" s="1"/>
  <c r="F493" i="6"/>
  <c r="H462" i="6"/>
  <c r="I462" i="6"/>
  <c r="H454" i="6"/>
  <c r="I454" i="6" s="1"/>
  <c r="G452" i="6"/>
  <c r="H459" i="6"/>
  <c r="I459" i="6" s="1"/>
  <c r="U438" i="6"/>
  <c r="AD438" i="6"/>
  <c r="F383" i="6"/>
  <c r="U385" i="6"/>
  <c r="AD385" i="6"/>
  <c r="H370" i="6"/>
  <c r="I370" i="6" s="1"/>
  <c r="G370" i="6"/>
  <c r="F370" i="6"/>
  <c r="F299" i="6"/>
  <c r="H299" i="6"/>
  <c r="I299" i="6"/>
  <c r="F295" i="6"/>
  <c r="H295" i="6"/>
  <c r="I295" i="6" s="1"/>
  <c r="G500" i="6"/>
  <c r="G492" i="6"/>
  <c r="G484" i="6"/>
  <c r="G487" i="6"/>
  <c r="H487" i="6"/>
  <c r="I487" i="6"/>
  <c r="H492" i="6"/>
  <c r="I492" i="6" s="1"/>
  <c r="F489" i="6"/>
  <c r="G466" i="6"/>
  <c r="H452" i="6"/>
  <c r="I452" i="6" s="1"/>
  <c r="G504" i="6"/>
  <c r="H389" i="6"/>
  <c r="I389" i="6" s="1"/>
  <c r="H378" i="6"/>
  <c r="I378" i="6"/>
  <c r="F305" i="6"/>
  <c r="H305" i="6"/>
  <c r="I305" i="6"/>
  <c r="G496" i="6"/>
  <c r="G488" i="6"/>
  <c r="G483" i="6"/>
  <c r="H483" i="6"/>
  <c r="I483" i="6" s="1"/>
  <c r="H490" i="6"/>
  <c r="I490" i="6"/>
  <c r="H460" i="6"/>
  <c r="I460" i="6" s="1"/>
  <c r="G458" i="6"/>
  <c r="G450" i="6"/>
  <c r="H445" i="6"/>
  <c r="I445" i="6" s="1"/>
  <c r="G445" i="6"/>
  <c r="F445" i="6"/>
  <c r="U461" i="6"/>
  <c r="AD461" i="6" s="1"/>
  <c r="H387" i="6"/>
  <c r="I387" i="6" s="1"/>
  <c r="H379" i="6"/>
  <c r="I379" i="6"/>
  <c r="F375" i="6"/>
  <c r="H381" i="6"/>
  <c r="I381" i="6" s="1"/>
  <c r="H386" i="6"/>
  <c r="I386" i="6"/>
  <c r="F371" i="6"/>
  <c r="U355" i="6"/>
  <c r="AD355" i="6" s="1"/>
  <c r="F301" i="6"/>
  <c r="H301" i="6"/>
  <c r="I301" i="6" s="1"/>
  <c r="G299" i="6"/>
  <c r="G297" i="6"/>
  <c r="G295" i="6"/>
  <c r="U192" i="6"/>
  <c r="U188" i="6"/>
  <c r="U164" i="6"/>
  <c r="G303" i="6"/>
  <c r="U312" i="6"/>
  <c r="AD312" i="6" s="1"/>
  <c r="U327" i="6"/>
  <c r="AD327" i="6" s="1"/>
  <c r="U120" i="6"/>
  <c r="U74" i="6"/>
  <c r="G503" i="6"/>
  <c r="F499" i="6"/>
  <c r="F495" i="6"/>
  <c r="G482" i="6"/>
  <c r="H502" i="6"/>
  <c r="I502" i="6" s="1"/>
  <c r="F498" i="6"/>
  <c r="H488" i="6"/>
  <c r="I488" i="6"/>
  <c r="H486" i="6"/>
  <c r="I486" i="6" s="1"/>
  <c r="U486" i="6" s="1"/>
  <c r="G486" i="6"/>
  <c r="F482" i="6"/>
  <c r="H466" i="6"/>
  <c r="I466" i="6" s="1"/>
  <c r="G464" i="6"/>
  <c r="U464" i="6"/>
  <c r="AD464" i="6" s="1"/>
  <c r="F462" i="6"/>
  <c r="H458" i="6"/>
  <c r="I458" i="6"/>
  <c r="G456" i="6"/>
  <c r="U456" i="6" s="1"/>
  <c r="AD456" i="6" s="1"/>
  <c r="F454" i="6"/>
  <c r="H450" i="6"/>
  <c r="I450" i="6" s="1"/>
  <c r="G448" i="6"/>
  <c r="F446" i="6"/>
  <c r="U475" i="6"/>
  <c r="AD475" i="6"/>
  <c r="U426" i="6"/>
  <c r="AD426" i="6" s="1"/>
  <c r="G387" i="6"/>
  <c r="G379" i="6"/>
  <c r="G371" i="6"/>
  <c r="H319" i="6"/>
  <c r="I319" i="6" s="1"/>
  <c r="F304" i="6"/>
  <c r="H304" i="6"/>
  <c r="I304" i="6" s="1"/>
  <c r="F300" i="6"/>
  <c r="H300" i="6"/>
  <c r="I300" i="6" s="1"/>
  <c r="F298" i="6"/>
  <c r="H298" i="6"/>
  <c r="I298" i="6"/>
  <c r="F296" i="6"/>
  <c r="H296" i="6"/>
  <c r="I296" i="6"/>
  <c r="F294" i="6"/>
  <c r="H294" i="6"/>
  <c r="I294" i="6" s="1"/>
  <c r="F319" i="6"/>
  <c r="U171" i="6"/>
  <c r="U151" i="6"/>
  <c r="U147" i="6"/>
  <c r="G301" i="6"/>
  <c r="U316" i="6"/>
  <c r="AD316" i="6"/>
  <c r="U142" i="6"/>
  <c r="U126" i="6"/>
  <c r="U203" i="6"/>
  <c r="U223" i="6"/>
  <c r="U207" i="6"/>
  <c r="U43" i="6"/>
  <c r="K4" i="2"/>
  <c r="C7" i="2"/>
  <c r="AH7" i="2"/>
  <c r="B8" i="2"/>
  <c r="A3" i="2"/>
  <c r="D120" i="5"/>
  <c r="D118" i="5"/>
  <c r="D116" i="5"/>
  <c r="D114" i="5"/>
  <c r="D112" i="5"/>
  <c r="D119" i="5"/>
  <c r="D117" i="5"/>
  <c r="D115" i="5"/>
  <c r="D113" i="5"/>
  <c r="D111" i="5"/>
  <c r="D109" i="5"/>
  <c r="D105" i="5"/>
  <c r="D103" i="5"/>
  <c r="D101" i="5"/>
  <c r="D99" i="5"/>
  <c r="D97" i="5"/>
  <c r="D95" i="5"/>
  <c r="D93" i="5"/>
  <c r="D91" i="5"/>
  <c r="D110" i="5"/>
  <c r="D107" i="5"/>
  <c r="D106" i="5"/>
  <c r="D104" i="5"/>
  <c r="D102" i="5"/>
  <c r="D100" i="5"/>
  <c r="D98" i="5"/>
  <c r="D96" i="5"/>
  <c r="D94" i="5"/>
  <c r="D92" i="5"/>
  <c r="D90" i="5"/>
  <c r="D88" i="5"/>
  <c r="D108" i="5"/>
  <c r="D87" i="5"/>
  <c r="D86" i="5"/>
  <c r="D84" i="5"/>
  <c r="D82" i="5"/>
  <c r="D80" i="5"/>
  <c r="D78" i="5"/>
  <c r="D76" i="5"/>
  <c r="D74" i="5"/>
  <c r="D72" i="5"/>
  <c r="D70" i="5"/>
  <c r="D68" i="5"/>
  <c r="D66" i="5"/>
  <c r="D64" i="5"/>
  <c r="D62" i="5"/>
  <c r="D60" i="5"/>
  <c r="D56" i="5" a="1"/>
  <c r="D56" i="5" s="1"/>
  <c r="D54" i="5" a="1"/>
  <c r="D54" i="5" s="1"/>
  <c r="D52" i="5" a="1"/>
  <c r="D52" i="5" s="1"/>
  <c r="D50" i="5" a="1"/>
  <c r="D50" i="5" s="1"/>
  <c r="D89" i="5"/>
  <c r="D85" i="5"/>
  <c r="D83" i="5"/>
  <c r="D81" i="5"/>
  <c r="D79" i="5"/>
  <c r="D77" i="5"/>
  <c r="D75" i="5"/>
  <c r="D73" i="5"/>
  <c r="D71" i="5"/>
  <c r="D69" i="5"/>
  <c r="D67" i="5"/>
  <c r="D65" i="5"/>
  <c r="D63" i="5"/>
  <c r="D61" i="5"/>
  <c r="D55" i="5" a="1"/>
  <c r="D55" i="5" s="1"/>
  <c r="D53" i="5" a="1"/>
  <c r="D53" i="5" s="1"/>
  <c r="D51" i="5" a="1"/>
  <c r="D51" i="5" s="1"/>
  <c r="D48" i="5" a="1"/>
  <c r="D48" i="5" s="1"/>
  <c r="D49" i="5" a="1"/>
  <c r="D49" i="5" s="1"/>
  <c r="D26" i="5" a="1"/>
  <c r="D26" i="5" s="1"/>
  <c r="E3" i="5"/>
  <c r="D31" i="5" a="1"/>
  <c r="D31" i="5" s="1"/>
  <c r="D20" i="5" a="1"/>
  <c r="D20" i="5" s="1"/>
  <c r="D30" i="5" a="1"/>
  <c r="D30" i="5" s="1"/>
  <c r="D3" i="3"/>
  <c r="Q3" i="4"/>
  <c r="AD484" i="6"/>
  <c r="U40" i="6"/>
  <c r="U471" i="6"/>
  <c r="AD471" i="6"/>
  <c r="AD380" i="6"/>
  <c r="I6" i="6"/>
  <c r="U24" i="6"/>
  <c r="U62" i="6"/>
  <c r="U441" i="6"/>
  <c r="AD441" i="6"/>
  <c r="U384" i="6"/>
  <c r="AD384" i="6" s="1"/>
  <c r="U429" i="6"/>
  <c r="AD429" i="6"/>
  <c r="U472" i="6"/>
  <c r="AD472" i="6"/>
  <c r="U336" i="6"/>
  <c r="AD336" i="6"/>
  <c r="I330" i="6"/>
  <c r="U330" i="6"/>
  <c r="AD330" i="6" s="1"/>
  <c r="U318" i="6"/>
  <c r="AD318" i="6" s="1"/>
  <c r="U233" i="6"/>
  <c r="U83" i="6"/>
  <c r="AL84" i="7" s="1"/>
  <c r="I306" i="6"/>
  <c r="U81" i="6"/>
  <c r="U143" i="6"/>
  <c r="AL144" i="7" s="1"/>
  <c r="U251" i="6"/>
  <c r="AD251" i="6" s="1"/>
  <c r="AN252" i="7" s="1"/>
  <c r="U219" i="6"/>
  <c r="U153" i="6"/>
  <c r="AD153" i="6" s="1"/>
  <c r="U14" i="6"/>
  <c r="U283" i="6"/>
  <c r="U261" i="6"/>
  <c r="AD261" i="6" s="1"/>
  <c r="AN262" i="7" s="1"/>
  <c r="U181" i="6"/>
  <c r="U314" i="6"/>
  <c r="AD314" i="6"/>
  <c r="U404" i="6"/>
  <c r="AD404" i="6" s="1"/>
  <c r="U115" i="6"/>
  <c r="AL116" i="7" s="1"/>
  <c r="U118" i="6"/>
  <c r="U113" i="6"/>
  <c r="AL114" i="7" s="1"/>
  <c r="U93" i="6"/>
  <c r="U281" i="6"/>
  <c r="AD281" i="6" s="1"/>
  <c r="U211" i="6"/>
  <c r="AD211" i="6" s="1"/>
  <c r="U195" i="6"/>
  <c r="U174" i="6"/>
  <c r="U183" i="6"/>
  <c r="AL184" i="7" s="1"/>
  <c r="U144" i="6"/>
  <c r="U37" i="6"/>
  <c r="U41" i="6"/>
  <c r="U45" i="6"/>
  <c r="U18" i="6"/>
  <c r="U22" i="6"/>
  <c r="U134" i="6"/>
  <c r="AL135" i="7" s="1"/>
  <c r="U61" i="6"/>
  <c r="U54" i="6"/>
  <c r="U112" i="6"/>
  <c r="AD112" i="6" s="1"/>
  <c r="U241" i="6"/>
  <c r="U242" i="6"/>
  <c r="AD242" i="6" s="1"/>
  <c r="U222" i="6"/>
  <c r="AD222" i="6" s="1"/>
  <c r="AN223" i="7" s="1"/>
  <c r="U225" i="6"/>
  <c r="AD225" i="6" s="1"/>
  <c r="AN226" i="7" s="1"/>
  <c r="U180" i="6"/>
  <c r="AD180" i="6" s="1"/>
  <c r="U148" i="6"/>
  <c r="U38" i="6"/>
  <c r="U11" i="6"/>
  <c r="AL12" i="7" s="1"/>
  <c r="U23" i="6"/>
  <c r="U129" i="6"/>
  <c r="AL130" i="7" s="1"/>
  <c r="U48" i="6"/>
  <c r="AD48" i="6" s="1"/>
  <c r="AN49" i="7" s="1"/>
  <c r="U116" i="6"/>
  <c r="AL117" i="7" s="1"/>
  <c r="U179" i="6"/>
  <c r="AL180" i="7" s="1"/>
  <c r="U263" i="6"/>
  <c r="U239" i="6"/>
  <c r="AL240" i="7" s="1"/>
  <c r="U228" i="6"/>
  <c r="U187" i="6"/>
  <c r="AD187" i="6" s="1"/>
  <c r="U162" i="6"/>
  <c r="U149" i="6"/>
  <c r="AL150" i="7" s="1"/>
  <c r="U25" i="6"/>
  <c r="U29" i="6"/>
  <c r="U12" i="6"/>
  <c r="U84" i="6"/>
  <c r="AD84" i="6" s="1"/>
  <c r="U88" i="6"/>
  <c r="AL89" i="7" s="1"/>
  <c r="U193" i="6"/>
  <c r="U271" i="6"/>
  <c r="AD271" i="6" s="1"/>
  <c r="U246" i="6"/>
  <c r="U232" i="6"/>
  <c r="AD232" i="6" s="1"/>
  <c r="U201" i="6"/>
  <c r="U191" i="6"/>
  <c r="AL192" i="7" s="1"/>
  <c r="U150" i="6"/>
  <c r="U44" i="6"/>
  <c r="U30" i="6"/>
  <c r="U9" i="6"/>
  <c r="AD9" i="6" s="1"/>
  <c r="AN10" i="7" s="1"/>
  <c r="E132" i="5"/>
  <c r="E121" i="5"/>
  <c r="E123" i="5"/>
  <c r="E127" i="5"/>
  <c r="E129" i="5"/>
  <c r="E131" i="5"/>
  <c r="E124" i="5"/>
  <c r="E126" i="5"/>
  <c r="E128" i="5"/>
  <c r="AD377" i="6"/>
  <c r="AD405" i="6"/>
  <c r="O49" i="6"/>
  <c r="O169" i="6"/>
  <c r="T169" i="6" s="1"/>
  <c r="U169" i="6"/>
  <c r="AL170" i="7" s="1"/>
  <c r="O289" i="6"/>
  <c r="O50" i="6"/>
  <c r="T50" i="6"/>
  <c r="U50" i="6" s="1"/>
  <c r="O170" i="6"/>
  <c r="O290" i="6"/>
  <c r="T290" i="6"/>
  <c r="U290" i="6" s="1"/>
  <c r="O125" i="6"/>
  <c r="T125" i="6" s="1"/>
  <c r="O245" i="6"/>
  <c r="T245" i="6"/>
  <c r="O20" i="6"/>
  <c r="T20" i="6" s="1"/>
  <c r="O140" i="6"/>
  <c r="T140" i="6" s="1"/>
  <c r="O109" i="6"/>
  <c r="T109" i="6"/>
  <c r="O79" i="6"/>
  <c r="O215" i="6"/>
  <c r="T215" i="6" s="1"/>
  <c r="U215" i="6" s="1"/>
  <c r="O230" i="6"/>
  <c r="T230" i="6" s="1"/>
  <c r="U230" i="6"/>
  <c r="O65" i="6"/>
  <c r="T65" i="6" s="1"/>
  <c r="U65" i="6" s="1"/>
  <c r="AD65" i="6" s="1"/>
  <c r="O185" i="6"/>
  <c r="T185" i="6"/>
  <c r="O80" i="6"/>
  <c r="T80" i="6" s="1"/>
  <c r="U80" i="6" s="1"/>
  <c r="O200" i="6"/>
  <c r="T200" i="6"/>
  <c r="U436" i="6"/>
  <c r="AD436" i="6" s="1"/>
  <c r="U32" i="6"/>
  <c r="U131" i="6"/>
  <c r="AD131" i="6" s="1"/>
  <c r="AL132" i="7"/>
  <c r="U217" i="6"/>
  <c r="O35" i="6"/>
  <c r="T35" i="6"/>
  <c r="U35" i="6"/>
  <c r="AD35" i="6" s="1"/>
  <c r="AN36" i="7" s="1"/>
  <c r="O155" i="6"/>
  <c r="T155" i="6"/>
  <c r="O275" i="6"/>
  <c r="T275" i="6"/>
  <c r="O64" i="6"/>
  <c r="T64" i="6" s="1"/>
  <c r="O184" i="6"/>
  <c r="T184" i="6" s="1"/>
  <c r="Q19" i="6"/>
  <c r="O139" i="6"/>
  <c r="O259" i="6"/>
  <c r="O34" i="6"/>
  <c r="T34" i="6"/>
  <c r="O154" i="6"/>
  <c r="T154" i="6" s="1"/>
  <c r="O110" i="6"/>
  <c r="T110" i="6"/>
  <c r="O19" i="6"/>
  <c r="O229" i="6"/>
  <c r="T229" i="6"/>
  <c r="O124" i="6"/>
  <c r="T124" i="6"/>
  <c r="O244" i="6"/>
  <c r="T244" i="6"/>
  <c r="O199" i="6"/>
  <c r="O94" i="6"/>
  <c r="T94" i="6"/>
  <c r="O214" i="6"/>
  <c r="T214" i="6"/>
  <c r="U250" i="6"/>
  <c r="U247" i="6"/>
  <c r="AD247" i="6" s="1"/>
  <c r="AN248" i="7"/>
  <c r="U252" i="6"/>
  <c r="AD252" i="6" s="1"/>
  <c r="AN253" i="7" s="1"/>
  <c r="U227" i="6"/>
  <c r="AD227" i="6"/>
  <c r="AN228" i="7" s="1"/>
  <c r="U92" i="6"/>
  <c r="AD92" i="6"/>
  <c r="AN93" i="7"/>
  <c r="U123" i="6"/>
  <c r="AD123" i="6" s="1"/>
  <c r="AN124" i="7" s="1"/>
  <c r="U36" i="6"/>
  <c r="AD36" i="6"/>
  <c r="AN37" i="7" s="1"/>
  <c r="U238" i="6"/>
  <c r="AD90" i="6"/>
  <c r="AN91" i="7" s="1"/>
  <c r="U243" i="6"/>
  <c r="AD243" i="6" s="1"/>
  <c r="AN244" i="7"/>
  <c r="U269" i="6"/>
  <c r="AD269" i="6" s="1"/>
  <c r="AN270" i="7" s="1"/>
  <c r="U254" i="6"/>
  <c r="AD254" i="6"/>
  <c r="AN255" i="7"/>
  <c r="U15" i="6"/>
  <c r="AD15" i="6" s="1"/>
  <c r="AN16" i="7" s="1"/>
  <c r="U33" i="6"/>
  <c r="AL34" i="7"/>
  <c r="U156" i="6"/>
  <c r="AL157" i="7" s="1"/>
  <c r="U28" i="6"/>
  <c r="AD28" i="6" s="1"/>
  <c r="AN29" i="7" s="1"/>
  <c r="AD47" i="6"/>
  <c r="AN48" i="7"/>
  <c r="U87" i="6"/>
  <c r="AD87" i="6" s="1"/>
  <c r="AN88" i="7" s="1"/>
  <c r="U237" i="6"/>
  <c r="AD237" i="6" s="1"/>
  <c r="AN238" i="7" s="1"/>
  <c r="AL238" i="7"/>
  <c r="AD17" i="6"/>
  <c r="AN18" i="7" s="1"/>
  <c r="U52" i="6"/>
  <c r="AD52" i="6" s="1"/>
  <c r="AN53" i="7"/>
  <c r="U172" i="6"/>
  <c r="AL173" i="7" s="1"/>
  <c r="U234" i="6"/>
  <c r="AL235" i="7"/>
  <c r="U128" i="6"/>
  <c r="AD128" i="6" s="1"/>
  <c r="AN129" i="7" s="1"/>
  <c r="U167" i="6"/>
  <c r="AD167" i="6"/>
  <c r="AN168" i="7"/>
  <c r="U60" i="6"/>
  <c r="AD60" i="6" s="1"/>
  <c r="AN61" i="7" s="1"/>
  <c r="U253" i="6"/>
  <c r="AL254" i="7"/>
  <c r="U152" i="6"/>
  <c r="AD152" i="6"/>
  <c r="AN153" i="7"/>
  <c r="U86" i="6"/>
  <c r="AL87" i="7" s="1"/>
  <c r="U16" i="6"/>
  <c r="AL17" i="7" s="1"/>
  <c r="U46" i="6"/>
  <c r="AD46" i="6" s="1"/>
  <c r="AN47" i="7"/>
  <c r="U208" i="6"/>
  <c r="AD208" i="6" s="1"/>
  <c r="AN209" i="7" s="1"/>
  <c r="U209" i="6"/>
  <c r="AL210" i="7"/>
  <c r="U272" i="6"/>
  <c r="U224" i="6"/>
  <c r="U13" i="6"/>
  <c r="AL14" i="7"/>
  <c r="U39" i="6"/>
  <c r="AD39" i="6" s="1"/>
  <c r="AN40" i="7" s="1"/>
  <c r="AL83" i="7"/>
  <c r="U160" i="6"/>
  <c r="AD160" i="6"/>
  <c r="AN161" i="7" s="1"/>
  <c r="U51" i="6"/>
  <c r="AL52" i="7" s="1"/>
  <c r="U218" i="6"/>
  <c r="U282" i="6"/>
  <c r="U240" i="6"/>
  <c r="U258" i="6"/>
  <c r="U231" i="6"/>
  <c r="U226" i="6"/>
  <c r="U287" i="6"/>
  <c r="AL223" i="7"/>
  <c r="AL218" i="7"/>
  <c r="AD217" i="6"/>
  <c r="AN218" i="7" s="1"/>
  <c r="U454" i="6"/>
  <c r="AD454" i="6"/>
  <c r="U388" i="6"/>
  <c r="AD388" i="6" s="1"/>
  <c r="U449" i="6"/>
  <c r="AD449" i="6" s="1"/>
  <c r="U236" i="6"/>
  <c r="AL237" i="7" s="1"/>
  <c r="U457" i="6"/>
  <c r="AD457" i="6"/>
  <c r="U467" i="6"/>
  <c r="AD467" i="6" s="1"/>
  <c r="U463" i="6"/>
  <c r="AD463" i="6"/>
  <c r="U337" i="6"/>
  <c r="AD337" i="6" s="1"/>
  <c r="U352" i="6"/>
  <c r="AD352" i="6" s="1"/>
  <c r="U338" i="6"/>
  <c r="AD338" i="6" s="1"/>
  <c r="U444" i="6"/>
  <c r="AD444" i="6" s="1"/>
  <c r="U402" i="6"/>
  <c r="AD402" i="6" s="1"/>
  <c r="U480" i="6"/>
  <c r="AD480" i="6"/>
  <c r="U469" i="6"/>
  <c r="AD469" i="6" s="1"/>
  <c r="U332" i="6"/>
  <c r="AD332" i="6" s="1"/>
  <c r="U366" i="6"/>
  <c r="AD366" i="6" s="1"/>
  <c r="U421" i="6"/>
  <c r="AD421" i="6" s="1"/>
  <c r="U447" i="6"/>
  <c r="AD447" i="6" s="1"/>
  <c r="U270" i="6"/>
  <c r="U470" i="6"/>
  <c r="AD470" i="6" s="1"/>
  <c r="AD433" i="6"/>
  <c r="U495" i="6"/>
  <c r="AD495" i="6"/>
  <c r="AD489" i="6"/>
  <c r="U465" i="6"/>
  <c r="AD465" i="6"/>
  <c r="AD340" i="6"/>
  <c r="U357" i="6"/>
  <c r="AD357" i="6" s="1"/>
  <c r="U342" i="6"/>
  <c r="AD342" i="6" s="1"/>
  <c r="AD364" i="6"/>
  <c r="U371" i="6"/>
  <c r="AD371" i="6" s="1"/>
  <c r="U488" i="6"/>
  <c r="AD488" i="6" s="1"/>
  <c r="U493" i="6"/>
  <c r="AD493" i="6" s="1"/>
  <c r="U479" i="6"/>
  <c r="AD479" i="6" s="1"/>
  <c r="U278" i="6"/>
  <c r="AD278" i="6"/>
  <c r="AN279" i="7"/>
  <c r="U266" i="6"/>
  <c r="AL267" i="7" s="1"/>
  <c r="U401" i="6"/>
  <c r="AD401" i="6"/>
  <c r="U392" i="6"/>
  <c r="AD392" i="6" s="1"/>
  <c r="U326" i="6"/>
  <c r="AD326" i="6" s="1"/>
  <c r="U425" i="6"/>
  <c r="AD425" i="6" s="1"/>
  <c r="U446" i="6"/>
  <c r="AD446" i="6" s="1"/>
  <c r="U372" i="6"/>
  <c r="AD372" i="6"/>
  <c r="U376" i="6"/>
  <c r="AD376" i="6" s="1"/>
  <c r="U501" i="6"/>
  <c r="AD501" i="6"/>
  <c r="U497" i="6"/>
  <c r="AD497" i="6" s="1"/>
  <c r="U262" i="6"/>
  <c r="U333" i="6"/>
  <c r="AD333" i="6" s="1"/>
  <c r="AD323" i="6"/>
  <c r="U397" i="6"/>
  <c r="AD397" i="6" s="1"/>
  <c r="AD448" i="6"/>
  <c r="U498" i="6"/>
  <c r="AD498" i="6"/>
  <c r="U499" i="6"/>
  <c r="AD499" i="6"/>
  <c r="U286" i="6"/>
  <c r="AD286" i="6"/>
  <c r="AN287" i="7" s="1"/>
  <c r="U324" i="6"/>
  <c r="AD324" i="6" s="1"/>
  <c r="U428" i="6"/>
  <c r="AD428" i="6" s="1"/>
  <c r="U500" i="6"/>
  <c r="AD500" i="6" s="1"/>
  <c r="U490" i="6"/>
  <c r="AD490" i="6" s="1"/>
  <c r="U455" i="6"/>
  <c r="AD455" i="6"/>
  <c r="U307" i="6"/>
  <c r="AD307" i="6" s="1"/>
  <c r="U322" i="6"/>
  <c r="AD322" i="6" s="1"/>
  <c r="U294" i="6"/>
  <c r="AD294" i="6" s="1"/>
  <c r="U298" i="6"/>
  <c r="AD298" i="6" s="1"/>
  <c r="U387" i="6"/>
  <c r="AD387" i="6" s="1"/>
  <c r="U503" i="6"/>
  <c r="AD503" i="6"/>
  <c r="U458" i="6"/>
  <c r="AD458" i="6" s="1"/>
  <c r="U483" i="6"/>
  <c r="AD483" i="6"/>
  <c r="U413" i="6"/>
  <c r="AD413" i="6" s="1"/>
  <c r="U417" i="6"/>
  <c r="AD417" i="6" s="1"/>
  <c r="U305" i="6"/>
  <c r="AD305" i="6" s="1"/>
  <c r="U299" i="6"/>
  <c r="AD299" i="6" s="1"/>
  <c r="U505" i="6"/>
  <c r="AD505" i="6" s="1"/>
  <c r="U379" i="6"/>
  <c r="AD379" i="6"/>
  <c r="U450" i="6"/>
  <c r="AD450" i="6" s="1"/>
  <c r="U492" i="6"/>
  <c r="AD492" i="6"/>
  <c r="U452" i="6"/>
  <c r="AD452" i="6" s="1"/>
  <c r="U276" i="6"/>
  <c r="U390" i="6"/>
  <c r="AD390" i="6"/>
  <c r="AD486" i="6"/>
  <c r="U466" i="6"/>
  <c r="AD466" i="6"/>
  <c r="U311" i="6"/>
  <c r="AD311" i="6"/>
  <c r="U284" i="6"/>
  <c r="AD494" i="6"/>
  <c r="U291" i="6"/>
  <c r="AD288" i="6"/>
  <c r="AN289" i="7" s="1"/>
  <c r="AL289" i="7"/>
  <c r="AD283" i="6"/>
  <c r="AN284" i="7"/>
  <c r="AL284" i="7"/>
  <c r="AN282" i="7"/>
  <c r="AL282" i="7"/>
  <c r="AD279" i="6"/>
  <c r="AN280" i="7" s="1"/>
  <c r="AL280" i="7"/>
  <c r="AN266" i="7"/>
  <c r="AL266" i="7"/>
  <c r="AD263" i="6"/>
  <c r="AN264" i="7" s="1"/>
  <c r="AL264" i="7"/>
  <c r="AD273" i="6"/>
  <c r="AN274" i="7" s="1"/>
  <c r="AL262" i="7"/>
  <c r="AN272" i="7"/>
  <c r="AD256" i="6"/>
  <c r="AN257" i="7" s="1"/>
  <c r="AL257" i="7"/>
  <c r="U248" i="6"/>
  <c r="AD257" i="6"/>
  <c r="AN258" i="7" s="1"/>
  <c r="AL258" i="7"/>
  <c r="AD253" i="6"/>
  <c r="AN254" i="7" s="1"/>
  <c r="AL252" i="7"/>
  <c r="AD246" i="6"/>
  <c r="AN247" i="7" s="1"/>
  <c r="AL247" i="7"/>
  <c r="AD255" i="6"/>
  <c r="AN256" i="7"/>
  <c r="AL256" i="7"/>
  <c r="AD249" i="6"/>
  <c r="AN250" i="7" s="1"/>
  <c r="AL250" i="7"/>
  <c r="AN243" i="7"/>
  <c r="AL243" i="7"/>
  <c r="AD233" i="6"/>
  <c r="AN234" i="7" s="1"/>
  <c r="AL234" i="7"/>
  <c r="AD239" i="6"/>
  <c r="AN240" i="7"/>
  <c r="AD241" i="6"/>
  <c r="AN242" i="7" s="1"/>
  <c r="AL242" i="7"/>
  <c r="AN233" i="7"/>
  <c r="AL233" i="7"/>
  <c r="AD228" i="6"/>
  <c r="AN229" i="7"/>
  <c r="AL229" i="7"/>
  <c r="AD223" i="6"/>
  <c r="AN224" i="7"/>
  <c r="AL224" i="7"/>
  <c r="U220" i="6"/>
  <c r="AL226" i="7"/>
  <c r="AD219" i="6"/>
  <c r="AN220" i="7" s="1"/>
  <c r="AL220" i="7"/>
  <c r="AD207" i="6"/>
  <c r="AN208" i="7"/>
  <c r="AL208" i="7"/>
  <c r="AD203" i="6"/>
  <c r="AN204" i="7" s="1"/>
  <c r="AL204" i="7"/>
  <c r="AN212" i="7"/>
  <c r="AL212" i="7"/>
  <c r="AD205" i="6"/>
  <c r="AN206" i="7" s="1"/>
  <c r="AL206" i="7"/>
  <c r="AD201" i="6"/>
  <c r="AN202" i="7" s="1"/>
  <c r="AL202" i="7"/>
  <c r="AD206" i="6"/>
  <c r="AN207" i="7"/>
  <c r="AL207" i="7"/>
  <c r="AD202" i="6"/>
  <c r="AN203" i="7"/>
  <c r="AD195" i="6"/>
  <c r="AN196" i="7" s="1"/>
  <c r="AL196" i="7"/>
  <c r="AD188" i="6"/>
  <c r="AN189" i="7"/>
  <c r="AL189" i="7"/>
  <c r="AD193" i="6"/>
  <c r="AN194" i="7" s="1"/>
  <c r="AL194" i="7"/>
  <c r="AD192" i="6"/>
  <c r="AN193" i="7"/>
  <c r="AL193" i="7"/>
  <c r="U194" i="6"/>
  <c r="AD197" i="6"/>
  <c r="AN198" i="7"/>
  <c r="AL198" i="7"/>
  <c r="AN188" i="7"/>
  <c r="AL188" i="7"/>
  <c r="U186" i="6"/>
  <c r="AD183" i="6"/>
  <c r="AN184" i="7" s="1"/>
  <c r="AD174" i="6"/>
  <c r="AN175" i="7"/>
  <c r="AL175" i="7"/>
  <c r="AD171" i="6"/>
  <c r="AN172" i="7" s="1"/>
  <c r="AL172" i="7"/>
  <c r="AD176" i="6"/>
  <c r="AN177" i="7"/>
  <c r="AN181" i="7"/>
  <c r="AL181" i="7"/>
  <c r="AD181" i="6"/>
  <c r="AN182" i="7" s="1"/>
  <c r="AL182" i="7"/>
  <c r="AD179" i="6"/>
  <c r="AN180" i="7"/>
  <c r="AD164" i="6"/>
  <c r="AN165" i="7"/>
  <c r="AL165" i="7"/>
  <c r="AD162" i="6"/>
  <c r="AN163" i="7" s="1"/>
  <c r="AL163" i="7"/>
  <c r="AD151" i="6"/>
  <c r="AN152" i="7" s="1"/>
  <c r="AL152" i="7"/>
  <c r="AD150" i="6"/>
  <c r="AN151" i="7"/>
  <c r="AL151" i="7"/>
  <c r="AL153" i="7"/>
  <c r="U145" i="6"/>
  <c r="AD149" i="6"/>
  <c r="AN150" i="7" s="1"/>
  <c r="AD141" i="6"/>
  <c r="AN142" i="7"/>
  <c r="AL142" i="7"/>
  <c r="AN154" i="7"/>
  <c r="AL154" i="7"/>
  <c r="AD142" i="6"/>
  <c r="AN143" i="7" s="1"/>
  <c r="AL143" i="7"/>
  <c r="AD143" i="6"/>
  <c r="AN144" i="7" s="1"/>
  <c r="AD144" i="6"/>
  <c r="AN145" i="7"/>
  <c r="AL145" i="7"/>
  <c r="AD147" i="6"/>
  <c r="AN148" i="7"/>
  <c r="AL148" i="7"/>
  <c r="AD148" i="6"/>
  <c r="AN149" i="7" s="1"/>
  <c r="AL149" i="7"/>
  <c r="AD129" i="6"/>
  <c r="AN130" i="7"/>
  <c r="AD137" i="6"/>
  <c r="AN138" i="7" s="1"/>
  <c r="AL138" i="7"/>
  <c r="AN132" i="7"/>
  <c r="AD130" i="6"/>
  <c r="AN131" i="7" s="1"/>
  <c r="AN133" i="7"/>
  <c r="AL133" i="7"/>
  <c r="AD126" i="6"/>
  <c r="AN127" i="7" s="1"/>
  <c r="AL127" i="7"/>
  <c r="AD134" i="6"/>
  <c r="AN135" i="7"/>
  <c r="AD116" i="6"/>
  <c r="AN117" i="7" s="1"/>
  <c r="AN120" i="7"/>
  <c r="AL120" i="7"/>
  <c r="AD118" i="6"/>
  <c r="AN119" i="7" s="1"/>
  <c r="AL119" i="7"/>
  <c r="U121" i="6"/>
  <c r="AD120" i="6"/>
  <c r="AN121" i="7" s="1"/>
  <c r="AL121" i="7"/>
  <c r="AD113" i="6"/>
  <c r="AN114" i="7"/>
  <c r="AN113" i="7"/>
  <c r="AL113" i="7"/>
  <c r="AD115" i="6"/>
  <c r="AN116" i="7" s="1"/>
  <c r="AD114" i="6"/>
  <c r="AN115" i="7"/>
  <c r="AL115" i="7"/>
  <c r="AD98" i="6"/>
  <c r="AN99" i="7"/>
  <c r="AL99" i="7"/>
  <c r="AD99" i="6"/>
  <c r="AN100" i="7" s="1"/>
  <c r="AL100" i="7"/>
  <c r="AD107" i="6"/>
  <c r="AN108" i="7" s="1"/>
  <c r="AL108" i="7"/>
  <c r="AD103" i="6"/>
  <c r="AN104" i="7"/>
  <c r="AL104" i="7"/>
  <c r="AD93" i="6"/>
  <c r="AN94" i="7" s="1"/>
  <c r="AL94" i="7"/>
  <c r="AD88" i="6"/>
  <c r="AN89" i="7"/>
  <c r="AD81" i="6"/>
  <c r="AN82" i="7" s="1"/>
  <c r="AL82" i="7"/>
  <c r="AN85" i="7"/>
  <c r="AL85" i="7"/>
  <c r="AD83" i="6"/>
  <c r="AN84" i="7" s="1"/>
  <c r="AL91" i="7"/>
  <c r="AD82" i="6"/>
  <c r="AN83" i="7" s="1"/>
  <c r="AD89" i="6"/>
  <c r="AN90" i="7"/>
  <c r="AL90" i="7"/>
  <c r="AD91" i="6"/>
  <c r="AN92" i="7" s="1"/>
  <c r="AL92" i="7"/>
  <c r="AD67" i="6"/>
  <c r="AN68" i="7"/>
  <c r="AL68" i="7"/>
  <c r="AD76" i="6"/>
  <c r="AN77" i="7" s="1"/>
  <c r="AL77" i="7"/>
  <c r="AD75" i="6"/>
  <c r="AN76" i="7" s="1"/>
  <c r="AL76" i="7"/>
  <c r="AD74" i="6"/>
  <c r="AN75" i="7"/>
  <c r="AL75" i="7"/>
  <c r="AD70" i="6"/>
  <c r="AN71" i="7" s="1"/>
  <c r="AL71" i="7"/>
  <c r="AD61" i="6"/>
  <c r="AN62" i="7"/>
  <c r="AL62" i="7"/>
  <c r="AD57" i="6"/>
  <c r="AN58" i="7"/>
  <c r="AL58" i="7"/>
  <c r="AD56" i="6"/>
  <c r="AN57" i="7" s="1"/>
  <c r="AL57" i="7"/>
  <c r="AD59" i="6"/>
  <c r="AN60" i="7"/>
  <c r="AL60" i="7"/>
  <c r="AD55" i="6"/>
  <c r="AN56" i="7"/>
  <c r="AL56" i="7"/>
  <c r="AL61" i="7"/>
  <c r="AD54" i="6"/>
  <c r="AN55" i="7"/>
  <c r="AL55" i="7"/>
  <c r="AD62" i="6"/>
  <c r="AN63" i="7" s="1"/>
  <c r="AL63" i="7"/>
  <c r="AD37" i="6"/>
  <c r="AN38" i="7"/>
  <c r="AL38" i="7"/>
  <c r="AD45" i="6"/>
  <c r="AN46" i="7"/>
  <c r="AL46" i="7"/>
  <c r="AD44" i="6"/>
  <c r="AN45" i="7" s="1"/>
  <c r="AL45" i="7"/>
  <c r="AD41" i="6"/>
  <c r="AN42" i="7"/>
  <c r="AL42" i="7"/>
  <c r="AD38" i="6"/>
  <c r="AN39" i="7"/>
  <c r="AL39" i="7"/>
  <c r="AL48" i="7"/>
  <c r="AL49" i="7"/>
  <c r="AD43" i="6"/>
  <c r="AN44" i="7" s="1"/>
  <c r="AL44" i="7"/>
  <c r="AD40" i="6"/>
  <c r="AN41" i="7" s="1"/>
  <c r="AL41" i="7"/>
  <c r="AD31" i="6"/>
  <c r="AN32" i="7"/>
  <c r="AL32" i="7"/>
  <c r="AD25" i="6"/>
  <c r="AN26" i="7"/>
  <c r="AL26" i="7"/>
  <c r="AD30" i="6"/>
  <c r="AN31" i="7" s="1"/>
  <c r="AL31" i="7"/>
  <c r="AD32" i="6"/>
  <c r="AN33" i="7"/>
  <c r="AL33" i="7"/>
  <c r="AD29" i="6"/>
  <c r="AN30" i="7"/>
  <c r="AL30" i="7"/>
  <c r="AD7" i="6"/>
  <c r="AN8" i="7" s="1"/>
  <c r="AL8" i="7"/>
  <c r="AL16" i="7"/>
  <c r="AD23" i="6"/>
  <c r="AN24" i="7" s="1"/>
  <c r="AL24" i="7"/>
  <c r="AD12" i="6"/>
  <c r="AN13" i="7"/>
  <c r="AL13" i="7"/>
  <c r="AL10" i="7"/>
  <c r="AL18" i="7"/>
  <c r="AD14" i="6"/>
  <c r="AN15" i="7"/>
  <c r="AL15" i="7"/>
  <c r="AD22" i="6"/>
  <c r="AN23" i="7" s="1"/>
  <c r="AL23" i="7"/>
  <c r="AD11" i="6"/>
  <c r="AN12" i="7" s="1"/>
  <c r="AD8" i="6"/>
  <c r="AN9" i="7"/>
  <c r="AL9" i="7"/>
  <c r="AD24" i="6"/>
  <c r="AN25" i="7"/>
  <c r="AL25" i="7"/>
  <c r="AD13" i="6"/>
  <c r="AN14" i="7" s="1"/>
  <c r="AD21" i="6"/>
  <c r="AN22" i="7"/>
  <c r="AL22" i="7"/>
  <c r="AD18" i="6"/>
  <c r="AN19" i="7" s="1"/>
  <c r="AL19" i="7"/>
  <c r="E120" i="5"/>
  <c r="E118" i="5"/>
  <c r="E116" i="5"/>
  <c r="E114" i="5"/>
  <c r="E112" i="5"/>
  <c r="E110" i="5"/>
  <c r="E108" i="5"/>
  <c r="E119" i="5"/>
  <c r="E117" i="5"/>
  <c r="E115" i="5"/>
  <c r="E113" i="5"/>
  <c r="E111" i="5"/>
  <c r="E109" i="5"/>
  <c r="E107" i="5"/>
  <c r="E106" i="5"/>
  <c r="E104" i="5"/>
  <c r="E102" i="5"/>
  <c r="E100" i="5"/>
  <c r="E98" i="5"/>
  <c r="E96" i="5"/>
  <c r="E94" i="5"/>
  <c r="E92" i="5"/>
  <c r="E90" i="5"/>
  <c r="E88" i="5"/>
  <c r="E105" i="5"/>
  <c r="E103" i="5"/>
  <c r="E101" i="5"/>
  <c r="E99" i="5"/>
  <c r="E97" i="5"/>
  <c r="E95" i="5"/>
  <c r="E93" i="5"/>
  <c r="E91" i="5"/>
  <c r="E89" i="5"/>
  <c r="E87" i="5"/>
  <c r="E86" i="5"/>
  <c r="E84" i="5"/>
  <c r="E82" i="5"/>
  <c r="E80" i="5"/>
  <c r="E78" i="5"/>
  <c r="E76" i="5"/>
  <c r="E74" i="5"/>
  <c r="E72" i="5"/>
  <c r="E70" i="5"/>
  <c r="E68" i="5"/>
  <c r="E66" i="5"/>
  <c r="E64" i="5"/>
  <c r="E62" i="5"/>
  <c r="E55" i="5" a="1"/>
  <c r="E55" i="5" s="1"/>
  <c r="E53" i="5" a="1"/>
  <c r="E53" i="5" s="1"/>
  <c r="E51" i="5" a="1"/>
  <c r="E51" i="5" s="1"/>
  <c r="E85" i="5"/>
  <c r="E83" i="5"/>
  <c r="E81" i="5"/>
  <c r="E79" i="5"/>
  <c r="E77" i="5"/>
  <c r="E75" i="5"/>
  <c r="E73" i="5"/>
  <c r="E71" i="5"/>
  <c r="E69" i="5"/>
  <c r="E67" i="5"/>
  <c r="E65" i="5"/>
  <c r="E63" i="5"/>
  <c r="E61" i="5"/>
  <c r="E56" i="5" a="1"/>
  <c r="E56" i="5" s="1"/>
  <c r="E54" i="5" a="1"/>
  <c r="E54" i="5" s="1"/>
  <c r="E52" i="5" a="1"/>
  <c r="E52" i="5" s="1"/>
  <c r="E50" i="5" a="1"/>
  <c r="E50" i="5" s="1"/>
  <c r="E49" i="5" a="1"/>
  <c r="E49" i="5" s="1"/>
  <c r="E60" i="5"/>
  <c r="E48" i="5" a="1"/>
  <c r="E48" i="5" s="1"/>
  <c r="E31" i="5" a="1"/>
  <c r="E31" i="5" s="1"/>
  <c r="E30" i="5" a="1"/>
  <c r="E30" i="5" s="1"/>
  <c r="E26" i="5" a="1"/>
  <c r="E26" i="5" s="1"/>
  <c r="E20" i="5" a="1"/>
  <c r="E20" i="5" s="1"/>
  <c r="F3" i="5"/>
  <c r="E3" i="3"/>
  <c r="R3" i="4"/>
  <c r="D133" i="5"/>
  <c r="D24" i="3" s="1"/>
  <c r="B9" i="2"/>
  <c r="C8" i="2"/>
  <c r="AH8" i="2"/>
  <c r="T8" i="2" s="1"/>
  <c r="U462" i="6"/>
  <c r="AD462" i="6"/>
  <c r="U301" i="6"/>
  <c r="AD301" i="6" s="1"/>
  <c r="U445" i="6"/>
  <c r="AD445" i="6"/>
  <c r="U383" i="6"/>
  <c r="AD383" i="6" s="1"/>
  <c r="U173" i="6"/>
  <c r="U386" i="6"/>
  <c r="AD386" i="6" s="1"/>
  <c r="U389" i="6"/>
  <c r="AD389" i="6" s="1"/>
  <c r="U7" i="2"/>
  <c r="A4" i="2"/>
  <c r="U177" i="6"/>
  <c r="U460" i="6"/>
  <c r="AD460" i="6"/>
  <c r="J3" i="4"/>
  <c r="E3" i="4"/>
  <c r="C3" i="4"/>
  <c r="U297" i="6"/>
  <c r="AD297" i="6" s="1"/>
  <c r="U451" i="6"/>
  <c r="AD451" i="6"/>
  <c r="U485" i="6"/>
  <c r="AD485" i="6" s="1"/>
  <c r="U319" i="6"/>
  <c r="AD319" i="6"/>
  <c r="U292" i="6"/>
  <c r="U296" i="6"/>
  <c r="AD296" i="6" s="1"/>
  <c r="U300" i="6"/>
  <c r="AD300" i="6" s="1"/>
  <c r="U370" i="6"/>
  <c r="AD370" i="6" s="1"/>
  <c r="U58" i="6"/>
  <c r="U157" i="6"/>
  <c r="U158" i="6"/>
  <c r="U190" i="6"/>
  <c r="U393" i="6"/>
  <c r="AD393" i="6"/>
  <c r="U459" i="6"/>
  <c r="AD459" i="6" s="1"/>
  <c r="U502" i="6"/>
  <c r="AD502" i="6"/>
  <c r="Q23" i="4"/>
  <c r="Q22" i="4"/>
  <c r="Q21" i="4"/>
  <c r="Q20" i="4"/>
  <c r="Q19" i="4"/>
  <c r="Q18" i="4"/>
  <c r="Q17" i="4"/>
  <c r="Q16" i="4"/>
  <c r="Q15" i="4"/>
  <c r="Q13" i="4"/>
  <c r="Q11" i="4"/>
  <c r="Q9" i="4"/>
  <c r="Q7" i="4"/>
  <c r="Q6" i="4"/>
  <c r="Q5" i="4"/>
  <c r="Q14" i="4"/>
  <c r="Q12" i="4"/>
  <c r="Q10" i="4"/>
  <c r="Q8" i="4"/>
  <c r="Q4" i="4"/>
  <c r="U482" i="6"/>
  <c r="AD482" i="6" s="1"/>
  <c r="U161" i="6"/>
  <c r="U295" i="6"/>
  <c r="AD295" i="6" s="1"/>
  <c r="U146" i="6"/>
  <c r="U178" i="6"/>
  <c r="U303" i="6"/>
  <c r="AD303" i="6" s="1"/>
  <c r="U491" i="6"/>
  <c r="AD491" i="6"/>
  <c r="U135" i="6"/>
  <c r="AD135" i="6" s="1"/>
  <c r="AN136" i="7" s="1"/>
  <c r="U293" i="6"/>
  <c r="U302" i="6"/>
  <c r="AD302" i="6" s="1"/>
  <c r="U496" i="6"/>
  <c r="AD496" i="6"/>
  <c r="F9" i="2"/>
  <c r="F10" i="2" s="1"/>
  <c r="F11" i="2" s="1"/>
  <c r="U166" i="6"/>
  <c r="AD166" i="6" s="1"/>
  <c r="AN167" i="7" s="1"/>
  <c r="U198" i="6"/>
  <c r="U381" i="6"/>
  <c r="AD381" i="6" s="1"/>
  <c r="AD86" i="6"/>
  <c r="AN87" i="7"/>
  <c r="AD156" i="6"/>
  <c r="AN157" i="7" s="1"/>
  <c r="AL248" i="7"/>
  <c r="AD16" i="6"/>
  <c r="AN17" i="7" s="1"/>
  <c r="AL129" i="7"/>
  <c r="AL255" i="7"/>
  <c r="T19" i="6"/>
  <c r="AD230" i="6"/>
  <c r="AN231" i="7" s="1"/>
  <c r="AL231" i="7"/>
  <c r="U200" i="6"/>
  <c r="U245" i="6"/>
  <c r="AD51" i="6"/>
  <c r="AN52" i="7" s="1"/>
  <c r="AL168" i="7"/>
  <c r="T259" i="6"/>
  <c r="U259" i="6" s="1"/>
  <c r="AD259" i="6" s="1"/>
  <c r="AN260" i="7" s="1"/>
  <c r="T49" i="6"/>
  <c r="U49" i="6"/>
  <c r="AL29" i="7"/>
  <c r="AL37" i="7"/>
  <c r="AL228" i="7"/>
  <c r="AL244" i="7"/>
  <c r="U124" i="6"/>
  <c r="AD124" i="6" s="1"/>
  <c r="AN125" i="7" s="1"/>
  <c r="T199" i="6"/>
  <c r="U199" i="6" s="1"/>
  <c r="AL200" i="7" s="1"/>
  <c r="T139" i="6"/>
  <c r="U139" i="6"/>
  <c r="U229" i="6"/>
  <c r="AD229" i="6" s="1"/>
  <c r="AN230" i="7" s="1"/>
  <c r="U125" i="6"/>
  <c r="T79" i="6"/>
  <c r="T170" i="6"/>
  <c r="U170" i="6"/>
  <c r="T289" i="6"/>
  <c r="U289" i="6" s="1"/>
  <c r="F126" i="5"/>
  <c r="F128" i="5"/>
  <c r="F130" i="5"/>
  <c r="F121" i="5"/>
  <c r="F123" i="5"/>
  <c r="F125" i="5"/>
  <c r="F127" i="5"/>
  <c r="F129" i="5"/>
  <c r="F131" i="5"/>
  <c r="F122" i="5"/>
  <c r="F124" i="5"/>
  <c r="F132" i="5"/>
  <c r="AL253" i="7"/>
  <c r="AD209" i="6"/>
  <c r="AN210" i="7"/>
  <c r="AD172" i="6"/>
  <c r="AN173" i="7" s="1"/>
  <c r="AL47" i="7"/>
  <c r="AL230" i="7"/>
  <c r="AD200" i="6"/>
  <c r="AN201" i="7" s="1"/>
  <c r="AL201" i="7"/>
  <c r="AD125" i="6"/>
  <c r="AN126" i="7" s="1"/>
  <c r="AL126" i="7"/>
  <c r="AD33" i="6"/>
  <c r="AN34" i="7" s="1"/>
  <c r="AD234" i="6"/>
  <c r="AN235" i="7"/>
  <c r="AD250" i="6"/>
  <c r="AN251" i="7" s="1"/>
  <c r="AL251" i="7"/>
  <c r="U94" i="6"/>
  <c r="U64" i="6"/>
  <c r="AL161" i="7"/>
  <c r="AD169" i="6"/>
  <c r="AN170" i="7" s="1"/>
  <c r="AL270" i="7"/>
  <c r="U214" i="6"/>
  <c r="U34" i="6"/>
  <c r="U109" i="6"/>
  <c r="U140" i="6"/>
  <c r="AL36" i="7"/>
  <c r="U185" i="6"/>
  <c r="AL40" i="7"/>
  <c r="AL53" i="7"/>
  <c r="AL93" i="7"/>
  <c r="AL88" i="7"/>
  <c r="AL124" i="7"/>
  <c r="AL239" i="7"/>
  <c r="AD238" i="6"/>
  <c r="AN239" i="7" s="1"/>
  <c r="AD272" i="6"/>
  <c r="AN273" i="7"/>
  <c r="AL273" i="7"/>
  <c r="AD224" i="6"/>
  <c r="AN225" i="7"/>
  <c r="AL225" i="7"/>
  <c r="AD231" i="6"/>
  <c r="AN232" i="7" s="1"/>
  <c r="AL232" i="7"/>
  <c r="AL283" i="7"/>
  <c r="AD282" i="6"/>
  <c r="AN283" i="7" s="1"/>
  <c r="AD258" i="6"/>
  <c r="AN259" i="7" s="1"/>
  <c r="AL259" i="7"/>
  <c r="AD218" i="6"/>
  <c r="AN219" i="7" s="1"/>
  <c r="AL219" i="7"/>
  <c r="AD287" i="6"/>
  <c r="AN288" i="7"/>
  <c r="AL288" i="7"/>
  <c r="AD240" i="6"/>
  <c r="AN241" i="7" s="1"/>
  <c r="AL241" i="7"/>
  <c r="AD226" i="6"/>
  <c r="AN227" i="7" s="1"/>
  <c r="AL227" i="7"/>
  <c r="AL279" i="7"/>
  <c r="AL287" i="7"/>
  <c r="AD266" i="6"/>
  <c r="AN267" i="7"/>
  <c r="AL271" i="7"/>
  <c r="AD270" i="6"/>
  <c r="AN271" i="7" s="1"/>
  <c r="AD262" i="6"/>
  <c r="AN263" i="7" s="1"/>
  <c r="AL263" i="7"/>
  <c r="AD276" i="6"/>
  <c r="AN277" i="7"/>
  <c r="AL277" i="7"/>
  <c r="AD284" i="6"/>
  <c r="AN285" i="7" s="1"/>
  <c r="AL285" i="7"/>
  <c r="AD293" i="6"/>
  <c r="AN294" i="7" s="1"/>
  <c r="AL294" i="7"/>
  <c r="AD292" i="6"/>
  <c r="AN293" i="7" s="1"/>
  <c r="AL293" i="7"/>
  <c r="AD291" i="6"/>
  <c r="AN292" i="7"/>
  <c r="AL292" i="7"/>
  <c r="AD248" i="6"/>
  <c r="AN249" i="7" s="1"/>
  <c r="AL249" i="7"/>
  <c r="AD220" i="6"/>
  <c r="AN221" i="7"/>
  <c r="AL221" i="7"/>
  <c r="AD190" i="6"/>
  <c r="AN191" i="7" s="1"/>
  <c r="AL191" i="7"/>
  <c r="AD186" i="6"/>
  <c r="AN187" i="7" s="1"/>
  <c r="AL187" i="7"/>
  <c r="AD194" i="6"/>
  <c r="AN195" i="7" s="1"/>
  <c r="AL195" i="7"/>
  <c r="AD198" i="6"/>
  <c r="AN199" i="7"/>
  <c r="AL199" i="7"/>
  <c r="AD178" i="6"/>
  <c r="AN179" i="7" s="1"/>
  <c r="AL179" i="7"/>
  <c r="AD177" i="6"/>
  <c r="AN178" i="7" s="1"/>
  <c r="AL178" i="7"/>
  <c r="AD173" i="6"/>
  <c r="AN174" i="7"/>
  <c r="AL174" i="7"/>
  <c r="AL167" i="7"/>
  <c r="AD157" i="6"/>
  <c r="AN158" i="7" s="1"/>
  <c r="AL158" i="7"/>
  <c r="AD161" i="6"/>
  <c r="AN162" i="7"/>
  <c r="AL162" i="7"/>
  <c r="AD158" i="6"/>
  <c r="AN159" i="7" s="1"/>
  <c r="AL159" i="7"/>
  <c r="AD146" i="6"/>
  <c r="AN147" i="7" s="1"/>
  <c r="AL147" i="7"/>
  <c r="AD145" i="6"/>
  <c r="AN146" i="7"/>
  <c r="AL146" i="7"/>
  <c r="AL136" i="7"/>
  <c r="AD121" i="6"/>
  <c r="AN122" i="7" s="1"/>
  <c r="AL122" i="7"/>
  <c r="AD58" i="6"/>
  <c r="AN59" i="7" s="1"/>
  <c r="AL59" i="7"/>
  <c r="K3" i="4"/>
  <c r="F3" i="4"/>
  <c r="R23" i="4"/>
  <c r="R22" i="4"/>
  <c r="R21" i="4"/>
  <c r="R20" i="4"/>
  <c r="R19" i="4"/>
  <c r="R18" i="4"/>
  <c r="R17" i="4"/>
  <c r="R16" i="4"/>
  <c r="R15" i="4"/>
  <c r="R14" i="4"/>
  <c r="R13" i="4"/>
  <c r="R12" i="4"/>
  <c r="R11" i="4"/>
  <c r="R10" i="4"/>
  <c r="R9" i="4"/>
  <c r="R8" i="4"/>
  <c r="R7" i="4"/>
  <c r="R6" i="4"/>
  <c r="R5" i="4"/>
  <c r="R4" i="4"/>
  <c r="K7" i="2"/>
  <c r="B10" i="2"/>
  <c r="C9" i="2"/>
  <c r="AH9" i="2"/>
  <c r="F148" i="5"/>
  <c r="F141" i="5"/>
  <c r="F142" i="5"/>
  <c r="F139" i="5"/>
  <c r="F135" i="5"/>
  <c r="F119" i="5"/>
  <c r="F117" i="5"/>
  <c r="F115" i="5"/>
  <c r="F113" i="5"/>
  <c r="F111" i="5"/>
  <c r="F144" i="5"/>
  <c r="F140" i="5"/>
  <c r="F138" i="5"/>
  <c r="F136" i="5"/>
  <c r="F120" i="5"/>
  <c r="F118" i="5"/>
  <c r="F116" i="5"/>
  <c r="F114" i="5"/>
  <c r="F112" i="5"/>
  <c r="F110" i="5"/>
  <c r="F106" i="5"/>
  <c r="F104" i="5"/>
  <c r="F102" i="5"/>
  <c r="F100" i="5"/>
  <c r="F98" i="5"/>
  <c r="F96" i="5"/>
  <c r="F94" i="5"/>
  <c r="F92" i="5"/>
  <c r="F107" i="5"/>
  <c r="F108" i="5"/>
  <c r="F105" i="5"/>
  <c r="F103" i="5"/>
  <c r="F101" i="5"/>
  <c r="F99" i="5"/>
  <c r="F97" i="5"/>
  <c r="F95" i="5"/>
  <c r="F93" i="5"/>
  <c r="F91" i="5"/>
  <c r="F89" i="5"/>
  <c r="F87" i="5"/>
  <c r="F109" i="5"/>
  <c r="F88" i="5"/>
  <c r="F85" i="5"/>
  <c r="F83" i="5"/>
  <c r="F81" i="5"/>
  <c r="F79" i="5"/>
  <c r="F77" i="5"/>
  <c r="F75" i="5"/>
  <c r="F73" i="5"/>
  <c r="F71" i="5"/>
  <c r="F69" i="5"/>
  <c r="F67" i="5"/>
  <c r="F65" i="5"/>
  <c r="F63" i="5"/>
  <c r="F61" i="5"/>
  <c r="F56" i="5" a="1"/>
  <c r="F56" i="5" s="1"/>
  <c r="F54" i="5" a="1"/>
  <c r="F54" i="5" s="1"/>
  <c r="F52" i="5" a="1"/>
  <c r="F52" i="5" s="1"/>
  <c r="F50" i="5" a="1"/>
  <c r="F50" i="5" s="1"/>
  <c r="F90" i="5"/>
  <c r="F86" i="5"/>
  <c r="F84" i="5"/>
  <c r="F82" i="5"/>
  <c r="F80" i="5"/>
  <c r="F78" i="5"/>
  <c r="F76" i="5"/>
  <c r="F74" i="5"/>
  <c r="F72" i="5"/>
  <c r="F70" i="5"/>
  <c r="F68" i="5"/>
  <c r="F66" i="5"/>
  <c r="F64" i="5"/>
  <c r="F62" i="5"/>
  <c r="F60" i="5"/>
  <c r="F55" i="5" a="1"/>
  <c r="F55" i="5" s="1"/>
  <c r="F53" i="5" a="1"/>
  <c r="F53" i="5" s="1"/>
  <c r="F51" i="5" a="1"/>
  <c r="F51" i="5" s="1"/>
  <c r="F48" i="5" a="1"/>
  <c r="F48" i="5" s="1"/>
  <c r="F49" i="5" a="1"/>
  <c r="F49" i="5" s="1"/>
  <c r="F30" i="5" a="1"/>
  <c r="F30" i="5" s="1"/>
  <c r="F20" i="5" a="1"/>
  <c r="F20" i="5" s="1"/>
  <c r="F26" i="5" a="1"/>
  <c r="F26" i="5" s="1"/>
  <c r="G3" i="5"/>
  <c r="F31" i="5" a="1"/>
  <c r="F31" i="5" s="1"/>
  <c r="S3" i="4"/>
  <c r="F3" i="3"/>
  <c r="U6" i="6"/>
  <c r="AL125" i="7"/>
  <c r="AD139" i="6"/>
  <c r="AN140" i="7" s="1"/>
  <c r="AL140" i="7"/>
  <c r="AD199" i="6"/>
  <c r="AN200" i="7"/>
  <c r="AD49" i="6"/>
  <c r="AN50" i="7"/>
  <c r="AL50" i="7"/>
  <c r="AL260" i="7"/>
  <c r="AD170" i="6"/>
  <c r="AN171" i="7" s="1"/>
  <c r="AL171" i="7"/>
  <c r="AD245" i="6"/>
  <c r="AN246" i="7"/>
  <c r="AL246" i="7"/>
  <c r="G122" i="5"/>
  <c r="G130" i="5"/>
  <c r="G132" i="5"/>
  <c r="G125" i="5"/>
  <c r="AD64" i="6"/>
  <c r="AN65" i="7"/>
  <c r="AL65" i="7"/>
  <c r="AD185" i="6"/>
  <c r="AN186" i="7"/>
  <c r="AL186" i="7"/>
  <c r="AL110" i="7"/>
  <c r="AD109" i="6"/>
  <c r="AN110" i="7"/>
  <c r="AL35" i="7"/>
  <c r="AD34" i="6"/>
  <c r="AN35" i="7" s="1"/>
  <c r="AN66" i="7"/>
  <c r="AL66" i="7"/>
  <c r="U19" i="6"/>
  <c r="AL95" i="7"/>
  <c r="AD94" i="6"/>
  <c r="AN95" i="7"/>
  <c r="AD140" i="6"/>
  <c r="AN141" i="7"/>
  <c r="AL141" i="7"/>
  <c r="AD214" i="6"/>
  <c r="AN215" i="7"/>
  <c r="AL215" i="7"/>
  <c r="L3" i="4"/>
  <c r="G3" i="4"/>
  <c r="B11" i="2"/>
  <c r="C10" i="2"/>
  <c r="AH10" i="2"/>
  <c r="T10" i="2" s="1"/>
  <c r="S22" i="4"/>
  <c r="S21" i="4"/>
  <c r="S18" i="4"/>
  <c r="S14" i="4"/>
  <c r="S13" i="4"/>
  <c r="S10" i="4"/>
  <c r="S7" i="4"/>
  <c r="S6" i="4"/>
  <c r="S5" i="4"/>
  <c r="G145" i="5"/>
  <c r="G143" i="5"/>
  <c r="G146" i="5"/>
  <c r="G142" i="5"/>
  <c r="G137" i="5"/>
  <c r="G135" i="5"/>
  <c r="G115" i="5"/>
  <c r="G113" i="5"/>
  <c r="G111" i="5"/>
  <c r="G140" i="5"/>
  <c r="G138" i="5"/>
  <c r="G120" i="5"/>
  <c r="G116" i="5"/>
  <c r="G112" i="5"/>
  <c r="G110" i="5"/>
  <c r="G103" i="5"/>
  <c r="G101" i="5"/>
  <c r="G99" i="5"/>
  <c r="G93" i="5"/>
  <c r="G91" i="5"/>
  <c r="G89" i="5"/>
  <c r="G87" i="5"/>
  <c r="G106" i="5"/>
  <c r="G104" i="5"/>
  <c r="G102" i="5"/>
  <c r="G100" i="5"/>
  <c r="G98" i="5"/>
  <c r="G96" i="5"/>
  <c r="G94" i="5"/>
  <c r="G92" i="5"/>
  <c r="G90" i="5"/>
  <c r="G88" i="5"/>
  <c r="G85" i="5"/>
  <c r="G83" i="5"/>
  <c r="G81" i="5"/>
  <c r="G79" i="5"/>
  <c r="G77" i="5"/>
  <c r="G75" i="5"/>
  <c r="G73" i="5"/>
  <c r="G71" i="5"/>
  <c r="G69" i="5"/>
  <c r="G67" i="5"/>
  <c r="G65" i="5"/>
  <c r="G63" i="5"/>
  <c r="G61" i="5"/>
  <c r="G55" i="5" a="1"/>
  <c r="G55" i="5" s="1"/>
  <c r="G53" i="5" a="1"/>
  <c r="G53" i="5" s="1"/>
  <c r="G51" i="5" a="1"/>
  <c r="G51" i="5" s="1"/>
  <c r="G86" i="5"/>
  <c r="G84" i="5"/>
  <c r="G82" i="5"/>
  <c r="G80" i="5"/>
  <c r="G78" i="5"/>
  <c r="G76" i="5"/>
  <c r="G74" i="5"/>
  <c r="G72" i="5"/>
  <c r="G70" i="5"/>
  <c r="G68" i="5"/>
  <c r="G66" i="5"/>
  <c r="G64" i="5"/>
  <c r="G62" i="5"/>
  <c r="G60" i="5"/>
  <c r="G56" i="5" a="1"/>
  <c r="G56" i="5" s="1"/>
  <c r="G54" i="5" a="1"/>
  <c r="G54" i="5" s="1"/>
  <c r="G52" i="5" a="1"/>
  <c r="G52" i="5" s="1"/>
  <c r="G50" i="5" a="1"/>
  <c r="G50" i="5" s="1"/>
  <c r="G49" i="5" a="1"/>
  <c r="G49" i="5" s="1"/>
  <c r="G48" i="5" a="1"/>
  <c r="G48" i="5" s="1"/>
  <c r="G26" i="5" a="1"/>
  <c r="G26" i="5" s="1"/>
  <c r="H3" i="5"/>
  <c r="H126" i="5" s="1"/>
  <c r="G31" i="5" a="1"/>
  <c r="G31" i="5" s="1"/>
  <c r="G30" i="5" a="1"/>
  <c r="G30" i="5" s="1"/>
  <c r="G20" i="5" a="1"/>
  <c r="G20" i="5" s="1"/>
  <c r="T3" i="4"/>
  <c r="T23" i="4" s="1"/>
  <c r="G3" i="3"/>
  <c r="Z7" i="2"/>
  <c r="H122" i="5"/>
  <c r="H121" i="5"/>
  <c r="H130" i="5"/>
  <c r="AL20" i="7"/>
  <c r="AD19" i="6"/>
  <c r="AN20" i="7"/>
  <c r="F12" i="2"/>
  <c r="B12" i="2"/>
  <c r="B13" i="2" s="1"/>
  <c r="C13" i="2" s="1"/>
  <c r="C11" i="2"/>
  <c r="AH11" i="2"/>
  <c r="M7" i="2"/>
  <c r="AA7" i="2" s="1"/>
  <c r="L7" i="2" s="1"/>
  <c r="M3" i="4"/>
  <c r="H3" i="4"/>
  <c r="T21" i="4"/>
  <c r="T17" i="4"/>
  <c r="T13" i="4"/>
  <c r="T9" i="4"/>
  <c r="T6" i="4"/>
  <c r="H142" i="5"/>
  <c r="H138" i="5"/>
  <c r="H116" i="5"/>
  <c r="H148" i="5"/>
  <c r="H119" i="5"/>
  <c r="H111" i="5"/>
  <c r="H101" i="5"/>
  <c r="H93" i="5"/>
  <c r="H109" i="5"/>
  <c r="H100" i="5"/>
  <c r="H92" i="5"/>
  <c r="H89" i="5"/>
  <c r="H80" i="5"/>
  <c r="H72" i="5"/>
  <c r="H64" i="5"/>
  <c r="H54" i="5" a="1"/>
  <c r="H54" i="5" s="1"/>
  <c r="H83" i="5"/>
  <c r="H75" i="5"/>
  <c r="H67" i="5"/>
  <c r="H55" i="5" a="1"/>
  <c r="H55" i="5" s="1"/>
  <c r="H49" i="5" a="1"/>
  <c r="H49" i="5" s="1"/>
  <c r="H31" i="5" a="1"/>
  <c r="H31" i="5" s="1"/>
  <c r="H30" i="5" a="1"/>
  <c r="H30" i="5" s="1"/>
  <c r="H3" i="3"/>
  <c r="C12" i="2"/>
  <c r="AH12" i="2"/>
  <c r="T12" i="2" s="1"/>
  <c r="N3" i="4"/>
  <c r="B14" i="2"/>
  <c r="AH13" i="2"/>
  <c r="AH14" i="2"/>
  <c r="AH15" i="2"/>
  <c r="AH17" i="2"/>
  <c r="AH18" i="2"/>
  <c r="T18" i="2" s="1"/>
  <c r="AH20" i="2"/>
  <c r="AH21" i="2"/>
  <c r="AH23" i="2"/>
  <c r="AH24" i="2"/>
  <c r="T24" i="2" s="1"/>
  <c r="AH26" i="2"/>
  <c r="AH27" i="2"/>
  <c r="AH29" i="2"/>
  <c r="AH30" i="2"/>
  <c r="AH32" i="2"/>
  <c r="AH33" i="2"/>
  <c r="AH35" i="2"/>
  <c r="AH36" i="2"/>
  <c r="T36" i="2" s="1"/>
  <c r="AH38" i="2"/>
  <c r="T39" i="2" s="1"/>
  <c r="Y39" i="2" s="1"/>
  <c r="AH39" i="2"/>
  <c r="AH41" i="2"/>
  <c r="AH42" i="2"/>
  <c r="T42" i="2" s="1"/>
  <c r="V42" i="2" s="1"/>
  <c r="AH44" i="2"/>
  <c r="AH45" i="2"/>
  <c r="AH47" i="2"/>
  <c r="AH48" i="2"/>
  <c r="AH50" i="2"/>
  <c r="AH51" i="2"/>
  <c r="AH53" i="2"/>
  <c r="AH54" i="2"/>
  <c r="AH56" i="2"/>
  <c r="AH57" i="2"/>
  <c r="AH59" i="2"/>
  <c r="AH60" i="2"/>
  <c r="AH62" i="2"/>
  <c r="AH63" i="2"/>
  <c r="AH65" i="2"/>
  <c r="AH66" i="2"/>
  <c r="T66" i="2" s="1"/>
  <c r="T60" i="2" l="1"/>
  <c r="Y60" i="2" s="1"/>
  <c r="T63" i="2"/>
  <c r="Y63" i="2" s="1"/>
  <c r="T57" i="2"/>
  <c r="Y57" i="2" s="1"/>
  <c r="T51" i="2"/>
  <c r="Y51" i="2" s="1"/>
  <c r="T45" i="2"/>
  <c r="V45" i="2" s="1"/>
  <c r="T54" i="2"/>
  <c r="Y42" i="2"/>
  <c r="T33" i="2"/>
  <c r="Y33" i="2" s="1"/>
  <c r="T27" i="2"/>
  <c r="V27" i="2" s="1"/>
  <c r="T21" i="2"/>
  <c r="V21" i="2" s="1"/>
  <c r="T15" i="2"/>
  <c r="V15" i="2" s="1"/>
  <c r="T9" i="2"/>
  <c r="AH16" i="2"/>
  <c r="T16" i="2" s="1"/>
  <c r="V16" i="2" s="1"/>
  <c r="AC16" i="2" s="1"/>
  <c r="D19" i="2"/>
  <c r="T17" i="2"/>
  <c r="V17" i="2" s="1"/>
  <c r="T14" i="2"/>
  <c r="V14" i="2" s="1"/>
  <c r="T11" i="2"/>
  <c r="V57" i="2"/>
  <c r="T48" i="2"/>
  <c r="Y48" i="2" s="1"/>
  <c r="Y24" i="2"/>
  <c r="V24" i="2"/>
  <c r="V18" i="2"/>
  <c r="Y18" i="2"/>
  <c r="Y45" i="2"/>
  <c r="Y17" i="2"/>
  <c r="Y15" i="2"/>
  <c r="Y36" i="2"/>
  <c r="V36" i="2"/>
  <c r="V63" i="2"/>
  <c r="V39" i="2"/>
  <c r="T30" i="2"/>
  <c r="Y16" i="2"/>
  <c r="V51" i="2"/>
  <c r="Y66" i="2"/>
  <c r="V66" i="2"/>
  <c r="Y54" i="2"/>
  <c r="V54" i="2"/>
  <c r="Y27" i="2"/>
  <c r="Y14" i="2"/>
  <c r="Y21" i="2"/>
  <c r="C14" i="2"/>
  <c r="B15" i="2"/>
  <c r="V10" i="2"/>
  <c r="Y10" i="2"/>
  <c r="V12" i="2"/>
  <c r="Y12" i="2"/>
  <c r="U3" i="4"/>
  <c r="H26" i="5" a="1"/>
  <c r="H26" i="5" s="1"/>
  <c r="H53" i="5" a="1"/>
  <c r="H53" i="5" s="1"/>
  <c r="H65" i="5"/>
  <c r="H73" i="5"/>
  <c r="H81" i="5"/>
  <c r="H52" i="5" a="1"/>
  <c r="H52" i="5" s="1"/>
  <c r="H62" i="5"/>
  <c r="H70" i="5"/>
  <c r="H78" i="5"/>
  <c r="H86" i="5"/>
  <c r="H90" i="5"/>
  <c r="H98" i="5"/>
  <c r="H106" i="5"/>
  <c r="H91" i="5"/>
  <c r="H99" i="5"/>
  <c r="H107" i="5"/>
  <c r="H117" i="5"/>
  <c r="H139" i="5"/>
  <c r="H114" i="5"/>
  <c r="H136" i="5"/>
  <c r="H141" i="5"/>
  <c r="T5" i="4"/>
  <c r="T8" i="4"/>
  <c r="T12" i="4"/>
  <c r="T16" i="4"/>
  <c r="T20" i="4"/>
  <c r="H127" i="5"/>
  <c r="H123" i="5"/>
  <c r="H124" i="5"/>
  <c r="S20" i="4"/>
  <c r="S16" i="4"/>
  <c r="S12" i="4"/>
  <c r="S8" i="4"/>
  <c r="S4" i="4"/>
  <c r="S23" i="4"/>
  <c r="S19" i="4"/>
  <c r="S15" i="4"/>
  <c r="S11" i="4"/>
  <c r="G126" i="5"/>
  <c r="G121" i="5"/>
  <c r="G129" i="5"/>
  <c r="G141" i="5"/>
  <c r="G139" i="5"/>
  <c r="G117" i="5"/>
  <c r="G109" i="5"/>
  <c r="G136" i="5"/>
  <c r="G114" i="5"/>
  <c r="G105" i="5"/>
  <c r="G97" i="5"/>
  <c r="G147" i="5"/>
  <c r="G128" i="5"/>
  <c r="G123" i="5"/>
  <c r="G131" i="5"/>
  <c r="AL81" i="7"/>
  <c r="AD80" i="6"/>
  <c r="AN81" i="7" s="1"/>
  <c r="AL7" i="7"/>
  <c r="AD6" i="6"/>
  <c r="H20" i="5" a="1"/>
  <c r="H20" i="5" s="1"/>
  <c r="H48" i="5" a="1"/>
  <c r="H48" i="5" s="1"/>
  <c r="H61" i="5"/>
  <c r="H69" i="5"/>
  <c r="H77" i="5"/>
  <c r="H85" i="5"/>
  <c r="H56" i="5" a="1"/>
  <c r="H56" i="5" s="1"/>
  <c r="H66" i="5"/>
  <c r="H74" i="5"/>
  <c r="H82" i="5"/>
  <c r="H87" i="5"/>
  <c r="H94" i="5"/>
  <c r="H102" i="5"/>
  <c r="H108" i="5"/>
  <c r="H95" i="5"/>
  <c r="H103" i="5"/>
  <c r="H113" i="5"/>
  <c r="H135" i="5"/>
  <c r="H145" i="5"/>
  <c r="H118" i="5"/>
  <c r="H140" i="5"/>
  <c r="H144" i="5"/>
  <c r="T4" i="4"/>
  <c r="T10" i="4"/>
  <c r="T14" i="4"/>
  <c r="T18" i="4"/>
  <c r="T22" i="4"/>
  <c r="H132" i="5"/>
  <c r="H131" i="5"/>
  <c r="H128" i="5"/>
  <c r="H147" i="5"/>
  <c r="AD289" i="6"/>
  <c r="AN290" i="7" s="1"/>
  <c r="AL290" i="7"/>
  <c r="Y8" i="2"/>
  <c r="V8" i="2"/>
  <c r="AD215" i="6"/>
  <c r="AN216" i="7" s="1"/>
  <c r="AL216" i="7"/>
  <c r="AD50" i="6"/>
  <c r="AN51" i="7" s="1"/>
  <c r="AL51" i="7"/>
  <c r="T13" i="2"/>
  <c r="I3" i="5"/>
  <c r="H51" i="5" a="1"/>
  <c r="H51" i="5" s="1"/>
  <c r="H63" i="5"/>
  <c r="H71" i="5"/>
  <c r="H79" i="5"/>
  <c r="H50" i="5" a="1"/>
  <c r="H50" i="5" s="1"/>
  <c r="H60" i="5"/>
  <c r="H68" i="5"/>
  <c r="H76" i="5"/>
  <c r="H84" i="5"/>
  <c r="H88" i="5"/>
  <c r="H96" i="5"/>
  <c r="H104" i="5"/>
  <c r="H110" i="5"/>
  <c r="H97" i="5"/>
  <c r="H105" i="5"/>
  <c r="H115" i="5"/>
  <c r="H137" i="5"/>
  <c r="H112" i="5"/>
  <c r="H120" i="5"/>
  <c r="H143" i="5"/>
  <c r="H146" i="5"/>
  <c r="T7" i="4"/>
  <c r="T11" i="4"/>
  <c r="T15" i="4"/>
  <c r="T19" i="4"/>
  <c r="H125" i="5"/>
  <c r="H129" i="5"/>
  <c r="G95" i="5"/>
  <c r="G108" i="5"/>
  <c r="G118" i="5"/>
  <c r="G107" i="5"/>
  <c r="G119" i="5"/>
  <c r="G144" i="5"/>
  <c r="G148" i="5"/>
  <c r="G149" i="5" s="1"/>
  <c r="G25" i="3" s="1"/>
  <c r="S9" i="4"/>
  <c r="S17" i="4"/>
  <c r="G127" i="5"/>
  <c r="G124" i="5"/>
  <c r="AD290" i="6"/>
  <c r="AN291" i="7" s="1"/>
  <c r="AL291" i="7"/>
  <c r="U244" i="6"/>
  <c r="U27" i="6"/>
  <c r="AD191" i="6"/>
  <c r="AN192" i="7" s="1"/>
  <c r="AL272" i="7"/>
  <c r="AD236" i="6"/>
  <c r="AN237" i="7" s="1"/>
  <c r="AL209" i="7"/>
  <c r="U20" i="6"/>
  <c r="E130" i="5"/>
  <c r="E125" i="5"/>
  <c r="E122" i="5"/>
  <c r="U395" i="6"/>
  <c r="AD395" i="6" s="1"/>
  <c r="U399" i="6"/>
  <c r="AD399" i="6" s="1"/>
  <c r="U154" i="6"/>
  <c r="G343" i="6"/>
  <c r="H343" i="6"/>
  <c r="I343" i="6" s="1"/>
  <c r="F343" i="6"/>
  <c r="U343" i="6" s="1"/>
  <c r="AD343" i="6" s="1"/>
  <c r="G368" i="6"/>
  <c r="F368" i="6"/>
  <c r="F382" i="6"/>
  <c r="G382" i="6"/>
  <c r="H353" i="6"/>
  <c r="I353" i="6" s="1"/>
  <c r="F353" i="6"/>
  <c r="G353" i="6"/>
  <c r="G334" i="6"/>
  <c r="H334" i="6"/>
  <c r="I334" i="6" s="1"/>
  <c r="F477" i="6"/>
  <c r="G477" i="6"/>
  <c r="H477" i="6"/>
  <c r="I477" i="6" s="1"/>
  <c r="H443" i="6"/>
  <c r="I443" i="6" s="1"/>
  <c r="G443" i="6"/>
  <c r="F487" i="6"/>
  <c r="U487" i="6" s="1"/>
  <c r="AD487" i="6" s="1"/>
  <c r="G378" i="6"/>
  <c r="F378" i="6"/>
  <c r="H373" i="6"/>
  <c r="I373" i="6" s="1"/>
  <c r="G304" i="6"/>
  <c r="U304" i="6" s="1"/>
  <c r="AD304" i="6" s="1"/>
  <c r="H362" i="6"/>
  <c r="G317" i="6"/>
  <c r="U317" i="6" s="1"/>
  <c r="AD317" i="6" s="1"/>
  <c r="H361" i="6"/>
  <c r="I361" i="6" s="1"/>
  <c r="F361" i="6"/>
  <c r="U361" i="6" s="1"/>
  <c r="AD361" i="6" s="1"/>
  <c r="H345" i="6"/>
  <c r="I345" i="6" s="1"/>
  <c r="F345" i="6"/>
  <c r="H468" i="6"/>
  <c r="I468" i="6" s="1"/>
  <c r="G468" i="6"/>
  <c r="U468" i="6" s="1"/>
  <c r="AD468" i="6" s="1"/>
  <c r="F418" i="6"/>
  <c r="F414" i="6"/>
  <c r="G96" i="6"/>
  <c r="F96" i="6"/>
  <c r="H403" i="6"/>
  <c r="I403" i="6" s="1"/>
  <c r="F403" i="6"/>
  <c r="H360" i="6"/>
  <c r="I360" i="6" s="1"/>
  <c r="F360" i="6"/>
  <c r="G360" i="6"/>
  <c r="H349" i="6"/>
  <c r="I349" i="6" s="1"/>
  <c r="G349" i="6"/>
  <c r="F349" i="6"/>
  <c r="U349" i="6" s="1"/>
  <c r="AD349" i="6" s="1"/>
  <c r="G437" i="6"/>
  <c r="U437" i="6" s="1"/>
  <c r="AD437" i="6" s="1"/>
  <c r="F430" i="6"/>
  <c r="U430" i="6" s="1"/>
  <c r="AD430" i="6" s="1"/>
  <c r="H424" i="6"/>
  <c r="F275" i="6"/>
  <c r="H275" i="6"/>
  <c r="I275" i="6" s="1"/>
  <c r="BN20" i="5" a="1"/>
  <c r="BN20" i="5" s="1"/>
  <c r="C20" i="5" s="1"/>
  <c r="P10" i="6"/>
  <c r="M10" i="6"/>
  <c r="J26" i="6"/>
  <c r="P26" i="6"/>
  <c r="Q26" i="6" s="1"/>
  <c r="R63" i="6"/>
  <c r="J63" i="6"/>
  <c r="M63" i="6"/>
  <c r="K63" i="6"/>
  <c r="L63" i="6" s="1"/>
  <c r="M69" i="6"/>
  <c r="J69" i="6"/>
  <c r="G69" i="6" s="1"/>
  <c r="P69" i="6"/>
  <c r="Q69" i="6" s="1"/>
  <c r="K72" i="6"/>
  <c r="L72" i="6" s="1"/>
  <c r="H72" i="6" s="1"/>
  <c r="I72" i="6" s="1"/>
  <c r="J72" i="6"/>
  <c r="J95" i="6"/>
  <c r="K95" i="6"/>
  <c r="L95" i="6" s="1"/>
  <c r="F95" i="6" s="1"/>
  <c r="R95" i="6"/>
  <c r="M95" i="6"/>
  <c r="P101" i="6"/>
  <c r="Q101" i="6" s="1"/>
  <c r="K101" i="6"/>
  <c r="L101" i="6" s="1"/>
  <c r="H101" i="6" s="1"/>
  <c r="I101" i="6" s="1"/>
  <c r="J101" i="6"/>
  <c r="M101" i="6"/>
  <c r="J127" i="6"/>
  <c r="R127" i="6"/>
  <c r="K127" i="6"/>
  <c r="L127" i="6" s="1"/>
  <c r="M127" i="6"/>
  <c r="J133" i="6"/>
  <c r="M133" i="6"/>
  <c r="P133" i="6"/>
  <c r="Q133" i="6" s="1"/>
  <c r="K133" i="6"/>
  <c r="L133" i="6" s="1"/>
  <c r="J159" i="6"/>
  <c r="P159" i="6"/>
  <c r="Q159" i="6" s="1"/>
  <c r="M159" i="6"/>
  <c r="K159" i="6"/>
  <c r="L159" i="6" s="1"/>
  <c r="M165" i="6"/>
  <c r="P165" i="6"/>
  <c r="Q165" i="6" s="1"/>
  <c r="K165" i="6"/>
  <c r="L165" i="6" s="1"/>
  <c r="J165" i="6"/>
  <c r="R168" i="6"/>
  <c r="J168" i="6"/>
  <c r="K168" i="6"/>
  <c r="L168" i="6" s="1"/>
  <c r="P204" i="6"/>
  <c r="Q204" i="6" s="1"/>
  <c r="K204" i="6"/>
  <c r="L204" i="6" s="1"/>
  <c r="P210" i="6"/>
  <c r="Q210" i="6" s="1"/>
  <c r="J210" i="6"/>
  <c r="J213" i="6"/>
  <c r="R213" i="6"/>
  <c r="K213" i="6"/>
  <c r="L213" i="6" s="1"/>
  <c r="K221" i="6"/>
  <c r="L221" i="6" s="1"/>
  <c r="J221" i="6"/>
  <c r="M221" i="6"/>
  <c r="J260" i="6"/>
  <c r="F260" i="6" s="1"/>
  <c r="M277" i="6"/>
  <c r="K277" i="6"/>
  <c r="L277" i="6" s="1"/>
  <c r="J280" i="6"/>
  <c r="M280" i="6"/>
  <c r="M285" i="6"/>
  <c r="P285" i="6"/>
  <c r="Q285" i="6" s="1"/>
  <c r="K285" i="6"/>
  <c r="L285" i="6" s="1"/>
  <c r="T182" i="6"/>
  <c r="U182" i="6" s="1"/>
  <c r="F66" i="6"/>
  <c r="U66" i="6" s="1"/>
  <c r="F106" i="6"/>
  <c r="U106" i="6" s="1"/>
  <c r="H108" i="6"/>
  <c r="I108" i="6" s="1"/>
  <c r="G108" i="6"/>
  <c r="U108" i="6" s="1"/>
  <c r="H102" i="6"/>
  <c r="H474" i="6"/>
  <c r="F78" i="6"/>
  <c r="G306" i="6"/>
  <c r="U306" i="6" s="1"/>
  <c r="AD306" i="6" s="1"/>
  <c r="H335" i="6"/>
  <c r="G313" i="6"/>
  <c r="U313" i="6" s="1"/>
  <c r="AD313" i="6" s="1"/>
  <c r="G478" i="6"/>
  <c r="U478" i="6" s="1"/>
  <c r="AD478" i="6" s="1"/>
  <c r="H427" i="6"/>
  <c r="H399" i="6"/>
  <c r="I399" i="6" s="1"/>
  <c r="F422" i="6"/>
  <c r="U422" i="6" s="1"/>
  <c r="AD422" i="6" s="1"/>
  <c r="H435" i="6"/>
  <c r="I435" i="6" s="1"/>
  <c r="H442" i="6"/>
  <c r="I442" i="6" s="1"/>
  <c r="H434" i="6"/>
  <c r="I434" i="6" s="1"/>
  <c r="H363" i="6"/>
  <c r="I363" i="6" s="1"/>
  <c r="F351" i="6"/>
  <c r="U351" i="6" s="1"/>
  <c r="AD351" i="6" s="1"/>
  <c r="F344" i="6"/>
  <c r="G339" i="6"/>
  <c r="U339" i="6" s="1"/>
  <c r="AD339" i="6" s="1"/>
  <c r="F310" i="6"/>
  <c r="U310" i="6" s="1"/>
  <c r="AD310" i="6" s="1"/>
  <c r="AC506" i="6"/>
  <c r="M396" i="6"/>
  <c r="M394" i="6"/>
  <c r="H394" i="6" s="1"/>
  <c r="I394" i="6" s="1"/>
  <c r="F367" i="6"/>
  <c r="U367" i="6" s="1"/>
  <c r="AD367" i="6" s="1"/>
  <c r="G363" i="6"/>
  <c r="G359" i="6"/>
  <c r="U359" i="6" s="1"/>
  <c r="AD359" i="6" s="1"/>
  <c r="F356" i="6"/>
  <c r="U356" i="6" s="1"/>
  <c r="AD356" i="6" s="1"/>
  <c r="F346" i="6"/>
  <c r="U346" i="6" s="1"/>
  <c r="AD346" i="6" s="1"/>
  <c r="H422" i="6"/>
  <c r="I422" i="6" s="1"/>
  <c r="H416" i="6"/>
  <c r="H408" i="6"/>
  <c r="F267" i="6"/>
  <c r="G106" i="6"/>
  <c r="F184" i="6"/>
  <c r="K280" i="6"/>
  <c r="L280" i="6" s="1"/>
  <c r="K274" i="6"/>
  <c r="L274" i="6" s="1"/>
  <c r="R260" i="6"/>
  <c r="J216" i="6"/>
  <c r="M210" i="6"/>
  <c r="M204" i="6"/>
  <c r="P196" i="6"/>
  <c r="Q196" i="6" s="1"/>
  <c r="M168" i="6"/>
  <c r="K136" i="6"/>
  <c r="L136" i="6" s="1"/>
  <c r="K104" i="6"/>
  <c r="L104" i="6" s="1"/>
  <c r="F104" i="6" s="1"/>
  <c r="K42" i="6"/>
  <c r="L42" i="6" s="1"/>
  <c r="M26" i="6"/>
  <c r="J10" i="6"/>
  <c r="J277" i="6"/>
  <c r="P221" i="6"/>
  <c r="Q221" i="6" s="1"/>
  <c r="T212" i="6"/>
  <c r="U212" i="6" s="1"/>
  <c r="F68" i="6"/>
  <c r="U68" i="6" s="1"/>
  <c r="G97" i="6"/>
  <c r="F189" i="6"/>
  <c r="G321" i="6"/>
  <c r="G344" i="6"/>
  <c r="F321" i="6"/>
  <c r="U321" i="6" s="1"/>
  <c r="AD321" i="6" s="1"/>
  <c r="F420" i="6"/>
  <c r="U420" i="6" s="1"/>
  <c r="AD420" i="6" s="1"/>
  <c r="F398" i="6"/>
  <c r="U398" i="6" s="1"/>
  <c r="AD398" i="6" s="1"/>
  <c r="M391" i="6"/>
  <c r="H367" i="6"/>
  <c r="I367" i="6" s="1"/>
  <c r="K407" i="6"/>
  <c r="L407" i="6" s="1"/>
  <c r="H407" i="6" s="1"/>
  <c r="I407" i="6" s="1"/>
  <c r="G415" i="6"/>
  <c r="U415" i="6" s="1"/>
  <c r="AD415" i="6" s="1"/>
  <c r="H410" i="6"/>
  <c r="J407" i="6"/>
  <c r="H400" i="6"/>
  <c r="J391" i="6"/>
  <c r="R274" i="6"/>
  <c r="J268" i="6"/>
  <c r="K210" i="6"/>
  <c r="L210" i="6" s="1"/>
  <c r="J136" i="6"/>
  <c r="J104" i="6"/>
  <c r="H96" i="6"/>
  <c r="I96" i="6" s="1"/>
  <c r="M72" i="6"/>
  <c r="F72" i="6" s="1"/>
  <c r="G68" i="6"/>
  <c r="J285" i="6"/>
  <c r="R277" i="6"/>
  <c r="G267" i="6"/>
  <c r="T122" i="6"/>
  <c r="U122" i="6" s="1"/>
  <c r="G184" i="6"/>
  <c r="T63" i="6"/>
  <c r="T138" i="6"/>
  <c r="U138" i="6" s="1"/>
  <c r="H110" i="6"/>
  <c r="G275" i="6"/>
  <c r="F97" i="6"/>
  <c r="U97" i="6" s="1"/>
  <c r="G414" i="6"/>
  <c r="F406" i="6"/>
  <c r="U406" i="6" s="1"/>
  <c r="AD406" i="6" s="1"/>
  <c r="H347" i="6"/>
  <c r="H418" i="6"/>
  <c r="I418" i="6" s="1"/>
  <c r="H406" i="6"/>
  <c r="I406" i="6" s="1"/>
  <c r="H395" i="6"/>
  <c r="I395" i="6" s="1"/>
  <c r="F434" i="6"/>
  <c r="U434" i="6" s="1"/>
  <c r="AD434" i="6" s="1"/>
  <c r="G375" i="6"/>
  <c r="U375" i="6" s="1"/>
  <c r="AD375" i="6" s="1"/>
  <c r="G442" i="6"/>
  <c r="F341" i="6"/>
  <c r="U341" i="6" s="1"/>
  <c r="AD341" i="6" s="1"/>
  <c r="G439" i="6"/>
  <c r="U439" i="6" s="1"/>
  <c r="AD439" i="6" s="1"/>
  <c r="F412" i="6"/>
  <c r="U412" i="6" s="1"/>
  <c r="AD412" i="6" s="1"/>
  <c r="F329" i="6"/>
  <c r="U329" i="6" s="1"/>
  <c r="AD329" i="6" s="1"/>
  <c r="G308" i="6"/>
  <c r="U308" i="6" s="1"/>
  <c r="AD308" i="6" s="1"/>
  <c r="F163" i="6"/>
  <c r="U163" i="6" s="1"/>
  <c r="H189" i="6"/>
  <c r="I189" i="6" s="1"/>
  <c r="P280" i="6"/>
  <c r="Q280" i="6" s="1"/>
  <c r="M268" i="6"/>
  <c r="K260" i="6"/>
  <c r="L260" i="6" s="1"/>
  <c r="K196" i="6"/>
  <c r="L196" i="6" s="1"/>
  <c r="P136" i="6"/>
  <c r="Q136" i="6" s="1"/>
  <c r="P104" i="6"/>
  <c r="Q104" i="6" s="1"/>
  <c r="G100" i="6"/>
  <c r="U100" i="6" s="1"/>
  <c r="G78" i="6"/>
  <c r="P72" i="6"/>
  <c r="Q72" i="6" s="1"/>
  <c r="P42" i="6"/>
  <c r="Q42" i="6" s="1"/>
  <c r="K26" i="6"/>
  <c r="L26" i="6" s="1"/>
  <c r="K10" i="6"/>
  <c r="F264" i="6"/>
  <c r="U264" i="6" s="1"/>
  <c r="BK10" i="3"/>
  <c r="H105" i="6"/>
  <c r="I105" i="6" s="1"/>
  <c r="BN41" i="5" a="1"/>
  <c r="BN41" i="5" s="1"/>
  <c r="C41" i="5" s="1"/>
  <c r="H235" i="6"/>
  <c r="H73" i="6"/>
  <c r="I73" i="6" s="1"/>
  <c r="F73" i="6"/>
  <c r="U73" i="6" s="1"/>
  <c r="H155" i="6"/>
  <c r="I155" i="6" s="1"/>
  <c r="K117" i="6"/>
  <c r="L117" i="6" s="1"/>
  <c r="J111" i="6"/>
  <c r="G105" i="6"/>
  <c r="U105" i="6" s="1"/>
  <c r="K85" i="6"/>
  <c r="L85" i="6" s="1"/>
  <c r="F77" i="6"/>
  <c r="U77" i="6" s="1"/>
  <c r="M53" i="6"/>
  <c r="L13" i="3"/>
  <c r="AB13" i="3"/>
  <c r="G175" i="6"/>
  <c r="U175" i="6" s="1"/>
  <c r="G155" i="6"/>
  <c r="P85" i="6"/>
  <c r="Q85" i="6" s="1"/>
  <c r="J79" i="6"/>
  <c r="F71" i="6"/>
  <c r="U71" i="6" s="1"/>
  <c r="E143" i="5"/>
  <c r="BK27" i="3"/>
  <c r="E147" i="5"/>
  <c r="E137" i="5"/>
  <c r="D142" i="5"/>
  <c r="BN138" i="5"/>
  <c r="C138" i="5" s="1"/>
  <c r="E146" i="5"/>
  <c r="BN139" i="5"/>
  <c r="C139" i="5" s="1"/>
  <c r="F146" i="5"/>
  <c r="F137" i="5"/>
  <c r="F149" i="5" s="1"/>
  <c r="F25" i="3" s="1"/>
  <c r="F143" i="5"/>
  <c r="E139" i="5"/>
  <c r="E136" i="5"/>
  <c r="E145" i="5"/>
  <c r="D145" i="5"/>
  <c r="F145" i="5"/>
  <c r="F147" i="5"/>
  <c r="E138" i="5"/>
  <c r="E142" i="5"/>
  <c r="BN137" i="5"/>
  <c r="C137" i="5" s="1"/>
  <c r="E141" i="5"/>
  <c r="E144" i="5"/>
  <c r="D138" i="5"/>
  <c r="P34" i="4"/>
  <c r="H149" i="5"/>
  <c r="H25" i="3" s="1"/>
  <c r="E135" i="5"/>
  <c r="E140" i="5"/>
  <c r="E148" i="5"/>
  <c r="D135" i="5"/>
  <c r="D143" i="5"/>
  <c r="D140" i="5"/>
  <c r="D144" i="5"/>
  <c r="D147" i="5"/>
  <c r="BN147" i="5"/>
  <c r="C147" i="5" s="1"/>
  <c r="D137" i="5"/>
  <c r="D141" i="5"/>
  <c r="D146" i="5"/>
  <c r="BN145" i="5"/>
  <c r="C145" i="5" s="1"/>
  <c r="BN141" i="5"/>
  <c r="C141" i="5" s="1"/>
  <c r="D139" i="5"/>
  <c r="D136" i="5"/>
  <c r="D148" i="5"/>
  <c r="G327" i="8"/>
  <c r="BN136" i="5"/>
  <c r="C136" i="5" s="1"/>
  <c r="BN148" i="5"/>
  <c r="C148" i="5" s="1"/>
  <c r="BN135" i="5"/>
  <c r="C135" i="5" s="1"/>
  <c r="BN142" i="5"/>
  <c r="C142" i="5" s="1"/>
  <c r="BN143" i="5"/>
  <c r="C143" i="5" s="1"/>
  <c r="BN146" i="5"/>
  <c r="C146" i="5" s="1"/>
  <c r="BN140" i="5"/>
  <c r="C140" i="5" s="1"/>
  <c r="BN144" i="5"/>
  <c r="C144" i="5" s="1"/>
  <c r="S34" i="4"/>
  <c r="R34" i="4"/>
  <c r="F133" i="5"/>
  <c r="F24" i="3" s="1"/>
  <c r="I32" i="4"/>
  <c r="I28" i="4"/>
  <c r="I31" i="4"/>
  <c r="H3633" i="9"/>
  <c r="AD5" i="2"/>
  <c r="I24" i="4"/>
  <c r="I26" i="4"/>
  <c r="I27" i="4"/>
  <c r="I29" i="4"/>
  <c r="I30" i="4"/>
  <c r="I33" i="4"/>
  <c r="Q34" i="4"/>
  <c r="H32" i="5"/>
  <c r="H20" i="3" s="1"/>
  <c r="G133" i="5"/>
  <c r="G24" i="3" s="1"/>
  <c r="I25" i="4"/>
  <c r="BN133" i="5"/>
  <c r="G57" i="5"/>
  <c r="G22" i="3" s="1"/>
  <c r="BN32" i="5"/>
  <c r="C30" i="5"/>
  <c r="C32" i="5" s="1"/>
  <c r="C20" i="3" s="1"/>
  <c r="C133" i="5"/>
  <c r="C24" i="3" s="1"/>
  <c r="F32" i="5"/>
  <c r="F20" i="3" s="1"/>
  <c r="F57" i="5"/>
  <c r="F22" i="3" s="1"/>
  <c r="D32" i="5"/>
  <c r="D20" i="3" s="1"/>
  <c r="D57" i="5"/>
  <c r="D22" i="3" s="1"/>
  <c r="E57" i="5"/>
  <c r="E22" i="3" s="1"/>
  <c r="C48" i="5"/>
  <c r="BN57" i="5"/>
  <c r="G32" i="5"/>
  <c r="G20" i="3" s="1"/>
  <c r="E32" i="5"/>
  <c r="E20" i="3" s="1"/>
  <c r="V60" i="2" l="1"/>
  <c r="AB16" i="2"/>
  <c r="V9" i="2"/>
  <c r="Y9" i="2"/>
  <c r="V33" i="2"/>
  <c r="V48" i="2"/>
  <c r="D22" i="2"/>
  <c r="AH19" i="2"/>
  <c r="V11" i="2"/>
  <c r="Y11" i="2"/>
  <c r="H57" i="5"/>
  <c r="H22" i="3" s="1"/>
  <c r="V30" i="2"/>
  <c r="Y30" i="2"/>
  <c r="AL213" i="7"/>
  <c r="AD212" i="6"/>
  <c r="AN213" i="7" s="1"/>
  <c r="G196" i="6"/>
  <c r="F196" i="6"/>
  <c r="H196" i="6"/>
  <c r="I196" i="6" s="1"/>
  <c r="AD97" i="6"/>
  <c r="AN98" i="7" s="1"/>
  <c r="AL98" i="7"/>
  <c r="I400" i="6"/>
  <c r="U400" i="6"/>
  <c r="AD400" i="6" s="1"/>
  <c r="AD68" i="6"/>
  <c r="AN69" i="7" s="1"/>
  <c r="AL69" i="7"/>
  <c r="F274" i="6"/>
  <c r="H274" i="6"/>
  <c r="I274" i="6" s="1"/>
  <c r="G274" i="6"/>
  <c r="AL107" i="7"/>
  <c r="AD106" i="6"/>
  <c r="AN107" i="7" s="1"/>
  <c r="H168" i="6"/>
  <c r="I168" i="6" s="1"/>
  <c r="F168" i="6"/>
  <c r="G168" i="6"/>
  <c r="H133" i="5"/>
  <c r="H24" i="3" s="1"/>
  <c r="I147" i="5"/>
  <c r="I124" i="5"/>
  <c r="I121" i="5"/>
  <c r="I132" i="5"/>
  <c r="I144" i="5"/>
  <c r="I143" i="5"/>
  <c r="I136" i="5"/>
  <c r="I114" i="5"/>
  <c r="I139" i="5"/>
  <c r="I117" i="5"/>
  <c r="I109" i="5"/>
  <c r="I102" i="5"/>
  <c r="I94" i="5"/>
  <c r="I105" i="5"/>
  <c r="I97" i="5"/>
  <c r="I89" i="5"/>
  <c r="I82" i="5"/>
  <c r="I74" i="5"/>
  <c r="I66" i="5"/>
  <c r="I53" i="5" a="1"/>
  <c r="I53" i="5" s="1"/>
  <c r="I81" i="5"/>
  <c r="I73" i="5"/>
  <c r="I65" i="5"/>
  <c r="I54" i="5" a="1"/>
  <c r="I54" i="5" s="1"/>
  <c r="I48" i="5" a="1"/>
  <c r="I48" i="5" s="1"/>
  <c r="I30" i="5" a="1"/>
  <c r="I30" i="5" s="1"/>
  <c r="J3" i="5"/>
  <c r="I129" i="5"/>
  <c r="I126" i="5"/>
  <c r="I123" i="5"/>
  <c r="I142" i="5"/>
  <c r="I141" i="5"/>
  <c r="I120" i="5"/>
  <c r="I112" i="5"/>
  <c r="I137" i="5"/>
  <c r="I115" i="5"/>
  <c r="I107" i="5"/>
  <c r="I100" i="5"/>
  <c r="I92" i="5"/>
  <c r="I103" i="5"/>
  <c r="I95" i="5"/>
  <c r="I87" i="5"/>
  <c r="I80" i="5"/>
  <c r="I72" i="5"/>
  <c r="I64" i="5"/>
  <c r="I51" i="5" a="1"/>
  <c r="I51" i="5" s="1"/>
  <c r="I79" i="5"/>
  <c r="I71" i="5"/>
  <c r="I63" i="5"/>
  <c r="I52" i="5" a="1"/>
  <c r="I52" i="5" s="1"/>
  <c r="I38" i="5" a="1"/>
  <c r="I38" i="5" s="1"/>
  <c r="I26" i="5" a="1"/>
  <c r="I26" i="5" s="1"/>
  <c r="I3" i="3"/>
  <c r="I122" i="5"/>
  <c r="I130" i="5"/>
  <c r="I127" i="5"/>
  <c r="I146" i="5"/>
  <c r="I145" i="5"/>
  <c r="I138" i="5"/>
  <c r="I116" i="5"/>
  <c r="I108" i="5"/>
  <c r="I119" i="5"/>
  <c r="I111" i="5"/>
  <c r="I104" i="5"/>
  <c r="I96" i="5"/>
  <c r="I88" i="5"/>
  <c r="I99" i="5"/>
  <c r="I91" i="5"/>
  <c r="I84" i="5"/>
  <c r="I76" i="5"/>
  <c r="I68" i="5"/>
  <c r="I55" i="5" a="1"/>
  <c r="I55" i="5" s="1"/>
  <c r="I83" i="5"/>
  <c r="I75" i="5"/>
  <c r="I67" i="5"/>
  <c r="I56" i="5" a="1"/>
  <c r="I56" i="5" s="1"/>
  <c r="I49" i="5" a="1"/>
  <c r="I49" i="5" s="1"/>
  <c r="I60" i="5"/>
  <c r="I39" i="5" a="1"/>
  <c r="I39" i="5" s="1"/>
  <c r="I25" i="5" a="1"/>
  <c r="I25" i="5" s="1"/>
  <c r="I20" i="5" a="1"/>
  <c r="I20" i="5" s="1"/>
  <c r="I131" i="5"/>
  <c r="I148" i="5"/>
  <c r="I135" i="5"/>
  <c r="I90" i="5"/>
  <c r="I78" i="5"/>
  <c r="I77" i="5"/>
  <c r="I128" i="5"/>
  <c r="I140" i="5"/>
  <c r="I113" i="5"/>
  <c r="I101" i="5"/>
  <c r="I70" i="5"/>
  <c r="I69" i="5"/>
  <c r="I41" i="5" a="1"/>
  <c r="I41" i="5" s="1"/>
  <c r="V3" i="4"/>
  <c r="I125" i="5"/>
  <c r="I118" i="5"/>
  <c r="I106" i="5"/>
  <c r="I93" i="5"/>
  <c r="I62" i="5"/>
  <c r="I61" i="5"/>
  <c r="I31" i="5" a="1"/>
  <c r="I31" i="5" s="1"/>
  <c r="I110" i="5"/>
  <c r="I98" i="5"/>
  <c r="I86" i="5"/>
  <c r="I85" i="5"/>
  <c r="I50" i="5" a="1"/>
  <c r="I50" i="5" s="1"/>
  <c r="X8" i="2"/>
  <c r="X9" i="2"/>
  <c r="AC8" i="2"/>
  <c r="X10" i="2"/>
  <c r="AB8" i="2"/>
  <c r="D7" i="5" s="1"/>
  <c r="X11" i="2"/>
  <c r="X12" i="2"/>
  <c r="T34" i="4"/>
  <c r="U22" i="4"/>
  <c r="U18" i="4"/>
  <c r="U13" i="4"/>
  <c r="U6" i="4"/>
  <c r="U10" i="4"/>
  <c r="U21" i="4"/>
  <c r="U17" i="4"/>
  <c r="U11" i="4"/>
  <c r="U5" i="4"/>
  <c r="U8" i="4"/>
  <c r="U23" i="4"/>
  <c r="U19" i="4"/>
  <c r="U15" i="4"/>
  <c r="U7" i="4"/>
  <c r="U12" i="4"/>
  <c r="U16" i="4"/>
  <c r="U9" i="4"/>
  <c r="U14" i="4"/>
  <c r="U20" i="4"/>
  <c r="U4" i="4"/>
  <c r="AC10" i="2"/>
  <c r="AB10" i="2"/>
  <c r="F7" i="5" s="1"/>
  <c r="G79" i="6"/>
  <c r="H79" i="6"/>
  <c r="I79" i="6" s="1"/>
  <c r="F79" i="6"/>
  <c r="U79" i="6" s="1"/>
  <c r="F85" i="6"/>
  <c r="G85" i="6"/>
  <c r="H85" i="6"/>
  <c r="I85" i="6" s="1"/>
  <c r="AL139" i="7"/>
  <c r="AD138" i="6"/>
  <c r="AN139" i="7" s="1"/>
  <c r="U189" i="6"/>
  <c r="U267" i="6"/>
  <c r="I335" i="6"/>
  <c r="U335" i="6" s="1"/>
  <c r="AD335" i="6" s="1"/>
  <c r="BK13" i="3"/>
  <c r="AL74" i="7"/>
  <c r="AD73" i="6"/>
  <c r="AN74" i="7" s="1"/>
  <c r="AL101" i="7"/>
  <c r="AD100" i="6"/>
  <c r="AN101" i="7" s="1"/>
  <c r="G268" i="6"/>
  <c r="F268" i="6"/>
  <c r="U268" i="6" s="1"/>
  <c r="H268" i="6"/>
  <c r="I268" i="6" s="1"/>
  <c r="BN38" i="5" a="1"/>
  <c r="BN38" i="5" s="1"/>
  <c r="C38" i="5" s="1"/>
  <c r="D38" i="5" a="1"/>
  <c r="D38" i="5" s="1"/>
  <c r="J506" i="6"/>
  <c r="E38" i="5" a="1"/>
  <c r="E38" i="5" s="1"/>
  <c r="F38" i="5" a="1"/>
  <c r="F38" i="5" s="1"/>
  <c r="G38" i="5" a="1"/>
  <c r="G38" i="5" s="1"/>
  <c r="I408" i="6"/>
  <c r="U408" i="6"/>
  <c r="AD408" i="6" s="1"/>
  <c r="I427" i="6"/>
  <c r="U427" i="6" s="1"/>
  <c r="AD427" i="6" s="1"/>
  <c r="AL67" i="7"/>
  <c r="AD66" i="6"/>
  <c r="AN67" i="7" s="1"/>
  <c r="P213" i="6"/>
  <c r="Q213" i="6" s="1"/>
  <c r="T213" i="6"/>
  <c r="H133" i="6"/>
  <c r="I133" i="6" s="1"/>
  <c r="G133" i="6"/>
  <c r="F133" i="6"/>
  <c r="U155" i="6"/>
  <c r="G53" i="6"/>
  <c r="H53" i="6"/>
  <c r="I53" i="6" s="1"/>
  <c r="F53" i="6"/>
  <c r="G111" i="6"/>
  <c r="F111" i="6"/>
  <c r="H111" i="6"/>
  <c r="I111" i="6" s="1"/>
  <c r="G95" i="6"/>
  <c r="F285" i="6"/>
  <c r="G285" i="6"/>
  <c r="H285" i="6"/>
  <c r="I285" i="6" s="1"/>
  <c r="G104" i="6"/>
  <c r="U104" i="6" s="1"/>
  <c r="N274" i="6"/>
  <c r="O274" i="6" s="1"/>
  <c r="P274" i="6"/>
  <c r="Q274" i="6" s="1"/>
  <c r="T274" i="6"/>
  <c r="I410" i="6"/>
  <c r="U410" i="6" s="1"/>
  <c r="AD410" i="6" s="1"/>
  <c r="G101" i="6"/>
  <c r="G216" i="6"/>
  <c r="H216" i="6"/>
  <c r="I216" i="6" s="1"/>
  <c r="F216" i="6"/>
  <c r="U184" i="6"/>
  <c r="I416" i="6"/>
  <c r="U416" i="6" s="1"/>
  <c r="AD416" i="6" s="1"/>
  <c r="F396" i="6"/>
  <c r="G396" i="6"/>
  <c r="U344" i="6"/>
  <c r="AD344" i="6" s="1"/>
  <c r="U78" i="6"/>
  <c r="AL109" i="7"/>
  <c r="AD108" i="6"/>
  <c r="AN109" i="7" s="1"/>
  <c r="F69" i="6"/>
  <c r="U69" i="6" s="1"/>
  <c r="G221" i="6"/>
  <c r="F221" i="6"/>
  <c r="H221" i="6"/>
  <c r="I221" i="6" s="1"/>
  <c r="H213" i="6"/>
  <c r="I213" i="6" s="1"/>
  <c r="G213" i="6"/>
  <c r="F213" i="6"/>
  <c r="G165" i="6"/>
  <c r="H165" i="6"/>
  <c r="I165" i="6" s="1"/>
  <c r="F165" i="6"/>
  <c r="H95" i="6"/>
  <c r="I95" i="6" s="1"/>
  <c r="H69" i="6"/>
  <c r="I69" i="6" s="1"/>
  <c r="P63" i="6"/>
  <c r="Q63" i="6" s="1"/>
  <c r="BN25" i="5" a="1"/>
  <c r="BN25" i="5" s="1"/>
  <c r="C25" i="5" s="1"/>
  <c r="R506" i="6"/>
  <c r="D25" i="5" a="1"/>
  <c r="D25" i="5" s="1"/>
  <c r="E25" i="5" a="1"/>
  <c r="E25" i="5" s="1"/>
  <c r="F25" i="5" a="1"/>
  <c r="F25" i="5" s="1"/>
  <c r="G25" i="5" a="1"/>
  <c r="G25" i="5" s="1"/>
  <c r="Q10" i="6"/>
  <c r="I424" i="6"/>
  <c r="U424" i="6" s="1"/>
  <c r="AD424" i="6" s="1"/>
  <c r="H396" i="6"/>
  <c r="I396" i="6" s="1"/>
  <c r="U382" i="6"/>
  <c r="AD382" i="6" s="1"/>
  <c r="E133" i="5"/>
  <c r="E24" i="3" s="1"/>
  <c r="B16" i="2"/>
  <c r="C15" i="2"/>
  <c r="BN39" i="5" a="1"/>
  <c r="BN39" i="5" s="1"/>
  <c r="C39" i="5" s="1"/>
  <c r="L10" i="6"/>
  <c r="K506" i="6"/>
  <c r="D39" i="5" a="1"/>
  <c r="D39" i="5" s="1"/>
  <c r="E39" i="5" a="1"/>
  <c r="E39" i="5" s="1"/>
  <c r="F39" i="5" a="1"/>
  <c r="F39" i="5" s="1"/>
  <c r="G39" i="5" a="1"/>
  <c r="G39" i="5" s="1"/>
  <c r="I110" i="6"/>
  <c r="U110" i="6"/>
  <c r="F277" i="6"/>
  <c r="H277" i="6"/>
  <c r="I277" i="6" s="1"/>
  <c r="G277" i="6"/>
  <c r="I102" i="6"/>
  <c r="U102" i="6" s="1"/>
  <c r="F280" i="6"/>
  <c r="G280" i="6"/>
  <c r="H280" i="6"/>
  <c r="I280" i="6" s="1"/>
  <c r="P95" i="6"/>
  <c r="Q95" i="6" s="1"/>
  <c r="N95" i="6"/>
  <c r="H26" i="6"/>
  <c r="I26" i="6" s="1"/>
  <c r="F26" i="6"/>
  <c r="G26" i="6"/>
  <c r="U418" i="6"/>
  <c r="AD418" i="6" s="1"/>
  <c r="I362" i="6"/>
  <c r="U362" i="6" s="1"/>
  <c r="AD362" i="6" s="1"/>
  <c r="AD154" i="6"/>
  <c r="AN155" i="7" s="1"/>
  <c r="AL155" i="7"/>
  <c r="U443" i="6"/>
  <c r="AD443" i="6" s="1"/>
  <c r="AD105" i="6"/>
  <c r="AN106" i="7" s="1"/>
  <c r="AL106" i="7"/>
  <c r="AD163" i="6"/>
  <c r="AN164" i="7" s="1"/>
  <c r="AL164" i="7"/>
  <c r="I347" i="6"/>
  <c r="U347" i="6"/>
  <c r="AD347" i="6" s="1"/>
  <c r="F407" i="6"/>
  <c r="G407" i="6"/>
  <c r="H260" i="6"/>
  <c r="I260" i="6" s="1"/>
  <c r="F394" i="6"/>
  <c r="G394" i="6"/>
  <c r="G260" i="6"/>
  <c r="U260" i="6" s="1"/>
  <c r="G204" i="6"/>
  <c r="F204" i="6"/>
  <c r="H204" i="6"/>
  <c r="I204" i="6" s="1"/>
  <c r="P168" i="6"/>
  <c r="Q168" i="6" s="1"/>
  <c r="T168" i="6"/>
  <c r="F159" i="6"/>
  <c r="H159" i="6"/>
  <c r="I159" i="6" s="1"/>
  <c r="G159" i="6"/>
  <c r="H127" i="6"/>
  <c r="I127" i="6" s="1"/>
  <c r="G127" i="6"/>
  <c r="F127" i="6"/>
  <c r="U127" i="6" s="1"/>
  <c r="H63" i="6"/>
  <c r="I63" i="6" s="1"/>
  <c r="G63" i="6"/>
  <c r="F63" i="6"/>
  <c r="M506" i="6"/>
  <c r="D41" i="5" a="1"/>
  <c r="D41" i="5" s="1"/>
  <c r="E41" i="5" a="1"/>
  <c r="E41" i="5" s="1"/>
  <c r="F41" i="5" a="1"/>
  <c r="F41" i="5" s="1"/>
  <c r="G41" i="5" a="1"/>
  <c r="G41" i="5" s="1"/>
  <c r="U275" i="6"/>
  <c r="U360" i="6"/>
  <c r="AD360" i="6" s="1"/>
  <c r="U96" i="6"/>
  <c r="U334" i="6"/>
  <c r="AD334" i="6" s="1"/>
  <c r="U435" i="6"/>
  <c r="AD435" i="6" s="1"/>
  <c r="AL21" i="7"/>
  <c r="AD20" i="6"/>
  <c r="AN21" i="7" s="1"/>
  <c r="AD244" i="6"/>
  <c r="AN245" i="7" s="1"/>
  <c r="AL245" i="7"/>
  <c r="AL72" i="7"/>
  <c r="AD71" i="6"/>
  <c r="AN72" i="7" s="1"/>
  <c r="AD175" i="6"/>
  <c r="AN176" i="7" s="1"/>
  <c r="AL176" i="7"/>
  <c r="AD77" i="6"/>
  <c r="AN78" i="7" s="1"/>
  <c r="AL78" i="7"/>
  <c r="G117" i="6"/>
  <c r="H117" i="6"/>
  <c r="I117" i="6" s="1"/>
  <c r="F117" i="6"/>
  <c r="U117" i="6" s="1"/>
  <c r="I235" i="6"/>
  <c r="U235" i="6" s="1"/>
  <c r="AD264" i="6"/>
  <c r="AN265" i="7" s="1"/>
  <c r="AL265" i="7"/>
  <c r="U442" i="6"/>
  <c r="AD442" i="6" s="1"/>
  <c r="F101" i="6"/>
  <c r="U101" i="6" s="1"/>
  <c r="H104" i="6"/>
  <c r="I104" i="6" s="1"/>
  <c r="AD122" i="6"/>
  <c r="AN123" i="7" s="1"/>
  <c r="AL123" i="7"/>
  <c r="G136" i="6"/>
  <c r="F136" i="6"/>
  <c r="H136" i="6"/>
  <c r="I136" i="6" s="1"/>
  <c r="F391" i="6"/>
  <c r="U391" i="6" s="1"/>
  <c r="AD391" i="6" s="1"/>
  <c r="H391" i="6"/>
  <c r="I391" i="6" s="1"/>
  <c r="G42" i="6"/>
  <c r="F42" i="6"/>
  <c r="H42" i="6"/>
  <c r="I42" i="6" s="1"/>
  <c r="N260" i="6"/>
  <c r="O260" i="6" s="1"/>
  <c r="P260" i="6"/>
  <c r="Q260" i="6" s="1"/>
  <c r="T260" i="6"/>
  <c r="U363" i="6"/>
  <c r="AD363" i="6" s="1"/>
  <c r="G391" i="6"/>
  <c r="I474" i="6"/>
  <c r="U474" i="6"/>
  <c r="AD474" i="6" s="1"/>
  <c r="AD182" i="6"/>
  <c r="AN183" i="7" s="1"/>
  <c r="AL183" i="7"/>
  <c r="F210" i="6"/>
  <c r="G210" i="6"/>
  <c r="H210" i="6"/>
  <c r="I210" i="6" s="1"/>
  <c r="G72" i="6"/>
  <c r="U72" i="6" s="1"/>
  <c r="U403" i="6"/>
  <c r="AD403" i="6" s="1"/>
  <c r="U414" i="6"/>
  <c r="AD414" i="6" s="1"/>
  <c r="U345" i="6"/>
  <c r="AD345" i="6" s="1"/>
  <c r="U378" i="6"/>
  <c r="AD378" i="6" s="1"/>
  <c r="U477" i="6"/>
  <c r="AD477" i="6" s="1"/>
  <c r="U353" i="6"/>
  <c r="AD353" i="6" s="1"/>
  <c r="U368" i="6"/>
  <c r="AD368" i="6" s="1"/>
  <c r="U373" i="6"/>
  <c r="AD373" i="6" s="1"/>
  <c r="AD27" i="6"/>
  <c r="AN28" i="7" s="1"/>
  <c r="AL28" i="7"/>
  <c r="H39" i="5" a="1"/>
  <c r="H39" i="5" s="1"/>
  <c r="H25" i="5" a="1"/>
  <c r="H25" i="5" s="1"/>
  <c r="AC66" i="2"/>
  <c r="AB66" i="2" s="1"/>
  <c r="H38" i="5" a="1"/>
  <c r="H38" i="5" s="1"/>
  <c r="Y13" i="2"/>
  <c r="V13" i="2"/>
  <c r="X18" i="2" s="1"/>
  <c r="AN7" i="7"/>
  <c r="H41" i="5" a="1"/>
  <c r="H41" i="5" s="1"/>
  <c r="E149" i="5"/>
  <c r="E25" i="3" s="1"/>
  <c r="C149" i="5"/>
  <c r="C25" i="3" s="1"/>
  <c r="D149" i="5"/>
  <c r="D25" i="3" s="1"/>
  <c r="BN149" i="5"/>
  <c r="C57" i="5"/>
  <c r="C22" i="3" s="1"/>
  <c r="T19" i="2" l="1"/>
  <c r="T20" i="2"/>
  <c r="D25" i="2"/>
  <c r="AH22" i="2"/>
  <c r="AC14" i="2"/>
  <c r="AD102" i="6"/>
  <c r="AN103" i="7" s="1"/>
  <c r="AL103" i="7"/>
  <c r="AD104" i="6"/>
  <c r="AN105" i="7" s="1"/>
  <c r="AL105" i="7"/>
  <c r="AD72" i="6"/>
  <c r="AN73" i="7" s="1"/>
  <c r="AL73" i="7"/>
  <c r="AD235" i="6"/>
  <c r="AN236" i="7" s="1"/>
  <c r="AL236" i="7"/>
  <c r="AD260" i="6"/>
  <c r="AN261" i="7" s="1"/>
  <c r="AL261" i="7"/>
  <c r="AL102" i="7"/>
  <c r="AD101" i="6"/>
  <c r="AN102" i="7" s="1"/>
  <c r="U26" i="6"/>
  <c r="U277" i="6"/>
  <c r="BN40" i="5" a="1"/>
  <c r="BN40" i="5" s="1"/>
  <c r="C40" i="5" s="1"/>
  <c r="L506" i="6"/>
  <c r="E40" i="5" a="1"/>
  <c r="E40" i="5" s="1"/>
  <c r="F40" i="5" a="1"/>
  <c r="F40" i="5" s="1"/>
  <c r="D40" i="5" a="1"/>
  <c r="D40" i="5" s="1"/>
  <c r="G40" i="5" a="1"/>
  <c r="G40" i="5" s="1"/>
  <c r="H40" i="5" a="1"/>
  <c r="H40" i="5" s="1"/>
  <c r="E23" i="5" a="1"/>
  <c r="E23" i="5" s="1"/>
  <c r="U213" i="6"/>
  <c r="U221" i="6"/>
  <c r="U396" i="6"/>
  <c r="AD396" i="6" s="1"/>
  <c r="U216" i="6"/>
  <c r="U285" i="6"/>
  <c r="AL156" i="7"/>
  <c r="AD155" i="6"/>
  <c r="AN156" i="7" s="1"/>
  <c r="H10" i="6"/>
  <c r="AL190" i="7"/>
  <c r="AD189" i="6"/>
  <c r="AN190" i="7" s="1"/>
  <c r="X16" i="2"/>
  <c r="X13" i="2"/>
  <c r="V22" i="4"/>
  <c r="V18" i="4"/>
  <c r="V14" i="4"/>
  <c r="V10" i="4"/>
  <c r="V6" i="4"/>
  <c r="V21" i="4"/>
  <c r="V17" i="4"/>
  <c r="V13" i="4"/>
  <c r="V9" i="4"/>
  <c r="V5" i="4"/>
  <c r="V23" i="4"/>
  <c r="V19" i="4"/>
  <c r="V15" i="4"/>
  <c r="V11" i="4"/>
  <c r="V7" i="4"/>
  <c r="V8" i="4"/>
  <c r="V20" i="4"/>
  <c r="V4" i="4"/>
  <c r="V16" i="4"/>
  <c r="V12" i="4"/>
  <c r="I133" i="5"/>
  <c r="I24" i="3" s="1"/>
  <c r="I32" i="5"/>
  <c r="I20" i="3" s="1"/>
  <c r="AL276" i="7"/>
  <c r="AD275" i="6"/>
  <c r="AN276" i="7" s="1"/>
  <c r="G23" i="5" a="1"/>
  <c r="G23" i="5" s="1"/>
  <c r="D23" i="5" a="1"/>
  <c r="D23" i="5" s="1"/>
  <c r="U165" i="6"/>
  <c r="AL79" i="7"/>
  <c r="AD78" i="6"/>
  <c r="AN79" i="7" s="1"/>
  <c r="U53" i="6"/>
  <c r="U133" i="6"/>
  <c r="U85" i="6"/>
  <c r="U34" i="4"/>
  <c r="D7" i="3"/>
  <c r="D14" i="3" s="1"/>
  <c r="D15" i="3" s="1"/>
  <c r="D14" i="5"/>
  <c r="D15" i="5" s="1"/>
  <c r="I149" i="5"/>
  <c r="I25" i="3" s="1"/>
  <c r="I23" i="5" a="1"/>
  <c r="I23" i="5" s="1"/>
  <c r="U274" i="6"/>
  <c r="U196" i="6"/>
  <c r="AD110" i="6"/>
  <c r="AN111" i="7" s="1"/>
  <c r="AL111" i="7"/>
  <c r="U42" i="6"/>
  <c r="AD117" i="6"/>
  <c r="AN118" i="7" s="1"/>
  <c r="AL118" i="7"/>
  <c r="F23" i="5" a="1"/>
  <c r="F23" i="5" s="1"/>
  <c r="BN23" i="5" a="1"/>
  <c r="BN23" i="5" s="1"/>
  <c r="C23" i="5" s="1"/>
  <c r="AL70" i="7"/>
  <c r="AD69" i="6"/>
  <c r="AN70" i="7" s="1"/>
  <c r="F10" i="6"/>
  <c r="AL269" i="7"/>
  <c r="AD268" i="6"/>
  <c r="AN269" i="7" s="1"/>
  <c r="AD79" i="6"/>
  <c r="AN80" i="7" s="1"/>
  <c r="AL80" i="7"/>
  <c r="F7" i="3"/>
  <c r="F14" i="5"/>
  <c r="F15" i="5" s="1"/>
  <c r="X17" i="2"/>
  <c r="J127" i="5"/>
  <c r="J126" i="5"/>
  <c r="J121" i="5"/>
  <c r="J145" i="5"/>
  <c r="J144" i="5"/>
  <c r="J119" i="5"/>
  <c r="J111" i="5"/>
  <c r="J136" i="5"/>
  <c r="J114" i="5"/>
  <c r="J106" i="5"/>
  <c r="J98" i="5"/>
  <c r="J109" i="5"/>
  <c r="J99" i="5"/>
  <c r="J91" i="5"/>
  <c r="J88" i="5"/>
  <c r="J81" i="5"/>
  <c r="J73" i="5"/>
  <c r="J65" i="5"/>
  <c r="J54" i="5" a="1"/>
  <c r="J54" i="5" s="1"/>
  <c r="J84" i="5"/>
  <c r="J76" i="5"/>
  <c r="J68" i="5"/>
  <c r="J60" i="5"/>
  <c r="J48" i="5" a="1"/>
  <c r="J48" i="5" s="1"/>
  <c r="J36" i="5" a="1"/>
  <c r="J36" i="5" s="1"/>
  <c r="K3" i="5"/>
  <c r="J21" i="5" a="1"/>
  <c r="J21" i="5" s="1"/>
  <c r="J129" i="5"/>
  <c r="J128" i="5"/>
  <c r="J123" i="5"/>
  <c r="J143" i="5"/>
  <c r="J139" i="5"/>
  <c r="J117" i="5"/>
  <c r="J146" i="5"/>
  <c r="J120" i="5"/>
  <c r="J112" i="5"/>
  <c r="J104" i="5"/>
  <c r="J96" i="5"/>
  <c r="J105" i="5"/>
  <c r="J97" i="5"/>
  <c r="J89" i="5"/>
  <c r="J90" i="5"/>
  <c r="J79" i="5"/>
  <c r="J71" i="5"/>
  <c r="J63" i="5"/>
  <c r="J52" i="5" a="1"/>
  <c r="J52" i="5" s="1"/>
  <c r="J82" i="5"/>
  <c r="J74" i="5"/>
  <c r="J66" i="5"/>
  <c r="J55" i="5" a="1"/>
  <c r="J55" i="5" s="1"/>
  <c r="J49" i="5" a="1"/>
  <c r="J49" i="5" s="1"/>
  <c r="J30" i="5" a="1"/>
  <c r="J30" i="5" s="1"/>
  <c r="J20" i="5" a="1"/>
  <c r="J20" i="5" s="1"/>
  <c r="J34" i="5" a="1"/>
  <c r="J34" i="5" s="1"/>
  <c r="W3" i="4"/>
  <c r="J125" i="5"/>
  <c r="J124" i="5"/>
  <c r="J132" i="5"/>
  <c r="J148" i="5"/>
  <c r="J142" i="5"/>
  <c r="J135" i="5"/>
  <c r="J113" i="5"/>
  <c r="J138" i="5"/>
  <c r="J116" i="5"/>
  <c r="J108" i="5"/>
  <c r="J100" i="5"/>
  <c r="J92" i="5"/>
  <c r="J101" i="5"/>
  <c r="J93" i="5"/>
  <c r="J107" i="5"/>
  <c r="J83" i="5"/>
  <c r="J75" i="5"/>
  <c r="J67" i="5"/>
  <c r="J56" i="5" a="1"/>
  <c r="J56" i="5" s="1"/>
  <c r="J86" i="5"/>
  <c r="J78" i="5"/>
  <c r="J70" i="5"/>
  <c r="J62" i="5"/>
  <c r="J51" i="5" a="1"/>
  <c r="J51" i="5" s="1"/>
  <c r="J39" i="5" a="1"/>
  <c r="J39" i="5" s="1"/>
  <c r="J38" i="5" a="1"/>
  <c r="J38" i="5" s="1"/>
  <c r="J23" i="5" a="1"/>
  <c r="J23" i="5" s="1"/>
  <c r="J26" i="5" a="1"/>
  <c r="J26" i="5" s="1"/>
  <c r="J25" i="5" a="1"/>
  <c r="J25" i="5" s="1"/>
  <c r="J122" i="5"/>
  <c r="J137" i="5"/>
  <c r="J110" i="5"/>
  <c r="J95" i="5"/>
  <c r="J69" i="5"/>
  <c r="J72" i="5"/>
  <c r="J40" i="5" a="1"/>
  <c r="J40" i="5" s="1"/>
  <c r="J3" i="3"/>
  <c r="J130" i="5"/>
  <c r="J115" i="5"/>
  <c r="J102" i="5"/>
  <c r="J87" i="5"/>
  <c r="J61" i="5"/>
  <c r="J64" i="5"/>
  <c r="J24" i="5" a="1"/>
  <c r="J24" i="5" s="1"/>
  <c r="J131" i="5"/>
  <c r="J140" i="5"/>
  <c r="J94" i="5"/>
  <c r="J85" i="5"/>
  <c r="J50" i="5" a="1"/>
  <c r="J50" i="5" s="1"/>
  <c r="J53" i="5" a="1"/>
  <c r="J53" i="5" s="1"/>
  <c r="J147" i="5"/>
  <c r="J141" i="5"/>
  <c r="J118" i="5"/>
  <c r="J103" i="5"/>
  <c r="J77" i="5"/>
  <c r="J80" i="5"/>
  <c r="J41" i="5" a="1"/>
  <c r="J41" i="5" s="1"/>
  <c r="J31" i="5" a="1"/>
  <c r="J31" i="5" s="1"/>
  <c r="I57" i="5"/>
  <c r="I22" i="3" s="1"/>
  <c r="AC11" i="2"/>
  <c r="AD127" i="6"/>
  <c r="AN128" i="7" s="1"/>
  <c r="AL128" i="7"/>
  <c r="U407" i="6"/>
  <c r="AD407" i="6" s="1"/>
  <c r="E21" i="5" a="1"/>
  <c r="E21" i="5" s="1"/>
  <c r="BN21" i="5" a="1"/>
  <c r="BN21" i="5" s="1"/>
  <c r="N506" i="6"/>
  <c r="D21" i="5" a="1"/>
  <c r="D21" i="5" s="1"/>
  <c r="O95" i="6"/>
  <c r="G21" i="5" a="1"/>
  <c r="G21" i="5" s="1"/>
  <c r="F21" i="5" a="1"/>
  <c r="F21" i="5" s="1"/>
  <c r="H21" i="5" a="1"/>
  <c r="H21" i="5" s="1"/>
  <c r="AB13" i="2"/>
  <c r="I7" i="5" s="1"/>
  <c r="AC13" i="2"/>
  <c r="H23" i="5" a="1"/>
  <c r="H23" i="5" s="1"/>
  <c r="U210" i="6"/>
  <c r="U136" i="6"/>
  <c r="AD96" i="6"/>
  <c r="AN97" i="7" s="1"/>
  <c r="AL97" i="7"/>
  <c r="U63" i="6"/>
  <c r="U159" i="6"/>
  <c r="U204" i="6"/>
  <c r="U394" i="6"/>
  <c r="AD394" i="6" s="1"/>
  <c r="T95" i="6"/>
  <c r="U280" i="6"/>
  <c r="B17" i="2"/>
  <c r="C16" i="2"/>
  <c r="P506" i="6"/>
  <c r="D24" i="5" a="1"/>
  <c r="D24" i="5" s="1"/>
  <c r="F24" i="5" a="1"/>
  <c r="F24" i="5" s="1"/>
  <c r="Q506" i="6"/>
  <c r="E24" i="5" a="1"/>
  <c r="E24" i="5" s="1"/>
  <c r="BN24" i="5" a="1"/>
  <c r="BN24" i="5" s="1"/>
  <c r="C24" i="5" s="1"/>
  <c r="G24" i="5" a="1"/>
  <c r="G24" i="5" s="1"/>
  <c r="H24" i="5" a="1"/>
  <c r="H24" i="5" s="1"/>
  <c r="AD184" i="6"/>
  <c r="AN185" i="7" s="1"/>
  <c r="AL185" i="7"/>
  <c r="U111" i="6"/>
  <c r="G10" i="6"/>
  <c r="AD267" i="6"/>
  <c r="AN268" i="7" s="1"/>
  <c r="AL268" i="7"/>
  <c r="X15" i="2"/>
  <c r="X14" i="2"/>
  <c r="I21" i="5" a="1"/>
  <c r="I21" i="5" s="1"/>
  <c r="I24" i="5" a="1"/>
  <c r="I24" i="5" s="1"/>
  <c r="I40" i="5" a="1"/>
  <c r="I40" i="5" s="1"/>
  <c r="U168" i="6"/>
  <c r="D28" i="2" l="1"/>
  <c r="AH25" i="2"/>
  <c r="Y20" i="2"/>
  <c r="V20" i="2"/>
  <c r="AC20" i="2" s="1"/>
  <c r="T23" i="2"/>
  <c r="T22" i="2"/>
  <c r="Y19" i="2"/>
  <c r="V19" i="2"/>
  <c r="G45" i="5" a="1"/>
  <c r="G45" i="5" s="1"/>
  <c r="D45" i="5" a="1"/>
  <c r="D45" i="5" s="1"/>
  <c r="F45" i="5" a="1"/>
  <c r="F45" i="5" s="1"/>
  <c r="I45" i="5" a="1"/>
  <c r="I45" i="5" s="1"/>
  <c r="E45" i="5" a="1"/>
  <c r="E45" i="5" s="1"/>
  <c r="BN45" i="5" a="1"/>
  <c r="BN45" i="5" s="1"/>
  <c r="C45" i="5" s="1"/>
  <c r="T506" i="6"/>
  <c r="H45" i="5" a="1"/>
  <c r="H45" i="5" s="1"/>
  <c r="AD63" i="6"/>
  <c r="AN64" i="7" s="1"/>
  <c r="AL64" i="7"/>
  <c r="AD210" i="6"/>
  <c r="AN211" i="7" s="1"/>
  <c r="AL211" i="7"/>
  <c r="I7" i="3"/>
  <c r="I14" i="3" s="1"/>
  <c r="I15" i="3" s="1"/>
  <c r="I14" i="5"/>
  <c r="I15" i="5" s="1"/>
  <c r="AL169" i="7"/>
  <c r="AD168" i="6"/>
  <c r="AN169" i="7" s="1"/>
  <c r="AL281" i="7"/>
  <c r="AD280" i="6"/>
  <c r="AN281" i="7" s="1"/>
  <c r="AD159" i="6"/>
  <c r="AN160" i="7" s="1"/>
  <c r="AL160" i="7"/>
  <c r="AD136" i="6"/>
  <c r="AN137" i="7" s="1"/>
  <c r="AL137" i="7"/>
  <c r="E22" i="5" a="1"/>
  <c r="E22" i="5" s="1"/>
  <c r="O506" i="6"/>
  <c r="BN22" i="5" a="1"/>
  <c r="BN22" i="5" s="1"/>
  <c r="C22" i="5" s="1"/>
  <c r="D22" i="5" a="1"/>
  <c r="D22" i="5" s="1"/>
  <c r="F22" i="5" a="1"/>
  <c r="F22" i="5" s="1"/>
  <c r="G22" i="5" a="1"/>
  <c r="G22" i="5" s="1"/>
  <c r="G28" i="5" s="1"/>
  <c r="G19" i="3" s="1"/>
  <c r="H22" i="5" a="1"/>
  <c r="H22" i="5" s="1"/>
  <c r="I22" i="5" a="1"/>
  <c r="I22" i="5" s="1"/>
  <c r="I28" i="5" s="1"/>
  <c r="E28" i="5"/>
  <c r="E19" i="3" s="1"/>
  <c r="J149" i="5"/>
  <c r="J25" i="3" s="1"/>
  <c r="K121" i="5"/>
  <c r="K129" i="5"/>
  <c r="K126" i="5"/>
  <c r="K145" i="5"/>
  <c r="K144" i="5"/>
  <c r="K135" i="5"/>
  <c r="K113" i="5"/>
  <c r="K140" i="5"/>
  <c r="K118" i="5"/>
  <c r="K110" i="5"/>
  <c r="K101" i="5"/>
  <c r="K93" i="5"/>
  <c r="K106" i="5"/>
  <c r="K98" i="5"/>
  <c r="K90" i="5"/>
  <c r="K81" i="5"/>
  <c r="K73" i="5"/>
  <c r="K65" i="5"/>
  <c r="K53" i="5" a="1"/>
  <c r="K53" i="5" s="1"/>
  <c r="K82" i="5"/>
  <c r="K74" i="5"/>
  <c r="K66" i="5"/>
  <c r="K56" i="5" a="1"/>
  <c r="K56" i="5" s="1"/>
  <c r="K49" i="5" a="1"/>
  <c r="K49" i="5" s="1"/>
  <c r="K48" i="5" a="1"/>
  <c r="K48" i="5" s="1"/>
  <c r="K21" i="5" a="1"/>
  <c r="K21" i="5" s="1"/>
  <c r="K25" i="5" a="1"/>
  <c r="K25" i="5" s="1"/>
  <c r="K20" i="5" a="1"/>
  <c r="K20" i="5" s="1"/>
  <c r="K123" i="5"/>
  <c r="K131" i="5"/>
  <c r="K128" i="5"/>
  <c r="K147" i="5"/>
  <c r="K127" i="5"/>
  <c r="K124" i="5"/>
  <c r="K132" i="5"/>
  <c r="K148" i="5"/>
  <c r="K146" i="5"/>
  <c r="K137" i="5"/>
  <c r="K115" i="5"/>
  <c r="K107" i="5"/>
  <c r="K120" i="5"/>
  <c r="K112" i="5"/>
  <c r="K103" i="5"/>
  <c r="K95" i="5"/>
  <c r="K87" i="5"/>
  <c r="K100" i="5"/>
  <c r="K92" i="5"/>
  <c r="K83" i="5"/>
  <c r="K75" i="5"/>
  <c r="K67" i="5"/>
  <c r="K55" i="5" a="1"/>
  <c r="K55" i="5" s="1"/>
  <c r="K84" i="5"/>
  <c r="K76" i="5"/>
  <c r="K68" i="5"/>
  <c r="K60" i="5"/>
  <c r="K50" i="5" a="1"/>
  <c r="K50" i="5" s="1"/>
  <c r="K36" i="5" a="1"/>
  <c r="K36" i="5" s="1"/>
  <c r="K39" i="5" a="1"/>
  <c r="K39" i="5" s="1"/>
  <c r="K26" i="5" a="1"/>
  <c r="K26" i="5" s="1"/>
  <c r="K31" i="5" a="1"/>
  <c r="K31" i="5" s="1"/>
  <c r="K22" i="5" a="1"/>
  <c r="K22" i="5" s="1"/>
  <c r="K130" i="5"/>
  <c r="K141" i="5"/>
  <c r="K117" i="5"/>
  <c r="K136" i="5"/>
  <c r="K105" i="5"/>
  <c r="K89" i="5"/>
  <c r="K94" i="5"/>
  <c r="K77" i="5"/>
  <c r="K61" i="5"/>
  <c r="K78" i="5"/>
  <c r="K62" i="5"/>
  <c r="K38" i="5" a="1"/>
  <c r="K38" i="5" s="1"/>
  <c r="K35" i="5" a="1"/>
  <c r="K35" i="5" s="1"/>
  <c r="K24" i="5" a="1"/>
  <c r="K24" i="5" s="1"/>
  <c r="K142" i="5"/>
  <c r="K111" i="5"/>
  <c r="K116" i="5"/>
  <c r="K99" i="5"/>
  <c r="K104" i="5"/>
  <c r="K88" i="5"/>
  <c r="K71" i="5"/>
  <c r="K51" i="5" a="1"/>
  <c r="K51" i="5" s="1"/>
  <c r="K72" i="5"/>
  <c r="K54" i="5" a="1"/>
  <c r="K54" i="5" s="1"/>
  <c r="K45" i="5" a="1"/>
  <c r="K45" i="5" s="1"/>
  <c r="L3" i="5"/>
  <c r="X3" i="4"/>
  <c r="K125" i="5"/>
  <c r="K139" i="5"/>
  <c r="K109" i="5"/>
  <c r="K114" i="5"/>
  <c r="K97" i="5"/>
  <c r="K102" i="5"/>
  <c r="K85" i="5"/>
  <c r="K69" i="5"/>
  <c r="K86" i="5"/>
  <c r="K70" i="5"/>
  <c r="K52" i="5" a="1"/>
  <c r="K52" i="5" s="1"/>
  <c r="K41" i="5" a="1"/>
  <c r="K41" i="5" s="1"/>
  <c r="K34" i="5" a="1"/>
  <c r="K34" i="5" s="1"/>
  <c r="K3" i="3"/>
  <c r="K122" i="5"/>
  <c r="K143" i="5"/>
  <c r="K119" i="5"/>
  <c r="K138" i="5"/>
  <c r="K108" i="5"/>
  <c r="K91" i="5"/>
  <c r="K96" i="5"/>
  <c r="K79" i="5"/>
  <c r="K63" i="5"/>
  <c r="K80" i="5"/>
  <c r="K64" i="5"/>
  <c r="K40" i="5" a="1"/>
  <c r="K40" i="5" s="1"/>
  <c r="K23" i="5" a="1"/>
  <c r="K23" i="5" s="1"/>
  <c r="K30" i="5" a="1"/>
  <c r="K30" i="5" s="1"/>
  <c r="K32" i="5" s="1"/>
  <c r="K20" i="3" s="1"/>
  <c r="J57" i="5"/>
  <c r="J22" i="3" s="1"/>
  <c r="AD133" i="6"/>
  <c r="AN134" i="7" s="1"/>
  <c r="AL134" i="7"/>
  <c r="AL166" i="7"/>
  <c r="AD165" i="6"/>
  <c r="AN166" i="7" s="1"/>
  <c r="AD221" i="6"/>
  <c r="AN222" i="7" s="1"/>
  <c r="AL222" i="7"/>
  <c r="G506" i="6"/>
  <c r="F35" i="5" a="1"/>
  <c r="F35" i="5" s="1"/>
  <c r="E35" i="5" a="1"/>
  <c r="E35" i="5" s="1"/>
  <c r="BN35" i="5" a="1"/>
  <c r="BN35" i="5" s="1"/>
  <c r="C35" i="5" s="1"/>
  <c r="D35" i="5" a="1"/>
  <c r="D35" i="5" s="1"/>
  <c r="G35" i="5" a="1"/>
  <c r="G35" i="5" s="1"/>
  <c r="H35" i="5" a="1"/>
  <c r="H35" i="5" s="1"/>
  <c r="I35" i="5" a="1"/>
  <c r="I35" i="5" s="1"/>
  <c r="J32" i="5"/>
  <c r="J20" i="3" s="1"/>
  <c r="J22" i="5" a="1"/>
  <c r="J22" i="5" s="1"/>
  <c r="J133" i="5"/>
  <c r="J24" i="3" s="1"/>
  <c r="F14" i="3"/>
  <c r="F15" i="3" s="1"/>
  <c r="AD53" i="6"/>
  <c r="AN54" i="7" s="1"/>
  <c r="AL54" i="7"/>
  <c r="AD285" i="6"/>
  <c r="AN286" i="7" s="1"/>
  <c r="AL286" i="7"/>
  <c r="AD213" i="6"/>
  <c r="AN214" i="7" s="1"/>
  <c r="AL214" i="7"/>
  <c r="D28" i="5"/>
  <c r="D19" i="3" s="1"/>
  <c r="B18" i="2"/>
  <c r="C17" i="2"/>
  <c r="F28" i="5"/>
  <c r="F19" i="3" s="1"/>
  <c r="W20" i="4"/>
  <c r="W16" i="4"/>
  <c r="W12" i="4"/>
  <c r="W8" i="4"/>
  <c r="W4" i="4"/>
  <c r="W23" i="4"/>
  <c r="W19" i="4"/>
  <c r="W15" i="4"/>
  <c r="W11" i="4"/>
  <c r="W21" i="4"/>
  <c r="W17" i="4"/>
  <c r="W13" i="4"/>
  <c r="W9" i="4"/>
  <c r="W5" i="4"/>
  <c r="W10" i="4"/>
  <c r="W22" i="4"/>
  <c r="W7" i="4"/>
  <c r="W18" i="4"/>
  <c r="W6" i="4"/>
  <c r="W14" i="4"/>
  <c r="AD196" i="6"/>
  <c r="AN197" i="7" s="1"/>
  <c r="AL197" i="7"/>
  <c r="V34" i="4"/>
  <c r="I10" i="6"/>
  <c r="U10" i="6" s="1"/>
  <c r="BN36" i="5" a="1"/>
  <c r="BN36" i="5" s="1"/>
  <c r="C36" i="5" s="1"/>
  <c r="D36" i="5" a="1"/>
  <c r="D36" i="5" s="1"/>
  <c r="E36" i="5" a="1"/>
  <c r="E36" i="5" s="1"/>
  <c r="H506" i="6"/>
  <c r="G36" i="5" a="1"/>
  <c r="G36" i="5" s="1"/>
  <c r="F36" i="5" a="1"/>
  <c r="F36" i="5" s="1"/>
  <c r="H36" i="5" a="1"/>
  <c r="H36" i="5" s="1"/>
  <c r="I36" i="5" a="1"/>
  <c r="I36" i="5" s="1"/>
  <c r="AD216" i="6"/>
  <c r="AN217" i="7" s="1"/>
  <c r="AL217" i="7"/>
  <c r="AL278" i="7"/>
  <c r="AD277" i="6"/>
  <c r="AN278" i="7" s="1"/>
  <c r="U95" i="6"/>
  <c r="H28" i="5"/>
  <c r="H19" i="3" s="1"/>
  <c r="AL112" i="7"/>
  <c r="AD111" i="6"/>
  <c r="AN112" i="7" s="1"/>
  <c r="AL205" i="7"/>
  <c r="AD204" i="6"/>
  <c r="AN205" i="7" s="1"/>
  <c r="C21" i="5"/>
  <c r="BN28" i="5"/>
  <c r="J35" i="5" a="1"/>
  <c r="J35" i="5" s="1"/>
  <c r="J45" i="5" a="1"/>
  <c r="J45" i="5" s="1"/>
  <c r="D34" i="5" a="1"/>
  <c r="D34" i="5" s="1"/>
  <c r="BN34" i="5" a="1"/>
  <c r="BN34" i="5" s="1"/>
  <c r="E34" i="5" a="1"/>
  <c r="E34" i="5" s="1"/>
  <c r="F506" i="6"/>
  <c r="F34" i="5" a="1"/>
  <c r="F34" i="5" s="1"/>
  <c r="G34" i="5" a="1"/>
  <c r="G34" i="5" s="1"/>
  <c r="H34" i="5" a="1"/>
  <c r="H34" i="5" s="1"/>
  <c r="I34" i="5" a="1"/>
  <c r="I34" i="5" s="1"/>
  <c r="AD42" i="6"/>
  <c r="AN43" i="7" s="1"/>
  <c r="AL43" i="7"/>
  <c r="AD274" i="6"/>
  <c r="AN275" i="7" s="1"/>
  <c r="AL275" i="7"/>
  <c r="AD85" i="6"/>
  <c r="AN86" i="7" s="1"/>
  <c r="AL86" i="7"/>
  <c r="AD26" i="6"/>
  <c r="AN27" i="7" s="1"/>
  <c r="AL27" i="7"/>
  <c r="AB19" i="2" l="1"/>
  <c r="AC19" i="2"/>
  <c r="X20" i="2"/>
  <c r="X19" i="2"/>
  <c r="X21" i="2"/>
  <c r="V22" i="2"/>
  <c r="Y22" i="2"/>
  <c r="T25" i="2"/>
  <c r="T26" i="2"/>
  <c r="V23" i="2"/>
  <c r="AC23" i="2" s="1"/>
  <c r="Y23" i="2"/>
  <c r="D31" i="2"/>
  <c r="AH28" i="2"/>
  <c r="I19" i="3"/>
  <c r="AL11" i="7"/>
  <c r="AD10" i="6"/>
  <c r="U506" i="6"/>
  <c r="W34" i="4"/>
  <c r="C18" i="2"/>
  <c r="B19" i="2"/>
  <c r="X23" i="4"/>
  <c r="X19" i="4"/>
  <c r="X15" i="4"/>
  <c r="X11" i="4"/>
  <c r="X7" i="4"/>
  <c r="X20" i="4"/>
  <c r="X16" i="4"/>
  <c r="X12" i="4"/>
  <c r="X8" i="4"/>
  <c r="X5" i="4"/>
  <c r="X17" i="4"/>
  <c r="X9" i="4"/>
  <c r="X22" i="4"/>
  <c r="X14" i="4"/>
  <c r="X4" i="4"/>
  <c r="X21" i="4"/>
  <c r="X13" i="4"/>
  <c r="X6" i="4"/>
  <c r="X18" i="4"/>
  <c r="X10" i="4"/>
  <c r="K28" i="5"/>
  <c r="K19" i="3" s="1"/>
  <c r="K57" i="5"/>
  <c r="K22" i="3" s="1"/>
  <c r="J28" i="5"/>
  <c r="J19" i="3" s="1"/>
  <c r="BN37" i="5" a="1"/>
  <c r="BN37" i="5" s="1"/>
  <c r="C37" i="5" s="1"/>
  <c r="I506" i="6"/>
  <c r="E37" i="5" a="1"/>
  <c r="E37" i="5" s="1"/>
  <c r="E46" i="5" s="1"/>
  <c r="E21" i="3" s="1"/>
  <c r="E23" i="3" s="1"/>
  <c r="E28" i="3" s="1"/>
  <c r="F37" i="5" a="1"/>
  <c r="F37" i="5" s="1"/>
  <c r="F46" i="5" s="1"/>
  <c r="D37" i="5" a="1"/>
  <c r="D37" i="5" s="1"/>
  <c r="D46" i="5" s="1"/>
  <c r="D21" i="3" s="1"/>
  <c r="D23" i="3" s="1"/>
  <c r="D28" i="3" s="1"/>
  <c r="G37" i="5" a="1"/>
  <c r="G37" i="5" s="1"/>
  <c r="G46" i="5" s="1"/>
  <c r="G21" i="3" s="1"/>
  <c r="H37" i="5" a="1"/>
  <c r="H37" i="5" s="1"/>
  <c r="I37" i="5" a="1"/>
  <c r="I37" i="5" s="1"/>
  <c r="I46" i="5" s="1"/>
  <c r="I21" i="3" s="1"/>
  <c r="J37" i="5" a="1"/>
  <c r="J37" i="5" s="1"/>
  <c r="J46" i="5" s="1"/>
  <c r="J21" i="3" s="1"/>
  <c r="C34" i="5"/>
  <c r="BN46" i="5"/>
  <c r="C28" i="5"/>
  <c r="C19" i="3" s="1"/>
  <c r="AL96" i="7"/>
  <c r="AD95" i="6"/>
  <c r="AN96" i="7" s="1"/>
  <c r="L121" i="5"/>
  <c r="L122" i="5"/>
  <c r="L131" i="5"/>
  <c r="L146" i="5"/>
  <c r="L145" i="5"/>
  <c r="L120" i="5"/>
  <c r="L112" i="5"/>
  <c r="L137" i="5"/>
  <c r="L115" i="5"/>
  <c r="L109" i="5"/>
  <c r="L99" i="5"/>
  <c r="L91" i="5"/>
  <c r="L102" i="5"/>
  <c r="L94" i="5"/>
  <c r="L108" i="5"/>
  <c r="L82" i="5"/>
  <c r="L74" i="5"/>
  <c r="L66" i="5"/>
  <c r="L56" i="5" a="1"/>
  <c r="L56" i="5" s="1"/>
  <c r="L87" i="5"/>
  <c r="L79" i="5"/>
  <c r="L71" i="5"/>
  <c r="L63" i="5"/>
  <c r="L51" i="5" a="1"/>
  <c r="L51" i="5" s="1"/>
  <c r="L39" i="5" a="1"/>
  <c r="L39" i="5" s="1"/>
  <c r="L38" i="5" a="1"/>
  <c r="L38" i="5" s="1"/>
  <c r="M3" i="5"/>
  <c r="L22" i="5" a="1"/>
  <c r="L22" i="5" s="1"/>
  <c r="L23" i="5" a="1"/>
  <c r="L23" i="5" s="1"/>
  <c r="L147" i="5"/>
  <c r="L127" i="5"/>
  <c r="L132" i="5"/>
  <c r="L129" i="5"/>
  <c r="L143" i="5"/>
  <c r="L136" i="5"/>
  <c r="L114" i="5"/>
  <c r="L139" i="5"/>
  <c r="L117" i="5"/>
  <c r="L110" i="5"/>
  <c r="L101" i="5"/>
  <c r="L93" i="5"/>
  <c r="L125" i="5"/>
  <c r="L126" i="5"/>
  <c r="L142" i="5"/>
  <c r="L116" i="5"/>
  <c r="L119" i="5"/>
  <c r="L103" i="5"/>
  <c r="L106" i="5"/>
  <c r="L96" i="5"/>
  <c r="L89" i="5"/>
  <c r="L78" i="5"/>
  <c r="L68" i="5"/>
  <c r="L54" i="5" a="1"/>
  <c r="L54" i="5" s="1"/>
  <c r="L83" i="5"/>
  <c r="L73" i="5"/>
  <c r="L61" i="5"/>
  <c r="L45" i="5" a="1"/>
  <c r="L45" i="5" s="1"/>
  <c r="L40" i="5" a="1"/>
  <c r="L40" i="5" s="1"/>
  <c r="L34" i="5" a="1"/>
  <c r="L34" i="5" s="1"/>
  <c r="L30" i="5" a="1"/>
  <c r="L30" i="5" s="1"/>
  <c r="Y3" i="4"/>
  <c r="L124" i="5"/>
  <c r="L140" i="5"/>
  <c r="L148" i="5"/>
  <c r="L113" i="5"/>
  <c r="L97" i="5"/>
  <c r="L104" i="5"/>
  <c r="L92" i="5"/>
  <c r="L86" i="5"/>
  <c r="L76" i="5"/>
  <c r="L64" i="5"/>
  <c r="L52" i="5" a="1"/>
  <c r="L52" i="5" s="1"/>
  <c r="L81" i="5"/>
  <c r="L69" i="5"/>
  <c r="L55" i="5" a="1"/>
  <c r="L55" i="5" s="1"/>
  <c r="L41" i="5" a="1"/>
  <c r="L41" i="5" s="1"/>
  <c r="L36" i="5" a="1"/>
  <c r="L36" i="5" s="1"/>
  <c r="L31" i="5" a="1"/>
  <c r="L31" i="5" s="1"/>
  <c r="L24" i="5" a="1"/>
  <c r="L24" i="5" s="1"/>
  <c r="L130" i="5"/>
  <c r="L138" i="5"/>
  <c r="L141" i="5"/>
  <c r="L111" i="5"/>
  <c r="L95" i="5"/>
  <c r="L100" i="5"/>
  <c r="L90" i="5"/>
  <c r="L84" i="5"/>
  <c r="L72" i="5"/>
  <c r="L62" i="5"/>
  <c r="L50" i="5" a="1"/>
  <c r="L50" i="5" s="1"/>
  <c r="L77" i="5"/>
  <c r="L67" i="5"/>
  <c r="L53" i="5" a="1"/>
  <c r="L53" i="5" s="1"/>
  <c r="L37" i="5" a="1"/>
  <c r="L37" i="5" s="1"/>
  <c r="L35" i="5" a="1"/>
  <c r="L35" i="5" s="1"/>
  <c r="L25" i="5" a="1"/>
  <c r="L25" i="5" s="1"/>
  <c r="L21" i="5" a="1"/>
  <c r="L21" i="5" s="1"/>
  <c r="L123" i="5"/>
  <c r="L128" i="5"/>
  <c r="L144" i="5"/>
  <c r="L118" i="5"/>
  <c r="L135" i="5"/>
  <c r="L149" i="5" s="1"/>
  <c r="L25" i="3" s="1"/>
  <c r="L105" i="5"/>
  <c r="L107" i="5"/>
  <c r="L98" i="5"/>
  <c r="L88" i="5"/>
  <c r="L80" i="5"/>
  <c r="L70" i="5"/>
  <c r="L60" i="5"/>
  <c r="L85" i="5"/>
  <c r="L75" i="5"/>
  <c r="L65" i="5"/>
  <c r="L48" i="5" a="1"/>
  <c r="L48" i="5" s="1"/>
  <c r="L49" i="5" a="1"/>
  <c r="L49" i="5" s="1"/>
  <c r="L26" i="5" a="1"/>
  <c r="L26" i="5" s="1"/>
  <c r="L20" i="5" a="1"/>
  <c r="L20" i="5" s="1"/>
  <c r="L3" i="3"/>
  <c r="L7" i="5"/>
  <c r="K133" i="5"/>
  <c r="K24" i="3" s="1"/>
  <c r="H46" i="5"/>
  <c r="H21" i="3" s="1"/>
  <c r="H23" i="3" s="1"/>
  <c r="H28" i="3" s="1"/>
  <c r="K37" i="5" a="1"/>
  <c r="K37" i="5" s="1"/>
  <c r="K46" i="5" s="1"/>
  <c r="K21" i="3" s="1"/>
  <c r="K149" i="5"/>
  <c r="K25" i="3" s="1"/>
  <c r="F21" i="3" l="1"/>
  <c r="F23" i="3" s="1"/>
  <c r="F28" i="3" s="1"/>
  <c r="F58" i="5"/>
  <c r="F152" i="5" s="1"/>
  <c r="AE10" i="2" s="1"/>
  <c r="T29" i="2"/>
  <c r="T28" i="2"/>
  <c r="AC22" i="2"/>
  <c r="AB22" i="2"/>
  <c r="X24" i="2"/>
  <c r="D34" i="2"/>
  <c r="AH31" i="2"/>
  <c r="V26" i="2"/>
  <c r="AC26" i="2" s="1"/>
  <c r="Y26" i="2"/>
  <c r="V25" i="2"/>
  <c r="Y25" i="2"/>
  <c r="X22" i="2"/>
  <c r="X23" i="2"/>
  <c r="D58" i="5"/>
  <c r="D152" i="5" s="1"/>
  <c r="AE8" i="2" s="1"/>
  <c r="H58" i="5"/>
  <c r="H152" i="5" s="1"/>
  <c r="AE12" i="2" s="1"/>
  <c r="G23" i="3"/>
  <c r="G28" i="3" s="1"/>
  <c r="B20" i="2"/>
  <c r="C19" i="2"/>
  <c r="G58" i="5"/>
  <c r="G152" i="5" s="1"/>
  <c r="AE11" i="2" s="1"/>
  <c r="L57" i="5"/>
  <c r="L22" i="3" s="1"/>
  <c r="Y21" i="4"/>
  <c r="Y17" i="4"/>
  <c r="Y12" i="4"/>
  <c r="Y5" i="4"/>
  <c r="Y7" i="4"/>
  <c r="Y19" i="4"/>
  <c r="Y14" i="4"/>
  <c r="Y13" i="4"/>
  <c r="Y23" i="4"/>
  <c r="Y18" i="4"/>
  <c r="Y10" i="4"/>
  <c r="Y11" i="4"/>
  <c r="Y22" i="4"/>
  <c r="Y16" i="4"/>
  <c r="Y8" i="4"/>
  <c r="Y9" i="4"/>
  <c r="Y20" i="4"/>
  <c r="Y15" i="4"/>
  <c r="Y6" i="4"/>
  <c r="Y4" i="4"/>
  <c r="J23" i="3"/>
  <c r="J28" i="3" s="1"/>
  <c r="K58" i="5"/>
  <c r="K152" i="5" s="1"/>
  <c r="AE15" i="2" s="1"/>
  <c r="I58" i="5"/>
  <c r="I152" i="5" s="1"/>
  <c r="AE13" i="2" s="1"/>
  <c r="E58" i="5"/>
  <c r="E152" i="5" s="1"/>
  <c r="AE9" i="2" s="1"/>
  <c r="L14" i="5"/>
  <c r="L7" i="3"/>
  <c r="L14" i="3" s="1"/>
  <c r="L15" i="3" s="1"/>
  <c r="L15" i="5"/>
  <c r="L133" i="5"/>
  <c r="L24" i="3" s="1"/>
  <c r="L28" i="5"/>
  <c r="L19" i="3" s="1"/>
  <c r="L32" i="5"/>
  <c r="L20" i="3" s="1"/>
  <c r="C46" i="5"/>
  <c r="C21" i="3" s="1"/>
  <c r="BN58" i="5"/>
  <c r="BN152" i="5" s="1"/>
  <c r="K23" i="3"/>
  <c r="K28" i="3" s="1"/>
  <c r="AN11" i="7"/>
  <c r="AN507" i="7" s="1"/>
  <c r="C39" i="4" s="1"/>
  <c r="C40" i="4" s="1"/>
  <c r="AD506" i="6"/>
  <c r="I23" i="3"/>
  <c r="I28" i="3" s="1"/>
  <c r="J58" i="5"/>
  <c r="J152" i="5" s="1"/>
  <c r="AE14" i="2" s="1"/>
  <c r="L46" i="5"/>
  <c r="L21" i="3" s="1"/>
  <c r="M147" i="5"/>
  <c r="M125" i="5"/>
  <c r="M122" i="5"/>
  <c r="M132" i="5"/>
  <c r="M142" i="5"/>
  <c r="M141" i="5"/>
  <c r="M120" i="5"/>
  <c r="M112" i="5"/>
  <c r="M137" i="5"/>
  <c r="M115" i="5"/>
  <c r="M107" i="5"/>
  <c r="M100" i="5"/>
  <c r="M92" i="5"/>
  <c r="M103" i="5"/>
  <c r="M95" i="5"/>
  <c r="M87" i="5"/>
  <c r="M80" i="5"/>
  <c r="M72" i="5"/>
  <c r="M64" i="5"/>
  <c r="M51" i="5" a="1"/>
  <c r="M51" i="5" s="1"/>
  <c r="M79" i="5"/>
  <c r="M71" i="5"/>
  <c r="M63" i="5"/>
  <c r="M52" i="5" a="1"/>
  <c r="M52" i="5" s="1"/>
  <c r="M40" i="5" a="1"/>
  <c r="M40" i="5" s="1"/>
  <c r="M45" i="5" a="1"/>
  <c r="M45" i="5" s="1"/>
  <c r="M34" i="5" a="1"/>
  <c r="M34" i="5" s="1"/>
  <c r="M24" i="5" a="1"/>
  <c r="M24" i="5" s="1"/>
  <c r="M26" i="5" a="1"/>
  <c r="M26" i="5" s="1"/>
  <c r="M3" i="3"/>
  <c r="M130" i="5"/>
  <c r="M129" i="5"/>
  <c r="M128" i="5"/>
  <c r="M146" i="5"/>
  <c r="M143" i="5"/>
  <c r="M118" i="5"/>
  <c r="M108" i="5"/>
  <c r="M117" i="5"/>
  <c r="M106" i="5"/>
  <c r="M96" i="5"/>
  <c r="M105" i="5"/>
  <c r="M93" i="5"/>
  <c r="M84" i="5"/>
  <c r="M74" i="5"/>
  <c r="M62" i="5"/>
  <c r="M83" i="5"/>
  <c r="M73" i="5"/>
  <c r="M61" i="5"/>
  <c r="M60" i="5"/>
  <c r="M48" i="5" a="1"/>
  <c r="M48" i="5" s="1"/>
  <c r="M31" i="5" a="1"/>
  <c r="M31" i="5" s="1"/>
  <c r="M23" i="5" a="1"/>
  <c r="M23" i="5" s="1"/>
  <c r="N3" i="5"/>
  <c r="M121" i="5"/>
  <c r="M131" i="5"/>
  <c r="M144" i="5"/>
  <c r="M140" i="5"/>
  <c r="M116" i="5"/>
  <c r="M139" i="5"/>
  <c r="M113" i="5"/>
  <c r="M104" i="5"/>
  <c r="M94" i="5"/>
  <c r="M101" i="5"/>
  <c r="M91" i="5"/>
  <c r="M82" i="5"/>
  <c r="M70" i="5"/>
  <c r="M55" i="5" a="1"/>
  <c r="M55" i="5" s="1"/>
  <c r="M81" i="5"/>
  <c r="M69" i="5"/>
  <c r="M56" i="5" a="1"/>
  <c r="M56" i="5" s="1"/>
  <c r="M49" i="5" a="1"/>
  <c r="M49" i="5" s="1"/>
  <c r="M41" i="5" a="1"/>
  <c r="M41" i="5" s="1"/>
  <c r="M25" i="5" a="1"/>
  <c r="M25" i="5" s="1"/>
  <c r="M35" i="5" a="1"/>
  <c r="M35" i="5" s="1"/>
  <c r="Z3" i="4"/>
  <c r="M123" i="5"/>
  <c r="M124" i="5"/>
  <c r="M148" i="5"/>
  <c r="M138" i="5"/>
  <c r="M114" i="5"/>
  <c r="M135" i="5"/>
  <c r="M111" i="5"/>
  <c r="M102" i="5"/>
  <c r="M90" i="5"/>
  <c r="M99" i="5"/>
  <c r="M89" i="5"/>
  <c r="M78" i="5"/>
  <c r="M68" i="5"/>
  <c r="M53" i="5" a="1"/>
  <c r="M53" i="5" s="1"/>
  <c r="M77" i="5"/>
  <c r="M67" i="5"/>
  <c r="M54" i="5" a="1"/>
  <c r="M54" i="5" s="1"/>
  <c r="M38" i="5" a="1"/>
  <c r="M38" i="5" s="1"/>
  <c r="M39" i="5" a="1"/>
  <c r="M39" i="5" s="1"/>
  <c r="M30" i="5" a="1"/>
  <c r="M30" i="5" s="1"/>
  <c r="M32" i="5" s="1"/>
  <c r="M20" i="3" s="1"/>
  <c r="M22" i="5" a="1"/>
  <c r="M22" i="5" s="1"/>
  <c r="M127" i="5"/>
  <c r="M126" i="5"/>
  <c r="M145" i="5"/>
  <c r="M136" i="5"/>
  <c r="M110" i="5"/>
  <c r="M119" i="5"/>
  <c r="M109" i="5"/>
  <c r="M98" i="5"/>
  <c r="M88" i="5"/>
  <c r="M97" i="5"/>
  <c r="M86" i="5"/>
  <c r="M76" i="5"/>
  <c r="M66" i="5"/>
  <c r="M85" i="5"/>
  <c r="M75" i="5"/>
  <c r="M65" i="5"/>
  <c r="M50" i="5" a="1"/>
  <c r="M50" i="5" s="1"/>
  <c r="M36" i="5" a="1"/>
  <c r="M36" i="5" s="1"/>
  <c r="M37" i="5" a="1"/>
  <c r="M37" i="5" s="1"/>
  <c r="M21" i="5" a="1"/>
  <c r="M21" i="5" s="1"/>
  <c r="M20" i="5" a="1"/>
  <c r="M20" i="5" s="1"/>
  <c r="C23" i="3"/>
  <c r="X34" i="4"/>
  <c r="AL507" i="7"/>
  <c r="X27" i="2" l="1"/>
  <c r="X26" i="2"/>
  <c r="D37" i="2"/>
  <c r="AH34" i="2"/>
  <c r="Y28" i="2"/>
  <c r="V28" i="2"/>
  <c r="Y29" i="2"/>
  <c r="V29" i="2"/>
  <c r="AC29" i="2" s="1"/>
  <c r="AB25" i="2"/>
  <c r="AC25" i="2"/>
  <c r="T31" i="2"/>
  <c r="T32" i="2"/>
  <c r="X25" i="2"/>
  <c r="AB11" i="2"/>
  <c r="G7" i="5" s="1"/>
  <c r="L58" i="5"/>
  <c r="L152" i="5" s="1"/>
  <c r="AE16" i="2" s="1"/>
  <c r="C28" i="3"/>
  <c r="M28" i="5"/>
  <c r="M19" i="3" s="1"/>
  <c r="M149" i="5"/>
  <c r="M25" i="3" s="1"/>
  <c r="N126" i="5"/>
  <c r="N123" i="5"/>
  <c r="N131" i="5"/>
  <c r="N148" i="5"/>
  <c r="N144" i="5"/>
  <c r="N135" i="5"/>
  <c r="N113" i="5"/>
  <c r="N138" i="5"/>
  <c r="N116" i="5"/>
  <c r="N106" i="5"/>
  <c r="N98" i="5"/>
  <c r="N107" i="5"/>
  <c r="N101" i="5"/>
  <c r="N93" i="5"/>
  <c r="N109" i="5"/>
  <c r="N81" i="5"/>
  <c r="N73" i="5"/>
  <c r="N65" i="5"/>
  <c r="N54" i="5" a="1"/>
  <c r="N54" i="5" s="1"/>
  <c r="N86" i="5"/>
  <c r="N78" i="5"/>
  <c r="N70" i="5"/>
  <c r="N62" i="5"/>
  <c r="N51" i="5" a="1"/>
  <c r="N51" i="5" s="1"/>
  <c r="N39" i="5" a="1"/>
  <c r="N39" i="5" s="1"/>
  <c r="N38" i="5" a="1"/>
  <c r="N38" i="5" s="1"/>
  <c r="N23" i="5" a="1"/>
  <c r="N23" i="5" s="1"/>
  <c r="N26" i="5" a="1"/>
  <c r="N26" i="5" s="1"/>
  <c r="N25" i="5" a="1"/>
  <c r="N25" i="5" s="1"/>
  <c r="N128" i="5"/>
  <c r="N127" i="5"/>
  <c r="N132" i="5"/>
  <c r="N143" i="5"/>
  <c r="N137" i="5"/>
  <c r="N111" i="5"/>
  <c r="N120" i="5"/>
  <c r="N110" i="5"/>
  <c r="N96" i="5"/>
  <c r="N105" i="5"/>
  <c r="N95" i="5"/>
  <c r="N90" i="5"/>
  <c r="N77" i="5"/>
  <c r="N67" i="5"/>
  <c r="N52" i="5" a="1"/>
  <c r="N52" i="5" s="1"/>
  <c r="N82" i="5"/>
  <c r="N72" i="5"/>
  <c r="N60" i="5"/>
  <c r="N45" i="5" a="1"/>
  <c r="N45" i="5" s="1"/>
  <c r="N40" i="5" a="1"/>
  <c r="N40" i="5" s="1"/>
  <c r="N22" i="5" a="1"/>
  <c r="N22" i="5" s="1"/>
  <c r="N34" i="5" a="1"/>
  <c r="N34" i="5" s="1"/>
  <c r="N3" i="3"/>
  <c r="N130" i="5"/>
  <c r="N129" i="5"/>
  <c r="N141" i="5"/>
  <c r="N119" i="5"/>
  <c r="N142" i="5"/>
  <c r="N118" i="5"/>
  <c r="N104" i="5"/>
  <c r="N94" i="5"/>
  <c r="N103" i="5"/>
  <c r="N91" i="5"/>
  <c r="N85" i="5"/>
  <c r="N75" i="5"/>
  <c r="N63" i="5"/>
  <c r="N50" i="5" a="1"/>
  <c r="N50" i="5" s="1"/>
  <c r="N80" i="5"/>
  <c r="N68" i="5"/>
  <c r="N55" i="5" a="1"/>
  <c r="N55" i="5" s="1"/>
  <c r="N41" i="5" a="1"/>
  <c r="N41" i="5" s="1"/>
  <c r="N36" i="5" a="1"/>
  <c r="N36" i="5" s="1"/>
  <c r="N20" i="5" a="1"/>
  <c r="N20" i="5" s="1"/>
  <c r="N31" i="5" a="1"/>
  <c r="N31" i="5" s="1"/>
  <c r="N121" i="5"/>
  <c r="N122" i="5"/>
  <c r="N146" i="5"/>
  <c r="N117" i="5"/>
  <c r="N140" i="5"/>
  <c r="N114" i="5"/>
  <c r="N102" i="5"/>
  <c r="N92" i="5"/>
  <c r="N99" i="5"/>
  <c r="N89" i="5"/>
  <c r="N83" i="5"/>
  <c r="N71" i="5"/>
  <c r="N61" i="5"/>
  <c r="N88" i="5"/>
  <c r="N76" i="5"/>
  <c r="N66" i="5"/>
  <c r="N53" i="5" a="1"/>
  <c r="N53" i="5" s="1"/>
  <c r="N37" i="5" a="1"/>
  <c r="N37" i="5" s="1"/>
  <c r="N30" i="5" a="1"/>
  <c r="N30" i="5" s="1"/>
  <c r="N35" i="5" a="1"/>
  <c r="N35" i="5" s="1"/>
  <c r="N21" i="5" a="1"/>
  <c r="N21" i="5" s="1"/>
  <c r="N147" i="5"/>
  <c r="N125" i="5"/>
  <c r="N124" i="5"/>
  <c r="N145" i="5"/>
  <c r="N139" i="5"/>
  <c r="N115" i="5"/>
  <c r="N136" i="5"/>
  <c r="N112" i="5"/>
  <c r="N100" i="5"/>
  <c r="N108" i="5"/>
  <c r="N97" i="5"/>
  <c r="N87" i="5"/>
  <c r="N79" i="5"/>
  <c r="N69" i="5"/>
  <c r="N56" i="5" a="1"/>
  <c r="N56" i="5" s="1"/>
  <c r="N84" i="5"/>
  <c r="N74" i="5"/>
  <c r="N64" i="5"/>
  <c r="N48" i="5" a="1"/>
  <c r="N48" i="5" s="1"/>
  <c r="N49" i="5" a="1"/>
  <c r="N49" i="5" s="1"/>
  <c r="N24" i="5" a="1"/>
  <c r="N24" i="5" s="1"/>
  <c r="O3" i="5"/>
  <c r="AA3" i="4"/>
  <c r="M133" i="5"/>
  <c r="M24" i="3" s="1"/>
  <c r="L23" i="3"/>
  <c r="L28" i="3" s="1"/>
  <c r="Y34" i="4"/>
  <c r="C58" i="5"/>
  <c r="C152" i="5" s="1"/>
  <c r="AE7" i="2" s="1"/>
  <c r="Z23" i="4"/>
  <c r="Z19" i="4"/>
  <c r="Z15" i="4"/>
  <c r="Z11" i="4"/>
  <c r="Z7" i="4"/>
  <c r="Z22" i="4"/>
  <c r="Z17" i="4"/>
  <c r="Z12" i="4"/>
  <c r="Z6" i="4"/>
  <c r="Z21" i="4"/>
  <c r="Z16" i="4"/>
  <c r="Z10" i="4"/>
  <c r="Z5" i="4"/>
  <c r="Z20" i="4"/>
  <c r="Z14" i="4"/>
  <c r="Z9" i="4"/>
  <c r="Z4" i="4"/>
  <c r="Z18" i="4"/>
  <c r="Z13" i="4"/>
  <c r="Z8" i="4"/>
  <c r="M46" i="5"/>
  <c r="M21" i="3" s="1"/>
  <c r="B21" i="2"/>
  <c r="C20" i="2"/>
  <c r="M57" i="5"/>
  <c r="M22" i="3" s="1"/>
  <c r="T34" i="2" l="1"/>
  <c r="T35" i="2"/>
  <c r="AC28" i="2"/>
  <c r="AB28" i="2"/>
  <c r="X30" i="2"/>
  <c r="X28" i="2"/>
  <c r="D40" i="2"/>
  <c r="AH37" i="2"/>
  <c r="Y32" i="2"/>
  <c r="V32" i="2"/>
  <c r="AC32" i="2" s="1"/>
  <c r="V31" i="2"/>
  <c r="Y31" i="2"/>
  <c r="X29" i="2"/>
  <c r="O124" i="5"/>
  <c r="O132" i="5"/>
  <c r="O127" i="5"/>
  <c r="O148" i="5"/>
  <c r="O146" i="5"/>
  <c r="O137" i="5"/>
  <c r="O115" i="5"/>
  <c r="O107" i="5"/>
  <c r="O120" i="5"/>
  <c r="O112" i="5"/>
  <c r="O103" i="5"/>
  <c r="O95" i="5"/>
  <c r="O87" i="5"/>
  <c r="O100" i="5"/>
  <c r="O92" i="5"/>
  <c r="O83" i="5"/>
  <c r="O75" i="5"/>
  <c r="O67" i="5"/>
  <c r="O55" i="5" a="1"/>
  <c r="O55" i="5" s="1"/>
  <c r="O84" i="5"/>
  <c r="O76" i="5"/>
  <c r="O68" i="5"/>
  <c r="O60" i="5"/>
  <c r="O50" i="5" a="1"/>
  <c r="O50" i="5" s="1"/>
  <c r="O36" i="5" a="1"/>
  <c r="O36" i="5" s="1"/>
  <c r="O39" i="5" a="1"/>
  <c r="O39" i="5" s="1"/>
  <c r="O26" i="5" a="1"/>
  <c r="O26" i="5" s="1"/>
  <c r="O31" i="5" a="1"/>
  <c r="O31" i="5" s="1"/>
  <c r="O22" i="5" a="1"/>
  <c r="O22" i="5" s="1"/>
  <c r="O126" i="5"/>
  <c r="O123" i="5"/>
  <c r="O145" i="5"/>
  <c r="O142" i="5"/>
  <c r="O117" i="5"/>
  <c r="O140" i="5"/>
  <c r="O116" i="5"/>
  <c r="O105" i="5"/>
  <c r="O93" i="5"/>
  <c r="O104" i="5"/>
  <c r="O94" i="5"/>
  <c r="O81" i="5"/>
  <c r="O71" i="5"/>
  <c r="O61" i="5"/>
  <c r="O82" i="5"/>
  <c r="O72" i="5"/>
  <c r="O62" i="5"/>
  <c r="O49" i="5" a="1"/>
  <c r="O49" i="5" s="1"/>
  <c r="O45" i="5" a="1"/>
  <c r="O45" i="5" s="1"/>
  <c r="O35" i="5" a="1"/>
  <c r="O35" i="5" s="1"/>
  <c r="O25" i="5" a="1"/>
  <c r="O25" i="5" s="1"/>
  <c r="AB3" i="4"/>
  <c r="O128" i="5"/>
  <c r="O125" i="5"/>
  <c r="O143" i="5"/>
  <c r="O139" i="5"/>
  <c r="O113" i="5"/>
  <c r="O138" i="5"/>
  <c r="O114" i="5"/>
  <c r="O101" i="5"/>
  <c r="O91" i="5"/>
  <c r="O102" i="5"/>
  <c r="O90" i="5"/>
  <c r="O79" i="5"/>
  <c r="O69" i="5"/>
  <c r="O53" i="5" a="1"/>
  <c r="O53" i="5" s="1"/>
  <c r="O80" i="5"/>
  <c r="O70" i="5"/>
  <c r="O56" i="5" a="1"/>
  <c r="O56" i="5" s="1"/>
  <c r="O40" i="5" a="1"/>
  <c r="O40" i="5" s="1"/>
  <c r="O41" i="5" a="1"/>
  <c r="O41" i="5" s="1"/>
  <c r="O21" i="5" a="1"/>
  <c r="O21" i="5" s="1"/>
  <c r="O30" i="5" a="1"/>
  <c r="O30" i="5" s="1"/>
  <c r="O32" i="5" s="1"/>
  <c r="O20" i="3" s="1"/>
  <c r="O3" i="3"/>
  <c r="O147" i="5"/>
  <c r="O130" i="5"/>
  <c r="O131" i="5"/>
  <c r="O141" i="5"/>
  <c r="O135" i="5"/>
  <c r="O111" i="5"/>
  <c r="O136" i="5"/>
  <c r="O110" i="5"/>
  <c r="O99" i="5"/>
  <c r="O89" i="5"/>
  <c r="O98" i="5"/>
  <c r="O88" i="5"/>
  <c r="O77" i="5"/>
  <c r="O65" i="5"/>
  <c r="O51" i="5" a="1"/>
  <c r="O51" i="5" s="1"/>
  <c r="O78" i="5"/>
  <c r="O66" i="5"/>
  <c r="O54" i="5" a="1"/>
  <c r="O54" i="5" s="1"/>
  <c r="O38" i="5" a="1"/>
  <c r="O38" i="5" s="1"/>
  <c r="O37" i="5" a="1"/>
  <c r="O37" i="5" s="1"/>
  <c r="P3" i="5"/>
  <c r="O24" i="5" a="1"/>
  <c r="O24" i="5" s="1"/>
  <c r="O122" i="5"/>
  <c r="O121" i="5"/>
  <c r="O129" i="5"/>
  <c r="O144" i="5"/>
  <c r="O119" i="5"/>
  <c r="O109" i="5"/>
  <c r="O118" i="5"/>
  <c r="O108" i="5"/>
  <c r="O97" i="5"/>
  <c r="O106" i="5"/>
  <c r="O96" i="5"/>
  <c r="O85" i="5"/>
  <c r="O73" i="5"/>
  <c r="O63" i="5"/>
  <c r="O86" i="5"/>
  <c r="O74" i="5"/>
  <c r="O64" i="5"/>
  <c r="O52" i="5" a="1"/>
  <c r="O52" i="5" s="1"/>
  <c r="O48" i="5" a="1"/>
  <c r="O48" i="5" s="1"/>
  <c r="O23" i="5" a="1"/>
  <c r="O23" i="5" s="1"/>
  <c r="O34" i="5" a="1"/>
  <c r="O34" i="5" s="1"/>
  <c r="O20" i="5" a="1"/>
  <c r="O20" i="5" s="1"/>
  <c r="O7" i="5"/>
  <c r="N32" i="5"/>
  <c r="N20" i="3" s="1"/>
  <c r="N28" i="5"/>
  <c r="N19" i="3" s="1"/>
  <c r="M152" i="5"/>
  <c r="AE17" i="2" s="1"/>
  <c r="N46" i="5"/>
  <c r="N21" i="3" s="1"/>
  <c r="N133" i="5"/>
  <c r="N24" i="3" s="1"/>
  <c r="M58" i="5"/>
  <c r="G7" i="3"/>
  <c r="G14" i="3" s="1"/>
  <c r="G15" i="3" s="1"/>
  <c r="G14" i="5"/>
  <c r="G15" i="5" s="1"/>
  <c r="B22" i="2"/>
  <c r="C21" i="2"/>
  <c r="N149" i="5"/>
  <c r="N25" i="3" s="1"/>
  <c r="M23" i="3"/>
  <c r="M28" i="3" s="1"/>
  <c r="Z34" i="4"/>
  <c r="AA22" i="4"/>
  <c r="AA18" i="4"/>
  <c r="AA14" i="4"/>
  <c r="AA10" i="4"/>
  <c r="AA6" i="4"/>
  <c r="AA23" i="4"/>
  <c r="AA17" i="4"/>
  <c r="AA12" i="4"/>
  <c r="AA7" i="4"/>
  <c r="AA21" i="4"/>
  <c r="AA16" i="4"/>
  <c r="AA11" i="4"/>
  <c r="AA5" i="4"/>
  <c r="AA20" i="4"/>
  <c r="AA15" i="4"/>
  <c r="AA9" i="4"/>
  <c r="AA4" i="4"/>
  <c r="AA19" i="4"/>
  <c r="AA13" i="4"/>
  <c r="AA8" i="4"/>
  <c r="N57" i="5"/>
  <c r="N22" i="3" s="1"/>
  <c r="O46" i="5" l="1"/>
  <c r="O21" i="3" s="1"/>
  <c r="X31" i="2"/>
  <c r="V35" i="2"/>
  <c r="AC35" i="2" s="1"/>
  <c r="Y35" i="2"/>
  <c r="X32" i="2"/>
  <c r="T38" i="2"/>
  <c r="T37" i="2"/>
  <c r="X33" i="2"/>
  <c r="Y34" i="2"/>
  <c r="V34" i="2"/>
  <c r="AC31" i="2"/>
  <c r="AB31" i="2"/>
  <c r="D43" i="2"/>
  <c r="AH40" i="2"/>
  <c r="O57" i="5"/>
  <c r="O22" i="3" s="1"/>
  <c r="AB14" i="2"/>
  <c r="AB21" i="4"/>
  <c r="AB22" i="4"/>
  <c r="AB17" i="4"/>
  <c r="AB13" i="4"/>
  <c r="AB9" i="4"/>
  <c r="AB6" i="4"/>
  <c r="AB20" i="4"/>
  <c r="AB16" i="4"/>
  <c r="AB12" i="4"/>
  <c r="AB8" i="4"/>
  <c r="AB5" i="4"/>
  <c r="AB19" i="4"/>
  <c r="AB15" i="4"/>
  <c r="AB11" i="4"/>
  <c r="AB7" i="4"/>
  <c r="AB23" i="4"/>
  <c r="AB18" i="4"/>
  <c r="AB14" i="4"/>
  <c r="AB10" i="4"/>
  <c r="AB4" i="4"/>
  <c r="AB34" i="4" s="1"/>
  <c r="O133" i="5"/>
  <c r="O24" i="3" s="1"/>
  <c r="AA34" i="4"/>
  <c r="N58" i="5"/>
  <c r="N152" i="5" s="1"/>
  <c r="AE18" i="2" s="1"/>
  <c r="O14" i="5"/>
  <c r="O15" i="5" s="1"/>
  <c r="O7" i="3"/>
  <c r="O14" i="3" s="1"/>
  <c r="O15" i="3" s="1"/>
  <c r="P124" i="5"/>
  <c r="P123" i="5"/>
  <c r="P127" i="5"/>
  <c r="P122" i="5"/>
  <c r="P129" i="5"/>
  <c r="P125" i="5"/>
  <c r="P142" i="5"/>
  <c r="P138" i="5"/>
  <c r="P116" i="5"/>
  <c r="P143" i="5"/>
  <c r="P119" i="5"/>
  <c r="P111" i="5"/>
  <c r="P103" i="5"/>
  <c r="P95" i="5"/>
  <c r="P106" i="5"/>
  <c r="P98" i="5"/>
  <c r="P90" i="5"/>
  <c r="P84" i="5"/>
  <c r="P76" i="5"/>
  <c r="P68" i="5"/>
  <c r="P60" i="5"/>
  <c r="P50" i="5" a="1"/>
  <c r="P50" i="5" s="1"/>
  <c r="P83" i="5"/>
  <c r="P75" i="5"/>
  <c r="P67" i="5"/>
  <c r="P55" i="5" a="1"/>
  <c r="P55" i="5" s="1"/>
  <c r="P45" i="5" a="1"/>
  <c r="P45" i="5" s="1"/>
  <c r="P49" i="5" a="1"/>
  <c r="P49" i="5" s="1"/>
  <c r="P35" i="5" a="1"/>
  <c r="P35" i="5" s="1"/>
  <c r="P31" i="5" a="1"/>
  <c r="P31" i="5" s="1"/>
  <c r="P30" i="5" a="1"/>
  <c r="P30" i="5" s="1"/>
  <c r="P3" i="3"/>
  <c r="P126" i="5"/>
  <c r="P131" i="5"/>
  <c r="P145" i="5"/>
  <c r="P136" i="5"/>
  <c r="P114" i="5"/>
  <c r="P139" i="5"/>
  <c r="P117" i="5"/>
  <c r="P109" i="5"/>
  <c r="P101" i="5"/>
  <c r="P93" i="5"/>
  <c r="P104" i="5"/>
  <c r="P96" i="5"/>
  <c r="P88" i="5"/>
  <c r="P82" i="5"/>
  <c r="P74" i="5"/>
  <c r="P66" i="5"/>
  <c r="P56" i="5" a="1"/>
  <c r="P56" i="5" s="1"/>
  <c r="P87" i="5"/>
  <c r="P81" i="5"/>
  <c r="P73" i="5"/>
  <c r="P65" i="5"/>
  <c r="P53" i="5" a="1"/>
  <c r="P53" i="5" s="1"/>
  <c r="P41" i="5" a="1"/>
  <c r="P41" i="5" s="1"/>
  <c r="P40" i="5" a="1"/>
  <c r="P40" i="5" s="1"/>
  <c r="P26" i="5" a="1"/>
  <c r="P26" i="5" s="1"/>
  <c r="P25" i="5" a="1"/>
  <c r="P25" i="5" s="1"/>
  <c r="P24" i="5" a="1"/>
  <c r="P24" i="5" s="1"/>
  <c r="AC3" i="4"/>
  <c r="P128" i="5"/>
  <c r="P132" i="5"/>
  <c r="P146" i="5"/>
  <c r="P148" i="5"/>
  <c r="P120" i="5"/>
  <c r="P112" i="5"/>
  <c r="P137" i="5"/>
  <c r="P115" i="5"/>
  <c r="P107" i="5"/>
  <c r="P99" i="5"/>
  <c r="P91" i="5"/>
  <c r="P102" i="5"/>
  <c r="P94" i="5"/>
  <c r="P110" i="5"/>
  <c r="P80" i="5"/>
  <c r="P72" i="5"/>
  <c r="P64" i="5"/>
  <c r="P54" i="5" a="1"/>
  <c r="P54" i="5" s="1"/>
  <c r="P89" i="5"/>
  <c r="P79" i="5"/>
  <c r="P71" i="5"/>
  <c r="P63" i="5"/>
  <c r="P51" i="5" a="1"/>
  <c r="P51" i="5" s="1"/>
  <c r="P39" i="5" a="1"/>
  <c r="P39" i="5" s="1"/>
  <c r="BK39" i="5" s="1"/>
  <c r="P38" i="5" a="1"/>
  <c r="P38" i="5" s="1"/>
  <c r="Q3" i="5"/>
  <c r="P22" i="5" a="1"/>
  <c r="P22" i="5" s="1"/>
  <c r="P23" i="5" a="1"/>
  <c r="P23" i="5" s="1"/>
  <c r="P147" i="5"/>
  <c r="P121" i="5"/>
  <c r="P130" i="5"/>
  <c r="P144" i="5"/>
  <c r="P140" i="5"/>
  <c r="P118" i="5"/>
  <c r="P141" i="5"/>
  <c r="P135" i="5"/>
  <c r="P113" i="5"/>
  <c r="P105" i="5"/>
  <c r="P97" i="5"/>
  <c r="P108" i="5"/>
  <c r="P100" i="5"/>
  <c r="P92" i="5"/>
  <c r="P86" i="5"/>
  <c r="P78" i="5"/>
  <c r="P70" i="5"/>
  <c r="P62" i="5"/>
  <c r="P52" i="5" a="1"/>
  <c r="P52" i="5" s="1"/>
  <c r="P85" i="5"/>
  <c r="P77" i="5"/>
  <c r="P69" i="5"/>
  <c r="P61" i="5"/>
  <c r="P48" i="5" a="1"/>
  <c r="P48" i="5" s="1"/>
  <c r="P37" i="5" a="1"/>
  <c r="P37" i="5" s="1"/>
  <c r="P36" i="5" a="1"/>
  <c r="P36" i="5" s="1"/>
  <c r="P34" i="5" a="1"/>
  <c r="P34" i="5" s="1"/>
  <c r="P20" i="5" a="1"/>
  <c r="P20" i="5" s="1"/>
  <c r="P21" i="5" a="1"/>
  <c r="P21" i="5" s="1"/>
  <c r="O149" i="5"/>
  <c r="O25" i="3" s="1"/>
  <c r="B23" i="2"/>
  <c r="C22" i="2"/>
  <c r="N23" i="3"/>
  <c r="O28" i="5"/>
  <c r="O19" i="3" s="1"/>
  <c r="Y37" i="2" l="1"/>
  <c r="V37" i="2"/>
  <c r="X36" i="2"/>
  <c r="T41" i="2"/>
  <c r="T40" i="2"/>
  <c r="Y38" i="2"/>
  <c r="V38" i="2"/>
  <c r="AC38" i="2" s="1"/>
  <c r="D46" i="2"/>
  <c r="AH43" i="2"/>
  <c r="AC34" i="2"/>
  <c r="AB34" i="2"/>
  <c r="X35" i="2"/>
  <c r="X34" i="2"/>
  <c r="X37" i="2"/>
  <c r="X39" i="2"/>
  <c r="P32" i="5"/>
  <c r="P20" i="3" s="1"/>
  <c r="O23" i="3"/>
  <c r="O28" i="3" s="1"/>
  <c r="N28" i="3"/>
  <c r="C23" i="2"/>
  <c r="B24" i="2"/>
  <c r="Q131" i="5"/>
  <c r="Q128" i="5"/>
  <c r="Q125" i="5"/>
  <c r="Q142" i="5"/>
  <c r="Q141" i="5"/>
  <c r="Q120" i="5"/>
  <c r="Q112" i="5"/>
  <c r="Q137" i="5"/>
  <c r="Q115" i="5"/>
  <c r="Q107" i="5"/>
  <c r="Q100" i="5"/>
  <c r="Q92" i="5"/>
  <c r="Q103" i="5"/>
  <c r="Q95" i="5"/>
  <c r="Q87" i="5"/>
  <c r="Q80" i="5"/>
  <c r="Q72" i="5"/>
  <c r="Q64" i="5"/>
  <c r="Q51" i="5" a="1"/>
  <c r="Q51" i="5" s="1"/>
  <c r="Q79" i="5"/>
  <c r="Q71" i="5"/>
  <c r="Q63" i="5"/>
  <c r="Q52" i="5" a="1"/>
  <c r="Q52" i="5" s="1"/>
  <c r="Q40" i="5" a="1"/>
  <c r="Q40" i="5" s="1"/>
  <c r="Q45" i="5" a="1"/>
  <c r="Q45" i="5" s="1"/>
  <c r="Q25" i="5" a="1"/>
  <c r="Q25" i="5" s="1"/>
  <c r="Q23" i="5" a="1"/>
  <c r="Q23" i="5" s="1"/>
  <c r="Q20" i="5" a="1"/>
  <c r="Q20" i="5" s="1"/>
  <c r="Q122" i="5"/>
  <c r="Q130" i="5"/>
  <c r="Q127" i="5"/>
  <c r="Q148" i="5"/>
  <c r="Q140" i="5"/>
  <c r="Q118" i="5"/>
  <c r="Q110" i="5"/>
  <c r="Q135" i="5"/>
  <c r="Q113" i="5"/>
  <c r="Q106" i="5"/>
  <c r="Q98" i="5"/>
  <c r="Q90" i="5"/>
  <c r="Q101" i="5"/>
  <c r="Q93" i="5"/>
  <c r="Q86" i="5"/>
  <c r="Q78" i="5"/>
  <c r="Q70" i="5"/>
  <c r="Q62" i="5"/>
  <c r="Q85" i="5"/>
  <c r="Q77" i="5"/>
  <c r="Q69" i="5"/>
  <c r="Q61" i="5"/>
  <c r="Q50" i="5" a="1"/>
  <c r="Q50" i="5" s="1"/>
  <c r="Q38" i="5" a="1"/>
  <c r="Q38" i="5" s="1"/>
  <c r="Q37" i="5" a="1"/>
  <c r="Q37" i="5" s="1"/>
  <c r="Q30" i="5" a="1"/>
  <c r="Q30" i="5" s="1"/>
  <c r="Q35" i="5" a="1"/>
  <c r="Q35" i="5" s="1"/>
  <c r="R3" i="5"/>
  <c r="Q147" i="5"/>
  <c r="Q124" i="5"/>
  <c r="Q121" i="5"/>
  <c r="Q132" i="5"/>
  <c r="Q146" i="5"/>
  <c r="Q145" i="5"/>
  <c r="Q138" i="5"/>
  <c r="Q116" i="5"/>
  <c r="Q108" i="5"/>
  <c r="Q119" i="5"/>
  <c r="Q111" i="5"/>
  <c r="Q104" i="5"/>
  <c r="Q96" i="5"/>
  <c r="Q88" i="5"/>
  <c r="Q99" i="5"/>
  <c r="Q91" i="5"/>
  <c r="Q84" i="5"/>
  <c r="Q76" i="5"/>
  <c r="Q68" i="5"/>
  <c r="Q55" i="5" a="1"/>
  <c r="Q55" i="5" s="1"/>
  <c r="Q83" i="5"/>
  <c r="Q75" i="5"/>
  <c r="Q67" i="5"/>
  <c r="Q56" i="5" a="1"/>
  <c r="Q56" i="5" s="1"/>
  <c r="Q60" i="5"/>
  <c r="Q36" i="5" a="1"/>
  <c r="Q36" i="5" s="1"/>
  <c r="Q34" i="5" a="1"/>
  <c r="Q34" i="5" s="1"/>
  <c r="Q24" i="5" a="1"/>
  <c r="Q24" i="5" s="1"/>
  <c r="Q26" i="5" a="1"/>
  <c r="Q26" i="5" s="1"/>
  <c r="Q3" i="3"/>
  <c r="Q129" i="5"/>
  <c r="Q126" i="5"/>
  <c r="Q123" i="5"/>
  <c r="Q144" i="5"/>
  <c r="Q143" i="5"/>
  <c r="Q136" i="5"/>
  <c r="Q114" i="5"/>
  <c r="Q139" i="5"/>
  <c r="Q117" i="5"/>
  <c r="Q109" i="5"/>
  <c r="Q102" i="5"/>
  <c r="Q94" i="5"/>
  <c r="Q105" i="5"/>
  <c r="Q97" i="5"/>
  <c r="Q89" i="5"/>
  <c r="Q82" i="5"/>
  <c r="Q74" i="5"/>
  <c r="Q66" i="5"/>
  <c r="Q53" i="5" a="1"/>
  <c r="Q53" i="5" s="1"/>
  <c r="Q81" i="5"/>
  <c r="Q73" i="5"/>
  <c r="Q65" i="5"/>
  <c r="Q54" i="5" a="1"/>
  <c r="Q54" i="5" s="1"/>
  <c r="Q49" i="5" a="1"/>
  <c r="Q49" i="5" s="1"/>
  <c r="Q48" i="5" a="1"/>
  <c r="Q48" i="5" s="1"/>
  <c r="Q31" i="5" a="1"/>
  <c r="Q31" i="5" s="1"/>
  <c r="Q21" i="5" a="1"/>
  <c r="Q21" i="5" s="1"/>
  <c r="Q22" i="5" a="1"/>
  <c r="Q22" i="5" s="1"/>
  <c r="AD3" i="4"/>
  <c r="P133" i="5"/>
  <c r="P24" i="3" s="1"/>
  <c r="J7" i="5"/>
  <c r="P46" i="5"/>
  <c r="P21" i="3" s="1"/>
  <c r="O58" i="5"/>
  <c r="O152" i="5" s="1"/>
  <c r="AE19" i="2" s="1"/>
  <c r="P28" i="5"/>
  <c r="P19" i="3" s="1"/>
  <c r="P57" i="5"/>
  <c r="P22" i="3" s="1"/>
  <c r="P149" i="5"/>
  <c r="P25" i="3" s="1"/>
  <c r="AC21" i="4"/>
  <c r="AC17" i="4"/>
  <c r="AC12" i="4"/>
  <c r="AC5" i="4"/>
  <c r="AC7" i="4"/>
  <c r="AC20" i="4"/>
  <c r="AC16" i="4"/>
  <c r="AC10" i="4"/>
  <c r="AC13" i="4"/>
  <c r="AC4" i="4"/>
  <c r="AC23" i="4"/>
  <c r="AC19" i="4"/>
  <c r="AC15" i="4"/>
  <c r="AC8" i="4"/>
  <c r="AC11" i="4"/>
  <c r="AC22" i="4"/>
  <c r="AC18" i="4"/>
  <c r="AC14" i="4"/>
  <c r="AC6" i="4"/>
  <c r="AC9" i="4"/>
  <c r="Q57" i="5" l="1"/>
  <c r="Q22" i="3" s="1"/>
  <c r="V40" i="2"/>
  <c r="Y40" i="2"/>
  <c r="P58" i="5"/>
  <c r="P152" i="5" s="1"/>
  <c r="AE20" i="2" s="1"/>
  <c r="T44" i="2"/>
  <c r="T43" i="2"/>
  <c r="Y41" i="2"/>
  <c r="V41" i="2"/>
  <c r="X41" i="2" s="1"/>
  <c r="X38" i="2"/>
  <c r="D49" i="2"/>
  <c r="AH46" i="2"/>
  <c r="AC37" i="2"/>
  <c r="AB37" i="2"/>
  <c r="AD22" i="4"/>
  <c r="AD18" i="4"/>
  <c r="AD14" i="4"/>
  <c r="AD10" i="4"/>
  <c r="AD6" i="4"/>
  <c r="AD21" i="4"/>
  <c r="AD17" i="4"/>
  <c r="AD13" i="4"/>
  <c r="AD9" i="4"/>
  <c r="AD5" i="4"/>
  <c r="AD20" i="4"/>
  <c r="AD16" i="4"/>
  <c r="AD12" i="4"/>
  <c r="AD8" i="4"/>
  <c r="AD4" i="4"/>
  <c r="AD23" i="4"/>
  <c r="AD19" i="4"/>
  <c r="AD15" i="4"/>
  <c r="AD11" i="4"/>
  <c r="AD7" i="4"/>
  <c r="Q46" i="5"/>
  <c r="Q21" i="3" s="1"/>
  <c r="AC34" i="4"/>
  <c r="J7" i="3"/>
  <c r="J14" i="3" s="1"/>
  <c r="J15" i="3" s="1"/>
  <c r="J14" i="5"/>
  <c r="J15" i="5" s="1"/>
  <c r="Q32" i="5"/>
  <c r="Q20" i="3" s="1"/>
  <c r="AB17" i="2"/>
  <c r="Q133" i="5"/>
  <c r="Q24" i="3" s="1"/>
  <c r="P23" i="3"/>
  <c r="P28" i="3" s="1"/>
  <c r="R147" i="5"/>
  <c r="R122" i="5"/>
  <c r="R130" i="5"/>
  <c r="R131" i="5"/>
  <c r="R141" i="5"/>
  <c r="R135" i="5"/>
  <c r="R113" i="5"/>
  <c r="R140" i="5"/>
  <c r="R118" i="5"/>
  <c r="R110" i="5"/>
  <c r="R102" i="5"/>
  <c r="R94" i="5"/>
  <c r="R103" i="5"/>
  <c r="R95" i="5"/>
  <c r="R87" i="5"/>
  <c r="R81" i="5"/>
  <c r="R73" i="5"/>
  <c r="R65" i="5"/>
  <c r="R54" i="5" a="1"/>
  <c r="R54" i="5" s="1"/>
  <c r="R90" i="5"/>
  <c r="R80" i="5"/>
  <c r="R72" i="5"/>
  <c r="R64" i="5"/>
  <c r="R53" i="5" a="1"/>
  <c r="R53" i="5" s="1"/>
  <c r="R37" i="5" a="1"/>
  <c r="R37" i="5" s="1"/>
  <c r="R36" i="5" a="1"/>
  <c r="R36" i="5" s="1"/>
  <c r="R22" i="5" a="1"/>
  <c r="R22" i="5" s="1"/>
  <c r="S3" i="5"/>
  <c r="R21" i="5" a="1"/>
  <c r="R21" i="5" s="1"/>
  <c r="R125" i="5"/>
  <c r="R124" i="5"/>
  <c r="R132" i="5"/>
  <c r="R148" i="5"/>
  <c r="R146" i="5"/>
  <c r="R119" i="5"/>
  <c r="R111" i="5"/>
  <c r="R138" i="5"/>
  <c r="R116" i="5"/>
  <c r="R108" i="5"/>
  <c r="R100" i="5"/>
  <c r="R92" i="5"/>
  <c r="R101" i="5"/>
  <c r="R93" i="5"/>
  <c r="R107" i="5"/>
  <c r="R79" i="5"/>
  <c r="R71" i="5"/>
  <c r="R63" i="5"/>
  <c r="R52" i="5" a="1"/>
  <c r="R52" i="5" s="1"/>
  <c r="R86" i="5"/>
  <c r="R78" i="5"/>
  <c r="R70" i="5"/>
  <c r="R62" i="5"/>
  <c r="R51" i="5" a="1"/>
  <c r="R51" i="5" s="1"/>
  <c r="R49" i="5" a="1"/>
  <c r="R49" i="5" s="1"/>
  <c r="R30" i="5" a="1"/>
  <c r="R30" i="5" s="1"/>
  <c r="R20" i="5" a="1"/>
  <c r="R20" i="5" s="1"/>
  <c r="R34" i="5" a="1"/>
  <c r="R34" i="5" s="1"/>
  <c r="AE3" i="4"/>
  <c r="R127" i="5"/>
  <c r="R126" i="5"/>
  <c r="R121" i="5"/>
  <c r="R145" i="5"/>
  <c r="R139" i="5"/>
  <c r="R117" i="5"/>
  <c r="R142" i="5"/>
  <c r="R136" i="5"/>
  <c r="R114" i="5"/>
  <c r="R106" i="5"/>
  <c r="R98" i="5"/>
  <c r="R109" i="5"/>
  <c r="R99" i="5"/>
  <c r="R91" i="5"/>
  <c r="R85" i="5"/>
  <c r="R77" i="5"/>
  <c r="R69" i="5"/>
  <c r="R61" i="5"/>
  <c r="R50" i="5" a="1"/>
  <c r="R50" i="5" s="1"/>
  <c r="R84" i="5"/>
  <c r="R76" i="5"/>
  <c r="R68" i="5"/>
  <c r="R60" i="5"/>
  <c r="R48" i="5" a="1"/>
  <c r="R48" i="5" s="1"/>
  <c r="R40" i="5" a="1"/>
  <c r="R40" i="5" s="1"/>
  <c r="R24" i="5" a="1"/>
  <c r="R24" i="5" s="1"/>
  <c r="R35" i="5" a="1"/>
  <c r="R35" i="5" s="1"/>
  <c r="R31" i="5" a="1"/>
  <c r="R31" i="5" s="1"/>
  <c r="R3" i="3"/>
  <c r="R129" i="5"/>
  <c r="R128" i="5"/>
  <c r="R123" i="5"/>
  <c r="R143" i="5"/>
  <c r="R137" i="5"/>
  <c r="R115" i="5"/>
  <c r="R144" i="5"/>
  <c r="R120" i="5"/>
  <c r="R112" i="5"/>
  <c r="R104" i="5"/>
  <c r="R96" i="5"/>
  <c r="R105" i="5"/>
  <c r="R97" i="5"/>
  <c r="R89" i="5"/>
  <c r="R83" i="5"/>
  <c r="R75" i="5"/>
  <c r="R67" i="5"/>
  <c r="R56" i="5" a="1"/>
  <c r="R56" i="5" s="1"/>
  <c r="R88" i="5"/>
  <c r="R82" i="5"/>
  <c r="R74" i="5"/>
  <c r="R66" i="5"/>
  <c r="R55" i="5" a="1"/>
  <c r="R55" i="5" s="1"/>
  <c r="R45" i="5" a="1"/>
  <c r="R45" i="5" s="1"/>
  <c r="R38" i="5" a="1"/>
  <c r="R38" i="5" s="1"/>
  <c r="R23" i="5" a="1"/>
  <c r="R23" i="5" s="1"/>
  <c r="R26" i="5" a="1"/>
  <c r="R26" i="5" s="1"/>
  <c r="R25" i="5" a="1"/>
  <c r="R25" i="5" s="1"/>
  <c r="R7" i="5"/>
  <c r="Q149" i="5"/>
  <c r="Q25" i="3" s="1"/>
  <c r="Q28" i="5"/>
  <c r="Q19" i="3" s="1"/>
  <c r="Q23" i="3" s="1"/>
  <c r="Q28" i="3" s="1"/>
  <c r="C24" i="2"/>
  <c r="B25" i="2"/>
  <c r="T46" i="2" l="1"/>
  <c r="T47" i="2"/>
  <c r="D52" i="2"/>
  <c r="AH49" i="2"/>
  <c r="Y43" i="2"/>
  <c r="V43" i="2"/>
  <c r="V44" i="2"/>
  <c r="Y44" i="2"/>
  <c r="AC41" i="2"/>
  <c r="X42" i="2"/>
  <c r="AC40" i="2"/>
  <c r="AB40" i="2"/>
  <c r="X40" i="2"/>
  <c r="Q58" i="5"/>
  <c r="Q152" i="5" s="1"/>
  <c r="AE21" i="2" s="1"/>
  <c r="R7" i="3"/>
  <c r="R14" i="3" s="1"/>
  <c r="R15" i="3" s="1"/>
  <c r="R14" i="5"/>
  <c r="R15" i="5" s="1"/>
  <c r="B26" i="2"/>
  <c r="C25" i="2"/>
  <c r="R133" i="5"/>
  <c r="R24" i="3" s="1"/>
  <c r="R46" i="5"/>
  <c r="R21" i="3" s="1"/>
  <c r="R28" i="5"/>
  <c r="R19" i="3" s="1"/>
  <c r="S123" i="5"/>
  <c r="S131" i="5"/>
  <c r="S128" i="5"/>
  <c r="S143" i="5"/>
  <c r="S142" i="5"/>
  <c r="S119" i="5"/>
  <c r="S111" i="5"/>
  <c r="S138" i="5"/>
  <c r="S116" i="5"/>
  <c r="S108" i="5"/>
  <c r="S99" i="5"/>
  <c r="S91" i="5"/>
  <c r="S104" i="5"/>
  <c r="S96" i="5"/>
  <c r="S88" i="5"/>
  <c r="S79" i="5"/>
  <c r="S71" i="5"/>
  <c r="S63" i="5"/>
  <c r="S51" i="5" a="1"/>
  <c r="S51" i="5" s="1"/>
  <c r="S80" i="5"/>
  <c r="S72" i="5"/>
  <c r="S64" i="5"/>
  <c r="S54" i="5" a="1"/>
  <c r="S54" i="5" s="1"/>
  <c r="S40" i="5" a="1"/>
  <c r="S40" i="5" s="1"/>
  <c r="S45" i="5" a="1"/>
  <c r="S45" i="5" s="1"/>
  <c r="S26" i="5" a="1"/>
  <c r="S26" i="5" s="1"/>
  <c r="S31" i="5" a="1"/>
  <c r="S31" i="5" s="1"/>
  <c r="S22" i="5" a="1"/>
  <c r="S22" i="5" s="1"/>
  <c r="S125" i="5"/>
  <c r="S122" i="5"/>
  <c r="S132" i="5"/>
  <c r="S147" i="5"/>
  <c r="S127" i="5"/>
  <c r="S124" i="5"/>
  <c r="S130" i="5"/>
  <c r="S148" i="5"/>
  <c r="S146" i="5"/>
  <c r="S137" i="5"/>
  <c r="S115" i="5"/>
  <c r="S107" i="5"/>
  <c r="S120" i="5"/>
  <c r="S112" i="5"/>
  <c r="S103" i="5"/>
  <c r="S95" i="5"/>
  <c r="S87" i="5"/>
  <c r="S100" i="5"/>
  <c r="S92" i="5"/>
  <c r="S83" i="5"/>
  <c r="S75" i="5"/>
  <c r="S67" i="5"/>
  <c r="S55" i="5" a="1"/>
  <c r="S55" i="5" s="1"/>
  <c r="S84" i="5"/>
  <c r="S76" i="5"/>
  <c r="S68" i="5"/>
  <c r="S60" i="5"/>
  <c r="S50" i="5" a="1"/>
  <c r="S50" i="5" s="1"/>
  <c r="S36" i="5" a="1"/>
  <c r="S36" i="5" s="1"/>
  <c r="S23" i="5" a="1"/>
  <c r="S23" i="5" s="1"/>
  <c r="T3" i="5"/>
  <c r="S30" i="5" a="1"/>
  <c r="S30" i="5" s="1"/>
  <c r="AF3" i="4"/>
  <c r="S121" i="5"/>
  <c r="S129" i="5"/>
  <c r="S126" i="5"/>
  <c r="S145" i="5"/>
  <c r="S144" i="5"/>
  <c r="S135" i="5"/>
  <c r="S113" i="5"/>
  <c r="S140" i="5"/>
  <c r="S118" i="5"/>
  <c r="S110" i="5"/>
  <c r="S101" i="5"/>
  <c r="S93" i="5"/>
  <c r="S106" i="5"/>
  <c r="S98" i="5"/>
  <c r="S90" i="5"/>
  <c r="S81" i="5"/>
  <c r="S73" i="5"/>
  <c r="S65" i="5"/>
  <c r="S53" i="5" a="1"/>
  <c r="S53" i="5" s="1"/>
  <c r="S82" i="5"/>
  <c r="S74" i="5"/>
  <c r="S66" i="5"/>
  <c r="S56" i="5" a="1"/>
  <c r="S56" i="5" s="1"/>
  <c r="S49" i="5" a="1"/>
  <c r="S49" i="5" s="1"/>
  <c r="S48" i="5" a="1"/>
  <c r="S48" i="5" s="1"/>
  <c r="S35" i="5" a="1"/>
  <c r="S35" i="5" s="1"/>
  <c r="S34" i="5" a="1"/>
  <c r="S34" i="5" s="1"/>
  <c r="S24" i="5" a="1"/>
  <c r="S24" i="5" s="1"/>
  <c r="S3" i="3"/>
  <c r="S139" i="5"/>
  <c r="S114" i="5"/>
  <c r="S102" i="5"/>
  <c r="S69" i="5"/>
  <c r="S70" i="5"/>
  <c r="S37" i="5" a="1"/>
  <c r="S37" i="5" s="1"/>
  <c r="S117" i="5"/>
  <c r="S105" i="5"/>
  <c r="S94" i="5"/>
  <c r="S61" i="5"/>
  <c r="S62" i="5"/>
  <c r="S21" i="5" a="1"/>
  <c r="S21" i="5" s="1"/>
  <c r="S109" i="5"/>
  <c r="S97" i="5"/>
  <c r="S85" i="5"/>
  <c r="S86" i="5"/>
  <c r="S52" i="5" a="1"/>
  <c r="S52" i="5" s="1"/>
  <c r="S25" i="5" a="1"/>
  <c r="S25" i="5" s="1"/>
  <c r="S141" i="5"/>
  <c r="S136" i="5"/>
  <c r="S89" i="5"/>
  <c r="S77" i="5"/>
  <c r="S78" i="5"/>
  <c r="S38" i="5" a="1"/>
  <c r="S38" i="5" s="1"/>
  <c r="S20" i="5" a="1"/>
  <c r="S20" i="5" s="1"/>
  <c r="M7" i="5"/>
  <c r="R32" i="5"/>
  <c r="R20" i="3" s="1"/>
  <c r="AD34" i="4"/>
  <c r="R57" i="5"/>
  <c r="R22" i="3" s="1"/>
  <c r="AE21" i="4"/>
  <c r="AE17" i="4"/>
  <c r="AE13" i="4"/>
  <c r="AE9" i="4"/>
  <c r="AE5" i="4"/>
  <c r="AE20" i="4"/>
  <c r="AE23" i="4"/>
  <c r="AE19" i="4"/>
  <c r="AE15" i="4"/>
  <c r="AE11" i="4"/>
  <c r="AE7" i="4"/>
  <c r="AE22" i="4"/>
  <c r="AE18" i="4"/>
  <c r="AE14" i="4"/>
  <c r="AE10" i="4"/>
  <c r="AE6" i="4"/>
  <c r="AE12" i="4"/>
  <c r="AE8" i="4"/>
  <c r="AE4" i="4"/>
  <c r="AE16" i="4"/>
  <c r="R149" i="5"/>
  <c r="R25" i="3" s="1"/>
  <c r="AC17" i="2" l="1"/>
  <c r="Y47" i="2"/>
  <c r="V47" i="2"/>
  <c r="AC44" i="2"/>
  <c r="X44" i="2"/>
  <c r="X45" i="2"/>
  <c r="T49" i="2"/>
  <c r="T50" i="2"/>
  <c r="Y46" i="2"/>
  <c r="V46" i="2"/>
  <c r="D55" i="2"/>
  <c r="AH52" i="2"/>
  <c r="AC43" i="2"/>
  <c r="AB43" i="2"/>
  <c r="X43" i="2"/>
  <c r="S32" i="5"/>
  <c r="S20" i="3" s="1"/>
  <c r="S57" i="5"/>
  <c r="S22" i="3" s="1"/>
  <c r="S46" i="5"/>
  <c r="S21" i="3" s="1"/>
  <c r="R58" i="5"/>
  <c r="R152" i="5" s="1"/>
  <c r="AE22" i="2" s="1"/>
  <c r="C26" i="2"/>
  <c r="B27" i="2"/>
  <c r="AE34" i="4"/>
  <c r="M7" i="3"/>
  <c r="M14" i="5"/>
  <c r="S28" i="5"/>
  <c r="S19" i="3" s="1"/>
  <c r="S149" i="5"/>
  <c r="S25" i="3" s="1"/>
  <c r="T147" i="5"/>
  <c r="T127" i="5"/>
  <c r="T129" i="5"/>
  <c r="T126" i="5"/>
  <c r="T148" i="5"/>
  <c r="T136" i="5"/>
  <c r="T114" i="5"/>
  <c r="T139" i="5"/>
  <c r="T117" i="5"/>
  <c r="T109" i="5"/>
  <c r="T99" i="5"/>
  <c r="T91" i="5"/>
  <c r="T104" i="5"/>
  <c r="T96" i="5"/>
  <c r="T88" i="5"/>
  <c r="T84" i="5"/>
  <c r="T76" i="5"/>
  <c r="T68" i="5"/>
  <c r="T60" i="5"/>
  <c r="T50" i="5" a="1"/>
  <c r="T50" i="5" s="1"/>
  <c r="T81" i="5"/>
  <c r="T73" i="5"/>
  <c r="T65" i="5"/>
  <c r="T53" i="5" a="1"/>
  <c r="T53" i="5" s="1"/>
  <c r="T37" i="5" a="1"/>
  <c r="T37" i="5" s="1"/>
  <c r="T36" i="5" a="1"/>
  <c r="T36" i="5" s="1"/>
  <c r="T34" i="5" a="1"/>
  <c r="T34" i="5" s="1"/>
  <c r="T20" i="5" a="1"/>
  <c r="T20" i="5" s="1"/>
  <c r="T21" i="5" a="1"/>
  <c r="T21" i="5" s="1"/>
  <c r="T123" i="5"/>
  <c r="T124" i="5"/>
  <c r="T128" i="5"/>
  <c r="T144" i="5"/>
  <c r="T140" i="5"/>
  <c r="T118" i="5"/>
  <c r="T143" i="5"/>
  <c r="T135" i="5"/>
  <c r="T113" i="5"/>
  <c r="T103" i="5"/>
  <c r="T95" i="5"/>
  <c r="T107" i="5"/>
  <c r="T100" i="5"/>
  <c r="T92" i="5"/>
  <c r="T87" i="5"/>
  <c r="T80" i="5"/>
  <c r="T72" i="5"/>
  <c r="T64" i="5"/>
  <c r="T54" i="5" a="1"/>
  <c r="T54" i="5" s="1"/>
  <c r="T85" i="5"/>
  <c r="T77" i="5"/>
  <c r="T69" i="5"/>
  <c r="T61" i="5"/>
  <c r="T48" i="5" a="1"/>
  <c r="T48" i="5" s="1"/>
  <c r="T40" i="5" a="1"/>
  <c r="T40" i="5" s="1"/>
  <c r="T26" i="5" a="1"/>
  <c r="T26" i="5" s="1"/>
  <c r="T25" i="5" a="1"/>
  <c r="T25" i="5" s="1"/>
  <c r="T24" i="5" a="1"/>
  <c r="T24" i="5" s="1"/>
  <c r="AG3" i="4"/>
  <c r="T125" i="5"/>
  <c r="T130" i="5"/>
  <c r="T132" i="5"/>
  <c r="T142" i="5"/>
  <c r="T138" i="5"/>
  <c r="T116" i="5"/>
  <c r="T145" i="5"/>
  <c r="T119" i="5"/>
  <c r="T111" i="5"/>
  <c r="T101" i="5"/>
  <c r="T93" i="5"/>
  <c r="T106" i="5"/>
  <c r="T98" i="5"/>
  <c r="T90" i="5"/>
  <c r="T86" i="5"/>
  <c r="T78" i="5"/>
  <c r="T70" i="5"/>
  <c r="T62" i="5"/>
  <c r="T52" i="5" a="1"/>
  <c r="T52" i="5" s="1"/>
  <c r="T83" i="5"/>
  <c r="T75" i="5"/>
  <c r="T67" i="5"/>
  <c r="T55" i="5" a="1"/>
  <c r="T55" i="5" s="1"/>
  <c r="T45" i="5" a="1"/>
  <c r="T45" i="5" s="1"/>
  <c r="T38" i="5" a="1"/>
  <c r="T38" i="5" s="1"/>
  <c r="U3" i="5"/>
  <c r="T22" i="5" a="1"/>
  <c r="T22" i="5" s="1"/>
  <c r="T23" i="5" a="1"/>
  <c r="T23" i="5" s="1"/>
  <c r="T121" i="5"/>
  <c r="T146" i="5"/>
  <c r="T137" i="5"/>
  <c r="T110" i="5"/>
  <c r="T82" i="5"/>
  <c r="T89" i="5"/>
  <c r="T51" i="5" a="1"/>
  <c r="T51" i="5" s="1"/>
  <c r="T30" i="5" a="1"/>
  <c r="T30" i="5" s="1"/>
  <c r="T122" i="5"/>
  <c r="T141" i="5"/>
  <c r="T115" i="5"/>
  <c r="T102" i="5"/>
  <c r="T74" i="5"/>
  <c r="T79" i="5"/>
  <c r="T49" i="5" a="1"/>
  <c r="T49" i="5" s="1"/>
  <c r="T3" i="3"/>
  <c r="T131" i="5"/>
  <c r="T120" i="5"/>
  <c r="T105" i="5"/>
  <c r="T94" i="5"/>
  <c r="T66" i="5"/>
  <c r="T71" i="5"/>
  <c r="T35" i="5" a="1"/>
  <c r="T35" i="5" s="1"/>
  <c r="T112" i="5"/>
  <c r="T97" i="5"/>
  <c r="T108" i="5"/>
  <c r="T56" i="5" a="1"/>
  <c r="T56" i="5" s="1"/>
  <c r="T63" i="5"/>
  <c r="T31" i="5" a="1"/>
  <c r="T31" i="5" s="1"/>
  <c r="S133" i="5"/>
  <c r="S24" i="3" s="1"/>
  <c r="R23" i="3"/>
  <c r="R28" i="3" s="1"/>
  <c r="AF20" i="4"/>
  <c r="AF16" i="4"/>
  <c r="AF12" i="4"/>
  <c r="AF8" i="4"/>
  <c r="AF5" i="4"/>
  <c r="AF22" i="4"/>
  <c r="AF18" i="4"/>
  <c r="AF14" i="4"/>
  <c r="AF10" i="4"/>
  <c r="AF6" i="4"/>
  <c r="AF21" i="4"/>
  <c r="AF17" i="4"/>
  <c r="AF13" i="4"/>
  <c r="AF9" i="4"/>
  <c r="AF4" i="4"/>
  <c r="AF19" i="4"/>
  <c r="AF15" i="4"/>
  <c r="AF11" i="4"/>
  <c r="AF23" i="4"/>
  <c r="AF7" i="4"/>
  <c r="T53" i="2" l="1"/>
  <c r="T52" i="2"/>
  <c r="AC46" i="2"/>
  <c r="AB46" i="2"/>
  <c r="X46" i="2"/>
  <c r="D58" i="2"/>
  <c r="AH55" i="2"/>
  <c r="Y50" i="2"/>
  <c r="V50" i="2"/>
  <c r="Y49" i="2"/>
  <c r="V49" i="2"/>
  <c r="X47" i="2"/>
  <c r="X48" i="2"/>
  <c r="S23" i="3"/>
  <c r="S28" i="3" s="1"/>
  <c r="T32" i="5"/>
  <c r="T20" i="3" s="1"/>
  <c r="AG21" i="4"/>
  <c r="AG17" i="4"/>
  <c r="AG11" i="4"/>
  <c r="AG14" i="4"/>
  <c r="AG6" i="4"/>
  <c r="AG23" i="4"/>
  <c r="AG19" i="4"/>
  <c r="AG15" i="4"/>
  <c r="AG7" i="4"/>
  <c r="AG10" i="4"/>
  <c r="AG22" i="4"/>
  <c r="AG18" i="4"/>
  <c r="AG13" i="4"/>
  <c r="AG5" i="4"/>
  <c r="AG8" i="4"/>
  <c r="AG16" i="4"/>
  <c r="AG9" i="4"/>
  <c r="AG12" i="4"/>
  <c r="AG20" i="4"/>
  <c r="AG4" i="4"/>
  <c r="AF34" i="4"/>
  <c r="T57" i="5"/>
  <c r="T22" i="3" s="1"/>
  <c r="T149" i="5"/>
  <c r="T25" i="3" s="1"/>
  <c r="U121" i="5"/>
  <c r="U129" i="5"/>
  <c r="U126" i="5"/>
  <c r="U147" i="5"/>
  <c r="U125" i="5"/>
  <c r="U122" i="5"/>
  <c r="U132" i="5"/>
  <c r="U146" i="5"/>
  <c r="U145" i="5"/>
  <c r="U138" i="5"/>
  <c r="U116" i="5"/>
  <c r="U108" i="5"/>
  <c r="U119" i="5"/>
  <c r="U111" i="5"/>
  <c r="U104" i="5"/>
  <c r="U96" i="5"/>
  <c r="U88" i="5"/>
  <c r="U99" i="5"/>
  <c r="U91" i="5"/>
  <c r="U84" i="5"/>
  <c r="U130" i="5"/>
  <c r="U127" i="5"/>
  <c r="U124" i="5"/>
  <c r="U144" i="5"/>
  <c r="U143" i="5"/>
  <c r="U136" i="5"/>
  <c r="U114" i="5"/>
  <c r="U139" i="5"/>
  <c r="U117" i="5"/>
  <c r="U109" i="5"/>
  <c r="U102" i="5"/>
  <c r="U94" i="5"/>
  <c r="U105" i="5"/>
  <c r="U97" i="5"/>
  <c r="U89" i="5"/>
  <c r="U82" i="5"/>
  <c r="U74" i="5"/>
  <c r="U66" i="5"/>
  <c r="U55" i="5" a="1"/>
  <c r="U55" i="5" s="1"/>
  <c r="U83" i="5"/>
  <c r="U75" i="5"/>
  <c r="U67" i="5"/>
  <c r="U56" i="5" a="1"/>
  <c r="U56" i="5" s="1"/>
  <c r="U128" i="5"/>
  <c r="U142" i="5"/>
  <c r="U120" i="5"/>
  <c r="U137" i="5"/>
  <c r="U107" i="5"/>
  <c r="U92" i="5"/>
  <c r="U95" i="5"/>
  <c r="U80" i="5"/>
  <c r="U70" i="5"/>
  <c r="U60" i="5"/>
  <c r="U81" i="5"/>
  <c r="U71" i="5"/>
  <c r="U61" i="5"/>
  <c r="U49" i="5" a="1"/>
  <c r="U49" i="5" s="1"/>
  <c r="U48" i="5" a="1"/>
  <c r="U48" i="5" s="1"/>
  <c r="U31" i="5" a="1"/>
  <c r="U31" i="5" s="1"/>
  <c r="U21" i="5" a="1"/>
  <c r="U21" i="5" s="1"/>
  <c r="U22" i="5" a="1"/>
  <c r="U22" i="5" s="1"/>
  <c r="AH3" i="4"/>
  <c r="U148" i="5"/>
  <c r="U118" i="5"/>
  <c r="U135" i="5"/>
  <c r="U106" i="5"/>
  <c r="U90" i="5"/>
  <c r="U93" i="5"/>
  <c r="U78" i="5"/>
  <c r="U68" i="5"/>
  <c r="U53" i="5" a="1"/>
  <c r="U53" i="5" s="1"/>
  <c r="U79" i="5"/>
  <c r="U69" i="5"/>
  <c r="U54" i="5" a="1"/>
  <c r="U54" i="5" s="1"/>
  <c r="U40" i="5" a="1"/>
  <c r="U40" i="5" s="1"/>
  <c r="U45" i="5" a="1"/>
  <c r="U45" i="5" s="1"/>
  <c r="U25" i="5" a="1"/>
  <c r="U25" i="5" s="1"/>
  <c r="U23" i="5" a="1"/>
  <c r="U23" i="5" s="1"/>
  <c r="U20" i="5" a="1"/>
  <c r="U20" i="5" s="1"/>
  <c r="U123" i="5"/>
  <c r="U141" i="5"/>
  <c r="U112" i="5"/>
  <c r="U115" i="5"/>
  <c r="U100" i="5"/>
  <c r="U103" i="5"/>
  <c r="U87" i="5"/>
  <c r="U76" i="5"/>
  <c r="U64" i="5"/>
  <c r="U51" i="5" a="1"/>
  <c r="U51" i="5" s="1"/>
  <c r="U77" i="5"/>
  <c r="U65" i="5"/>
  <c r="U52" i="5" a="1"/>
  <c r="U52" i="5" s="1"/>
  <c r="U38" i="5" a="1"/>
  <c r="U38" i="5" s="1"/>
  <c r="U37" i="5" a="1"/>
  <c r="U37" i="5" s="1"/>
  <c r="U30" i="5" a="1"/>
  <c r="U30" i="5" s="1"/>
  <c r="U32" i="5" s="1"/>
  <c r="U20" i="3" s="1"/>
  <c r="U35" i="5" a="1"/>
  <c r="U35" i="5" s="1"/>
  <c r="V3" i="5"/>
  <c r="U131" i="5"/>
  <c r="U140" i="5"/>
  <c r="U110" i="5"/>
  <c r="U113" i="5"/>
  <c r="U98" i="5"/>
  <c r="U101" i="5"/>
  <c r="U86" i="5"/>
  <c r="U72" i="5"/>
  <c r="U62" i="5"/>
  <c r="U85" i="5"/>
  <c r="U73" i="5"/>
  <c r="U63" i="5"/>
  <c r="U50" i="5" a="1"/>
  <c r="U50" i="5" s="1"/>
  <c r="U36" i="5" a="1"/>
  <c r="U36" i="5" s="1"/>
  <c r="U34" i="5" a="1"/>
  <c r="U34" i="5" s="1"/>
  <c r="U24" i="5" a="1"/>
  <c r="U24" i="5" s="1"/>
  <c r="U26" i="5" a="1"/>
  <c r="U26" i="5" s="1"/>
  <c r="U3" i="3"/>
  <c r="U7" i="5"/>
  <c r="T28" i="5"/>
  <c r="T19" i="3" s="1"/>
  <c r="M15" i="5"/>
  <c r="B28" i="2"/>
  <c r="C27" i="2"/>
  <c r="T46" i="5"/>
  <c r="T21" i="3" s="1"/>
  <c r="T133" i="5"/>
  <c r="T24" i="3" s="1"/>
  <c r="S58" i="5"/>
  <c r="S152" i="5" s="1"/>
  <c r="AE23" i="2" s="1"/>
  <c r="AB20" i="2" s="1"/>
  <c r="M14" i="3"/>
  <c r="T55" i="2" l="1"/>
  <c r="T56" i="2"/>
  <c r="AC49" i="2"/>
  <c r="AB49" i="2"/>
  <c r="X49" i="2"/>
  <c r="D61" i="2"/>
  <c r="AH58" i="2"/>
  <c r="V52" i="2"/>
  <c r="Y52" i="2"/>
  <c r="AC50" i="2"/>
  <c r="X50" i="2"/>
  <c r="X51" i="2"/>
  <c r="Y53" i="2"/>
  <c r="V53" i="2"/>
  <c r="P7" i="5"/>
  <c r="U57" i="5"/>
  <c r="U22" i="3" s="1"/>
  <c r="AH22" i="4"/>
  <c r="AH18" i="4"/>
  <c r="AH14" i="4"/>
  <c r="AH10" i="4"/>
  <c r="AH6" i="4"/>
  <c r="AH21" i="4"/>
  <c r="AH17" i="4"/>
  <c r="AH13" i="4"/>
  <c r="AH9" i="4"/>
  <c r="AH5" i="4"/>
  <c r="AH20" i="4"/>
  <c r="AH16" i="4"/>
  <c r="AH12" i="4"/>
  <c r="AH8" i="4"/>
  <c r="AH4" i="4"/>
  <c r="AH23" i="4"/>
  <c r="AH19" i="4"/>
  <c r="AH15" i="4"/>
  <c r="AH11" i="4"/>
  <c r="AH7" i="4"/>
  <c r="M15" i="3"/>
  <c r="C28" i="2"/>
  <c r="B29" i="2"/>
  <c r="T23" i="3"/>
  <c r="T28" i="3" s="1"/>
  <c r="V128" i="5"/>
  <c r="V125" i="5"/>
  <c r="V122" i="5"/>
  <c r="V143" i="5"/>
  <c r="V137" i="5"/>
  <c r="V115" i="5"/>
  <c r="V146" i="5"/>
  <c r="V120" i="5"/>
  <c r="V112" i="5"/>
  <c r="V102" i="5"/>
  <c r="V94" i="5"/>
  <c r="V108" i="5"/>
  <c r="V99" i="5"/>
  <c r="V91" i="5"/>
  <c r="V85" i="5"/>
  <c r="V77" i="5"/>
  <c r="V69" i="5"/>
  <c r="V61" i="5"/>
  <c r="V50" i="5" a="1"/>
  <c r="V50" i="5" s="1"/>
  <c r="V82" i="5"/>
  <c r="V74" i="5"/>
  <c r="V66" i="5"/>
  <c r="V55" i="5" a="1"/>
  <c r="V55" i="5" s="1"/>
  <c r="V45" i="5" a="1"/>
  <c r="V45" i="5" s="1"/>
  <c r="V38" i="5" a="1"/>
  <c r="V38" i="5" s="1"/>
  <c r="V23" i="5" a="1"/>
  <c r="V23" i="5" s="1"/>
  <c r="V26" i="5" a="1"/>
  <c r="V26" i="5" s="1"/>
  <c r="V25" i="5" a="1"/>
  <c r="V25" i="5" s="1"/>
  <c r="V130" i="5"/>
  <c r="V127" i="5"/>
  <c r="V124" i="5"/>
  <c r="V141" i="5"/>
  <c r="V135" i="5"/>
  <c r="V113" i="5"/>
  <c r="V140" i="5"/>
  <c r="V118" i="5"/>
  <c r="V110" i="5"/>
  <c r="V100" i="5"/>
  <c r="V92" i="5"/>
  <c r="V105" i="5"/>
  <c r="V97" i="5"/>
  <c r="V89" i="5"/>
  <c r="V83" i="5"/>
  <c r="V75" i="5"/>
  <c r="V67" i="5"/>
  <c r="V56" i="5" a="1"/>
  <c r="V56" i="5" s="1"/>
  <c r="V90" i="5"/>
  <c r="V80" i="5"/>
  <c r="V72" i="5"/>
  <c r="V64" i="5"/>
  <c r="V53" i="5" a="1"/>
  <c r="V53" i="5" s="1"/>
  <c r="V37" i="5" a="1"/>
  <c r="V37" i="5" s="1"/>
  <c r="V36" i="5" a="1"/>
  <c r="V36" i="5" s="1"/>
  <c r="V22" i="5" a="1"/>
  <c r="V22" i="5" s="1"/>
  <c r="W3" i="5"/>
  <c r="V21" i="5" a="1"/>
  <c r="V21" i="5" s="1"/>
  <c r="V147" i="5"/>
  <c r="V121" i="5"/>
  <c r="V129" i="5"/>
  <c r="V132" i="5"/>
  <c r="V148" i="5"/>
  <c r="V142" i="5"/>
  <c r="V119" i="5"/>
  <c r="V111" i="5"/>
  <c r="V138" i="5"/>
  <c r="V116" i="5"/>
  <c r="V106" i="5"/>
  <c r="V98" i="5"/>
  <c r="V109" i="5"/>
  <c r="V103" i="5"/>
  <c r="V95" i="5"/>
  <c r="V87" i="5"/>
  <c r="V81" i="5"/>
  <c r="V73" i="5"/>
  <c r="V65" i="5"/>
  <c r="V54" i="5" a="1"/>
  <c r="V54" i="5" s="1"/>
  <c r="V86" i="5"/>
  <c r="V78" i="5"/>
  <c r="V70" i="5"/>
  <c r="V62" i="5"/>
  <c r="V51" i="5" a="1"/>
  <c r="V51" i="5" s="1"/>
  <c r="V49" i="5" a="1"/>
  <c r="V49" i="5" s="1"/>
  <c r="V30" i="5" a="1"/>
  <c r="V30" i="5" s="1"/>
  <c r="V20" i="5" a="1"/>
  <c r="V20" i="5" s="1"/>
  <c r="V34" i="5" a="1"/>
  <c r="V34" i="5" s="1"/>
  <c r="AI3" i="4"/>
  <c r="V126" i="5"/>
  <c r="V123" i="5"/>
  <c r="V131" i="5"/>
  <c r="V145" i="5"/>
  <c r="V139" i="5"/>
  <c r="V117" i="5"/>
  <c r="V144" i="5"/>
  <c r="V136" i="5"/>
  <c r="V114" i="5"/>
  <c r="V104" i="5"/>
  <c r="V96" i="5"/>
  <c r="V107" i="5"/>
  <c r="V101" i="5"/>
  <c r="V93" i="5"/>
  <c r="V88" i="5"/>
  <c r="V79" i="5"/>
  <c r="V71" i="5"/>
  <c r="V63" i="5"/>
  <c r="V52" i="5" a="1"/>
  <c r="V52" i="5" s="1"/>
  <c r="V84" i="5"/>
  <c r="V76" i="5"/>
  <c r="V68" i="5"/>
  <c r="V60" i="5"/>
  <c r="V48" i="5" a="1"/>
  <c r="V48" i="5" s="1"/>
  <c r="V40" i="5" a="1"/>
  <c r="V40" i="5" s="1"/>
  <c r="V24" i="5" a="1"/>
  <c r="V24" i="5" s="1"/>
  <c r="V35" i="5" a="1"/>
  <c r="V35" i="5" s="1"/>
  <c r="V31" i="5" a="1"/>
  <c r="V31" i="5" s="1"/>
  <c r="V3" i="3"/>
  <c r="U149" i="5"/>
  <c r="U25" i="3" s="1"/>
  <c r="U133" i="5"/>
  <c r="U24" i="3" s="1"/>
  <c r="AG34" i="4"/>
  <c r="T58" i="5"/>
  <c r="T152" i="5" s="1"/>
  <c r="AE24" i="2" s="1"/>
  <c r="U7" i="3"/>
  <c r="U14" i="5"/>
  <c r="U15" i="5" s="1"/>
  <c r="U46" i="5"/>
  <c r="U21" i="3" s="1"/>
  <c r="U28" i="5"/>
  <c r="U19" i="3" s="1"/>
  <c r="V57" i="5" l="1"/>
  <c r="V22" i="3" s="1"/>
  <c r="AC52" i="2"/>
  <c r="AB52" i="2"/>
  <c r="X52" i="2"/>
  <c r="Y56" i="2"/>
  <c r="V56" i="2"/>
  <c r="AC53" i="2"/>
  <c r="X54" i="2"/>
  <c r="X53" i="2"/>
  <c r="T59" i="2"/>
  <c r="T58" i="2"/>
  <c r="V55" i="2"/>
  <c r="Y55" i="2"/>
  <c r="D64" i="2"/>
  <c r="AH64" i="2" s="1"/>
  <c r="AH61" i="2"/>
  <c r="U23" i="3"/>
  <c r="U28" i="3" s="1"/>
  <c r="U14" i="3"/>
  <c r="U15" i="3" s="1"/>
  <c r="V32" i="5"/>
  <c r="V20" i="3" s="1"/>
  <c r="W147" i="5"/>
  <c r="W128" i="5"/>
  <c r="W125" i="5"/>
  <c r="W131" i="5"/>
  <c r="W141" i="5"/>
  <c r="W139" i="5"/>
  <c r="W117" i="5"/>
  <c r="W109" i="5"/>
  <c r="W136" i="5"/>
  <c r="W114" i="5"/>
  <c r="W105" i="5"/>
  <c r="W97" i="5"/>
  <c r="W89" i="5"/>
  <c r="W102" i="5"/>
  <c r="W94" i="5"/>
  <c r="W85" i="5"/>
  <c r="W77" i="5"/>
  <c r="W69" i="5"/>
  <c r="W61" i="5"/>
  <c r="W86" i="5"/>
  <c r="W78" i="5"/>
  <c r="W70" i="5"/>
  <c r="W62" i="5"/>
  <c r="W52" i="5" a="1"/>
  <c r="W52" i="5" s="1"/>
  <c r="W38" i="5" a="1"/>
  <c r="W38" i="5" s="1"/>
  <c r="W37" i="5" a="1"/>
  <c r="W37" i="5" s="1"/>
  <c r="W21" i="5" a="1"/>
  <c r="W21" i="5" s="1"/>
  <c r="W25" i="5" a="1"/>
  <c r="W25" i="5" s="1"/>
  <c r="W20" i="5" a="1"/>
  <c r="W20" i="5" s="1"/>
  <c r="W122" i="5"/>
  <c r="W130" i="5"/>
  <c r="W127" i="5"/>
  <c r="W148" i="5"/>
  <c r="W146" i="5"/>
  <c r="W137" i="5"/>
  <c r="W115" i="5"/>
  <c r="W107" i="5"/>
  <c r="W120" i="5"/>
  <c r="W112" i="5"/>
  <c r="W103" i="5"/>
  <c r="W95" i="5"/>
  <c r="W87" i="5"/>
  <c r="W100" i="5"/>
  <c r="W92" i="5"/>
  <c r="W83" i="5"/>
  <c r="W75" i="5"/>
  <c r="W67" i="5"/>
  <c r="W55" i="5" a="1"/>
  <c r="W55" i="5" s="1"/>
  <c r="W84" i="5"/>
  <c r="W76" i="5"/>
  <c r="W68" i="5"/>
  <c r="W60" i="5"/>
  <c r="W50" i="5" a="1"/>
  <c r="W50" i="5" s="1"/>
  <c r="W36" i="5" a="1"/>
  <c r="W36" i="5" s="1"/>
  <c r="W23" i="5" a="1"/>
  <c r="W23" i="5" s="1"/>
  <c r="X3" i="5"/>
  <c r="W30" i="5" a="1"/>
  <c r="W30" i="5" s="1"/>
  <c r="AJ3" i="4"/>
  <c r="W124" i="5"/>
  <c r="W121" i="5"/>
  <c r="W129" i="5"/>
  <c r="W145" i="5"/>
  <c r="W144" i="5"/>
  <c r="W135" i="5"/>
  <c r="W113" i="5"/>
  <c r="W140" i="5"/>
  <c r="W118" i="5"/>
  <c r="W110" i="5"/>
  <c r="W101" i="5"/>
  <c r="W93" i="5"/>
  <c r="W106" i="5"/>
  <c r="W98" i="5"/>
  <c r="W90" i="5"/>
  <c r="W81" i="5"/>
  <c r="W73" i="5"/>
  <c r="W65" i="5"/>
  <c r="W53" i="5" a="1"/>
  <c r="W53" i="5" s="1"/>
  <c r="W82" i="5"/>
  <c r="W74" i="5"/>
  <c r="W66" i="5"/>
  <c r="W56" i="5" a="1"/>
  <c r="W56" i="5" s="1"/>
  <c r="W49" i="5" a="1"/>
  <c r="W49" i="5" s="1"/>
  <c r="W48" i="5" a="1"/>
  <c r="W48" i="5" s="1"/>
  <c r="W35" i="5" a="1"/>
  <c r="W35" i="5" s="1"/>
  <c r="W34" i="5" a="1"/>
  <c r="W34" i="5" s="1"/>
  <c r="W24" i="5" a="1"/>
  <c r="W24" i="5" s="1"/>
  <c r="W3" i="3"/>
  <c r="W126" i="5"/>
  <c r="W123" i="5"/>
  <c r="W132" i="5"/>
  <c r="W143" i="5"/>
  <c r="W142" i="5"/>
  <c r="W119" i="5"/>
  <c r="W111" i="5"/>
  <c r="W138" i="5"/>
  <c r="W116" i="5"/>
  <c r="W108" i="5"/>
  <c r="W99" i="5"/>
  <c r="W91" i="5"/>
  <c r="W104" i="5"/>
  <c r="W96" i="5"/>
  <c r="W88" i="5"/>
  <c r="W79" i="5"/>
  <c r="W71" i="5"/>
  <c r="W63" i="5"/>
  <c r="W51" i="5" a="1"/>
  <c r="W51" i="5" s="1"/>
  <c r="W80" i="5"/>
  <c r="W72" i="5"/>
  <c r="W64" i="5"/>
  <c r="W54" i="5" a="1"/>
  <c r="W54" i="5" s="1"/>
  <c r="W40" i="5" a="1"/>
  <c r="W40" i="5" s="1"/>
  <c r="W45" i="5" a="1"/>
  <c r="W45" i="5" s="1"/>
  <c r="W26" i="5" a="1"/>
  <c r="W26" i="5" s="1"/>
  <c r="W31" i="5" a="1"/>
  <c r="W31" i="5" s="1"/>
  <c r="W22" i="5" a="1"/>
  <c r="W22" i="5" s="1"/>
  <c r="AI22" i="4"/>
  <c r="AI18" i="4"/>
  <c r="AI14" i="4"/>
  <c r="AI10" i="4"/>
  <c r="AI6" i="4"/>
  <c r="AI21" i="4"/>
  <c r="AI17" i="4"/>
  <c r="AI13" i="4"/>
  <c r="AI9" i="4"/>
  <c r="AI5" i="4"/>
  <c r="AI20" i="4"/>
  <c r="AI16" i="4"/>
  <c r="AI12" i="4"/>
  <c r="AI8" i="4"/>
  <c r="AI4" i="4"/>
  <c r="AI23" i="4"/>
  <c r="AI19" i="4"/>
  <c r="AI15" i="4"/>
  <c r="AI11" i="4"/>
  <c r="AI7" i="4"/>
  <c r="C29" i="2"/>
  <c r="B30" i="2"/>
  <c r="P14" i="5"/>
  <c r="P7" i="3"/>
  <c r="U58" i="5"/>
  <c r="U152" i="5" s="1"/>
  <c r="AE25" i="2" s="1"/>
  <c r="V133" i="5"/>
  <c r="V24" i="3" s="1"/>
  <c r="V46" i="5"/>
  <c r="V21" i="3" s="1"/>
  <c r="V149" i="5"/>
  <c r="V25" i="3" s="1"/>
  <c r="AH34" i="4"/>
  <c r="V28" i="5"/>
  <c r="V19" i="3" s="1"/>
  <c r="T65" i="2" l="1"/>
  <c r="T64" i="2"/>
  <c r="U8" i="2"/>
  <c r="AC56" i="2"/>
  <c r="X56" i="2"/>
  <c r="X57" i="2"/>
  <c r="AC55" i="2"/>
  <c r="AB55" i="2"/>
  <c r="X55" i="2"/>
  <c r="Y58" i="2"/>
  <c r="V58" i="2"/>
  <c r="T62" i="2"/>
  <c r="T61" i="2"/>
  <c r="V59" i="2"/>
  <c r="Y59" i="2"/>
  <c r="V23" i="3"/>
  <c r="V28" i="3" s="1"/>
  <c r="W46" i="5"/>
  <c r="W21" i="3" s="1"/>
  <c r="W32" i="5"/>
  <c r="W20" i="3" s="1"/>
  <c r="W28" i="5"/>
  <c r="W19" i="3" s="1"/>
  <c r="P14" i="3"/>
  <c r="W149" i="5"/>
  <c r="W25" i="3" s="1"/>
  <c r="X124" i="5"/>
  <c r="X123" i="5"/>
  <c r="X125" i="5"/>
  <c r="X142" i="5"/>
  <c r="X140" i="5"/>
  <c r="X118" i="5"/>
  <c r="X145" i="5"/>
  <c r="X119" i="5"/>
  <c r="X111" i="5"/>
  <c r="X103" i="5"/>
  <c r="X95" i="5"/>
  <c r="X108" i="5"/>
  <c r="X100" i="5"/>
  <c r="X92" i="5"/>
  <c r="X89" i="5"/>
  <c r="X80" i="5"/>
  <c r="X72" i="5"/>
  <c r="X64" i="5"/>
  <c r="X54" i="5" a="1"/>
  <c r="X54" i="5" s="1"/>
  <c r="X83" i="5"/>
  <c r="X75" i="5"/>
  <c r="X67" i="5"/>
  <c r="X55" i="5" a="1"/>
  <c r="X55" i="5" s="1"/>
  <c r="X45" i="5" a="1"/>
  <c r="X45" i="5" s="1"/>
  <c r="X38" i="5" a="1"/>
  <c r="X38" i="5" s="1"/>
  <c r="Y3" i="5"/>
  <c r="X22" i="5" a="1"/>
  <c r="X22" i="5" s="1"/>
  <c r="X23" i="5" a="1"/>
  <c r="X23" i="5" s="1"/>
  <c r="X126" i="5"/>
  <c r="X129" i="5"/>
  <c r="X127" i="5"/>
  <c r="X148" i="5"/>
  <c r="X138" i="5"/>
  <c r="X116" i="5"/>
  <c r="X139" i="5"/>
  <c r="X117" i="5"/>
  <c r="X109" i="5"/>
  <c r="X101" i="5"/>
  <c r="X93" i="5"/>
  <c r="X106" i="5"/>
  <c r="X98" i="5"/>
  <c r="X90" i="5"/>
  <c r="X86" i="5"/>
  <c r="X78" i="5"/>
  <c r="X70" i="5"/>
  <c r="X62" i="5"/>
  <c r="X52" i="5" a="1"/>
  <c r="X52" i="5" s="1"/>
  <c r="X81" i="5"/>
  <c r="X73" i="5"/>
  <c r="X65" i="5"/>
  <c r="X53" i="5" a="1"/>
  <c r="X53" i="5" s="1"/>
  <c r="X37" i="5" a="1"/>
  <c r="X37" i="5" s="1"/>
  <c r="X36" i="5" a="1"/>
  <c r="X36" i="5" s="1"/>
  <c r="X34" i="5" a="1"/>
  <c r="X34" i="5" s="1"/>
  <c r="X20" i="5" a="1"/>
  <c r="X20" i="5" s="1"/>
  <c r="X21" i="5" a="1"/>
  <c r="X21" i="5" s="1"/>
  <c r="X147" i="5"/>
  <c r="X128" i="5"/>
  <c r="X131" i="5"/>
  <c r="X130" i="5"/>
  <c r="X146" i="5"/>
  <c r="X141" i="5"/>
  <c r="X136" i="5"/>
  <c r="X114" i="5"/>
  <c r="X137" i="5"/>
  <c r="X115" i="5"/>
  <c r="X107" i="5"/>
  <c r="X99" i="5"/>
  <c r="X91" i="5"/>
  <c r="X104" i="5"/>
  <c r="X96" i="5"/>
  <c r="X88" i="5"/>
  <c r="X84" i="5"/>
  <c r="X76" i="5"/>
  <c r="X68" i="5"/>
  <c r="X60" i="5"/>
  <c r="X50" i="5" a="1"/>
  <c r="X50" i="5" s="1"/>
  <c r="X79" i="5"/>
  <c r="X71" i="5"/>
  <c r="X63" i="5"/>
  <c r="X51" i="5" a="1"/>
  <c r="X51" i="5" s="1"/>
  <c r="X49" i="5" a="1"/>
  <c r="X49" i="5" s="1"/>
  <c r="X35" i="5" a="1"/>
  <c r="X35" i="5" s="1"/>
  <c r="X31" i="5" a="1"/>
  <c r="X31" i="5" s="1"/>
  <c r="X30" i="5" a="1"/>
  <c r="X30" i="5" s="1"/>
  <c r="X3" i="3"/>
  <c r="X122" i="5"/>
  <c r="X121" i="5"/>
  <c r="X132" i="5"/>
  <c r="X144" i="5"/>
  <c r="X143" i="5"/>
  <c r="X120" i="5"/>
  <c r="X112" i="5"/>
  <c r="X135" i="5"/>
  <c r="X149" i="5" s="1"/>
  <c r="X25" i="3" s="1"/>
  <c r="X113" i="5"/>
  <c r="X105" i="5"/>
  <c r="X97" i="5"/>
  <c r="X110" i="5"/>
  <c r="X102" i="5"/>
  <c r="X94" i="5"/>
  <c r="X87" i="5"/>
  <c r="X82" i="5"/>
  <c r="X74" i="5"/>
  <c r="X66" i="5"/>
  <c r="X56" i="5" a="1"/>
  <c r="X56" i="5" s="1"/>
  <c r="X85" i="5"/>
  <c r="X77" i="5"/>
  <c r="X69" i="5"/>
  <c r="X61" i="5"/>
  <c r="X48" i="5" a="1"/>
  <c r="X48" i="5" s="1"/>
  <c r="X40" i="5" a="1"/>
  <c r="X40" i="5" s="1"/>
  <c r="X26" i="5" a="1"/>
  <c r="X26" i="5" s="1"/>
  <c r="X25" i="5" a="1"/>
  <c r="X25" i="5" s="1"/>
  <c r="X24" i="5" a="1"/>
  <c r="X24" i="5" s="1"/>
  <c r="AK3" i="4"/>
  <c r="X7" i="5"/>
  <c r="W133" i="5"/>
  <c r="W24" i="3" s="1"/>
  <c r="AI34" i="4"/>
  <c r="P15" i="5"/>
  <c r="C30" i="2"/>
  <c r="B31" i="2"/>
  <c r="W57" i="5"/>
  <c r="W22" i="3" s="1"/>
  <c r="V58" i="5"/>
  <c r="V152" i="5" s="1"/>
  <c r="AE26" i="2" s="1"/>
  <c r="AB23" i="2" s="1"/>
  <c r="AJ21" i="4"/>
  <c r="AJ17" i="4"/>
  <c r="AJ13" i="4"/>
  <c r="AJ9" i="4"/>
  <c r="AJ4" i="4"/>
  <c r="AJ20" i="4"/>
  <c r="AJ16" i="4"/>
  <c r="AJ12" i="4"/>
  <c r="AJ8" i="4"/>
  <c r="AJ5" i="4"/>
  <c r="AJ23" i="4"/>
  <c r="AJ19" i="4"/>
  <c r="AJ15" i="4"/>
  <c r="AJ11" i="4"/>
  <c r="AJ7" i="4"/>
  <c r="AJ22" i="4"/>
  <c r="AJ18" i="4"/>
  <c r="AJ14" i="4"/>
  <c r="AJ10" i="4"/>
  <c r="AJ6" i="4"/>
  <c r="V61" i="2" l="1"/>
  <c r="Y61" i="2"/>
  <c r="AC47" i="2"/>
  <c r="U9" i="2"/>
  <c r="K8" i="2"/>
  <c r="V62" i="2"/>
  <c r="Y62" i="2"/>
  <c r="V64" i="2"/>
  <c r="Y64" i="2"/>
  <c r="V65" i="2"/>
  <c r="Y65" i="2"/>
  <c r="AC48" i="2" s="1"/>
  <c r="AC59" i="2"/>
  <c r="X59" i="2"/>
  <c r="X60" i="2"/>
  <c r="AC58" i="2"/>
  <c r="AB58" i="2"/>
  <c r="X58" i="2"/>
  <c r="AC54" i="2"/>
  <c r="X57" i="5"/>
  <c r="X22" i="3" s="1"/>
  <c r="S7" i="5"/>
  <c r="C31" i="2"/>
  <c r="B32" i="2"/>
  <c r="X46" i="5"/>
  <c r="X21" i="3" s="1"/>
  <c r="Y147" i="5"/>
  <c r="Y124" i="5"/>
  <c r="Y121" i="5"/>
  <c r="Y132" i="5"/>
  <c r="Y148" i="5"/>
  <c r="Y140" i="5"/>
  <c r="Y118" i="5"/>
  <c r="Y110" i="5"/>
  <c r="Y135" i="5"/>
  <c r="Y113" i="5"/>
  <c r="Y106" i="5"/>
  <c r="Y98" i="5"/>
  <c r="Y90" i="5"/>
  <c r="Y101" i="5"/>
  <c r="Y93" i="5"/>
  <c r="Y86" i="5"/>
  <c r="Y78" i="5"/>
  <c r="Y70" i="5"/>
  <c r="Y62" i="5"/>
  <c r="Y51" i="5" a="1"/>
  <c r="Y51" i="5" s="1"/>
  <c r="Y79" i="5"/>
  <c r="Y71" i="5"/>
  <c r="Y63" i="5"/>
  <c r="Y52" i="5" a="1"/>
  <c r="Y52" i="5" s="1"/>
  <c r="Y38" i="5" a="1"/>
  <c r="Y38" i="5" s="1"/>
  <c r="Y37" i="5" a="1"/>
  <c r="Y37" i="5" s="1"/>
  <c r="Y30" i="5" a="1"/>
  <c r="Y30" i="5" s="1"/>
  <c r="Y35" i="5" a="1"/>
  <c r="Y35" i="5" s="1"/>
  <c r="Z3" i="5"/>
  <c r="Y129" i="5"/>
  <c r="Y126" i="5"/>
  <c r="Y123" i="5"/>
  <c r="Y146" i="5"/>
  <c r="Y145" i="5"/>
  <c r="Y138" i="5"/>
  <c r="Y116" i="5"/>
  <c r="Y108" i="5"/>
  <c r="Y119" i="5"/>
  <c r="Y111" i="5"/>
  <c r="Y104" i="5"/>
  <c r="Y96" i="5"/>
  <c r="Y88" i="5"/>
  <c r="Y99" i="5"/>
  <c r="Y91" i="5"/>
  <c r="Y84" i="5"/>
  <c r="Y76" i="5"/>
  <c r="Y68" i="5"/>
  <c r="Y60" i="5"/>
  <c r="Y85" i="5"/>
  <c r="Y77" i="5"/>
  <c r="Y69" i="5"/>
  <c r="Y61" i="5"/>
  <c r="Y50" i="5" a="1"/>
  <c r="Y50" i="5" s="1"/>
  <c r="Y36" i="5" a="1"/>
  <c r="Y36" i="5" s="1"/>
  <c r="Y34" i="5" a="1"/>
  <c r="Y34" i="5" s="1"/>
  <c r="Y24" i="5" a="1"/>
  <c r="Y24" i="5" s="1"/>
  <c r="Y26" i="5" a="1"/>
  <c r="Y26" i="5" s="1"/>
  <c r="Y3" i="3"/>
  <c r="Y131" i="5"/>
  <c r="Y128" i="5"/>
  <c r="Y125" i="5"/>
  <c r="Y144" i="5"/>
  <c r="Y143" i="5"/>
  <c r="Y136" i="5"/>
  <c r="Y114" i="5"/>
  <c r="Y139" i="5"/>
  <c r="Y117" i="5"/>
  <c r="Y109" i="5"/>
  <c r="Y102" i="5"/>
  <c r="Y94" i="5"/>
  <c r="Y105" i="5"/>
  <c r="Y97" i="5"/>
  <c r="Y89" i="5"/>
  <c r="Y82" i="5"/>
  <c r="Y74" i="5"/>
  <c r="Y66" i="5"/>
  <c r="Y55" i="5" a="1"/>
  <c r="Y55" i="5" s="1"/>
  <c r="Y83" i="5"/>
  <c r="Y75" i="5"/>
  <c r="Y67" i="5"/>
  <c r="Y56" i="5" a="1"/>
  <c r="Y56" i="5" s="1"/>
  <c r="Y49" i="5" a="1"/>
  <c r="Y49" i="5" s="1"/>
  <c r="Y48" i="5" a="1"/>
  <c r="Y48" i="5" s="1"/>
  <c r="Y31" i="5" a="1"/>
  <c r="Y31" i="5" s="1"/>
  <c r="Y21" i="5" a="1"/>
  <c r="Y21" i="5" s="1"/>
  <c r="Y22" i="5" a="1"/>
  <c r="Y22" i="5" s="1"/>
  <c r="AL3" i="4"/>
  <c r="Y122" i="5"/>
  <c r="Y130" i="5"/>
  <c r="Y127" i="5"/>
  <c r="Y142" i="5"/>
  <c r="Y141" i="5"/>
  <c r="Y120" i="5"/>
  <c r="Y112" i="5"/>
  <c r="Y137" i="5"/>
  <c r="Y115" i="5"/>
  <c r="Y107" i="5"/>
  <c r="Y100" i="5"/>
  <c r="Y92" i="5"/>
  <c r="Y103" i="5"/>
  <c r="Y95" i="5"/>
  <c r="Y87" i="5"/>
  <c r="Y80" i="5"/>
  <c r="Y72" i="5"/>
  <c r="Y64" i="5"/>
  <c r="Y53" i="5" a="1"/>
  <c r="Y53" i="5" s="1"/>
  <c r="Y81" i="5"/>
  <c r="Y73" i="5"/>
  <c r="Y65" i="5"/>
  <c r="Y54" i="5" a="1"/>
  <c r="Y54" i="5" s="1"/>
  <c r="Y40" i="5" a="1"/>
  <c r="Y40" i="5" s="1"/>
  <c r="Y45" i="5" a="1"/>
  <c r="Y45" i="5" s="1"/>
  <c r="Y25" i="5" a="1"/>
  <c r="Y25" i="5" s="1"/>
  <c r="Y23" i="5" a="1"/>
  <c r="Y23" i="5" s="1"/>
  <c r="Y20" i="5" a="1"/>
  <c r="Y20" i="5" s="1"/>
  <c r="P15" i="3"/>
  <c r="W23" i="3"/>
  <c r="W28" i="3" s="1"/>
  <c r="AJ34" i="4"/>
  <c r="X32" i="5"/>
  <c r="X20" i="3" s="1"/>
  <c r="X14" i="5"/>
  <c r="X15" i="5" s="1"/>
  <c r="X7" i="3"/>
  <c r="X14" i="3" s="1"/>
  <c r="X15" i="3" s="1"/>
  <c r="X133" i="5"/>
  <c r="X24" i="3" s="1"/>
  <c r="AK20" i="4"/>
  <c r="AK16" i="4"/>
  <c r="AK9" i="4"/>
  <c r="AK12" i="4"/>
  <c r="AK4" i="4"/>
  <c r="AK23" i="4"/>
  <c r="AK19" i="4"/>
  <c r="AK15" i="4"/>
  <c r="AK7" i="4"/>
  <c r="AK10" i="4"/>
  <c r="AK22" i="4"/>
  <c r="AK18" i="4"/>
  <c r="AK13" i="4"/>
  <c r="AK5" i="4"/>
  <c r="AK8" i="4"/>
  <c r="AK21" i="4"/>
  <c r="AK17" i="4"/>
  <c r="AK11" i="4"/>
  <c r="AK14" i="4"/>
  <c r="AK6" i="4"/>
  <c r="X28" i="5"/>
  <c r="X19" i="3" s="1"/>
  <c r="X23" i="3" s="1"/>
  <c r="X28" i="3" s="1"/>
  <c r="W58" i="5"/>
  <c r="W152" i="5" s="1"/>
  <c r="AE27" i="2" s="1"/>
  <c r="X58" i="5" l="1"/>
  <c r="X152" i="5" s="1"/>
  <c r="AE28" i="2" s="1"/>
  <c r="AC62" i="2"/>
  <c r="AC51" i="2"/>
  <c r="AC12" i="2"/>
  <c r="AB12" i="2" s="1"/>
  <c r="AC9" i="2"/>
  <c r="AB9" i="2" s="1"/>
  <c r="AC15" i="2"/>
  <c r="AB15" i="2" s="1"/>
  <c r="AC18" i="2"/>
  <c r="AB18" i="2" s="1"/>
  <c r="AC27" i="2"/>
  <c r="AC24" i="2"/>
  <c r="AB24" i="2" s="1"/>
  <c r="T7" i="5" s="1"/>
  <c r="AC7" i="2"/>
  <c r="AC39" i="2"/>
  <c r="AC30" i="2"/>
  <c r="AC33" i="2"/>
  <c r="AC36" i="2"/>
  <c r="AC21" i="2"/>
  <c r="AB21" i="2" s="1"/>
  <c r="AC42" i="2"/>
  <c r="AB64" i="2"/>
  <c r="AC64" i="2"/>
  <c r="X64" i="2"/>
  <c r="Z8" i="2"/>
  <c r="M8" i="2"/>
  <c r="AA8" i="2" s="1"/>
  <c r="AC65" i="2"/>
  <c r="X65" i="2"/>
  <c r="X66" i="2"/>
  <c r="K9" i="2"/>
  <c r="M9" i="2" s="1"/>
  <c r="AA9" i="2" s="1"/>
  <c r="U10" i="2"/>
  <c r="AC60" i="2"/>
  <c r="AC63" i="2"/>
  <c r="AC61" i="2"/>
  <c r="AB61" i="2"/>
  <c r="X61" i="2"/>
  <c r="X62" i="2"/>
  <c r="X63" i="2"/>
  <c r="AC45" i="2"/>
  <c r="AC57" i="2"/>
  <c r="Z127" i="5"/>
  <c r="Z126" i="5"/>
  <c r="Z123" i="5"/>
  <c r="Z145" i="5"/>
  <c r="Z144" i="5"/>
  <c r="Z119" i="5"/>
  <c r="Z111" i="5"/>
  <c r="Z136" i="5"/>
  <c r="Z114" i="5"/>
  <c r="Z108" i="5"/>
  <c r="Z100" i="5"/>
  <c r="Z92" i="5"/>
  <c r="Z99" i="5"/>
  <c r="Z91" i="5"/>
  <c r="Z88" i="5"/>
  <c r="Z81" i="5"/>
  <c r="Z73" i="5"/>
  <c r="Z65" i="5"/>
  <c r="Z54" i="5" a="1"/>
  <c r="Z54" i="5" s="1"/>
  <c r="Z84" i="5"/>
  <c r="Z76" i="5"/>
  <c r="Z68" i="5"/>
  <c r="Z60" i="5"/>
  <c r="Z48" i="5" a="1"/>
  <c r="Z48" i="5" s="1"/>
  <c r="Z40" i="5" a="1"/>
  <c r="Z40" i="5" s="1"/>
  <c r="Z24" i="5" a="1"/>
  <c r="Z24" i="5" s="1"/>
  <c r="Z35" i="5" a="1"/>
  <c r="Z35" i="5" s="1"/>
  <c r="Z31" i="5" a="1"/>
  <c r="Z31" i="5" s="1"/>
  <c r="Z3" i="3"/>
  <c r="Z129" i="5"/>
  <c r="Z128" i="5"/>
  <c r="Z132" i="5"/>
  <c r="Z143" i="5"/>
  <c r="Z139" i="5"/>
  <c r="Z117" i="5"/>
  <c r="Z146" i="5"/>
  <c r="Z120" i="5"/>
  <c r="Z112" i="5"/>
  <c r="Z106" i="5"/>
  <c r="Z98" i="5"/>
  <c r="Z105" i="5"/>
  <c r="Z97" i="5"/>
  <c r="Z89" i="5"/>
  <c r="Z90" i="5"/>
  <c r="Z79" i="5"/>
  <c r="Z71" i="5"/>
  <c r="Z63" i="5"/>
  <c r="Z52" i="5" a="1"/>
  <c r="Z52" i="5" s="1"/>
  <c r="Z82" i="5"/>
  <c r="Z74" i="5"/>
  <c r="Z66" i="5"/>
  <c r="Z55" i="5" a="1"/>
  <c r="Z55" i="5" s="1"/>
  <c r="Z45" i="5" a="1"/>
  <c r="Z45" i="5" s="1"/>
  <c r="Z38" i="5" a="1"/>
  <c r="Z38" i="5" s="1"/>
  <c r="Z23" i="5" a="1"/>
  <c r="Z23" i="5" s="1"/>
  <c r="Z26" i="5" a="1"/>
  <c r="Z26" i="5" s="1"/>
  <c r="Z25" i="5" a="1"/>
  <c r="Z25" i="5" s="1"/>
  <c r="Z147" i="5"/>
  <c r="Z122" i="5"/>
  <c r="Z130" i="5"/>
  <c r="Z131" i="5"/>
  <c r="Z141" i="5"/>
  <c r="Z137" i="5"/>
  <c r="Z115" i="5"/>
  <c r="Z140" i="5"/>
  <c r="Z118" i="5"/>
  <c r="Z110" i="5"/>
  <c r="Z104" i="5"/>
  <c r="Z96" i="5"/>
  <c r="Z103" i="5"/>
  <c r="Z95" i="5"/>
  <c r="Z87" i="5"/>
  <c r="Z85" i="5"/>
  <c r="Z77" i="5"/>
  <c r="Z69" i="5"/>
  <c r="Z61" i="5"/>
  <c r="Z50" i="5" a="1"/>
  <c r="Z50" i="5" s="1"/>
  <c r="Z80" i="5"/>
  <c r="Z72" i="5"/>
  <c r="Z64" i="5"/>
  <c r="Z53" i="5" a="1"/>
  <c r="Z53" i="5" s="1"/>
  <c r="Z37" i="5" a="1"/>
  <c r="Z37" i="5" s="1"/>
  <c r="Z36" i="5" a="1"/>
  <c r="Z36" i="5" s="1"/>
  <c r="Z22" i="5" a="1"/>
  <c r="Z22" i="5" s="1"/>
  <c r="AA3" i="5"/>
  <c r="Z21" i="5" a="1"/>
  <c r="Z21" i="5" s="1"/>
  <c r="Z125" i="5"/>
  <c r="Z124" i="5"/>
  <c r="Z121" i="5"/>
  <c r="Z148" i="5"/>
  <c r="Z142" i="5"/>
  <c r="Z135" i="5"/>
  <c r="Z113" i="5"/>
  <c r="Z138" i="5"/>
  <c r="Z116" i="5"/>
  <c r="Z109" i="5"/>
  <c r="Z102" i="5"/>
  <c r="Z94" i="5"/>
  <c r="Z101" i="5"/>
  <c r="Z93" i="5"/>
  <c r="Z107" i="5"/>
  <c r="Z83" i="5"/>
  <c r="Z75" i="5"/>
  <c r="Z67" i="5"/>
  <c r="Z56" i="5" a="1"/>
  <c r="Z56" i="5" s="1"/>
  <c r="Z86" i="5"/>
  <c r="Z78" i="5"/>
  <c r="Z70" i="5"/>
  <c r="Z62" i="5"/>
  <c r="Z51" i="5" a="1"/>
  <c r="Z51" i="5" s="1"/>
  <c r="Z49" i="5" a="1"/>
  <c r="Z49" i="5" s="1"/>
  <c r="Z30" i="5" a="1"/>
  <c r="Z30" i="5" s="1"/>
  <c r="Z32" i="5" s="1"/>
  <c r="Z20" i="3" s="1"/>
  <c r="Z20" i="5" a="1"/>
  <c r="Z20" i="5" s="1"/>
  <c r="Z34" i="5" a="1"/>
  <c r="Z34" i="5" s="1"/>
  <c r="Z46" i="5" s="1"/>
  <c r="Z21" i="3" s="1"/>
  <c r="AM3" i="4"/>
  <c r="Y149" i="5"/>
  <c r="Y25" i="3" s="1"/>
  <c r="Y133" i="5"/>
  <c r="Y24" i="3" s="1"/>
  <c r="S14" i="5"/>
  <c r="S7" i="3"/>
  <c r="AK34" i="4"/>
  <c r="Y28" i="5"/>
  <c r="Y19" i="3" s="1"/>
  <c r="AL23" i="4"/>
  <c r="AL19" i="4"/>
  <c r="AL15" i="4"/>
  <c r="AL11" i="4"/>
  <c r="AL7" i="4"/>
  <c r="AL22" i="4"/>
  <c r="AL18" i="4"/>
  <c r="AL14" i="4"/>
  <c r="AL10" i="4"/>
  <c r="AL6" i="4"/>
  <c r="AL21" i="4"/>
  <c r="AL17" i="4"/>
  <c r="AL13" i="4"/>
  <c r="AL9" i="4"/>
  <c r="AL5" i="4"/>
  <c r="AL20" i="4"/>
  <c r="AL16" i="4"/>
  <c r="AL12" i="4"/>
  <c r="AL8" i="4"/>
  <c r="AL4" i="4"/>
  <c r="AL34" i="4" s="1"/>
  <c r="Y57" i="5"/>
  <c r="Y22" i="3" s="1"/>
  <c r="Y46" i="5"/>
  <c r="Y21" i="3" s="1"/>
  <c r="Y32" i="5"/>
  <c r="Y20" i="3" s="1"/>
  <c r="C32" i="2"/>
  <c r="B33" i="2"/>
  <c r="L8" i="2" l="1"/>
  <c r="T7" i="3"/>
  <c r="T14" i="3" s="1"/>
  <c r="T15" i="3" s="1"/>
  <c r="T14" i="5"/>
  <c r="T15" i="5" s="1"/>
  <c r="K10" i="2"/>
  <c r="U11" i="2"/>
  <c r="AC5" i="2"/>
  <c r="AB7" i="2"/>
  <c r="K7" i="5"/>
  <c r="P10" i="2"/>
  <c r="Z9" i="2"/>
  <c r="L9" i="2" s="1"/>
  <c r="E7" i="5"/>
  <c r="P8" i="2"/>
  <c r="H7" i="5"/>
  <c r="P9" i="2"/>
  <c r="Q7" i="5"/>
  <c r="P12" i="2"/>
  <c r="N7" i="5"/>
  <c r="P11" i="2"/>
  <c r="S15" i="5"/>
  <c r="Z28" i="5"/>
  <c r="Z19" i="3" s="1"/>
  <c r="AA147" i="5"/>
  <c r="AA127" i="5"/>
  <c r="AA124" i="5"/>
  <c r="AA132" i="5"/>
  <c r="AA148" i="5"/>
  <c r="AA146" i="5"/>
  <c r="AA137" i="5"/>
  <c r="AA115" i="5"/>
  <c r="AA107" i="5"/>
  <c r="AA120" i="5"/>
  <c r="AA112" i="5"/>
  <c r="AA103" i="5"/>
  <c r="AA95" i="5"/>
  <c r="AA87" i="5"/>
  <c r="AA100" i="5"/>
  <c r="AA92" i="5"/>
  <c r="AA85" i="5"/>
  <c r="AA77" i="5"/>
  <c r="AA69" i="5"/>
  <c r="AA61" i="5"/>
  <c r="AA84" i="5"/>
  <c r="AA76" i="5"/>
  <c r="AA68" i="5"/>
  <c r="AA60" i="5"/>
  <c r="AA50" i="5" a="1"/>
  <c r="AA50" i="5" s="1"/>
  <c r="AA36" i="5" a="1"/>
  <c r="AA36" i="5" s="1"/>
  <c r="AA23" i="5" a="1"/>
  <c r="AA23" i="5" s="1"/>
  <c r="AB3" i="5"/>
  <c r="AA30" i="5" a="1"/>
  <c r="AA30" i="5" s="1"/>
  <c r="AN3" i="4"/>
  <c r="AA121" i="5"/>
  <c r="AA129" i="5"/>
  <c r="AA126" i="5"/>
  <c r="AA145" i="5"/>
  <c r="AA144" i="5"/>
  <c r="AA135" i="5"/>
  <c r="AA113" i="5"/>
  <c r="AA140" i="5"/>
  <c r="AA118" i="5"/>
  <c r="AA110" i="5"/>
  <c r="AA101" i="5"/>
  <c r="AA93" i="5"/>
  <c r="AA106" i="5"/>
  <c r="AA98" i="5"/>
  <c r="AA90" i="5"/>
  <c r="AA83" i="5"/>
  <c r="AA75" i="5"/>
  <c r="AA67" i="5"/>
  <c r="AA55" i="5" a="1"/>
  <c r="AA55" i="5" s="1"/>
  <c r="AA82" i="5"/>
  <c r="AA74" i="5"/>
  <c r="AA66" i="5"/>
  <c r="AA56" i="5" a="1"/>
  <c r="AA56" i="5" s="1"/>
  <c r="AA49" i="5" a="1"/>
  <c r="AA49" i="5" s="1"/>
  <c r="AA48" i="5" a="1"/>
  <c r="AA48" i="5" s="1"/>
  <c r="AA35" i="5" a="1"/>
  <c r="AA35" i="5" s="1"/>
  <c r="AA34" i="5" a="1"/>
  <c r="AA34" i="5" s="1"/>
  <c r="AA24" i="5" a="1"/>
  <c r="AA24" i="5" s="1"/>
  <c r="AA3" i="3"/>
  <c r="AA123" i="5"/>
  <c r="AA131" i="5"/>
  <c r="AA128" i="5"/>
  <c r="AA143" i="5"/>
  <c r="AA142" i="5"/>
  <c r="AA119" i="5"/>
  <c r="AA111" i="5"/>
  <c r="AA138" i="5"/>
  <c r="AA116" i="5"/>
  <c r="AA108" i="5"/>
  <c r="AA99" i="5"/>
  <c r="AA91" i="5"/>
  <c r="AA104" i="5"/>
  <c r="AA96" i="5"/>
  <c r="AA88" i="5"/>
  <c r="AA81" i="5"/>
  <c r="AA73" i="5"/>
  <c r="AA65" i="5"/>
  <c r="AA53" i="5" a="1"/>
  <c r="AA53" i="5" s="1"/>
  <c r="AA80" i="5"/>
  <c r="AA72" i="5"/>
  <c r="AA64" i="5"/>
  <c r="AA54" i="5" a="1"/>
  <c r="AA54" i="5" s="1"/>
  <c r="AA40" i="5" a="1"/>
  <c r="AA40" i="5" s="1"/>
  <c r="AA45" i="5" a="1"/>
  <c r="AA45" i="5" s="1"/>
  <c r="AA26" i="5" a="1"/>
  <c r="AA26" i="5" s="1"/>
  <c r="AA31" i="5" a="1"/>
  <c r="AA31" i="5" s="1"/>
  <c r="AA22" i="5" a="1"/>
  <c r="AA22" i="5" s="1"/>
  <c r="AA125" i="5"/>
  <c r="AA122" i="5"/>
  <c r="AA130" i="5"/>
  <c r="AA141" i="5"/>
  <c r="AA139" i="5"/>
  <c r="AA117" i="5"/>
  <c r="AA109" i="5"/>
  <c r="AA136" i="5"/>
  <c r="AA114" i="5"/>
  <c r="AA105" i="5"/>
  <c r="AA97" i="5"/>
  <c r="AA89" i="5"/>
  <c r="AA102" i="5"/>
  <c r="AA94" i="5"/>
  <c r="AA86" i="5"/>
  <c r="AA79" i="5"/>
  <c r="AA71" i="5"/>
  <c r="AA51" i="5" a="1"/>
  <c r="AA51" i="5" s="1"/>
  <c r="AA52" i="5" a="1"/>
  <c r="AA52" i="5" s="1"/>
  <c r="AA25" i="5" a="1"/>
  <c r="AA25" i="5" s="1"/>
  <c r="AA78" i="5"/>
  <c r="AA38" i="5" a="1"/>
  <c r="AA38" i="5" s="1"/>
  <c r="AA20" i="5" a="1"/>
  <c r="AA20" i="5" s="1"/>
  <c r="AA70" i="5"/>
  <c r="AA37" i="5" a="1"/>
  <c r="AA37" i="5" s="1"/>
  <c r="AA63" i="5"/>
  <c r="AA62" i="5"/>
  <c r="AA21" i="5" a="1"/>
  <c r="AA21" i="5" s="1"/>
  <c r="AA7" i="5"/>
  <c r="B34" i="2"/>
  <c r="C33" i="2"/>
  <c r="Z149" i="5"/>
  <c r="Z25" i="3" s="1"/>
  <c r="Z57" i="5"/>
  <c r="Z22" i="3" s="1"/>
  <c r="Y58" i="5"/>
  <c r="Y152" i="5" s="1"/>
  <c r="AE29" i="2" s="1"/>
  <c r="AM22" i="4"/>
  <c r="AM18" i="4"/>
  <c r="AM14" i="4"/>
  <c r="AM10" i="4"/>
  <c r="AM6" i="4"/>
  <c r="AM21" i="4"/>
  <c r="AM17" i="4"/>
  <c r="AM13" i="4"/>
  <c r="AM9" i="4"/>
  <c r="AM5" i="4"/>
  <c r="AM20" i="4"/>
  <c r="AM16" i="4"/>
  <c r="AM12" i="4"/>
  <c r="AM8" i="4"/>
  <c r="AM4" i="4"/>
  <c r="AM23" i="4"/>
  <c r="AM19" i="4"/>
  <c r="AM15" i="4"/>
  <c r="AM11" i="4"/>
  <c r="AM7" i="4"/>
  <c r="Z133" i="5"/>
  <c r="Z24" i="3" s="1"/>
  <c r="Y23" i="3"/>
  <c r="Y28" i="3" s="1"/>
  <c r="S14" i="3"/>
  <c r="R12" i="2" l="1"/>
  <c r="O12" i="2"/>
  <c r="Q12" i="2"/>
  <c r="O8" i="2"/>
  <c r="R8" i="2"/>
  <c r="Q8" i="2"/>
  <c r="O10" i="2"/>
  <c r="Q10" i="2"/>
  <c r="R10" i="2"/>
  <c r="U12" i="2"/>
  <c r="K11" i="2"/>
  <c r="Q14" i="5"/>
  <c r="Q15" i="5" s="1"/>
  <c r="Q7" i="3"/>
  <c r="Q14" i="3" s="1"/>
  <c r="Q15" i="3" s="1"/>
  <c r="E14" i="5"/>
  <c r="E15" i="5" s="1"/>
  <c r="E7" i="3"/>
  <c r="E14" i="3" s="1"/>
  <c r="E15" i="3" s="1"/>
  <c r="K14" i="5"/>
  <c r="K15" i="5" s="1"/>
  <c r="K7" i="3"/>
  <c r="K14" i="3" s="1"/>
  <c r="K15" i="3" s="1"/>
  <c r="Z10" i="2"/>
  <c r="L10" i="2" s="1"/>
  <c r="M10" i="2"/>
  <c r="AA10" i="2" s="1"/>
  <c r="Q11" i="2"/>
  <c r="O11" i="2"/>
  <c r="R11" i="2"/>
  <c r="Q9" i="2"/>
  <c r="O9" i="2"/>
  <c r="R9" i="2"/>
  <c r="C7" i="5"/>
  <c r="P7" i="2"/>
  <c r="BN7" i="5"/>
  <c r="BN14" i="5" s="1"/>
  <c r="BN15" i="5" s="1"/>
  <c r="N14" i="5"/>
  <c r="N15" i="5" s="1"/>
  <c r="N7" i="3"/>
  <c r="N14" i="3" s="1"/>
  <c r="N15" i="3" s="1"/>
  <c r="H7" i="3"/>
  <c r="H14" i="3" s="1"/>
  <c r="H15" i="3" s="1"/>
  <c r="H14" i="5"/>
  <c r="H15" i="5" s="1"/>
  <c r="AB26" i="2"/>
  <c r="V7" i="5" s="1"/>
  <c r="S15" i="3"/>
  <c r="AM34" i="4"/>
  <c r="C34" i="2"/>
  <c r="B35" i="2"/>
  <c r="AA57" i="5"/>
  <c r="AA22" i="3" s="1"/>
  <c r="P13" i="2"/>
  <c r="AA28" i="5"/>
  <c r="AA19" i="3" s="1"/>
  <c r="AN22" i="4"/>
  <c r="AN18" i="4"/>
  <c r="AN14" i="4"/>
  <c r="AN10" i="4"/>
  <c r="AN6" i="4"/>
  <c r="AN21" i="4"/>
  <c r="AN17" i="4"/>
  <c r="AN13" i="4"/>
  <c r="AN9" i="4"/>
  <c r="AN4" i="4"/>
  <c r="AN20" i="4"/>
  <c r="AN16" i="4"/>
  <c r="AN12" i="4"/>
  <c r="AN8" i="4"/>
  <c r="AN5" i="4"/>
  <c r="AN11" i="4"/>
  <c r="AN23" i="4"/>
  <c r="AN7" i="4"/>
  <c r="AN19" i="4"/>
  <c r="AN15" i="4"/>
  <c r="Z23" i="3"/>
  <c r="Z28" i="3" s="1"/>
  <c r="AA46" i="5"/>
  <c r="AA21" i="3" s="1"/>
  <c r="AA32" i="5"/>
  <c r="AA20" i="3" s="1"/>
  <c r="AA7" i="3"/>
  <c r="AA14" i="3" s="1"/>
  <c r="AA15" i="3" s="1"/>
  <c r="AA14" i="5"/>
  <c r="AA15" i="5" s="1"/>
  <c r="AA149" i="5"/>
  <c r="AA25" i="3" s="1"/>
  <c r="AB123" i="5"/>
  <c r="AB124" i="5"/>
  <c r="AB132" i="5"/>
  <c r="AB144" i="5"/>
  <c r="AB145" i="5"/>
  <c r="AB120" i="5"/>
  <c r="AB112" i="5"/>
  <c r="AB135" i="5"/>
  <c r="AB113" i="5"/>
  <c r="AB105" i="5"/>
  <c r="AB97" i="5"/>
  <c r="AB107" i="5"/>
  <c r="AB100" i="5"/>
  <c r="AB92" i="5"/>
  <c r="AB89" i="5"/>
  <c r="AB78" i="5"/>
  <c r="AB70" i="5"/>
  <c r="AB62" i="5"/>
  <c r="AB52" i="5" a="1"/>
  <c r="AB52" i="5" s="1"/>
  <c r="AB85" i="5"/>
  <c r="AB77" i="5"/>
  <c r="AB69" i="5"/>
  <c r="AB61" i="5"/>
  <c r="AB48" i="5" a="1"/>
  <c r="AB48" i="5" s="1"/>
  <c r="AB40" i="5" a="1"/>
  <c r="AB40" i="5" s="1"/>
  <c r="AB26" i="5" a="1"/>
  <c r="AB26" i="5" s="1"/>
  <c r="AB25" i="5" a="1"/>
  <c r="AB25" i="5" s="1"/>
  <c r="AB24" i="5" a="1"/>
  <c r="AB24" i="5" s="1"/>
  <c r="AO3" i="4"/>
  <c r="AB125" i="5"/>
  <c r="AB130" i="5"/>
  <c r="AB128" i="5"/>
  <c r="AB142" i="5"/>
  <c r="AB140" i="5"/>
  <c r="AB118" i="5"/>
  <c r="AB141" i="5"/>
  <c r="AB119" i="5"/>
  <c r="AB111" i="5"/>
  <c r="AB103" i="5"/>
  <c r="AB95" i="5"/>
  <c r="AB106" i="5"/>
  <c r="AB98" i="5"/>
  <c r="AB90" i="5"/>
  <c r="AB84" i="5"/>
  <c r="AB76" i="5"/>
  <c r="AB68" i="5"/>
  <c r="AB60" i="5"/>
  <c r="AB50" i="5" a="1"/>
  <c r="AB50" i="5" s="1"/>
  <c r="AB83" i="5"/>
  <c r="AB75" i="5"/>
  <c r="AB67" i="5"/>
  <c r="AB55" i="5" a="1"/>
  <c r="AB55" i="5" s="1"/>
  <c r="AB45" i="5" a="1"/>
  <c r="AB45" i="5" s="1"/>
  <c r="AB38" i="5" a="1"/>
  <c r="AB38" i="5" s="1"/>
  <c r="AC3" i="5"/>
  <c r="AB22" i="5" a="1"/>
  <c r="AB22" i="5" s="1"/>
  <c r="AB23" i="5" a="1"/>
  <c r="AB23" i="5" s="1"/>
  <c r="AB147" i="5"/>
  <c r="AB127" i="5"/>
  <c r="AB129" i="5"/>
  <c r="AB131" i="5"/>
  <c r="AB148" i="5"/>
  <c r="AB138" i="5"/>
  <c r="AB116" i="5"/>
  <c r="AB139" i="5"/>
  <c r="AB117" i="5"/>
  <c r="AB109" i="5"/>
  <c r="AB101" i="5"/>
  <c r="AB93" i="5"/>
  <c r="AB104" i="5"/>
  <c r="AB96" i="5"/>
  <c r="AB88" i="5"/>
  <c r="AB82" i="5"/>
  <c r="AB74" i="5"/>
  <c r="AB66" i="5"/>
  <c r="AB56" i="5" a="1"/>
  <c r="AB56" i="5" s="1"/>
  <c r="AB86" i="5"/>
  <c r="AB81" i="5"/>
  <c r="AB73" i="5"/>
  <c r="AB65" i="5"/>
  <c r="AB53" i="5" a="1"/>
  <c r="AB53" i="5" s="1"/>
  <c r="AB37" i="5" a="1"/>
  <c r="AB37" i="5" s="1"/>
  <c r="AB36" i="5" a="1"/>
  <c r="AB36" i="5" s="1"/>
  <c r="AB34" i="5" a="1"/>
  <c r="AB34" i="5" s="1"/>
  <c r="AB20" i="5" a="1"/>
  <c r="AB20" i="5" s="1"/>
  <c r="AB21" i="5" a="1"/>
  <c r="AB21" i="5" s="1"/>
  <c r="AB126" i="5"/>
  <c r="AB136" i="5"/>
  <c r="AB110" i="5"/>
  <c r="AB94" i="5"/>
  <c r="AB64" i="5"/>
  <c r="AB71" i="5"/>
  <c r="AB35" i="5" a="1"/>
  <c r="AB35" i="5" s="1"/>
  <c r="AB114" i="5"/>
  <c r="AB99" i="5"/>
  <c r="AB108" i="5"/>
  <c r="AB54" i="5" a="1"/>
  <c r="AB54" i="5" s="1"/>
  <c r="AB63" i="5"/>
  <c r="AB31" i="5" a="1"/>
  <c r="AB31" i="5" s="1"/>
  <c r="AB121" i="5"/>
  <c r="AB146" i="5"/>
  <c r="AB137" i="5"/>
  <c r="AB91" i="5"/>
  <c r="AB80" i="5"/>
  <c r="AB87" i="5"/>
  <c r="AB51" i="5" a="1"/>
  <c r="AB51" i="5" s="1"/>
  <c r="AB30" i="5" a="1"/>
  <c r="AB30" i="5" s="1"/>
  <c r="AB32" i="5" s="1"/>
  <c r="AB20" i="3" s="1"/>
  <c r="AB122" i="5"/>
  <c r="AB143" i="5"/>
  <c r="AB115" i="5"/>
  <c r="AB102" i="5"/>
  <c r="AB72" i="5"/>
  <c r="AB79" i="5"/>
  <c r="AB49" i="5" a="1"/>
  <c r="AB49" i="5" s="1"/>
  <c r="AB3" i="3"/>
  <c r="AA133" i="5"/>
  <c r="AA24" i="3" s="1"/>
  <c r="Z58" i="5"/>
  <c r="Z152" i="5" s="1"/>
  <c r="AE30" i="2" s="1"/>
  <c r="AB27" i="2" s="1"/>
  <c r="W7" i="5" s="1"/>
  <c r="R7" i="2" l="1"/>
  <c r="O7" i="2"/>
  <c r="Q7" i="2"/>
  <c r="C7" i="3"/>
  <c r="C14" i="3" s="1"/>
  <c r="C15" i="3" s="1"/>
  <c r="C14" i="5"/>
  <c r="C15" i="5" s="1"/>
  <c r="Z11" i="2"/>
  <c r="L11" i="2" s="1"/>
  <c r="M11" i="2"/>
  <c r="AA11" i="2" s="1"/>
  <c r="U13" i="2"/>
  <c r="K12" i="2"/>
  <c r="W14" i="5"/>
  <c r="W15" i="5" s="1"/>
  <c r="W7" i="3"/>
  <c r="AB28" i="5"/>
  <c r="AB19" i="3" s="1"/>
  <c r="AO23" i="4"/>
  <c r="AO19" i="4"/>
  <c r="AO15" i="4"/>
  <c r="AO8" i="4"/>
  <c r="AO11" i="4"/>
  <c r="AO22" i="4"/>
  <c r="AO18" i="4"/>
  <c r="AO14" i="4"/>
  <c r="AO6" i="4"/>
  <c r="AO9" i="4"/>
  <c r="AO21" i="4"/>
  <c r="AO17" i="4"/>
  <c r="AO12" i="4"/>
  <c r="AO5" i="4"/>
  <c r="AO7" i="4"/>
  <c r="AO10" i="4"/>
  <c r="AO13" i="4"/>
  <c r="AO20" i="4"/>
  <c r="AO4" i="4"/>
  <c r="AO16" i="4"/>
  <c r="AN34" i="4"/>
  <c r="AB46" i="5"/>
  <c r="AB21" i="3" s="1"/>
  <c r="AB57" i="5"/>
  <c r="AB22" i="3" s="1"/>
  <c r="AB149" i="5"/>
  <c r="AB25" i="3" s="1"/>
  <c r="V14" i="5"/>
  <c r="V7" i="3"/>
  <c r="V14" i="3" s="1"/>
  <c r="V15" i="3" s="1"/>
  <c r="B36" i="2"/>
  <c r="C35" i="2"/>
  <c r="AC147" i="5"/>
  <c r="AC125" i="5"/>
  <c r="AC122" i="5"/>
  <c r="AC132" i="5"/>
  <c r="AC146" i="5"/>
  <c r="AC145" i="5"/>
  <c r="AC138" i="5"/>
  <c r="AC116" i="5"/>
  <c r="AC108" i="5"/>
  <c r="AC119" i="5"/>
  <c r="AC111" i="5"/>
  <c r="AC104" i="5"/>
  <c r="AC96" i="5"/>
  <c r="AC88" i="5"/>
  <c r="AC101" i="5"/>
  <c r="AC93" i="5"/>
  <c r="AC84" i="5"/>
  <c r="AC76" i="5"/>
  <c r="AC68" i="5"/>
  <c r="AC60" i="5"/>
  <c r="AC85" i="5"/>
  <c r="AC77" i="5"/>
  <c r="AC69" i="5"/>
  <c r="AC61" i="5"/>
  <c r="AC50" i="5" a="1"/>
  <c r="AC50" i="5" s="1"/>
  <c r="AC36" i="5" a="1"/>
  <c r="AC36" i="5" s="1"/>
  <c r="AC34" i="5" a="1"/>
  <c r="AC34" i="5" s="1"/>
  <c r="AC24" i="5" a="1"/>
  <c r="AC24" i="5" s="1"/>
  <c r="AC26" i="5" a="1"/>
  <c r="AC26" i="5" s="1"/>
  <c r="AC3" i="3"/>
  <c r="AC130" i="5"/>
  <c r="AC127" i="5"/>
  <c r="AC126" i="5"/>
  <c r="AC144" i="5"/>
  <c r="AC143" i="5"/>
  <c r="AC136" i="5"/>
  <c r="AC114" i="5"/>
  <c r="AC139" i="5"/>
  <c r="AC117" i="5"/>
  <c r="AC109" i="5"/>
  <c r="AC102" i="5"/>
  <c r="AC94" i="5"/>
  <c r="AC86" i="5"/>
  <c r="AC99" i="5"/>
  <c r="AC91" i="5"/>
  <c r="AC82" i="5"/>
  <c r="AC74" i="5"/>
  <c r="AC66" i="5"/>
  <c r="AC55" i="5" a="1"/>
  <c r="AC55" i="5" s="1"/>
  <c r="AC83" i="5"/>
  <c r="AC75" i="5"/>
  <c r="AC67" i="5"/>
  <c r="AC56" i="5" a="1"/>
  <c r="AC56" i="5" s="1"/>
  <c r="AC49" i="5" a="1"/>
  <c r="AC49" i="5" s="1"/>
  <c r="AC48" i="5" a="1"/>
  <c r="AC48" i="5" s="1"/>
  <c r="AC31" i="5" a="1"/>
  <c r="AC31" i="5" s="1"/>
  <c r="AC21" i="5" a="1"/>
  <c r="AC21" i="5" s="1"/>
  <c r="AC22" i="5" a="1"/>
  <c r="AC22" i="5" s="1"/>
  <c r="AP3" i="4"/>
  <c r="AC121" i="5"/>
  <c r="AC129" i="5"/>
  <c r="AC128" i="5"/>
  <c r="AC142" i="5"/>
  <c r="AC141" i="5"/>
  <c r="AC120" i="5"/>
  <c r="AC112" i="5"/>
  <c r="AC137" i="5"/>
  <c r="AC115" i="5"/>
  <c r="AC107" i="5"/>
  <c r="AC100" i="5"/>
  <c r="AC92" i="5"/>
  <c r="AC105" i="5"/>
  <c r="AC97" i="5"/>
  <c r="AC89" i="5"/>
  <c r="AC80" i="5"/>
  <c r="AC72" i="5"/>
  <c r="AC64" i="5"/>
  <c r="AC53" i="5" a="1"/>
  <c r="AC53" i="5" s="1"/>
  <c r="AC81" i="5"/>
  <c r="AC73" i="5"/>
  <c r="AC65" i="5"/>
  <c r="AC54" i="5" a="1"/>
  <c r="AC54" i="5" s="1"/>
  <c r="AC40" i="5" a="1"/>
  <c r="AC40" i="5" s="1"/>
  <c r="AC45" i="5" a="1"/>
  <c r="AC45" i="5" s="1"/>
  <c r="AC25" i="5" a="1"/>
  <c r="AC25" i="5" s="1"/>
  <c r="AC23" i="5" a="1"/>
  <c r="AC23" i="5" s="1"/>
  <c r="AC20" i="5" a="1"/>
  <c r="AC20" i="5" s="1"/>
  <c r="AC124" i="5"/>
  <c r="AC140" i="5"/>
  <c r="AC113" i="5"/>
  <c r="AC103" i="5"/>
  <c r="AC70" i="5"/>
  <c r="AC71" i="5"/>
  <c r="AC37" i="5" a="1"/>
  <c r="AC37" i="5" s="1"/>
  <c r="AC118" i="5"/>
  <c r="AC106" i="5"/>
  <c r="AC95" i="5"/>
  <c r="AC62" i="5"/>
  <c r="AC63" i="5"/>
  <c r="AC30" i="5" a="1"/>
  <c r="AC30" i="5" s="1"/>
  <c r="AC32" i="5" s="1"/>
  <c r="AC20" i="3" s="1"/>
  <c r="AC123" i="5"/>
  <c r="AC110" i="5"/>
  <c r="AC98" i="5"/>
  <c r="AC87" i="5"/>
  <c r="AC51" i="5" a="1"/>
  <c r="AC51" i="5" s="1"/>
  <c r="AC52" i="5" a="1"/>
  <c r="AC52" i="5" s="1"/>
  <c r="AC35" i="5" a="1"/>
  <c r="AC35" i="5" s="1"/>
  <c r="AC131" i="5"/>
  <c r="AC148" i="5"/>
  <c r="AC135" i="5"/>
  <c r="AC90" i="5"/>
  <c r="AC78" i="5"/>
  <c r="AC79" i="5"/>
  <c r="AC38" i="5" a="1"/>
  <c r="AC38" i="5" s="1"/>
  <c r="AD3" i="5"/>
  <c r="AB133" i="5"/>
  <c r="AB24" i="3" s="1"/>
  <c r="AA58" i="5"/>
  <c r="AA152" i="5" s="1"/>
  <c r="AE31" i="2" s="1"/>
  <c r="O13" i="2"/>
  <c r="Q13" i="2"/>
  <c r="R13" i="2"/>
  <c r="AA23" i="3"/>
  <c r="AA28" i="3" s="1"/>
  <c r="Z12" i="2" l="1"/>
  <c r="M12" i="2"/>
  <c r="AA12" i="2" s="1"/>
  <c r="U14" i="2"/>
  <c r="K13" i="2"/>
  <c r="W14" i="3"/>
  <c r="W15" i="3" s="1"/>
  <c r="AC149" i="5"/>
  <c r="AC25" i="3" s="1"/>
  <c r="B37" i="2"/>
  <c r="C36" i="2"/>
  <c r="AB58" i="5"/>
  <c r="AB152" i="5" s="1"/>
  <c r="AE32" i="2" s="1"/>
  <c r="AB29" i="2" s="1"/>
  <c r="AC133" i="5"/>
  <c r="AC24" i="3" s="1"/>
  <c r="AO34" i="4"/>
  <c r="AB23" i="3"/>
  <c r="AB28" i="3" s="1"/>
  <c r="AD128" i="5"/>
  <c r="AD130" i="5"/>
  <c r="AD127" i="5"/>
  <c r="AD124" i="5"/>
  <c r="AD148" i="5"/>
  <c r="AD144" i="5"/>
  <c r="AD135" i="5"/>
  <c r="AD113" i="5"/>
  <c r="AD138" i="5"/>
  <c r="AD116" i="5"/>
  <c r="AD106" i="5"/>
  <c r="AD98" i="5"/>
  <c r="AD107" i="5"/>
  <c r="AD101" i="5"/>
  <c r="AD93" i="5"/>
  <c r="AD109" i="5"/>
  <c r="AD83" i="5"/>
  <c r="AD75" i="5"/>
  <c r="AD67" i="5"/>
  <c r="AD56" i="5" a="1"/>
  <c r="AD56" i="5" s="1"/>
  <c r="AD88" i="5"/>
  <c r="AD78" i="5"/>
  <c r="AD70" i="5"/>
  <c r="AD62" i="5"/>
  <c r="AD51" i="5" a="1"/>
  <c r="AD51" i="5" s="1"/>
  <c r="AD49" i="5" a="1"/>
  <c r="AD49" i="5" s="1"/>
  <c r="AD30" i="5" a="1"/>
  <c r="AD30" i="5" s="1"/>
  <c r="AD20" i="5" a="1"/>
  <c r="AD20" i="5" s="1"/>
  <c r="AD34" i="5" a="1"/>
  <c r="AD34" i="5" s="1"/>
  <c r="AQ3" i="4"/>
  <c r="AD147" i="5"/>
  <c r="AD121" i="5"/>
  <c r="AD129" i="5"/>
  <c r="AD132" i="5"/>
  <c r="AD145" i="5"/>
  <c r="AD146" i="5"/>
  <c r="AD119" i="5"/>
  <c r="AD111" i="5"/>
  <c r="AD136" i="5"/>
  <c r="AD114" i="5"/>
  <c r="AD104" i="5"/>
  <c r="AD96" i="5"/>
  <c r="AD108" i="5"/>
  <c r="AD126" i="5"/>
  <c r="AD122" i="5"/>
  <c r="AD141" i="5"/>
  <c r="AD115" i="5"/>
  <c r="AD118" i="5"/>
  <c r="AD100" i="5"/>
  <c r="AD103" i="5"/>
  <c r="AD91" i="5"/>
  <c r="AD86" i="5"/>
  <c r="AD77" i="5"/>
  <c r="AD65" i="5"/>
  <c r="AD52" i="5" a="1"/>
  <c r="AD52" i="5" s="1"/>
  <c r="AD80" i="5"/>
  <c r="AD68" i="5"/>
  <c r="AD55" i="5" a="1"/>
  <c r="AD55" i="5" s="1"/>
  <c r="AD37" i="5" a="1"/>
  <c r="AD37" i="5" s="1"/>
  <c r="AD24" i="5" a="1"/>
  <c r="AD24" i="5" s="1"/>
  <c r="AD26" i="5" a="1"/>
  <c r="AD26" i="5" s="1"/>
  <c r="AD21" i="5" a="1"/>
  <c r="AD21" i="5" s="1"/>
  <c r="AD123" i="5"/>
  <c r="AD139" i="5"/>
  <c r="AD142" i="5"/>
  <c r="AD112" i="5"/>
  <c r="AD94" i="5"/>
  <c r="AD99" i="5"/>
  <c r="AD89" i="5"/>
  <c r="AD85" i="5"/>
  <c r="AD73" i="5"/>
  <c r="AD63" i="5"/>
  <c r="AD50" i="5" a="1"/>
  <c r="AD50" i="5" s="1"/>
  <c r="AD76" i="5"/>
  <c r="AD66" i="5"/>
  <c r="AD53" i="5" a="1"/>
  <c r="AD53" i="5" s="1"/>
  <c r="AD40" i="5" a="1"/>
  <c r="AD40" i="5" s="1"/>
  <c r="AD23" i="5" a="1"/>
  <c r="AD23" i="5" s="1"/>
  <c r="AE3" i="5"/>
  <c r="AD3" i="3"/>
  <c r="AD125" i="5"/>
  <c r="AD137" i="5"/>
  <c r="AD140" i="5"/>
  <c r="AD110" i="5"/>
  <c r="AD92" i="5"/>
  <c r="AD97" i="5"/>
  <c r="AD87" i="5"/>
  <c r="AD81" i="5"/>
  <c r="AD71" i="5"/>
  <c r="AD61" i="5"/>
  <c r="AD84" i="5"/>
  <c r="AD74" i="5"/>
  <c r="AD64" i="5"/>
  <c r="AD48" i="5" a="1"/>
  <c r="AD48" i="5" s="1"/>
  <c r="AD38" i="5" a="1"/>
  <c r="AD38" i="5" s="1"/>
  <c r="AD22" i="5" a="1"/>
  <c r="AD22" i="5" s="1"/>
  <c r="AD31" i="5" a="1"/>
  <c r="AD31" i="5" s="1"/>
  <c r="AD131" i="5"/>
  <c r="AD143" i="5"/>
  <c r="AD117" i="5"/>
  <c r="AD120" i="5"/>
  <c r="AD102" i="5"/>
  <c r="AD105" i="5"/>
  <c r="AD95" i="5"/>
  <c r="AD90" i="5"/>
  <c r="AD79" i="5"/>
  <c r="AD69" i="5"/>
  <c r="AD54" i="5" a="1"/>
  <c r="AD54" i="5" s="1"/>
  <c r="AD82" i="5"/>
  <c r="AD72" i="5"/>
  <c r="AD60" i="5"/>
  <c r="AD45" i="5" a="1"/>
  <c r="AD45" i="5" s="1"/>
  <c r="AD36" i="5" a="1"/>
  <c r="AD36" i="5" s="1"/>
  <c r="AD35" i="5" a="1"/>
  <c r="AD35" i="5" s="1"/>
  <c r="AD25" i="5" a="1"/>
  <c r="AD25" i="5" s="1"/>
  <c r="AD7" i="5"/>
  <c r="AC41" i="5"/>
  <c r="AC46" i="5" s="1"/>
  <c r="AC21" i="3" s="1"/>
  <c r="AC28" i="5"/>
  <c r="AC19" i="3" s="1"/>
  <c r="AP22" i="4"/>
  <c r="AP21" i="4"/>
  <c r="AP17" i="4"/>
  <c r="AP13" i="4"/>
  <c r="AP9" i="4"/>
  <c r="AP5" i="4"/>
  <c r="AP20" i="4"/>
  <c r="AP16" i="4"/>
  <c r="AP12" i="4"/>
  <c r="AP8" i="4"/>
  <c r="AP4" i="4"/>
  <c r="AP19" i="4"/>
  <c r="AP15" i="4"/>
  <c r="AP11" i="4"/>
  <c r="AP7" i="4"/>
  <c r="AP23" i="4"/>
  <c r="AP18" i="4"/>
  <c r="AP14" i="4"/>
  <c r="AP10" i="4"/>
  <c r="AP6" i="4"/>
  <c r="AC57" i="5"/>
  <c r="AC22" i="3" s="1"/>
  <c r="V15" i="5"/>
  <c r="L12" i="2" l="1"/>
  <c r="U15" i="2"/>
  <c r="K14" i="2"/>
  <c r="Z13" i="2"/>
  <c r="M13" i="2"/>
  <c r="AA13" i="2" s="1"/>
  <c r="P14" i="2"/>
  <c r="Y7" i="5"/>
  <c r="AP34" i="4"/>
  <c r="AC23" i="3"/>
  <c r="AC28" i="3" s="1"/>
  <c r="AD57" i="5"/>
  <c r="AD22" i="3" s="1"/>
  <c r="AQ22" i="4"/>
  <c r="AQ18" i="4"/>
  <c r="AQ14" i="4"/>
  <c r="AQ10" i="4"/>
  <c r="AQ6" i="4"/>
  <c r="AQ21" i="4"/>
  <c r="AQ17" i="4"/>
  <c r="AQ13" i="4"/>
  <c r="AQ9" i="4"/>
  <c r="AQ5" i="4"/>
  <c r="AQ20" i="4"/>
  <c r="AQ16" i="4"/>
  <c r="AQ12" i="4"/>
  <c r="AQ8" i="4"/>
  <c r="AQ4" i="4"/>
  <c r="AQ23" i="4"/>
  <c r="AQ19" i="4"/>
  <c r="AQ15" i="4"/>
  <c r="AQ11" i="4"/>
  <c r="AQ7" i="4"/>
  <c r="AD46" i="5"/>
  <c r="AD21" i="3" s="1"/>
  <c r="B38" i="2"/>
  <c r="C37" i="2"/>
  <c r="AD7" i="3"/>
  <c r="AD14" i="3" s="1"/>
  <c r="AD15" i="3" s="1"/>
  <c r="AD14" i="5"/>
  <c r="AD15" i="5" s="1"/>
  <c r="AD28" i="5"/>
  <c r="AD19" i="3" s="1"/>
  <c r="AC58" i="5"/>
  <c r="AC152" i="5" s="1"/>
  <c r="AE33" i="2" s="1"/>
  <c r="AB30" i="2" s="1"/>
  <c r="Z7" i="5" s="1"/>
  <c r="AD133" i="5"/>
  <c r="AD24" i="3" s="1"/>
  <c r="AE124" i="5"/>
  <c r="AE121" i="5"/>
  <c r="AE132" i="5"/>
  <c r="AE141" i="5"/>
  <c r="AE139" i="5"/>
  <c r="AE117" i="5"/>
  <c r="AE109" i="5"/>
  <c r="AE136" i="5"/>
  <c r="AE114" i="5"/>
  <c r="AE105" i="5"/>
  <c r="AE97" i="5"/>
  <c r="AE89" i="5"/>
  <c r="AE102" i="5"/>
  <c r="AE94" i="5"/>
  <c r="AE86" i="5"/>
  <c r="AE79" i="5"/>
  <c r="AE71" i="5"/>
  <c r="AE63" i="5"/>
  <c r="AE51" i="5" a="1"/>
  <c r="AE51" i="5" s="1"/>
  <c r="AE78" i="5"/>
  <c r="AE70" i="5"/>
  <c r="AE62" i="5"/>
  <c r="AE52" i="5" a="1"/>
  <c r="AE52" i="5" s="1"/>
  <c r="AE38" i="5" a="1"/>
  <c r="AE38" i="5" s="1"/>
  <c r="AE37" i="5" a="1"/>
  <c r="AE37" i="5" s="1"/>
  <c r="AE21" i="5" a="1"/>
  <c r="AE21" i="5" s="1"/>
  <c r="AE25" i="5" a="1"/>
  <c r="AE25" i="5" s="1"/>
  <c r="AE20" i="5" a="1"/>
  <c r="AE20" i="5" s="1"/>
  <c r="AE126" i="5"/>
  <c r="AE123" i="5"/>
  <c r="AE129" i="5"/>
  <c r="AE148" i="5"/>
  <c r="AE146" i="5"/>
  <c r="AE137" i="5"/>
  <c r="AE115" i="5"/>
  <c r="AE107" i="5"/>
  <c r="AE120" i="5"/>
  <c r="AE112" i="5"/>
  <c r="AE103" i="5"/>
  <c r="AE95" i="5"/>
  <c r="AE87" i="5"/>
  <c r="AE100" i="5"/>
  <c r="AE92" i="5"/>
  <c r="AE85" i="5"/>
  <c r="AE77" i="5"/>
  <c r="AE69" i="5"/>
  <c r="AE61" i="5"/>
  <c r="AE84" i="5"/>
  <c r="AE76" i="5"/>
  <c r="AE68" i="5"/>
  <c r="AE60" i="5"/>
  <c r="AE50" i="5" a="1"/>
  <c r="AE50" i="5" s="1"/>
  <c r="AE36" i="5" a="1"/>
  <c r="AE36" i="5" s="1"/>
  <c r="AE23" i="5" a="1"/>
  <c r="AE23" i="5" s="1"/>
  <c r="AF3" i="5"/>
  <c r="AE30" i="5" a="1"/>
  <c r="AE30" i="5" s="1"/>
  <c r="AR3" i="4"/>
  <c r="AE147" i="5"/>
  <c r="AE128" i="5"/>
  <c r="AE125" i="5"/>
  <c r="AE131" i="5"/>
  <c r="AE145" i="5"/>
  <c r="AE144" i="5"/>
  <c r="AE135" i="5"/>
  <c r="AE113" i="5"/>
  <c r="AE140" i="5"/>
  <c r="AE118" i="5"/>
  <c r="AE110" i="5"/>
  <c r="AE101" i="5"/>
  <c r="AE93" i="5"/>
  <c r="AE106" i="5"/>
  <c r="AE98" i="5"/>
  <c r="AE90" i="5"/>
  <c r="AE83" i="5"/>
  <c r="AE75" i="5"/>
  <c r="AE67" i="5"/>
  <c r="AE55" i="5" a="1"/>
  <c r="AE55" i="5" s="1"/>
  <c r="AE82" i="5"/>
  <c r="AE74" i="5"/>
  <c r="AE66" i="5"/>
  <c r="AE56" i="5" a="1"/>
  <c r="AE56" i="5" s="1"/>
  <c r="AE49" i="5" a="1"/>
  <c r="AE49" i="5" s="1"/>
  <c r="AE48" i="5" a="1"/>
  <c r="AE48" i="5" s="1"/>
  <c r="AE35" i="5" a="1"/>
  <c r="AE35" i="5" s="1"/>
  <c r="AE34" i="5" a="1"/>
  <c r="AE34" i="5" s="1"/>
  <c r="AE24" i="5" a="1"/>
  <c r="AE24" i="5" s="1"/>
  <c r="AE3" i="3"/>
  <c r="AE122" i="5"/>
  <c r="AE130" i="5"/>
  <c r="AE127" i="5"/>
  <c r="AE143" i="5"/>
  <c r="AE142" i="5"/>
  <c r="AE119" i="5"/>
  <c r="AE111" i="5"/>
  <c r="AE138" i="5"/>
  <c r="AE116" i="5"/>
  <c r="AE108" i="5"/>
  <c r="AE99" i="5"/>
  <c r="AE91" i="5"/>
  <c r="AE104" i="5"/>
  <c r="AE96" i="5"/>
  <c r="AE88" i="5"/>
  <c r="AE81" i="5"/>
  <c r="AE73" i="5"/>
  <c r="AE65" i="5"/>
  <c r="AE53" i="5" a="1"/>
  <c r="AE53" i="5" s="1"/>
  <c r="AE80" i="5"/>
  <c r="AE72" i="5"/>
  <c r="AE64" i="5"/>
  <c r="AE54" i="5" a="1"/>
  <c r="AE54" i="5" s="1"/>
  <c r="AE40" i="5" a="1"/>
  <c r="AE40" i="5" s="1"/>
  <c r="AE45" i="5" a="1"/>
  <c r="AE45" i="5" s="1"/>
  <c r="AE26" i="5" a="1"/>
  <c r="AE26" i="5" s="1"/>
  <c r="AE31" i="5" a="1"/>
  <c r="AE31" i="5" s="1"/>
  <c r="AE22" i="5" a="1"/>
  <c r="AE22" i="5" s="1"/>
  <c r="AD32" i="5"/>
  <c r="AD20" i="3" s="1"/>
  <c r="AD149" i="5"/>
  <c r="AD25" i="3" s="1"/>
  <c r="L13" i="2" l="1"/>
  <c r="Z14" i="2"/>
  <c r="L14" i="2" s="1"/>
  <c r="M14" i="2"/>
  <c r="AA14" i="2" s="1"/>
  <c r="K15" i="2"/>
  <c r="U16" i="2"/>
  <c r="Z14" i="5"/>
  <c r="Z15" i="5" s="1"/>
  <c r="Z7" i="3"/>
  <c r="Z14" i="3" s="1"/>
  <c r="Z15" i="3" s="1"/>
  <c r="AE57" i="5"/>
  <c r="AE22" i="3" s="1"/>
  <c r="AF147" i="5"/>
  <c r="AF128" i="5"/>
  <c r="AF131" i="5"/>
  <c r="AF127" i="5"/>
  <c r="AF148" i="5"/>
  <c r="AF136" i="5"/>
  <c r="AF114" i="5"/>
  <c r="AF143" i="5"/>
  <c r="AF119" i="5"/>
  <c r="AF111" i="5"/>
  <c r="AF103" i="5"/>
  <c r="AF95" i="5"/>
  <c r="AF106" i="5"/>
  <c r="AF98" i="5"/>
  <c r="AF90" i="5"/>
  <c r="AF82" i="5"/>
  <c r="AF74" i="5"/>
  <c r="AF66" i="5"/>
  <c r="AF56" i="5" a="1"/>
  <c r="AF56" i="5" s="1"/>
  <c r="AF87" i="5"/>
  <c r="AF81" i="5"/>
  <c r="AF73" i="5"/>
  <c r="AF65" i="5"/>
  <c r="AF53" i="5" a="1"/>
  <c r="AF53" i="5" s="1"/>
  <c r="AF37" i="5" a="1"/>
  <c r="AF37" i="5" s="1"/>
  <c r="AF36" i="5" a="1"/>
  <c r="AF36" i="5" s="1"/>
  <c r="AF34" i="5" a="1"/>
  <c r="AF34" i="5" s="1"/>
  <c r="AF20" i="5" a="1"/>
  <c r="AF20" i="5" s="1"/>
  <c r="AF21" i="5" a="1"/>
  <c r="AF21" i="5" s="1"/>
  <c r="AF122" i="5"/>
  <c r="AF121" i="5"/>
  <c r="AF125" i="5"/>
  <c r="AF146" i="5"/>
  <c r="AF145" i="5"/>
  <c r="AF120" i="5"/>
  <c r="AF112" i="5"/>
  <c r="AF139" i="5"/>
  <c r="AF117" i="5"/>
  <c r="AF109" i="5"/>
  <c r="AF101" i="5"/>
  <c r="AF93" i="5"/>
  <c r="AF104" i="5"/>
  <c r="AF96" i="5"/>
  <c r="AF88" i="5"/>
  <c r="AF80" i="5"/>
  <c r="AF72" i="5"/>
  <c r="AF64" i="5"/>
  <c r="AF54" i="5" a="1"/>
  <c r="AF54" i="5" s="1"/>
  <c r="AF89" i="5"/>
  <c r="AF79" i="5"/>
  <c r="AF71" i="5"/>
  <c r="AF63" i="5"/>
  <c r="AF51" i="5" a="1"/>
  <c r="AF51" i="5" s="1"/>
  <c r="AF49" i="5" a="1"/>
  <c r="AF49" i="5" s="1"/>
  <c r="AF35" i="5" a="1"/>
  <c r="AF35" i="5" s="1"/>
  <c r="AF31" i="5" a="1"/>
  <c r="AF31" i="5" s="1"/>
  <c r="AF30" i="5" a="1"/>
  <c r="AF30" i="5" s="1"/>
  <c r="AF3" i="3"/>
  <c r="AF124" i="5"/>
  <c r="AF123" i="5"/>
  <c r="AF130" i="5"/>
  <c r="AF144" i="5"/>
  <c r="AF140" i="5"/>
  <c r="AF118" i="5"/>
  <c r="AF110" i="5"/>
  <c r="AF137" i="5"/>
  <c r="AF115" i="5"/>
  <c r="AF107" i="5"/>
  <c r="AF99" i="5"/>
  <c r="AF91" i="5"/>
  <c r="AF102" i="5"/>
  <c r="AF94" i="5"/>
  <c r="AF86" i="5"/>
  <c r="AF78" i="5"/>
  <c r="AF70" i="5"/>
  <c r="AF62" i="5"/>
  <c r="AF52" i="5" a="1"/>
  <c r="AF52" i="5" s="1"/>
  <c r="AF85" i="5"/>
  <c r="AF77" i="5"/>
  <c r="AF69" i="5"/>
  <c r="AF61" i="5"/>
  <c r="AF48" i="5" a="1"/>
  <c r="AF48" i="5" s="1"/>
  <c r="AF40" i="5" a="1"/>
  <c r="AF40" i="5" s="1"/>
  <c r="AF26" i="5" a="1"/>
  <c r="AF26" i="5" s="1"/>
  <c r="AF25" i="5" a="1"/>
  <c r="AF25" i="5" s="1"/>
  <c r="AF24" i="5" a="1"/>
  <c r="AF24" i="5" s="1"/>
  <c r="AS3" i="4"/>
  <c r="AF126" i="5"/>
  <c r="AF129" i="5"/>
  <c r="AF132" i="5"/>
  <c r="AF142" i="5"/>
  <c r="AF138" i="5"/>
  <c r="AF116" i="5"/>
  <c r="AF141" i="5"/>
  <c r="AF135" i="5"/>
  <c r="AF113" i="5"/>
  <c r="AF105" i="5"/>
  <c r="AF97" i="5"/>
  <c r="AF108" i="5"/>
  <c r="AF100" i="5"/>
  <c r="AF92" i="5"/>
  <c r="AF84" i="5"/>
  <c r="AF76" i="5"/>
  <c r="AF68" i="5"/>
  <c r="AF60" i="5"/>
  <c r="AF50" i="5" a="1"/>
  <c r="AF50" i="5" s="1"/>
  <c r="AF83" i="5"/>
  <c r="AF75" i="5"/>
  <c r="AF67" i="5"/>
  <c r="AF55" i="5" a="1"/>
  <c r="AF55" i="5" s="1"/>
  <c r="AF45" i="5" a="1"/>
  <c r="AF45" i="5" s="1"/>
  <c r="AF38" i="5" a="1"/>
  <c r="AF38" i="5" s="1"/>
  <c r="AG3" i="5"/>
  <c r="AF22" i="5" a="1"/>
  <c r="AF22" i="5" s="1"/>
  <c r="AF23" i="5" a="1"/>
  <c r="AF23" i="5" s="1"/>
  <c r="AE133" i="5"/>
  <c r="AE24" i="3" s="1"/>
  <c r="AD58" i="5"/>
  <c r="AD152" i="5" s="1"/>
  <c r="AE34" i="2" s="1"/>
  <c r="AD23" i="3"/>
  <c r="AD28" i="3" s="1"/>
  <c r="B39" i="2"/>
  <c r="C38" i="2"/>
  <c r="AE46" i="5"/>
  <c r="AE21" i="3" s="1"/>
  <c r="AR20" i="4"/>
  <c r="AR16" i="4"/>
  <c r="AR12" i="4"/>
  <c r="AR8" i="4"/>
  <c r="AR5" i="4"/>
  <c r="AR23" i="4"/>
  <c r="AR19" i="4"/>
  <c r="AR15" i="4"/>
  <c r="AR11" i="4"/>
  <c r="AR7" i="4"/>
  <c r="AR22" i="4"/>
  <c r="AR18" i="4"/>
  <c r="AR14" i="4"/>
  <c r="AR10" i="4"/>
  <c r="AR6" i="4"/>
  <c r="AR21" i="4"/>
  <c r="AR17" i="4"/>
  <c r="AR13" i="4"/>
  <c r="AR9" i="4"/>
  <c r="AR4" i="4"/>
  <c r="AR34" i="4" s="1"/>
  <c r="Y14" i="5"/>
  <c r="Y15" i="5" s="1"/>
  <c r="Y7" i="3"/>
  <c r="Y14" i="3" s="1"/>
  <c r="Y15" i="3" s="1"/>
  <c r="AE149" i="5"/>
  <c r="AE25" i="3" s="1"/>
  <c r="AE32" i="5"/>
  <c r="AE20" i="3" s="1"/>
  <c r="AE28" i="5"/>
  <c r="AE19" i="3" s="1"/>
  <c r="AQ34" i="4"/>
  <c r="Q14" i="2"/>
  <c r="R14" i="2"/>
  <c r="O14" i="2"/>
  <c r="Z15" i="2" l="1"/>
  <c r="L15" i="2" s="1"/>
  <c r="M15" i="2"/>
  <c r="AA15" i="2" s="1"/>
  <c r="AE23" i="3"/>
  <c r="AE28" i="3" s="1"/>
  <c r="U17" i="2"/>
  <c r="K16" i="2"/>
  <c r="AE58" i="5"/>
  <c r="AE152" i="5" s="1"/>
  <c r="AE35" i="2" s="1"/>
  <c r="AB32" i="2" s="1"/>
  <c r="AF149" i="5"/>
  <c r="AF25" i="3" s="1"/>
  <c r="AS21" i="4"/>
  <c r="AS17" i="4"/>
  <c r="AS12" i="4"/>
  <c r="AS5" i="4"/>
  <c r="AS7" i="4"/>
  <c r="AS20" i="4"/>
  <c r="AS16" i="4"/>
  <c r="AS10" i="4"/>
  <c r="AS13" i="4"/>
  <c r="AS4" i="4"/>
  <c r="AS23" i="4"/>
  <c r="AS19" i="4"/>
  <c r="AS15" i="4"/>
  <c r="AS8" i="4"/>
  <c r="AS11" i="4"/>
  <c r="AS22" i="4"/>
  <c r="AS18" i="4"/>
  <c r="AS14" i="4"/>
  <c r="AS6" i="4"/>
  <c r="AS9" i="4"/>
  <c r="AF46" i="5"/>
  <c r="AF21" i="3" s="1"/>
  <c r="AF57" i="5"/>
  <c r="AF22" i="3" s="1"/>
  <c r="B40" i="2"/>
  <c r="C39" i="2"/>
  <c r="AG131" i="5"/>
  <c r="AG128" i="5"/>
  <c r="AG125" i="5"/>
  <c r="AG142" i="5"/>
  <c r="AG141" i="5"/>
  <c r="AG120" i="5"/>
  <c r="AG112" i="5"/>
  <c r="AG137" i="5"/>
  <c r="AG115" i="5"/>
  <c r="AG107" i="5"/>
  <c r="AG100" i="5"/>
  <c r="AG92" i="5"/>
  <c r="AG105" i="5"/>
  <c r="AG97" i="5"/>
  <c r="AG89" i="5"/>
  <c r="AG80" i="5"/>
  <c r="AG72" i="5"/>
  <c r="AG64" i="5"/>
  <c r="AG53" i="5" a="1"/>
  <c r="AG53" i="5" s="1"/>
  <c r="AG81" i="5"/>
  <c r="AG73" i="5"/>
  <c r="AG65" i="5"/>
  <c r="AG54" i="5" a="1"/>
  <c r="AG54" i="5" s="1"/>
  <c r="AG40" i="5" a="1"/>
  <c r="AG40" i="5" s="1"/>
  <c r="AG45" i="5" a="1"/>
  <c r="AG45" i="5" s="1"/>
  <c r="AG25" i="5" a="1"/>
  <c r="AG25" i="5" s="1"/>
  <c r="AG23" i="5" a="1"/>
  <c r="AG23" i="5" s="1"/>
  <c r="AG20" i="5" a="1"/>
  <c r="AG20" i="5" s="1"/>
  <c r="AG122" i="5"/>
  <c r="AG130" i="5"/>
  <c r="AG127" i="5"/>
  <c r="AG148" i="5"/>
  <c r="AG140" i="5"/>
  <c r="AG118" i="5"/>
  <c r="AG110" i="5"/>
  <c r="AG135" i="5"/>
  <c r="AG113" i="5"/>
  <c r="AG106" i="5"/>
  <c r="AG98" i="5"/>
  <c r="AG90" i="5"/>
  <c r="AG103" i="5"/>
  <c r="AG95" i="5"/>
  <c r="AG87" i="5"/>
  <c r="AG78" i="5"/>
  <c r="AG70" i="5"/>
  <c r="AG62" i="5"/>
  <c r="AG51" i="5" a="1"/>
  <c r="AG51" i="5" s="1"/>
  <c r="AG79" i="5"/>
  <c r="AG71" i="5"/>
  <c r="AG63" i="5"/>
  <c r="AG52" i="5" a="1"/>
  <c r="AG52" i="5" s="1"/>
  <c r="AG38" i="5" a="1"/>
  <c r="AG38" i="5" s="1"/>
  <c r="AG37" i="5" a="1"/>
  <c r="AG37" i="5" s="1"/>
  <c r="AG30" i="5" a="1"/>
  <c r="AG30" i="5" s="1"/>
  <c r="AG35" i="5" a="1"/>
  <c r="AG35" i="5" s="1"/>
  <c r="AH3" i="5"/>
  <c r="AG147" i="5"/>
  <c r="AG124" i="5"/>
  <c r="AG121" i="5"/>
  <c r="AG132" i="5"/>
  <c r="AG146" i="5"/>
  <c r="AG145" i="5"/>
  <c r="AG138" i="5"/>
  <c r="AG116" i="5"/>
  <c r="AG108" i="5"/>
  <c r="AG119" i="5"/>
  <c r="AG111" i="5"/>
  <c r="AG104" i="5"/>
  <c r="AG96" i="5"/>
  <c r="AG88" i="5"/>
  <c r="AG101" i="5"/>
  <c r="AG93" i="5"/>
  <c r="AG84" i="5"/>
  <c r="AG76" i="5"/>
  <c r="AG68" i="5"/>
  <c r="AG60" i="5"/>
  <c r="AG85" i="5"/>
  <c r="AG77" i="5"/>
  <c r="AG69" i="5"/>
  <c r="AG61" i="5"/>
  <c r="AG50" i="5" a="1"/>
  <c r="AG50" i="5" s="1"/>
  <c r="AG36" i="5" a="1"/>
  <c r="AG36" i="5" s="1"/>
  <c r="AG34" i="5" a="1"/>
  <c r="AG34" i="5" s="1"/>
  <c r="AG24" i="5" a="1"/>
  <c r="AG24" i="5" s="1"/>
  <c r="AG26" i="5" a="1"/>
  <c r="AG26" i="5" s="1"/>
  <c r="AG3" i="3"/>
  <c r="AG129" i="5"/>
  <c r="AG126" i="5"/>
  <c r="AG123" i="5"/>
  <c r="AG144" i="5"/>
  <c r="AG143" i="5"/>
  <c r="AG136" i="5"/>
  <c r="AG114" i="5"/>
  <c r="AG139" i="5"/>
  <c r="AG117" i="5"/>
  <c r="AG109" i="5"/>
  <c r="AG102" i="5"/>
  <c r="AG94" i="5"/>
  <c r="AG86" i="5"/>
  <c r="AG99" i="5"/>
  <c r="AG91" i="5"/>
  <c r="AG82" i="5"/>
  <c r="AG74" i="5"/>
  <c r="AG66" i="5"/>
  <c r="AG55" i="5" a="1"/>
  <c r="AG55" i="5" s="1"/>
  <c r="AG83" i="5"/>
  <c r="AG75" i="5"/>
  <c r="AG67" i="5"/>
  <c r="AG56" i="5" a="1"/>
  <c r="AG56" i="5" s="1"/>
  <c r="AG49" i="5" a="1"/>
  <c r="AG49" i="5" s="1"/>
  <c r="AG48" i="5" a="1"/>
  <c r="AG48" i="5" s="1"/>
  <c r="AG31" i="5" a="1"/>
  <c r="AG31" i="5" s="1"/>
  <c r="AG21" i="5" a="1"/>
  <c r="AG21" i="5" s="1"/>
  <c r="AG22" i="5" a="1"/>
  <c r="AG22" i="5" s="1"/>
  <c r="AT3" i="4"/>
  <c r="AG7" i="5"/>
  <c r="AF133" i="5"/>
  <c r="AF24" i="3" s="1"/>
  <c r="AF32" i="5"/>
  <c r="AF20" i="3" s="1"/>
  <c r="AF28" i="5"/>
  <c r="AF19" i="3" s="1"/>
  <c r="AF23" i="3" s="1"/>
  <c r="AF28" i="3" s="1"/>
  <c r="AG57" i="5" l="1"/>
  <c r="AG22" i="3" s="1"/>
  <c r="Z16" i="2"/>
  <c r="L16" i="2" s="1"/>
  <c r="M16" i="2"/>
  <c r="AA16" i="2" s="1"/>
  <c r="K17" i="2"/>
  <c r="U18" i="2"/>
  <c r="P15" i="2"/>
  <c r="AB7" i="5"/>
  <c r="AF58" i="5"/>
  <c r="AF152" i="5" s="1"/>
  <c r="AE36" i="2" s="1"/>
  <c r="AB33" i="2" s="1"/>
  <c r="AC7" i="5" s="1"/>
  <c r="AT20" i="4"/>
  <c r="AT16" i="4"/>
  <c r="AT12" i="4"/>
  <c r="AT8" i="4"/>
  <c r="AT4" i="4"/>
  <c r="AT23" i="4"/>
  <c r="AT19" i="4"/>
  <c r="AT15" i="4"/>
  <c r="AT11" i="4"/>
  <c r="AT7" i="4"/>
  <c r="AT22" i="4"/>
  <c r="AT18" i="4"/>
  <c r="AT14" i="4"/>
  <c r="AT10" i="4"/>
  <c r="AT6" i="4"/>
  <c r="AT21" i="4"/>
  <c r="AT17" i="4"/>
  <c r="AT13" i="4"/>
  <c r="AT9" i="4"/>
  <c r="AT5" i="4"/>
  <c r="AG14" i="5"/>
  <c r="AG15" i="5" s="1"/>
  <c r="AG7" i="3"/>
  <c r="AG14" i="3" s="1"/>
  <c r="AG15" i="3" s="1"/>
  <c r="AG133" i="5"/>
  <c r="AG24" i="3" s="1"/>
  <c r="AH147" i="5"/>
  <c r="AH122" i="5"/>
  <c r="AH130" i="5"/>
  <c r="AH132" i="5"/>
  <c r="AH148" i="5"/>
  <c r="AH146" i="5"/>
  <c r="AH119" i="5"/>
  <c r="AH111" i="5"/>
  <c r="AH138" i="5"/>
  <c r="AH116" i="5"/>
  <c r="AH108" i="5"/>
  <c r="AH100" i="5"/>
  <c r="AH92" i="5"/>
  <c r="AH103" i="5"/>
  <c r="AH95" i="5"/>
  <c r="AH87" i="5"/>
  <c r="AH81" i="5"/>
  <c r="AH73" i="5"/>
  <c r="AH65" i="5"/>
  <c r="AH54" i="5" a="1"/>
  <c r="AH54" i="5" s="1"/>
  <c r="AH86" i="5"/>
  <c r="AH78" i="5"/>
  <c r="AH70" i="5"/>
  <c r="AH62" i="5"/>
  <c r="AH51" i="5" a="1"/>
  <c r="AH51" i="5" s="1"/>
  <c r="AH49" i="5" a="1"/>
  <c r="AH49" i="5" s="1"/>
  <c r="AH30" i="5" a="1"/>
  <c r="AH30" i="5" s="1"/>
  <c r="AH20" i="5" a="1"/>
  <c r="AH20" i="5" s="1"/>
  <c r="AH34" i="5" a="1"/>
  <c r="AH34" i="5" s="1"/>
  <c r="AU3" i="4"/>
  <c r="AH125" i="5"/>
  <c r="AH124" i="5"/>
  <c r="AH121" i="5"/>
  <c r="AH145" i="5"/>
  <c r="AH139" i="5"/>
  <c r="AH117" i="5"/>
  <c r="AH142" i="5"/>
  <c r="AH136" i="5"/>
  <c r="AH114" i="5"/>
  <c r="AH106" i="5"/>
  <c r="AH98" i="5"/>
  <c r="AH90" i="5"/>
  <c r="AH101" i="5"/>
  <c r="AH93" i="5"/>
  <c r="AH107" i="5"/>
  <c r="AH79" i="5"/>
  <c r="AH71" i="5"/>
  <c r="AH63" i="5"/>
  <c r="AH52" i="5" a="1"/>
  <c r="AH52" i="5" s="1"/>
  <c r="AH84" i="5"/>
  <c r="AH76" i="5"/>
  <c r="AH68" i="5"/>
  <c r="AH60" i="5"/>
  <c r="AH48" i="5" a="1"/>
  <c r="AH48" i="5" s="1"/>
  <c r="AH40" i="5" a="1"/>
  <c r="AH40" i="5" s="1"/>
  <c r="AH24" i="5" a="1"/>
  <c r="AH24" i="5" s="1"/>
  <c r="AH35" i="5" a="1"/>
  <c r="AH35" i="5" s="1"/>
  <c r="AH31" i="5" a="1"/>
  <c r="AH31" i="5" s="1"/>
  <c r="AH3" i="3"/>
  <c r="AH127" i="5"/>
  <c r="AH126" i="5"/>
  <c r="AH123" i="5"/>
  <c r="AH143" i="5"/>
  <c r="AH137" i="5"/>
  <c r="AH115" i="5"/>
  <c r="AH144" i="5"/>
  <c r="AH120" i="5"/>
  <c r="AH112" i="5"/>
  <c r="AH104" i="5"/>
  <c r="AH96" i="5"/>
  <c r="AH109" i="5"/>
  <c r="AH99" i="5"/>
  <c r="AH91" i="5"/>
  <c r="AH85" i="5"/>
  <c r="AH77" i="5"/>
  <c r="AH69" i="5"/>
  <c r="AH61" i="5"/>
  <c r="AH50" i="5" a="1"/>
  <c r="AH50" i="5" s="1"/>
  <c r="AH82" i="5"/>
  <c r="AH74" i="5"/>
  <c r="AH66" i="5"/>
  <c r="AH55" i="5" a="1"/>
  <c r="AH55" i="5" s="1"/>
  <c r="AH45" i="5" a="1"/>
  <c r="AH45" i="5" s="1"/>
  <c r="AH38" i="5" a="1"/>
  <c r="AH38" i="5" s="1"/>
  <c r="AH23" i="5" a="1"/>
  <c r="AH23" i="5" s="1"/>
  <c r="AH26" i="5" a="1"/>
  <c r="AH26" i="5" s="1"/>
  <c r="AH25" i="5" a="1"/>
  <c r="AH25" i="5" s="1"/>
  <c r="AH129" i="5"/>
  <c r="AH128" i="5"/>
  <c r="AH131" i="5"/>
  <c r="AH141" i="5"/>
  <c r="AH135" i="5"/>
  <c r="AH149" i="5" s="1"/>
  <c r="AH25" i="3" s="1"/>
  <c r="AH113" i="5"/>
  <c r="AH140" i="5"/>
  <c r="AH118" i="5"/>
  <c r="AH110" i="5"/>
  <c r="AH102" i="5"/>
  <c r="AH94" i="5"/>
  <c r="AH105" i="5"/>
  <c r="AH97" i="5"/>
  <c r="AH89" i="5"/>
  <c r="AH83" i="5"/>
  <c r="AH75" i="5"/>
  <c r="AH67" i="5"/>
  <c r="AH56" i="5" a="1"/>
  <c r="AH56" i="5" s="1"/>
  <c r="AH88" i="5"/>
  <c r="AH80" i="5"/>
  <c r="AH72" i="5"/>
  <c r="AH64" i="5"/>
  <c r="AH53" i="5" a="1"/>
  <c r="AH53" i="5" s="1"/>
  <c r="AH37" i="5" a="1"/>
  <c r="AH37" i="5" s="1"/>
  <c r="AH36" i="5" a="1"/>
  <c r="AH36" i="5" s="1"/>
  <c r="AH22" i="5" a="1"/>
  <c r="AH22" i="5" s="1"/>
  <c r="AI3" i="5"/>
  <c r="AH21" i="5" a="1"/>
  <c r="AH21" i="5" s="1"/>
  <c r="AG149" i="5"/>
  <c r="AG25" i="3" s="1"/>
  <c r="AG28" i="5"/>
  <c r="AG19" i="3" s="1"/>
  <c r="AS34" i="4"/>
  <c r="AG46" i="5"/>
  <c r="AG21" i="3" s="1"/>
  <c r="AB7" i="3"/>
  <c r="AB14" i="3" s="1"/>
  <c r="AB15" i="3" s="1"/>
  <c r="AB14" i="5"/>
  <c r="AB15" i="5" s="1"/>
  <c r="AG32" i="5"/>
  <c r="AG20" i="3" s="1"/>
  <c r="C40" i="2"/>
  <c r="B41" i="2"/>
  <c r="O15" i="2"/>
  <c r="R15" i="2"/>
  <c r="Q15" i="2"/>
  <c r="Z17" i="2" l="1"/>
  <c r="U19" i="2"/>
  <c r="K18" i="2"/>
  <c r="AC14" i="5"/>
  <c r="AC15" i="5" s="1"/>
  <c r="AC7" i="3"/>
  <c r="AC14" i="3" s="1"/>
  <c r="AC15" i="3" s="1"/>
  <c r="AH133" i="5"/>
  <c r="AH24" i="3" s="1"/>
  <c r="AH46" i="5"/>
  <c r="AH21" i="3" s="1"/>
  <c r="AH28" i="5"/>
  <c r="AH19" i="3" s="1"/>
  <c r="AG58" i="5"/>
  <c r="AG152" i="5" s="1"/>
  <c r="AE37" i="2" s="1"/>
  <c r="AH32" i="5"/>
  <c r="AH20" i="3" s="1"/>
  <c r="AT34" i="4"/>
  <c r="B42" i="2"/>
  <c r="C41" i="2"/>
  <c r="M17" i="2"/>
  <c r="AA17" i="2" s="1"/>
  <c r="AG23" i="3"/>
  <c r="AG28" i="3" s="1"/>
  <c r="AI123" i="5"/>
  <c r="AI131" i="5"/>
  <c r="AI128" i="5"/>
  <c r="AI143" i="5"/>
  <c r="AI142" i="5"/>
  <c r="AI119" i="5"/>
  <c r="AI111" i="5"/>
  <c r="AI138" i="5"/>
  <c r="AI116" i="5"/>
  <c r="AI108" i="5"/>
  <c r="AI99" i="5"/>
  <c r="AI91" i="5"/>
  <c r="AI104" i="5"/>
  <c r="AI96" i="5"/>
  <c r="AI88" i="5"/>
  <c r="AI81" i="5"/>
  <c r="AI73" i="5"/>
  <c r="AI65" i="5"/>
  <c r="AI53" i="5" a="1"/>
  <c r="AI53" i="5" s="1"/>
  <c r="AI80" i="5"/>
  <c r="AI72" i="5"/>
  <c r="AI64" i="5"/>
  <c r="AI54" i="5" a="1"/>
  <c r="AI54" i="5" s="1"/>
  <c r="AI40" i="5" a="1"/>
  <c r="AI40" i="5" s="1"/>
  <c r="AI45" i="5" a="1"/>
  <c r="AI45" i="5" s="1"/>
  <c r="AI26" i="5" a="1"/>
  <c r="AI26" i="5" s="1"/>
  <c r="AI31" i="5" a="1"/>
  <c r="AI31" i="5" s="1"/>
  <c r="AI22" i="5" a="1"/>
  <c r="AI22" i="5" s="1"/>
  <c r="AI125" i="5"/>
  <c r="AI122" i="5"/>
  <c r="AI130" i="5"/>
  <c r="AI141" i="5"/>
  <c r="AI139" i="5"/>
  <c r="AI117" i="5"/>
  <c r="AI109" i="5"/>
  <c r="AI136" i="5"/>
  <c r="AI114" i="5"/>
  <c r="AI105" i="5"/>
  <c r="AI97" i="5"/>
  <c r="AI89" i="5"/>
  <c r="AI102" i="5"/>
  <c r="AI94" i="5"/>
  <c r="AI86" i="5"/>
  <c r="AI79" i="5"/>
  <c r="AI71" i="5"/>
  <c r="AI63" i="5"/>
  <c r="AI51" i="5" a="1"/>
  <c r="AI51" i="5" s="1"/>
  <c r="AI78" i="5"/>
  <c r="AI70" i="5"/>
  <c r="AI62" i="5"/>
  <c r="AI52" i="5" a="1"/>
  <c r="AI52" i="5" s="1"/>
  <c r="AI38" i="5" a="1"/>
  <c r="AI38" i="5" s="1"/>
  <c r="AI37" i="5" a="1"/>
  <c r="AI37" i="5" s="1"/>
  <c r="AI21" i="5" a="1"/>
  <c r="AI21" i="5" s="1"/>
  <c r="AI25" i="5" a="1"/>
  <c r="AI25" i="5" s="1"/>
  <c r="AI20" i="5" a="1"/>
  <c r="AI20" i="5" s="1"/>
  <c r="AI147" i="5"/>
  <c r="AI127" i="5"/>
  <c r="AI124" i="5"/>
  <c r="AI132" i="5"/>
  <c r="AI148" i="5"/>
  <c r="AI146" i="5"/>
  <c r="AI137" i="5"/>
  <c r="AI115" i="5"/>
  <c r="AI107" i="5"/>
  <c r="AI120" i="5"/>
  <c r="AI112" i="5"/>
  <c r="AI103" i="5"/>
  <c r="AI95" i="5"/>
  <c r="AI87" i="5"/>
  <c r="AI100" i="5"/>
  <c r="AI92" i="5"/>
  <c r="AI85" i="5"/>
  <c r="AI77" i="5"/>
  <c r="AI69" i="5"/>
  <c r="AI61" i="5"/>
  <c r="AI84" i="5"/>
  <c r="AI76" i="5"/>
  <c r="AI68" i="5"/>
  <c r="AI60" i="5"/>
  <c r="AI50" i="5" a="1"/>
  <c r="AI50" i="5" s="1"/>
  <c r="AI36" i="5" a="1"/>
  <c r="AI36" i="5" s="1"/>
  <c r="AI35" i="5" a="1"/>
  <c r="AI35" i="5" s="1"/>
  <c r="AJ3" i="5"/>
  <c r="AI30" i="5" a="1"/>
  <c r="AI30" i="5" s="1"/>
  <c r="AV3" i="4"/>
  <c r="AI121" i="5"/>
  <c r="AI129" i="5"/>
  <c r="AI126" i="5"/>
  <c r="AI145" i="5"/>
  <c r="AI144" i="5"/>
  <c r="AI135" i="5"/>
  <c r="AI113" i="5"/>
  <c r="AI140" i="5"/>
  <c r="AI118" i="5"/>
  <c r="AI110" i="5"/>
  <c r="AI101" i="5"/>
  <c r="AI93" i="5"/>
  <c r="AI106" i="5"/>
  <c r="AI98" i="5"/>
  <c r="AI90" i="5"/>
  <c r="AI83" i="5"/>
  <c r="AI75" i="5"/>
  <c r="AI67" i="5"/>
  <c r="AI55" i="5" a="1"/>
  <c r="AI55" i="5" s="1"/>
  <c r="AI82" i="5"/>
  <c r="AI74" i="5"/>
  <c r="AI66" i="5"/>
  <c r="AI56" i="5" a="1"/>
  <c r="AI56" i="5" s="1"/>
  <c r="AI49" i="5" a="1"/>
  <c r="AI49" i="5" s="1"/>
  <c r="AI48" i="5" a="1"/>
  <c r="AI48" i="5" s="1"/>
  <c r="AI57" i="5" s="1"/>
  <c r="AI22" i="3" s="1"/>
  <c r="AI23" i="5" a="1"/>
  <c r="AI23" i="5" s="1"/>
  <c r="AI34" i="5" a="1"/>
  <c r="AI34" i="5" s="1"/>
  <c r="AI24" i="5" a="1"/>
  <c r="AI24" i="5" s="1"/>
  <c r="AI3" i="3"/>
  <c r="AH57" i="5"/>
  <c r="AH22" i="3" s="1"/>
  <c r="AU21" i="4"/>
  <c r="AU17" i="4"/>
  <c r="AU13" i="4"/>
  <c r="AU9" i="4"/>
  <c r="AU5" i="4"/>
  <c r="AU20" i="4"/>
  <c r="AU16" i="4"/>
  <c r="AU12" i="4"/>
  <c r="AU8" i="4"/>
  <c r="AU4" i="4"/>
  <c r="AU23" i="4"/>
  <c r="AU19" i="4"/>
  <c r="AU15" i="4"/>
  <c r="AU11" i="4"/>
  <c r="AU7" i="4"/>
  <c r="AU22" i="4"/>
  <c r="AU18" i="4"/>
  <c r="AU14" i="4"/>
  <c r="AU10" i="4"/>
  <c r="AU6" i="4"/>
  <c r="K19" i="2" l="1"/>
  <c r="U20" i="2"/>
  <c r="AI32" i="5"/>
  <c r="AI20" i="3" s="1"/>
  <c r="AI46" i="5"/>
  <c r="AI21" i="3" s="1"/>
  <c r="AH58" i="5"/>
  <c r="AH152" i="5" s="1"/>
  <c r="AE38" i="2" s="1"/>
  <c r="AB35" i="2" s="1"/>
  <c r="AU34" i="4"/>
  <c r="AV20" i="4"/>
  <c r="AV16" i="4"/>
  <c r="AV12" i="4"/>
  <c r="AV8" i="4"/>
  <c r="AV5" i="4"/>
  <c r="AV23" i="4"/>
  <c r="AV19" i="4"/>
  <c r="AV15" i="4"/>
  <c r="AV11" i="4"/>
  <c r="AV7" i="4"/>
  <c r="AV22" i="4"/>
  <c r="AV18" i="4"/>
  <c r="AV14" i="4"/>
  <c r="AV10" i="4"/>
  <c r="AV6" i="4"/>
  <c r="AV21" i="4"/>
  <c r="AV17" i="4"/>
  <c r="AV13" i="4"/>
  <c r="AV9" i="4"/>
  <c r="AV4" i="4"/>
  <c r="B43" i="2"/>
  <c r="C42" i="2"/>
  <c r="AH23" i="3"/>
  <c r="AH28" i="3" s="1"/>
  <c r="AI149" i="5"/>
  <c r="AI25" i="3" s="1"/>
  <c r="AJ147" i="5"/>
  <c r="AJ127" i="5"/>
  <c r="AJ126" i="5"/>
  <c r="AJ132" i="5"/>
  <c r="AJ148" i="5"/>
  <c r="AJ136" i="5"/>
  <c r="AJ114" i="5"/>
  <c r="AJ145" i="5"/>
  <c r="AJ119" i="5"/>
  <c r="AJ111" i="5"/>
  <c r="AJ101" i="5"/>
  <c r="AJ93" i="5"/>
  <c r="AJ104" i="5"/>
  <c r="AJ96" i="5"/>
  <c r="AJ88" i="5"/>
  <c r="AJ82" i="5"/>
  <c r="AJ74" i="5"/>
  <c r="AJ66" i="5"/>
  <c r="AJ56" i="5" a="1"/>
  <c r="AJ56" i="5" s="1"/>
  <c r="AJ89" i="5"/>
  <c r="AJ81" i="5"/>
  <c r="AJ73" i="5"/>
  <c r="AJ65" i="5"/>
  <c r="AJ53" i="5" a="1"/>
  <c r="AJ53" i="5" s="1"/>
  <c r="AJ37" i="5" a="1"/>
  <c r="AJ37" i="5" s="1"/>
  <c r="AJ36" i="5" a="1"/>
  <c r="AJ36" i="5" s="1"/>
  <c r="AJ34" i="5" a="1"/>
  <c r="AJ34" i="5" s="1"/>
  <c r="AJ20" i="5" a="1"/>
  <c r="AJ20" i="5" s="1"/>
  <c r="AJ21" i="5" a="1"/>
  <c r="AJ21" i="5" s="1"/>
  <c r="AJ121" i="5"/>
  <c r="AJ122" i="5"/>
  <c r="AJ131" i="5"/>
  <c r="AJ146" i="5"/>
  <c r="AJ141" i="5"/>
  <c r="AJ120" i="5"/>
  <c r="AJ112" i="5"/>
  <c r="AJ139" i="5"/>
  <c r="AJ117" i="5"/>
  <c r="AJ109" i="5"/>
  <c r="AJ99" i="5"/>
  <c r="AJ91" i="5"/>
  <c r="AJ102" i="5"/>
  <c r="AJ94" i="5"/>
  <c r="AJ108" i="5"/>
  <c r="AJ80" i="5"/>
  <c r="AJ72" i="5"/>
  <c r="AJ64" i="5"/>
  <c r="AJ54" i="5" a="1"/>
  <c r="AJ54" i="5" s="1"/>
  <c r="AJ86" i="5"/>
  <c r="AJ79" i="5"/>
  <c r="AJ71" i="5"/>
  <c r="AJ63" i="5"/>
  <c r="AJ51" i="5" a="1"/>
  <c r="AJ51" i="5" s="1"/>
  <c r="AJ49" i="5" a="1"/>
  <c r="AJ49" i="5" s="1"/>
  <c r="AJ26" i="5" a="1"/>
  <c r="AJ26" i="5" s="1"/>
  <c r="AJ31" i="5" a="1"/>
  <c r="AJ31" i="5" s="1"/>
  <c r="AJ30" i="5" a="1"/>
  <c r="AJ30" i="5" s="1"/>
  <c r="AJ3" i="3"/>
  <c r="AJ123" i="5"/>
  <c r="AJ124" i="5"/>
  <c r="AJ129" i="5"/>
  <c r="AJ144" i="5"/>
  <c r="AJ140" i="5"/>
  <c r="AJ118" i="5"/>
  <c r="AJ110" i="5"/>
  <c r="AJ137" i="5"/>
  <c r="AJ115" i="5"/>
  <c r="AJ105" i="5"/>
  <c r="AJ97" i="5"/>
  <c r="AJ107" i="5"/>
  <c r="AJ100" i="5"/>
  <c r="AJ92" i="5"/>
  <c r="AJ87" i="5"/>
  <c r="AJ78" i="5"/>
  <c r="AJ70" i="5"/>
  <c r="AJ62" i="5"/>
  <c r="AJ52" i="5" a="1"/>
  <c r="AJ52" i="5" s="1"/>
  <c r="AJ85" i="5"/>
  <c r="AJ77" i="5"/>
  <c r="AJ69" i="5"/>
  <c r="AJ61" i="5"/>
  <c r="AJ48" i="5" a="1"/>
  <c r="AJ48" i="5" s="1"/>
  <c r="AJ40" i="5" a="1"/>
  <c r="AJ40" i="5" s="1"/>
  <c r="AK3" i="5"/>
  <c r="AJ25" i="5" a="1"/>
  <c r="AJ25" i="5" s="1"/>
  <c r="AJ24" i="5" a="1"/>
  <c r="AJ24" i="5" s="1"/>
  <c r="AW3" i="4"/>
  <c r="AJ125" i="5"/>
  <c r="AJ130" i="5"/>
  <c r="AJ128" i="5"/>
  <c r="AJ142" i="5"/>
  <c r="AJ138" i="5"/>
  <c r="AJ116" i="5"/>
  <c r="AJ143" i="5"/>
  <c r="AJ135" i="5"/>
  <c r="AJ149" i="5" s="1"/>
  <c r="AJ25" i="3" s="1"/>
  <c r="AJ113" i="5"/>
  <c r="AJ103" i="5"/>
  <c r="AJ95" i="5"/>
  <c r="AJ106" i="5"/>
  <c r="AJ98" i="5"/>
  <c r="AJ90" i="5"/>
  <c r="AJ84" i="5"/>
  <c r="AJ76" i="5"/>
  <c r="AJ68" i="5"/>
  <c r="AJ60" i="5"/>
  <c r="AJ50" i="5" a="1"/>
  <c r="AJ50" i="5" s="1"/>
  <c r="AJ83" i="5"/>
  <c r="AJ75" i="5"/>
  <c r="AJ67" i="5"/>
  <c r="AJ55" i="5" a="1"/>
  <c r="AJ55" i="5" s="1"/>
  <c r="AJ45" i="5" a="1"/>
  <c r="AJ45" i="5" s="1"/>
  <c r="AJ38" i="5" a="1"/>
  <c r="AJ38" i="5" s="1"/>
  <c r="AJ35" i="5" a="1"/>
  <c r="AJ35" i="5" s="1"/>
  <c r="AJ22" i="5" a="1"/>
  <c r="AJ22" i="5" s="1"/>
  <c r="AJ23" i="5" a="1"/>
  <c r="AJ23" i="5" s="1"/>
  <c r="AJ7" i="5"/>
  <c r="AI133" i="5"/>
  <c r="AI24" i="3" s="1"/>
  <c r="AI28" i="5"/>
  <c r="AI19" i="3" s="1"/>
  <c r="AI23" i="3" s="1"/>
  <c r="Z18" i="2"/>
  <c r="L17" i="2"/>
  <c r="U21" i="2" l="1"/>
  <c r="K20" i="2"/>
  <c r="AI58" i="5"/>
  <c r="AI28" i="3"/>
  <c r="AJ57" i="5"/>
  <c r="AJ22" i="3" s="1"/>
  <c r="P16" i="2"/>
  <c r="AE7" i="5"/>
  <c r="AJ133" i="5"/>
  <c r="AJ24" i="3" s="1"/>
  <c r="AJ32" i="5"/>
  <c r="AJ20" i="3" s="1"/>
  <c r="AK121" i="5"/>
  <c r="AK129" i="5"/>
  <c r="AK128" i="5"/>
  <c r="AK142" i="5"/>
  <c r="AK141" i="5"/>
  <c r="AK120" i="5"/>
  <c r="AK112" i="5"/>
  <c r="AK137" i="5"/>
  <c r="AK115" i="5"/>
  <c r="AK107" i="5"/>
  <c r="AK100" i="5"/>
  <c r="AK92" i="5"/>
  <c r="AK105" i="5"/>
  <c r="AK97" i="5"/>
  <c r="AK89" i="5"/>
  <c r="AK80" i="5"/>
  <c r="AK72" i="5"/>
  <c r="AK64" i="5"/>
  <c r="AK53" i="5" a="1"/>
  <c r="AK53" i="5" s="1"/>
  <c r="AK81" i="5"/>
  <c r="AK73" i="5"/>
  <c r="AK65" i="5"/>
  <c r="AK54" i="5" a="1"/>
  <c r="AK54" i="5" s="1"/>
  <c r="AK40" i="5" a="1"/>
  <c r="AK40" i="5" s="1"/>
  <c r="AK45" i="5" a="1"/>
  <c r="AK45" i="5" s="1"/>
  <c r="AK31" i="5" a="1"/>
  <c r="AK31" i="5" s="1"/>
  <c r="AK21" i="5" a="1"/>
  <c r="AK21" i="5" s="1"/>
  <c r="AK20" i="5" a="1"/>
  <c r="AK20" i="5" s="1"/>
  <c r="AK123" i="5"/>
  <c r="AK131" i="5"/>
  <c r="AK124" i="5"/>
  <c r="AK148" i="5"/>
  <c r="AK140" i="5"/>
  <c r="AK118" i="5"/>
  <c r="AK110" i="5"/>
  <c r="AK135" i="5"/>
  <c r="AK113" i="5"/>
  <c r="AK106" i="5"/>
  <c r="AK98" i="5"/>
  <c r="AK90" i="5"/>
  <c r="AK103" i="5"/>
  <c r="AK95" i="5"/>
  <c r="AK87" i="5"/>
  <c r="AK78" i="5"/>
  <c r="AK70" i="5"/>
  <c r="AK62" i="5"/>
  <c r="AK51" i="5" a="1"/>
  <c r="AK51" i="5" s="1"/>
  <c r="AK79" i="5"/>
  <c r="AK71" i="5"/>
  <c r="AK63" i="5"/>
  <c r="AK52" i="5" a="1"/>
  <c r="AK52" i="5" s="1"/>
  <c r="AK38" i="5" a="1"/>
  <c r="AK38" i="5" s="1"/>
  <c r="AK37" i="5" a="1"/>
  <c r="AK37" i="5" s="1"/>
  <c r="AK25" i="5" a="1"/>
  <c r="AK25" i="5" s="1"/>
  <c r="AK23" i="5" a="1"/>
  <c r="AK23" i="5" s="1"/>
  <c r="AL3" i="5"/>
  <c r="AK147" i="5"/>
  <c r="AK125" i="5"/>
  <c r="AK122" i="5"/>
  <c r="AK132" i="5"/>
  <c r="AK146" i="5"/>
  <c r="AK145" i="5"/>
  <c r="AK138" i="5"/>
  <c r="AK116" i="5"/>
  <c r="AK108" i="5"/>
  <c r="AK119" i="5"/>
  <c r="AK111" i="5"/>
  <c r="AK104" i="5"/>
  <c r="AK96" i="5"/>
  <c r="AK88" i="5"/>
  <c r="AK101" i="5"/>
  <c r="AK93" i="5"/>
  <c r="AK84" i="5"/>
  <c r="AK76" i="5"/>
  <c r="AK68" i="5"/>
  <c r="AK60" i="5"/>
  <c r="AK85" i="5"/>
  <c r="AK77" i="5"/>
  <c r="AK69" i="5"/>
  <c r="AK61" i="5"/>
  <c r="AK50" i="5" a="1"/>
  <c r="AK50" i="5" s="1"/>
  <c r="AK36" i="5" a="1"/>
  <c r="AK36" i="5" s="1"/>
  <c r="AK35" i="5" a="1"/>
  <c r="AK35" i="5" s="1"/>
  <c r="AK30" i="5" a="1"/>
  <c r="AK30" i="5" s="1"/>
  <c r="AK32" i="5" s="1"/>
  <c r="AK20" i="3" s="1"/>
  <c r="AK26" i="5" a="1"/>
  <c r="AK26" i="5" s="1"/>
  <c r="AK3" i="3"/>
  <c r="AK130" i="5"/>
  <c r="AK127" i="5"/>
  <c r="AK126" i="5"/>
  <c r="AK144" i="5"/>
  <c r="AK143" i="5"/>
  <c r="AK136" i="5"/>
  <c r="AK114" i="5"/>
  <c r="AK139" i="5"/>
  <c r="AK117" i="5"/>
  <c r="AK109" i="5"/>
  <c r="AK102" i="5"/>
  <c r="AK94" i="5"/>
  <c r="AK86" i="5"/>
  <c r="AK99" i="5"/>
  <c r="AK91" i="5"/>
  <c r="AK82" i="5"/>
  <c r="AK74" i="5"/>
  <c r="AK66" i="5"/>
  <c r="AK55" i="5" a="1"/>
  <c r="AK55" i="5" s="1"/>
  <c r="AK83" i="5"/>
  <c r="AK75" i="5"/>
  <c r="AK67" i="5"/>
  <c r="AK56" i="5" a="1"/>
  <c r="AK56" i="5" s="1"/>
  <c r="AK49" i="5" a="1"/>
  <c r="AK49" i="5" s="1"/>
  <c r="AK48" i="5" a="1"/>
  <c r="AK48" i="5" s="1"/>
  <c r="AK57" i="5" s="1"/>
  <c r="AK22" i="3" s="1"/>
  <c r="AK34" i="5" a="1"/>
  <c r="AK34" i="5" s="1"/>
  <c r="AK24" i="5" a="1"/>
  <c r="AK24" i="5" s="1"/>
  <c r="AK22" i="5" a="1"/>
  <c r="AK22" i="5" s="1"/>
  <c r="AX3" i="4"/>
  <c r="AJ28" i="5"/>
  <c r="AJ19" i="3" s="1"/>
  <c r="AV34" i="4"/>
  <c r="AJ14" i="5"/>
  <c r="AJ15" i="5" s="1"/>
  <c r="AJ7" i="3"/>
  <c r="AJ14" i="3" s="1"/>
  <c r="AJ15" i="3" s="1"/>
  <c r="AI152" i="5"/>
  <c r="AE39" i="2" s="1"/>
  <c r="AB36" i="2" s="1"/>
  <c r="AF7" i="5" s="1"/>
  <c r="AW23" i="4"/>
  <c r="AW19" i="4"/>
  <c r="AW15" i="4"/>
  <c r="AW9" i="4"/>
  <c r="AW12" i="4"/>
  <c r="AW22" i="4"/>
  <c r="AW18" i="4"/>
  <c r="AW4" i="4"/>
  <c r="AW7" i="4"/>
  <c r="AW10" i="4"/>
  <c r="AW21" i="4"/>
  <c r="AW17" i="4"/>
  <c r="AW13" i="4"/>
  <c r="AW5" i="4"/>
  <c r="AW8" i="4"/>
  <c r="AW20" i="4"/>
  <c r="AW16" i="4"/>
  <c r="AW11" i="4"/>
  <c r="AW14" i="4"/>
  <c r="AW6" i="4"/>
  <c r="AJ46" i="5"/>
  <c r="AJ21" i="3" s="1"/>
  <c r="B44" i="2"/>
  <c r="C43" i="2"/>
  <c r="K21" i="2" l="1"/>
  <c r="U22" i="2"/>
  <c r="AF7" i="3"/>
  <c r="AF14" i="3" s="1"/>
  <c r="AF15" i="3" s="1"/>
  <c r="AF14" i="5"/>
  <c r="AF15" i="5" s="1"/>
  <c r="AK46" i="5"/>
  <c r="AK21" i="3" s="1"/>
  <c r="AJ58" i="5"/>
  <c r="AJ152" i="5" s="1"/>
  <c r="AE40" i="2" s="1"/>
  <c r="C44" i="2"/>
  <c r="B45" i="2"/>
  <c r="M18" i="2"/>
  <c r="AA18" i="2" s="1"/>
  <c r="AJ23" i="3"/>
  <c r="AJ28" i="3" s="1"/>
  <c r="AK133" i="5"/>
  <c r="AK24" i="3" s="1"/>
  <c r="AL147" i="5"/>
  <c r="AL123" i="5"/>
  <c r="AL131" i="5"/>
  <c r="AL132" i="5"/>
  <c r="AL141" i="5"/>
  <c r="AL135" i="5"/>
  <c r="AL113" i="5"/>
  <c r="AL140" i="5"/>
  <c r="AL118" i="5"/>
  <c r="AL110" i="5"/>
  <c r="AL100" i="5"/>
  <c r="AL92" i="5"/>
  <c r="AL108" i="5"/>
  <c r="AL99" i="5"/>
  <c r="AL91" i="5"/>
  <c r="AL86" i="5"/>
  <c r="AL79" i="5"/>
  <c r="AL71" i="5"/>
  <c r="AL63" i="5"/>
  <c r="AL52" i="5" a="1"/>
  <c r="AL52" i="5" s="1"/>
  <c r="AL80" i="5"/>
  <c r="AL72" i="5"/>
  <c r="AL64" i="5"/>
  <c r="AL53" i="5" a="1"/>
  <c r="AL53" i="5" s="1"/>
  <c r="AL37" i="5" a="1"/>
  <c r="AL37" i="5" s="1"/>
  <c r="AL36" i="5" a="1"/>
  <c r="AL36" i="5" s="1"/>
  <c r="AL23" i="5" a="1"/>
  <c r="AL23" i="5" s="1"/>
  <c r="AM3" i="5"/>
  <c r="AL21" i="5" a="1"/>
  <c r="AL21" i="5" s="1"/>
  <c r="AL126" i="5"/>
  <c r="AL125" i="5"/>
  <c r="AL122" i="5"/>
  <c r="AL148" i="5"/>
  <c r="AL142" i="5"/>
  <c r="AL119" i="5"/>
  <c r="AL111" i="5"/>
  <c r="AL138" i="5"/>
  <c r="AL116" i="5"/>
  <c r="AL106" i="5"/>
  <c r="AL98" i="5"/>
  <c r="AL90" i="5"/>
  <c r="AL105" i="5"/>
  <c r="AL97" i="5"/>
  <c r="AL89" i="5"/>
  <c r="AL85" i="5"/>
  <c r="AL77" i="5"/>
  <c r="AL69" i="5"/>
  <c r="AL128" i="5"/>
  <c r="AL127" i="5"/>
  <c r="AL124" i="5"/>
  <c r="AL145" i="5"/>
  <c r="AL139" i="5"/>
  <c r="AL117" i="5"/>
  <c r="AL144" i="5"/>
  <c r="AL136" i="5"/>
  <c r="AL114" i="5"/>
  <c r="AL104" i="5"/>
  <c r="AL96" i="5"/>
  <c r="AL109" i="5"/>
  <c r="AL103" i="5"/>
  <c r="AL95" i="5"/>
  <c r="AL87" i="5"/>
  <c r="AL83" i="5"/>
  <c r="AL75" i="5"/>
  <c r="AL67" i="5"/>
  <c r="AL56" i="5" a="1"/>
  <c r="AL56" i="5" s="1"/>
  <c r="AL84" i="5"/>
  <c r="AL76" i="5"/>
  <c r="AL68" i="5"/>
  <c r="AL60" i="5"/>
  <c r="AL48" i="5" a="1"/>
  <c r="AL48" i="5" s="1"/>
  <c r="AL40" i="5" a="1"/>
  <c r="AL40" i="5" s="1"/>
  <c r="AL30" i="5" a="1"/>
  <c r="AL30" i="5" s="1"/>
  <c r="AL20" i="5" a="1"/>
  <c r="AL20" i="5" s="1"/>
  <c r="AL31" i="5" a="1"/>
  <c r="AL31" i="5" s="1"/>
  <c r="AL3" i="3"/>
  <c r="AL121" i="5"/>
  <c r="AL129" i="5"/>
  <c r="AL130" i="5"/>
  <c r="AL143" i="5"/>
  <c r="AL137" i="5"/>
  <c r="AL115" i="5"/>
  <c r="AL146" i="5"/>
  <c r="AL120" i="5"/>
  <c r="AL112" i="5"/>
  <c r="AL102" i="5"/>
  <c r="AL94" i="5"/>
  <c r="AL107" i="5"/>
  <c r="AL101" i="5"/>
  <c r="AL93" i="5"/>
  <c r="AL88" i="5"/>
  <c r="AL81" i="5"/>
  <c r="AL73" i="5"/>
  <c r="AL65" i="5"/>
  <c r="AL54" i="5" a="1"/>
  <c r="AL54" i="5" s="1"/>
  <c r="AL82" i="5"/>
  <c r="AL74" i="5"/>
  <c r="AL66" i="5"/>
  <c r="AL55" i="5" a="1"/>
  <c r="AL55" i="5" s="1"/>
  <c r="AL45" i="5" a="1"/>
  <c r="AL45" i="5" s="1"/>
  <c r="AL38" i="5" a="1"/>
  <c r="AL38" i="5" s="1"/>
  <c r="AL24" i="5" a="1"/>
  <c r="AL24" i="5" s="1"/>
  <c r="AL26" i="5" a="1"/>
  <c r="AL26" i="5" s="1"/>
  <c r="AL25" i="5" a="1"/>
  <c r="AL25" i="5" s="1"/>
  <c r="AL50" i="5" a="1"/>
  <c r="AL50" i="5" s="1"/>
  <c r="AL51" i="5" a="1"/>
  <c r="AL51" i="5" s="1"/>
  <c r="AL34" i="5" a="1"/>
  <c r="AL34" i="5" s="1"/>
  <c r="AL78" i="5"/>
  <c r="AL49" i="5" a="1"/>
  <c r="AL49" i="5" s="1"/>
  <c r="AY3" i="4"/>
  <c r="AL70" i="5"/>
  <c r="AL35" i="5" a="1"/>
  <c r="AL35" i="5" s="1"/>
  <c r="AL61" i="5"/>
  <c r="AL62" i="5"/>
  <c r="AL22" i="5" a="1"/>
  <c r="AL22" i="5" s="1"/>
  <c r="AK149" i="5"/>
  <c r="AK25" i="3" s="1"/>
  <c r="AK28" i="5"/>
  <c r="AK19" i="3" s="1"/>
  <c r="AK23" i="3" s="1"/>
  <c r="AK28" i="3" s="1"/>
  <c r="AE14" i="5"/>
  <c r="AE15" i="5" s="1"/>
  <c r="AE7" i="3"/>
  <c r="AE14" i="3" s="1"/>
  <c r="AE15" i="3" s="1"/>
  <c r="AW34" i="4"/>
  <c r="AX20" i="4"/>
  <c r="AX16" i="4"/>
  <c r="AX12" i="4"/>
  <c r="AX8" i="4"/>
  <c r="AX4" i="4"/>
  <c r="AX23" i="4"/>
  <c r="AX19" i="4"/>
  <c r="AX15" i="4"/>
  <c r="AX11" i="4"/>
  <c r="AX7" i="4"/>
  <c r="AX22" i="4"/>
  <c r="AX18" i="4"/>
  <c r="AX14" i="4"/>
  <c r="AX10" i="4"/>
  <c r="AX6" i="4"/>
  <c r="AX21" i="4"/>
  <c r="AX17" i="4"/>
  <c r="AX13" i="4"/>
  <c r="AX9" i="4"/>
  <c r="AX5" i="4"/>
  <c r="R16" i="2"/>
  <c r="Q16" i="2"/>
  <c r="O16" i="2"/>
  <c r="AL46" i="5" l="1"/>
  <c r="AL21" i="3" s="1"/>
  <c r="K22" i="2"/>
  <c r="U23" i="2"/>
  <c r="AK58" i="5"/>
  <c r="AK152" i="5" s="1"/>
  <c r="AE41" i="2" s="1"/>
  <c r="AB38" i="2" s="1"/>
  <c r="P27" i="2" s="1"/>
  <c r="Q27" i="2" s="1"/>
  <c r="P17" i="2"/>
  <c r="AX34" i="4"/>
  <c r="AL57" i="5"/>
  <c r="AL22" i="3" s="1"/>
  <c r="AY20" i="4"/>
  <c r="AY16" i="4"/>
  <c r="AY12" i="4"/>
  <c r="AY8" i="4"/>
  <c r="AY4" i="4"/>
  <c r="AY22" i="4"/>
  <c r="AY18" i="4"/>
  <c r="AY14" i="4"/>
  <c r="AY10" i="4"/>
  <c r="AY6" i="4"/>
  <c r="AY21" i="4"/>
  <c r="AY17" i="4"/>
  <c r="AY13" i="4"/>
  <c r="AY9" i="4"/>
  <c r="AY5" i="4"/>
  <c r="AY23" i="4"/>
  <c r="AY7" i="4"/>
  <c r="AY19" i="4"/>
  <c r="AY15" i="4"/>
  <c r="AY11" i="4"/>
  <c r="AL28" i="5"/>
  <c r="AL19" i="3" s="1"/>
  <c r="AL133" i="5"/>
  <c r="AL24" i="3" s="1"/>
  <c r="AL149" i="5"/>
  <c r="AL25" i="3" s="1"/>
  <c r="Z19" i="2"/>
  <c r="L18" i="2"/>
  <c r="AL32" i="5"/>
  <c r="AL20" i="3" s="1"/>
  <c r="B46" i="2"/>
  <c r="C45" i="2"/>
  <c r="AM124" i="5"/>
  <c r="AM121" i="5"/>
  <c r="AM132" i="5"/>
  <c r="AM141" i="5"/>
  <c r="AM139" i="5"/>
  <c r="AM117" i="5"/>
  <c r="AM109" i="5"/>
  <c r="AM136" i="5"/>
  <c r="AM114" i="5"/>
  <c r="AM105" i="5"/>
  <c r="AM97" i="5"/>
  <c r="AM89" i="5"/>
  <c r="AM102" i="5"/>
  <c r="AM94" i="5"/>
  <c r="AM86" i="5"/>
  <c r="AM79" i="5"/>
  <c r="AM71" i="5"/>
  <c r="AM63" i="5"/>
  <c r="AM147" i="5"/>
  <c r="AM128" i="5"/>
  <c r="AM125" i="5"/>
  <c r="AM129" i="5"/>
  <c r="AM145" i="5"/>
  <c r="AM144" i="5"/>
  <c r="AM135" i="5"/>
  <c r="AM113" i="5"/>
  <c r="AM140" i="5"/>
  <c r="AM118" i="5"/>
  <c r="AM110" i="5"/>
  <c r="AM101" i="5"/>
  <c r="AM93" i="5"/>
  <c r="AM106" i="5"/>
  <c r="AM98" i="5"/>
  <c r="AM90" i="5"/>
  <c r="AM83" i="5"/>
  <c r="AM75" i="5"/>
  <c r="AM67" i="5"/>
  <c r="AM55" i="5" a="1"/>
  <c r="AM55" i="5" s="1"/>
  <c r="AM82" i="5"/>
  <c r="AM74" i="5"/>
  <c r="AM66" i="5"/>
  <c r="AM56" i="5" a="1"/>
  <c r="AM56" i="5" s="1"/>
  <c r="AM49" i="5" a="1"/>
  <c r="AM49" i="5" s="1"/>
  <c r="AM48" i="5" a="1"/>
  <c r="AM48" i="5" s="1"/>
  <c r="AM23" i="5" a="1"/>
  <c r="AM23" i="5" s="1"/>
  <c r="AM34" i="5" a="1"/>
  <c r="AM34" i="5" s="1"/>
  <c r="AM24" i="5" a="1"/>
  <c r="AM24" i="5" s="1"/>
  <c r="AM3" i="3"/>
  <c r="AM122" i="5"/>
  <c r="AM130" i="5"/>
  <c r="AM127" i="5"/>
  <c r="AM143" i="5"/>
  <c r="AM142" i="5"/>
  <c r="AM119" i="5"/>
  <c r="AM111" i="5"/>
  <c r="AM138" i="5"/>
  <c r="AM116" i="5"/>
  <c r="AM108" i="5"/>
  <c r="AM99" i="5"/>
  <c r="AM91" i="5"/>
  <c r="AM104" i="5"/>
  <c r="AM96" i="5"/>
  <c r="AM88" i="5"/>
  <c r="AM81" i="5"/>
  <c r="AM73" i="5"/>
  <c r="AM65" i="5"/>
  <c r="AM53" i="5" a="1"/>
  <c r="AM53" i="5" s="1"/>
  <c r="AM80" i="5"/>
  <c r="AM72" i="5"/>
  <c r="AM64" i="5"/>
  <c r="AM54" i="5" a="1"/>
  <c r="AM54" i="5" s="1"/>
  <c r="AM40" i="5" a="1"/>
  <c r="AM40" i="5" s="1"/>
  <c r="AM45" i="5" a="1"/>
  <c r="AM45" i="5" s="1"/>
  <c r="AM26" i="5" a="1"/>
  <c r="AM26" i="5" s="1"/>
  <c r="AM31" i="5" a="1"/>
  <c r="AM31" i="5" s="1"/>
  <c r="AM22" i="5" a="1"/>
  <c r="AM22" i="5" s="1"/>
  <c r="AM115" i="5"/>
  <c r="AM103" i="5"/>
  <c r="AM92" i="5"/>
  <c r="AM61" i="5"/>
  <c r="AM76" i="5"/>
  <c r="AM60" i="5"/>
  <c r="AM36" i="5" a="1"/>
  <c r="AM36" i="5" s="1"/>
  <c r="AN3" i="5"/>
  <c r="AZ3" i="4"/>
  <c r="AM126" i="5"/>
  <c r="AM148" i="5"/>
  <c r="AM107" i="5"/>
  <c r="AM95" i="5"/>
  <c r="AM85" i="5"/>
  <c r="AM51" i="5" a="1"/>
  <c r="AM51" i="5" s="1"/>
  <c r="AM70" i="5"/>
  <c r="AM52" i="5" a="1"/>
  <c r="AM52" i="5" s="1"/>
  <c r="AM37" i="5" a="1"/>
  <c r="AM37" i="5" s="1"/>
  <c r="AM25" i="5" a="1"/>
  <c r="AM25" i="5" s="1"/>
  <c r="AM123" i="5"/>
  <c r="AM146" i="5"/>
  <c r="AM120" i="5"/>
  <c r="AM87" i="5"/>
  <c r="AM77" i="5"/>
  <c r="AM84" i="5"/>
  <c r="AM68" i="5"/>
  <c r="AM50" i="5" a="1"/>
  <c r="AM50" i="5" s="1"/>
  <c r="AM35" i="5" a="1"/>
  <c r="AM35" i="5" s="1"/>
  <c r="AM30" i="5" a="1"/>
  <c r="AM30" i="5" s="1"/>
  <c r="AM131" i="5"/>
  <c r="AM137" i="5"/>
  <c r="AM112" i="5"/>
  <c r="AM100" i="5"/>
  <c r="AM69" i="5"/>
  <c r="AM78" i="5"/>
  <c r="AM62" i="5"/>
  <c r="AM38" i="5" a="1"/>
  <c r="AM38" i="5" s="1"/>
  <c r="AM21" i="5" a="1"/>
  <c r="AM21" i="5" s="1"/>
  <c r="AM20" i="5" a="1"/>
  <c r="AM20" i="5" s="1"/>
  <c r="AM7" i="5"/>
  <c r="AL23" i="3" l="1"/>
  <c r="AL28" i="3" s="1"/>
  <c r="O27" i="2"/>
  <c r="R27" i="2"/>
  <c r="K23" i="2"/>
  <c r="U24" i="2"/>
  <c r="AH7" i="5"/>
  <c r="P28" i="2"/>
  <c r="AM32" i="5"/>
  <c r="AM20" i="3" s="1"/>
  <c r="AM7" i="3"/>
  <c r="AM14" i="3" s="1"/>
  <c r="AM15" i="3" s="1"/>
  <c r="AM14" i="5"/>
  <c r="AM15" i="5" s="1"/>
  <c r="AN124" i="5"/>
  <c r="AN123" i="5"/>
  <c r="AN125" i="5"/>
  <c r="AN126" i="5"/>
  <c r="AN129" i="5"/>
  <c r="AN132" i="5"/>
  <c r="AN122" i="5"/>
  <c r="AN127" i="5"/>
  <c r="AN148" i="5"/>
  <c r="AN138" i="5"/>
  <c r="AN116" i="5"/>
  <c r="AN145" i="5"/>
  <c r="AN119" i="5"/>
  <c r="AN111" i="5"/>
  <c r="AN103" i="5"/>
  <c r="AN95" i="5"/>
  <c r="AN106" i="5"/>
  <c r="AN98" i="5"/>
  <c r="AN90" i="5"/>
  <c r="AN89" i="5"/>
  <c r="AN78" i="5"/>
  <c r="AN70" i="5"/>
  <c r="AN62" i="5"/>
  <c r="AN52" i="5" a="1"/>
  <c r="AN52" i="5" s="1"/>
  <c r="AN81" i="5"/>
  <c r="AN73" i="5"/>
  <c r="AN65" i="5"/>
  <c r="AN53" i="5" a="1"/>
  <c r="AN53" i="5" s="1"/>
  <c r="AN45" i="5" a="1"/>
  <c r="AN45" i="5" s="1"/>
  <c r="AN36" i="5" a="1"/>
  <c r="AN36" i="5" s="1"/>
  <c r="AN31" i="5" a="1"/>
  <c r="AN31" i="5" s="1"/>
  <c r="AN30" i="5" a="1"/>
  <c r="AN30" i="5" s="1"/>
  <c r="AN21" i="5" a="1"/>
  <c r="AN21" i="5" s="1"/>
  <c r="AN128" i="5"/>
  <c r="AN130" i="5"/>
  <c r="AN146" i="5"/>
  <c r="AN141" i="5"/>
  <c r="AN136" i="5"/>
  <c r="AN114" i="5"/>
  <c r="AN139" i="5"/>
  <c r="AN117" i="5"/>
  <c r="AN109" i="5"/>
  <c r="AN101" i="5"/>
  <c r="AN93" i="5"/>
  <c r="AN104" i="5"/>
  <c r="AN96" i="5"/>
  <c r="AN88" i="5"/>
  <c r="AN84" i="5"/>
  <c r="AN76" i="5"/>
  <c r="AN68" i="5"/>
  <c r="AN60" i="5"/>
  <c r="AN50" i="5" a="1"/>
  <c r="AN50" i="5" s="1"/>
  <c r="AN79" i="5"/>
  <c r="AN71" i="5"/>
  <c r="AN63" i="5"/>
  <c r="AN51" i="5" a="1"/>
  <c r="AN51" i="5" s="1"/>
  <c r="AN37" i="5" a="1"/>
  <c r="AN37" i="5" s="1"/>
  <c r="AN26" i="5" a="1"/>
  <c r="AN26" i="5" s="1"/>
  <c r="AN25" i="5" a="1"/>
  <c r="AN25" i="5" s="1"/>
  <c r="AN24" i="5" a="1"/>
  <c r="AN24" i="5" s="1"/>
  <c r="AN3" i="3"/>
  <c r="AN121" i="5"/>
  <c r="AN144" i="5"/>
  <c r="AN143" i="5"/>
  <c r="AN120" i="5"/>
  <c r="AN112" i="5"/>
  <c r="AN137" i="5"/>
  <c r="AN115" i="5"/>
  <c r="AN107" i="5"/>
  <c r="AN99" i="5"/>
  <c r="AN91" i="5"/>
  <c r="AN102" i="5"/>
  <c r="AN94" i="5"/>
  <c r="AN87" i="5"/>
  <c r="AN82" i="5"/>
  <c r="AN74" i="5"/>
  <c r="AN66" i="5"/>
  <c r="AN56" i="5" a="1"/>
  <c r="AN56" i="5" s="1"/>
  <c r="AN85" i="5"/>
  <c r="AN77" i="5"/>
  <c r="AN69" i="5"/>
  <c r="AN61" i="5"/>
  <c r="AN49" i="5" a="1"/>
  <c r="AN49" i="5" s="1"/>
  <c r="AN40" i="5" a="1"/>
  <c r="AN40" i="5" s="1"/>
  <c r="AO3" i="5"/>
  <c r="AN22" i="5" a="1"/>
  <c r="AN22" i="5" s="1"/>
  <c r="AN35" i="5" a="1"/>
  <c r="AN35" i="5" s="1"/>
  <c r="BA3" i="4"/>
  <c r="AN147" i="5"/>
  <c r="AN131" i="5"/>
  <c r="AN142" i="5"/>
  <c r="AN140" i="5"/>
  <c r="AN118" i="5"/>
  <c r="AN110" i="5"/>
  <c r="AN135" i="5"/>
  <c r="AN149" i="5" s="1"/>
  <c r="AN25" i="3" s="1"/>
  <c r="AN113" i="5"/>
  <c r="AN105" i="5"/>
  <c r="AN97" i="5"/>
  <c r="AN108" i="5"/>
  <c r="AN100" i="5"/>
  <c r="AN92" i="5"/>
  <c r="AN86" i="5"/>
  <c r="AN80" i="5"/>
  <c r="AN72" i="5"/>
  <c r="AN64" i="5"/>
  <c r="AN54" i="5" a="1"/>
  <c r="AN54" i="5" s="1"/>
  <c r="AN83" i="5"/>
  <c r="AN75" i="5"/>
  <c r="AN67" i="5"/>
  <c r="AN55" i="5" a="1"/>
  <c r="AN55" i="5" s="1"/>
  <c r="AN48" i="5" a="1"/>
  <c r="AN48" i="5" s="1"/>
  <c r="AN38" i="5" a="1"/>
  <c r="AN38" i="5" s="1"/>
  <c r="AN34" i="5" a="1"/>
  <c r="AN34" i="5" s="1"/>
  <c r="AN20" i="5" a="1"/>
  <c r="AN20" i="5" s="1"/>
  <c r="AN23" i="5" a="1"/>
  <c r="AN23" i="5" s="1"/>
  <c r="AM57" i="5"/>
  <c r="AM22" i="3" s="1"/>
  <c r="AY34" i="4"/>
  <c r="AM28" i="5"/>
  <c r="AM19" i="3" s="1"/>
  <c r="B47" i="2"/>
  <c r="C46" i="2"/>
  <c r="AM133" i="5"/>
  <c r="AM24" i="3" s="1"/>
  <c r="AM46" i="5"/>
  <c r="AM21" i="3" s="1"/>
  <c r="AH7" i="3"/>
  <c r="AH14" i="3" s="1"/>
  <c r="AH15" i="3" s="1"/>
  <c r="AH14" i="5"/>
  <c r="AH15" i="5" s="1"/>
  <c r="AZ21" i="4"/>
  <c r="AZ20" i="4"/>
  <c r="AZ16" i="4"/>
  <c r="AZ12" i="4"/>
  <c r="AZ18" i="4"/>
  <c r="AZ13" i="4"/>
  <c r="AZ8" i="4"/>
  <c r="AZ4" i="4"/>
  <c r="AZ23" i="4"/>
  <c r="AZ17" i="4"/>
  <c r="AZ11" i="4"/>
  <c r="AZ7" i="4"/>
  <c r="AZ22" i="4"/>
  <c r="AZ15" i="4"/>
  <c r="AZ10" i="4"/>
  <c r="AZ6" i="4"/>
  <c r="AZ19" i="4"/>
  <c r="AZ14" i="4"/>
  <c r="AZ9" i="4"/>
  <c r="AZ5" i="4"/>
  <c r="AM149" i="5"/>
  <c r="AM25" i="3" s="1"/>
  <c r="AL58" i="5"/>
  <c r="AL152" i="5" s="1"/>
  <c r="AE42" i="2" s="1"/>
  <c r="AB39" i="2" s="1"/>
  <c r="AI7" i="5" s="1"/>
  <c r="Q17" i="2"/>
  <c r="R17" i="2"/>
  <c r="O17" i="2"/>
  <c r="K24" i="2" l="1"/>
  <c r="U25" i="2"/>
  <c r="AI14" i="5"/>
  <c r="AI15" i="5" s="1"/>
  <c r="AI7" i="3"/>
  <c r="AI14" i="3" s="1"/>
  <c r="AI15" i="3" s="1"/>
  <c r="O28" i="2"/>
  <c r="R28" i="2"/>
  <c r="Q28" i="2"/>
  <c r="AN46" i="5"/>
  <c r="AN21" i="3" s="1"/>
  <c r="AN28" i="5"/>
  <c r="AN19" i="3" s="1"/>
  <c r="C47" i="2"/>
  <c r="B48" i="2"/>
  <c r="M19" i="2"/>
  <c r="AA19" i="2" s="1"/>
  <c r="AM58" i="5"/>
  <c r="AM152" i="5" s="1"/>
  <c r="AE43" i="2" s="1"/>
  <c r="AO129" i="5"/>
  <c r="AO126" i="5"/>
  <c r="AO123" i="5"/>
  <c r="AO144" i="5"/>
  <c r="AO143" i="5"/>
  <c r="AO136" i="5"/>
  <c r="AO114" i="5"/>
  <c r="AO139" i="5"/>
  <c r="AO117" i="5"/>
  <c r="AO109" i="5"/>
  <c r="AO102" i="5"/>
  <c r="AO94" i="5"/>
  <c r="AO86" i="5"/>
  <c r="AO99" i="5"/>
  <c r="AO91" i="5"/>
  <c r="AO82" i="5"/>
  <c r="AO74" i="5"/>
  <c r="AO66" i="5"/>
  <c r="AO55" i="5" a="1"/>
  <c r="AO55" i="5" s="1"/>
  <c r="AO85" i="5"/>
  <c r="AO77" i="5"/>
  <c r="AO69" i="5"/>
  <c r="AO61" i="5"/>
  <c r="AO50" i="5" a="1"/>
  <c r="AO50" i="5" s="1"/>
  <c r="AO48" i="5" a="1"/>
  <c r="AO48" i="5" s="1"/>
  <c r="AO34" i="5" a="1"/>
  <c r="AO34" i="5" s="1"/>
  <c r="AO24" i="5" a="1"/>
  <c r="AO24" i="5" s="1"/>
  <c r="AO22" i="5" a="1"/>
  <c r="AO22" i="5" s="1"/>
  <c r="BB3" i="4"/>
  <c r="AO131" i="5"/>
  <c r="AO128" i="5"/>
  <c r="AO125" i="5"/>
  <c r="AO142" i="5"/>
  <c r="AO141" i="5"/>
  <c r="AO120" i="5"/>
  <c r="AO112" i="5"/>
  <c r="AO137" i="5"/>
  <c r="AO115" i="5"/>
  <c r="AO107" i="5"/>
  <c r="AO100" i="5"/>
  <c r="AO92" i="5"/>
  <c r="AO105" i="5"/>
  <c r="AO97" i="5"/>
  <c r="AO89" i="5"/>
  <c r="AO80" i="5"/>
  <c r="AO72" i="5"/>
  <c r="AO64" i="5"/>
  <c r="AO53" i="5" a="1"/>
  <c r="AO53" i="5" s="1"/>
  <c r="AO83" i="5"/>
  <c r="AO75" i="5"/>
  <c r="AO67" i="5"/>
  <c r="AO56" i="5" a="1"/>
  <c r="AO56" i="5" s="1"/>
  <c r="AO40" i="5" a="1"/>
  <c r="AO40" i="5" s="1"/>
  <c r="AO45" i="5" a="1"/>
  <c r="AO45" i="5" s="1"/>
  <c r="AO31" i="5" a="1"/>
  <c r="AO31" i="5" s="1"/>
  <c r="AO21" i="5" a="1"/>
  <c r="AO21" i="5" s="1"/>
  <c r="AO20" i="5" a="1"/>
  <c r="AO20" i="5" s="1"/>
  <c r="AO122" i="5"/>
  <c r="AO130" i="5"/>
  <c r="AO127" i="5"/>
  <c r="AO148" i="5"/>
  <c r="AO140" i="5"/>
  <c r="AO118" i="5"/>
  <c r="AO110" i="5"/>
  <c r="AO135" i="5"/>
  <c r="AO113" i="5"/>
  <c r="AO106" i="5"/>
  <c r="AO98" i="5"/>
  <c r="AO90" i="5"/>
  <c r="AO103" i="5"/>
  <c r="AO95" i="5"/>
  <c r="AO87" i="5"/>
  <c r="AO78" i="5"/>
  <c r="AO70" i="5"/>
  <c r="AO62" i="5"/>
  <c r="AO51" i="5" a="1"/>
  <c r="AO51" i="5" s="1"/>
  <c r="AO81" i="5"/>
  <c r="AO73" i="5"/>
  <c r="AO65" i="5"/>
  <c r="AO54" i="5" a="1"/>
  <c r="AO54" i="5" s="1"/>
  <c r="AO38" i="5" a="1"/>
  <c r="AO38" i="5" s="1"/>
  <c r="AO37" i="5" a="1"/>
  <c r="AO37" i="5" s="1"/>
  <c r="AO25" i="5" a="1"/>
  <c r="AO25" i="5" s="1"/>
  <c r="AO23" i="5" a="1"/>
  <c r="AO23" i="5" s="1"/>
  <c r="AP3" i="5"/>
  <c r="AO147" i="5"/>
  <c r="AO124" i="5"/>
  <c r="AO121" i="5"/>
  <c r="AO132" i="5"/>
  <c r="AO146" i="5"/>
  <c r="AO145" i="5"/>
  <c r="AO138" i="5"/>
  <c r="AO116" i="5"/>
  <c r="AO108" i="5"/>
  <c r="AO119" i="5"/>
  <c r="AO111" i="5"/>
  <c r="AO104" i="5"/>
  <c r="AO96" i="5"/>
  <c r="AO88" i="5"/>
  <c r="AO101" i="5"/>
  <c r="AO93" i="5"/>
  <c r="AO84" i="5"/>
  <c r="AO76" i="5"/>
  <c r="AO68" i="5"/>
  <c r="AO60" i="5"/>
  <c r="AO49" i="5" a="1"/>
  <c r="AO49" i="5" s="1"/>
  <c r="AO79" i="5"/>
  <c r="AO71" i="5"/>
  <c r="AO63" i="5"/>
  <c r="AO52" i="5" a="1"/>
  <c r="AO52" i="5" s="1"/>
  <c r="AO36" i="5" a="1"/>
  <c r="AO36" i="5" s="1"/>
  <c r="AO35" i="5" a="1"/>
  <c r="AO35" i="5" s="1"/>
  <c r="AO30" i="5" a="1"/>
  <c r="AO30" i="5" s="1"/>
  <c r="AO32" i="5" s="1"/>
  <c r="AO20" i="3" s="1"/>
  <c r="AO26" i="5" a="1"/>
  <c r="AO26" i="5" s="1"/>
  <c r="AO3" i="3"/>
  <c r="AZ34" i="4"/>
  <c r="AM23" i="3"/>
  <c r="AM28" i="3" s="1"/>
  <c r="BA22" i="4"/>
  <c r="BA18" i="4"/>
  <c r="BA13" i="4"/>
  <c r="BA5" i="4"/>
  <c r="BA10" i="4"/>
  <c r="BA21" i="4"/>
  <c r="BA17" i="4"/>
  <c r="BA11" i="4"/>
  <c r="BA4" i="4"/>
  <c r="BA8" i="4"/>
  <c r="BA20" i="4"/>
  <c r="BA16" i="4"/>
  <c r="BA9" i="4"/>
  <c r="BA14" i="4"/>
  <c r="BA6" i="4"/>
  <c r="BA23" i="4"/>
  <c r="BA19" i="4"/>
  <c r="BA15" i="4"/>
  <c r="BA7" i="4"/>
  <c r="BA12" i="4"/>
  <c r="AN32" i="5"/>
  <c r="AN20" i="3" s="1"/>
  <c r="AN57" i="5"/>
  <c r="AN22" i="3" s="1"/>
  <c r="AN133" i="5"/>
  <c r="AN24" i="3" s="1"/>
  <c r="U26" i="2" l="1"/>
  <c r="K25" i="2"/>
  <c r="B49" i="2"/>
  <c r="C48" i="2"/>
  <c r="BA34" i="4"/>
  <c r="AO133" i="5"/>
  <c r="AO24" i="3" s="1"/>
  <c r="AP129" i="5"/>
  <c r="AP128" i="5"/>
  <c r="AP131" i="5"/>
  <c r="AP143" i="5"/>
  <c r="AP139" i="5"/>
  <c r="AP117" i="5"/>
  <c r="AP146" i="5"/>
  <c r="AP120" i="5"/>
  <c r="AP112" i="5"/>
  <c r="AP106" i="5"/>
  <c r="AP98" i="5"/>
  <c r="AP90" i="5"/>
  <c r="AP99" i="5"/>
  <c r="AP91" i="5"/>
  <c r="AP88" i="5"/>
  <c r="AP79" i="5"/>
  <c r="AP71" i="5"/>
  <c r="AP63" i="5"/>
  <c r="AP52" i="5" a="1"/>
  <c r="AP52" i="5" s="1"/>
  <c r="AP82" i="5"/>
  <c r="AP74" i="5"/>
  <c r="AP66" i="5"/>
  <c r="AP55" i="5" a="1"/>
  <c r="AP55" i="5" s="1"/>
  <c r="AP48" i="5" a="1"/>
  <c r="AP48" i="5" s="1"/>
  <c r="AP38" i="5" a="1"/>
  <c r="AP38" i="5" s="1"/>
  <c r="AP23" i="5" a="1"/>
  <c r="AP23" i="5" s="1"/>
  <c r="AP26" i="5" a="1"/>
  <c r="AP26" i="5" s="1"/>
  <c r="AP25" i="5" a="1"/>
  <c r="AP25" i="5" s="1"/>
  <c r="AP147" i="5"/>
  <c r="AP122" i="5"/>
  <c r="AP130" i="5"/>
  <c r="AP132" i="5"/>
  <c r="AP141" i="5"/>
  <c r="AP137" i="5"/>
  <c r="AP115" i="5"/>
  <c r="AP140" i="5"/>
  <c r="AP118" i="5"/>
  <c r="AP110" i="5"/>
  <c r="AP104" i="5"/>
  <c r="AP96" i="5"/>
  <c r="AP105" i="5"/>
  <c r="AP97" i="5"/>
  <c r="AP89" i="5"/>
  <c r="AP85" i="5"/>
  <c r="AP77" i="5"/>
  <c r="AP69" i="5"/>
  <c r="AP61" i="5"/>
  <c r="AP50" i="5" a="1"/>
  <c r="AP50" i="5" s="1"/>
  <c r="AP80" i="5"/>
  <c r="AP72" i="5"/>
  <c r="AP64" i="5"/>
  <c r="AP53" i="5" a="1"/>
  <c r="AP53" i="5" s="1"/>
  <c r="AP45" i="5" a="1"/>
  <c r="AP45" i="5" s="1"/>
  <c r="AP36" i="5" a="1"/>
  <c r="AP36" i="5" s="1"/>
  <c r="AP22" i="5" a="1"/>
  <c r="AP22" i="5" s="1"/>
  <c r="AQ3" i="5"/>
  <c r="AP21" i="5" a="1"/>
  <c r="AP21" i="5" s="1"/>
  <c r="AP125" i="5"/>
  <c r="AP124" i="5"/>
  <c r="AP121" i="5"/>
  <c r="AP148" i="5"/>
  <c r="AP142" i="5"/>
  <c r="AP135" i="5"/>
  <c r="AP113" i="5"/>
  <c r="AP138" i="5"/>
  <c r="AP116" i="5"/>
  <c r="AP109" i="5"/>
  <c r="AP102" i="5"/>
  <c r="AP94" i="5"/>
  <c r="AP103" i="5"/>
  <c r="AP95" i="5"/>
  <c r="AP87" i="5"/>
  <c r="AP83" i="5"/>
  <c r="AP75" i="5"/>
  <c r="AP67" i="5"/>
  <c r="AP56" i="5" a="1"/>
  <c r="AP56" i="5" s="1"/>
  <c r="AP86" i="5"/>
  <c r="AP78" i="5"/>
  <c r="AP70" i="5"/>
  <c r="AP62" i="5"/>
  <c r="AP51" i="5" a="1"/>
  <c r="AP51" i="5" s="1"/>
  <c r="AP37" i="5" a="1"/>
  <c r="AP37" i="5" s="1"/>
  <c r="AP30" i="5" a="1"/>
  <c r="AP30" i="5" s="1"/>
  <c r="AP20" i="5" a="1"/>
  <c r="AP20" i="5" s="1"/>
  <c r="AP34" i="5" a="1"/>
  <c r="AP34" i="5" s="1"/>
  <c r="BC3" i="4"/>
  <c r="AP127" i="5"/>
  <c r="AP126" i="5"/>
  <c r="AP123" i="5"/>
  <c r="AP145" i="5"/>
  <c r="AP144" i="5"/>
  <c r="AP119" i="5"/>
  <c r="AP111" i="5"/>
  <c r="AP136" i="5"/>
  <c r="AP114" i="5"/>
  <c r="AP108" i="5"/>
  <c r="AP100" i="5"/>
  <c r="AP92" i="5"/>
  <c r="AP101" i="5"/>
  <c r="AP93" i="5"/>
  <c r="AP107" i="5"/>
  <c r="AP81" i="5"/>
  <c r="AP73" i="5"/>
  <c r="AP65" i="5"/>
  <c r="AP54" i="5" a="1"/>
  <c r="AP54" i="5" s="1"/>
  <c r="AP84" i="5"/>
  <c r="AP76" i="5"/>
  <c r="AP68" i="5"/>
  <c r="AP60" i="5"/>
  <c r="AP49" i="5" a="1"/>
  <c r="AP49" i="5" s="1"/>
  <c r="AP40" i="5" a="1"/>
  <c r="AP40" i="5" s="1"/>
  <c r="AP24" i="5" a="1"/>
  <c r="AP24" i="5" s="1"/>
  <c r="AP35" i="5" a="1"/>
  <c r="AP35" i="5" s="1"/>
  <c r="AP31" i="5" a="1"/>
  <c r="AP31" i="5" s="1"/>
  <c r="AP3" i="3"/>
  <c r="AP7" i="5"/>
  <c r="AO149" i="5"/>
  <c r="AO25" i="3" s="1"/>
  <c r="AO41" i="5"/>
  <c r="AO46" i="5" s="1"/>
  <c r="AO21" i="3" s="1"/>
  <c r="AO28" i="5"/>
  <c r="AO19" i="3" s="1"/>
  <c r="BB21" i="4"/>
  <c r="BB17" i="4"/>
  <c r="BB13" i="4"/>
  <c r="BB9" i="4"/>
  <c r="BB5" i="4"/>
  <c r="BB20" i="4"/>
  <c r="BB16" i="4"/>
  <c r="BB12" i="4"/>
  <c r="BB8" i="4"/>
  <c r="BB4" i="4"/>
  <c r="BB23" i="4"/>
  <c r="BB19" i="4"/>
  <c r="BB15" i="4"/>
  <c r="BB11" i="4"/>
  <c r="BB7" i="4"/>
  <c r="BB22" i="4"/>
  <c r="BB18" i="4"/>
  <c r="BB14" i="4"/>
  <c r="BB10" i="4"/>
  <c r="BB6" i="4"/>
  <c r="AO57" i="5"/>
  <c r="AO22" i="3" s="1"/>
  <c r="AN58" i="5"/>
  <c r="AN152" i="5" s="1"/>
  <c r="AE44" i="2" s="1"/>
  <c r="AB41" i="2" s="1"/>
  <c r="P29" i="2" s="1"/>
  <c r="AN23" i="3"/>
  <c r="AN28" i="3" s="1"/>
  <c r="Z20" i="2"/>
  <c r="L19" i="2"/>
  <c r="U27" i="2" l="1"/>
  <c r="K26" i="2"/>
  <c r="O29" i="2"/>
  <c r="Q29" i="2"/>
  <c r="R29" i="2"/>
  <c r="AK7" i="5"/>
  <c r="P18" i="2"/>
  <c r="BC20" i="4"/>
  <c r="BC16" i="4"/>
  <c r="BC12" i="4"/>
  <c r="BC8" i="4"/>
  <c r="BC4" i="4"/>
  <c r="BC23" i="4"/>
  <c r="BC19" i="4"/>
  <c r="BC15" i="4"/>
  <c r="BC11" i="4"/>
  <c r="BC7" i="4"/>
  <c r="BC22" i="4"/>
  <c r="BC18" i="4"/>
  <c r="BC14" i="4"/>
  <c r="BC10" i="4"/>
  <c r="BC6" i="4"/>
  <c r="BC21" i="4"/>
  <c r="BC17" i="4"/>
  <c r="BC13" i="4"/>
  <c r="BC9" i="4"/>
  <c r="BC5" i="4"/>
  <c r="BB34" i="4"/>
  <c r="AP133" i="5"/>
  <c r="AP24" i="3" s="1"/>
  <c r="AP46" i="5"/>
  <c r="AP21" i="3" s="1"/>
  <c r="B50" i="2"/>
  <c r="C49" i="2"/>
  <c r="AO58" i="5"/>
  <c r="AO152" i="5" s="1"/>
  <c r="AE45" i="2" s="1"/>
  <c r="AB42" i="2" s="1"/>
  <c r="AP7" i="3"/>
  <c r="AP14" i="3" s="1"/>
  <c r="AP15" i="3" s="1"/>
  <c r="AP14" i="5"/>
  <c r="AP15" i="5" s="1"/>
  <c r="AP28" i="5"/>
  <c r="AP19" i="3" s="1"/>
  <c r="AQ121" i="5"/>
  <c r="AQ129" i="5"/>
  <c r="AQ126" i="5"/>
  <c r="AQ145" i="5"/>
  <c r="AQ144" i="5"/>
  <c r="AQ135" i="5"/>
  <c r="AQ113" i="5"/>
  <c r="AQ140" i="5"/>
  <c r="AQ118" i="5"/>
  <c r="AQ110" i="5"/>
  <c r="AQ101" i="5"/>
  <c r="AQ93" i="5"/>
  <c r="AQ106" i="5"/>
  <c r="AQ98" i="5"/>
  <c r="AQ90" i="5"/>
  <c r="AQ83" i="5"/>
  <c r="AQ75" i="5"/>
  <c r="AQ67" i="5"/>
  <c r="AQ55" i="5" a="1"/>
  <c r="AQ55" i="5" s="1"/>
  <c r="AQ84" i="5"/>
  <c r="AQ76" i="5"/>
  <c r="AQ68" i="5"/>
  <c r="AQ60" i="5"/>
  <c r="AQ50" i="5" a="1"/>
  <c r="AQ50" i="5" s="1"/>
  <c r="AQ48" i="5" a="1"/>
  <c r="AQ48" i="5" s="1"/>
  <c r="AQ23" i="5" a="1"/>
  <c r="AQ23" i="5" s="1"/>
  <c r="AQ34" i="5" a="1"/>
  <c r="AQ34" i="5" s="1"/>
  <c r="AQ24" i="5" a="1"/>
  <c r="AQ24" i="5" s="1"/>
  <c r="AQ3" i="3"/>
  <c r="AQ123" i="5"/>
  <c r="AQ131" i="5"/>
  <c r="AQ128" i="5"/>
  <c r="AQ143" i="5"/>
  <c r="AQ142" i="5"/>
  <c r="AQ119" i="5"/>
  <c r="AQ111" i="5"/>
  <c r="AQ138" i="5"/>
  <c r="AQ116" i="5"/>
  <c r="AQ108" i="5"/>
  <c r="AQ99" i="5"/>
  <c r="AQ91" i="5"/>
  <c r="AQ104" i="5"/>
  <c r="AQ96" i="5"/>
  <c r="AQ88" i="5"/>
  <c r="AQ81" i="5"/>
  <c r="AQ73" i="5"/>
  <c r="AQ65" i="5"/>
  <c r="AQ53" i="5" a="1"/>
  <c r="AQ53" i="5" s="1"/>
  <c r="AQ82" i="5"/>
  <c r="AQ74" i="5"/>
  <c r="AQ66" i="5"/>
  <c r="AQ56" i="5" a="1"/>
  <c r="AQ56" i="5" s="1"/>
  <c r="AQ40" i="5" a="1"/>
  <c r="AQ40" i="5" s="1"/>
  <c r="AQ45" i="5" a="1"/>
  <c r="AQ45" i="5" s="1"/>
  <c r="AQ26" i="5" a="1"/>
  <c r="AQ26" i="5" s="1"/>
  <c r="AQ31" i="5" a="1"/>
  <c r="AQ31" i="5" s="1"/>
  <c r="AQ22" i="5" a="1"/>
  <c r="AQ22" i="5" s="1"/>
  <c r="AQ125" i="5"/>
  <c r="AQ122" i="5"/>
  <c r="AQ132" i="5"/>
  <c r="AQ141" i="5"/>
  <c r="AQ139" i="5"/>
  <c r="AQ117" i="5"/>
  <c r="AQ109" i="5"/>
  <c r="AQ136" i="5"/>
  <c r="AQ114" i="5"/>
  <c r="AQ105" i="5"/>
  <c r="AQ97" i="5"/>
  <c r="AQ89" i="5"/>
  <c r="AQ102" i="5"/>
  <c r="AQ94" i="5"/>
  <c r="AQ86" i="5"/>
  <c r="AQ79" i="5"/>
  <c r="AQ71" i="5"/>
  <c r="AQ63" i="5"/>
  <c r="AQ51" i="5" a="1"/>
  <c r="AQ51" i="5" s="1"/>
  <c r="AQ80" i="5"/>
  <c r="AQ72" i="5"/>
  <c r="AQ64" i="5"/>
  <c r="AQ54" i="5" a="1"/>
  <c r="AQ54" i="5" s="1"/>
  <c r="AQ38" i="5" a="1"/>
  <c r="AQ38" i="5" s="1"/>
  <c r="AQ37" i="5" a="1"/>
  <c r="AQ37" i="5" s="1"/>
  <c r="AQ21" i="5" a="1"/>
  <c r="AQ21" i="5" s="1"/>
  <c r="AQ25" i="5" a="1"/>
  <c r="AQ25" i="5" s="1"/>
  <c r="AQ20" i="5" a="1"/>
  <c r="AQ20" i="5" s="1"/>
  <c r="AQ147" i="5"/>
  <c r="AQ127" i="5"/>
  <c r="AQ124" i="5"/>
  <c r="AQ130" i="5"/>
  <c r="AQ148" i="5"/>
  <c r="AQ146" i="5"/>
  <c r="AQ137" i="5"/>
  <c r="AQ115" i="5"/>
  <c r="AQ107" i="5"/>
  <c r="AQ120" i="5"/>
  <c r="AQ112" i="5"/>
  <c r="AQ103" i="5"/>
  <c r="AQ95" i="5"/>
  <c r="AQ87" i="5"/>
  <c r="AQ100" i="5"/>
  <c r="AQ92" i="5"/>
  <c r="AQ85" i="5"/>
  <c r="AQ77" i="5"/>
  <c r="AQ69" i="5"/>
  <c r="AQ61" i="5"/>
  <c r="AQ49" i="5" a="1"/>
  <c r="AQ49" i="5" s="1"/>
  <c r="AQ78" i="5"/>
  <c r="AQ70" i="5"/>
  <c r="AQ62" i="5"/>
  <c r="AQ52" i="5" a="1"/>
  <c r="AQ52" i="5" s="1"/>
  <c r="AQ36" i="5" a="1"/>
  <c r="AQ36" i="5" s="1"/>
  <c r="AQ35" i="5" a="1"/>
  <c r="AQ35" i="5" s="1"/>
  <c r="AR3" i="5"/>
  <c r="AQ30" i="5" a="1"/>
  <c r="AQ30" i="5" s="1"/>
  <c r="BD3" i="4"/>
  <c r="AP57" i="5"/>
  <c r="AP22" i="3" s="1"/>
  <c r="AO23" i="3"/>
  <c r="AO28" i="3" s="1"/>
  <c r="AP32" i="5"/>
  <c r="AP20" i="3" s="1"/>
  <c r="AP149" i="5"/>
  <c r="AP25" i="3" s="1"/>
  <c r="U28" i="2" l="1"/>
  <c r="K27" i="2"/>
  <c r="M27" i="2" s="1"/>
  <c r="AA27" i="2" s="1"/>
  <c r="P30" i="2"/>
  <c r="AL7" i="5"/>
  <c r="AQ32" i="5"/>
  <c r="AQ20" i="3" s="1"/>
  <c r="BD20" i="4"/>
  <c r="BD16" i="4"/>
  <c r="BD12" i="4"/>
  <c r="BD8" i="4"/>
  <c r="BD4" i="4"/>
  <c r="BD23" i="4"/>
  <c r="BD19" i="4"/>
  <c r="BD15" i="4"/>
  <c r="BD11" i="4"/>
  <c r="BD7" i="4"/>
  <c r="BD22" i="4"/>
  <c r="BD18" i="4"/>
  <c r="BD14" i="4"/>
  <c r="BD10" i="4"/>
  <c r="BD6" i="4"/>
  <c r="BD21" i="4"/>
  <c r="BD17" i="4"/>
  <c r="BD13" i="4"/>
  <c r="BD9" i="4"/>
  <c r="BD5" i="4"/>
  <c r="AQ46" i="5"/>
  <c r="AQ21" i="3" s="1"/>
  <c r="AQ133" i="5"/>
  <c r="AQ24" i="3" s="1"/>
  <c r="AP23" i="3"/>
  <c r="AP28" i="3" s="1"/>
  <c r="BC34" i="4"/>
  <c r="AQ149" i="5"/>
  <c r="AQ25" i="3" s="1"/>
  <c r="B51" i="2"/>
  <c r="C50" i="2"/>
  <c r="M20" i="2"/>
  <c r="AA20" i="2" s="1"/>
  <c r="O18" i="2"/>
  <c r="R18" i="2"/>
  <c r="Q18" i="2"/>
  <c r="AR125" i="5"/>
  <c r="AR130" i="5"/>
  <c r="AR129" i="5"/>
  <c r="AR148" i="5"/>
  <c r="AR138" i="5"/>
  <c r="AR116" i="5"/>
  <c r="AR141" i="5"/>
  <c r="AR119" i="5"/>
  <c r="AR111" i="5"/>
  <c r="AR101" i="5"/>
  <c r="AR93" i="5"/>
  <c r="AR104" i="5"/>
  <c r="AR96" i="5"/>
  <c r="AR88" i="5"/>
  <c r="AR84" i="5"/>
  <c r="AR76" i="5"/>
  <c r="AR68" i="5"/>
  <c r="AR60" i="5"/>
  <c r="AR50" i="5" a="1"/>
  <c r="AR50" i="5" s="1"/>
  <c r="AR81" i="5"/>
  <c r="AR73" i="5"/>
  <c r="AR65" i="5"/>
  <c r="AR53" i="5" a="1"/>
  <c r="AR53" i="5" s="1"/>
  <c r="AR45" i="5" a="1"/>
  <c r="AR45" i="5" s="1"/>
  <c r="AR36" i="5" a="1"/>
  <c r="AR36" i="5" s="1"/>
  <c r="AR34" i="5" a="1"/>
  <c r="AR34" i="5" s="1"/>
  <c r="AR20" i="5" a="1"/>
  <c r="AR20" i="5" s="1"/>
  <c r="AR21" i="5" a="1"/>
  <c r="AR21" i="5" s="1"/>
  <c r="AR147" i="5"/>
  <c r="AR127" i="5"/>
  <c r="AR128" i="5"/>
  <c r="AR132" i="5"/>
  <c r="AR146" i="5"/>
  <c r="AR143" i="5"/>
  <c r="AR136" i="5"/>
  <c r="AR114" i="5"/>
  <c r="AR139" i="5"/>
  <c r="AR117" i="5"/>
  <c r="AR109" i="5"/>
  <c r="AR99" i="5"/>
  <c r="AR91" i="5"/>
  <c r="AR102" i="5"/>
  <c r="AR94" i="5"/>
  <c r="AR86" i="5"/>
  <c r="AR82" i="5"/>
  <c r="AR74" i="5"/>
  <c r="AR66" i="5"/>
  <c r="AR56" i="5" a="1"/>
  <c r="AR56" i="5" s="1"/>
  <c r="AR87" i="5"/>
  <c r="AR79" i="5"/>
  <c r="AR71" i="5"/>
  <c r="AR63" i="5"/>
  <c r="AR51" i="5" a="1"/>
  <c r="AR51" i="5" s="1"/>
  <c r="AR37" i="5" a="1"/>
  <c r="AR37" i="5" s="1"/>
  <c r="AR26" i="5" a="1"/>
  <c r="AR26" i="5" s="1"/>
  <c r="AR31" i="5" a="1"/>
  <c r="AR31" i="5" s="1"/>
  <c r="AR30" i="5" a="1"/>
  <c r="AR30" i="5" s="1"/>
  <c r="AR3" i="3"/>
  <c r="AR121" i="5"/>
  <c r="AR122" i="5"/>
  <c r="AR126" i="5"/>
  <c r="AR144" i="5"/>
  <c r="AR145" i="5"/>
  <c r="AR120" i="5"/>
  <c r="AR112" i="5"/>
  <c r="AR137" i="5"/>
  <c r="AR115" i="5"/>
  <c r="AR105" i="5"/>
  <c r="AR97" i="5"/>
  <c r="AR107" i="5"/>
  <c r="AR100" i="5"/>
  <c r="AR92" i="5"/>
  <c r="AR108" i="5"/>
  <c r="AR80" i="5"/>
  <c r="AR72" i="5"/>
  <c r="AR64" i="5"/>
  <c r="AR54" i="5" a="1"/>
  <c r="AR54" i="5" s="1"/>
  <c r="AR85" i="5"/>
  <c r="AR77" i="5"/>
  <c r="AR69" i="5"/>
  <c r="AR61" i="5"/>
  <c r="AR49" i="5" a="1"/>
  <c r="AR49" i="5" s="1"/>
  <c r="AR40" i="5" a="1"/>
  <c r="AR40" i="5" s="1"/>
  <c r="AS3" i="5"/>
  <c r="AR25" i="5" a="1"/>
  <c r="AR25" i="5" s="1"/>
  <c r="AR24" i="5" a="1"/>
  <c r="AR24" i="5" s="1"/>
  <c r="BE3" i="4"/>
  <c r="AR123" i="5"/>
  <c r="AR124" i="5"/>
  <c r="AR131" i="5"/>
  <c r="AR142" i="5"/>
  <c r="AR140" i="5"/>
  <c r="AR118" i="5"/>
  <c r="AR110" i="5"/>
  <c r="AR135" i="5"/>
  <c r="AR113" i="5"/>
  <c r="AR103" i="5"/>
  <c r="AR95" i="5"/>
  <c r="AR106" i="5"/>
  <c r="AR98" i="5"/>
  <c r="AR90" i="5"/>
  <c r="AR89" i="5"/>
  <c r="AR78" i="5"/>
  <c r="AR70" i="5"/>
  <c r="AR62" i="5"/>
  <c r="AR52" i="5" a="1"/>
  <c r="AR52" i="5" s="1"/>
  <c r="AR83" i="5"/>
  <c r="AR75" i="5"/>
  <c r="AR67" i="5"/>
  <c r="AR55" i="5" a="1"/>
  <c r="AR55" i="5" s="1"/>
  <c r="AR48" i="5" a="1"/>
  <c r="AR48" i="5" s="1"/>
  <c r="AR38" i="5" a="1"/>
  <c r="AR38" i="5" s="1"/>
  <c r="AR35" i="5" a="1"/>
  <c r="AR35" i="5" s="1"/>
  <c r="AR22" i="5" a="1"/>
  <c r="AR22" i="5" s="1"/>
  <c r="AR23" i="5" a="1"/>
  <c r="AR23" i="5" s="1"/>
  <c r="AQ28" i="5"/>
  <c r="AQ19" i="3" s="1"/>
  <c r="AQ57" i="5"/>
  <c r="AQ22" i="3" s="1"/>
  <c r="AK7" i="3"/>
  <c r="AK14" i="3" s="1"/>
  <c r="AK15" i="3" s="1"/>
  <c r="AK14" i="5"/>
  <c r="AK15" i="5" s="1"/>
  <c r="AP58" i="5"/>
  <c r="AP152" i="5" s="1"/>
  <c r="AE46" i="2" s="1"/>
  <c r="U29" i="2" l="1"/>
  <c r="K28" i="2"/>
  <c r="AL14" i="5"/>
  <c r="AL15" i="5" s="1"/>
  <c r="AL7" i="3"/>
  <c r="AL14" i="3" s="1"/>
  <c r="AL15" i="3" s="1"/>
  <c r="Q30" i="2"/>
  <c r="O30" i="2"/>
  <c r="R30" i="2"/>
  <c r="AQ58" i="5"/>
  <c r="AQ152" i="5" s="1"/>
  <c r="AE47" i="2" s="1"/>
  <c r="AB44" i="2" s="1"/>
  <c r="P31" i="2" s="1"/>
  <c r="AQ23" i="3"/>
  <c r="AQ28" i="3" s="1"/>
  <c r="AS130" i="5"/>
  <c r="AS127" i="5"/>
  <c r="AS126" i="5"/>
  <c r="AS142" i="5"/>
  <c r="AS141" i="5"/>
  <c r="AS120" i="5"/>
  <c r="AS112" i="5"/>
  <c r="AS137" i="5"/>
  <c r="AS115" i="5"/>
  <c r="AS107" i="5"/>
  <c r="AS100" i="5"/>
  <c r="AS92" i="5"/>
  <c r="AS105" i="5"/>
  <c r="AS97" i="5"/>
  <c r="AS89" i="5"/>
  <c r="AS80" i="5"/>
  <c r="AS72" i="5"/>
  <c r="AS64" i="5"/>
  <c r="AS53" i="5" a="1"/>
  <c r="AS53" i="5" s="1"/>
  <c r="AS83" i="5"/>
  <c r="AS75" i="5"/>
  <c r="AS67" i="5"/>
  <c r="AS56" i="5" a="1"/>
  <c r="AS56" i="5" s="1"/>
  <c r="AS40" i="5" a="1"/>
  <c r="AS40" i="5" s="1"/>
  <c r="AS45" i="5" a="1"/>
  <c r="AS45" i="5" s="1"/>
  <c r="AS31" i="5" a="1"/>
  <c r="AS31" i="5" s="1"/>
  <c r="AS21" i="5" a="1"/>
  <c r="AS21" i="5" s="1"/>
  <c r="AS20" i="5" a="1"/>
  <c r="AS20" i="5" s="1"/>
  <c r="AS121" i="5"/>
  <c r="AS129" i="5"/>
  <c r="AS128" i="5"/>
  <c r="AS148" i="5"/>
  <c r="AS140" i="5"/>
  <c r="AS118" i="5"/>
  <c r="AS110" i="5"/>
  <c r="AS135" i="5"/>
  <c r="AS113" i="5"/>
  <c r="AS106" i="5"/>
  <c r="AS98" i="5"/>
  <c r="AS90" i="5"/>
  <c r="AS103" i="5"/>
  <c r="AS95" i="5"/>
  <c r="AS87" i="5"/>
  <c r="AS78" i="5"/>
  <c r="AS70" i="5"/>
  <c r="AS62" i="5"/>
  <c r="AS51" i="5" a="1"/>
  <c r="AS51" i="5" s="1"/>
  <c r="AS81" i="5"/>
  <c r="AS73" i="5"/>
  <c r="AS65" i="5"/>
  <c r="AS54" i="5" a="1"/>
  <c r="AS54" i="5" s="1"/>
  <c r="AS38" i="5" a="1"/>
  <c r="AS38" i="5" s="1"/>
  <c r="AS37" i="5" a="1"/>
  <c r="AS37" i="5" s="1"/>
  <c r="AS25" i="5" a="1"/>
  <c r="AS25" i="5" s="1"/>
  <c r="AS23" i="5" a="1"/>
  <c r="AS23" i="5" s="1"/>
  <c r="AT3" i="5"/>
  <c r="AS123" i="5"/>
  <c r="AS131" i="5"/>
  <c r="AS124" i="5"/>
  <c r="AS146" i="5"/>
  <c r="AS145" i="5"/>
  <c r="AS138" i="5"/>
  <c r="AS116" i="5"/>
  <c r="AS108" i="5"/>
  <c r="AS119" i="5"/>
  <c r="AS111" i="5"/>
  <c r="AS104" i="5"/>
  <c r="AS96" i="5"/>
  <c r="AS88" i="5"/>
  <c r="AS101" i="5"/>
  <c r="AS93" i="5"/>
  <c r="AS84" i="5"/>
  <c r="AS76" i="5"/>
  <c r="AS68" i="5"/>
  <c r="AS60" i="5"/>
  <c r="AS49" i="5" a="1"/>
  <c r="AS49" i="5" s="1"/>
  <c r="AS79" i="5"/>
  <c r="AS71" i="5"/>
  <c r="AS63" i="5"/>
  <c r="AS52" i="5" a="1"/>
  <c r="AS52" i="5" s="1"/>
  <c r="AS36" i="5" a="1"/>
  <c r="AS36" i="5" s="1"/>
  <c r="AS35" i="5" a="1"/>
  <c r="AS35" i="5" s="1"/>
  <c r="AS30" i="5" a="1"/>
  <c r="AS30" i="5" s="1"/>
  <c r="AS32" i="5" s="1"/>
  <c r="AS20" i="3" s="1"/>
  <c r="AS26" i="5" a="1"/>
  <c r="AS26" i="5" s="1"/>
  <c r="AS3" i="3"/>
  <c r="AS147" i="5"/>
  <c r="AS125" i="5"/>
  <c r="AS122" i="5"/>
  <c r="AS132" i="5"/>
  <c r="AS144" i="5"/>
  <c r="AS143" i="5"/>
  <c r="AS136" i="5"/>
  <c r="AS114" i="5"/>
  <c r="AS139" i="5"/>
  <c r="AS117" i="5"/>
  <c r="AS109" i="5"/>
  <c r="AS102" i="5"/>
  <c r="AS94" i="5"/>
  <c r="AS86" i="5"/>
  <c r="AS99" i="5"/>
  <c r="AS91" i="5"/>
  <c r="AS82" i="5"/>
  <c r="AS74" i="5"/>
  <c r="AS66" i="5"/>
  <c r="AS55" i="5" a="1"/>
  <c r="AS55" i="5" s="1"/>
  <c r="AS85" i="5"/>
  <c r="AS77" i="5"/>
  <c r="AS69" i="5"/>
  <c r="AS61" i="5"/>
  <c r="AS50" i="5" a="1"/>
  <c r="AS50" i="5" s="1"/>
  <c r="AS48" i="5" a="1"/>
  <c r="AS48" i="5" s="1"/>
  <c r="AS57" i="5" s="1"/>
  <c r="AS22" i="3" s="1"/>
  <c r="AS34" i="5" a="1"/>
  <c r="AS34" i="5" s="1"/>
  <c r="AS24" i="5" a="1"/>
  <c r="AS24" i="5" s="1"/>
  <c r="AS22" i="5" a="1"/>
  <c r="AS22" i="5" s="1"/>
  <c r="BF3" i="4"/>
  <c r="AS7" i="5"/>
  <c r="AR57" i="5"/>
  <c r="AR22" i="3" s="1"/>
  <c r="AR149" i="5"/>
  <c r="AR25" i="3" s="1"/>
  <c r="BE21" i="4"/>
  <c r="BE17" i="4"/>
  <c r="BE12" i="4"/>
  <c r="BE5" i="4"/>
  <c r="BE9" i="4"/>
  <c r="BE20" i="4"/>
  <c r="BE16" i="4"/>
  <c r="BE10" i="4"/>
  <c r="BE4" i="4"/>
  <c r="BE7" i="4"/>
  <c r="BE23" i="4"/>
  <c r="BE19" i="4"/>
  <c r="BE15" i="4"/>
  <c r="BE8" i="4"/>
  <c r="BE13" i="4"/>
  <c r="BE22" i="4"/>
  <c r="BE18" i="4"/>
  <c r="BE14" i="4"/>
  <c r="BE6" i="4"/>
  <c r="BE11" i="4"/>
  <c r="AR28" i="5"/>
  <c r="AR19" i="3" s="1"/>
  <c r="C51" i="2"/>
  <c r="B52" i="2"/>
  <c r="AR46" i="5"/>
  <c r="AR21" i="3" s="1"/>
  <c r="AR133" i="5"/>
  <c r="AR24" i="3" s="1"/>
  <c r="BD34" i="4"/>
  <c r="AR32" i="5"/>
  <c r="AR20" i="3" s="1"/>
  <c r="Z21" i="2"/>
  <c r="L20" i="2"/>
  <c r="Z28" i="2" l="1"/>
  <c r="M28" i="2"/>
  <c r="AA28" i="2" s="1"/>
  <c r="L28" i="2"/>
  <c r="K29" i="2"/>
  <c r="U30" i="2"/>
  <c r="Q31" i="2"/>
  <c r="O31" i="2"/>
  <c r="R31" i="2"/>
  <c r="AN7" i="5"/>
  <c r="AN14" i="5" s="1"/>
  <c r="AN15" i="5" s="1"/>
  <c r="P19" i="2"/>
  <c r="BF20" i="4"/>
  <c r="BF16" i="4"/>
  <c r="BF12" i="4"/>
  <c r="BF8" i="4"/>
  <c r="BF4" i="4"/>
  <c r="BF23" i="4"/>
  <c r="BF19" i="4"/>
  <c r="BF15" i="4"/>
  <c r="BF11" i="4"/>
  <c r="BF7" i="4"/>
  <c r="BF22" i="4"/>
  <c r="BF18" i="4"/>
  <c r="BF14" i="4"/>
  <c r="BF10" i="4"/>
  <c r="BF6" i="4"/>
  <c r="BF21" i="4"/>
  <c r="BF17" i="4"/>
  <c r="BF13" i="4"/>
  <c r="BF9" i="4"/>
  <c r="BF5" i="4"/>
  <c r="AS133" i="5"/>
  <c r="AS24" i="3" s="1"/>
  <c r="BE34" i="4"/>
  <c r="AN7" i="3"/>
  <c r="AN14" i="3" s="1"/>
  <c r="AN15" i="3" s="1"/>
  <c r="AR23" i="3"/>
  <c r="AR28" i="3" s="1"/>
  <c r="B53" i="2"/>
  <c r="C52" i="2"/>
  <c r="AR58" i="5"/>
  <c r="AR152" i="5" s="1"/>
  <c r="AE48" i="2" s="1"/>
  <c r="AB45" i="2" s="1"/>
  <c r="AS14" i="5"/>
  <c r="AS15" i="5" s="1"/>
  <c r="AS7" i="3"/>
  <c r="AS46" i="5"/>
  <c r="AS21" i="3" s="1"/>
  <c r="AT121" i="5"/>
  <c r="AT129" i="5"/>
  <c r="AT132" i="5"/>
  <c r="AT141" i="5"/>
  <c r="AT137" i="5"/>
  <c r="AT115" i="5"/>
  <c r="AT140" i="5"/>
  <c r="AT118" i="5"/>
  <c r="AT110" i="5"/>
  <c r="AT100" i="5"/>
  <c r="AT92" i="5"/>
  <c r="AT105" i="5"/>
  <c r="AT97" i="5"/>
  <c r="AT89" i="5"/>
  <c r="AT83" i="5"/>
  <c r="AT75" i="5"/>
  <c r="AT67" i="5"/>
  <c r="AT56" i="5" a="1"/>
  <c r="AT56" i="5" s="1"/>
  <c r="AT86" i="5"/>
  <c r="AT80" i="5"/>
  <c r="AT72" i="5"/>
  <c r="AT64" i="5"/>
  <c r="AT53" i="5" a="1"/>
  <c r="AT53" i="5" s="1"/>
  <c r="AT45" i="5" a="1"/>
  <c r="AT45" i="5" s="1"/>
  <c r="AT36" i="5" a="1"/>
  <c r="AT36" i="5" s="1"/>
  <c r="AT23" i="5" a="1"/>
  <c r="AT23" i="5" s="1"/>
  <c r="AU3" i="5"/>
  <c r="AT21" i="5" a="1"/>
  <c r="AT21" i="5" s="1"/>
  <c r="AT147" i="5"/>
  <c r="AT123" i="5"/>
  <c r="AT131" i="5"/>
  <c r="AT130" i="5"/>
  <c r="AT148" i="5"/>
  <c r="AT144" i="5"/>
  <c r="AT135" i="5"/>
  <c r="AT113" i="5"/>
  <c r="AT138" i="5"/>
  <c r="AT116" i="5"/>
  <c r="AT106" i="5"/>
  <c r="AT98" i="5"/>
  <c r="AT90" i="5"/>
  <c r="AT103" i="5"/>
  <c r="AT95" i="5"/>
  <c r="AT87" i="5"/>
  <c r="AT81" i="5"/>
  <c r="AT73" i="5"/>
  <c r="AT65" i="5"/>
  <c r="AT54" i="5" a="1"/>
  <c r="AT54" i="5" s="1"/>
  <c r="AT88" i="5"/>
  <c r="AT78" i="5"/>
  <c r="AT70" i="5"/>
  <c r="AT62" i="5"/>
  <c r="AT51" i="5" a="1"/>
  <c r="AT51" i="5" s="1"/>
  <c r="AT37" i="5" a="1"/>
  <c r="AT37" i="5" s="1"/>
  <c r="AT35" i="5" a="1"/>
  <c r="AT35" i="5" s="1"/>
  <c r="AT22" i="5" a="1"/>
  <c r="AT22" i="5" s="1"/>
  <c r="AT34" i="5" a="1"/>
  <c r="AT34" i="5" s="1"/>
  <c r="BG3" i="4"/>
  <c r="AT126" i="5"/>
  <c r="AT125" i="5"/>
  <c r="AT122" i="5"/>
  <c r="AT145" i="5"/>
  <c r="AT146" i="5"/>
  <c r="AT119" i="5"/>
  <c r="AT111" i="5"/>
  <c r="AT136" i="5"/>
  <c r="AT114" i="5"/>
  <c r="AT104" i="5"/>
  <c r="AT96" i="5"/>
  <c r="AT107" i="5"/>
  <c r="AT101" i="5"/>
  <c r="AT93" i="5"/>
  <c r="AT109" i="5"/>
  <c r="AT79" i="5"/>
  <c r="AT71" i="5"/>
  <c r="AT63" i="5"/>
  <c r="AT52" i="5" a="1"/>
  <c r="AT52" i="5" s="1"/>
  <c r="AT84" i="5"/>
  <c r="AT76" i="5"/>
  <c r="AT68" i="5"/>
  <c r="AT60" i="5"/>
  <c r="AT49" i="5" a="1"/>
  <c r="AT49" i="5" s="1"/>
  <c r="AT40" i="5" a="1"/>
  <c r="AT40" i="5" s="1"/>
  <c r="AT30" i="5" a="1"/>
  <c r="AT30" i="5" s="1"/>
  <c r="AT20" i="5" a="1"/>
  <c r="AT20" i="5" s="1"/>
  <c r="AT31" i="5" a="1"/>
  <c r="AT31" i="5" s="1"/>
  <c r="AT3" i="3"/>
  <c r="AT128" i="5"/>
  <c r="AT127" i="5"/>
  <c r="AT124" i="5"/>
  <c r="AT143" i="5"/>
  <c r="AT139" i="5"/>
  <c r="AT117" i="5"/>
  <c r="AT142" i="5"/>
  <c r="AT120" i="5"/>
  <c r="AT112" i="5"/>
  <c r="AT102" i="5"/>
  <c r="AT94" i="5"/>
  <c r="AT108" i="5"/>
  <c r="AT99" i="5"/>
  <c r="AT91" i="5"/>
  <c r="AT85" i="5"/>
  <c r="AT77" i="5"/>
  <c r="AT69" i="5"/>
  <c r="AT61" i="5"/>
  <c r="AT50" i="5" a="1"/>
  <c r="AT50" i="5" s="1"/>
  <c r="AT82" i="5"/>
  <c r="AT74" i="5"/>
  <c r="AT66" i="5"/>
  <c r="AT55" i="5" a="1"/>
  <c r="AT55" i="5" s="1"/>
  <c r="AT48" i="5" a="1"/>
  <c r="AT48" i="5" s="1"/>
  <c r="AT38" i="5" a="1"/>
  <c r="AT38" i="5" s="1"/>
  <c r="AT24" i="5" a="1"/>
  <c r="AT24" i="5" s="1"/>
  <c r="AT26" i="5" a="1"/>
  <c r="AT26" i="5" s="1"/>
  <c r="AT25" i="5" a="1"/>
  <c r="AT25" i="5" s="1"/>
  <c r="AS149" i="5"/>
  <c r="AS25" i="3" s="1"/>
  <c r="AS28" i="5"/>
  <c r="AS19" i="3" s="1"/>
  <c r="AS23" i="3" s="1"/>
  <c r="AS28" i="3" s="1"/>
  <c r="R19" i="2"/>
  <c r="Q19" i="2"/>
  <c r="O19" i="2"/>
  <c r="M29" i="2" l="1"/>
  <c r="AA29" i="2" s="1"/>
  <c r="L29" i="2"/>
  <c r="Z29" i="2"/>
  <c r="K30" i="2"/>
  <c r="U31" i="2"/>
  <c r="P32" i="2"/>
  <c r="AO7" i="5"/>
  <c r="AT32" i="5"/>
  <c r="AT20" i="3" s="1"/>
  <c r="AT57" i="5"/>
  <c r="AT22" i="3" s="1"/>
  <c r="AT149" i="5"/>
  <c r="AT25" i="3" s="1"/>
  <c r="AU122" i="5"/>
  <c r="AU130" i="5"/>
  <c r="AU127" i="5"/>
  <c r="AU143" i="5"/>
  <c r="AU142" i="5"/>
  <c r="AU119" i="5"/>
  <c r="AU111" i="5"/>
  <c r="AU138" i="5"/>
  <c r="AU116" i="5"/>
  <c r="AU108" i="5"/>
  <c r="AU99" i="5"/>
  <c r="AU91" i="5"/>
  <c r="AU104" i="5"/>
  <c r="AU96" i="5"/>
  <c r="AU88" i="5"/>
  <c r="AU81" i="5"/>
  <c r="AU73" i="5"/>
  <c r="AU65" i="5"/>
  <c r="AU53" i="5" a="1"/>
  <c r="AU53" i="5" s="1"/>
  <c r="AU82" i="5"/>
  <c r="AU74" i="5"/>
  <c r="AU66" i="5"/>
  <c r="AU56" i="5" a="1"/>
  <c r="AU56" i="5" s="1"/>
  <c r="AU40" i="5" a="1"/>
  <c r="AU40" i="5" s="1"/>
  <c r="AU45" i="5" a="1"/>
  <c r="AU45" i="5" s="1"/>
  <c r="AU26" i="5" a="1"/>
  <c r="AU26" i="5" s="1"/>
  <c r="AU31" i="5" a="1"/>
  <c r="AU31" i="5" s="1"/>
  <c r="AU22" i="5" a="1"/>
  <c r="AU22" i="5" s="1"/>
  <c r="AU124" i="5"/>
  <c r="AU121" i="5"/>
  <c r="AU132" i="5"/>
  <c r="AU141" i="5"/>
  <c r="AU139" i="5"/>
  <c r="AU117" i="5"/>
  <c r="AU109" i="5"/>
  <c r="AU136" i="5"/>
  <c r="AU114" i="5"/>
  <c r="AU105" i="5"/>
  <c r="AU97" i="5"/>
  <c r="AU89" i="5"/>
  <c r="AU102" i="5"/>
  <c r="AU94" i="5"/>
  <c r="AU86" i="5"/>
  <c r="AU79" i="5"/>
  <c r="AU71" i="5"/>
  <c r="AU63" i="5"/>
  <c r="AU51" i="5" a="1"/>
  <c r="AU51" i="5" s="1"/>
  <c r="AU80" i="5"/>
  <c r="AU72" i="5"/>
  <c r="AU64" i="5"/>
  <c r="AU54" i="5" a="1"/>
  <c r="AU54" i="5" s="1"/>
  <c r="AU38" i="5" a="1"/>
  <c r="AU38" i="5" s="1"/>
  <c r="AU37" i="5" a="1"/>
  <c r="AU37" i="5" s="1"/>
  <c r="AU21" i="5" a="1"/>
  <c r="AU21" i="5" s="1"/>
  <c r="AU25" i="5" a="1"/>
  <c r="AU25" i="5" s="1"/>
  <c r="AU20" i="5" a="1"/>
  <c r="AU20" i="5" s="1"/>
  <c r="AU126" i="5"/>
  <c r="AU123" i="5"/>
  <c r="AU131" i="5"/>
  <c r="AU148" i="5"/>
  <c r="AU146" i="5"/>
  <c r="AU137" i="5"/>
  <c r="AU115" i="5"/>
  <c r="AU107" i="5"/>
  <c r="AU120" i="5"/>
  <c r="AU112" i="5"/>
  <c r="AU103" i="5"/>
  <c r="AU95" i="5"/>
  <c r="AU87" i="5"/>
  <c r="AU100" i="5"/>
  <c r="AU92" i="5"/>
  <c r="AU85" i="5"/>
  <c r="AU77" i="5"/>
  <c r="AU69" i="5"/>
  <c r="AU61" i="5"/>
  <c r="AU49" i="5" a="1"/>
  <c r="AU49" i="5" s="1"/>
  <c r="AU78" i="5"/>
  <c r="AU70" i="5"/>
  <c r="AU62" i="5"/>
  <c r="AU52" i="5" a="1"/>
  <c r="AU52" i="5" s="1"/>
  <c r="AU36" i="5" a="1"/>
  <c r="AU36" i="5" s="1"/>
  <c r="AU35" i="5" a="1"/>
  <c r="AU35" i="5" s="1"/>
  <c r="AV3" i="5"/>
  <c r="AU30" i="5" a="1"/>
  <c r="AU30" i="5" s="1"/>
  <c r="AU32" i="5" s="1"/>
  <c r="AU20" i="3" s="1"/>
  <c r="BH3" i="4"/>
  <c r="AU147" i="5"/>
  <c r="AU128" i="5"/>
  <c r="AU125" i="5"/>
  <c r="AU129" i="5"/>
  <c r="AU145" i="5"/>
  <c r="AU144" i="5"/>
  <c r="AU135" i="5"/>
  <c r="AU113" i="5"/>
  <c r="AU140" i="5"/>
  <c r="AU118" i="5"/>
  <c r="AU110" i="5"/>
  <c r="AU101" i="5"/>
  <c r="AU93" i="5"/>
  <c r="AU106" i="5"/>
  <c r="AU98" i="5"/>
  <c r="AU90" i="5"/>
  <c r="AU83" i="5"/>
  <c r="AU75" i="5"/>
  <c r="AU67" i="5"/>
  <c r="AU55" i="5" a="1"/>
  <c r="AU55" i="5" s="1"/>
  <c r="AU84" i="5"/>
  <c r="AU76" i="5"/>
  <c r="AU68" i="5"/>
  <c r="AU60" i="5"/>
  <c r="AU50" i="5" a="1"/>
  <c r="AU50" i="5" s="1"/>
  <c r="AU48" i="5" a="1"/>
  <c r="AU48" i="5" s="1"/>
  <c r="AU23" i="5" a="1"/>
  <c r="AU23" i="5" s="1"/>
  <c r="AU34" i="5" a="1"/>
  <c r="AU34" i="5" s="1"/>
  <c r="AU46" i="5" s="1"/>
  <c r="AU21" i="3" s="1"/>
  <c r="AU24" i="5" a="1"/>
  <c r="AU24" i="5" s="1"/>
  <c r="AU3" i="3"/>
  <c r="AS58" i="5"/>
  <c r="AS152" i="5" s="1"/>
  <c r="AE49" i="2" s="1"/>
  <c r="BG23" i="4"/>
  <c r="BG19" i="4"/>
  <c r="BG15" i="4"/>
  <c r="BG11" i="4"/>
  <c r="BG7" i="4"/>
  <c r="BG22" i="4"/>
  <c r="BG18" i="4"/>
  <c r="BG14" i="4"/>
  <c r="BG10" i="4"/>
  <c r="BG6" i="4"/>
  <c r="BG21" i="4"/>
  <c r="BG17" i="4"/>
  <c r="BG13" i="4"/>
  <c r="BG9" i="4"/>
  <c r="BG5" i="4"/>
  <c r="BG20" i="4"/>
  <c r="BG16" i="4"/>
  <c r="BG12" i="4"/>
  <c r="BG8" i="4"/>
  <c r="BG4" i="4"/>
  <c r="AS14" i="3"/>
  <c r="AS15" i="3" s="1"/>
  <c r="C53" i="2"/>
  <c r="B54" i="2"/>
  <c r="M21" i="2"/>
  <c r="AA21" i="2" s="1"/>
  <c r="AT28" i="5"/>
  <c r="AT19" i="3" s="1"/>
  <c r="AT133" i="5"/>
  <c r="AT24" i="3" s="1"/>
  <c r="AT46" i="5"/>
  <c r="AT21" i="3" s="1"/>
  <c r="BF34" i="4"/>
  <c r="AT23" i="3" l="1"/>
  <c r="AT28" i="3" s="1"/>
  <c r="L30" i="2"/>
  <c r="Z30" i="2"/>
  <c r="M30" i="2"/>
  <c r="AA30" i="2" s="1"/>
  <c r="K31" i="2"/>
  <c r="U32" i="2"/>
  <c r="AO7" i="3"/>
  <c r="AO14" i="3" s="1"/>
  <c r="AO15" i="3" s="1"/>
  <c r="AO14" i="5"/>
  <c r="AO15" i="5" s="1"/>
  <c r="O32" i="2"/>
  <c r="Q32" i="2"/>
  <c r="R32" i="2"/>
  <c r="B55" i="2"/>
  <c r="C54" i="2"/>
  <c r="AU133" i="5"/>
  <c r="AU24" i="3" s="1"/>
  <c r="BH20" i="4"/>
  <c r="BH16" i="4"/>
  <c r="BH12" i="4"/>
  <c r="BH8" i="4"/>
  <c r="BH4" i="4"/>
  <c r="BH23" i="4"/>
  <c r="BH19" i="4"/>
  <c r="BH15" i="4"/>
  <c r="BH11" i="4"/>
  <c r="BH7" i="4"/>
  <c r="BH22" i="4"/>
  <c r="BH18" i="4"/>
  <c r="BH14" i="4"/>
  <c r="BH10" i="4"/>
  <c r="BH6" i="4"/>
  <c r="BH21" i="4"/>
  <c r="BH17" i="4"/>
  <c r="BH13" i="4"/>
  <c r="BH9" i="4"/>
  <c r="BH5" i="4"/>
  <c r="Z22" i="2"/>
  <c r="L21" i="2"/>
  <c r="BG34" i="4"/>
  <c r="AT58" i="5"/>
  <c r="AT152" i="5" s="1"/>
  <c r="AE50" i="2" s="1"/>
  <c r="AB47" i="2" s="1"/>
  <c r="P33" i="2" s="1"/>
  <c r="AU149" i="5"/>
  <c r="AU25" i="3" s="1"/>
  <c r="AU28" i="5"/>
  <c r="AU19" i="3" s="1"/>
  <c r="AU57" i="5"/>
  <c r="AU22" i="3" s="1"/>
  <c r="AV126" i="5"/>
  <c r="AV129" i="5"/>
  <c r="AV125" i="5"/>
  <c r="AV140" i="5"/>
  <c r="AV136" i="5"/>
  <c r="AV114" i="5"/>
  <c r="AV143" i="5"/>
  <c r="AV119" i="5"/>
  <c r="AV111" i="5"/>
  <c r="AV103" i="5"/>
  <c r="AV95" i="5"/>
  <c r="AV106" i="5"/>
  <c r="AV98" i="5"/>
  <c r="AV90" i="5"/>
  <c r="AV82" i="5"/>
  <c r="AV74" i="5"/>
  <c r="AV66" i="5"/>
  <c r="AV56" i="5" a="1"/>
  <c r="AV56" i="5" s="1"/>
  <c r="AV87" i="5"/>
  <c r="AV81" i="5"/>
  <c r="AV73" i="5"/>
  <c r="AV65" i="5"/>
  <c r="AV53" i="5" a="1"/>
  <c r="AV53" i="5" s="1"/>
  <c r="AV45" i="5" a="1"/>
  <c r="AV45" i="5" s="1"/>
  <c r="AV36" i="5" a="1"/>
  <c r="AV36" i="5" s="1"/>
  <c r="AV31" i="5" a="1"/>
  <c r="AV31" i="5" s="1"/>
  <c r="AV30" i="5" a="1"/>
  <c r="AV30" i="5" s="1"/>
  <c r="AV21" i="5" a="1"/>
  <c r="AV21" i="5" s="1"/>
  <c r="AV147" i="5"/>
  <c r="AV128" i="5"/>
  <c r="AV131" i="5"/>
  <c r="AV130" i="5"/>
  <c r="AV146" i="5"/>
  <c r="AV148" i="5"/>
  <c r="AV120" i="5"/>
  <c r="AV112" i="5"/>
  <c r="AV139" i="5"/>
  <c r="AV117" i="5"/>
  <c r="AV109" i="5"/>
  <c r="AV101" i="5"/>
  <c r="AV93" i="5"/>
  <c r="AV104" i="5"/>
  <c r="AV96" i="5"/>
  <c r="AV88" i="5"/>
  <c r="AV80" i="5"/>
  <c r="AV72" i="5"/>
  <c r="AV64" i="5"/>
  <c r="AV54" i="5" a="1"/>
  <c r="AV54" i="5" s="1"/>
  <c r="AV89" i="5"/>
  <c r="AV79" i="5"/>
  <c r="AV71" i="5"/>
  <c r="AV63" i="5"/>
  <c r="AV51" i="5" a="1"/>
  <c r="AV51" i="5" s="1"/>
  <c r="AV37" i="5" a="1"/>
  <c r="AV37" i="5" s="1"/>
  <c r="AV26" i="5" a="1"/>
  <c r="AV26" i="5" s="1"/>
  <c r="AV25" i="5" a="1"/>
  <c r="AV25" i="5" s="1"/>
  <c r="AV24" i="5" a="1"/>
  <c r="AV24" i="5" s="1"/>
  <c r="AV3" i="3"/>
  <c r="AV122" i="5"/>
  <c r="AV121" i="5"/>
  <c r="AV127" i="5"/>
  <c r="AV144" i="5"/>
  <c r="AV145" i="5"/>
  <c r="AV118" i="5"/>
  <c r="AV110" i="5"/>
  <c r="AV137" i="5"/>
  <c r="AV115" i="5"/>
  <c r="AV107" i="5"/>
  <c r="AV99" i="5"/>
  <c r="AV91" i="5"/>
  <c r="AV102" i="5"/>
  <c r="AV94" i="5"/>
  <c r="AV86" i="5"/>
  <c r="AV78" i="5"/>
  <c r="AV70" i="5"/>
  <c r="AV62" i="5"/>
  <c r="AV52" i="5" a="1"/>
  <c r="AV52" i="5" s="1"/>
  <c r="AV85" i="5"/>
  <c r="AV77" i="5"/>
  <c r="AV69" i="5"/>
  <c r="AV61" i="5"/>
  <c r="AV49" i="5" a="1"/>
  <c r="AV49" i="5" s="1"/>
  <c r="AV40" i="5" a="1"/>
  <c r="AV40" i="5" s="1"/>
  <c r="AW3" i="5"/>
  <c r="AV22" i="5" a="1"/>
  <c r="AV22" i="5" s="1"/>
  <c r="AV35" i="5" a="1"/>
  <c r="AV35" i="5" s="1"/>
  <c r="BI3" i="4"/>
  <c r="AV124" i="5"/>
  <c r="AV123" i="5"/>
  <c r="AV132" i="5"/>
  <c r="AV142" i="5"/>
  <c r="AV138" i="5"/>
  <c r="AV116" i="5"/>
  <c r="AV141" i="5"/>
  <c r="AV135" i="5"/>
  <c r="AV149" i="5" s="1"/>
  <c r="AV25" i="3" s="1"/>
  <c r="AV113" i="5"/>
  <c r="AV105" i="5"/>
  <c r="AV97" i="5"/>
  <c r="AV108" i="5"/>
  <c r="AV100" i="5"/>
  <c r="AV92" i="5"/>
  <c r="AV84" i="5"/>
  <c r="AV76" i="5"/>
  <c r="AV68" i="5"/>
  <c r="AV60" i="5"/>
  <c r="AV50" i="5" a="1"/>
  <c r="AV50" i="5" s="1"/>
  <c r="AV83" i="5"/>
  <c r="AV75" i="5"/>
  <c r="AV67" i="5"/>
  <c r="AV55" i="5" a="1"/>
  <c r="AV55" i="5" s="1"/>
  <c r="AV48" i="5" a="1"/>
  <c r="AV48" i="5" s="1"/>
  <c r="AV38" i="5" a="1"/>
  <c r="AV38" i="5" s="1"/>
  <c r="AV34" i="5" a="1"/>
  <c r="AV34" i="5" s="1"/>
  <c r="AV20" i="5" a="1"/>
  <c r="AV20" i="5" s="1"/>
  <c r="AV23" i="5" a="1"/>
  <c r="AV23" i="5" s="1"/>
  <c r="AV7" i="5"/>
  <c r="K32" i="2" l="1"/>
  <c r="U33" i="2"/>
  <c r="M31" i="2"/>
  <c r="AA31" i="2" s="1"/>
  <c r="Z31" i="2"/>
  <c r="L31" i="2"/>
  <c r="R33" i="2"/>
  <c r="Q33" i="2"/>
  <c r="O33" i="2"/>
  <c r="AV57" i="5"/>
  <c r="AV22" i="3" s="1"/>
  <c r="AU58" i="5"/>
  <c r="AU152" i="5" s="1"/>
  <c r="AE51" i="2" s="1"/>
  <c r="AB48" i="2" s="1"/>
  <c r="BI22" i="4"/>
  <c r="BI18" i="4"/>
  <c r="BI14" i="4"/>
  <c r="BI6" i="4"/>
  <c r="BI11" i="4"/>
  <c r="BI21" i="4"/>
  <c r="BI17" i="4"/>
  <c r="BI12" i="4"/>
  <c r="BI5" i="4"/>
  <c r="BI9" i="4"/>
  <c r="BI20" i="4"/>
  <c r="BI16" i="4"/>
  <c r="BI10" i="4"/>
  <c r="BI4" i="4"/>
  <c r="BI7" i="4"/>
  <c r="BI23" i="4"/>
  <c r="BI19" i="4"/>
  <c r="BI15" i="4"/>
  <c r="BI8" i="4"/>
  <c r="BI13" i="4"/>
  <c r="AV32" i="5"/>
  <c r="AV20" i="3" s="1"/>
  <c r="BH34" i="4"/>
  <c r="AV14" i="5"/>
  <c r="AV15" i="5" s="1"/>
  <c r="AV7" i="3"/>
  <c r="AV14" i="3" s="1"/>
  <c r="AV15" i="3" s="1"/>
  <c r="AV28" i="5"/>
  <c r="AV19" i="3" s="1"/>
  <c r="AU23" i="3"/>
  <c r="AU28" i="3" s="1"/>
  <c r="P20" i="2"/>
  <c r="AQ7" i="5"/>
  <c r="AV46" i="5"/>
  <c r="AV21" i="3" s="1"/>
  <c r="AV133" i="5"/>
  <c r="AV24" i="3" s="1"/>
  <c r="AW129" i="5"/>
  <c r="AW126" i="5"/>
  <c r="AW123" i="5"/>
  <c r="AW144" i="5"/>
  <c r="AW145" i="5"/>
  <c r="AW136" i="5"/>
  <c r="AW114" i="5"/>
  <c r="AW139" i="5"/>
  <c r="AW117" i="5"/>
  <c r="AW109" i="5"/>
  <c r="AW102" i="5"/>
  <c r="AW94" i="5"/>
  <c r="AW86" i="5"/>
  <c r="AW99" i="5"/>
  <c r="AW91" i="5"/>
  <c r="AW82" i="5"/>
  <c r="AW74" i="5"/>
  <c r="AW66" i="5"/>
  <c r="AW55" i="5" a="1"/>
  <c r="AW55" i="5" s="1"/>
  <c r="AW85" i="5"/>
  <c r="AW77" i="5"/>
  <c r="AW69" i="5"/>
  <c r="AW61" i="5"/>
  <c r="AW50" i="5" a="1"/>
  <c r="AW50" i="5" s="1"/>
  <c r="AW48" i="5" a="1"/>
  <c r="AW48" i="5" s="1"/>
  <c r="AW34" i="5" a="1"/>
  <c r="AW34" i="5" s="1"/>
  <c r="AW24" i="5" a="1"/>
  <c r="AW24" i="5" s="1"/>
  <c r="AW22" i="5" a="1"/>
  <c r="AW22" i="5" s="1"/>
  <c r="BJ3" i="4"/>
  <c r="AW131" i="5"/>
  <c r="AW128" i="5"/>
  <c r="AW125" i="5"/>
  <c r="AW142" i="5"/>
  <c r="AW143" i="5"/>
  <c r="AW120" i="5"/>
  <c r="AW112" i="5"/>
  <c r="AW137" i="5"/>
  <c r="AW115" i="5"/>
  <c r="AW107" i="5"/>
  <c r="AW100" i="5"/>
  <c r="AW92" i="5"/>
  <c r="AW105" i="5"/>
  <c r="AW97" i="5"/>
  <c r="AW89" i="5"/>
  <c r="AW80" i="5"/>
  <c r="AW72" i="5"/>
  <c r="AW64" i="5"/>
  <c r="AW53" i="5" a="1"/>
  <c r="AW53" i="5" s="1"/>
  <c r="AW83" i="5"/>
  <c r="AW75" i="5"/>
  <c r="AW67" i="5"/>
  <c r="AW56" i="5" a="1"/>
  <c r="AW56" i="5" s="1"/>
  <c r="AW40" i="5" a="1"/>
  <c r="AW40" i="5" s="1"/>
  <c r="AW45" i="5" a="1"/>
  <c r="AW45" i="5" s="1"/>
  <c r="AW31" i="5" a="1"/>
  <c r="AW31" i="5" s="1"/>
  <c r="AW21" i="5" a="1"/>
  <c r="AW21" i="5" s="1"/>
  <c r="AW20" i="5" a="1"/>
  <c r="AW20" i="5" s="1"/>
  <c r="AW122" i="5"/>
  <c r="AW130" i="5"/>
  <c r="AW127" i="5"/>
  <c r="AW140" i="5"/>
  <c r="AW141" i="5"/>
  <c r="AW118" i="5"/>
  <c r="AW110" i="5"/>
  <c r="AW135" i="5"/>
  <c r="AW113" i="5"/>
  <c r="AW106" i="5"/>
  <c r="AW98" i="5"/>
  <c r="AW90" i="5"/>
  <c r="AW103" i="5"/>
  <c r="AW95" i="5"/>
  <c r="AW87" i="5"/>
  <c r="AW78" i="5"/>
  <c r="AW70" i="5"/>
  <c r="AW62" i="5"/>
  <c r="AW51" i="5" a="1"/>
  <c r="AW51" i="5" s="1"/>
  <c r="AW81" i="5"/>
  <c r="AW73" i="5"/>
  <c r="AW65" i="5"/>
  <c r="AW54" i="5" a="1"/>
  <c r="AW54" i="5" s="1"/>
  <c r="AW38" i="5" a="1"/>
  <c r="AW38" i="5" s="1"/>
  <c r="AW37" i="5" a="1"/>
  <c r="AW37" i="5" s="1"/>
  <c r="AW25" i="5" a="1"/>
  <c r="AW25" i="5" s="1"/>
  <c r="AW23" i="5" a="1"/>
  <c r="AW23" i="5" s="1"/>
  <c r="AX3" i="5"/>
  <c r="AW147" i="5"/>
  <c r="AW124" i="5"/>
  <c r="AW121" i="5"/>
  <c r="AW132" i="5"/>
  <c r="AW146" i="5"/>
  <c r="AW148" i="5"/>
  <c r="AW138" i="5"/>
  <c r="AW116" i="5"/>
  <c r="AW108" i="5"/>
  <c r="AW119" i="5"/>
  <c r="AW111" i="5"/>
  <c r="AW104" i="5"/>
  <c r="AW96" i="5"/>
  <c r="AW88" i="5"/>
  <c r="AW101" i="5"/>
  <c r="AW93" i="5"/>
  <c r="AW84" i="5"/>
  <c r="AW76" i="5"/>
  <c r="AW68" i="5"/>
  <c r="AW60" i="5"/>
  <c r="AW49" i="5" a="1"/>
  <c r="AW49" i="5" s="1"/>
  <c r="AW79" i="5"/>
  <c r="AW71" i="5"/>
  <c r="AW63" i="5"/>
  <c r="AW52" i="5" a="1"/>
  <c r="AW52" i="5" s="1"/>
  <c r="AW36" i="5" a="1"/>
  <c r="AW36" i="5" s="1"/>
  <c r="AW35" i="5" a="1"/>
  <c r="AW35" i="5" s="1"/>
  <c r="AW30" i="5" a="1"/>
  <c r="AW30" i="5" s="1"/>
  <c r="AW26" i="5" a="1"/>
  <c r="AW26" i="5" s="1"/>
  <c r="AW3" i="3"/>
  <c r="B56" i="2"/>
  <c r="C55" i="2"/>
  <c r="AW32" i="5" l="1"/>
  <c r="AW20" i="3" s="1"/>
  <c r="K33" i="2"/>
  <c r="U34" i="2"/>
  <c r="M32" i="2"/>
  <c r="AA32" i="2" s="1"/>
  <c r="L32" i="2"/>
  <c r="Z32" i="2"/>
  <c r="P34" i="2"/>
  <c r="AR7" i="5"/>
  <c r="AV58" i="5"/>
  <c r="AV152" i="5" s="1"/>
  <c r="AE52" i="2" s="1"/>
  <c r="AW46" i="5"/>
  <c r="AW21" i="3" s="1"/>
  <c r="AQ7" i="3"/>
  <c r="AQ14" i="3" s="1"/>
  <c r="AQ15" i="3" s="1"/>
  <c r="AQ14" i="5"/>
  <c r="AQ15" i="5" s="1"/>
  <c r="AV23" i="3"/>
  <c r="AV28" i="3" s="1"/>
  <c r="B57" i="2"/>
  <c r="C56" i="2"/>
  <c r="M22" i="2"/>
  <c r="AA22" i="2" s="1"/>
  <c r="AW133" i="5"/>
  <c r="AW24" i="3" s="1"/>
  <c r="AX129" i="5"/>
  <c r="AX128" i="5"/>
  <c r="AX132" i="5"/>
  <c r="AX143" i="5"/>
  <c r="AX139" i="5"/>
  <c r="AX117" i="5"/>
  <c r="AX142" i="5"/>
  <c r="AX120" i="5"/>
  <c r="AX112" i="5"/>
  <c r="AX104" i="5"/>
  <c r="AX96" i="5"/>
  <c r="AX109" i="5"/>
  <c r="AX99" i="5"/>
  <c r="AX91" i="5"/>
  <c r="AX86" i="5"/>
  <c r="AX79" i="5"/>
  <c r="AX71" i="5"/>
  <c r="AX63" i="5"/>
  <c r="AX52" i="5" a="1"/>
  <c r="AX52" i="5" s="1"/>
  <c r="AX82" i="5"/>
  <c r="AX74" i="5"/>
  <c r="AX66" i="5"/>
  <c r="AX55" i="5" a="1"/>
  <c r="AX55" i="5" s="1"/>
  <c r="AX48" i="5" a="1"/>
  <c r="AX48" i="5" s="1"/>
  <c r="AX40" i="5" a="1"/>
  <c r="AX40" i="5" s="1"/>
  <c r="AX24" i="5" a="1"/>
  <c r="AX24" i="5" s="1"/>
  <c r="AX26" i="5" a="1"/>
  <c r="AX26" i="5" s="1"/>
  <c r="AX25" i="5" a="1"/>
  <c r="AX25" i="5" s="1"/>
  <c r="AX147" i="5"/>
  <c r="AX122" i="5"/>
  <c r="AX130" i="5"/>
  <c r="AX131" i="5"/>
  <c r="AX141" i="5"/>
  <c r="AX137" i="5"/>
  <c r="AX115" i="5"/>
  <c r="AX144" i="5"/>
  <c r="AX118" i="5"/>
  <c r="AX110" i="5"/>
  <c r="AX102" i="5"/>
  <c r="AX94" i="5"/>
  <c r="AX105" i="5"/>
  <c r="AX97" i="5"/>
  <c r="AX89" i="5"/>
  <c r="AX85" i="5"/>
  <c r="AX77" i="5"/>
  <c r="AX69" i="5"/>
  <c r="AX61" i="5"/>
  <c r="AX50" i="5" a="1"/>
  <c r="AX50" i="5" s="1"/>
  <c r="AX80" i="5"/>
  <c r="AX72" i="5"/>
  <c r="AX64" i="5"/>
  <c r="AX53" i="5" a="1"/>
  <c r="AX53" i="5" s="1"/>
  <c r="AX45" i="5" a="1"/>
  <c r="AX45" i="5" s="1"/>
  <c r="AX38" i="5" a="1"/>
  <c r="AX38" i="5" s="1"/>
  <c r="AX23" i="5" a="1"/>
  <c r="AX23" i="5" s="1"/>
  <c r="AY3" i="5"/>
  <c r="AX21" i="5" a="1"/>
  <c r="AX21" i="5" s="1"/>
  <c r="AX125" i="5"/>
  <c r="AX124" i="5"/>
  <c r="AX121" i="5"/>
  <c r="AX148" i="5"/>
  <c r="AX146" i="5"/>
  <c r="AX135" i="5"/>
  <c r="AX113" i="5"/>
  <c r="AX138" i="5"/>
  <c r="AX116" i="5"/>
  <c r="AX108" i="5"/>
  <c r="AX100" i="5"/>
  <c r="AX92" i="5"/>
  <c r="AX103" i="5"/>
  <c r="AX95" i="5"/>
  <c r="AX87" i="5"/>
  <c r="AX83" i="5"/>
  <c r="AX75" i="5"/>
  <c r="AX67" i="5"/>
  <c r="AX56" i="5" a="1"/>
  <c r="AX56" i="5" s="1"/>
  <c r="AX88" i="5"/>
  <c r="AX78" i="5"/>
  <c r="AX70" i="5"/>
  <c r="AX62" i="5"/>
  <c r="AX51" i="5" a="1"/>
  <c r="AX51" i="5" s="1"/>
  <c r="AX37" i="5" a="1"/>
  <c r="AX37" i="5" s="1"/>
  <c r="AX36" i="5" a="1"/>
  <c r="AX36" i="5" s="1"/>
  <c r="AX22" i="5" a="1"/>
  <c r="AX22" i="5" s="1"/>
  <c r="AX34" i="5" a="1"/>
  <c r="AX34" i="5" s="1"/>
  <c r="BK3" i="4"/>
  <c r="AX127" i="5"/>
  <c r="AX126" i="5"/>
  <c r="AX123" i="5"/>
  <c r="AX145" i="5"/>
  <c r="AX140" i="5"/>
  <c r="AX119" i="5"/>
  <c r="AX111" i="5"/>
  <c r="AX136" i="5"/>
  <c r="AX114" i="5"/>
  <c r="AX106" i="5"/>
  <c r="AX98" i="5"/>
  <c r="AX90" i="5"/>
  <c r="AX101" i="5"/>
  <c r="AX93" i="5"/>
  <c r="AX107" i="5"/>
  <c r="AX81" i="5"/>
  <c r="AX73" i="5"/>
  <c r="AX65" i="5"/>
  <c r="AX54" i="5" a="1"/>
  <c r="AX54" i="5" s="1"/>
  <c r="AX84" i="5"/>
  <c r="AX76" i="5"/>
  <c r="AX68" i="5"/>
  <c r="AX60" i="5"/>
  <c r="AX49" i="5" a="1"/>
  <c r="AX49" i="5" s="1"/>
  <c r="AX35" i="5" a="1"/>
  <c r="AX35" i="5" s="1"/>
  <c r="AX30" i="5" a="1"/>
  <c r="AX30" i="5" s="1"/>
  <c r="AX20" i="5" a="1"/>
  <c r="AX20" i="5" s="1"/>
  <c r="AX31" i="5" a="1"/>
  <c r="AX31" i="5" s="1"/>
  <c r="AX3" i="3"/>
  <c r="AW149" i="5"/>
  <c r="AW25" i="3" s="1"/>
  <c r="AW28" i="5"/>
  <c r="AW19" i="3" s="1"/>
  <c r="BJ21" i="4"/>
  <c r="BJ17" i="4"/>
  <c r="BJ13" i="4"/>
  <c r="BJ9" i="4"/>
  <c r="BJ5" i="4"/>
  <c r="BJ20" i="4"/>
  <c r="BJ16" i="4"/>
  <c r="BJ12" i="4"/>
  <c r="BJ8" i="4"/>
  <c r="BJ4" i="4"/>
  <c r="BJ23" i="4"/>
  <c r="BJ19" i="4"/>
  <c r="BJ15" i="4"/>
  <c r="BJ11" i="4"/>
  <c r="BJ7" i="4"/>
  <c r="BJ22" i="4"/>
  <c r="BJ18" i="4"/>
  <c r="BJ14" i="4"/>
  <c r="BJ10" i="4"/>
  <c r="BJ6" i="4"/>
  <c r="AW57" i="5"/>
  <c r="AW22" i="3" s="1"/>
  <c r="Q20" i="2"/>
  <c r="R20" i="2"/>
  <c r="O20" i="2"/>
  <c r="BI34" i="4"/>
  <c r="U35" i="2" l="1"/>
  <c r="K34" i="2"/>
  <c r="L33" i="2"/>
  <c r="M33" i="2"/>
  <c r="AA33" i="2" s="1"/>
  <c r="Z33" i="2"/>
  <c r="AR7" i="3"/>
  <c r="AR14" i="3" s="1"/>
  <c r="AR15" i="3" s="1"/>
  <c r="AR14" i="5"/>
  <c r="AR15" i="5" s="1"/>
  <c r="Q34" i="2"/>
  <c r="R34" i="2"/>
  <c r="O34" i="2"/>
  <c r="AX149" i="5"/>
  <c r="AX25" i="3" s="1"/>
  <c r="Z23" i="2"/>
  <c r="L22" i="2"/>
  <c r="AW23" i="3"/>
  <c r="AW28" i="3" s="1"/>
  <c r="AX32" i="5"/>
  <c r="AX20" i="3" s="1"/>
  <c r="BK20" i="4"/>
  <c r="BK16" i="4"/>
  <c r="BK12" i="4"/>
  <c r="BK8" i="4"/>
  <c r="BK4" i="4"/>
  <c r="BK23" i="4"/>
  <c r="BK19" i="4"/>
  <c r="BK15" i="4"/>
  <c r="BK11" i="4"/>
  <c r="BK7" i="4"/>
  <c r="BK22" i="4"/>
  <c r="BK18" i="4"/>
  <c r="BK14" i="4"/>
  <c r="BK10" i="4"/>
  <c r="BK6" i="4"/>
  <c r="BK21" i="4"/>
  <c r="BK17" i="4"/>
  <c r="BK13" i="4"/>
  <c r="BK9" i="4"/>
  <c r="BK5" i="4"/>
  <c r="AW58" i="5"/>
  <c r="AW152" i="5" s="1"/>
  <c r="AE53" i="2" s="1"/>
  <c r="BJ34" i="4"/>
  <c r="AX28" i="5"/>
  <c r="AX19" i="3" s="1"/>
  <c r="AX133" i="5"/>
  <c r="AX24" i="3" s="1"/>
  <c r="AX46" i="5"/>
  <c r="AX21" i="3" s="1"/>
  <c r="B58" i="2"/>
  <c r="C57" i="2"/>
  <c r="AY121" i="5"/>
  <c r="AY129" i="5"/>
  <c r="AY126" i="5"/>
  <c r="AY148" i="5"/>
  <c r="AY146" i="5"/>
  <c r="AY139" i="5"/>
  <c r="AY117" i="5"/>
  <c r="AY109" i="5"/>
  <c r="AY120" i="5"/>
  <c r="AY112" i="5"/>
  <c r="AY103" i="5"/>
  <c r="AY95" i="5"/>
  <c r="AY87" i="5"/>
  <c r="AY100" i="5"/>
  <c r="AY92" i="5"/>
  <c r="AY85" i="5"/>
  <c r="AY77" i="5"/>
  <c r="AY69" i="5"/>
  <c r="AY61" i="5"/>
  <c r="AY49" i="5" a="1"/>
  <c r="AY49" i="5" s="1"/>
  <c r="AY78" i="5"/>
  <c r="AY70" i="5"/>
  <c r="AY62" i="5"/>
  <c r="AY52" i="5" a="1"/>
  <c r="AY52" i="5" s="1"/>
  <c r="AY36" i="5" a="1"/>
  <c r="AY36" i="5" s="1"/>
  <c r="AY35" i="5" a="1"/>
  <c r="AY35" i="5" s="1"/>
  <c r="AZ3" i="5"/>
  <c r="AY30" i="5" a="1"/>
  <c r="AY30" i="5" s="1"/>
  <c r="BL3" i="4"/>
  <c r="AY123" i="5"/>
  <c r="AY131" i="5"/>
  <c r="AY128" i="5"/>
  <c r="AY145" i="5"/>
  <c r="AY144" i="5"/>
  <c r="AY137" i="5"/>
  <c r="AY115" i="5"/>
  <c r="AY107" i="5"/>
  <c r="AY118" i="5"/>
  <c r="AY110" i="5"/>
  <c r="AY101" i="5"/>
  <c r="AY93" i="5"/>
  <c r="AY106" i="5"/>
  <c r="AY98" i="5"/>
  <c r="AY90" i="5"/>
  <c r="AY83" i="5"/>
  <c r="AY75" i="5"/>
  <c r="AY67" i="5"/>
  <c r="AY55" i="5" a="1"/>
  <c r="AY55" i="5" s="1"/>
  <c r="AY84" i="5"/>
  <c r="AY76" i="5"/>
  <c r="AY68" i="5"/>
  <c r="AY60" i="5"/>
  <c r="AY50" i="5" a="1"/>
  <c r="AY50" i="5" s="1"/>
  <c r="AY48" i="5" a="1"/>
  <c r="AY48" i="5" s="1"/>
  <c r="AY23" i="5" a="1"/>
  <c r="AY23" i="5" s="1"/>
  <c r="AY34" i="5" a="1"/>
  <c r="AY34" i="5" s="1"/>
  <c r="AY24" i="5" a="1"/>
  <c r="AY24" i="5" s="1"/>
  <c r="AY3" i="3"/>
  <c r="AY125" i="5"/>
  <c r="AY122" i="5"/>
  <c r="AY130" i="5"/>
  <c r="AY143" i="5"/>
  <c r="AY142" i="5"/>
  <c r="AY135" i="5"/>
  <c r="AY113" i="5"/>
  <c r="AY138" i="5"/>
  <c r="AY116" i="5"/>
  <c r="AY108" i="5"/>
  <c r="AY99" i="5"/>
  <c r="AY91" i="5"/>
  <c r="AY104" i="5"/>
  <c r="AY96" i="5"/>
  <c r="AY88" i="5"/>
  <c r="AY81" i="5"/>
  <c r="AY73" i="5"/>
  <c r="AY65" i="5"/>
  <c r="AY53" i="5" a="1"/>
  <c r="AY53" i="5" s="1"/>
  <c r="AY82" i="5"/>
  <c r="AY74" i="5"/>
  <c r="AY66" i="5"/>
  <c r="AY56" i="5" a="1"/>
  <c r="AY56" i="5" s="1"/>
  <c r="AY40" i="5" a="1"/>
  <c r="AY40" i="5" s="1"/>
  <c r="AY45" i="5" a="1"/>
  <c r="AY45" i="5" s="1"/>
  <c r="AY26" i="5" a="1"/>
  <c r="AY26" i="5" s="1"/>
  <c r="AY31" i="5" a="1"/>
  <c r="AY31" i="5" s="1"/>
  <c r="AY22" i="5" a="1"/>
  <c r="AY22" i="5" s="1"/>
  <c r="AY147" i="5"/>
  <c r="AY127" i="5"/>
  <c r="AY124" i="5"/>
  <c r="AY132" i="5"/>
  <c r="AY141" i="5"/>
  <c r="AY140" i="5"/>
  <c r="AY119" i="5"/>
  <c r="AY111" i="5"/>
  <c r="AY136" i="5"/>
  <c r="AY114" i="5"/>
  <c r="AY105" i="5"/>
  <c r="AY97" i="5"/>
  <c r="AY89" i="5"/>
  <c r="AY102" i="5"/>
  <c r="AY94" i="5"/>
  <c r="AY86" i="5"/>
  <c r="AY79" i="5"/>
  <c r="AY71" i="5"/>
  <c r="AY63" i="5"/>
  <c r="AY51" i="5" a="1"/>
  <c r="AY51" i="5" s="1"/>
  <c r="AY80" i="5"/>
  <c r="AY72" i="5"/>
  <c r="AY64" i="5"/>
  <c r="AY54" i="5" a="1"/>
  <c r="AY54" i="5" s="1"/>
  <c r="AY38" i="5" a="1"/>
  <c r="AY38" i="5" s="1"/>
  <c r="AY37" i="5" a="1"/>
  <c r="AY37" i="5" s="1"/>
  <c r="AY21" i="5" a="1"/>
  <c r="AY21" i="5" s="1"/>
  <c r="AY25" i="5" a="1"/>
  <c r="AY25" i="5" s="1"/>
  <c r="AY20" i="5" a="1"/>
  <c r="AY20" i="5" s="1"/>
  <c r="AY7" i="5"/>
  <c r="AX57" i="5"/>
  <c r="AX22" i="3" s="1"/>
  <c r="AB50" i="2"/>
  <c r="P35" i="2" s="1"/>
  <c r="M34" i="2" l="1"/>
  <c r="AA34" i="2" s="1"/>
  <c r="Z34" i="2"/>
  <c r="L34" i="2"/>
  <c r="U36" i="2"/>
  <c r="K35" i="2"/>
  <c r="P36" i="2"/>
  <c r="O35" i="2"/>
  <c r="Q35" i="2"/>
  <c r="R35" i="2"/>
  <c r="BL22" i="4"/>
  <c r="BL18" i="4"/>
  <c r="BL14" i="4"/>
  <c r="BL10" i="4"/>
  <c r="BL6" i="4"/>
  <c r="BL21" i="4"/>
  <c r="BL17" i="4"/>
  <c r="BL13" i="4"/>
  <c r="BL9" i="4"/>
  <c r="BL5" i="4"/>
  <c r="BL20" i="4"/>
  <c r="BL16" i="4"/>
  <c r="BL12" i="4"/>
  <c r="BL8" i="4"/>
  <c r="BL4" i="4"/>
  <c r="BL23" i="4"/>
  <c r="BL19" i="4"/>
  <c r="BL15" i="4"/>
  <c r="BL11" i="4"/>
  <c r="BL7" i="4"/>
  <c r="B59" i="2"/>
  <c r="C58" i="2"/>
  <c r="AX23" i="3"/>
  <c r="AX28" i="3" s="1"/>
  <c r="AT7" i="5"/>
  <c r="P21" i="2"/>
  <c r="AY14" i="5"/>
  <c r="AY7" i="3"/>
  <c r="AY14" i="3" s="1"/>
  <c r="AY15" i="3" s="1"/>
  <c r="AY15" i="5"/>
  <c r="AY149" i="5"/>
  <c r="AY25" i="3" s="1"/>
  <c r="AY46" i="5"/>
  <c r="AY21" i="3" s="1"/>
  <c r="AY133" i="5"/>
  <c r="AY24" i="3" s="1"/>
  <c r="AY32" i="5"/>
  <c r="AY20" i="3" s="1"/>
  <c r="AY28" i="5"/>
  <c r="AY19" i="3" s="1"/>
  <c r="AZ125" i="5"/>
  <c r="AZ130" i="5"/>
  <c r="AZ129" i="5"/>
  <c r="AZ144" i="5"/>
  <c r="AZ141" i="5"/>
  <c r="AZ118" i="5"/>
  <c r="AZ110" i="5"/>
  <c r="AZ137" i="5"/>
  <c r="AZ115" i="5"/>
  <c r="AZ105" i="5"/>
  <c r="AZ97" i="5"/>
  <c r="AZ107" i="5"/>
  <c r="AZ100" i="5"/>
  <c r="AZ92" i="5"/>
  <c r="AZ108" i="5"/>
  <c r="AZ80" i="5"/>
  <c r="AZ72" i="5"/>
  <c r="AZ64" i="5"/>
  <c r="AZ54" i="5" a="1"/>
  <c r="AZ54" i="5" s="1"/>
  <c r="AZ85" i="5"/>
  <c r="AZ77" i="5"/>
  <c r="AZ69" i="5"/>
  <c r="AZ61" i="5"/>
  <c r="AZ49" i="5" a="1"/>
  <c r="AZ49" i="5" s="1"/>
  <c r="AZ35" i="5" a="1"/>
  <c r="AZ35" i="5" s="1"/>
  <c r="AZ26" i="5" a="1"/>
  <c r="AZ26" i="5" s="1"/>
  <c r="AZ25" i="5" a="1"/>
  <c r="AZ25" i="5" s="1"/>
  <c r="AZ24" i="5" a="1"/>
  <c r="AZ24" i="5" s="1"/>
  <c r="BM3" i="4"/>
  <c r="AZ147" i="5"/>
  <c r="AZ127" i="5"/>
  <c r="AZ131" i="5"/>
  <c r="AZ132" i="5"/>
  <c r="AZ142" i="5"/>
  <c r="AZ138" i="5"/>
  <c r="AZ116" i="5"/>
  <c r="AZ143" i="5"/>
  <c r="AZ135" i="5"/>
  <c r="AZ113" i="5"/>
  <c r="AZ103" i="5"/>
  <c r="AZ95" i="5"/>
  <c r="AZ106" i="5"/>
  <c r="AZ98" i="5"/>
  <c r="AZ90" i="5"/>
  <c r="AZ87" i="5"/>
  <c r="AZ78" i="5"/>
  <c r="AZ70" i="5"/>
  <c r="AZ62" i="5"/>
  <c r="AZ52" i="5" a="1"/>
  <c r="AZ52" i="5" s="1"/>
  <c r="AZ83" i="5"/>
  <c r="AZ75" i="5"/>
  <c r="AZ67" i="5"/>
  <c r="AZ55" i="5" a="1"/>
  <c r="AZ55" i="5" s="1"/>
  <c r="AZ48" i="5" a="1"/>
  <c r="AZ48" i="5" s="1"/>
  <c r="AZ40" i="5" a="1"/>
  <c r="AZ40" i="5" s="1"/>
  <c r="BA3" i="5"/>
  <c r="AZ22" i="5" a="1"/>
  <c r="AZ22" i="5" s="1"/>
  <c r="AZ23" i="5" a="1"/>
  <c r="AZ23" i="5" s="1"/>
  <c r="AZ121" i="5"/>
  <c r="AZ122" i="5"/>
  <c r="AZ128" i="5"/>
  <c r="AZ140" i="5"/>
  <c r="AZ136" i="5"/>
  <c r="AZ114" i="5"/>
  <c r="AZ145" i="5"/>
  <c r="AZ119" i="5"/>
  <c r="AZ111" i="5"/>
  <c r="AZ101" i="5"/>
  <c r="AZ93" i="5"/>
  <c r="AZ104" i="5"/>
  <c r="AZ96" i="5"/>
  <c r="AZ88" i="5"/>
  <c r="AZ84" i="5"/>
  <c r="AZ76" i="5"/>
  <c r="AZ68" i="5"/>
  <c r="AZ60" i="5"/>
  <c r="AZ50" i="5" a="1"/>
  <c r="AZ50" i="5" s="1"/>
  <c r="AZ81" i="5"/>
  <c r="AZ73" i="5"/>
  <c r="AZ65" i="5"/>
  <c r="AZ53" i="5" a="1"/>
  <c r="AZ53" i="5" s="1"/>
  <c r="AZ45" i="5" a="1"/>
  <c r="AZ45" i="5" s="1"/>
  <c r="AZ38" i="5" a="1"/>
  <c r="AZ38" i="5" s="1"/>
  <c r="AZ34" i="5" a="1"/>
  <c r="AZ34" i="5" s="1"/>
  <c r="AZ20" i="5" a="1"/>
  <c r="AZ20" i="5" s="1"/>
  <c r="AZ21" i="5" a="1"/>
  <c r="AZ21" i="5" s="1"/>
  <c r="AZ123" i="5"/>
  <c r="AZ124" i="5"/>
  <c r="AZ126" i="5"/>
  <c r="AZ146" i="5"/>
  <c r="AZ148" i="5"/>
  <c r="AZ120" i="5"/>
  <c r="AZ112" i="5"/>
  <c r="AZ139" i="5"/>
  <c r="AZ117" i="5"/>
  <c r="AZ109" i="5"/>
  <c r="AZ99" i="5"/>
  <c r="AZ91" i="5"/>
  <c r="AZ102" i="5"/>
  <c r="AZ94" i="5"/>
  <c r="AZ86" i="5"/>
  <c r="AZ82" i="5"/>
  <c r="AZ74" i="5"/>
  <c r="AZ66" i="5"/>
  <c r="AZ56" i="5" a="1"/>
  <c r="AZ56" i="5" s="1"/>
  <c r="AZ89" i="5"/>
  <c r="AZ79" i="5"/>
  <c r="AZ71" i="5"/>
  <c r="AZ63" i="5"/>
  <c r="AZ51" i="5" a="1"/>
  <c r="AZ51" i="5" s="1"/>
  <c r="AZ37" i="5" a="1"/>
  <c r="AZ37" i="5" s="1"/>
  <c r="AZ36" i="5" a="1"/>
  <c r="AZ36" i="5" s="1"/>
  <c r="AZ31" i="5" a="1"/>
  <c r="AZ31" i="5" s="1"/>
  <c r="AZ30" i="5" a="1"/>
  <c r="AZ30" i="5" s="1"/>
  <c r="AZ3" i="3"/>
  <c r="BK34" i="4"/>
  <c r="AY57" i="5"/>
  <c r="AY22" i="3" s="1"/>
  <c r="AX58" i="5"/>
  <c r="AX152" i="5" s="1"/>
  <c r="AE54" i="2" s="1"/>
  <c r="AB51" i="2" s="1"/>
  <c r="AU7" i="5" s="1"/>
  <c r="Z35" i="2" l="1"/>
  <c r="M35" i="2"/>
  <c r="AA35" i="2" s="1"/>
  <c r="L35" i="2"/>
  <c r="U37" i="2"/>
  <c r="K36" i="2"/>
  <c r="AU7" i="3"/>
  <c r="AU14" i="3" s="1"/>
  <c r="AU15" i="3" s="1"/>
  <c r="AU14" i="5"/>
  <c r="AU15" i="5" s="1"/>
  <c r="R36" i="2"/>
  <c r="O36" i="2"/>
  <c r="Q36" i="2"/>
  <c r="AZ32" i="5"/>
  <c r="AZ20" i="3" s="1"/>
  <c r="AZ57" i="5"/>
  <c r="AZ22" i="3" s="1"/>
  <c r="AZ149" i="5"/>
  <c r="AZ25" i="3" s="1"/>
  <c r="AT7" i="3"/>
  <c r="AT14" i="3" s="1"/>
  <c r="AT15" i="3" s="1"/>
  <c r="AT14" i="5"/>
  <c r="AT15" i="5" s="1"/>
  <c r="AZ28" i="5"/>
  <c r="AZ19" i="3" s="1"/>
  <c r="BM22" i="4"/>
  <c r="BM18" i="4"/>
  <c r="BM14" i="4"/>
  <c r="BM7" i="4"/>
  <c r="BM10" i="4"/>
  <c r="BM21" i="4"/>
  <c r="BM17" i="4"/>
  <c r="BM13" i="4"/>
  <c r="BM5" i="4"/>
  <c r="BM8" i="4"/>
  <c r="BM20" i="4"/>
  <c r="BM16" i="4"/>
  <c r="BM11" i="4"/>
  <c r="BM4" i="4"/>
  <c r="BM6" i="4"/>
  <c r="BM23" i="4"/>
  <c r="BM19" i="4"/>
  <c r="BM15" i="4"/>
  <c r="BM9" i="4"/>
  <c r="BM12" i="4"/>
  <c r="BL34" i="4"/>
  <c r="AZ46" i="5"/>
  <c r="AZ21" i="3" s="1"/>
  <c r="AZ133" i="5"/>
  <c r="AZ24" i="3" s="1"/>
  <c r="BA130" i="5"/>
  <c r="BA127" i="5"/>
  <c r="BA126" i="5"/>
  <c r="BA144" i="5"/>
  <c r="BA145" i="5"/>
  <c r="BA136" i="5"/>
  <c r="BA114" i="5"/>
  <c r="BA139" i="5"/>
  <c r="BA117" i="5"/>
  <c r="BA109" i="5"/>
  <c r="BA102" i="5"/>
  <c r="BA94" i="5"/>
  <c r="BA86" i="5"/>
  <c r="BA99" i="5"/>
  <c r="BA91" i="5"/>
  <c r="BA82" i="5"/>
  <c r="BA74" i="5"/>
  <c r="BA66" i="5"/>
  <c r="BA55" i="5" a="1"/>
  <c r="BA55" i="5" s="1"/>
  <c r="BA85" i="5"/>
  <c r="BA77" i="5"/>
  <c r="BA69" i="5"/>
  <c r="BA61" i="5"/>
  <c r="BA50" i="5" a="1"/>
  <c r="BA50" i="5" s="1"/>
  <c r="BA48" i="5" a="1"/>
  <c r="BA48" i="5" s="1"/>
  <c r="BA34" i="5" a="1"/>
  <c r="BA34" i="5" s="1"/>
  <c r="BA24" i="5" a="1"/>
  <c r="BA24" i="5" s="1"/>
  <c r="BA22" i="5" a="1"/>
  <c r="BA22" i="5" s="1"/>
  <c r="BN3" i="4"/>
  <c r="BA121" i="5"/>
  <c r="BA129" i="5"/>
  <c r="BA128" i="5"/>
  <c r="BA142" i="5"/>
  <c r="BA143" i="5"/>
  <c r="BA120" i="5"/>
  <c r="BA112" i="5"/>
  <c r="BA137" i="5"/>
  <c r="BA115" i="5"/>
  <c r="BA107" i="5"/>
  <c r="BA100" i="5"/>
  <c r="BA92" i="5"/>
  <c r="BA105" i="5"/>
  <c r="BA97" i="5"/>
  <c r="BA89" i="5"/>
  <c r="BA80" i="5"/>
  <c r="BA72" i="5"/>
  <c r="BA64" i="5"/>
  <c r="BA53" i="5" a="1"/>
  <c r="BA53" i="5" s="1"/>
  <c r="BA83" i="5"/>
  <c r="BA75" i="5"/>
  <c r="BA67" i="5"/>
  <c r="BA56" i="5" a="1"/>
  <c r="BA56" i="5" s="1"/>
  <c r="BA40" i="5" a="1"/>
  <c r="BA40" i="5" s="1"/>
  <c r="BA45" i="5" a="1"/>
  <c r="BA45" i="5" s="1"/>
  <c r="BA31" i="5" a="1"/>
  <c r="BA31" i="5" s="1"/>
  <c r="BA21" i="5" a="1"/>
  <c r="BA21" i="5" s="1"/>
  <c r="BA20" i="5" a="1"/>
  <c r="BA20" i="5" s="1"/>
  <c r="BA123" i="5"/>
  <c r="BA131" i="5"/>
  <c r="BA124" i="5"/>
  <c r="BA140" i="5"/>
  <c r="BA141" i="5"/>
  <c r="BA118" i="5"/>
  <c r="BA110" i="5"/>
  <c r="BA135" i="5"/>
  <c r="BA113" i="5"/>
  <c r="BA106" i="5"/>
  <c r="BA98" i="5"/>
  <c r="BA90" i="5"/>
  <c r="BA103" i="5"/>
  <c r="BA95" i="5"/>
  <c r="BA87" i="5"/>
  <c r="BA78" i="5"/>
  <c r="BA70" i="5"/>
  <c r="BA62" i="5"/>
  <c r="BA51" i="5" a="1"/>
  <c r="BA51" i="5" s="1"/>
  <c r="BA81" i="5"/>
  <c r="BA73" i="5"/>
  <c r="BA65" i="5"/>
  <c r="BA54" i="5" a="1"/>
  <c r="BA54" i="5" s="1"/>
  <c r="BA38" i="5" a="1"/>
  <c r="BA38" i="5" s="1"/>
  <c r="BA37" i="5" a="1"/>
  <c r="BA37" i="5" s="1"/>
  <c r="BA25" i="5" a="1"/>
  <c r="BA25" i="5" s="1"/>
  <c r="BA23" i="5" a="1"/>
  <c r="BA23" i="5" s="1"/>
  <c r="BB3" i="5"/>
  <c r="BA147" i="5"/>
  <c r="BA125" i="5"/>
  <c r="BA122" i="5"/>
  <c r="BA132" i="5"/>
  <c r="BA146" i="5"/>
  <c r="BA148" i="5"/>
  <c r="BA138" i="5"/>
  <c r="BA116" i="5"/>
  <c r="BA108" i="5"/>
  <c r="BA119" i="5"/>
  <c r="BA111" i="5"/>
  <c r="BA104" i="5"/>
  <c r="BA96" i="5"/>
  <c r="BA88" i="5"/>
  <c r="BA101" i="5"/>
  <c r="BA93" i="5"/>
  <c r="BA84" i="5"/>
  <c r="BA76" i="5"/>
  <c r="BA68" i="5"/>
  <c r="BA60" i="5"/>
  <c r="BA49" i="5" a="1"/>
  <c r="BA49" i="5" s="1"/>
  <c r="BA79" i="5"/>
  <c r="BA71" i="5"/>
  <c r="BA63" i="5"/>
  <c r="BA52" i="5" a="1"/>
  <c r="BA52" i="5" s="1"/>
  <c r="BA36" i="5" a="1"/>
  <c r="BA36" i="5" s="1"/>
  <c r="BA35" i="5" a="1"/>
  <c r="BA35" i="5" s="1"/>
  <c r="BA30" i="5" a="1"/>
  <c r="BA30" i="5" s="1"/>
  <c r="BA26" i="5" a="1"/>
  <c r="BA26" i="5" s="1"/>
  <c r="BA3" i="3"/>
  <c r="AY58" i="5"/>
  <c r="AY152" i="5" s="1"/>
  <c r="AE55" i="2" s="1"/>
  <c r="AY23" i="3"/>
  <c r="AY28" i="3" s="1"/>
  <c r="Q21" i="2"/>
  <c r="O21" i="2"/>
  <c r="R21" i="2"/>
  <c r="B60" i="2"/>
  <c r="C59" i="2"/>
  <c r="M23" i="2"/>
  <c r="AA23" i="2" s="1"/>
  <c r="BA32" i="5" l="1"/>
  <c r="BA20" i="3" s="1"/>
  <c r="U38" i="2"/>
  <c r="K37" i="2"/>
  <c r="Z36" i="2"/>
  <c r="M36" i="2"/>
  <c r="AA36" i="2" s="1"/>
  <c r="L36" i="2"/>
  <c r="B61" i="2"/>
  <c r="C60" i="2"/>
  <c r="BA133" i="5"/>
  <c r="BA24" i="3" s="1"/>
  <c r="BB121" i="5"/>
  <c r="BB129" i="5"/>
  <c r="BB130" i="5"/>
  <c r="BB148" i="5"/>
  <c r="BB140" i="5"/>
  <c r="BB135" i="5"/>
  <c r="BB113" i="5"/>
  <c r="BB138" i="5"/>
  <c r="BB116" i="5"/>
  <c r="BB106" i="5"/>
  <c r="BB98" i="5"/>
  <c r="BB90" i="5"/>
  <c r="BB105" i="5"/>
  <c r="BB97" i="5"/>
  <c r="BB89" i="5"/>
  <c r="BB85" i="5"/>
  <c r="BB77" i="5"/>
  <c r="BB69" i="5"/>
  <c r="BB61" i="5"/>
  <c r="BB50" i="5" a="1"/>
  <c r="BB50" i="5" s="1"/>
  <c r="BB78" i="5"/>
  <c r="BB70" i="5"/>
  <c r="BB62" i="5"/>
  <c r="BB51" i="5" a="1"/>
  <c r="BB51" i="5" s="1"/>
  <c r="BB37" i="5" a="1"/>
  <c r="BB37" i="5" s="1"/>
  <c r="BB36" i="5" a="1"/>
  <c r="BB36" i="5" s="1"/>
  <c r="BB22" i="5" a="1"/>
  <c r="BB22" i="5" s="1"/>
  <c r="BB34" i="5" a="1"/>
  <c r="BB34" i="5" s="1"/>
  <c r="BO3" i="4"/>
  <c r="BB147" i="5"/>
  <c r="BB123" i="5"/>
  <c r="BB131" i="5"/>
  <c r="BB132" i="5"/>
  <c r="BB145" i="5"/>
  <c r="BB142" i="5"/>
  <c r="BB119" i="5"/>
  <c r="BB111" i="5"/>
  <c r="BB136" i="5"/>
  <c r="BB114" i="5"/>
  <c r="BB104" i="5"/>
  <c r="BB96" i="5"/>
  <c r="BB109" i="5"/>
  <c r="BB103" i="5"/>
  <c r="BB95" i="5"/>
  <c r="BB87" i="5"/>
  <c r="BB83" i="5"/>
  <c r="BB75" i="5"/>
  <c r="BB67" i="5"/>
  <c r="BB56" i="5" a="1"/>
  <c r="BB56" i="5" s="1"/>
  <c r="BB84" i="5"/>
  <c r="BB76" i="5"/>
  <c r="BB68" i="5"/>
  <c r="BB60" i="5"/>
  <c r="BB49" i="5" a="1"/>
  <c r="BB49" i="5" s="1"/>
  <c r="BB35" i="5" a="1"/>
  <c r="BB35" i="5" s="1"/>
  <c r="BB30" i="5" a="1"/>
  <c r="BB30" i="5" s="1"/>
  <c r="BB20" i="5" a="1"/>
  <c r="BB20" i="5" s="1"/>
  <c r="BB31" i="5" a="1"/>
  <c r="BB31" i="5" s="1"/>
  <c r="BB3" i="3"/>
  <c r="BB126" i="5"/>
  <c r="BB125" i="5"/>
  <c r="BB122" i="5"/>
  <c r="BB143" i="5"/>
  <c r="BB139" i="5"/>
  <c r="BB117" i="5"/>
  <c r="BB144" i="5"/>
  <c r="BB120" i="5"/>
  <c r="BB112" i="5"/>
  <c r="BB102" i="5"/>
  <c r="BB94" i="5"/>
  <c r="BB107" i="5"/>
  <c r="BB101" i="5"/>
  <c r="BB93" i="5"/>
  <c r="BB86" i="5"/>
  <c r="BB81" i="5"/>
  <c r="BB73" i="5"/>
  <c r="BB65" i="5"/>
  <c r="BB54" i="5" a="1"/>
  <c r="BB54" i="5" s="1"/>
  <c r="BB82" i="5"/>
  <c r="BB74" i="5"/>
  <c r="BB66" i="5"/>
  <c r="BB55" i="5" a="1"/>
  <c r="BB55" i="5" s="1"/>
  <c r="BB48" i="5" a="1"/>
  <c r="BB48" i="5" s="1"/>
  <c r="BB40" i="5" a="1"/>
  <c r="BB40" i="5" s="1"/>
  <c r="BB24" i="5" a="1"/>
  <c r="BB24" i="5" s="1"/>
  <c r="BB26" i="5" a="1"/>
  <c r="BB26" i="5" s="1"/>
  <c r="BB25" i="5" a="1"/>
  <c r="BB25" i="5" s="1"/>
  <c r="BB128" i="5"/>
  <c r="BB127" i="5"/>
  <c r="BB124" i="5"/>
  <c r="BB141" i="5"/>
  <c r="BB137" i="5"/>
  <c r="BB115" i="5"/>
  <c r="BB146" i="5"/>
  <c r="BB118" i="5"/>
  <c r="BB110" i="5"/>
  <c r="BB100" i="5"/>
  <c r="BB92" i="5"/>
  <c r="BB108" i="5"/>
  <c r="BB99" i="5"/>
  <c r="BB91" i="5"/>
  <c r="BB88" i="5"/>
  <c r="BB79" i="5"/>
  <c r="BB71" i="5"/>
  <c r="BB63" i="5"/>
  <c r="BB52" i="5" a="1"/>
  <c r="BB52" i="5" s="1"/>
  <c r="BB80" i="5"/>
  <c r="BB72" i="5"/>
  <c r="BB64" i="5"/>
  <c r="BB53" i="5" a="1"/>
  <c r="BB53" i="5" s="1"/>
  <c r="BB45" i="5" a="1"/>
  <c r="BB45" i="5" s="1"/>
  <c r="BB38" i="5" a="1"/>
  <c r="BB38" i="5" s="1"/>
  <c r="BB23" i="5" a="1"/>
  <c r="BB23" i="5" s="1"/>
  <c r="BC3" i="5"/>
  <c r="BB21" i="5" a="1"/>
  <c r="BB21" i="5" s="1"/>
  <c r="BB7" i="5"/>
  <c r="BA149" i="5"/>
  <c r="BA25" i="3" s="1"/>
  <c r="BA28" i="5"/>
  <c r="BA19" i="3" s="1"/>
  <c r="BA41" i="5"/>
  <c r="BN23" i="4"/>
  <c r="BN19" i="4"/>
  <c r="BN15" i="4"/>
  <c r="BN11" i="4"/>
  <c r="BN7" i="4"/>
  <c r="BN22" i="4"/>
  <c r="BN18" i="4"/>
  <c r="BN14" i="4"/>
  <c r="BN10" i="4"/>
  <c r="BN6" i="4"/>
  <c r="BN21" i="4"/>
  <c r="BN17" i="4"/>
  <c r="BN13" i="4"/>
  <c r="BN9" i="4"/>
  <c r="BN5" i="4"/>
  <c r="BN20" i="4"/>
  <c r="BN16" i="4"/>
  <c r="BN12" i="4"/>
  <c r="BN8" i="4"/>
  <c r="BN4" i="4"/>
  <c r="BA57" i="5"/>
  <c r="BA22" i="3" s="1"/>
  <c r="AZ58" i="5"/>
  <c r="AZ152" i="5" s="1"/>
  <c r="AE56" i="2" s="1"/>
  <c r="AB53" i="2" s="1"/>
  <c r="P37" i="2" s="1"/>
  <c r="Z24" i="2"/>
  <c r="L23" i="2"/>
  <c r="AZ23" i="3"/>
  <c r="AZ28" i="3" s="1"/>
  <c r="BM34" i="4"/>
  <c r="M37" i="2" l="1"/>
  <c r="AA37" i="2" s="1"/>
  <c r="L37" i="2"/>
  <c r="Z37" i="2"/>
  <c r="K38" i="2"/>
  <c r="U39" i="2"/>
  <c r="Q37" i="2"/>
  <c r="O37" i="2"/>
  <c r="R37" i="2"/>
  <c r="P22" i="2"/>
  <c r="AW7" i="5"/>
  <c r="BN34" i="4"/>
  <c r="BB7" i="3"/>
  <c r="BB14" i="3" s="1"/>
  <c r="BB15" i="3" s="1"/>
  <c r="BB14" i="5"/>
  <c r="BB15" i="5" s="1"/>
  <c r="BB32" i="5"/>
  <c r="BB20" i="3" s="1"/>
  <c r="BB46" i="5"/>
  <c r="BB21" i="3" s="1"/>
  <c r="BA46" i="5"/>
  <c r="BA21" i="3" s="1"/>
  <c r="BA23" i="3" s="1"/>
  <c r="BA28" i="3" s="1"/>
  <c r="BK41" i="5"/>
  <c r="BB57" i="5"/>
  <c r="BB22" i="3" s="1"/>
  <c r="BC122" i="5"/>
  <c r="BC130" i="5"/>
  <c r="BC127" i="5"/>
  <c r="BC148" i="5"/>
  <c r="BC146" i="5"/>
  <c r="BC139" i="5"/>
  <c r="BC117" i="5"/>
  <c r="BC109" i="5"/>
  <c r="BC120" i="5"/>
  <c r="BC112" i="5"/>
  <c r="BC103" i="5"/>
  <c r="BC95" i="5"/>
  <c r="BC87" i="5"/>
  <c r="BC100" i="5"/>
  <c r="BC92" i="5"/>
  <c r="BC85" i="5"/>
  <c r="BC77" i="5"/>
  <c r="BC69" i="5"/>
  <c r="BC61" i="5"/>
  <c r="BC49" i="5" a="1"/>
  <c r="BC49" i="5" s="1"/>
  <c r="BC78" i="5"/>
  <c r="BC70" i="5"/>
  <c r="BC62" i="5"/>
  <c r="BC52" i="5" a="1"/>
  <c r="BC52" i="5" s="1"/>
  <c r="BC36" i="5" a="1"/>
  <c r="BC36" i="5" s="1"/>
  <c r="BC35" i="5" a="1"/>
  <c r="BC35" i="5" s="1"/>
  <c r="BD3" i="5"/>
  <c r="BC30" i="5" a="1"/>
  <c r="BC30" i="5" s="1"/>
  <c r="BP3" i="4"/>
  <c r="BC124" i="5"/>
  <c r="BC121" i="5"/>
  <c r="BC129" i="5"/>
  <c r="BC145" i="5"/>
  <c r="BC144" i="5"/>
  <c r="BC137" i="5"/>
  <c r="BC115" i="5"/>
  <c r="BC107" i="5"/>
  <c r="BC118" i="5"/>
  <c r="BC110" i="5"/>
  <c r="BC101" i="5"/>
  <c r="BC93" i="5"/>
  <c r="BC106" i="5"/>
  <c r="BC98" i="5"/>
  <c r="BC90" i="5"/>
  <c r="BC83" i="5"/>
  <c r="BC75" i="5"/>
  <c r="BC67" i="5"/>
  <c r="BC55" i="5" a="1"/>
  <c r="BC55" i="5" s="1"/>
  <c r="BC84" i="5"/>
  <c r="BC76" i="5"/>
  <c r="BC68" i="5"/>
  <c r="BC60" i="5"/>
  <c r="BC50" i="5" a="1"/>
  <c r="BC50" i="5" s="1"/>
  <c r="BC48" i="5" a="1"/>
  <c r="BC48" i="5" s="1"/>
  <c r="BC23" i="5" a="1"/>
  <c r="BC23" i="5" s="1"/>
  <c r="BC34" i="5" a="1"/>
  <c r="BC34" i="5" s="1"/>
  <c r="BC24" i="5" a="1"/>
  <c r="BC24" i="5" s="1"/>
  <c r="BC3" i="3"/>
  <c r="BC126" i="5"/>
  <c r="BC123" i="5"/>
  <c r="BC131" i="5"/>
  <c r="BC143" i="5"/>
  <c r="BC142" i="5"/>
  <c r="BC135" i="5"/>
  <c r="BC113" i="5"/>
  <c r="BC138" i="5"/>
  <c r="BC116" i="5"/>
  <c r="BC108" i="5"/>
  <c r="BC99" i="5"/>
  <c r="BC91" i="5"/>
  <c r="BC104" i="5"/>
  <c r="BC96" i="5"/>
  <c r="BC88" i="5"/>
  <c r="BC81" i="5"/>
  <c r="BC73" i="5"/>
  <c r="BC65" i="5"/>
  <c r="BC53" i="5" a="1"/>
  <c r="BC53" i="5" s="1"/>
  <c r="BC82" i="5"/>
  <c r="BC74" i="5"/>
  <c r="BC66" i="5"/>
  <c r="BC56" i="5" a="1"/>
  <c r="BC56" i="5" s="1"/>
  <c r="BC40" i="5" a="1"/>
  <c r="BC40" i="5" s="1"/>
  <c r="BC45" i="5" a="1"/>
  <c r="BC45" i="5" s="1"/>
  <c r="BC26" i="5" a="1"/>
  <c r="BC26" i="5" s="1"/>
  <c r="BC31" i="5" a="1"/>
  <c r="BC31" i="5" s="1"/>
  <c r="BC22" i="5" a="1"/>
  <c r="BC22" i="5" s="1"/>
  <c r="BC147" i="5"/>
  <c r="BC128" i="5"/>
  <c r="BC125" i="5"/>
  <c r="BC132" i="5"/>
  <c r="BC141" i="5"/>
  <c r="BC140" i="5"/>
  <c r="BC119" i="5"/>
  <c r="BC111" i="5"/>
  <c r="BC136" i="5"/>
  <c r="BC114" i="5"/>
  <c r="BC105" i="5"/>
  <c r="BC97" i="5"/>
  <c r="BC89" i="5"/>
  <c r="BC102" i="5"/>
  <c r="BC94" i="5"/>
  <c r="BC86" i="5"/>
  <c r="BC79" i="5"/>
  <c r="BC71" i="5"/>
  <c r="BC63" i="5"/>
  <c r="BC51" i="5" a="1"/>
  <c r="BC51" i="5" s="1"/>
  <c r="BC80" i="5"/>
  <c r="BC72" i="5"/>
  <c r="BC64" i="5"/>
  <c r="BC54" i="5" a="1"/>
  <c r="BC54" i="5" s="1"/>
  <c r="BC38" i="5" a="1"/>
  <c r="BC38" i="5" s="1"/>
  <c r="BC37" i="5" a="1"/>
  <c r="BC37" i="5" s="1"/>
  <c r="BC21" i="5" a="1"/>
  <c r="BC21" i="5" s="1"/>
  <c r="BC25" i="5" a="1"/>
  <c r="BC25" i="5" s="1"/>
  <c r="BC20" i="5" a="1"/>
  <c r="BC20" i="5" s="1"/>
  <c r="BB149" i="5"/>
  <c r="BB25" i="3" s="1"/>
  <c r="B62" i="2"/>
  <c r="C61" i="2"/>
  <c r="BB28" i="5"/>
  <c r="BB19" i="3" s="1"/>
  <c r="BB23" i="3" s="1"/>
  <c r="BB28" i="3" s="1"/>
  <c r="BB133" i="5"/>
  <c r="BB24" i="3" s="1"/>
  <c r="BO23" i="4"/>
  <c r="BO19" i="4"/>
  <c r="BO15" i="4"/>
  <c r="BO11" i="4"/>
  <c r="BO7" i="4"/>
  <c r="BO22" i="4"/>
  <c r="BO18" i="4"/>
  <c r="BO14" i="4"/>
  <c r="BO10" i="4"/>
  <c r="BO6" i="4"/>
  <c r="BO21" i="4"/>
  <c r="BO17" i="4"/>
  <c r="BO13" i="4"/>
  <c r="BO9" i="4"/>
  <c r="BO5" i="4"/>
  <c r="BO20" i="4"/>
  <c r="BO16" i="4"/>
  <c r="BO12" i="4"/>
  <c r="BO8" i="4"/>
  <c r="BO4" i="4"/>
  <c r="Z38" i="2" l="1"/>
  <c r="M38" i="2"/>
  <c r="AA38" i="2" s="1"/>
  <c r="L38" i="2"/>
  <c r="K39" i="2"/>
  <c r="U40" i="2"/>
  <c r="U41" i="2" s="1"/>
  <c r="U42" i="2" s="1"/>
  <c r="U43" i="2" s="1"/>
  <c r="U44" i="2" s="1"/>
  <c r="U45" i="2" s="1"/>
  <c r="U46" i="2" s="1"/>
  <c r="U47" i="2" s="1"/>
  <c r="U48" i="2" s="1"/>
  <c r="U49" i="2" s="1"/>
  <c r="U50" i="2" s="1"/>
  <c r="U51" i="2" s="1"/>
  <c r="U52" i="2" s="1"/>
  <c r="U53" i="2" s="1"/>
  <c r="U54" i="2" s="1"/>
  <c r="U55" i="2" s="1"/>
  <c r="U56" i="2" s="1"/>
  <c r="U57" i="2" s="1"/>
  <c r="U58" i="2" s="1"/>
  <c r="U59" i="2" s="1"/>
  <c r="U60" i="2" s="1"/>
  <c r="U61" i="2" s="1"/>
  <c r="U62" i="2" s="1"/>
  <c r="U63" i="2" s="1"/>
  <c r="U64" i="2" s="1"/>
  <c r="U65" i="2" s="1"/>
  <c r="U66" i="2" s="1"/>
  <c r="P38" i="2"/>
  <c r="BC28" i="5"/>
  <c r="BC19" i="3" s="1"/>
  <c r="BD126" i="5"/>
  <c r="BD129" i="5"/>
  <c r="BD130" i="5"/>
  <c r="BD144" i="5"/>
  <c r="BD141" i="5"/>
  <c r="BD120" i="5"/>
  <c r="BD112" i="5"/>
  <c r="BD137" i="5"/>
  <c r="BD115" i="5"/>
  <c r="BD107" i="5"/>
  <c r="BD99" i="5"/>
  <c r="BD91" i="5"/>
  <c r="BD102" i="5"/>
  <c r="BD94" i="5"/>
  <c r="BD86" i="5"/>
  <c r="BD82" i="5"/>
  <c r="BD74" i="5"/>
  <c r="BD66" i="5"/>
  <c r="BD56" i="5" a="1"/>
  <c r="BD56" i="5" s="1"/>
  <c r="BD85" i="5"/>
  <c r="BD77" i="5"/>
  <c r="BD69" i="5"/>
  <c r="BD61" i="5"/>
  <c r="BD49" i="5" a="1"/>
  <c r="BD49" i="5" s="1"/>
  <c r="BD35" i="5" a="1"/>
  <c r="BD35" i="5" s="1"/>
  <c r="BD26" i="5" a="1"/>
  <c r="BD26" i="5" s="1"/>
  <c r="BD25" i="5" a="1"/>
  <c r="BD25" i="5" s="1"/>
  <c r="BD24" i="5" a="1"/>
  <c r="BD24" i="5" s="1"/>
  <c r="BQ3" i="4"/>
  <c r="BD147" i="5"/>
  <c r="BD128" i="5"/>
  <c r="BD131" i="5"/>
  <c r="BD125" i="5"/>
  <c r="BD142" i="5"/>
  <c r="BD143" i="5"/>
  <c r="BD118" i="5"/>
  <c r="BD110" i="5"/>
  <c r="BD135" i="5"/>
  <c r="BD113" i="5"/>
  <c r="BD105" i="5"/>
  <c r="BD97" i="5"/>
  <c r="BD108" i="5"/>
  <c r="BD100" i="5"/>
  <c r="BD92" i="5"/>
  <c r="BD87" i="5"/>
  <c r="BD80" i="5"/>
  <c r="BD72" i="5"/>
  <c r="BD64" i="5"/>
  <c r="BD54" i="5" a="1"/>
  <c r="BD54" i="5" s="1"/>
  <c r="BD83" i="5"/>
  <c r="BD75" i="5"/>
  <c r="BD67" i="5"/>
  <c r="BD55" i="5" a="1"/>
  <c r="BD55" i="5" s="1"/>
  <c r="BD48" i="5" a="1"/>
  <c r="BD48" i="5" s="1"/>
  <c r="BD40" i="5" a="1"/>
  <c r="BD40" i="5" s="1"/>
  <c r="BE3" i="5"/>
  <c r="BD22" i="5" a="1"/>
  <c r="BD22" i="5" s="1"/>
  <c r="BD23" i="5" a="1"/>
  <c r="BD23" i="5" s="1"/>
  <c r="BD122" i="5"/>
  <c r="BD121" i="5"/>
  <c r="BD132" i="5"/>
  <c r="BD140" i="5"/>
  <c r="BD138" i="5"/>
  <c r="BD116" i="5"/>
  <c r="BD145" i="5"/>
  <c r="BD119" i="5"/>
  <c r="BD111" i="5"/>
  <c r="BD103" i="5"/>
  <c r="BD95" i="5"/>
  <c r="BD106" i="5"/>
  <c r="BD98" i="5"/>
  <c r="BD90" i="5"/>
  <c r="BD89" i="5"/>
  <c r="BD78" i="5"/>
  <c r="BD70" i="5"/>
  <c r="BD62" i="5"/>
  <c r="BD52" i="5" a="1"/>
  <c r="BD52" i="5" s="1"/>
  <c r="BD81" i="5"/>
  <c r="BD73" i="5"/>
  <c r="BD65" i="5"/>
  <c r="BD53" i="5" a="1"/>
  <c r="BD53" i="5" s="1"/>
  <c r="BD45" i="5" a="1"/>
  <c r="BD45" i="5" s="1"/>
  <c r="BD38" i="5" a="1"/>
  <c r="BD38" i="5" s="1"/>
  <c r="BD34" i="5" a="1"/>
  <c r="BD34" i="5" s="1"/>
  <c r="BD20" i="5" a="1"/>
  <c r="BD20" i="5" s="1"/>
  <c r="BD21" i="5" a="1"/>
  <c r="BD21" i="5" s="1"/>
  <c r="BD124" i="5"/>
  <c r="BD123" i="5"/>
  <c r="BD127" i="5"/>
  <c r="BD146" i="5"/>
  <c r="BD148" i="5"/>
  <c r="BD136" i="5"/>
  <c r="BD114" i="5"/>
  <c r="BD139" i="5"/>
  <c r="BD117" i="5"/>
  <c r="BD109" i="5"/>
  <c r="BD101" i="5"/>
  <c r="BD93" i="5"/>
  <c r="BD104" i="5"/>
  <c r="BD96" i="5"/>
  <c r="BD88" i="5"/>
  <c r="BD84" i="5"/>
  <c r="BD76" i="5"/>
  <c r="BD68" i="5"/>
  <c r="BD60" i="5"/>
  <c r="BD50" i="5" a="1"/>
  <c r="BD50" i="5" s="1"/>
  <c r="BD79" i="5"/>
  <c r="BD71" i="5"/>
  <c r="BD63" i="5"/>
  <c r="BD51" i="5" a="1"/>
  <c r="BD51" i="5" s="1"/>
  <c r="BD37" i="5" a="1"/>
  <c r="BD37" i="5" s="1"/>
  <c r="BD36" i="5" a="1"/>
  <c r="BD36" i="5" s="1"/>
  <c r="BD31" i="5" a="1"/>
  <c r="BD31" i="5" s="1"/>
  <c r="BD30" i="5" a="1"/>
  <c r="BD30" i="5" s="1"/>
  <c r="BD3" i="3"/>
  <c r="BO34" i="4"/>
  <c r="C62" i="2"/>
  <c r="B63" i="2"/>
  <c r="M24" i="2"/>
  <c r="AA24" i="2" s="1"/>
  <c r="BC57" i="5"/>
  <c r="BC22" i="3" s="1"/>
  <c r="BA58" i="5"/>
  <c r="BA152" i="5" s="1"/>
  <c r="AE57" i="2" s="1"/>
  <c r="AB54" i="2" s="1"/>
  <c r="AX7" i="5" s="1"/>
  <c r="BB58" i="5"/>
  <c r="BB152" i="5" s="1"/>
  <c r="AE58" i="2" s="1"/>
  <c r="BP22" i="4"/>
  <c r="BP18" i="4"/>
  <c r="BP14" i="4"/>
  <c r="BP10" i="4"/>
  <c r="BP6" i="4"/>
  <c r="BP21" i="4"/>
  <c r="BP17" i="4"/>
  <c r="BP13" i="4"/>
  <c r="BP9" i="4"/>
  <c r="BP5" i="4"/>
  <c r="BP20" i="4"/>
  <c r="BP16" i="4"/>
  <c r="BP12" i="4"/>
  <c r="BP8" i="4"/>
  <c r="BP4" i="4"/>
  <c r="BP23" i="4"/>
  <c r="BP19" i="4"/>
  <c r="BP15" i="4"/>
  <c r="BP11" i="4"/>
  <c r="BP7" i="4"/>
  <c r="AW7" i="3"/>
  <c r="AW14" i="3" s="1"/>
  <c r="AW15" i="3" s="1"/>
  <c r="AW14" i="5"/>
  <c r="AW15" i="5" s="1"/>
  <c r="BC149" i="5"/>
  <c r="BC25" i="3" s="1"/>
  <c r="BC46" i="5"/>
  <c r="BC21" i="3" s="1"/>
  <c r="BC133" i="5"/>
  <c r="BC24" i="3" s="1"/>
  <c r="BC32" i="5"/>
  <c r="BC20" i="3" s="1"/>
  <c r="O22" i="2"/>
  <c r="R22" i="2"/>
  <c r="Q22" i="2"/>
  <c r="Z39" i="2" l="1"/>
  <c r="L39" i="2"/>
  <c r="M39" i="2"/>
  <c r="AA39" i="2" s="1"/>
  <c r="AX7" i="3"/>
  <c r="AX14" i="3" s="1"/>
  <c r="AX15" i="3" s="1"/>
  <c r="AX14" i="5"/>
  <c r="AX15" i="5" s="1"/>
  <c r="O38" i="2"/>
  <c r="R38" i="2"/>
  <c r="Q38" i="2"/>
  <c r="BD32" i="5"/>
  <c r="BD20" i="3" s="1"/>
  <c r="BD57" i="5"/>
  <c r="BD22" i="3" s="1"/>
  <c r="BD149" i="5"/>
  <c r="BD25" i="3" s="1"/>
  <c r="BD133" i="5"/>
  <c r="BD24" i="3" s="1"/>
  <c r="BD28" i="5"/>
  <c r="BD19" i="3" s="1"/>
  <c r="BQ22" i="4"/>
  <c r="BQ18" i="4"/>
  <c r="BQ14" i="4"/>
  <c r="BQ7" i="4"/>
  <c r="BQ10" i="4"/>
  <c r="BQ21" i="4"/>
  <c r="BQ17" i="4"/>
  <c r="BQ13" i="4"/>
  <c r="BQ5" i="4"/>
  <c r="BQ8" i="4"/>
  <c r="BQ20" i="4"/>
  <c r="BQ23" i="4"/>
  <c r="BQ19" i="4"/>
  <c r="BQ15" i="4"/>
  <c r="BQ9" i="4"/>
  <c r="BQ12" i="4"/>
  <c r="BQ16" i="4"/>
  <c r="BQ11" i="4"/>
  <c r="BQ4" i="4"/>
  <c r="BQ34" i="4" s="1"/>
  <c r="BQ6" i="4"/>
  <c r="Z25" i="2"/>
  <c r="L24" i="2"/>
  <c r="BD46" i="5"/>
  <c r="BD21" i="3" s="1"/>
  <c r="BE129" i="5"/>
  <c r="BE126" i="5"/>
  <c r="BE123" i="5"/>
  <c r="BE144" i="5"/>
  <c r="BE145" i="5"/>
  <c r="BE136" i="5"/>
  <c r="BE114" i="5"/>
  <c r="BE139" i="5"/>
  <c r="BE117" i="5"/>
  <c r="BE109" i="5"/>
  <c r="BE102" i="5"/>
  <c r="BE94" i="5"/>
  <c r="BE86" i="5"/>
  <c r="BE99" i="5"/>
  <c r="BE91" i="5"/>
  <c r="BE82" i="5"/>
  <c r="BE74" i="5"/>
  <c r="BE66" i="5"/>
  <c r="BE55" i="5" a="1"/>
  <c r="BE55" i="5" s="1"/>
  <c r="BE85" i="5"/>
  <c r="BE77" i="5"/>
  <c r="BE69" i="5"/>
  <c r="BE61" i="5"/>
  <c r="BE50" i="5" a="1"/>
  <c r="BE50" i="5" s="1"/>
  <c r="BE48" i="5" a="1"/>
  <c r="BE48" i="5" s="1"/>
  <c r="BE34" i="5" a="1"/>
  <c r="BE34" i="5" s="1"/>
  <c r="BE24" i="5" a="1"/>
  <c r="BE24" i="5" s="1"/>
  <c r="BE22" i="5" a="1"/>
  <c r="BE22" i="5" s="1"/>
  <c r="BR3" i="4"/>
  <c r="BE131" i="5"/>
  <c r="BE128" i="5"/>
  <c r="BE125" i="5"/>
  <c r="BE142" i="5"/>
  <c r="BE143" i="5"/>
  <c r="BE120" i="5"/>
  <c r="BE112" i="5"/>
  <c r="BE137" i="5"/>
  <c r="BE115" i="5"/>
  <c r="BE107" i="5"/>
  <c r="BE100" i="5"/>
  <c r="BE92" i="5"/>
  <c r="BE105" i="5"/>
  <c r="BE97" i="5"/>
  <c r="BE89" i="5"/>
  <c r="BE80" i="5"/>
  <c r="BE72" i="5"/>
  <c r="BE64" i="5"/>
  <c r="BE53" i="5" a="1"/>
  <c r="BE53" i="5" s="1"/>
  <c r="BE83" i="5"/>
  <c r="BE75" i="5"/>
  <c r="BE67" i="5"/>
  <c r="BE56" i="5" a="1"/>
  <c r="BE56" i="5" s="1"/>
  <c r="BE40" i="5" a="1"/>
  <c r="BE40" i="5" s="1"/>
  <c r="BE45" i="5" a="1"/>
  <c r="BE45" i="5" s="1"/>
  <c r="BE31" i="5" a="1"/>
  <c r="BE31" i="5" s="1"/>
  <c r="BE21" i="5" a="1"/>
  <c r="BE21" i="5" s="1"/>
  <c r="BE20" i="5" a="1"/>
  <c r="BE20" i="5" s="1"/>
  <c r="BE122" i="5"/>
  <c r="BE130" i="5"/>
  <c r="BE127" i="5"/>
  <c r="BE147" i="5"/>
  <c r="BE124" i="5"/>
  <c r="BE121" i="5"/>
  <c r="BE132" i="5"/>
  <c r="BE146" i="5"/>
  <c r="BE148" i="5"/>
  <c r="BE138" i="5"/>
  <c r="BE116" i="5"/>
  <c r="BE108" i="5"/>
  <c r="BE119" i="5"/>
  <c r="BE111" i="5"/>
  <c r="BE104" i="5"/>
  <c r="BE96" i="5"/>
  <c r="BE88" i="5"/>
  <c r="BE101" i="5"/>
  <c r="BE93" i="5"/>
  <c r="BE84" i="5"/>
  <c r="BE76" i="5"/>
  <c r="BE68" i="5"/>
  <c r="BE60" i="5"/>
  <c r="BE49" i="5" a="1"/>
  <c r="BE49" i="5" s="1"/>
  <c r="BE79" i="5"/>
  <c r="BE71" i="5"/>
  <c r="BE63" i="5"/>
  <c r="BE52" i="5" a="1"/>
  <c r="BE52" i="5" s="1"/>
  <c r="BE36" i="5" a="1"/>
  <c r="BE36" i="5" s="1"/>
  <c r="BE35" i="5" a="1"/>
  <c r="BE35" i="5" s="1"/>
  <c r="BE30" i="5" a="1"/>
  <c r="BE30" i="5" s="1"/>
  <c r="BE32" i="5" s="1"/>
  <c r="BE20" i="3" s="1"/>
  <c r="BE26" i="5" a="1"/>
  <c r="BE26" i="5" s="1"/>
  <c r="BE3" i="3"/>
  <c r="BE140" i="5"/>
  <c r="BE135" i="5"/>
  <c r="BE90" i="5"/>
  <c r="BE78" i="5"/>
  <c r="BE81" i="5"/>
  <c r="BE38" i="5" a="1"/>
  <c r="BE38" i="5" s="1"/>
  <c r="BF3" i="5"/>
  <c r="BE141" i="5"/>
  <c r="BE113" i="5"/>
  <c r="BE103" i="5"/>
  <c r="BE70" i="5"/>
  <c r="BE73" i="5"/>
  <c r="BE37" i="5" a="1"/>
  <c r="BE37" i="5" s="1"/>
  <c r="BE118" i="5"/>
  <c r="BE106" i="5"/>
  <c r="BE95" i="5"/>
  <c r="BE62" i="5"/>
  <c r="BE65" i="5"/>
  <c r="BE25" i="5" a="1"/>
  <c r="BE25" i="5" s="1"/>
  <c r="BE110" i="5"/>
  <c r="BE98" i="5"/>
  <c r="BE87" i="5"/>
  <c r="BE51" i="5" a="1"/>
  <c r="BE51" i="5" s="1"/>
  <c r="BE54" i="5" a="1"/>
  <c r="BE54" i="5" s="1"/>
  <c r="BE23" i="5" a="1"/>
  <c r="BE23" i="5" s="1"/>
  <c r="BE7" i="5"/>
  <c r="BC58" i="5"/>
  <c r="BC152" i="5" s="1"/>
  <c r="AE59" i="2" s="1"/>
  <c r="AB56" i="2" s="1"/>
  <c r="BP34" i="4"/>
  <c r="B64" i="2"/>
  <c r="C63" i="2"/>
  <c r="BC23" i="3"/>
  <c r="BC28" i="3" s="1"/>
  <c r="P23" i="2" l="1"/>
  <c r="AZ7" i="5"/>
  <c r="BF129" i="5"/>
  <c r="BF128" i="5"/>
  <c r="BF131" i="5"/>
  <c r="BF143" i="5"/>
  <c r="BF139" i="5"/>
  <c r="BF117" i="5"/>
  <c r="BF146" i="5"/>
  <c r="BF120" i="5"/>
  <c r="BF112" i="5"/>
  <c r="BF106" i="5"/>
  <c r="BF98" i="5"/>
  <c r="BF90" i="5"/>
  <c r="BF99" i="5"/>
  <c r="BF91" i="5"/>
  <c r="BF88" i="5"/>
  <c r="BF79" i="5"/>
  <c r="BF71" i="5"/>
  <c r="BF63" i="5"/>
  <c r="BF52" i="5" a="1"/>
  <c r="BF52" i="5" s="1"/>
  <c r="BF82" i="5"/>
  <c r="BF74" i="5"/>
  <c r="BF66" i="5"/>
  <c r="BF55" i="5" a="1"/>
  <c r="BF55" i="5" s="1"/>
  <c r="BF48" i="5" a="1"/>
  <c r="BF48" i="5" s="1"/>
  <c r="BF40" i="5" a="1"/>
  <c r="BF40" i="5" s="1"/>
  <c r="BF24" i="5" a="1"/>
  <c r="BF24" i="5" s="1"/>
  <c r="BF26" i="5" a="1"/>
  <c r="BF26" i="5" s="1"/>
  <c r="BF25" i="5" a="1"/>
  <c r="BF25" i="5" s="1"/>
  <c r="BF147" i="5"/>
  <c r="BF122" i="5"/>
  <c r="BF130" i="5"/>
  <c r="BF132" i="5"/>
  <c r="BF141" i="5"/>
  <c r="BF137" i="5"/>
  <c r="BF115" i="5"/>
  <c r="BF140" i="5"/>
  <c r="BF118" i="5"/>
  <c r="BF110" i="5"/>
  <c r="BF104" i="5"/>
  <c r="BF96" i="5"/>
  <c r="BF105" i="5"/>
  <c r="BF127" i="5"/>
  <c r="BF126" i="5"/>
  <c r="BF123" i="5"/>
  <c r="BF145" i="5"/>
  <c r="BF144" i="5"/>
  <c r="BF119" i="5"/>
  <c r="BF111" i="5"/>
  <c r="BF136" i="5"/>
  <c r="BF114" i="5"/>
  <c r="BF108" i="5"/>
  <c r="BF100" i="5"/>
  <c r="BF92" i="5"/>
  <c r="BF101" i="5"/>
  <c r="BF93" i="5"/>
  <c r="BF107" i="5"/>
  <c r="BF81" i="5"/>
  <c r="BF73" i="5"/>
  <c r="BF65" i="5"/>
  <c r="BF54" i="5" a="1"/>
  <c r="BF54" i="5" s="1"/>
  <c r="BF84" i="5"/>
  <c r="BF76" i="5"/>
  <c r="BF68" i="5"/>
  <c r="BF60" i="5"/>
  <c r="BF49" i="5" a="1"/>
  <c r="BF49" i="5" s="1"/>
  <c r="BF35" i="5" a="1"/>
  <c r="BF35" i="5" s="1"/>
  <c r="BF30" i="5" a="1"/>
  <c r="BF30" i="5" s="1"/>
  <c r="BF20" i="5" a="1"/>
  <c r="BF20" i="5" s="1"/>
  <c r="BF31" i="5" a="1"/>
  <c r="BF31" i="5" s="1"/>
  <c r="BF3" i="3"/>
  <c r="BF148" i="5"/>
  <c r="BF138" i="5"/>
  <c r="BF94" i="5"/>
  <c r="BF89" i="5"/>
  <c r="BF77" i="5"/>
  <c r="BF61" i="5"/>
  <c r="BF80" i="5"/>
  <c r="BF64" i="5"/>
  <c r="BF45" i="5" a="1"/>
  <c r="BF45" i="5" s="1"/>
  <c r="BF23" i="5" a="1"/>
  <c r="BF23" i="5" s="1"/>
  <c r="BF21" i="5" a="1"/>
  <c r="BF21" i="5" s="1"/>
  <c r="BF125" i="5"/>
  <c r="BF142" i="5"/>
  <c r="BF116" i="5"/>
  <c r="BF103" i="5"/>
  <c r="BF87" i="5"/>
  <c r="BF75" i="5"/>
  <c r="BF56" i="5" a="1"/>
  <c r="BF56" i="5" s="1"/>
  <c r="BF78" i="5"/>
  <c r="BF62" i="5"/>
  <c r="BF37" i="5" a="1"/>
  <c r="BF37" i="5" s="1"/>
  <c r="BF22" i="5" a="1"/>
  <c r="BF22" i="5" s="1"/>
  <c r="BS3" i="4"/>
  <c r="BF124" i="5"/>
  <c r="BF135" i="5"/>
  <c r="BF149" i="5" s="1"/>
  <c r="BF25" i="3" s="1"/>
  <c r="BF109" i="5"/>
  <c r="BF97" i="5"/>
  <c r="BF85" i="5"/>
  <c r="BF69" i="5"/>
  <c r="BF50" i="5" a="1"/>
  <c r="BF50" i="5" s="1"/>
  <c r="BF72" i="5"/>
  <c r="BF53" i="5" a="1"/>
  <c r="BF53" i="5" s="1"/>
  <c r="BF38" i="5" a="1"/>
  <c r="BF38" i="5" s="1"/>
  <c r="BG3" i="5"/>
  <c r="BF121" i="5"/>
  <c r="BF113" i="5"/>
  <c r="BF102" i="5"/>
  <c r="BF95" i="5"/>
  <c r="BF83" i="5"/>
  <c r="BF67" i="5"/>
  <c r="BF86" i="5"/>
  <c r="BF70" i="5"/>
  <c r="BF51" i="5" a="1"/>
  <c r="BF51" i="5" s="1"/>
  <c r="BF36" i="5" a="1"/>
  <c r="BF36" i="5" s="1"/>
  <c r="BF34" i="5" a="1"/>
  <c r="BF34" i="5" s="1"/>
  <c r="BE28" i="5"/>
  <c r="BE19" i="3" s="1"/>
  <c r="BR20" i="4"/>
  <c r="BR16" i="4"/>
  <c r="BR21" i="4"/>
  <c r="BR17" i="4"/>
  <c r="BR13" i="4"/>
  <c r="BR9" i="4"/>
  <c r="BR5" i="4"/>
  <c r="BR23" i="4"/>
  <c r="BR15" i="4"/>
  <c r="BR10" i="4"/>
  <c r="BR4" i="4"/>
  <c r="BR22" i="4"/>
  <c r="BR14" i="4"/>
  <c r="BR8" i="4"/>
  <c r="BR19" i="4"/>
  <c r="BR12" i="4"/>
  <c r="BR7" i="4"/>
  <c r="BR18" i="4"/>
  <c r="BR11" i="4"/>
  <c r="BR6" i="4"/>
  <c r="BE57" i="5"/>
  <c r="BE22" i="3" s="1"/>
  <c r="B65" i="2"/>
  <c r="C64" i="2"/>
  <c r="BE7" i="3"/>
  <c r="BE14" i="3" s="1"/>
  <c r="BE15" i="3" s="1"/>
  <c r="BE14" i="5"/>
  <c r="BE15" i="5" s="1"/>
  <c r="BE149" i="5"/>
  <c r="BE25" i="3" s="1"/>
  <c r="BE133" i="5"/>
  <c r="BE24" i="3" s="1"/>
  <c r="BD58" i="5"/>
  <c r="BD152" i="5" s="1"/>
  <c r="AE60" i="2" s="1"/>
  <c r="AB57" i="2" s="1"/>
  <c r="BA7" i="5" s="1"/>
  <c r="BE46" i="5"/>
  <c r="BE21" i="3" s="1"/>
  <c r="BD23" i="3"/>
  <c r="BD28" i="3" s="1"/>
  <c r="BA14" i="5" l="1"/>
  <c r="BA15" i="5" s="1"/>
  <c r="BA7" i="3"/>
  <c r="BA14" i="3" s="1"/>
  <c r="BA15" i="3" s="1"/>
  <c r="BF32" i="5"/>
  <c r="BF20" i="3" s="1"/>
  <c r="BE58" i="5"/>
  <c r="BE152" i="5" s="1"/>
  <c r="AE61" i="2" s="1"/>
  <c r="BR34" i="4"/>
  <c r="BE23" i="3"/>
  <c r="BE28" i="3" s="1"/>
  <c r="BS22" i="4"/>
  <c r="BS18" i="4"/>
  <c r="BS14" i="4"/>
  <c r="BS10" i="4"/>
  <c r="BS6" i="4"/>
  <c r="BS21" i="4"/>
  <c r="BS17" i="4"/>
  <c r="BS13" i="4"/>
  <c r="BS9" i="4"/>
  <c r="BS5" i="4"/>
  <c r="BS20" i="4"/>
  <c r="BS16" i="4"/>
  <c r="BS12" i="4"/>
  <c r="BS8" i="4"/>
  <c r="BS4" i="4"/>
  <c r="BS23" i="4"/>
  <c r="BS19" i="4"/>
  <c r="BS15" i="4"/>
  <c r="BS11" i="4"/>
  <c r="BS7" i="4"/>
  <c r="B66" i="2"/>
  <c r="C65" i="2"/>
  <c r="M25" i="2"/>
  <c r="AA25" i="2" s="1"/>
  <c r="BG121" i="5"/>
  <c r="BG129" i="5"/>
  <c r="BG126" i="5"/>
  <c r="BG145" i="5"/>
  <c r="BG144" i="5"/>
  <c r="BG137" i="5"/>
  <c r="BG115" i="5"/>
  <c r="BG107" i="5"/>
  <c r="BG118" i="5"/>
  <c r="BG110" i="5"/>
  <c r="BG101" i="5"/>
  <c r="BG93" i="5"/>
  <c r="BG106" i="5"/>
  <c r="BG98" i="5"/>
  <c r="BG90" i="5"/>
  <c r="BG83" i="5"/>
  <c r="BG75" i="5"/>
  <c r="BG67" i="5"/>
  <c r="BG55" i="5" a="1"/>
  <c r="BG55" i="5" s="1"/>
  <c r="BG84" i="5"/>
  <c r="BG76" i="5"/>
  <c r="BG68" i="5"/>
  <c r="BG60" i="5"/>
  <c r="BG50" i="5" a="1"/>
  <c r="BG50" i="5" s="1"/>
  <c r="BG48" i="5" a="1"/>
  <c r="BG48" i="5" s="1"/>
  <c r="BG23" i="5" a="1"/>
  <c r="BG23" i="5" s="1"/>
  <c r="BG34" i="5" a="1"/>
  <c r="BG34" i="5" s="1"/>
  <c r="BG24" i="5" a="1"/>
  <c r="BG24" i="5" s="1"/>
  <c r="BG3" i="3"/>
  <c r="BG123" i="5"/>
  <c r="BG131" i="5"/>
  <c r="BG128" i="5"/>
  <c r="BG143" i="5"/>
  <c r="BG142" i="5"/>
  <c r="BG135" i="5"/>
  <c r="BG113" i="5"/>
  <c r="BG138" i="5"/>
  <c r="BG116" i="5"/>
  <c r="BG108" i="5"/>
  <c r="BG99" i="5"/>
  <c r="BG91" i="5"/>
  <c r="BG104" i="5"/>
  <c r="BG96" i="5"/>
  <c r="BG88" i="5"/>
  <c r="BG81" i="5"/>
  <c r="BG73" i="5"/>
  <c r="BG65" i="5"/>
  <c r="BG53" i="5" a="1"/>
  <c r="BG53" i="5" s="1"/>
  <c r="BG82" i="5"/>
  <c r="BG74" i="5"/>
  <c r="BG66" i="5"/>
  <c r="BG56" i="5" a="1"/>
  <c r="BG56" i="5" s="1"/>
  <c r="BG40" i="5" a="1"/>
  <c r="BG40" i="5" s="1"/>
  <c r="BG45" i="5" a="1"/>
  <c r="BG45" i="5" s="1"/>
  <c r="BG26" i="5" a="1"/>
  <c r="BG26" i="5" s="1"/>
  <c r="BG31" i="5" a="1"/>
  <c r="BG31" i="5" s="1"/>
  <c r="BG22" i="5" a="1"/>
  <c r="BG22" i="5" s="1"/>
  <c r="BG125" i="5"/>
  <c r="BG122" i="5"/>
  <c r="BG130" i="5"/>
  <c r="BG141" i="5"/>
  <c r="BG140" i="5"/>
  <c r="BG119" i="5"/>
  <c r="BG111" i="5"/>
  <c r="BG136" i="5"/>
  <c r="BG114" i="5"/>
  <c r="BG105" i="5"/>
  <c r="BG97" i="5"/>
  <c r="BG89" i="5"/>
  <c r="BG102" i="5"/>
  <c r="BG94" i="5"/>
  <c r="BG86" i="5"/>
  <c r="BG79" i="5"/>
  <c r="BG71" i="5"/>
  <c r="BG63" i="5"/>
  <c r="BG51" i="5" a="1"/>
  <c r="BG51" i="5" s="1"/>
  <c r="BG80" i="5"/>
  <c r="BG72" i="5"/>
  <c r="BG64" i="5"/>
  <c r="BG54" i="5" a="1"/>
  <c r="BG54" i="5" s="1"/>
  <c r="BG38" i="5" a="1"/>
  <c r="BG38" i="5" s="1"/>
  <c r="BG37" i="5" a="1"/>
  <c r="BG37" i="5" s="1"/>
  <c r="BG21" i="5" a="1"/>
  <c r="BG21" i="5" s="1"/>
  <c r="BG25" i="5" a="1"/>
  <c r="BG25" i="5" s="1"/>
  <c r="BG20" i="5" a="1"/>
  <c r="BG20" i="5" s="1"/>
  <c r="BG147" i="5"/>
  <c r="BG127" i="5"/>
  <c r="BG124" i="5"/>
  <c r="BG132" i="5"/>
  <c r="BG148" i="5"/>
  <c r="BG146" i="5"/>
  <c r="BG139" i="5"/>
  <c r="BG117" i="5"/>
  <c r="BG109" i="5"/>
  <c r="BG120" i="5"/>
  <c r="BG112" i="5"/>
  <c r="BG103" i="5"/>
  <c r="BG95" i="5"/>
  <c r="BG87" i="5"/>
  <c r="BG100" i="5"/>
  <c r="BG92" i="5"/>
  <c r="BG85" i="5"/>
  <c r="BG77" i="5"/>
  <c r="BG69" i="5"/>
  <c r="BG61" i="5"/>
  <c r="BG49" i="5" a="1"/>
  <c r="BG49" i="5" s="1"/>
  <c r="BG78" i="5"/>
  <c r="BG70" i="5"/>
  <c r="BG62" i="5"/>
  <c r="BG52" i="5" a="1"/>
  <c r="BG52" i="5" s="1"/>
  <c r="BG36" i="5" a="1"/>
  <c r="BG36" i="5" s="1"/>
  <c r="BG35" i="5" a="1"/>
  <c r="BG35" i="5" s="1"/>
  <c r="BH3" i="5"/>
  <c r="BG30" i="5" a="1"/>
  <c r="BG30" i="5" s="1"/>
  <c r="BT3" i="4"/>
  <c r="BF28" i="5"/>
  <c r="BF19" i="3" s="1"/>
  <c r="BF133" i="5"/>
  <c r="BF24" i="3" s="1"/>
  <c r="BF57" i="5"/>
  <c r="BF22" i="3" s="1"/>
  <c r="AZ14" i="5"/>
  <c r="AZ15" i="5" s="1"/>
  <c r="AZ7" i="3"/>
  <c r="AZ14" i="3" s="1"/>
  <c r="AZ15" i="3" s="1"/>
  <c r="BF46" i="5"/>
  <c r="BF21" i="3" s="1"/>
  <c r="R23" i="2"/>
  <c r="Q23" i="2"/>
  <c r="O23" i="2"/>
  <c r="BG32" i="5" l="1"/>
  <c r="BG20" i="3" s="1"/>
  <c r="BT20" i="4"/>
  <c r="BT16" i="4"/>
  <c r="BT12" i="4"/>
  <c r="BT8" i="4"/>
  <c r="BT4" i="4"/>
  <c r="BT23" i="4"/>
  <c r="BT19" i="4"/>
  <c r="BT15" i="4"/>
  <c r="BT11" i="4"/>
  <c r="BT7" i="4"/>
  <c r="BT22" i="4"/>
  <c r="BT18" i="4"/>
  <c r="BT14" i="4"/>
  <c r="BT10" i="4"/>
  <c r="BT6" i="4"/>
  <c r="BT21" i="4"/>
  <c r="BT17" i="4"/>
  <c r="BT13" i="4"/>
  <c r="BT9" i="4"/>
  <c r="BT5" i="4"/>
  <c r="BF58" i="5"/>
  <c r="BF152" i="5" s="1"/>
  <c r="AE62" i="2" s="1"/>
  <c r="AB59" i="2" s="1"/>
  <c r="C66" i="2"/>
  <c r="H10" i="2"/>
  <c r="H9" i="2"/>
  <c r="H8" i="2"/>
  <c r="H7" i="2"/>
  <c r="H11" i="2"/>
  <c r="H12" i="2"/>
  <c r="I10" i="2"/>
  <c r="I11" i="2"/>
  <c r="G10" i="2"/>
  <c r="G11" i="2"/>
  <c r="G7" i="2"/>
  <c r="I7" i="2"/>
  <c r="G8" i="2"/>
  <c r="G9" i="2"/>
  <c r="M26" i="2"/>
  <c r="AA26" i="2" s="1"/>
  <c r="Z27" i="2" s="1"/>
  <c r="L27" i="2" s="1"/>
  <c r="BF23" i="3"/>
  <c r="BF28" i="3" s="1"/>
  <c r="BH125" i="5"/>
  <c r="BH130" i="5"/>
  <c r="BH126" i="5"/>
  <c r="BH140" i="5"/>
  <c r="BH138" i="5"/>
  <c r="BH116" i="5"/>
  <c r="BH141" i="5"/>
  <c r="BH119" i="5"/>
  <c r="BH111" i="5"/>
  <c r="BH101" i="5"/>
  <c r="BH93" i="5"/>
  <c r="BH104" i="5"/>
  <c r="BH96" i="5"/>
  <c r="BH88" i="5"/>
  <c r="BH84" i="5"/>
  <c r="BH76" i="5"/>
  <c r="BH68" i="5"/>
  <c r="BH60" i="5"/>
  <c r="BH50" i="5" a="1"/>
  <c r="BH50" i="5" s="1"/>
  <c r="BH81" i="5"/>
  <c r="BH73" i="5"/>
  <c r="BH65" i="5"/>
  <c r="BH53" i="5" a="1"/>
  <c r="BH53" i="5" s="1"/>
  <c r="BH45" i="5" a="1"/>
  <c r="BH45" i="5" s="1"/>
  <c r="BH38" i="5" a="1"/>
  <c r="BH38" i="5" s="1"/>
  <c r="BH34" i="5" a="1"/>
  <c r="BH34" i="5" s="1"/>
  <c r="BH20" i="5" a="1"/>
  <c r="BH20" i="5" s="1"/>
  <c r="BH21" i="5" a="1"/>
  <c r="BH21" i="5" s="1"/>
  <c r="BH147" i="5"/>
  <c r="BH127" i="5"/>
  <c r="BH129" i="5"/>
  <c r="BH132" i="5"/>
  <c r="BH146" i="5"/>
  <c r="BH148" i="5"/>
  <c r="BH136" i="5"/>
  <c r="BH114" i="5"/>
  <c r="BH139" i="5"/>
  <c r="BH117" i="5"/>
  <c r="BH109" i="5"/>
  <c r="BH99" i="5"/>
  <c r="BH91" i="5"/>
  <c r="BH102" i="5"/>
  <c r="BH94" i="5"/>
  <c r="BH86" i="5"/>
  <c r="BH82" i="5"/>
  <c r="BH74" i="5"/>
  <c r="BH66" i="5"/>
  <c r="BH56" i="5" a="1"/>
  <c r="BH56" i="5" s="1"/>
  <c r="BH87" i="5"/>
  <c r="BH79" i="5"/>
  <c r="BH71" i="5"/>
  <c r="BH63" i="5"/>
  <c r="BH51" i="5" a="1"/>
  <c r="BH51" i="5" s="1"/>
  <c r="BH37" i="5" a="1"/>
  <c r="BH37" i="5" s="1"/>
  <c r="BH36" i="5" a="1"/>
  <c r="BH36" i="5" s="1"/>
  <c r="BH31" i="5" a="1"/>
  <c r="BH31" i="5" s="1"/>
  <c r="BH30" i="5" a="1"/>
  <c r="BH30" i="5" s="1"/>
  <c r="BH3" i="3"/>
  <c r="BH121" i="5"/>
  <c r="BH122" i="5"/>
  <c r="BH128" i="5"/>
  <c r="BH144" i="5"/>
  <c r="BH143" i="5"/>
  <c r="BH120" i="5"/>
  <c r="BH112" i="5"/>
  <c r="BH137" i="5"/>
  <c r="BH115" i="5"/>
  <c r="BH105" i="5"/>
  <c r="BH97" i="5"/>
  <c r="BH107" i="5"/>
  <c r="BH100" i="5"/>
  <c r="BH92" i="5"/>
  <c r="BH108" i="5"/>
  <c r="BH80" i="5"/>
  <c r="BH72" i="5"/>
  <c r="BH64" i="5"/>
  <c r="BH54" i="5" a="1"/>
  <c r="BH54" i="5" s="1"/>
  <c r="BH85" i="5"/>
  <c r="BH77" i="5"/>
  <c r="BH69" i="5"/>
  <c r="BH61" i="5"/>
  <c r="BH49" i="5" a="1"/>
  <c r="BH49" i="5" s="1"/>
  <c r="BH35" i="5" a="1"/>
  <c r="BH35" i="5" s="1"/>
  <c r="BH26" i="5" a="1"/>
  <c r="BH26" i="5" s="1"/>
  <c r="BH25" i="5" a="1"/>
  <c r="BH25" i="5" s="1"/>
  <c r="BH24" i="5" a="1"/>
  <c r="BH24" i="5" s="1"/>
  <c r="BU3" i="4"/>
  <c r="BH123" i="5"/>
  <c r="BH124" i="5"/>
  <c r="BH131" i="5"/>
  <c r="BH142" i="5"/>
  <c r="BH145" i="5"/>
  <c r="BH118" i="5"/>
  <c r="BH110" i="5"/>
  <c r="BH135" i="5"/>
  <c r="BH113" i="5"/>
  <c r="BH103" i="5"/>
  <c r="BH95" i="5"/>
  <c r="BH106" i="5"/>
  <c r="BH98" i="5"/>
  <c r="BH90" i="5"/>
  <c r="BH89" i="5"/>
  <c r="BH78" i="5"/>
  <c r="BH70" i="5"/>
  <c r="BH62" i="5"/>
  <c r="BH52" i="5" a="1"/>
  <c r="BH52" i="5" s="1"/>
  <c r="BH83" i="5"/>
  <c r="BH75" i="5"/>
  <c r="BH67" i="5"/>
  <c r="BH55" i="5" a="1"/>
  <c r="BH55" i="5" s="1"/>
  <c r="BH48" i="5" a="1"/>
  <c r="BH48" i="5" s="1"/>
  <c r="BH40" i="5" a="1"/>
  <c r="BH40" i="5" s="1"/>
  <c r="BI3" i="5"/>
  <c r="BH22" i="5" a="1"/>
  <c r="BH22" i="5" s="1"/>
  <c r="BH23" i="5" a="1"/>
  <c r="BH23" i="5" s="1"/>
  <c r="BH7" i="5"/>
  <c r="BG28" i="5"/>
  <c r="BG19" i="3" s="1"/>
  <c r="BG57" i="5"/>
  <c r="BG22" i="3" s="1"/>
  <c r="Z26" i="2"/>
  <c r="L26" i="2" s="1"/>
  <c r="L25" i="2"/>
  <c r="BS34" i="4"/>
  <c r="BG149" i="5"/>
  <c r="BG25" i="3" s="1"/>
  <c r="BG46" i="5"/>
  <c r="BG21" i="3" s="1"/>
  <c r="BG133" i="5"/>
  <c r="BG24" i="3" s="1"/>
  <c r="BH32" i="5" l="1"/>
  <c r="BH20" i="3" s="1"/>
  <c r="BH14" i="5"/>
  <c r="BH15" i="5" s="1"/>
  <c r="BH7" i="3"/>
  <c r="BG58" i="5"/>
  <c r="BG152" i="5" s="1"/>
  <c r="AE63" i="2" s="1"/>
  <c r="AB60" i="2" s="1"/>
  <c r="BD7" i="5" s="1"/>
  <c r="BG23" i="3"/>
  <c r="BG28" i="3" s="1"/>
  <c r="BI130" i="5"/>
  <c r="BI127" i="5"/>
  <c r="BI126" i="5"/>
  <c r="BI146" i="5"/>
  <c r="BI148" i="5"/>
  <c r="BI138" i="5"/>
  <c r="BI116" i="5"/>
  <c r="BI108" i="5"/>
  <c r="BI135" i="5"/>
  <c r="BI113" i="5"/>
  <c r="BI104" i="5"/>
  <c r="BI96" i="5"/>
  <c r="BI88" i="5"/>
  <c r="BI101" i="5"/>
  <c r="BI93" i="5"/>
  <c r="BI84" i="5"/>
  <c r="BI76" i="5"/>
  <c r="BI68" i="5"/>
  <c r="BI60" i="5"/>
  <c r="BI49" i="5" a="1"/>
  <c r="BI49" i="5" s="1"/>
  <c r="BI79" i="5"/>
  <c r="BI71" i="5"/>
  <c r="BI63" i="5"/>
  <c r="BI52" i="5" a="1"/>
  <c r="BI52" i="5" s="1"/>
  <c r="BI36" i="5" a="1"/>
  <c r="BI36" i="5" s="1"/>
  <c r="BI35" i="5" a="1"/>
  <c r="BI35" i="5" s="1"/>
  <c r="BI30" i="5" a="1"/>
  <c r="BI30" i="5" s="1"/>
  <c r="BI26" i="5" a="1"/>
  <c r="BI26" i="5" s="1"/>
  <c r="BI3" i="3"/>
  <c r="BI121" i="5"/>
  <c r="BI129" i="5"/>
  <c r="BI128" i="5"/>
  <c r="BI144" i="5"/>
  <c r="BI145" i="5"/>
  <c r="BI136" i="5"/>
  <c r="BI114" i="5"/>
  <c r="BI106" i="5"/>
  <c r="BI119" i="5"/>
  <c r="BI111" i="5"/>
  <c r="BI102" i="5"/>
  <c r="BI94" i="5"/>
  <c r="BI86" i="5"/>
  <c r="BI99" i="5"/>
  <c r="BI91" i="5"/>
  <c r="BI82" i="5"/>
  <c r="BI74" i="5"/>
  <c r="BI66" i="5"/>
  <c r="BI55" i="5" a="1"/>
  <c r="BI55" i="5" s="1"/>
  <c r="BI85" i="5"/>
  <c r="BI77" i="5"/>
  <c r="BI69" i="5"/>
  <c r="BI61" i="5"/>
  <c r="BI50" i="5" a="1"/>
  <c r="BI50" i="5" s="1"/>
  <c r="BI48" i="5" a="1"/>
  <c r="BI48" i="5" s="1"/>
  <c r="BI34" i="5" a="1"/>
  <c r="BI34" i="5" s="1"/>
  <c r="BI24" i="5" a="1"/>
  <c r="BI24" i="5" s="1"/>
  <c r="BI22" i="5" a="1"/>
  <c r="BI22" i="5" s="1"/>
  <c r="BV3" i="4"/>
  <c r="BI123" i="5"/>
  <c r="BI131" i="5"/>
  <c r="BI124" i="5"/>
  <c r="BI142" i="5"/>
  <c r="BI143" i="5"/>
  <c r="BI120" i="5"/>
  <c r="BI112" i="5"/>
  <c r="BI139" i="5"/>
  <c r="BI117" i="5"/>
  <c r="BI109" i="5"/>
  <c r="BI100" i="5"/>
  <c r="BI92" i="5"/>
  <c r="BI105" i="5"/>
  <c r="BI97" i="5"/>
  <c r="BI89" i="5"/>
  <c r="BI80" i="5"/>
  <c r="BI72" i="5"/>
  <c r="BI64" i="5"/>
  <c r="BI53" i="5" a="1"/>
  <c r="BI53" i="5" s="1"/>
  <c r="BI83" i="5"/>
  <c r="BI75" i="5"/>
  <c r="BI67" i="5"/>
  <c r="BI56" i="5" a="1"/>
  <c r="BI56" i="5" s="1"/>
  <c r="BI40" i="5" a="1"/>
  <c r="BI40" i="5" s="1"/>
  <c r="BI45" i="5" a="1"/>
  <c r="BI45" i="5" s="1"/>
  <c r="BI31" i="5" a="1"/>
  <c r="BI31" i="5" s="1"/>
  <c r="BI21" i="5" a="1"/>
  <c r="BI21" i="5" s="1"/>
  <c r="BI20" i="5" a="1"/>
  <c r="BI20" i="5" s="1"/>
  <c r="BI147" i="5"/>
  <c r="BI125" i="5"/>
  <c r="BI122" i="5"/>
  <c r="BI132" i="5"/>
  <c r="BI140" i="5"/>
  <c r="BI141" i="5"/>
  <c r="BI118" i="5"/>
  <c r="BI110" i="5"/>
  <c r="BI137" i="5"/>
  <c r="BI115" i="5"/>
  <c r="BI107" i="5"/>
  <c r="BI98" i="5"/>
  <c r="BI90" i="5"/>
  <c r="BI103" i="5"/>
  <c r="BI95" i="5"/>
  <c r="BI87" i="5"/>
  <c r="BI78" i="5"/>
  <c r="BI70" i="5"/>
  <c r="BI62" i="5"/>
  <c r="BI51" i="5" a="1"/>
  <c r="BI51" i="5" s="1"/>
  <c r="BI81" i="5"/>
  <c r="BI73" i="5"/>
  <c r="BI65" i="5"/>
  <c r="BI54" i="5" a="1"/>
  <c r="BI54" i="5" s="1"/>
  <c r="BI38" i="5" a="1"/>
  <c r="BI38" i="5" s="1"/>
  <c r="BI37" i="5" a="1"/>
  <c r="BI37" i="5" s="1"/>
  <c r="BI25" i="5" a="1"/>
  <c r="BI25" i="5" s="1"/>
  <c r="BI23" i="5" a="1"/>
  <c r="BI23" i="5" s="1"/>
  <c r="BJ3" i="5"/>
  <c r="BH57" i="5"/>
  <c r="BH22" i="3" s="1"/>
  <c r="BH149" i="5"/>
  <c r="BH25" i="3" s="1"/>
  <c r="BU23" i="4"/>
  <c r="BU19" i="4"/>
  <c r="BU15" i="4"/>
  <c r="BU8" i="4"/>
  <c r="BU13" i="4"/>
  <c r="BU22" i="4"/>
  <c r="BU18" i="4"/>
  <c r="BU14" i="4"/>
  <c r="BU6" i="4"/>
  <c r="BU11" i="4"/>
  <c r="BU21" i="4"/>
  <c r="BU17" i="4"/>
  <c r="BU12" i="4"/>
  <c r="BU5" i="4"/>
  <c r="BU9" i="4"/>
  <c r="BU20" i="4"/>
  <c r="BU16" i="4"/>
  <c r="BU10" i="4"/>
  <c r="BU4" i="4"/>
  <c r="BU7" i="4"/>
  <c r="BH28" i="5"/>
  <c r="BH19" i="3" s="1"/>
  <c r="BH46" i="5"/>
  <c r="BH21" i="3" s="1"/>
  <c r="BH133" i="5"/>
  <c r="BH24" i="3" s="1"/>
  <c r="P24" i="2"/>
  <c r="BC7" i="5"/>
  <c r="BT34" i="4"/>
  <c r="BD7" i="3" l="1"/>
  <c r="BD14" i="5"/>
  <c r="BD15" i="5" s="1"/>
  <c r="BH58" i="5"/>
  <c r="BH152" i="5" s="1"/>
  <c r="AE64" i="2" s="1"/>
  <c r="BH23" i="3"/>
  <c r="BH28" i="3" s="1"/>
  <c r="BC7" i="3"/>
  <c r="BC14" i="3" s="1"/>
  <c r="BC15" i="3" s="1"/>
  <c r="BC14" i="5"/>
  <c r="BC15" i="5" s="1"/>
  <c r="BU34" i="4"/>
  <c r="BJ121" i="5"/>
  <c r="BK121" i="5" s="1"/>
  <c r="BJ129" i="5"/>
  <c r="BK129" i="5" s="1"/>
  <c r="BJ130" i="5"/>
  <c r="BK130" i="5" s="1"/>
  <c r="BJ143" i="5"/>
  <c r="BK143" i="5" s="1"/>
  <c r="BJ139" i="5"/>
  <c r="BK139" i="5" s="1"/>
  <c r="BJ117" i="5"/>
  <c r="BK117" i="5" s="1"/>
  <c r="BJ140" i="5"/>
  <c r="BK140" i="5" s="1"/>
  <c r="BJ120" i="5"/>
  <c r="BK120" i="5" s="1"/>
  <c r="BJ112" i="5"/>
  <c r="BK112" i="5" s="1"/>
  <c r="BJ100" i="5"/>
  <c r="BK100" i="5" s="1"/>
  <c r="BJ92" i="5"/>
  <c r="BK92" i="5" s="1"/>
  <c r="BJ108" i="5"/>
  <c r="BK108" i="5" s="1"/>
  <c r="BJ99" i="5"/>
  <c r="BK99" i="5" s="1"/>
  <c r="BJ91" i="5"/>
  <c r="BK91" i="5" s="1"/>
  <c r="BJ85" i="5"/>
  <c r="BK85" i="5" s="1"/>
  <c r="BJ77" i="5"/>
  <c r="BK77" i="5" s="1"/>
  <c r="BJ69" i="5"/>
  <c r="BK69" i="5" s="1"/>
  <c r="BJ61" i="5"/>
  <c r="BK61" i="5" s="1"/>
  <c r="BJ50" i="5" a="1"/>
  <c r="BJ50" i="5" s="1"/>
  <c r="BK50" i="5" s="1"/>
  <c r="BJ82" i="5"/>
  <c r="BK82" i="5" s="1"/>
  <c r="BJ74" i="5"/>
  <c r="BK74" i="5" s="1"/>
  <c r="BJ66" i="5"/>
  <c r="BK66" i="5" s="1"/>
  <c r="BJ55" i="5" a="1"/>
  <c r="BJ55" i="5" s="1"/>
  <c r="BK55" i="5" s="1"/>
  <c r="BJ48" i="5" a="1"/>
  <c r="BJ48" i="5" s="1"/>
  <c r="BJ35" i="5" a="1"/>
  <c r="BJ35" i="5" s="1"/>
  <c r="BK35" i="5" s="1"/>
  <c r="BJ30" i="5" a="1"/>
  <c r="BJ30" i="5" s="1"/>
  <c r="BJ26" i="5" a="1"/>
  <c r="BJ26" i="5" s="1"/>
  <c r="BK26" i="5" s="1"/>
  <c r="BJ25" i="5" a="1"/>
  <c r="BJ25" i="5" s="1"/>
  <c r="BK25" i="5" s="1"/>
  <c r="BJ147" i="5"/>
  <c r="BK147" i="5" s="1"/>
  <c r="BJ123" i="5"/>
  <c r="BK123" i="5" s="1"/>
  <c r="BJ131" i="5"/>
  <c r="BK131" i="5" s="1"/>
  <c r="BJ132" i="5"/>
  <c r="BK132" i="5" s="1"/>
  <c r="BJ141" i="5"/>
  <c r="BK141" i="5" s="1"/>
  <c r="BJ137" i="5"/>
  <c r="BK137" i="5" s="1"/>
  <c r="BJ115" i="5"/>
  <c r="BK115" i="5" s="1"/>
  <c r="BJ142" i="5"/>
  <c r="BK142" i="5" s="1"/>
  <c r="BJ118" i="5"/>
  <c r="BK118" i="5" s="1"/>
  <c r="BJ110" i="5"/>
  <c r="BK110" i="5" s="1"/>
  <c r="BJ98" i="5"/>
  <c r="BK98" i="5" s="1"/>
  <c r="BJ90" i="5"/>
  <c r="BK90" i="5" s="1"/>
  <c r="BJ105" i="5"/>
  <c r="BK105" i="5" s="1"/>
  <c r="BJ97" i="5"/>
  <c r="BK97" i="5" s="1"/>
  <c r="BJ89" i="5"/>
  <c r="BK89" i="5" s="1"/>
  <c r="BJ83" i="5"/>
  <c r="BK83" i="5" s="1"/>
  <c r="BJ75" i="5"/>
  <c r="BK75" i="5" s="1"/>
  <c r="BJ67" i="5"/>
  <c r="BK67" i="5" s="1"/>
  <c r="BJ56" i="5" a="1"/>
  <c r="BJ56" i="5" s="1"/>
  <c r="BK56" i="5" s="1"/>
  <c r="BJ86" i="5"/>
  <c r="BK86" i="5" s="1"/>
  <c r="BJ80" i="5"/>
  <c r="BK80" i="5" s="1"/>
  <c r="BJ72" i="5"/>
  <c r="BK72" i="5" s="1"/>
  <c r="BJ64" i="5"/>
  <c r="BK64" i="5" s="1"/>
  <c r="BJ53" i="5" a="1"/>
  <c r="BJ53" i="5" s="1"/>
  <c r="BK53" i="5" s="1"/>
  <c r="BJ45" i="5" a="1"/>
  <c r="BJ45" i="5" s="1"/>
  <c r="BK45" i="5" s="1"/>
  <c r="BJ40" i="5" a="1"/>
  <c r="BJ40" i="5" s="1"/>
  <c r="BK40" i="5" s="1"/>
  <c r="BJ24" i="5" a="1"/>
  <c r="BJ24" i="5" s="1"/>
  <c r="BK24" i="5" s="1"/>
  <c r="BJ22" i="5" a="1"/>
  <c r="BJ22" i="5" s="1"/>
  <c r="BK22" i="5" s="1"/>
  <c r="BJ21" i="5" a="1"/>
  <c r="BJ21" i="5" s="1"/>
  <c r="BK21" i="5" s="1"/>
  <c r="BJ126" i="5"/>
  <c r="BK126" i="5" s="1"/>
  <c r="BJ125" i="5"/>
  <c r="BK125" i="5" s="1"/>
  <c r="BJ122" i="5"/>
  <c r="BK122" i="5" s="1"/>
  <c r="BJ148" i="5"/>
  <c r="BK148" i="5" s="1"/>
  <c r="BJ144" i="5"/>
  <c r="BK144" i="5" s="1"/>
  <c r="BJ135" i="5"/>
  <c r="BJ113" i="5"/>
  <c r="BK113" i="5" s="1"/>
  <c r="BJ138" i="5"/>
  <c r="BK138" i="5" s="1"/>
  <c r="BJ116" i="5"/>
  <c r="BK116" i="5" s="1"/>
  <c r="BJ104" i="5"/>
  <c r="BK104" i="5" s="1"/>
  <c r="BJ96" i="5"/>
  <c r="BK96" i="5" s="1"/>
  <c r="BJ107" i="5"/>
  <c r="BK107" i="5" s="1"/>
  <c r="BJ103" i="5"/>
  <c r="BK103" i="5" s="1"/>
  <c r="BJ95" i="5"/>
  <c r="BK95" i="5" s="1"/>
  <c r="BJ87" i="5"/>
  <c r="BK87" i="5" s="1"/>
  <c r="BJ81" i="5"/>
  <c r="BK81" i="5" s="1"/>
  <c r="BJ73" i="5"/>
  <c r="BK73" i="5" s="1"/>
  <c r="BJ65" i="5"/>
  <c r="BK65" i="5" s="1"/>
  <c r="BJ54" i="5" a="1"/>
  <c r="BJ54" i="5" s="1"/>
  <c r="BK54" i="5" s="1"/>
  <c r="BJ88" i="5"/>
  <c r="BK88" i="5" s="1"/>
  <c r="BJ78" i="5"/>
  <c r="BK78" i="5" s="1"/>
  <c r="BJ70" i="5"/>
  <c r="BK70" i="5" s="1"/>
  <c r="BJ62" i="5"/>
  <c r="BK62" i="5" s="1"/>
  <c r="BJ51" i="5" a="1"/>
  <c r="BJ51" i="5" s="1"/>
  <c r="BK51" i="5" s="1"/>
  <c r="BJ38" i="5" a="1"/>
  <c r="BJ38" i="5" s="1"/>
  <c r="BK38" i="5" s="1"/>
  <c r="BJ23" i="5" a="1"/>
  <c r="BJ23" i="5" s="1"/>
  <c r="BK23" i="5" s="1"/>
  <c r="BJ34" i="5" a="1"/>
  <c r="BJ34" i="5" s="1"/>
  <c r="BW3" i="4"/>
  <c r="BJ128" i="5"/>
  <c r="BK128" i="5" s="1"/>
  <c r="BJ127" i="5"/>
  <c r="BK127" i="5" s="1"/>
  <c r="BJ124" i="5"/>
  <c r="BK124" i="5" s="1"/>
  <c r="BJ145" i="5"/>
  <c r="BK145" i="5" s="1"/>
  <c r="BJ146" i="5"/>
  <c r="BK146" i="5" s="1"/>
  <c r="BJ119" i="5"/>
  <c r="BK119" i="5" s="1"/>
  <c r="BJ111" i="5"/>
  <c r="BK111" i="5" s="1"/>
  <c r="BJ136" i="5"/>
  <c r="BK136" i="5" s="1"/>
  <c r="BJ114" i="5"/>
  <c r="BK114" i="5" s="1"/>
  <c r="BJ102" i="5"/>
  <c r="BK102" i="5" s="1"/>
  <c r="BJ94" i="5"/>
  <c r="BK94" i="5" s="1"/>
  <c r="BJ106" i="5"/>
  <c r="BK106" i="5" s="1"/>
  <c r="BJ101" i="5"/>
  <c r="BK101" i="5" s="1"/>
  <c r="BJ93" i="5"/>
  <c r="BK93" i="5" s="1"/>
  <c r="BJ109" i="5"/>
  <c r="BK109" i="5" s="1"/>
  <c r="BJ79" i="5"/>
  <c r="BK79" i="5" s="1"/>
  <c r="BJ71" i="5"/>
  <c r="BK71" i="5" s="1"/>
  <c r="BJ63" i="5"/>
  <c r="BK63" i="5" s="1"/>
  <c r="BJ52" i="5" a="1"/>
  <c r="BJ52" i="5" s="1"/>
  <c r="BK52" i="5" s="1"/>
  <c r="BJ84" i="5"/>
  <c r="BK84" i="5" s="1"/>
  <c r="BJ76" i="5"/>
  <c r="BK76" i="5" s="1"/>
  <c r="BJ68" i="5"/>
  <c r="BK68" i="5" s="1"/>
  <c r="BJ60" i="5"/>
  <c r="BJ49" i="5" a="1"/>
  <c r="BJ49" i="5" s="1"/>
  <c r="BK49" i="5" s="1"/>
  <c r="BJ37" i="5" a="1"/>
  <c r="BJ37" i="5" s="1"/>
  <c r="BK37" i="5" s="1"/>
  <c r="BJ36" i="5" a="1"/>
  <c r="BJ36" i="5" s="1"/>
  <c r="BK36" i="5" s="1"/>
  <c r="BJ20" i="5" a="1"/>
  <c r="BJ20" i="5" s="1"/>
  <c r="BJ31" i="5" a="1"/>
  <c r="BJ31" i="5" s="1"/>
  <c r="BK31" i="5" s="1"/>
  <c r="BJ3" i="3"/>
  <c r="BJ7" i="5"/>
  <c r="BI46" i="5"/>
  <c r="BI21" i="3" s="1"/>
  <c r="BI32" i="5"/>
  <c r="BI20" i="3" s="1"/>
  <c r="BI133" i="5"/>
  <c r="BI24" i="3" s="1"/>
  <c r="BI28" i="5"/>
  <c r="BI19" i="3" s="1"/>
  <c r="BV22" i="4"/>
  <c r="BV18" i="4"/>
  <c r="BV14" i="4"/>
  <c r="BV10" i="4"/>
  <c r="BV6" i="4"/>
  <c r="BV21" i="4"/>
  <c r="BV17" i="4"/>
  <c r="BV13" i="4"/>
  <c r="BV9" i="4"/>
  <c r="BV5" i="4"/>
  <c r="BV20" i="4"/>
  <c r="BV16" i="4"/>
  <c r="BV12" i="4"/>
  <c r="BV8" i="4"/>
  <c r="BV4" i="4"/>
  <c r="BV23" i="4"/>
  <c r="BV19" i="4"/>
  <c r="BV15" i="4"/>
  <c r="BV11" i="4"/>
  <c r="BV7" i="4"/>
  <c r="BI57" i="5"/>
  <c r="BI22" i="3" s="1"/>
  <c r="BH14" i="3"/>
  <c r="BH15" i="3" s="1"/>
  <c r="BI149" i="5"/>
  <c r="BI25" i="3" s="1"/>
  <c r="Q24" i="2"/>
  <c r="R24" i="2"/>
  <c r="O24" i="2"/>
  <c r="BD14" i="3" l="1"/>
  <c r="BD15" i="3" s="1"/>
  <c r="BI23" i="3"/>
  <c r="BI28" i="3" s="1"/>
  <c r="BW21" i="4"/>
  <c r="I21" i="4" s="1"/>
  <c r="BW17" i="4"/>
  <c r="BW13" i="4"/>
  <c r="BW20" i="4"/>
  <c r="BW16" i="4"/>
  <c r="BW12" i="4"/>
  <c r="BW8" i="4"/>
  <c r="I8" i="4" s="1"/>
  <c r="BW4" i="4"/>
  <c r="BW6" i="4"/>
  <c r="BW23" i="4"/>
  <c r="BW19" i="4"/>
  <c r="BW15" i="4"/>
  <c r="BW11" i="4"/>
  <c r="I11" i="4" s="1"/>
  <c r="BW7" i="4"/>
  <c r="BW9" i="4"/>
  <c r="I9" i="4" s="1"/>
  <c r="BW22" i="4"/>
  <c r="I22" i="4" s="1"/>
  <c r="BW18" i="4"/>
  <c r="BW14" i="4"/>
  <c r="BW10" i="4"/>
  <c r="BW5" i="4"/>
  <c r="E9" i="4"/>
  <c r="E22" i="4"/>
  <c r="E11" i="4"/>
  <c r="E8" i="4"/>
  <c r="E21" i="4"/>
  <c r="G26" i="4"/>
  <c r="H21" i="4"/>
  <c r="F32" i="4"/>
  <c r="F33" i="4"/>
  <c r="D5" i="4"/>
  <c r="H28" i="4"/>
  <c r="G24" i="4"/>
  <c r="E25" i="4"/>
  <c r="H10" i="4"/>
  <c r="G32" i="4"/>
  <c r="E30" i="4"/>
  <c r="H18" i="4"/>
  <c r="H13" i="4"/>
  <c r="F21" i="4"/>
  <c r="F29" i="4"/>
  <c r="H27" i="4"/>
  <c r="H33" i="4"/>
  <c r="E24" i="4"/>
  <c r="F30" i="4"/>
  <c r="G23" i="4"/>
  <c r="H32" i="4"/>
  <c r="F11" i="4"/>
  <c r="E27" i="4"/>
  <c r="G11" i="4"/>
  <c r="H9" i="4"/>
  <c r="D30" i="4"/>
  <c r="F10" i="4"/>
  <c r="H4" i="4"/>
  <c r="G25" i="4"/>
  <c r="D18" i="4"/>
  <c r="D25" i="4"/>
  <c r="H29" i="4"/>
  <c r="G15" i="4"/>
  <c r="G27" i="4"/>
  <c r="D19" i="4"/>
  <c r="F28" i="4"/>
  <c r="G20" i="4"/>
  <c r="D13" i="4"/>
  <c r="D12" i="4"/>
  <c r="G12" i="4"/>
  <c r="G22" i="4"/>
  <c r="D20" i="4"/>
  <c r="H31" i="4"/>
  <c r="F16" i="4"/>
  <c r="F6" i="4"/>
  <c r="D22" i="4"/>
  <c r="H22" i="4"/>
  <c r="F4" i="4"/>
  <c r="G4" i="4"/>
  <c r="D17" i="4"/>
  <c r="H19" i="4"/>
  <c r="G13" i="4"/>
  <c r="F17" i="4"/>
  <c r="D15" i="4"/>
  <c r="H30" i="4"/>
  <c r="G31" i="4"/>
  <c r="F22" i="4"/>
  <c r="D21" i="4"/>
  <c r="H17" i="4"/>
  <c r="F13" i="4"/>
  <c r="H8" i="4"/>
  <c r="H23" i="4"/>
  <c r="F8" i="4"/>
  <c r="F25" i="4"/>
  <c r="H5" i="4"/>
  <c r="H20" i="4"/>
  <c r="D26" i="4"/>
  <c r="H25" i="4"/>
  <c r="G6" i="4"/>
  <c r="E31" i="4"/>
  <c r="E33" i="4"/>
  <c r="H15" i="4"/>
  <c r="G19" i="4"/>
  <c r="D31" i="4"/>
  <c r="D24" i="4"/>
  <c r="F7" i="4"/>
  <c r="G8" i="4"/>
  <c r="E32" i="4"/>
  <c r="D32" i="4"/>
  <c r="F24" i="4"/>
  <c r="G18" i="4"/>
  <c r="D4" i="4"/>
  <c r="D7" i="4"/>
  <c r="F19" i="4"/>
  <c r="F23" i="4"/>
  <c r="D28" i="4"/>
  <c r="H14" i="4"/>
  <c r="G33" i="4"/>
  <c r="F15" i="4"/>
  <c r="D14" i="4"/>
  <c r="H7" i="4"/>
  <c r="F27" i="4"/>
  <c r="G16" i="4"/>
  <c r="D9" i="4"/>
  <c r="G7" i="4"/>
  <c r="G28" i="4"/>
  <c r="G9" i="4"/>
  <c r="D8" i="4"/>
  <c r="E26" i="4"/>
  <c r="H26" i="4"/>
  <c r="G14" i="4"/>
  <c r="D10" i="4"/>
  <c r="F18" i="4"/>
  <c r="H24" i="4"/>
  <c r="G10" i="4"/>
  <c r="F5" i="4"/>
  <c r="D29" i="4"/>
  <c r="H11" i="4"/>
  <c r="G21" i="4"/>
  <c r="F26" i="4"/>
  <c r="D27" i="4"/>
  <c r="H16" i="4"/>
  <c r="F20" i="4"/>
  <c r="F14" i="4"/>
  <c r="E28" i="4"/>
  <c r="H12" i="4"/>
  <c r="G29" i="4"/>
  <c r="E29" i="4"/>
  <c r="D11" i="4"/>
  <c r="H6" i="4"/>
  <c r="G17" i="4"/>
  <c r="F9" i="4"/>
  <c r="D23" i="4"/>
  <c r="G30" i="4"/>
  <c r="G5" i="4"/>
  <c r="D6" i="4"/>
  <c r="D16" i="4"/>
  <c r="F12" i="4"/>
  <c r="F31" i="4"/>
  <c r="D33" i="4"/>
  <c r="BJ28" i="5"/>
  <c r="BJ19" i="3" s="1"/>
  <c r="BK20" i="5"/>
  <c r="BK28" i="5" s="1"/>
  <c r="BJ133" i="5"/>
  <c r="BJ24" i="3" s="1"/>
  <c r="BK24" i="3" s="1"/>
  <c r="BK60" i="5"/>
  <c r="BK133" i="5" s="1"/>
  <c r="BJ46" i="5"/>
  <c r="BJ21" i="3" s="1"/>
  <c r="BK21" i="3" s="1"/>
  <c r="BK34" i="5"/>
  <c r="BK46" i="5" s="1"/>
  <c r="BJ57" i="5"/>
  <c r="BJ22" i="3" s="1"/>
  <c r="BK22" i="3" s="1"/>
  <c r="BK48" i="5"/>
  <c r="BK57" i="5" s="1"/>
  <c r="BJ14" i="5"/>
  <c r="BJ15" i="5" s="1"/>
  <c r="BJ7" i="3"/>
  <c r="BJ149" i="5"/>
  <c r="BJ25" i="3" s="1"/>
  <c r="BK25" i="3" s="1"/>
  <c r="BK135" i="5"/>
  <c r="BK149" i="5" s="1"/>
  <c r="BV34" i="4"/>
  <c r="BI58" i="5"/>
  <c r="BI152" i="5" s="1"/>
  <c r="AE65" i="2" s="1"/>
  <c r="BJ32" i="5"/>
  <c r="BJ20" i="3" s="1"/>
  <c r="BK20" i="3" s="1"/>
  <c r="BK30" i="5"/>
  <c r="BK32" i="5" s="1"/>
  <c r="AB62" i="2" l="1"/>
  <c r="BJ23" i="3"/>
  <c r="BK19" i="3"/>
  <c r="E10" i="4"/>
  <c r="I10" i="4"/>
  <c r="E19" i="4"/>
  <c r="I19" i="4"/>
  <c r="I13" i="4"/>
  <c r="E13" i="4"/>
  <c r="BJ14" i="3"/>
  <c r="D34" i="4"/>
  <c r="BK58" i="5"/>
  <c r="BK152" i="5" s="1"/>
  <c r="G34" i="4"/>
  <c r="E14" i="4"/>
  <c r="I14" i="4"/>
  <c r="E7" i="4"/>
  <c r="I7" i="4"/>
  <c r="E23" i="4"/>
  <c r="I23" i="4"/>
  <c r="E12" i="4"/>
  <c r="I12" i="4"/>
  <c r="E17" i="4"/>
  <c r="I17" i="4"/>
  <c r="BJ58" i="5"/>
  <c r="BJ152" i="5" s="1"/>
  <c r="AE66" i="2" s="1"/>
  <c r="I12" i="2" s="1"/>
  <c r="F34" i="4"/>
  <c r="H34" i="4"/>
  <c r="E18" i="4"/>
  <c r="I18" i="4"/>
  <c r="E6" i="4"/>
  <c r="I6" i="4"/>
  <c r="E16" i="4"/>
  <c r="I16" i="4"/>
  <c r="E5" i="4"/>
  <c r="I5" i="4"/>
  <c r="I15" i="4"/>
  <c r="E15" i="4"/>
  <c r="BW34" i="4"/>
  <c r="I4" i="4"/>
  <c r="E4" i="4"/>
  <c r="E20" i="4"/>
  <c r="I20" i="4"/>
  <c r="AB63" i="2" l="1"/>
  <c r="BG7" i="5" s="1"/>
  <c r="BJ15" i="3"/>
  <c r="E34" i="4"/>
  <c r="BJ28" i="3"/>
  <c r="BK23" i="3"/>
  <c r="AB65" i="2"/>
  <c r="I8" i="2"/>
  <c r="I9" i="2"/>
  <c r="AE5" i="2"/>
  <c r="BL146" i="5"/>
  <c r="BL110" i="5"/>
  <c r="BL99" i="5"/>
  <c r="BL106" i="5"/>
  <c r="BL53" i="5"/>
  <c r="BL63" i="5"/>
  <c r="BL41" i="5"/>
  <c r="BL24" i="5"/>
  <c r="BL128" i="5"/>
  <c r="BL120" i="5"/>
  <c r="BL109" i="5"/>
  <c r="BL94" i="5"/>
  <c r="BL64" i="5"/>
  <c r="BL73" i="5"/>
  <c r="BL38" i="5"/>
  <c r="BL31" i="5"/>
  <c r="BL151" i="5"/>
  <c r="BL103" i="5"/>
  <c r="BL57" i="5"/>
  <c r="BL45" i="5"/>
  <c r="BL116" i="5"/>
  <c r="BL90" i="5"/>
  <c r="BL69" i="5"/>
  <c r="BL131" i="5"/>
  <c r="BL141" i="5"/>
  <c r="BL84" i="5"/>
  <c r="BL61" i="5"/>
  <c r="BL20" i="5"/>
  <c r="BL143" i="5"/>
  <c r="BL82" i="5"/>
  <c r="BL58" i="5"/>
  <c r="BL121" i="5"/>
  <c r="BL123" i="5"/>
  <c r="BL152" i="5"/>
  <c r="BL137" i="5"/>
  <c r="BL91" i="5"/>
  <c r="BL78" i="5"/>
  <c r="BL89" i="5"/>
  <c r="BL54" i="5"/>
  <c r="BL28" i="5"/>
  <c r="BL147" i="5"/>
  <c r="BL149" i="5"/>
  <c r="BL112" i="5"/>
  <c r="BL101" i="5"/>
  <c r="BL86" i="5"/>
  <c r="BL55" i="5"/>
  <c r="BL65" i="5"/>
  <c r="BL43" i="5"/>
  <c r="BL27" i="5"/>
  <c r="BL148" i="5"/>
  <c r="BL104" i="5"/>
  <c r="BL83" i="5"/>
  <c r="BL26" i="5"/>
  <c r="BL135" i="5"/>
  <c r="BL76" i="5"/>
  <c r="BL52" i="5"/>
  <c r="BL124" i="5"/>
  <c r="BL113" i="5"/>
  <c r="BL68" i="5"/>
  <c r="BL42" i="5"/>
  <c r="BL142" i="5"/>
  <c r="BL111" i="5"/>
  <c r="BL66" i="5"/>
  <c r="BL40" i="5"/>
  <c r="BL32" i="5"/>
  <c r="BL126" i="5"/>
  <c r="BL138" i="5"/>
  <c r="BL115" i="5"/>
  <c r="BL100" i="5"/>
  <c r="BL70" i="5"/>
  <c r="BL79" i="5"/>
  <c r="BL44" i="5"/>
  <c r="BL21" i="5"/>
  <c r="BL122" i="5"/>
  <c r="BL140" i="5"/>
  <c r="BL139" i="5"/>
  <c r="BL93" i="5"/>
  <c r="BL80" i="5"/>
  <c r="BL87" i="5"/>
  <c r="BL56" i="5"/>
  <c r="BL35" i="5"/>
  <c r="BL127" i="5"/>
  <c r="BL114" i="5"/>
  <c r="BL88" i="5"/>
  <c r="BL67" i="5"/>
  <c r="BL30" i="5"/>
  <c r="BL105" i="5"/>
  <c r="BL60" i="5"/>
  <c r="BL48" i="5"/>
  <c r="BL144" i="5"/>
  <c r="BL97" i="5"/>
  <c r="BL51" i="5"/>
  <c r="BL39" i="5"/>
  <c r="BL130" i="5"/>
  <c r="BL95" i="5"/>
  <c r="BL49" i="5"/>
  <c r="BL37" i="5"/>
  <c r="BL129" i="5"/>
  <c r="BL118" i="5"/>
  <c r="BL107" i="5"/>
  <c r="BL92" i="5"/>
  <c r="BL62" i="5"/>
  <c r="BL71" i="5"/>
  <c r="BL36" i="5"/>
  <c r="BL25" i="5"/>
  <c r="BL125" i="5"/>
  <c r="BL145" i="5"/>
  <c r="BL117" i="5"/>
  <c r="BL102" i="5"/>
  <c r="BL72" i="5"/>
  <c r="BL81" i="5"/>
  <c r="BL46" i="5"/>
  <c r="BL22" i="5"/>
  <c r="BL132" i="5"/>
  <c r="BL119" i="5"/>
  <c r="BL74" i="5"/>
  <c r="BL50" i="5"/>
  <c r="BL150" i="5"/>
  <c r="BL108" i="5"/>
  <c r="BL85" i="5"/>
  <c r="BL23" i="5"/>
  <c r="BL136" i="5"/>
  <c r="BL98" i="5"/>
  <c r="BL77" i="5"/>
  <c r="BL13" i="5"/>
  <c r="BL133" i="5"/>
  <c r="BL96" i="5"/>
  <c r="BL75" i="5"/>
  <c r="BL34" i="5"/>
  <c r="I34" i="4"/>
  <c r="P25" i="2"/>
  <c r="BF7" i="5"/>
  <c r="G12" i="2" l="1"/>
  <c r="BG7" i="3"/>
  <c r="BG14" i="5"/>
  <c r="BG15" i="5" s="1"/>
  <c r="L27" i="4"/>
  <c r="O6" i="4"/>
  <c r="O25" i="4"/>
  <c r="K8" i="4"/>
  <c r="K33" i="4"/>
  <c r="K16" i="4"/>
  <c r="M20" i="4"/>
  <c r="J13" i="4"/>
  <c r="N17" i="4"/>
  <c r="L25" i="4"/>
  <c r="L12" i="4"/>
  <c r="O9" i="4"/>
  <c r="K32" i="4"/>
  <c r="O22" i="4"/>
  <c r="M16" i="4"/>
  <c r="K31" i="4"/>
  <c r="L32" i="4"/>
  <c r="K13" i="4"/>
  <c r="M33" i="4"/>
  <c r="O7" i="4"/>
  <c r="L18" i="4"/>
  <c r="M14" i="4"/>
  <c r="J27" i="4"/>
  <c r="K30" i="4"/>
  <c r="N23" i="4"/>
  <c r="L6" i="4"/>
  <c r="K7" i="4"/>
  <c r="O16" i="4"/>
  <c r="J18" i="4"/>
  <c r="M5" i="4"/>
  <c r="N24" i="4"/>
  <c r="O27" i="4"/>
  <c r="L29" i="4"/>
  <c r="J15" i="4"/>
  <c r="K18" i="4"/>
  <c r="N11" i="4"/>
  <c r="N9" i="4"/>
  <c r="J24" i="4"/>
  <c r="N29" i="4"/>
  <c r="J6" i="4"/>
  <c r="M4" i="4"/>
  <c r="N18" i="4"/>
  <c r="O21" i="4"/>
  <c r="L17" i="4"/>
  <c r="J9" i="4"/>
  <c r="K12" i="4"/>
  <c r="N14" i="4"/>
  <c r="M13" i="4"/>
  <c r="M15" i="4"/>
  <c r="K24" i="4"/>
  <c r="J21" i="4"/>
  <c r="M8" i="4"/>
  <c r="L22" i="4"/>
  <c r="N4" i="4"/>
  <c r="L24" i="4"/>
  <c r="J12" i="4"/>
  <c r="N5" i="4"/>
  <c r="M10" i="4"/>
  <c r="K29" i="4"/>
  <c r="N12" i="4"/>
  <c r="O15" i="4"/>
  <c r="O34" i="4"/>
  <c r="M30" i="4"/>
  <c r="K6" i="4"/>
  <c r="L15" i="4"/>
  <c r="O10" i="4"/>
  <c r="M7" i="4"/>
  <c r="K23" i="4"/>
  <c r="O32" i="4"/>
  <c r="K5" i="4"/>
  <c r="N32" i="4"/>
  <c r="L10" i="4"/>
  <c r="L5" i="4"/>
  <c r="J23" i="4"/>
  <c r="N27" i="4"/>
  <c r="M23" i="4"/>
  <c r="O20" i="4"/>
  <c r="M12" i="4"/>
  <c r="O29" i="4"/>
  <c r="J17" i="4"/>
  <c r="O8" i="4"/>
  <c r="N22" i="4"/>
  <c r="O4" i="4"/>
  <c r="J14" i="4"/>
  <c r="M25" i="4"/>
  <c r="K26" i="4"/>
  <c r="K11" i="4"/>
  <c r="J22" i="4"/>
  <c r="N26" i="4"/>
  <c r="L33" i="4"/>
  <c r="K20" i="4"/>
  <c r="M11" i="4"/>
  <c r="J32" i="4"/>
  <c r="O33" i="4"/>
  <c r="O12" i="4"/>
  <c r="N30" i="4"/>
  <c r="N19" i="4"/>
  <c r="M21" i="4"/>
  <c r="L19" i="4"/>
  <c r="O26" i="4"/>
  <c r="K17" i="4"/>
  <c r="M18" i="4"/>
  <c r="N15" i="4"/>
  <c r="N21" i="4"/>
  <c r="J28" i="4"/>
  <c r="N33" i="4"/>
  <c r="J10" i="4"/>
  <c r="M9" i="4"/>
  <c r="N20" i="4"/>
  <c r="O23" i="4"/>
  <c r="L21" i="4"/>
  <c r="J11" i="4"/>
  <c r="K14" i="4"/>
  <c r="L31" i="4"/>
  <c r="O30" i="4"/>
  <c r="M32" i="4"/>
  <c r="L28" i="4"/>
  <c r="N13" i="4"/>
  <c r="K21" i="4"/>
  <c r="N8" i="4"/>
  <c r="O11" i="4"/>
  <c r="L26" i="4"/>
  <c r="M22" i="4"/>
  <c r="J31" i="4"/>
  <c r="L7" i="4"/>
  <c r="O14" i="4"/>
  <c r="L4" i="4"/>
  <c r="K27" i="4"/>
  <c r="L16" i="4"/>
  <c r="K9" i="4"/>
  <c r="M29" i="4"/>
  <c r="O5" i="4"/>
  <c r="L14" i="4"/>
  <c r="M6" i="4"/>
  <c r="J25" i="4"/>
  <c r="K28" i="4"/>
  <c r="J16" i="4"/>
  <c r="J30" i="4"/>
  <c r="O28" i="4"/>
  <c r="J5" i="4"/>
  <c r="K19" i="4"/>
  <c r="L9" i="4"/>
  <c r="O18" i="4"/>
  <c r="O17" i="4"/>
  <c r="M24" i="4"/>
  <c r="N6" i="4"/>
  <c r="J29" i="4"/>
  <c r="N31" i="4"/>
  <c r="N7" i="4"/>
  <c r="K15" i="4"/>
  <c r="O24" i="4"/>
  <c r="J26" i="4"/>
  <c r="M17" i="4"/>
  <c r="N28" i="4"/>
  <c r="O31" i="4"/>
  <c r="J4" i="4"/>
  <c r="J19" i="4"/>
  <c r="K22" i="4"/>
  <c r="M31" i="4"/>
  <c r="M27" i="4"/>
  <c r="J20" i="4"/>
  <c r="N25" i="4"/>
  <c r="M28" i="4"/>
  <c r="L20" i="4"/>
  <c r="N16" i="4"/>
  <c r="O19" i="4"/>
  <c r="L13" i="4"/>
  <c r="J7" i="4"/>
  <c r="K10" i="4"/>
  <c r="L23" i="4"/>
  <c r="L8" i="4"/>
  <c r="J8" i="4"/>
  <c r="M19" i="4"/>
  <c r="K4" i="4"/>
  <c r="K25" i="4"/>
  <c r="N10" i="4"/>
  <c r="O13" i="4"/>
  <c r="L30" i="4"/>
  <c r="M26" i="4"/>
  <c r="J33" i="4"/>
  <c r="L11" i="4"/>
  <c r="P26" i="2"/>
  <c r="AB5" i="2"/>
  <c r="AC4" i="2" s="1"/>
  <c r="BI7" i="5"/>
  <c r="R25" i="2"/>
  <c r="O25" i="2"/>
  <c r="Q25" i="2"/>
  <c r="BF14" i="5"/>
  <c r="BF7" i="3"/>
  <c r="BK28" i="3"/>
  <c r="D39" i="4"/>
  <c r="C44" i="4" s="1"/>
  <c r="D40" i="4"/>
  <c r="C45" i="4" s="1"/>
  <c r="BG14" i="3" l="1"/>
  <c r="BG15" i="3" s="1"/>
  <c r="BI14" i="5"/>
  <c r="BI15" i="5" s="1"/>
  <c r="BI7" i="3"/>
  <c r="BI14" i="3" s="1"/>
  <c r="BI15" i="3" s="1"/>
  <c r="L34" i="4"/>
  <c r="J34" i="4"/>
  <c r="O26" i="2"/>
  <c r="Q26" i="2"/>
  <c r="R26" i="2"/>
  <c r="K34" i="4"/>
  <c r="N34" i="4"/>
  <c r="BF15" i="5"/>
  <c r="BK15" i="5" s="1"/>
  <c r="BK14" i="5"/>
  <c r="BL25" i="3"/>
  <c r="BL26" i="3"/>
  <c r="BL22" i="3"/>
  <c r="BL27" i="3"/>
  <c r="BL19" i="3"/>
  <c r="BL23" i="3"/>
  <c r="BL28" i="3"/>
  <c r="BL20" i="3"/>
  <c r="BL24" i="3"/>
  <c r="BL21" i="3"/>
  <c r="BK7" i="5"/>
  <c r="BF14" i="3"/>
  <c r="M34" i="4"/>
  <c r="BK7" i="3" l="1"/>
  <c r="BL11" i="5"/>
  <c r="BL10" i="5"/>
  <c r="BL15" i="5"/>
  <c r="BL12" i="5"/>
  <c r="BL4" i="5"/>
  <c r="BL14" i="5"/>
  <c r="BL8" i="5"/>
  <c r="BL7" i="5"/>
  <c r="BF15" i="3"/>
  <c r="BK15" i="3" s="1"/>
  <c r="BK14" i="3"/>
  <c r="BL15" i="3" l="1"/>
  <c r="BL13" i="3"/>
  <c r="BL8" i="3"/>
  <c r="BL12" i="3"/>
  <c r="BL7" i="3"/>
  <c r="BL14" i="3"/>
  <c r="BL11" i="3"/>
  <c r="BL10" i="3"/>
</calcChain>
</file>

<file path=xl/sharedStrings.xml><?xml version="1.0" encoding="utf-8"?>
<sst xmlns="http://schemas.openxmlformats.org/spreadsheetml/2006/main" count="13406" uniqueCount="745">
  <si>
    <t>Período Proposto</t>
  </si>
  <si>
    <t>a</t>
  </si>
  <si>
    <t>Versão 8 do Modelo de Memória de Cálculo - Setembro de 2023</t>
  </si>
  <si>
    <t>*Seguir diretrizes do Manual de uso da marca do Governo de MG.</t>
  </si>
  <si>
    <t>Selecionar Termo Aditivo ou Em Branco</t>
  </si>
  <si>
    <t>1º Termo Aditivo</t>
  </si>
  <si>
    <t>2º Termo Aditivo</t>
  </si>
  <si>
    <t>3º Termo Aditivo</t>
  </si>
  <si>
    <t>4º Termo Aditivo</t>
  </si>
  <si>
    <t>5º Termo Aditivo</t>
  </si>
  <si>
    <t>6º Termo Aditivo</t>
  </si>
  <si>
    <t>7º Termo Aditivo</t>
  </si>
  <si>
    <t>8º Termo Aditivo</t>
  </si>
  <si>
    <t>9º Termo Aditivo</t>
  </si>
  <si>
    <t>10º Termo Aditivo</t>
  </si>
  <si>
    <t>11º Termo Aditivo</t>
  </si>
  <si>
    <t>12º Termo Aditivo</t>
  </si>
  <si>
    <t>13º Termo Aditivo</t>
  </si>
  <si>
    <t>14º Termo Aditivo</t>
  </si>
  <si>
    <t>15º Termo Aditivo</t>
  </si>
  <si>
    <t>16º Termo Aditivo</t>
  </si>
  <si>
    <t>17º Termo Aditivo</t>
  </si>
  <si>
    <t>18º Termo Aditivo</t>
  </si>
  <si>
    <t>19º Termo Aditivo</t>
  </si>
  <si>
    <t>20º Termo Aditivo</t>
  </si>
  <si>
    <t>Não</t>
  </si>
  <si>
    <t>Entradas</t>
  </si>
  <si>
    <t>Definição dos Períodos Avaliatórios</t>
  </si>
  <si>
    <t>Orçamento Anual</t>
  </si>
  <si>
    <t>Cronograma de Avaliações</t>
  </si>
  <si>
    <t>Cronograma de Desembolsos</t>
  </si>
  <si>
    <t>Nº</t>
  </si>
  <si>
    <t>Mêses</t>
  </si>
  <si>
    <t>Núm. do Período Automático</t>
  </si>
  <si>
    <t>Núm. do Período Corrigido (Preencher se necessário)</t>
  </si>
  <si>
    <t>Ano</t>
  </si>
  <si>
    <t>Repasses</t>
  </si>
  <si>
    <t>Receitas Arrecadadas</t>
  </si>
  <si>
    <t>Gastos</t>
  </si>
  <si>
    <t>AVALIAÇÃO</t>
  </si>
  <si>
    <t>PERÍODO AVALIADO</t>
  </si>
  <si>
    <t xml:space="preserve">MÊS </t>
  </si>
  <si>
    <t>PARCELAS</t>
  </si>
  <si>
    <t>VALOR (R$)</t>
  </si>
  <si>
    <t>MÊS</t>
  </si>
  <si>
    <t>CONDIÇÕES</t>
  </si>
  <si>
    <t>Mês de CA</t>
  </si>
  <si>
    <t>Mês de Repasse</t>
  </si>
  <si>
    <t>Repasses Anteriores</t>
  </si>
  <si>
    <t>Cont Repasse</t>
  </si>
  <si>
    <t>Nº Repasse</t>
  </si>
  <si>
    <t>PA Ini</t>
  </si>
  <si>
    <t>PA FIM</t>
  </si>
  <si>
    <t>Repasse</t>
  </si>
  <si>
    <t>Outras Receitas (Agrupado p/ Repasse)</t>
  </si>
  <si>
    <t>Soma Outras Receitas</t>
  </si>
  <si>
    <t>Saldo Remancesnte</t>
  </si>
  <si>
    <t>Nº PA selecionado</t>
  </si>
  <si>
    <t>Sim</t>
  </si>
  <si>
    <t>Tabela 1 - Previsão Sintética de Receitas e Gastos Mensais em Regime de Competência</t>
  </si>
  <si>
    <t>Total</t>
  </si>
  <si>
    <t>% do Total</t>
  </si>
  <si>
    <t>SR</t>
  </si>
  <si>
    <t>Saldo Remanescente</t>
  </si>
  <si>
    <t>Entrada de Recursos</t>
  </si>
  <si>
    <t>1.1</t>
  </si>
  <si>
    <t>1.2</t>
  </si>
  <si>
    <t>Rendimentos Fin.</t>
  </si>
  <si>
    <t>1.3</t>
  </si>
  <si>
    <t>1.3.1</t>
  </si>
  <si>
    <t>Receitas Arrecadadas Previstas</t>
  </si>
  <si>
    <t>1.3.2</t>
  </si>
  <si>
    <t>Rendimentos Fin. c/ Destinação Específica</t>
  </si>
  <si>
    <t>1.3.3</t>
  </si>
  <si>
    <t>Outras Receitas</t>
  </si>
  <si>
    <t>Subtotal Receitas:</t>
  </si>
  <si>
    <t>(E) Total de Entradas:</t>
  </si>
  <si>
    <t>S. Rem. (SR) + Ent. (E)</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</si>
  <si>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</si>
  <si>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</si>
  <si>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</si>
  <si>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</si>
  <si>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</si>
  <si>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</si>
  <si>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</si>
  <si>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</si>
  <si>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</si>
  <si>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</si>
  <si>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</si>
  <si>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</si>
  <si>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</si>
  <si>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</si>
  <si>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</si>
  <si>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</si>
  <si>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</si>
  <si>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Transferência para Reserva de Recursos</t>
  </si>
  <si>
    <t>2.5</t>
  </si>
  <si>
    <t>Custos de Desmobilização</t>
  </si>
  <si>
    <t>(S) Total de Saídas:</t>
  </si>
  <si>
    <t>Tabela 2 - Previsão de Gastos Gerais das Atividades</t>
  </si>
  <si>
    <t>Atividades</t>
  </si>
  <si>
    <t>Área Meio</t>
  </si>
  <si>
    <t>Casa de Semiliberdade Caminheiros de Jesus</t>
  </si>
  <si>
    <t>Casa de Semiliberdade Betânia</t>
  </si>
  <si>
    <t>Casa de Semiliberdade Muriaé</t>
  </si>
  <si>
    <t>Casa de Semiliberdade Governador Valadares</t>
  </si>
  <si>
    <t>Casa de Semiliberdade Ipatinga</t>
  </si>
  <si>
    <t>Casa de Semiliberdade Teófilo Otoni</t>
  </si>
  <si>
    <t>Casa de Semiliberdade Santa Amélia</t>
  </si>
  <si>
    <t>Casa de Semiliberdade Ipiranga</t>
  </si>
  <si>
    <t>Casa de Semiliberdade Letícia</t>
  </si>
  <si>
    <t>Casa de Semiliberdade São Luís</t>
  </si>
  <si>
    <t>Casa de Semiliberdade Venda Nova</t>
  </si>
  <si>
    <t>Casa de Semiliberdade Contagem</t>
  </si>
  <si>
    <t>Casa de Semiliberdade Ribeirão das Neves</t>
  </si>
  <si>
    <t>Casa de Semiliberdade Sete Lagoas</t>
  </si>
  <si>
    <t>Casa de Semiliberdade Feminina Uberlândia</t>
  </si>
  <si>
    <t>Casa de Semiliberdade Uberlândia</t>
  </si>
  <si>
    <t>Casa de Semiliberdade Patrocínio</t>
  </si>
  <si>
    <t>Casa de Semiliberdade Uberaba</t>
  </si>
  <si>
    <t>Casa de Semiliberdade Patos de Minas</t>
  </si>
  <si>
    <t>Destinação dos Gastos com Pessoal</t>
  </si>
  <si>
    <t>Destinação</t>
  </si>
  <si>
    <t>%</t>
  </si>
  <si>
    <t>Valor</t>
  </si>
  <si>
    <t>Área Fim</t>
  </si>
  <si>
    <t>Destinação dos Gastos Gerais e de Pessoal</t>
  </si>
  <si>
    <t>Tabela 3 - Previsão Analítica de Receitas e Gastos Mensais em Regime de Competência</t>
  </si>
  <si>
    <t>Subtotal Receitas</t>
  </si>
  <si>
    <t>(E) Total de Entradas</t>
  </si>
  <si>
    <t>Saldo Rem. (SR) + Entradas (E)</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</si>
  <si>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</si>
  <si>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</si>
  <si>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</si>
  <si>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</si>
  <si>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</si>
  <si>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</si>
  <si>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</si>
  <si>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</si>
  <si>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</si>
  <si>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</si>
  <si>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</si>
  <si>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</si>
  <si>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</si>
  <si>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</si>
  <si>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</si>
  <si>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</si>
  <si>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</si>
  <si>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</si>
  <si>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Bolsas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</si>
  <si>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</si>
  <si>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</si>
  <si>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</si>
  <si>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</si>
  <si>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</si>
  <si>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</si>
  <si>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</si>
  <si>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</si>
  <si>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</si>
  <si>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</si>
  <si>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</si>
  <si>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</si>
  <si>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</si>
  <si>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</si>
  <si>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</si>
  <si>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</si>
  <si>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</si>
  <si>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</si>
  <si>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</si>
  <si>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</si>
  <si>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</si>
  <si>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</si>
  <si>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</si>
  <si>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</si>
  <si>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</si>
  <si>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</si>
  <si>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</si>
  <si>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</si>
  <si>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</si>
  <si>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</si>
  <si>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</si>
  <si>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</si>
  <si>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</si>
  <si>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</si>
  <si>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</si>
  <si>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</si>
  <si>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</si>
  <si>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</si>
  <si>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</si>
  <si>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</si>
  <si>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</si>
  <si>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</si>
  <si>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</si>
  <si>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</si>
  <si>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</si>
  <si>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</si>
  <si>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</si>
  <si>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</si>
  <si>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</si>
  <si>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</si>
  <si>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</si>
  <si>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</si>
  <si>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</si>
  <si>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</si>
  <si>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</si>
  <si>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</si>
  <si>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</si>
  <si>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</si>
  <si>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</si>
  <si>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</si>
  <si>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</si>
  <si>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</si>
  <si>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</si>
  <si>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</si>
  <si>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</si>
  <si>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</si>
  <si>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</si>
  <si>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</si>
  <si>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</si>
  <si>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</si>
  <si>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</si>
  <si>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</si>
  <si>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</si>
  <si>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</si>
  <si>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</si>
  <si>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</si>
  <si>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</si>
  <si>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</si>
  <si>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</si>
  <si>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</si>
  <si>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</si>
  <si>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</si>
  <si>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</si>
  <si>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</si>
  <si>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</si>
  <si>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</si>
  <si>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</si>
  <si>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</si>
  <si>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</si>
  <si>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</si>
  <si>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</si>
  <si>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</si>
  <si>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</si>
  <si>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</si>
  <si>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</si>
  <si>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</si>
  <si>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</si>
  <si>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</si>
  <si>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</si>
  <si>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</si>
  <si>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</si>
  <si>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</si>
  <si>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</si>
  <si>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</si>
  <si>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</si>
  <si>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</si>
  <si>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</si>
  <si>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</si>
  <si>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</si>
  <si>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</si>
  <si>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</si>
  <si>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</si>
  <si>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</si>
  <si>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</si>
  <si>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</si>
  <si>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</si>
  <si>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</si>
  <si>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</si>
  <si>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</si>
  <si>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</si>
  <si>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</si>
  <si>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</si>
  <si>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</si>
  <si>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</si>
  <si>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</si>
  <si>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</si>
  <si>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</si>
  <si>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</si>
  <si>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</si>
  <si>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</si>
  <si>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</si>
  <si>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</si>
  <si>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</si>
  <si>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</si>
  <si>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</si>
  <si>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</si>
  <si>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</si>
  <si>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</si>
  <si>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</si>
  <si>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</si>
  <si>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</si>
  <si>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</si>
  <si>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</si>
  <si>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</si>
  <si>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</si>
  <si>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</si>
  <si>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</si>
  <si>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</si>
  <si>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</si>
  <si>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</si>
  <si>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</si>
  <si>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</si>
  <si>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</si>
  <si>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</si>
  <si>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</si>
  <si>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</si>
  <si>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</si>
  <si>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</si>
  <si>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</si>
  <si>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</si>
  <si>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</si>
  <si>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</si>
  <si>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</si>
  <si>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</si>
  <si>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</si>
  <si>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</si>
  <si>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</si>
  <si>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</si>
  <si>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</si>
  <si>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</si>
  <si>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</si>
  <si>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</si>
  <si>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</si>
  <si>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</si>
  <si>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</si>
  <si>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</si>
  <si>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</si>
  <si>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</si>
  <si>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</si>
  <si>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</si>
  <si>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</si>
  <si>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</si>
  <si>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</si>
  <si>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</si>
  <si>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</si>
  <si>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</si>
  <si>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</si>
  <si>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</si>
  <si>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</si>
  <si>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</si>
  <si>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</si>
  <si>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</si>
  <si>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</si>
  <si>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</si>
  <si>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</si>
  <si>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</si>
  <si>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</si>
  <si>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</si>
  <si>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</si>
  <si>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</si>
  <si>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</si>
  <si>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</si>
  <si>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4 - Previsão Mensal dos Encargos e Benefícios de Pessoal</t>
  </si>
  <si>
    <t>Detalhamento Celetistas</t>
  </si>
  <si>
    <t>Total
(Rem. Bruta
+ Encargos
+ Benefícios)</t>
  </si>
  <si>
    <t>Cargo</t>
  </si>
  <si>
    <t>Qnt. Trab.</t>
  </si>
  <si>
    <t>Salário Individual</t>
  </si>
  <si>
    <t>Gratificação de Função</t>
  </si>
  <si>
    <t>Detalhamento Estagiários</t>
  </si>
  <si>
    <t>Total
(Bolsa Estág.
+ Férias
+ Benefícios)</t>
  </si>
  <si>
    <t>Qnt. Estag.</t>
  </si>
  <si>
    <t>Bolsa Estágio
Individual</t>
  </si>
  <si>
    <t>Tabela 5 - Previsão de Gastos com Pessoal</t>
  </si>
  <si>
    <t xml:space="preserve">Plano de Saúde </t>
  </si>
  <si>
    <t>Qnt. Trabalhadores</t>
  </si>
  <si>
    <t>Carga-Horária 
(Semanal)</t>
  </si>
  <si>
    <t>Mês Inicial de Trabalho</t>
  </si>
  <si>
    <t>Mês Final de Trabalho</t>
  </si>
  <si>
    <t>1ª Convenção Coletiva de Trabalho - CCT</t>
  </si>
  <si>
    <t>2ª Convenção Coletiva de Trabalho - CCT</t>
  </si>
  <si>
    <t>3ª Convenção Coletiva de Trabalho - CCT</t>
  </si>
  <si>
    <t>4ª Convenção Coletiva de Trabalho - CCT</t>
  </si>
  <si>
    <t>5ª Convenção Coletiva de Trabalho - CCT</t>
  </si>
  <si>
    <t>Gastos Mensais 
Antes do Reajuste</t>
  </si>
  <si>
    <t>PESQUISA DE MERCADO¹</t>
  </si>
  <si>
    <t>Atividades do Termo de Parceria</t>
  </si>
  <si>
    <t>Mês da Data Base</t>
  </si>
  <si>
    <t>% de Reajuste da Rem.</t>
  </si>
  <si>
    <t>Aumento do Valor dos Benefícios</t>
  </si>
  <si>
    <t>Remuneração Bruta do Cargo</t>
  </si>
  <si>
    <t xml:space="preserve">Total
(Rem. Bruta
+ Encargos
+ Benefícios) </t>
  </si>
  <si>
    <t>Salário Médio</t>
  </si>
  <si>
    <t>Menor Salário</t>
  </si>
  <si>
    <t>Maior Salário</t>
  </si>
  <si>
    <t>1º Aumento de Bolsa Estágio</t>
  </si>
  <si>
    <t>2º Aumento de Bolsa Estágio</t>
  </si>
  <si>
    <t>3º Aumento de Bolsa Estágio</t>
  </si>
  <si>
    <t>4º Aumento de Bolsa Estágio</t>
  </si>
  <si>
    <t>5º Aumento de Bolsa Estágio</t>
  </si>
  <si>
    <t>% de Reajuste da Bolsa Estágio</t>
  </si>
  <si>
    <t>1) Descrição da Pesquisa de Mercado</t>
  </si>
  <si>
    <t>Tabela 6 - Previsão de Aquisição de Bens Permanentes</t>
  </si>
  <si>
    <t>Item</t>
  </si>
  <si>
    <t>Subcategoria</t>
  </si>
  <si>
    <t>Descrição</t>
  </si>
  <si>
    <t>Mês</t>
  </si>
  <si>
    <t>Valor Unitário</t>
  </si>
  <si>
    <t>Quantidade</t>
  </si>
  <si>
    <t>Justificativa para Aquisição</t>
  </si>
  <si>
    <t>Tabela 7 - Previsão Detalhada do Fluxo de Gastos Gerais em Regime de Competência</t>
  </si>
  <si>
    <t>Nº Lançto</t>
  </si>
  <si>
    <t>Mês Inicial</t>
  </si>
  <si>
    <t>Mês Final</t>
  </si>
  <si>
    <t>Observações</t>
  </si>
  <si>
    <t>Valor Total do Lançamento</t>
  </si>
  <si>
    <t>Total de Gastos Gerais</t>
  </si>
  <si>
    <t>Tabela 8 - Previsão Detalhada dos Custos de Desmobilização em Regime de Competência</t>
  </si>
  <si>
    <t>Categoria</t>
  </si>
  <si>
    <t>Total de Gastos de Desmobilização</t>
  </si>
  <si>
    <t>_____________________</t>
  </si>
  <si>
    <t>Belo Horizonte,          de                     de</t>
  </si>
  <si>
    <t>Receitas</t>
  </si>
  <si>
    <t>Rendimentos de Aplicações Fin.</t>
  </si>
  <si>
    <t>Repasses do Termo de Parceria</t>
  </si>
  <si>
    <t>Rendimentos Financeiros da Reserva de Recursos</t>
  </si>
  <si>
    <t>Receita Arrecadada em Função do TP</t>
  </si>
  <si>
    <t>Gastos da Reserva de Recursos</t>
  </si>
  <si>
    <t>Hora Extra</t>
  </si>
  <si>
    <t>DSR sobre Hora Extra/Adic. Noturno</t>
  </si>
  <si>
    <t>Bolsa Estágio</t>
  </si>
  <si>
    <t>Rescisão de Trabalho (Saldo Salário, Aviso Prévio, outros)</t>
  </si>
  <si>
    <t>Subdiretor de Segurança</t>
  </si>
  <si>
    <t>Advogado</t>
  </si>
  <si>
    <t>Assistente Social</t>
  </si>
  <si>
    <t>Pedagogo</t>
  </si>
  <si>
    <t>Psicologo</t>
  </si>
  <si>
    <t>Terapeuta Ocupacional</t>
  </si>
  <si>
    <t>Administrativo</t>
  </si>
  <si>
    <t>Auxiliar Educacional</t>
  </si>
  <si>
    <t>Auxiliar de Serviços Gerais</t>
  </si>
  <si>
    <t>Motorista</t>
  </si>
  <si>
    <t>Socioeducador - D</t>
  </si>
  <si>
    <t>Socioeducador - NC</t>
  </si>
  <si>
    <t>Socioeducador - N</t>
  </si>
  <si>
    <t>Socioeducador - DC</t>
  </si>
  <si>
    <t>Beneficios CCT</t>
  </si>
  <si>
    <t>Estagiário de Serviço Social ou psicologia ou pedagogia</t>
  </si>
  <si>
    <t>Aluguel com vistas a garantir o adequado atendimento aos adolescentes.</t>
  </si>
  <si>
    <t>Tarifa locatícia com vistas a garantir a locação do imóvel</t>
  </si>
  <si>
    <t>Custo de serviço estimado na capacidade de atendimento prevista no Contrato de Gestão</t>
  </si>
  <si>
    <t>Uniformes previstos para assegurar o atendimento a demandas relativas ao atendimento, atendimento aos indicadores e produtos previstos no Contrato de Gestão</t>
  </si>
  <si>
    <t>Custo para manuteção e regularidade dos documentos da unidade socioeducativa vinculada ao Contrato de Gestão.</t>
  </si>
  <si>
    <t>Materiais para manutenção da unidade socioeducativa</t>
  </si>
  <si>
    <t>Serviço destinado a manuteção e reparo com a rede de computadores disponíveis para empregados vinculados ao Contrato de Gestão ou para realização de oficinas previstas no Plano de  Trabalho</t>
  </si>
  <si>
    <t>Serviço destinado a manuteção e/ou reparo em ar condicionado vinculado as atividades realizadas na unidade socioeducativa</t>
  </si>
  <si>
    <t>Locação de equipamentos necessários a execução das atividades administrativas e vinculados ao atendimento na unidade socioeducativa</t>
  </si>
  <si>
    <t>Serviço previsto para manuteção de equipamentos ou maquinas adquiridas no Contrato de Gestão</t>
  </si>
  <si>
    <t>Serviço destinado ao atendimento de envio de correspondencias vinculadas a unidade socioeducativa.</t>
  </si>
  <si>
    <t>Aquisição de materiais necessários para assunção das atividades vinculadas ao atendimento na unidade socioeducativa, desenvolvimento de oficinas e para implantação do produto cozinha escola.</t>
  </si>
  <si>
    <t>serviço contratado para fornecimento de lanches e refeições para adolescentes, empregados e ações voltadas para festividades e comemorações na unidade socioeducativa</t>
  </si>
  <si>
    <t>Serviço destinado a confecção de peças gráficas vinculadas a produções realizadas pelos adolescentes, para realição de campanhas e oficinas, elboração de documentos da unidade socioeducativa</t>
  </si>
  <si>
    <t>Aquisição de materiais necessários ao pleno e regular atendimento das áreas temáticas ensino, profissionalização, segurança entre outros vinculados ao contrato de gestão</t>
  </si>
  <si>
    <t>Previsão de locação de espaços destinado a entrega dos produtos vinculados ao contrato de gestão: seminários, capacitações, eventos, campeonatos.</t>
  </si>
  <si>
    <t>Subscategoria incluida para atender ao indicador cursos profissionalizantes de acordo com indicação da unidade socioeucativa</t>
  </si>
  <si>
    <t>Valor destinado a assegurar a manuteção da unidade socioeducativa</t>
  </si>
  <si>
    <t>Item obrigatório para garantir o atendimento a todas as rotinas previstas no plano de trabalho na unidade socioeducativa</t>
  </si>
  <si>
    <t>Despesa prevista para assegurar a participação da unidade socioeducativa em seminários, treinamentos, capacitações, reuniões, intercamnio entre equipes, tudo de acordo com os produtos que devem ser entregues pela unidade socioeucativa.</t>
  </si>
  <si>
    <t>locação de veículo destinado a realização das atividades vinculados ao Contrato de Gestão</t>
  </si>
  <si>
    <t>serviços indicados para entrega do produto implantação do plano de manuteção  da infraestrutura da unidade socioeducativa</t>
  </si>
  <si>
    <t>profissionais serão contratados conforme previsões do RCC para atender aos produtos a serem entregues no Contrato de Gestão, a exemplo: incentivo aos estudos, preparatórios, oficina de esporte, entre outros</t>
  </si>
  <si>
    <t>Diretor Geral de Unidade Socioeducativa</t>
  </si>
  <si>
    <t xml:space="preserve">Smarttphone </t>
  </si>
  <si>
    <t>Microcomputador completo/ processador i3 / 8Gb / SSD 128 / monitor 19" / cpu/ mouse/ teclado/ estabilizador / placa de som e video / webcam .</t>
  </si>
  <si>
    <t xml:space="preserve">Servidor / processador i5 / 8Gb / DDR 3 /SSD 240 </t>
  </si>
  <si>
    <t>nobreak 1000VA</t>
  </si>
  <si>
    <t>HD Externo  2TB</t>
  </si>
  <si>
    <t>mesa de totó</t>
  </si>
  <si>
    <t>mesa de ping pong</t>
  </si>
  <si>
    <t>mesas de escritorio com 02 gavetas c/chave - de 1,20 *60</t>
  </si>
  <si>
    <t>mesas de escritorio s/ gavetas  de 1,20 *60</t>
  </si>
  <si>
    <t>mesa de reunião de 2,00*1,00</t>
  </si>
  <si>
    <t xml:space="preserve">mesa redonda 1,00*1,00 </t>
  </si>
  <si>
    <t>mesa diretor s/gaveta 1,20*60*74</t>
  </si>
  <si>
    <t>gaveteiro volante c/4gavetas 46,9*46*70</t>
  </si>
  <si>
    <t>mesa  retangular  80*60</t>
  </si>
  <si>
    <t xml:space="preserve">armario aço de 02 portas e 03 pratileiras 1,70*90*0,35 </t>
  </si>
  <si>
    <t>armario aço de 02 portas e 03 pratileiras 1,90*1,20*40</t>
  </si>
  <si>
    <t>armário ropeiro de aço 12 portas</t>
  </si>
  <si>
    <t xml:space="preserve">cadeira secretaria giratoria c/ braço digitador reg. Altura </t>
  </si>
  <si>
    <t xml:space="preserve">cadeira diretor giratoria c/ braço digitador reg. Altura </t>
  </si>
  <si>
    <t xml:space="preserve">cadeira fixa </t>
  </si>
  <si>
    <t xml:space="preserve">estante de aço 1,98*090*30 </t>
  </si>
  <si>
    <t>camas beliche em madeira</t>
  </si>
  <si>
    <t xml:space="preserve">TV smart 43" </t>
  </si>
  <si>
    <t xml:space="preserve">TV smart 24" </t>
  </si>
  <si>
    <t>purificador de água capacidade 20 pessoas</t>
  </si>
  <si>
    <t xml:space="preserve">mesa de plastico </t>
  </si>
  <si>
    <t>cadeira de plastico</t>
  </si>
  <si>
    <t>mesa para refeitorio</t>
  </si>
  <si>
    <t xml:space="preserve">ventilador parede de 60 cm </t>
  </si>
  <si>
    <t>ventilador coluna de 60 cm</t>
  </si>
  <si>
    <t>notebook/ core i3/ 4gb /SSD 256 gb / tela 15,6"</t>
  </si>
  <si>
    <t>impressora colorida</t>
  </si>
  <si>
    <t>DVR 16 canais</t>
  </si>
  <si>
    <t>Rádio HT APX900</t>
  </si>
  <si>
    <t>termômetro digital</t>
  </si>
  <si>
    <t>oximetro de dedo</t>
  </si>
  <si>
    <t>Analista Administrativo</t>
  </si>
  <si>
    <t>Gastos de pessoal relativos a profissionais vinculados a area meio - cargos coordenador geral, coordenador técnico e analista administrativo</t>
  </si>
  <si>
    <t>Custo de serviço estimado no fornecimento de 03 telefones móveis para a direção geral da unidade, subdiretor de segurança e equipe de atendimento capacidade de atendimento prevista no Contrato de Gestão</t>
  </si>
  <si>
    <t>Custo de serviço estimado para fornecimento 03 linhas telefonicas para direção geral da unidade, subdireção de segurança e equipe de atendimento, considenrando a capacidade de atendimento prevista no Contrato de Gestão</t>
  </si>
  <si>
    <t>Custo de serviço estimado para fornecimento de 03 linhas telefonicas para direção geral da unidade, subdireção de segurança e equipe de atendimento, considerando a capacidade de atendimento prevista no Contrato de Gestão</t>
  </si>
  <si>
    <t>Custo de serviço estimado para fornecimento se linha telefonica para direção geral da unidade, subdireção de segurança e equipe de atendimento, considerando a capacidade de atendimento prevista no Contrato de Gestão</t>
  </si>
  <si>
    <t>12x36</t>
  </si>
  <si>
    <t>Serviço de hospedagem e servidor virtual dedicado a alocar informações correspondentes a parceria e contrato de gestão, gestão de contas de email, armazenamento de nuvem dentre outros serviços necessários</t>
  </si>
  <si>
    <t>Custo de locação necessário a manter a area meio do PEMSE, sede e subsede, respectivamente responsáveis pelo acompanhamento de todas as entregas previstas no contrato de gestão (indicadores e produtos).</t>
  </si>
  <si>
    <t>Custo de condomínio sobre a locação realizada a fim de manter a area meio do PEMSE, sede e subsede, respectivamente responsáveis pelo acompanhamento de todas as entregas previstas no contrato de gestão (indicadores e produtos).</t>
  </si>
  <si>
    <t>Custo de IPTU sobre a locação realizada a fim de manter a area meio do PEMSE, sede e subsede, respectivamente responsáveis pelo acompanhamento de todas as entregas previstas no contrato de gestão (indicadores e produtos).</t>
  </si>
  <si>
    <t>Seguro necessário as exigências locatícias (seguro incêndio e seguro fiança) ambos necessários para manuteção da area meio do PEMSE, sede e subsede, respectivamente responsáveis pelo acompanhamento de todas as entregas previstas no contrato de gestão (indicadores e produtos).</t>
  </si>
  <si>
    <t>Custo com concessionária pública responsável pelo fornecimento de energia eletrica para atender a area meio do PEMSE, sede e subsede, respectivamente responsáveis pelo acompanhamento de todas as entregas previstas no contrato de gestão (indicadores e produtos).</t>
  </si>
  <si>
    <t>Custo de telefonia e ou internet necessários para atender a sede e subsede do PEMSE vinculados ao acompanhamento do contrato de gestão.</t>
  </si>
  <si>
    <t>Serviço responsável pela gestão contábil e trabalhista e de todos processos que envolvem as finalidades do Contrato de Gestão.</t>
  </si>
  <si>
    <t>tablete wifi 32gb / tela 8,7</t>
  </si>
  <si>
    <t>quadro de cortiça 90*1,20</t>
  </si>
  <si>
    <t>quadro branco 90*1,20</t>
  </si>
  <si>
    <t>quadro branco 2,00*1,20</t>
  </si>
  <si>
    <t>armario de medicamentos</t>
  </si>
  <si>
    <t>Ar condionado 9000 btus</t>
  </si>
  <si>
    <t>Ar condionado 12000 btus</t>
  </si>
  <si>
    <t>extintor de incêndio Co2 de 6 kg</t>
  </si>
  <si>
    <t>lixeira de 200 litros com rodas</t>
  </si>
  <si>
    <t>Aquisição de materiais necessários para as atividades vinculadas ao atendimento nas unidades socioeducativas São Luiz /Ipiranga /contagem e Feminina de Uberlândia.</t>
  </si>
  <si>
    <t>Aquisição de materiais necessários para atividades vinculadas ao atendimento e desenvolvimento de oficinas de esporte e lazer.</t>
  </si>
  <si>
    <t>Aquisição de materiais necessários para atividades vinculadas ao atendimento na unidade socioeducativa no desenvolvimento de oficinas de esporte e lazer.</t>
  </si>
  <si>
    <t>Aquisição de materiais necessários para as atividades vinculadas ao atendimento nas unidades socioeducativas São Luiz /Ipiranga /Contagem e Feminina de Uberlândia.</t>
  </si>
  <si>
    <t xml:space="preserve">Cameras de CFTV </t>
  </si>
  <si>
    <t>Switch Gigabit Tp-link 24 Porta</t>
  </si>
  <si>
    <t>Roteador wifi 1167Mbps</t>
  </si>
  <si>
    <t>Cofre para arma de fogo</t>
  </si>
  <si>
    <t>Detector de metal</t>
  </si>
  <si>
    <t>Caixa Aplificadora</t>
  </si>
  <si>
    <t>Fogão o4 bocas</t>
  </si>
  <si>
    <t>Refrigerador 310L</t>
  </si>
  <si>
    <t>Maquina de lavar roupas de 15KG</t>
  </si>
  <si>
    <t>Microondas de 30 litros</t>
  </si>
  <si>
    <t>Chapa Bifeteira a  gás 100cm</t>
  </si>
  <si>
    <t>Liquidificador industrial de 4 Litros</t>
  </si>
  <si>
    <t>Bebedouro de agua industrial coluna de 25 lt</t>
  </si>
  <si>
    <t>Lavadora de alta pressão</t>
  </si>
  <si>
    <t>Extintor de incêndio ABC de 6 kg</t>
  </si>
  <si>
    <t>Aparelho de pressão digital</t>
  </si>
  <si>
    <t>Furadeira de auto impacto 750w</t>
  </si>
  <si>
    <t xml:space="preserve">Pia inox 150*70*85 com tanque </t>
  </si>
  <si>
    <t xml:space="preserve">Batedeira planetária industrial 110V </t>
  </si>
  <si>
    <t xml:space="preserve">Amassadeira Semi Rápida Basculante 25 Kg </t>
  </si>
  <si>
    <t xml:space="preserve">Cilindro  de massa G  </t>
  </si>
  <si>
    <t>Forno Turbo 10 Esteiras à Gás FTG 300 G Paniz</t>
  </si>
  <si>
    <t xml:space="preserve">Bancada de Apoio Total Inox 1,90m X 0,90m BAI 1900/900 </t>
  </si>
  <si>
    <t xml:space="preserve">Freezer Vertical Metalfrio 509 Litros </t>
  </si>
  <si>
    <t>Balcão refrigerado 3 portas</t>
  </si>
  <si>
    <t>Fritadeira a Gás Industrial 45 Litros</t>
  </si>
  <si>
    <t>Fogao Industrial 6 Bocas M-15 Q/d Premium</t>
  </si>
  <si>
    <t>Multi Processador de Alimentos</t>
  </si>
  <si>
    <t>Panela de Pressão</t>
  </si>
  <si>
    <t>arquivo aço c/04 gavetas</t>
  </si>
  <si>
    <t xml:space="preserve">botijão de gas de 13kg; mangueira e registro </t>
  </si>
  <si>
    <t>Forno industrial a gás 80x60</t>
  </si>
  <si>
    <t>Escada de alumínio 5 degraus</t>
  </si>
  <si>
    <t>Escada para desenvolvimento de atividades nas unidades socioeducativas BH e região metropolitana</t>
  </si>
  <si>
    <t>violão, teclado, caojn, pandeiro, carrilhão, tantan etc.</t>
  </si>
  <si>
    <t>Aquisição de materiais necessários para implementação de oficinas de lazer e cultura em 18 unidades socioeducativas, uma vez que casa de Uberlândia já possui financiamento para realizar esse custo</t>
  </si>
  <si>
    <t>Tatame, cone, escada de agilidade, bola de futebol, bola de volei, bola de basquete, rede de volei, tabela de basquete. Etc</t>
  </si>
  <si>
    <t>Aquisição de materiais necessários para as atividades vinculadas ao atendimento nas unidades socioeducativas Sete Lagos e Ribeirão das Neves</t>
  </si>
  <si>
    <t>Auxilio Transporte</t>
  </si>
  <si>
    <t>A Lei da Aprendizagem, estalecida pela Lei 10.097 de 2000 consagra regras, direitos e deveres de contratação de jovens aprendizes, com idade entre 14 e 24 anos, pelas empresas, em percentual de 5% e máximo de 15% do número de empregado da instituição, com isso se faz necessário promovera profissionalização da empresa para antender tal exigência, além de oportunizar a inserção no mercado de trabalho, a formação teórica e prática, alem de desenvolvimento de competências para o trabalho através da ação e acompanhamento especializado. Por esse motivo, para garantir que o programa tenha reconhecimento e os jovens recebeam certificação e qualificação profissional é necessário contratar uma empresa que garanta a solução para gestão da aprendizagem, gestão educacional, pagamento de salário e demais obrigações trabalhistas e gerem de fato o resultado que se espera de programa similar. Temos exemplos sociais de reconhecida envergadura e que já possuem ampla experiência para oferecer tal condição, Rede Cidadã, Assprom, Cruz Vermelha entre outras. As etapas seguem conforme cronograma de inauguração das casas e irá considerar o número máximo de trabalhadores vinculados para calculo dos 5%, mínimo exigido por lei.</t>
  </si>
  <si>
    <t>Gestão dos processos de comunicação, publicidade e marketing institucional</t>
  </si>
  <si>
    <t>contratação de serviço necessário a realizar desmobilização em eventual necessidade.</t>
  </si>
  <si>
    <t>Valor previsto para locação de impressoras para atender os processos de impressão da área meio</t>
  </si>
  <si>
    <t>Aquisição de uniformes para os trabalhadores vinculados ao contrato de gestão e que estejam em serviço nas unidades de atendimento socioeducativo</t>
  </si>
  <si>
    <t>valor previsto para manutenção preventiva em equipamentos das intalações da area meio.</t>
  </si>
  <si>
    <t>Serviço mensal de suporte e manutenção dos equipamentos, computadores e demais itens de uso da area meio.</t>
  </si>
  <si>
    <t>Serviço de malote e envio de correspondencias</t>
  </si>
  <si>
    <t>Custo de serviços cartoriais em geral</t>
  </si>
  <si>
    <t>Valor provisionado para eventuais despensas bancárias em transações que não admitem a espécie de dispensa de cobrança.</t>
  </si>
  <si>
    <t>Taxas e expedientes eventuais que surgirem das unidades socioeducativas vinculadas ao contrato de gestão</t>
  </si>
  <si>
    <t>Material de limpeza e uso geral das unidades da area meio</t>
  </si>
  <si>
    <t>materiais de uso na copa e cozinha, como eventuais necessidades surgidas na area meio.</t>
  </si>
  <si>
    <t>Lanches e refeiçoes para uso da area meio e em eventuais momentos de capacitação e treinamento realizados nas sedes do PEMSE para empregados vinculados ao contrato de gestão.</t>
  </si>
  <si>
    <t>valor para eventuais serviços em gráfica rapida.</t>
  </si>
  <si>
    <t>Aquisição de itens e materiais de consumo em informática essenciais para manutenção do atendimento prestado.</t>
  </si>
  <si>
    <t>materiais de escritório padrão para uso exclusivo da area meio</t>
  </si>
  <si>
    <t>Valor provisionado para realização de seminário, encontros e ações vinculadas ao contrato de gestão.</t>
  </si>
  <si>
    <t>valor previsto para emergências vinculadas a deslocamentos que não disponham de veículo ou outro meio de transporte igualmente eficaz, desde que justificado e autorizado pelo setor responsável.</t>
  </si>
  <si>
    <t>Locação de veículos destinado a execução e acompanhamento das atividades realizadas nas 19 unidades socioeducativas pelas coordenações técnicas.</t>
  </si>
  <si>
    <t>valor previsto para fretes e carretos necessários durante a execução do contrato de gestão.</t>
  </si>
  <si>
    <t>Valor previsto para abastecimento de veículo destinado ao uso dos coordenadores técnicos em acompanhamento das atividades vinculadas ao Contrato de Gestão.</t>
  </si>
  <si>
    <t>Valor previsto para pagamento de estacionamento em deslocamentos que não seja possível outro meio de parada autorizada pela administração pública ou órgão responsável pela via.</t>
  </si>
  <si>
    <t>Valor previsto para eventual custo com veículos utilizados pela parceria e autorizados pelo supervisor do Contrato de Gestão</t>
  </si>
  <si>
    <t>Valores provisionados para eventual despesa de transporte para empregados vinculados ao contrato de gestão e que atuem na area meio ou conforme previa validação dos critérios previstos no RCC para sua concessão.</t>
  </si>
  <si>
    <t xml:space="preserve">Serviço responsável pelo acompanhamento dos processos e contratos vinculados ao Contrato de Gestão, treinamento jurídico trabalhista, assessoramento aos trabalhadores; acompanhamento jurídico dos contratos, emissão de parecer, laudos e reviões nas modalidades previstas no RCC (imóveis, prestadores de serviço e outros); </t>
  </si>
  <si>
    <t>Gerir processos externos de controle contábil, administrativo e financeiro da parceria. Por se tratar de verba pública é necessário a execução anual para assegurar processos confiáveis e modernos de apresentação de resultados. Serviço necessário para realizar diagnósticos de problemas operacionais objetivando a melhora nos processos de gestão, atendimento e aprimoramento da parceria e compliance.</t>
  </si>
  <si>
    <t>Despesa prevista para assegurar a participação da unidade socioeducativa em seminários, treinamentos, capacitações, reuniões, intercambio entre equipes, tudo de acordo com os produtos que devem ser entregues pela unidade socioeucativa;</t>
  </si>
  <si>
    <t>Valor provisionado para manuteção preventiva e corretiva de veículos alocados nas unidades socioeducativas.</t>
  </si>
  <si>
    <t>Despesa prevista para assegurar a participação de familiares de adolescentes nas atividades da unidade, realizar visitas; visitas do adolescente no territorio, a fim de assegurar manuteção de vínculos familiares e comunitários;</t>
  </si>
  <si>
    <t>Desmobilização casa de semiliberdade Bethania</t>
  </si>
  <si>
    <t>Aquisição de itens diversos não contemplados nas subcategorias anteriores e que irão compor as atividades e produtos previstos no Contrato de Gestão.</t>
  </si>
  <si>
    <t>Desmobilização casa de semiliberdade caminheiros de jesus</t>
  </si>
  <si>
    <t>Desmobilização casa de semiliberdade muriaé</t>
  </si>
  <si>
    <t>Desmobilização casa de semiliberdade Teófilo Otoni</t>
  </si>
  <si>
    <t>Desmobilização casa de semiliberdade Ipatinga</t>
  </si>
  <si>
    <t>Desmobilização casa de semiliberdade Governador Valadares</t>
  </si>
  <si>
    <t>Valor destinado a assegurar a mudança do imóvel atual para nova sede da unidade socioeducativa.</t>
  </si>
  <si>
    <t>Desmobilização casa de semiliberdade Santa Amélia</t>
  </si>
  <si>
    <t>Desmobilização casa de semiliberdade Ipiranga</t>
  </si>
  <si>
    <t>Desmobilização casa de semiliberdade Letícia</t>
  </si>
  <si>
    <t>Desmobilização casa de semiliberdade São Luiz</t>
  </si>
  <si>
    <t>Desmobilização casa de semiliberdade Venda Nova</t>
  </si>
  <si>
    <t>Desmobilização casa de semiliberdade Contagem</t>
  </si>
  <si>
    <t>Desmobilização casa de semiliberdade Ribeirão das Neves</t>
  </si>
  <si>
    <t>Desmobilização casa de semiliberdade Sete Lagoas</t>
  </si>
  <si>
    <t>Valor destinado a assegurar a mudança do imóvel previsto no contrato de gestão.</t>
  </si>
  <si>
    <t>Desmobilização casa de semiliberdade feminina Uberlândia</t>
  </si>
  <si>
    <t>Desmobilização casa de semiliberdade Patos de Minas</t>
  </si>
  <si>
    <t>Desmobilização casa de semiliberdade Patrocínio</t>
  </si>
  <si>
    <t>Desmobilização casa de semiliberdade Uberlândia</t>
  </si>
  <si>
    <t>Desmobilização casa de semiliberdade Uberaba</t>
  </si>
  <si>
    <t>Valor provisionado para realizar todo processo de adequação do imóvel que será necessário para realizar as atividades prevsitas no Contrato de Gestão.</t>
  </si>
  <si>
    <t>Valor provisionado para realizar todo processo desmobilização do imóvel atualmente locado, e adequação do imóvel que será necessário para realizar as atividades prevsitas no Contrato de Gestão.</t>
  </si>
  <si>
    <t>Aquisição de materiais necessários para implantação do sistema CFTV para as casas  femilina Uberlandia, Contagem, Ribeirão das Neves, Sete Lagoas, Ipiranga e São Luiz</t>
  </si>
  <si>
    <t>Aquisição de computador para rodagem do sistema CFTV na central de monitoramento que irá acompanhar as atividades vinculadas no Contrato de Gestão.</t>
  </si>
  <si>
    <t>Computador processador Core I7, memoria ram 16GB, SSD 480 GB e periféricos</t>
  </si>
  <si>
    <t>Smart TV 32'' e suportes</t>
  </si>
  <si>
    <t>Materiais, equipamentos e periféricos para montagem e instalação do CFTV conforme produto informado no plano de trabalho.</t>
  </si>
  <si>
    <t>Realização de cursos de brigada de incendio para todos os colaboradores vinculados ao Contrato de Gestão para manutenção do certificado AVCB.</t>
  </si>
  <si>
    <t>tablete wifi 32gb / tela 10,5</t>
  </si>
  <si>
    <t>Bateria Radio HT APX900</t>
  </si>
  <si>
    <t>Switch Gigabit  24 Portas</t>
  </si>
  <si>
    <t>Desenvolvimento e suporte de software para atendimento aos serviços prestados no ambito do contrato de gestão.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</si>
  <si>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</si>
  <si>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</si>
  <si>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</si>
  <si>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</si>
  <si>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</si>
  <si>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</si>
  <si>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</si>
  <si>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</si>
  <si>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</si>
  <si>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</si>
  <si>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</si>
  <si>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</si>
  <si>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</si>
  <si>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</si>
  <si>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</si>
  <si>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</si>
  <si>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</si>
  <si>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</si>
  <si>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</si>
  <si>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Serviço de controle de pragas urbanas e higienização de caixa d'água/reservatório de água</t>
  </si>
  <si>
    <t>Serviços de manutenção ou reparo de imóvel</t>
  </si>
  <si>
    <t>Serviço de carga e recarga de extintores</t>
  </si>
  <si>
    <t>Gás de cozinha</t>
  </si>
  <si>
    <t>Auto de Vistoria do Corpo de Bombeiros/Projeto contra Incêndio</t>
  </si>
  <si>
    <t>Roupa de Cama/Banho</t>
  </si>
  <si>
    <t>Artigos de higiene pessoal</t>
  </si>
  <si>
    <t>Equipamentos para segurança pessoal e industrial</t>
  </si>
  <si>
    <t>Medicamentos e produtos farmacêuticos</t>
  </si>
  <si>
    <t>Material elétrico e eletrônico</t>
  </si>
  <si>
    <t>Fotografias para registros</t>
  </si>
  <si>
    <t>2.2.63</t>
  </si>
  <si>
    <t>2.2.64</t>
  </si>
  <si>
    <t>2.2.65</t>
  </si>
  <si>
    <t>2.2.66</t>
  </si>
  <si>
    <t>2.2.67</t>
  </si>
  <si>
    <t>2.2.68</t>
  </si>
  <si>
    <t>2.2.69</t>
  </si>
  <si>
    <t>2.2.70</t>
  </si>
  <si>
    <t>2.2.71</t>
  </si>
  <si>
    <t>2.2.72</t>
  </si>
  <si>
    <t>2.2.73</t>
  </si>
  <si>
    <t>Serviço obrigatório para adequação sanitária do serviço prestado conforme exigência municipal. Segue cronograma de serviço a cada 3 meses;</t>
  </si>
  <si>
    <t>Aquisição de cofre necessário para entrega do produto previsto nos ciclos de avaliação e programa de trabalho previsto para o Contrato de Gestão.</t>
  </si>
  <si>
    <t>Aquisição de materiais necessários para atender as demandas de segurança socioeducativa prevista no plano de trabalho.</t>
  </si>
  <si>
    <t>Aquisição de bens necessários para as atividades vinculadas ao atendimento nas unidades socioeducativas São Luiz /Ipiranga /Contagem e Feminina de Uberlândia.</t>
  </si>
  <si>
    <t>Aquisição de 03 botijões de gás para atender as unidades socioeducativas São Luiz /Ipiranga /Contagem e Feminina de Uberlândia.</t>
  </si>
  <si>
    <t>Aquisição de 1 maquina de lavar para atender as unidades socioeducativas São Luiz /Ipiranga /Contagem e Feminina de Uberlândia.</t>
  </si>
  <si>
    <t>Aquisição deum microondas para atender  as atividades vinculadas ao atendimento nas unidades socioeducativas São Luiz /Ipiranga /Contagem e Feminina de Uberlândia.</t>
  </si>
  <si>
    <t>Aquisição de até 2 TVs para atender as atividades vinculadas as unidades socioeducativas São Luiz /Ipiranga /Contagem e Feminina de Uberlândia.</t>
  </si>
  <si>
    <t>Aquisição de uma TV para implantação do sistema CFTV das casas  femilina Uberlandia, Contagem, Ribeirão das Neves, Sete Lagoas, Ipiranga e São Luiz; e aquisição de uma TV para adequação do CFTV nas casas de Uberaba, Uberlandia, Patrocínio, Patos de Minas e Letícia;</t>
  </si>
  <si>
    <t>Aquisição de forno a gás para atender as atividades e oficinas previstas nas unidades socioeducativas São Luiz /Ipiranga /Contagem e Feminina de Uberlândia.</t>
  </si>
  <si>
    <t>Aquisição de uma chapa bifiteira para atender as oficinas e atividades das unidades socioeducativas São Luiz /Ipiranga /Contagem e Feminina de Uberlândia.</t>
  </si>
  <si>
    <t>Aquisição de um liquidificador industrial para atender as atividades e oficinas que serão desenvolvidas nas unidades socioeducativas São Luiz /Ipiranga /Contagem e Feminina de Uberlândia.</t>
  </si>
  <si>
    <t>Aquisição de um bebedeouro de coluna para atender as unidades socioeducativas São Luiz /Ipiranga /Contagem e Feminina de Uberlândia.</t>
  </si>
  <si>
    <t>Aquisição de um purificador de agua para atender as equipes socioeducativas das unidades São Luiz /Ipiranga /Contagem e Feminina de Uberlândia.</t>
  </si>
  <si>
    <t>Aquisição de ventiladores suficientes para melhor acomodação e climatização das unidades socioeducativas São Luiz /Ipiranga /Contagem e Feminina de Uberlândia.</t>
  </si>
  <si>
    <t>Aquisição de ar condicionado para adequação dos ambientes das unidades socieoeducativas São Luiz /Ipiranga /Contagem e Feminina de Uberlândia.</t>
  </si>
  <si>
    <t>Aquisição de extintor de incêndio para atender exigência de projeto para autorização do AVCB  São Luiz /Ipiranga /Contagem e Feminina de Uberlândia.</t>
  </si>
  <si>
    <t>lixeira de 100/200 litros com rodas</t>
  </si>
  <si>
    <t>Aquisição de aparelho para reposição ou troca de bens em uso nas unidades socioeducativas</t>
  </si>
  <si>
    <t>Aquisição de novos computadores para reposição, subistituição ou ampliação do setor de atendimento.</t>
  </si>
  <si>
    <t>Reposiçao de equipamentos</t>
  </si>
  <si>
    <t xml:space="preserve">reposição de bens </t>
  </si>
  <si>
    <t>reposição de bens</t>
  </si>
  <si>
    <t>Reposiçao materiais outros</t>
  </si>
  <si>
    <t xml:space="preserve">Reposição de materiais não descritos e fundamentais para execução de atividades vinculadas ao contrato de gestão, para entrega de novos produtos, alteração de indicadores ou por força de acordo/determinação judicial </t>
  </si>
  <si>
    <t>Aquição de materiais, reposição de equipamentos que sejam objeto de atendimento a produtos vinculados ao Contrato de Gestão, que atendam a indicadores de resultado ou mesmo que sejam originários de decisão ou acordo judicla emanado do OEP.</t>
  </si>
  <si>
    <t xml:space="preserve">reposição de equipamentos de comunicação e telefonia previstos nas unidades socioeducativas </t>
  </si>
  <si>
    <t>reposição de materiais</t>
  </si>
  <si>
    <t>Resposição de materiais de informatica essenciais para desenvolvimento das atividades nas unidades socioeducativas</t>
  </si>
  <si>
    <t>Reposição de materiais esportivos diversos que são utilizados nas atividades esportiva educacional</t>
  </si>
  <si>
    <t>Reposição de equipamentos e funcionamento do CFTV, cameras, cabos, aparelhos, TVs etc.</t>
  </si>
  <si>
    <t>Reposição de equipamentos de som e video não previstos nas atividades e que tenham relação direta com o cumprimento de algum indicador de resultado pactuado ou previso para resultado dos ciclos de avaliação</t>
  </si>
  <si>
    <t>Aquisição, reposição e maquinas, aparelhos, utensílios e outros equipamentos de uso administrativo para uso nas atividades previsitas no  Contrato de Gestão.</t>
  </si>
  <si>
    <t>Reposição de equipamentos necessários e fundamentais para desenvolvimento das atividades da cozinha escola</t>
  </si>
  <si>
    <t>Gastos com despesas administrativas finais após encerramento do Contrato de Gestão.</t>
  </si>
  <si>
    <t>Reserva de recurso mensal para realização de reparo, manutenção ou adequação na unidade socioeducativa</t>
  </si>
  <si>
    <t>Aquisição de artigos de higiene pessoal para adolescentes em cumprimento de medida socioeducativa</t>
  </si>
  <si>
    <t>Aquisção de medicamentos eventualmente inexistente na rede de saúde pública local</t>
  </si>
  <si>
    <t>compra de pequena monta de materiais eletricos ou eletronicos e que não estejam disponíveis como compra geral feita pela area meio</t>
  </si>
  <si>
    <t>reserva de recurso para retirar fotografia de adolescentes em caso de demanda.</t>
  </si>
  <si>
    <t>Compra de gás para realização das atividades, oficinas e demais ações necessárias ao atendimento</t>
  </si>
  <si>
    <t>serviço de recarga e manuteção de estintores instalados na unidade socioeducativa, incluindo troca ou reposição de placas sinalizadoras.</t>
  </si>
  <si>
    <t>resposição de roupas de roupas de cama e banho para adolescentes;</t>
  </si>
  <si>
    <t>seguro obrigatório e licenciamento de veículo cedido.</t>
  </si>
  <si>
    <t xml:space="preserve">Serviços de assessoria administrativa a fim de garantir todo o funcionamento do Contrato de Gestão, compras, processos de organização documental, prestação de contas; buscando um funcionamento mais organizado, fluido e acima de tudo otimizado. É serviço essencial junto com a contabilidade para assegurar as melhores práticas de administração. </t>
  </si>
  <si>
    <t>Assessoria administrativa para aquisições de bens e serviços; treinamento, controle e lançamento de patrimônio;  além de toda otimização necessária a atingir os objetivos da parceria.</t>
  </si>
  <si>
    <t xml:space="preserve"> </t>
  </si>
  <si>
    <t>Realização de cursos de brigada de incendio para todos os colaboradores vinculados ao Contrato de Gestão para manutenção do certificado AVCB, e valores correspondente a renovação documental</t>
  </si>
  <si>
    <t>Aquisição de compuputadores para unidades socioeducativas São Luis e Ipiranga</t>
  </si>
  <si>
    <t>resposição de utensílios, materiais e outros bens necessários para realização das atividades da cozinha escola.</t>
  </si>
  <si>
    <t>Certificado digital necessário para setor de contabilidade.</t>
  </si>
  <si>
    <t>custo mensal de agua e esgoto para uso da area meio.</t>
  </si>
  <si>
    <t>Aquisição de cofre para atendimento nas casas de Ribeirão das Neves e Sete Lagoas</t>
  </si>
  <si>
    <t>Aquisição de materiais necessários para as atividades vinculadas ao atendimento nas unidades socioeducativas Sete Lagos</t>
  </si>
  <si>
    <t>Aquisição de materiais necessários para as atividades vinculadas ao atendimento nas unidades socioeducativas Ribeirão das Neves</t>
  </si>
  <si>
    <t>Item necessário para implantação do produto Cozinha escola prevista no Plano de Trabalho do Contrato de Gestão naquelas unidades socioeducativas que tiverem espaço</t>
  </si>
  <si>
    <t>Despesa prevista para assegurar a participação da unidade socioeducativa em seminários, treinamentos, capacitações, reuniões, intercambio entre equipes, tudo de acordo com os produtos que devem ser entregues pela unidade socioeucativa. Diária de passagem</t>
  </si>
  <si>
    <t>Valores provisionados para eventual despesa de transporte para empregados vinculados ao contrato de gestão e que atuem na area meio ou conforme previa validação dos critérios previstos no RCC para sua concessão. Despesa de diária de viagem</t>
  </si>
  <si>
    <t xml:space="preserve">Aquisição de materiais para implementação de oficinas esportivas de acordo como programa de trabalho do Contrato de Gestão </t>
  </si>
  <si>
    <t>Coordenador Técnico 2</t>
  </si>
  <si>
    <t>Coordenador Técnico 1</t>
  </si>
  <si>
    <t>Valor previsto para manuteção do imóvel que será gerenciado a partir de dezembro de 2023.</t>
  </si>
  <si>
    <t>Outros gastos necessários para adequação da unidades para cumprimento das demandas metodológicas e adaptabilidade da unidade socioeducativa.</t>
  </si>
  <si>
    <t>Ar condicionado 9000 btus</t>
  </si>
  <si>
    <t>Ar condicionado 12000 btus</t>
  </si>
  <si>
    <t>Material de higiene pessoal para uso da area meio</t>
  </si>
  <si>
    <t>Assessoria de RH para os processos de contratação de pessoal em número incial acima de 200 empregados vinculados ao contrato de gestão, respeitados os critérios e condições do RCC, eficácia, eficiencia e publicidade além de todos os principios da administração pública.</t>
  </si>
  <si>
    <t>Assessoria de RH para os processos de recrutamento e seleção permanente, respeitados os critérios e condições do RCC, eficácia, eficiencia e publicidade além de todos os principios da administração pública.</t>
  </si>
  <si>
    <t>Valor provisionado para despesas de menor monta, correspondente ao previso no RCC.</t>
  </si>
  <si>
    <t>Recurso provisionado para manutenção e reparo do imóvel conforme plano de trabalho</t>
  </si>
  <si>
    <t>Valor provisionado para despesas emergenciais nas unidades socioeducativas</t>
  </si>
  <si>
    <t>Memória de Cálculo
Contrato de Gestão nº 10/2023 celebrado entre a Secretaria de Estado de Justiça e Segurança Pública - SEJUSP e  o Pólo de Evolução de Medidas Socioeducativas</t>
  </si>
  <si>
    <t>FERNANDO RINCO ROCHA</t>
  </si>
  <si>
    <t>PRESIDENTE</t>
  </si>
  <si>
    <t>765.451.486-72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</si>
</sst>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R$ &quot;* #,##0.00_);_(&quot;R$ &quot;* \(#,##0.00\);_(&quot;R$ &quot;* \-??_);_(@_)"/>
    <numFmt numFmtId="165" formatCode="_(* #,##0.00_);_(* \(#,##0.00\);_(* \-??_);_(@_)"/>
    <numFmt numFmtId="166" formatCode="mmm/yyyy"/>
    <numFmt numFmtId="167" formatCode="d/m/yyyy"/>
    <numFmt numFmtId="168" formatCode="yyyy"/>
    <numFmt numFmtId="169" formatCode="_(* #,##0_);_(* \(#,##0\);_(* \-??_);_(@_)"/>
    <numFmt numFmtId="170" formatCode="00"/>
  </numFmts>
  <fonts count="39">
    <font>
      <sz val="10"/>
      <name val="Arial"/>
      <charset val="134"/>
    </font>
    <font>
      <sz val="11"/>
      <color rgb="FF000000"/>
      <name val="Calibri"/>
      <family val="2"/>
    </font>
    <font>
      <sz val="11"/>
      <name val="Times New Roman"/>
      <family val="1"/>
    </font>
    <font>
      <b/>
      <sz val="16"/>
      <name val="Arial"/>
      <family val="2"/>
    </font>
    <font>
      <b/>
      <sz val="16"/>
      <color rgb="FFFF0000"/>
      <name val="Arial"/>
      <family val="2"/>
    </font>
    <font>
      <sz val="18"/>
      <name val="Arial"/>
      <family val="2"/>
    </font>
    <font>
      <b/>
      <sz val="14"/>
      <name val="Arial"/>
      <family val="2"/>
    </font>
    <font>
      <sz val="14"/>
      <name val="Arial"/>
      <family val="2"/>
    </font>
    <font>
      <sz val="14"/>
      <color rgb="FFFF0000"/>
      <name val="Arial"/>
      <family val="2"/>
    </font>
    <font>
      <b/>
      <sz val="12"/>
      <name val="Arial"/>
      <family val="2"/>
    </font>
    <font>
      <sz val="11"/>
      <color rgb="FFFF0000"/>
      <name val="Times New Roman"/>
      <family val="1"/>
    </font>
    <font>
      <b/>
      <sz val="11"/>
      <name val="Arial"/>
      <family val="2"/>
    </font>
    <font>
      <b/>
      <sz val="10"/>
      <name val="Arial"/>
      <family val="2"/>
    </font>
    <font>
      <b/>
      <sz val="11"/>
      <name val="Calibri"/>
      <family val="2"/>
    </font>
    <font>
      <sz val="11"/>
      <name val="Calibri"/>
      <family val="2"/>
    </font>
    <font>
      <sz val="8"/>
      <name val="Verdana"/>
      <family val="2"/>
    </font>
    <font>
      <b/>
      <sz val="8"/>
      <name val="Verdana"/>
      <family val="2"/>
    </font>
    <font>
      <b/>
      <sz val="11"/>
      <name val="Verdana"/>
      <family val="2"/>
    </font>
    <font>
      <b/>
      <sz val="8"/>
      <name val="Arial"/>
      <family val="2"/>
    </font>
    <font>
      <sz val="7.8"/>
      <name val="Arial"/>
      <family val="2"/>
    </font>
    <font>
      <sz val="8"/>
      <name val="Arial"/>
      <family val="2"/>
    </font>
    <font>
      <b/>
      <sz val="7.8"/>
      <name val="Arial"/>
      <family val="2"/>
    </font>
    <font>
      <sz val="12"/>
      <name val="Arial"/>
      <family val="2"/>
    </font>
    <font>
      <b/>
      <i/>
      <sz val="8"/>
      <name val="Arial"/>
      <family val="2"/>
    </font>
    <font>
      <sz val="9"/>
      <name val="Arial"/>
      <family val="2"/>
    </font>
    <font>
      <sz val="10"/>
      <color rgb="FFFF0000"/>
      <name val="Arial"/>
      <family val="2"/>
    </font>
    <font>
      <b/>
      <sz val="9"/>
      <name val="Arial"/>
      <family val="2"/>
    </font>
    <font>
      <sz val="16"/>
      <name val="Arial"/>
      <family val="2"/>
    </font>
    <font>
      <sz val="20"/>
      <name val="Arial"/>
      <family val="2"/>
    </font>
    <font>
      <b/>
      <sz val="20"/>
      <name val="Arial"/>
      <family val="2"/>
    </font>
    <font>
      <i/>
      <sz val="18"/>
      <color rgb="FFFF0000"/>
      <name val="Arial"/>
      <family val="2"/>
    </font>
    <font>
      <i/>
      <sz val="18"/>
      <color rgb="FFFF0000"/>
      <name val="Times New Roman"/>
      <family val="1"/>
    </font>
    <font>
      <sz val="11"/>
      <name val="Arial"/>
      <family val="2"/>
    </font>
    <font>
      <sz val="11"/>
      <color rgb="FF000000"/>
      <name val="Arial"/>
      <family val="2"/>
    </font>
    <font>
      <sz val="10"/>
      <name val="Arial"/>
      <family val="2"/>
    </font>
    <font>
      <sz val="8"/>
      <name val="Arial"/>
      <family val="2"/>
    </font>
    <font>
      <b/>
      <sz val="8"/>
      <name val="Arial"/>
      <family val="2"/>
    </font>
    <font>
      <sz val="9"/>
      <name val="Arial"/>
      <family val="2"/>
    </font>
    <font>
      <i/>
      <sz val="16"/>
      <name val="Arial"/>
      <family val="2"/>
    </font>
  </fonts>
  <fills count="10">
    <fill>
      <patternFill patternType="none"/>
    </fill>
    <fill>
      <patternFill patternType="gray125"/>
    </fill>
    <fill>
      <patternFill patternType="solid">
        <fgColor rgb="FFFFFFFF"/>
        <bgColor rgb="FFF2F2F2"/>
      </patternFill>
    </fill>
    <fill>
      <patternFill patternType="solid">
        <fgColor rgb="FFBFBFBF"/>
        <bgColor rgb="FFA6A6A6"/>
      </patternFill>
    </fill>
    <fill>
      <patternFill patternType="solid">
        <fgColor rgb="FFFDEADA"/>
        <bgColor rgb="FFF2F2F2"/>
      </patternFill>
    </fill>
    <fill>
      <patternFill patternType="solid">
        <fgColor rgb="FF7F7F7F"/>
        <bgColor rgb="FF666699"/>
      </patternFill>
    </fill>
    <fill>
      <patternFill patternType="solid">
        <fgColor rgb="FFFAC090"/>
        <bgColor rgb="FFD9D9D9"/>
      </patternFill>
    </fill>
    <fill>
      <patternFill patternType="solid">
        <fgColor rgb="FFA6A6A6"/>
        <bgColor rgb="FFBFBFBF"/>
      </patternFill>
    </fill>
    <fill>
      <patternFill patternType="solid">
        <fgColor rgb="FFD9D9D9"/>
        <bgColor rgb="FFFDEADA"/>
      </patternFill>
    </fill>
    <fill>
      <patternFill patternType="solid">
        <fgColor rgb="FFF2F2F2"/>
        <bgColor rgb="FFFDEADA"/>
      </patternFill>
    </fill>
  </fills>
  <borders count="39">
    <border>
      <left/>
      <right/>
      <top/>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right/>
      <top style="medium">
        <color auto="1"/>
      </top>
      <bottom style="medium">
        <color auto="1"/>
      </bottom>
      <diagonal/>
    </border>
    <border>
      <left/>
      <right/>
      <top style="thin">
        <color auto="1"/>
      </top>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style="medium">
        <color auto="1"/>
      </right>
      <top/>
      <bottom/>
      <diagonal/>
    </border>
    <border>
      <left style="medium">
        <color auto="1"/>
      </left>
      <right/>
      <top/>
      <bottom/>
      <diagonal/>
    </border>
    <border>
      <left/>
      <right style="thin">
        <color auto="1"/>
      </right>
      <top/>
      <bottom/>
      <diagonal/>
    </border>
    <border>
      <left style="thin">
        <color auto="1"/>
      </left>
      <right style="thin">
        <color auto="1"/>
      </right>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medium">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style="dotted">
        <color auto="1"/>
      </left>
      <right style="dotted">
        <color auto="1"/>
      </right>
      <top/>
      <bottom style="medium">
        <color auto="1"/>
      </bottom>
      <diagonal/>
    </border>
    <border>
      <left style="dotted">
        <color auto="1"/>
      </left>
      <right style="thin">
        <color auto="1"/>
      </right>
      <top/>
      <bottom/>
      <diagonal/>
    </border>
    <border>
      <left style="dotted">
        <color auto="1"/>
      </left>
      <right style="dotted">
        <color auto="1"/>
      </right>
      <top style="medium">
        <color auto="1"/>
      </top>
      <bottom/>
      <diagonal/>
    </border>
    <border>
      <left style="dotted">
        <color auto="1"/>
      </left>
      <right style="dotted">
        <color auto="1"/>
      </right>
      <top/>
      <bottom/>
      <diagonal/>
    </border>
    <border>
      <left style="dotted">
        <color auto="1"/>
      </left>
      <right/>
      <top/>
      <bottom/>
      <diagonal/>
    </border>
    <border>
      <left style="thin">
        <color auto="1"/>
      </left>
      <right/>
      <top/>
      <bottom style="thin">
        <color auto="1"/>
      </bottom>
      <diagonal/>
    </border>
  </borders>
  <cellStyleXfs count="14">
    <xf numFmtId="0" fontId="0" fillId="0" borderId="0"/>
    <xf numFmtId="165" fontId="34" fillId="0" borderId="0" applyBorder="0" applyProtection="0"/>
    <xf numFmtId="9" fontId="34" fillId="0" borderId="0" applyBorder="0" applyProtection="0"/>
    <xf numFmtId="164" fontId="34" fillId="0" borderId="0" applyBorder="0" applyProtection="0"/>
    <xf numFmtId="164" fontId="34" fillId="0" borderId="0" applyBorder="0" applyProtection="0"/>
    <xf numFmtId="164" fontId="34" fillId="0" borderId="0" applyBorder="0" applyProtection="0"/>
    <xf numFmtId="0" fontId="34" fillId="0" borderId="0"/>
    <xf numFmtId="0" fontId="34" fillId="0" borderId="0"/>
    <xf numFmtId="0" fontId="34" fillId="0" borderId="0"/>
    <xf numFmtId="0" fontId="34" fillId="0" borderId="0"/>
    <xf numFmtId="0" fontId="1" fillId="0" borderId="0"/>
    <xf numFmtId="0" fontId="1" fillId="0" borderId="0"/>
    <xf numFmtId="9" fontId="34" fillId="0" borderId="0" applyBorder="0" applyProtection="0"/>
    <xf numFmtId="165" fontId="34" fillId="0" borderId="0" applyBorder="0" applyProtection="0"/>
  </cellStyleXfs>
  <cellXfs count="418">
    <xf numFmtId="0" fontId="0" fillId="0" borderId="0" xfId="0"/>
    <xf numFmtId="0" fontId="2" fillId="2" borderId="0" xfId="7" applyFont="1" applyFill="1"/>
    <xf numFmtId="0" fontId="3" fillId="2" borderId="0" xfId="7" applyFont="1" applyFill="1" applyAlignment="1" applyProtection="1">
      <alignment horizontal="center" vertical="center" wrapText="1"/>
      <protection locked="0"/>
    </xf>
    <xf numFmtId="0" fontId="4" fillId="2" borderId="0" xfId="7" applyFont="1" applyFill="1" applyAlignment="1" applyProtection="1">
      <alignment horizontal="center"/>
      <protection locked="0"/>
    </xf>
    <xf numFmtId="0" fontId="5" fillId="2" borderId="0" xfId="7" applyFont="1" applyFill="1" applyAlignment="1">
      <alignment horizontal="center"/>
    </xf>
    <xf numFmtId="0" fontId="6" fillId="2" borderId="0" xfId="7" applyFont="1" applyFill="1" applyAlignment="1">
      <alignment horizontal="center"/>
    </xf>
    <xf numFmtId="166" fontId="7" fillId="2" borderId="0" xfId="0" applyNumberFormat="1" applyFont="1" applyFill="1" applyAlignment="1" applyProtection="1">
      <alignment horizontal="center"/>
      <protection locked="0"/>
    </xf>
    <xf numFmtId="0" fontId="7" fillId="2" borderId="0" xfId="0" applyFont="1" applyFill="1" applyAlignment="1" applyProtection="1">
      <alignment horizontal="center"/>
      <protection locked="0"/>
    </xf>
    <xf numFmtId="0" fontId="8" fillId="2" borderId="0" xfId="0" applyFont="1" applyFill="1" applyAlignment="1" applyProtection="1">
      <alignment horizontal="center"/>
      <protection locked="0"/>
    </xf>
    <xf numFmtId="0" fontId="9" fillId="2" borderId="1" xfId="0" applyFont="1" applyFill="1" applyBorder="1" applyAlignment="1" applyProtection="1">
      <alignment horizontal="center" vertical="center"/>
      <protection locked="0"/>
    </xf>
    <xf numFmtId="0" fontId="10" fillId="2" borderId="0" xfId="7" applyFont="1" applyFill="1" applyProtection="1">
      <protection locked="0"/>
    </xf>
    <xf numFmtId="167" fontId="2" fillId="2" borderId="0" xfId="7" applyNumberFormat="1" applyFont="1" applyFill="1" applyAlignment="1">
      <alignment horizontal="left" vertical="center"/>
    </xf>
    <xf numFmtId="0" fontId="11" fillId="0" borderId="0" xfId="0" applyFont="1" applyAlignment="1">
      <alignment horizontal="center" vertical="center"/>
    </xf>
    <xf numFmtId="0" fontId="12" fillId="0" borderId="0" xfId="0" applyFont="1" applyAlignment="1">
      <alignment horizontal="left" vertical="center"/>
    </xf>
    <xf numFmtId="0" fontId="0" fillId="0" borderId="2" xfId="0" applyBorder="1" applyAlignment="1" applyProtection="1">
      <alignment horizontal="center" vertical="center"/>
      <protection locked="0"/>
    </xf>
    <xf numFmtId="0" fontId="12" fillId="0" borderId="0" xfId="0" applyFont="1"/>
    <xf numFmtId="0" fontId="0" fillId="0" borderId="0" xfId="0" applyAlignment="1">
      <alignment horizontal="left" vertical="center"/>
    </xf>
    <xf numFmtId="0" fontId="0" fillId="0" borderId="0" xfId="0" applyAlignment="1">
      <alignment horizontal="center" vertical="center"/>
    </xf>
    <xf numFmtId="17" fontId="0" fillId="0" borderId="2" xfId="0" applyNumberFormat="1" applyBorder="1" applyAlignment="1" applyProtection="1">
      <alignment horizontal="center" vertical="center"/>
      <protection locked="0"/>
    </xf>
    <xf numFmtId="2" fontId="0" fillId="0" borderId="0" xfId="0" applyNumberFormat="1"/>
    <xf numFmtId="0" fontId="12"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0" xfId="0" applyFont="1" applyAlignment="1">
      <alignment horizontal="center" vertical="center" wrapText="1"/>
    </xf>
    <xf numFmtId="0" fontId="13" fillId="4" borderId="0" xfId="0" applyFont="1" applyFill="1" applyAlignment="1">
      <alignment horizontal="center" vertical="center" wrapText="1"/>
    </xf>
    <xf numFmtId="2" fontId="13" fillId="3" borderId="4" xfId="0" applyNumberFormat="1" applyFont="1" applyFill="1" applyBorder="1" applyAlignment="1">
      <alignment horizontal="center" vertical="center" wrapText="1"/>
    </xf>
    <xf numFmtId="2" fontId="13" fillId="5" borderId="4" xfId="0" applyNumberFormat="1" applyFont="1" applyFill="1" applyBorder="1" applyAlignment="1">
      <alignment horizontal="center" vertical="center" wrapText="1"/>
    </xf>
    <xf numFmtId="0" fontId="13" fillId="6" borderId="4"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horizontal="right" vertical="center"/>
    </xf>
    <xf numFmtId="166" fontId="0" fillId="0" borderId="0" xfId="0" applyNumberFormat="1" applyAlignment="1">
      <alignment horizontal="right" vertical="center"/>
    </xf>
    <xf numFmtId="0" fontId="0" fillId="0" borderId="0" xfId="0" applyProtection="1">
      <protection locked="0"/>
    </xf>
    <xf numFmtId="1" fontId="0" fillId="0" borderId="0" xfId="0" applyNumberFormat="1" applyAlignment="1">
      <alignment horizontal="right" vertical="center"/>
    </xf>
    <xf numFmtId="4" fontId="0" fillId="0" borderId="0" xfId="0" applyNumberFormat="1" applyAlignment="1">
      <alignment horizontal="right" vertical="center"/>
    </xf>
    <xf numFmtId="0" fontId="14" fillId="2" borderId="0" xfId="0" applyFont="1" applyFill="1" applyAlignment="1">
      <alignment horizontal="center" vertical="center" wrapText="1"/>
    </xf>
    <xf numFmtId="166" fontId="14" fillId="0" borderId="0" xfId="0" applyNumberFormat="1" applyFont="1" applyAlignment="1">
      <alignment horizontal="center" vertical="center" wrapText="1"/>
    </xf>
    <xf numFmtId="4" fontId="14" fillId="2" borderId="0" xfId="0" applyNumberFormat="1" applyFont="1" applyFill="1" applyAlignment="1">
      <alignment horizontal="center" vertical="center" wrapText="1"/>
    </xf>
    <xf numFmtId="166" fontId="14" fillId="2" borderId="0" xfId="0" applyNumberFormat="1" applyFont="1" applyFill="1" applyAlignment="1">
      <alignment horizontal="center" vertical="center" wrapText="1"/>
    </xf>
    <xf numFmtId="0" fontId="14" fillId="2" borderId="0" xfId="0" applyFont="1" applyFill="1" applyAlignment="1">
      <alignment horizontal="left" vertical="center" wrapText="1"/>
    </xf>
    <xf numFmtId="0" fontId="0" fillId="2" borderId="0" xfId="0" applyFill="1"/>
    <xf numFmtId="166" fontId="0" fillId="4" borderId="0" xfId="0" applyNumberFormat="1" applyFill="1"/>
    <xf numFmtId="166" fontId="14" fillId="4" borderId="0" xfId="0" applyNumberFormat="1" applyFont="1" applyFill="1" applyAlignment="1">
      <alignment horizontal="center" vertical="center" wrapText="1"/>
    </xf>
    <xf numFmtId="4" fontId="0" fillId="0" borderId="4" xfId="0" applyNumberFormat="1" applyBorder="1"/>
    <xf numFmtId="4" fontId="0" fillId="2" borderId="4" xfId="0" applyNumberFormat="1" applyFill="1" applyBorder="1"/>
    <xf numFmtId="0" fontId="0" fillId="2" borderId="0" xfId="0" applyFill="1" applyAlignment="1">
      <alignment horizontal="center" vertical="center"/>
    </xf>
    <xf numFmtId="0" fontId="0" fillId="0" borderId="0" xfId="0" applyAlignment="1" applyProtection="1">
      <alignment horizontal="right" vertical="center"/>
      <protection locked="0"/>
    </xf>
    <xf numFmtId="0" fontId="0" fillId="4" borderId="0" xfId="0" applyFill="1"/>
    <xf numFmtId="0" fontId="0" fillId="0" borderId="3" xfId="0" applyBorder="1" applyAlignment="1">
      <alignment horizontal="right" vertical="center"/>
    </xf>
    <xf numFmtId="166" fontId="0" fillId="0" borderId="3" xfId="0" applyNumberFormat="1" applyBorder="1" applyAlignment="1">
      <alignment horizontal="right" vertical="center"/>
    </xf>
    <xf numFmtId="0" fontId="15" fillId="0" borderId="0" xfId="7" applyFont="1" applyAlignment="1" applyProtection="1">
      <alignment vertical="center"/>
      <protection locked="0"/>
    </xf>
    <xf numFmtId="0" fontId="16" fillId="0" borderId="0" xfId="7" applyFont="1" applyAlignment="1" applyProtection="1">
      <alignment vertical="center"/>
      <protection locked="0"/>
    </xf>
    <xf numFmtId="10" fontId="15" fillId="0" borderId="0" xfId="2" applyNumberFormat="1" applyFont="1" applyBorder="1" applyAlignment="1" applyProtection="1">
      <alignment vertical="center"/>
      <protection locked="0"/>
    </xf>
    <xf numFmtId="4" fontId="15" fillId="0" borderId="0" xfId="7" applyNumberFormat="1" applyFont="1" applyAlignment="1" applyProtection="1">
      <alignment vertical="center"/>
      <protection locked="0"/>
    </xf>
    <xf numFmtId="0" fontId="15" fillId="2" borderId="0" xfId="7" applyFont="1" applyFill="1" applyAlignment="1" applyProtection="1">
      <alignment vertical="center"/>
      <protection locked="0"/>
    </xf>
    <xf numFmtId="0" fontId="11" fillId="2" borderId="0" xfId="0" applyFont="1" applyFill="1" applyAlignment="1">
      <alignment vertical="center" wrapText="1"/>
    </xf>
    <xf numFmtId="0" fontId="17" fillId="2" borderId="0" xfId="7" applyFont="1" applyFill="1" applyAlignment="1" applyProtection="1">
      <alignment vertical="center"/>
      <protection locked="0"/>
    </xf>
    <xf numFmtId="4" fontId="17" fillId="2" borderId="0" xfId="7" applyNumberFormat="1" applyFont="1" applyFill="1" applyAlignment="1" applyProtection="1">
      <alignment vertical="center"/>
      <protection locked="0"/>
    </xf>
    <xf numFmtId="0" fontId="11" fillId="2" borderId="5" xfId="0" applyFont="1" applyFill="1" applyBorder="1" applyAlignment="1">
      <alignment horizontal="left" vertical="center"/>
    </xf>
    <xf numFmtId="0" fontId="11" fillId="2" borderId="5" xfId="0" applyFont="1" applyFill="1" applyBorder="1" applyAlignment="1">
      <alignment vertical="center" wrapText="1"/>
    </xf>
    <xf numFmtId="0" fontId="18" fillId="3" borderId="6" xfId="0" applyFont="1" applyFill="1" applyBorder="1" applyAlignment="1">
      <alignment horizontal="left" vertical="center" wrapText="1"/>
    </xf>
    <xf numFmtId="166" fontId="18" fillId="3" borderId="6" xfId="7" applyNumberFormat="1" applyFont="1" applyFill="1" applyBorder="1" applyAlignment="1">
      <alignment horizontal="right" vertical="center" wrapText="1"/>
    </xf>
    <xf numFmtId="0" fontId="18" fillId="3" borderId="6" xfId="7" applyFont="1" applyFill="1" applyBorder="1" applyAlignment="1">
      <alignment horizontal="right" vertical="center" wrapText="1"/>
    </xf>
    <xf numFmtId="10" fontId="18" fillId="3" borderId="6" xfId="2" applyNumberFormat="1" applyFont="1" applyFill="1" applyBorder="1" applyAlignment="1" applyProtection="1">
      <alignment horizontal="right" vertical="center" wrapText="1"/>
    </xf>
    <xf numFmtId="0" fontId="18" fillId="2" borderId="6" xfId="7" applyFont="1" applyFill="1" applyBorder="1" applyAlignment="1">
      <alignment horizontal="left" vertical="center" wrapText="1"/>
    </xf>
    <xf numFmtId="165" fontId="19" fillId="2" borderId="6" xfId="1" applyFont="1" applyFill="1" applyBorder="1" applyAlignment="1" applyProtection="1">
      <alignment horizontal="right" vertical="center" wrapText="1"/>
    </xf>
    <xf numFmtId="165" fontId="18" fillId="2" borderId="6" xfId="7" applyNumberFormat="1" applyFont="1" applyFill="1" applyBorder="1" applyAlignment="1">
      <alignment horizontal="right" vertical="center" wrapText="1"/>
    </xf>
    <xf numFmtId="10" fontId="18" fillId="2" borderId="6" xfId="2" applyNumberFormat="1" applyFont="1" applyFill="1" applyBorder="1" applyAlignment="1" applyProtection="1">
      <alignment horizontal="right" vertical="center" wrapText="1"/>
    </xf>
    <xf numFmtId="165" fontId="21" fillId="2" borderId="0" xfId="1" applyFont="1" applyFill="1" applyBorder="1" applyAlignment="1" applyProtection="1">
      <alignment horizontal="right" vertical="center" wrapText="1"/>
    </xf>
    <xf numFmtId="165" fontId="21" fillId="2" borderId="7" xfId="1" applyFont="1" applyFill="1" applyBorder="1" applyAlignment="1" applyProtection="1">
      <alignment horizontal="right" vertical="center" wrapText="1"/>
    </xf>
    <xf numFmtId="0" fontId="18" fillId="2" borderId="7" xfId="7" applyFont="1" applyFill="1" applyBorder="1" applyAlignment="1">
      <alignment horizontal="right" vertical="center" wrapText="1"/>
    </xf>
    <xf numFmtId="10" fontId="18" fillId="2" borderId="7" xfId="2" applyNumberFormat="1" applyFont="1" applyFill="1" applyBorder="1" applyAlignment="1" applyProtection="1">
      <alignment horizontal="right" vertical="center" wrapText="1"/>
    </xf>
    <xf numFmtId="0" fontId="18" fillId="3" borderId="6" xfId="7" applyFont="1" applyFill="1" applyBorder="1" applyAlignment="1">
      <alignment horizontal="left" vertical="center" wrapText="1"/>
    </xf>
    <xf numFmtId="4" fontId="18" fillId="3" borderId="6" xfId="7" applyNumberFormat="1" applyFont="1" applyFill="1" applyBorder="1" applyAlignment="1">
      <alignment horizontal="right" vertical="center" wrapText="1"/>
    </xf>
    <xf numFmtId="0" fontId="20" fillId="2" borderId="8" xfId="0" applyFont="1" applyFill="1" applyBorder="1" applyAlignment="1">
      <alignment horizontal="left" vertical="center"/>
    </xf>
    <xf numFmtId="0" fontId="20" fillId="2" borderId="8" xfId="0" applyFont="1" applyFill="1" applyBorder="1" applyAlignment="1">
      <alignment horizontal="left" vertical="center" wrapText="1"/>
    </xf>
    <xf numFmtId="165" fontId="19" fillId="2" borderId="8" xfId="1" applyFont="1" applyFill="1" applyBorder="1" applyAlignment="1" applyProtection="1">
      <alignment horizontal="right" vertical="center" wrapText="1"/>
    </xf>
    <xf numFmtId="10" fontId="19" fillId="2" borderId="8" xfId="2" applyNumberFormat="1" applyFont="1" applyFill="1" applyBorder="1" applyAlignment="1" applyProtection="1">
      <alignment horizontal="right" vertical="center" wrapText="1"/>
    </xf>
    <xf numFmtId="0" fontId="20" fillId="2" borderId="1" xfId="0" applyFont="1" applyFill="1" applyBorder="1" applyAlignment="1">
      <alignment horizontal="left" vertical="center"/>
    </xf>
    <xf numFmtId="0" fontId="20" fillId="2" borderId="1" xfId="0" applyFont="1" applyFill="1" applyBorder="1" applyAlignment="1">
      <alignment horizontal="left" vertical="center" wrapText="1"/>
    </xf>
    <xf numFmtId="165" fontId="19" fillId="2" borderId="1" xfId="1" applyFont="1" applyFill="1" applyBorder="1" applyAlignment="1" applyProtection="1">
      <alignment horizontal="right" vertical="center" wrapText="1"/>
    </xf>
    <xf numFmtId="10" fontId="19" fillId="2" borderId="1" xfId="2" applyNumberFormat="1" applyFont="1" applyFill="1" applyBorder="1" applyAlignment="1" applyProtection="1">
      <alignment horizontal="right" vertical="center" wrapText="1"/>
    </xf>
    <xf numFmtId="0" fontId="20" fillId="2" borderId="0" xfId="0" applyFont="1" applyFill="1" applyAlignment="1">
      <alignment horizontal="left" vertical="center"/>
    </xf>
    <xf numFmtId="0" fontId="20" fillId="2" borderId="0" xfId="0" applyFont="1" applyFill="1" applyAlignment="1">
      <alignment horizontal="left" vertical="center" wrapText="1"/>
    </xf>
    <xf numFmtId="165" fontId="19" fillId="2" borderId="0" xfId="1" applyFont="1" applyFill="1" applyBorder="1" applyAlignment="1" applyProtection="1">
      <alignment horizontal="right" vertical="center" wrapText="1"/>
    </xf>
    <xf numFmtId="10" fontId="19" fillId="2" borderId="0" xfId="2" applyNumberFormat="1" applyFont="1" applyFill="1" applyBorder="1" applyAlignment="1" applyProtection="1">
      <alignment horizontal="right" vertical="center" wrapText="1"/>
    </xf>
    <xf numFmtId="0" fontId="20" fillId="2" borderId="0" xfId="0" applyFont="1" applyFill="1" applyAlignment="1">
      <alignment horizontal="right" vertical="center"/>
    </xf>
    <xf numFmtId="0" fontId="20" fillId="2" borderId="3" xfId="0" applyFont="1" applyFill="1" applyBorder="1" applyAlignment="1">
      <alignment horizontal="left" vertical="center" wrapText="1"/>
    </xf>
    <xf numFmtId="165" fontId="19" fillId="2" borderId="3" xfId="1" applyFont="1" applyFill="1" applyBorder="1" applyAlignment="1" applyProtection="1">
      <alignment horizontal="right" vertical="center" wrapText="1"/>
    </xf>
    <xf numFmtId="10" fontId="19" fillId="2" borderId="3" xfId="2" applyNumberFormat="1" applyFont="1" applyFill="1" applyBorder="1" applyAlignment="1" applyProtection="1">
      <alignment horizontal="right" vertical="center" wrapText="1"/>
    </xf>
    <xf numFmtId="165" fontId="21" fillId="2" borderId="1" xfId="1" applyFont="1" applyFill="1" applyBorder="1" applyAlignment="1" applyProtection="1">
      <alignment horizontal="right" vertical="center" wrapText="1"/>
    </xf>
    <xf numFmtId="10" fontId="21" fillId="2" borderId="1" xfId="2" applyNumberFormat="1" applyFont="1" applyFill="1" applyBorder="1" applyAlignment="1" applyProtection="1">
      <alignment horizontal="right" vertical="center" wrapText="1"/>
    </xf>
    <xf numFmtId="165" fontId="21" fillId="2" borderId="9" xfId="1" applyFont="1" applyFill="1" applyBorder="1" applyAlignment="1" applyProtection="1">
      <alignment horizontal="right" vertical="center" wrapText="1"/>
    </xf>
    <xf numFmtId="165" fontId="21" fillId="2" borderId="3" xfId="1" applyFont="1" applyFill="1" applyBorder="1" applyAlignment="1" applyProtection="1">
      <alignment horizontal="right" vertical="center" wrapText="1"/>
    </xf>
    <xf numFmtId="10" fontId="18" fillId="2" borderId="9" xfId="2" applyNumberFormat="1" applyFont="1" applyFill="1" applyBorder="1" applyAlignment="1" applyProtection="1">
      <alignment horizontal="right" vertical="center" wrapText="1"/>
    </xf>
    <xf numFmtId="0" fontId="18" fillId="3" borderId="6" xfId="7" applyFont="1" applyFill="1" applyBorder="1" applyAlignment="1">
      <alignment horizontal="left" vertical="center"/>
    </xf>
    <xf numFmtId="165" fontId="21" fillId="3" borderId="6" xfId="1" applyFont="1" applyFill="1" applyBorder="1" applyAlignment="1" applyProtection="1">
      <alignment horizontal="right" vertical="center" wrapText="1"/>
    </xf>
    <xf numFmtId="10" fontId="21" fillId="3" borderId="6" xfId="2" applyNumberFormat="1" applyFont="1" applyFill="1" applyBorder="1" applyAlignment="1" applyProtection="1">
      <alignment horizontal="right" vertical="center" wrapText="1"/>
    </xf>
    <xf numFmtId="0" fontId="18" fillId="2" borderId="0" xfId="7" applyFont="1" applyFill="1" applyAlignment="1">
      <alignment horizontal="left" vertical="center"/>
    </xf>
    <xf numFmtId="0" fontId="18" fillId="2" borderId="0" xfId="7" applyFont="1" applyFill="1" applyAlignment="1">
      <alignment horizontal="right" vertical="center" wrapText="1"/>
    </xf>
    <xf numFmtId="10" fontId="21" fillId="2" borderId="0" xfId="2" applyNumberFormat="1" applyFont="1" applyFill="1" applyBorder="1" applyAlignment="1" applyProtection="1">
      <alignment horizontal="right" vertical="center" wrapText="1"/>
    </xf>
    <xf numFmtId="0" fontId="20" fillId="2" borderId="0" xfId="7" applyFont="1" applyFill="1" applyAlignment="1">
      <alignment horizontal="left" vertical="center"/>
    </xf>
    <xf numFmtId="0" fontId="20" fillId="2" borderId="0" xfId="7" applyFont="1" applyFill="1" applyAlignment="1">
      <alignment horizontal="left" vertical="center" wrapText="1"/>
    </xf>
    <xf numFmtId="0" fontId="15" fillId="2" borderId="0" xfId="7" applyFont="1" applyFill="1" applyAlignment="1">
      <alignment horizontal="right" vertical="center"/>
    </xf>
    <xf numFmtId="10" fontId="15" fillId="2" borderId="0" xfId="2" applyNumberFormat="1" applyFont="1" applyFill="1" applyBorder="1" applyAlignment="1" applyProtection="1">
      <alignment horizontal="right" vertical="center"/>
    </xf>
    <xf numFmtId="0" fontId="20" fillId="2" borderId="0" xfId="7" applyFont="1" applyFill="1" applyAlignment="1">
      <alignment horizontal="right" vertical="center"/>
    </xf>
    <xf numFmtId="0" fontId="20" fillId="2" borderId="1" xfId="7" applyFont="1" applyFill="1" applyBorder="1" applyAlignment="1">
      <alignment horizontal="left" vertical="center"/>
    </xf>
    <xf numFmtId="0" fontId="20" fillId="2" borderId="1" xfId="7" applyFont="1" applyFill="1" applyBorder="1" applyAlignment="1">
      <alignment horizontal="left" vertical="center" wrapText="1"/>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165" fontId="19" fillId="2" borderId="7" xfId="1" applyFont="1" applyFill="1" applyBorder="1" applyAlignment="1" applyProtection="1">
      <alignment horizontal="right" vertical="center" wrapText="1"/>
    </xf>
    <xf numFmtId="10" fontId="19" fillId="2" borderId="7" xfId="2" applyNumberFormat="1" applyFont="1" applyFill="1" applyBorder="1" applyAlignment="1" applyProtection="1">
      <alignment horizontal="right" vertical="center" wrapText="1"/>
    </xf>
    <xf numFmtId="0" fontId="20" fillId="2" borderId="9" xfId="7" applyFont="1" applyFill="1" applyBorder="1" applyAlignment="1">
      <alignment horizontal="left" vertical="center"/>
    </xf>
    <xf numFmtId="0" fontId="20" fillId="2" borderId="9" xfId="7" applyFont="1" applyFill="1" applyBorder="1" applyAlignment="1">
      <alignment horizontal="left" vertical="center" wrapText="1"/>
    </xf>
    <xf numFmtId="165" fontId="19" fillId="2" borderId="9" xfId="1" applyFont="1" applyFill="1" applyBorder="1" applyAlignment="1" applyProtection="1">
      <alignment horizontal="right" vertical="center" wrapText="1"/>
    </xf>
    <xf numFmtId="10" fontId="19" fillId="2" borderId="9" xfId="2" applyNumberFormat="1" applyFont="1" applyFill="1" applyBorder="1" applyAlignment="1" applyProtection="1">
      <alignment horizontal="right" vertical="center" wrapText="1"/>
    </xf>
    <xf numFmtId="0" fontId="9" fillId="0" borderId="0" xfId="7" applyFont="1" applyAlignment="1">
      <alignment horizontal="left" vertical="center"/>
    </xf>
    <xf numFmtId="0" fontId="12" fillId="0" borderId="0" xfId="7" applyFont="1"/>
    <xf numFmtId="10" fontId="0" fillId="0" borderId="0" xfId="2" applyNumberFormat="1" applyFont="1" applyBorder="1" applyProtection="1"/>
    <xf numFmtId="0" fontId="22" fillId="0" borderId="0" xfId="7" applyFont="1" applyAlignment="1" applyProtection="1">
      <alignment horizontal="justify" vertical="center"/>
      <protection locked="0"/>
    </xf>
    <xf numFmtId="165" fontId="22" fillId="0" borderId="0" xfId="7" applyNumberFormat="1" applyFont="1" applyAlignment="1" applyProtection="1">
      <alignment horizontal="justify" vertical="center"/>
      <protection locked="0"/>
    </xf>
    <xf numFmtId="0" fontId="0" fillId="2" borderId="0" xfId="0" applyFill="1" applyAlignment="1" applyProtection="1">
      <alignment horizontal="center" vertical="center"/>
      <protection locked="0"/>
    </xf>
    <xf numFmtId="0" fontId="0" fillId="2" borderId="0" xfId="0" applyFill="1" applyProtection="1">
      <protection locked="0"/>
    </xf>
    <xf numFmtId="0" fontId="12" fillId="3" borderId="10" xfId="0" applyFont="1" applyFill="1" applyBorder="1" applyAlignment="1">
      <alignment horizontal="center" vertical="center"/>
    </xf>
    <xf numFmtId="0" fontId="12" fillId="3" borderId="10" xfId="0" applyFont="1" applyFill="1" applyBorder="1" applyAlignment="1">
      <alignment horizontal="center" vertical="center" wrapText="1"/>
    </xf>
    <xf numFmtId="166" fontId="18" fillId="3" borderId="2" xfId="0" applyNumberFormat="1" applyFont="1" applyFill="1" applyBorder="1" applyAlignment="1">
      <alignment horizontal="center" vertical="center" wrapText="1"/>
    </xf>
    <xf numFmtId="168" fontId="18" fillId="3" borderId="11" xfId="0" applyNumberFormat="1" applyFont="1" applyFill="1" applyBorder="1" applyAlignment="1">
      <alignment horizontal="center" vertical="center" wrapText="1"/>
    </xf>
    <xf numFmtId="168" fontId="18" fillId="3" borderId="6"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168" fontId="18" fillId="3" borderId="12" xfId="0" applyNumberFormat="1" applyFont="1" applyFill="1" applyBorder="1" applyAlignment="1">
      <alignment horizontal="center" vertical="center" wrapText="1"/>
    </xf>
    <xf numFmtId="10" fontId="18" fillId="3" borderId="2" xfId="2" applyNumberFormat="1" applyFont="1" applyFill="1" applyBorder="1" applyAlignment="1" applyProtection="1">
      <alignment horizontal="center" vertical="center"/>
    </xf>
    <xf numFmtId="166" fontId="18" fillId="2" borderId="6" xfId="0" applyNumberFormat="1" applyFont="1" applyFill="1" applyBorder="1" applyAlignment="1">
      <alignment vertical="center"/>
    </xf>
    <xf numFmtId="0" fontId="0" fillId="2" borderId="13" xfId="0" applyFill="1" applyBorder="1" applyAlignment="1">
      <alignment horizontal="center" vertical="center"/>
    </xf>
    <xf numFmtId="49" fontId="0" fillId="2" borderId="13" xfId="0" applyNumberFormat="1" applyFill="1" applyBorder="1" applyAlignment="1">
      <alignment horizontal="left" wrapText="1"/>
    </xf>
    <xf numFmtId="165" fontId="20" fillId="2" borderId="14" xfId="1" applyFont="1" applyFill="1" applyBorder="1" applyAlignment="1" applyProtection="1">
      <alignment horizontal="right" vertical="center"/>
      <protection locked="0"/>
    </xf>
    <xf numFmtId="165" fontId="20" fillId="2" borderId="15" xfId="1" applyFont="1" applyFill="1" applyBorder="1" applyAlignment="1" applyProtection="1">
      <alignment horizontal="right" vertical="center"/>
    </xf>
    <xf numFmtId="165" fontId="20" fillId="2" borderId="0" xfId="1" applyFont="1" applyFill="1" applyBorder="1" applyAlignment="1" applyProtection="1">
      <alignment horizontal="right" vertical="center"/>
    </xf>
    <xf numFmtId="165" fontId="18" fillId="2" borderId="14" xfId="1" applyFont="1" applyFill="1" applyBorder="1" applyAlignment="1" applyProtection="1">
      <alignment horizontal="right" vertical="center"/>
    </xf>
    <xf numFmtId="10" fontId="20" fillId="2" borderId="0" xfId="2" applyNumberFormat="1" applyFont="1" applyFill="1" applyBorder="1" applyAlignment="1" applyProtection="1">
      <alignment horizontal="right" vertical="center"/>
    </xf>
    <xf numFmtId="10" fontId="18" fillId="2" borderId="14" xfId="2" applyNumberFormat="1" applyFont="1" applyFill="1" applyBorder="1" applyAlignment="1" applyProtection="1">
      <alignment horizontal="right" vertical="center"/>
    </xf>
    <xf numFmtId="0" fontId="0" fillId="2" borderId="16" xfId="0" applyFill="1" applyBorder="1" applyAlignment="1">
      <alignment horizontal="center" vertical="center"/>
    </xf>
    <xf numFmtId="49" fontId="0" fillId="2" borderId="17" xfId="0" applyNumberFormat="1" applyFill="1" applyBorder="1" applyAlignment="1" applyProtection="1">
      <alignment horizontal="left" wrapText="1"/>
      <protection locked="0"/>
    </xf>
    <xf numFmtId="0" fontId="0" fillId="3" borderId="6" xfId="0" applyFill="1" applyBorder="1" applyAlignment="1">
      <alignment horizontal="center" vertical="center"/>
    </xf>
    <xf numFmtId="49" fontId="12" fillId="3" borderId="6" xfId="0" applyNumberFormat="1" applyFont="1" applyFill="1" applyBorder="1" applyAlignment="1">
      <alignment horizontal="left" vertical="center" wrapText="1"/>
    </xf>
    <xf numFmtId="165" fontId="18" fillId="3" borderId="11" xfId="1" applyFont="1" applyFill="1" applyBorder="1" applyAlignment="1" applyProtection="1">
      <alignment horizontal="right" vertical="center"/>
    </xf>
    <xf numFmtId="165" fontId="18" fillId="3" borderId="6" xfId="1" applyFont="1" applyFill="1" applyBorder="1" applyAlignment="1" applyProtection="1">
      <alignment horizontal="right" vertical="center"/>
    </xf>
    <xf numFmtId="165" fontId="18" fillId="3" borderId="2" xfId="1" applyFont="1" applyFill="1" applyBorder="1" applyAlignment="1" applyProtection="1">
      <alignment horizontal="right" vertical="center"/>
    </xf>
    <xf numFmtId="10" fontId="18" fillId="3" borderId="6" xfId="2" applyNumberFormat="1" applyFont="1" applyFill="1" applyBorder="1" applyAlignment="1" applyProtection="1">
      <alignment horizontal="right" vertical="center"/>
    </xf>
    <xf numFmtId="10" fontId="18" fillId="3" borderId="2" xfId="2" applyNumberFormat="1" applyFont="1" applyFill="1" applyBorder="1" applyAlignment="1" applyProtection="1">
      <alignment horizontal="right" vertical="center"/>
    </xf>
    <xf numFmtId="165" fontId="18" fillId="2" borderId="6" xfId="1" applyFont="1" applyFill="1" applyBorder="1" applyAlignment="1" applyProtection="1">
      <alignment horizontal="right" vertical="center"/>
    </xf>
    <xf numFmtId="4" fontId="0" fillId="2" borderId="0" xfId="0" applyNumberFormat="1" applyFill="1"/>
    <xf numFmtId="0" fontId="12" fillId="3" borderId="18" xfId="0" applyFont="1" applyFill="1" applyBorder="1" applyAlignment="1">
      <alignment vertical="center"/>
    </xf>
    <xf numFmtId="0" fontId="12" fillId="3" borderId="19" xfId="0" applyFont="1" applyFill="1" applyBorder="1" applyAlignment="1">
      <alignment horizontal="center"/>
    </xf>
    <xf numFmtId="0" fontId="0" fillId="2" borderId="20" xfId="0" applyFill="1" applyBorder="1" applyAlignment="1">
      <alignment vertical="center"/>
    </xf>
    <xf numFmtId="10" fontId="0" fillId="2" borderId="21" xfId="1" applyNumberFormat="1" applyFont="1" applyFill="1" applyBorder="1" applyAlignment="1" applyProtection="1">
      <alignment horizontal="right" vertical="center"/>
    </xf>
    <xf numFmtId="165" fontId="0" fillId="2" borderId="21" xfId="1" applyFont="1" applyFill="1" applyBorder="1" applyAlignment="1" applyProtection="1">
      <alignment horizontal="right" vertical="center"/>
    </xf>
    <xf numFmtId="0" fontId="0" fillId="2" borderId="22" xfId="0" applyFill="1" applyBorder="1" applyAlignment="1">
      <alignment vertical="center"/>
    </xf>
    <xf numFmtId="10" fontId="0" fillId="2" borderId="23" xfId="1" applyNumberFormat="1" applyFont="1" applyFill="1" applyBorder="1" applyAlignment="1" applyProtection="1">
      <alignment horizontal="right" vertical="center"/>
    </xf>
    <xf numFmtId="165" fontId="0" fillId="2" borderId="23" xfId="1" applyFont="1" applyFill="1" applyBorder="1" applyAlignment="1" applyProtection="1">
      <alignment horizontal="right" vertical="center"/>
    </xf>
    <xf numFmtId="49" fontId="0" fillId="2" borderId="0" xfId="0" applyNumberFormat="1" applyFill="1" applyProtection="1">
      <protection locked="0"/>
    </xf>
    <xf numFmtId="0" fontId="0" fillId="2" borderId="0" xfId="0" applyFill="1" applyAlignment="1">
      <alignment vertical="center"/>
    </xf>
    <xf numFmtId="10" fontId="0" fillId="2" borderId="0" xfId="2" applyNumberFormat="1" applyFont="1" applyFill="1" applyBorder="1" applyAlignment="1" applyProtection="1">
      <alignment vertical="center"/>
    </xf>
    <xf numFmtId="0" fontId="0" fillId="2" borderId="0" xfId="0" applyFill="1" applyAlignment="1" applyProtection="1">
      <alignment vertical="center"/>
      <protection locked="0"/>
    </xf>
    <xf numFmtId="0" fontId="11" fillId="2" borderId="0" xfId="0" applyFont="1" applyFill="1" applyAlignment="1">
      <alignment vertical="center"/>
    </xf>
    <xf numFmtId="0" fontId="11" fillId="2" borderId="0" xfId="0" applyFont="1" applyFill="1" applyAlignment="1">
      <alignment horizontal="center" vertical="center" wrapText="1"/>
    </xf>
    <xf numFmtId="0" fontId="11" fillId="2" borderId="0" xfId="0" applyFont="1" applyFill="1" applyAlignment="1" applyProtection="1">
      <alignment vertical="center"/>
      <protection locked="0"/>
    </xf>
    <xf numFmtId="0" fontId="11" fillId="2" borderId="5" xfId="0" applyFont="1" applyFill="1" applyBorder="1" applyAlignment="1">
      <alignment horizontal="center" vertical="center"/>
    </xf>
    <xf numFmtId="0" fontId="11" fillId="3" borderId="6" xfId="0" applyFont="1" applyFill="1" applyBorder="1" applyAlignment="1">
      <alignment horizontal="center" vertical="center"/>
    </xf>
    <xf numFmtId="166" fontId="18" fillId="3" borderId="0" xfId="0" applyNumberFormat="1" applyFont="1" applyFill="1" applyAlignment="1">
      <alignment vertical="center"/>
    </xf>
    <xf numFmtId="4" fontId="18" fillId="3" borderId="6" xfId="0" applyNumberFormat="1" applyFont="1" applyFill="1" applyBorder="1" applyAlignment="1">
      <alignment horizontal="right" vertical="center"/>
    </xf>
    <xf numFmtId="10" fontId="18" fillId="3" borderId="6" xfId="2" applyNumberFormat="1" applyFont="1" applyFill="1" applyBorder="1" applyAlignment="1" applyProtection="1">
      <alignment horizontal="right" vertical="center"/>
      <protection locked="0"/>
    </xf>
    <xf numFmtId="0" fontId="18" fillId="2" borderId="6" xfId="0" applyFont="1" applyFill="1" applyBorder="1" applyAlignment="1">
      <alignment horizontal="left" vertical="center"/>
    </xf>
    <xf numFmtId="165" fontId="20" fillId="2" borderId="6" xfId="1" applyFont="1" applyFill="1" applyBorder="1" applyAlignment="1" applyProtection="1">
      <alignment horizontal="right" vertical="center"/>
      <protection locked="0"/>
    </xf>
    <xf numFmtId="10" fontId="18" fillId="2" borderId="6" xfId="2" applyNumberFormat="1" applyFont="1" applyFill="1" applyBorder="1" applyAlignment="1" applyProtection="1">
      <alignment horizontal="right" vertical="center"/>
    </xf>
    <xf numFmtId="0" fontId="18" fillId="2" borderId="0" xfId="0" applyFont="1" applyFill="1" applyAlignment="1">
      <alignment horizontal="left" vertical="center"/>
    </xf>
    <xf numFmtId="0" fontId="18" fillId="2" borderId="0" xfId="0" applyFont="1" applyFill="1" applyAlignment="1">
      <alignment vertical="center" wrapText="1"/>
    </xf>
    <xf numFmtId="165" fontId="18" fillId="2" borderId="24" xfId="1" applyFont="1" applyFill="1" applyBorder="1" applyAlignment="1" applyProtection="1">
      <alignment horizontal="right" vertical="center"/>
    </xf>
    <xf numFmtId="10" fontId="18" fillId="2" borderId="24" xfId="2" applyNumberFormat="1" applyFont="1" applyFill="1" applyBorder="1" applyAlignment="1" applyProtection="1">
      <alignment horizontal="right" vertical="center"/>
    </xf>
    <xf numFmtId="0" fontId="18" fillId="7" borderId="6" xfId="0" applyFont="1" applyFill="1" applyBorder="1" applyAlignment="1">
      <alignment horizontal="left" vertical="center" wrapText="1"/>
    </xf>
    <xf numFmtId="4" fontId="18" fillId="7" borderId="6" xfId="0" applyNumberFormat="1" applyFont="1" applyFill="1" applyBorder="1" applyAlignment="1">
      <alignment horizontal="center" vertical="center"/>
    </xf>
    <xf numFmtId="10" fontId="18" fillId="7" borderId="6" xfId="2" applyNumberFormat="1" applyFont="1" applyFill="1" applyBorder="1" applyAlignment="1" applyProtection="1">
      <alignment horizontal="center" vertical="center"/>
    </xf>
    <xf numFmtId="0" fontId="18" fillId="8" borderId="6" xfId="0" applyFont="1" applyFill="1" applyBorder="1" applyAlignment="1">
      <alignment horizontal="left" vertical="center" wrapText="1"/>
    </xf>
    <xf numFmtId="165" fontId="20" fillId="8" borderId="6" xfId="1" applyFont="1" applyFill="1" applyBorder="1" applyAlignment="1" applyProtection="1">
      <alignment horizontal="right" vertical="center"/>
      <protection locked="0"/>
    </xf>
    <xf numFmtId="165" fontId="18" fillId="8" borderId="6" xfId="1" applyFont="1" applyFill="1" applyBorder="1" applyAlignment="1" applyProtection="1">
      <alignment horizontal="right" vertical="center"/>
    </xf>
    <xf numFmtId="10" fontId="20" fillId="8" borderId="6" xfId="2" applyNumberFormat="1" applyFont="1" applyFill="1" applyBorder="1" applyAlignment="1" applyProtection="1">
      <alignment horizontal="right" vertical="center"/>
    </xf>
    <xf numFmtId="0" fontId="18" fillId="8" borderId="6" xfId="0" applyFont="1" applyFill="1" applyBorder="1" applyAlignment="1">
      <alignment horizontal="left" vertical="center"/>
    </xf>
    <xf numFmtId="0" fontId="18" fillId="8" borderId="0" xfId="0" applyFont="1" applyFill="1" applyAlignment="1">
      <alignment horizontal="left" vertical="center" wrapText="1"/>
    </xf>
    <xf numFmtId="165" fontId="20" fillId="8" borderId="0" xfId="1" applyFont="1" applyFill="1" applyBorder="1" applyAlignment="1" applyProtection="1">
      <alignment horizontal="right" vertical="center"/>
    </xf>
    <xf numFmtId="165" fontId="18" fillId="8" borderId="0" xfId="1" applyFont="1" applyFill="1" applyBorder="1" applyAlignment="1" applyProtection="1">
      <alignment horizontal="right" vertical="center"/>
    </xf>
    <xf numFmtId="10" fontId="20" fillId="8" borderId="0" xfId="2" applyNumberFormat="1" applyFont="1" applyFill="1" applyBorder="1" applyAlignment="1" applyProtection="1">
      <alignment horizontal="right" vertical="center"/>
    </xf>
    <xf numFmtId="165" fontId="20" fillId="2" borderId="0" xfId="1" applyFont="1" applyFill="1" applyBorder="1" applyAlignment="1" applyProtection="1">
      <alignment horizontal="right" vertical="center"/>
      <protection locked="0"/>
    </xf>
    <xf numFmtId="165" fontId="18" fillId="2" borderId="0" xfId="1" applyFont="1" applyFill="1" applyBorder="1" applyAlignment="1" applyProtection="1">
      <alignment horizontal="right" vertical="center"/>
    </xf>
    <xf numFmtId="0" fontId="20" fillId="2" borderId="1" xfId="0" applyFont="1" applyFill="1" applyBorder="1" applyAlignment="1">
      <alignment vertical="center"/>
    </xf>
    <xf numFmtId="0" fontId="18" fillId="2" borderId="1" xfId="0" applyFont="1" applyFill="1" applyBorder="1" applyAlignment="1">
      <alignment horizontal="right" vertical="center" wrapText="1"/>
    </xf>
    <xf numFmtId="165" fontId="18" fillId="2" borderId="1" xfId="1" applyFont="1" applyFill="1" applyBorder="1" applyAlignment="1" applyProtection="1">
      <alignment horizontal="right" vertical="center"/>
    </xf>
    <xf numFmtId="10" fontId="18" fillId="2" borderId="1" xfId="2" applyNumberFormat="1" applyFont="1" applyFill="1" applyBorder="1" applyAlignment="1" applyProtection="1">
      <alignment horizontal="right" vertical="center"/>
    </xf>
    <xf numFmtId="0" fontId="18" fillId="3" borderId="6" xfId="0" applyFont="1" applyFill="1" applyBorder="1" applyAlignment="1">
      <alignment horizontal="left" vertical="center"/>
    </xf>
    <xf numFmtId="0" fontId="18" fillId="3" borderId="6" xfId="0" applyFont="1" applyFill="1" applyBorder="1" applyAlignment="1">
      <alignment vertical="center" wrapText="1"/>
    </xf>
    <xf numFmtId="0" fontId="18" fillId="3" borderId="5" xfId="0" applyFont="1" applyFill="1" applyBorder="1" applyAlignment="1">
      <alignment horizontal="left" vertical="center"/>
    </xf>
    <xf numFmtId="0" fontId="18" fillId="3" borderId="5" xfId="0" applyFont="1" applyFill="1" applyBorder="1" applyAlignment="1">
      <alignment vertical="center" wrapText="1"/>
    </xf>
    <xf numFmtId="0" fontId="20" fillId="2" borderId="0" xfId="0" applyFont="1" applyFill="1" applyAlignment="1">
      <alignment vertical="center"/>
    </xf>
    <xf numFmtId="0" fontId="18" fillId="2" borderId="0" xfId="0" applyFont="1" applyFill="1" applyAlignment="1">
      <alignment horizontal="left" vertical="center" wrapText="1"/>
    </xf>
    <xf numFmtId="4" fontId="18" fillId="2" borderId="0" xfId="0" applyNumberFormat="1" applyFont="1" applyFill="1" applyAlignment="1">
      <alignment horizontal="right" vertical="center"/>
    </xf>
    <xf numFmtId="10" fontId="18" fillId="2" borderId="0" xfId="2" applyNumberFormat="1" applyFont="1" applyFill="1" applyBorder="1" applyAlignment="1" applyProtection="1">
      <alignment horizontal="right" vertical="center"/>
    </xf>
    <xf numFmtId="0" fontId="18" fillId="8" borderId="0" xfId="0" applyFont="1" applyFill="1" applyAlignment="1">
      <alignment vertical="center" wrapText="1"/>
    </xf>
    <xf numFmtId="0" fontId="18" fillId="8" borderId="24" xfId="0" applyFont="1" applyFill="1" applyBorder="1" applyAlignment="1">
      <alignment horizontal="center" vertical="center"/>
    </xf>
    <xf numFmtId="10" fontId="18" fillId="8" borderId="24" xfId="2" applyNumberFormat="1" applyFont="1" applyFill="1" applyBorder="1" applyAlignment="1" applyProtection="1">
      <alignment horizontal="center" vertical="center"/>
    </xf>
    <xf numFmtId="0" fontId="18" fillId="9" borderId="0" xfId="0" applyFont="1" applyFill="1" applyAlignment="1">
      <alignment vertical="center"/>
    </xf>
    <xf numFmtId="0" fontId="23" fillId="9" borderId="0" xfId="0" applyFont="1" applyFill="1" applyAlignment="1">
      <alignment vertical="center" wrapText="1"/>
    </xf>
    <xf numFmtId="165" fontId="20" fillId="9" borderId="0" xfId="1" applyFont="1" applyFill="1" applyBorder="1" applyAlignment="1" applyProtection="1">
      <alignment horizontal="center" vertical="center"/>
    </xf>
    <xf numFmtId="10" fontId="20" fillId="9" borderId="0" xfId="2" applyNumberFormat="1" applyFont="1" applyFill="1" applyBorder="1" applyAlignment="1" applyProtection="1">
      <alignment horizontal="center" vertical="center"/>
    </xf>
    <xf numFmtId="0" fontId="20" fillId="2" borderId="0" xfId="0" applyFont="1" applyFill="1" applyAlignment="1">
      <alignment vertical="center" wrapText="1"/>
    </xf>
    <xf numFmtId="165" fontId="20" fillId="9" borderId="7" xfId="1" applyFont="1" applyFill="1" applyBorder="1" applyAlignment="1" applyProtection="1">
      <alignment horizontal="center" vertical="center"/>
    </xf>
    <xf numFmtId="10" fontId="20" fillId="9" borderId="7" xfId="2" applyNumberFormat="1" applyFont="1" applyFill="1" applyBorder="1" applyAlignment="1" applyProtection="1">
      <alignment horizontal="center" vertical="center"/>
    </xf>
    <xf numFmtId="0" fontId="12" fillId="2" borderId="0" xfId="0" applyFont="1" applyFill="1" applyAlignment="1" applyProtection="1">
      <alignment vertical="center"/>
      <protection locked="0"/>
    </xf>
    <xf numFmtId="0" fontId="18" fillId="9" borderId="0" xfId="0" applyFont="1" applyFill="1" applyAlignment="1">
      <alignment horizontal="left" vertical="center" wrapText="1"/>
    </xf>
    <xf numFmtId="0" fontId="20" fillId="9" borderId="7" xfId="1" applyNumberFormat="1" applyFont="1" applyFill="1" applyBorder="1" applyAlignment="1" applyProtection="1">
      <alignment horizontal="center" vertical="center"/>
    </xf>
    <xf numFmtId="165" fontId="20" fillId="2" borderId="1" xfId="1" applyFont="1" applyFill="1" applyBorder="1" applyAlignment="1" applyProtection="1">
      <alignment horizontal="right" vertical="center"/>
    </xf>
    <xf numFmtId="10" fontId="20" fillId="2" borderId="1" xfId="2" applyNumberFormat="1" applyFont="1" applyFill="1" applyBorder="1" applyAlignment="1" applyProtection="1">
      <alignment horizontal="right" vertical="center"/>
    </xf>
    <xf numFmtId="165" fontId="20" fillId="9" borderId="0" xfId="1" applyFont="1" applyFill="1" applyBorder="1" applyAlignment="1" applyProtection="1">
      <alignment horizontal="right" vertical="center"/>
      <protection locked="0"/>
    </xf>
    <xf numFmtId="165" fontId="20" fillId="9" borderId="0" xfId="1" applyFont="1" applyFill="1" applyBorder="1" applyAlignment="1" applyProtection="1">
      <alignment horizontal="right" vertical="center"/>
    </xf>
    <xf numFmtId="10" fontId="20" fillId="9" borderId="0" xfId="2" applyNumberFormat="1" applyFont="1" applyFill="1" applyBorder="1" applyAlignment="1" applyProtection="1">
      <alignment horizontal="right" vertical="center"/>
    </xf>
    <xf numFmtId="0" fontId="20" fillId="2" borderId="3" xfId="0" applyFont="1" applyFill="1" applyBorder="1" applyAlignment="1">
      <alignment vertical="center" wrapText="1"/>
    </xf>
    <xf numFmtId="0" fontId="20" fillId="8" borderId="5" xfId="0" applyFont="1" applyFill="1" applyBorder="1" applyAlignment="1">
      <alignment vertical="center"/>
    </xf>
    <xf numFmtId="0" fontId="18" fillId="8" borderId="5" xfId="0" applyFont="1" applyFill="1" applyBorder="1" applyAlignment="1">
      <alignment horizontal="right" vertical="center" wrapText="1"/>
    </xf>
    <xf numFmtId="165" fontId="18" fillId="8" borderId="5" xfId="1" applyFont="1" applyFill="1" applyBorder="1" applyAlignment="1" applyProtection="1">
      <alignment horizontal="right" vertical="center"/>
    </xf>
    <xf numFmtId="10" fontId="18" fillId="8" borderId="5" xfId="2" applyNumberFormat="1" applyFont="1" applyFill="1" applyBorder="1" applyAlignment="1" applyProtection="1">
      <alignment horizontal="right" vertical="center"/>
    </xf>
    <xf numFmtId="0" fontId="18" fillId="8" borderId="5" xfId="0" applyFont="1" applyFill="1" applyBorder="1" applyAlignment="1">
      <alignment vertical="center"/>
    </xf>
    <xf numFmtId="0" fontId="18" fillId="8" borderId="5" xfId="0" applyFont="1" applyFill="1" applyBorder="1" applyAlignment="1">
      <alignment horizontal="left" vertical="center" wrapText="1"/>
    </xf>
    <xf numFmtId="165" fontId="18" fillId="8" borderId="6" xfId="1" applyFont="1" applyFill="1" applyBorder="1" applyAlignment="1" applyProtection="1">
      <alignment horizontal="center" vertical="center"/>
    </xf>
    <xf numFmtId="10" fontId="18" fillId="8" borderId="6" xfId="2" applyNumberFormat="1"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0" xfId="8" applyFont="1" applyFill="1" applyAlignment="1" applyProtection="1">
      <alignment horizontal="left" vertical="center" wrapText="1"/>
      <protection locked="0"/>
    </xf>
    <xf numFmtId="0" fontId="20" fillId="2" borderId="0" xfId="6" applyFont="1" applyFill="1" applyAlignment="1" applyProtection="1">
      <alignment vertical="center" wrapText="1"/>
      <protection locked="0"/>
    </xf>
    <xf numFmtId="0" fontId="20" fillId="2" borderId="0" xfId="6" applyFont="1" applyFill="1" applyAlignment="1" applyProtection="1">
      <alignment horizontal="left" vertical="center" wrapText="1"/>
      <protection locked="0"/>
    </xf>
    <xf numFmtId="0" fontId="20" fillId="2" borderId="0" xfId="9" applyFont="1" applyFill="1" applyAlignment="1" applyProtection="1">
      <alignment horizontal="left" vertical="center" wrapText="1"/>
      <protection locked="0"/>
    </xf>
    <xf numFmtId="0" fontId="20" fillId="8" borderId="9" xfId="0" applyFont="1" applyFill="1" applyBorder="1" applyAlignment="1">
      <alignment vertical="center"/>
    </xf>
    <xf numFmtId="165" fontId="18" fillId="8" borderId="9" xfId="1" applyFont="1" applyFill="1" applyBorder="1" applyAlignment="1" applyProtection="1">
      <alignment horizontal="right" vertical="center"/>
    </xf>
    <xf numFmtId="10" fontId="18" fillId="8" borderId="9" xfId="2" applyNumberFormat="1" applyFont="1" applyFill="1" applyBorder="1" applyAlignment="1" applyProtection="1">
      <alignment horizontal="right" vertical="center"/>
    </xf>
    <xf numFmtId="165" fontId="20" fillId="8" borderId="5" xfId="1" applyFont="1" applyFill="1" applyBorder="1" applyAlignment="1" applyProtection="1">
      <alignment horizontal="right" vertical="center"/>
      <protection locked="0"/>
    </xf>
    <xf numFmtId="165" fontId="18" fillId="3" borderId="5" xfId="1" applyFont="1" applyFill="1" applyBorder="1" applyAlignment="1" applyProtection="1">
      <alignment horizontal="right" vertical="center"/>
    </xf>
    <xf numFmtId="10" fontId="18" fillId="3" borderId="5" xfId="2" applyNumberFormat="1" applyFont="1" applyFill="1" applyBorder="1" applyAlignment="1" applyProtection="1">
      <alignment horizontal="right" vertical="center"/>
    </xf>
    <xf numFmtId="10" fontId="0" fillId="2" borderId="0" xfId="2" applyNumberFormat="1" applyFont="1" applyFill="1" applyBorder="1" applyAlignment="1" applyProtection="1">
      <alignment vertical="center"/>
      <protection locked="0"/>
    </xf>
    <xf numFmtId="4" fontId="0" fillId="2" borderId="0" xfId="0" applyNumberFormat="1" applyFill="1" applyAlignment="1">
      <alignment vertical="center"/>
    </xf>
    <xf numFmtId="0" fontId="11" fillId="2" borderId="0" xfId="0" applyFont="1" applyFill="1" applyAlignment="1">
      <alignment horizontal="center" vertical="center"/>
    </xf>
    <xf numFmtId="0" fontId="18" fillId="3" borderId="24"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18" fillId="3" borderId="5" xfId="0" applyFont="1" applyFill="1" applyBorder="1" applyAlignment="1" applyProtection="1">
      <alignment horizontal="center" vertical="center" wrapText="1"/>
      <protection locked="0"/>
    </xf>
    <xf numFmtId="0" fontId="18" fillId="3" borderId="27" xfId="0"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wrapText="1"/>
      <protection locked="0"/>
    </xf>
    <xf numFmtId="0" fontId="20" fillId="2" borderId="0" xfId="0" applyFont="1" applyFill="1" applyAlignment="1" applyProtection="1">
      <alignment horizontal="right" vertical="center" wrapText="1"/>
      <protection locked="0"/>
    </xf>
    <xf numFmtId="165" fontId="20" fillId="2" borderId="0" xfId="1" applyFont="1" applyFill="1" applyBorder="1" applyAlignment="1" applyProtection="1">
      <alignment horizontal="center" vertical="center" wrapText="1"/>
      <protection locked="0"/>
    </xf>
    <xf numFmtId="165" fontId="20" fillId="2" borderId="16" xfId="1" applyFont="1" applyFill="1" applyBorder="1" applyAlignment="1" applyProtection="1">
      <alignment horizontal="center" vertical="center" wrapText="1"/>
    </xf>
    <xf numFmtId="165" fontId="20" fillId="2" borderId="29" xfId="1" applyFont="1" applyFill="1" applyBorder="1" applyAlignment="1" applyProtection="1">
      <alignment horizontal="right" vertical="center" wrapText="1"/>
      <protection locked="0"/>
    </xf>
    <xf numFmtId="165" fontId="20" fillId="2" borderId="0" xfId="1" applyFont="1" applyFill="1" applyBorder="1" applyAlignment="1" applyProtection="1">
      <alignment horizontal="right" vertical="center" wrapText="1"/>
      <protection locked="0"/>
    </xf>
    <xf numFmtId="165" fontId="20" fillId="2" borderId="16" xfId="1" applyFont="1" applyFill="1" applyBorder="1" applyAlignment="1" applyProtection="1">
      <alignment horizontal="right" vertical="center" wrapText="1"/>
      <protection locked="0"/>
    </xf>
    <xf numFmtId="165" fontId="18" fillId="2" borderId="16" xfId="1" applyFont="1" applyFill="1" applyBorder="1" applyAlignment="1" applyProtection="1">
      <alignment horizontal="right" vertical="center" wrapText="1"/>
    </xf>
    <xf numFmtId="165" fontId="18" fillId="2" borderId="29" xfId="1" applyFont="1" applyFill="1" applyBorder="1" applyAlignment="1" applyProtection="1">
      <alignment horizontal="right" vertical="center"/>
    </xf>
    <xf numFmtId="0" fontId="18" fillId="3" borderId="6" xfId="0" applyFont="1" applyFill="1" applyBorder="1" applyAlignment="1">
      <alignment horizontal="center" vertical="center" wrapText="1"/>
    </xf>
    <xf numFmtId="165" fontId="18" fillId="3" borderId="6" xfId="1" applyFont="1" applyFill="1" applyBorder="1" applyAlignment="1" applyProtection="1">
      <alignment horizontal="right" vertical="center" wrapText="1"/>
    </xf>
    <xf numFmtId="165" fontId="18" fillId="3" borderId="10" xfId="1" applyFont="1" applyFill="1" applyBorder="1" applyAlignment="1" applyProtection="1">
      <alignment horizontal="right" vertical="center" wrapText="1"/>
    </xf>
    <xf numFmtId="165" fontId="18" fillId="3" borderId="26" xfId="1" applyFont="1" applyFill="1" applyBorder="1" applyAlignment="1" applyProtection="1">
      <alignment horizontal="right" vertical="center" wrapText="1"/>
    </xf>
    <xf numFmtId="0" fontId="18" fillId="2" borderId="24" xfId="0" applyFont="1" applyFill="1" applyBorder="1" applyAlignment="1">
      <alignment horizontal="left" vertical="center"/>
    </xf>
    <xf numFmtId="0" fontId="18" fillId="2" borderId="24" xfId="0" applyFont="1" applyFill="1" applyBorder="1" applyAlignment="1">
      <alignment horizontal="center" vertical="center" wrapText="1"/>
    </xf>
    <xf numFmtId="169" fontId="18" fillId="2" borderId="24" xfId="1" applyNumberFormat="1" applyFont="1" applyFill="1" applyBorder="1" applyAlignment="1" applyProtection="1">
      <alignment horizontal="right" vertical="center" wrapText="1"/>
    </xf>
    <xf numFmtId="165" fontId="18" fillId="2" borderId="24" xfId="1" applyFont="1" applyFill="1" applyBorder="1" applyAlignment="1" applyProtection="1">
      <alignment horizontal="right" vertical="center" wrapText="1"/>
    </xf>
    <xf numFmtId="165" fontId="18" fillId="2" borderId="0" xfId="1" applyFont="1" applyFill="1" applyBorder="1" applyAlignment="1" applyProtection="1">
      <alignment horizontal="right" vertical="center" wrapText="1"/>
    </xf>
    <xf numFmtId="0" fontId="18" fillId="3" borderId="24" xfId="0" applyFont="1" applyFill="1" applyBorder="1" applyAlignment="1">
      <alignment vertical="center" wrapText="1"/>
    </xf>
    <xf numFmtId="0" fontId="18" fillId="3" borderId="13" xfId="0" applyFont="1" applyFill="1" applyBorder="1" applyAlignment="1">
      <alignment vertical="center" wrapText="1"/>
    </xf>
    <xf numFmtId="0" fontId="18" fillId="3" borderId="25" xfId="0" applyFont="1" applyFill="1" applyBorder="1" applyAlignment="1">
      <alignment vertical="center" wrapText="1"/>
    </xf>
    <xf numFmtId="0" fontId="18" fillId="2" borderId="0" xfId="0" applyFont="1" applyFill="1" applyAlignment="1">
      <alignment horizontal="center" vertical="center" wrapText="1"/>
    </xf>
    <xf numFmtId="0" fontId="18" fillId="3" borderId="30" xfId="0" applyFont="1" applyFill="1" applyBorder="1" applyAlignment="1">
      <alignment vertical="center" wrapText="1"/>
    </xf>
    <xf numFmtId="0" fontId="20" fillId="2" borderId="0" xfId="0" applyFont="1" applyFill="1" applyAlignment="1" applyProtection="1">
      <alignment vertical="center" wrapText="1"/>
      <protection locked="0"/>
    </xf>
    <xf numFmtId="165" fontId="20" fillId="2" borderId="24" xfId="1" applyFont="1" applyFill="1" applyBorder="1" applyAlignment="1" applyProtection="1">
      <alignment horizontal="center" vertical="center" wrapText="1"/>
      <protection locked="0"/>
    </xf>
    <xf numFmtId="165" fontId="20" fillId="2" borderId="17" xfId="1" applyFont="1" applyFill="1" applyBorder="1" applyAlignment="1" applyProtection="1">
      <alignment horizontal="right" vertical="center" wrapText="1"/>
      <protection locked="0"/>
    </xf>
    <xf numFmtId="169" fontId="18" fillId="3" borderId="6" xfId="1" applyNumberFormat="1" applyFont="1" applyFill="1" applyBorder="1" applyAlignment="1" applyProtection="1">
      <alignment horizontal="right" vertical="center" wrapText="1"/>
    </xf>
    <xf numFmtId="165" fontId="18" fillId="3" borderId="31" xfId="1" applyFont="1" applyFill="1" applyBorder="1" applyAlignment="1" applyProtection="1">
      <alignment horizontal="right" vertical="center" wrapText="1"/>
    </xf>
    <xf numFmtId="0" fontId="0" fillId="2" borderId="24" xfId="0" applyFill="1" applyBorder="1" applyAlignment="1">
      <alignment vertical="center"/>
    </xf>
    <xf numFmtId="0" fontId="0" fillId="2" borderId="24" xfId="0" applyFill="1" applyBorder="1" applyAlignment="1">
      <alignment horizontal="right" vertical="center"/>
    </xf>
    <xf numFmtId="0" fontId="0" fillId="2" borderId="0" xfId="0" applyFill="1" applyAlignment="1">
      <alignment horizontal="right" vertical="center"/>
    </xf>
    <xf numFmtId="0" fontId="12" fillId="2" borderId="0" xfId="0" applyFont="1" applyFill="1" applyAlignment="1">
      <alignment horizontal="right" vertical="center"/>
    </xf>
    <xf numFmtId="9" fontId="12" fillId="2" borderId="0" xfId="0" applyNumberFormat="1" applyFont="1" applyFill="1" applyAlignment="1">
      <alignment vertical="center"/>
    </xf>
    <xf numFmtId="0" fontId="18" fillId="2" borderId="0" xfId="0" applyFont="1" applyFill="1" applyAlignment="1">
      <alignment horizontal="center" vertical="center"/>
    </xf>
    <xf numFmtId="0" fontId="24" fillId="2" borderId="0" xfId="0" applyFont="1" applyFill="1" applyAlignment="1">
      <alignment vertical="center"/>
    </xf>
    <xf numFmtId="1" fontId="20" fillId="2" borderId="0" xfId="0" applyNumberFormat="1" applyFont="1" applyFill="1" applyAlignment="1">
      <alignment horizontal="left" vertical="center" wrapText="1"/>
    </xf>
    <xf numFmtId="0" fontId="18" fillId="2" borderId="0" xfId="0" applyFont="1" applyFill="1" applyAlignment="1">
      <alignment horizontal="right" vertical="center" wrapText="1"/>
    </xf>
    <xf numFmtId="0" fontId="20" fillId="2" borderId="0" xfId="0" applyFont="1" applyFill="1" applyAlignment="1" applyProtection="1">
      <alignment horizontal="center" vertical="center" wrapText="1"/>
      <protection locked="0"/>
    </xf>
    <xf numFmtId="166" fontId="20" fillId="2" borderId="24" xfId="1" applyNumberFormat="1" applyFont="1" applyFill="1" applyBorder="1" applyAlignment="1" applyProtection="1">
      <alignment horizontal="center" vertical="center" wrapText="1"/>
      <protection locked="0"/>
    </xf>
    <xf numFmtId="166" fontId="20" fillId="2" borderId="13" xfId="1" applyNumberFormat="1" applyFont="1" applyFill="1" applyBorder="1" applyAlignment="1" applyProtection="1">
      <alignment horizontal="center" vertical="center" wrapText="1"/>
      <protection locked="0"/>
    </xf>
    <xf numFmtId="166" fontId="20" fillId="2" borderId="32" xfId="1" applyNumberFormat="1" applyFont="1" applyFill="1" applyBorder="1" applyAlignment="1" applyProtection="1">
      <alignment horizontal="center" vertical="center" wrapText="1"/>
      <protection locked="0"/>
    </xf>
    <xf numFmtId="10" fontId="20" fillId="2" borderId="35" xfId="0" applyNumberFormat="1" applyFont="1" applyFill="1" applyBorder="1" applyAlignment="1" applyProtection="1">
      <alignment horizontal="right" vertical="center"/>
      <protection locked="0"/>
    </xf>
    <xf numFmtId="166" fontId="20" fillId="2" borderId="29" xfId="1" applyNumberFormat="1" applyFont="1" applyFill="1" applyBorder="1" applyAlignment="1" applyProtection="1">
      <alignment horizontal="center" vertical="center" wrapText="1"/>
      <protection locked="0"/>
    </xf>
    <xf numFmtId="10" fontId="20" fillId="2" borderId="36" xfId="0" applyNumberFormat="1" applyFont="1" applyFill="1" applyBorder="1" applyAlignment="1" applyProtection="1">
      <alignment horizontal="right" vertical="center"/>
      <protection locked="0"/>
    </xf>
    <xf numFmtId="165" fontId="20" fillId="2" borderId="13" xfId="1" applyFont="1" applyFill="1" applyBorder="1" applyAlignment="1" applyProtection="1">
      <alignment horizontal="right" vertical="center" wrapText="1"/>
      <protection locked="0"/>
    </xf>
    <xf numFmtId="165" fontId="20" fillId="2" borderId="0" xfId="1" applyFont="1" applyFill="1" applyBorder="1" applyAlignment="1" applyProtection="1">
      <alignment horizontal="right" vertical="center" wrapText="1"/>
    </xf>
    <xf numFmtId="165" fontId="20" fillId="2" borderId="16" xfId="1" applyFont="1" applyFill="1" applyBorder="1" applyAlignment="1" applyProtection="1">
      <alignment horizontal="right" vertical="center" wrapText="1"/>
    </xf>
    <xf numFmtId="165" fontId="20" fillId="2" borderId="37" xfId="1" applyFont="1" applyFill="1" applyBorder="1" applyAlignment="1" applyProtection="1">
      <alignment horizontal="right" vertical="center"/>
      <protection locked="0"/>
    </xf>
    <xf numFmtId="0" fontId="20" fillId="2" borderId="14" xfId="0" applyFont="1" applyFill="1" applyBorder="1" applyAlignment="1" applyProtection="1">
      <alignment horizontal="left" vertical="center" wrapText="1"/>
      <protection locked="0"/>
    </xf>
    <xf numFmtId="166" fontId="20" fillId="2" borderId="0" xfId="1" applyNumberFormat="1" applyFont="1" applyFill="1" applyBorder="1" applyAlignment="1" applyProtection="1">
      <alignment horizontal="center" vertical="center" wrapText="1"/>
      <protection locked="0"/>
    </xf>
    <xf numFmtId="166" fontId="20" fillId="2" borderId="16" xfId="1" applyNumberFormat="1" applyFont="1" applyFill="1" applyBorder="1" applyAlignment="1" applyProtection="1">
      <alignment horizontal="center" vertical="center" wrapText="1"/>
      <protection locked="0"/>
    </xf>
    <xf numFmtId="0" fontId="20" fillId="2" borderId="14" xfId="0" applyFont="1" applyFill="1" applyBorder="1" applyAlignment="1" applyProtection="1">
      <alignment horizontal="center" vertical="center" wrapText="1"/>
      <protection locked="0"/>
    </xf>
    <xf numFmtId="166" fontId="20" fillId="2" borderId="28" xfId="1" applyNumberFormat="1" applyFont="1" applyFill="1" applyBorder="1" applyAlignment="1" applyProtection="1">
      <alignment horizontal="center" vertical="center" wrapText="1"/>
      <protection locked="0"/>
    </xf>
    <xf numFmtId="10" fontId="20" fillId="2" borderId="33" xfId="0" applyNumberFormat="1" applyFont="1" applyFill="1" applyBorder="1" applyAlignment="1" applyProtection="1">
      <alignment horizontal="right" vertical="center"/>
      <protection locked="0"/>
    </xf>
    <xf numFmtId="165" fontId="20" fillId="2" borderId="27" xfId="1" applyFont="1" applyFill="1" applyBorder="1" applyAlignment="1" applyProtection="1">
      <alignment horizontal="right" vertical="center" wrapText="1"/>
      <protection locked="0"/>
    </xf>
    <xf numFmtId="17" fontId="18" fillId="3" borderId="6" xfId="0" applyNumberFormat="1" applyFont="1" applyFill="1" applyBorder="1" applyAlignment="1">
      <alignment horizontal="left" vertical="center" wrapText="1"/>
    </xf>
    <xf numFmtId="17" fontId="18" fillId="3" borderId="6" xfId="0" applyNumberFormat="1" applyFont="1" applyFill="1" applyBorder="1" applyAlignment="1">
      <alignment horizontal="center" vertical="center" wrapText="1"/>
    </xf>
    <xf numFmtId="165" fontId="18" fillId="3" borderId="6" xfId="1" applyFont="1" applyFill="1" applyBorder="1" applyAlignment="1" applyProtection="1">
      <alignment horizontal="center" vertical="center" wrapText="1"/>
    </xf>
    <xf numFmtId="17" fontId="18" fillId="3" borderId="2" xfId="0" applyNumberFormat="1" applyFont="1" applyFill="1" applyBorder="1" applyAlignment="1">
      <alignment horizontal="center" vertical="center" wrapText="1"/>
    </xf>
    <xf numFmtId="17" fontId="18" fillId="2" borderId="0" xfId="0" applyNumberFormat="1" applyFont="1" applyFill="1" applyAlignment="1">
      <alignment horizontal="left" vertical="center" wrapText="1"/>
    </xf>
    <xf numFmtId="169" fontId="18" fillId="2" borderId="0" xfId="1" applyNumberFormat="1" applyFont="1" applyFill="1" applyBorder="1" applyAlignment="1" applyProtection="1">
      <alignment horizontal="right" vertical="center" wrapText="1"/>
    </xf>
    <xf numFmtId="17" fontId="18" fillId="2" borderId="0" xfId="0" applyNumberFormat="1" applyFont="1" applyFill="1" applyAlignment="1">
      <alignment horizontal="center" vertical="center" wrapText="1"/>
    </xf>
    <xf numFmtId="165" fontId="18" fillId="2" borderId="0" xfId="1" applyFont="1" applyFill="1" applyBorder="1" applyAlignment="1" applyProtection="1">
      <alignment horizontal="center" vertical="center" wrapText="1"/>
    </xf>
    <xf numFmtId="165" fontId="20" fillId="2" borderId="32" xfId="1" applyFont="1" applyFill="1" applyBorder="1" applyAlignment="1" applyProtection="1">
      <alignment horizontal="right" vertical="center" wrapText="1"/>
    </xf>
    <xf numFmtId="165" fontId="20" fillId="2" borderId="29" xfId="1" applyFont="1" applyFill="1" applyBorder="1" applyAlignment="1" applyProtection="1">
      <alignment horizontal="right" vertical="center" wrapText="1"/>
    </xf>
    <xf numFmtId="165" fontId="20" fillId="2" borderId="28" xfId="1" applyFont="1" applyFill="1" applyBorder="1" applyAlignment="1" applyProtection="1">
      <alignment horizontal="right" vertical="center" wrapText="1"/>
    </xf>
    <xf numFmtId="165" fontId="20" fillId="2" borderId="5" xfId="1" applyFont="1" applyFill="1" applyBorder="1" applyAlignment="1" applyProtection="1">
      <alignment horizontal="right" vertical="center" wrapText="1"/>
    </xf>
    <xf numFmtId="165" fontId="18" fillId="3" borderId="26" xfId="1" applyFont="1" applyFill="1" applyBorder="1" applyAlignment="1" applyProtection="1">
      <alignment horizontal="center" vertical="center" wrapText="1"/>
    </xf>
    <xf numFmtId="0" fontId="11" fillId="2" borderId="0" xfId="0" applyFont="1" applyFill="1" applyAlignment="1">
      <alignment horizontal="left" vertical="center"/>
    </xf>
    <xf numFmtId="4" fontId="0" fillId="2" borderId="0" xfId="0" applyNumberFormat="1" applyFill="1" applyAlignment="1" applyProtection="1">
      <alignment vertical="center"/>
      <protection locked="0"/>
    </xf>
    <xf numFmtId="0" fontId="0" fillId="2" borderId="0" xfId="0" applyFill="1" applyAlignment="1" applyProtection="1">
      <alignment horizontal="left" vertical="center" wrapText="1"/>
      <protection locked="0"/>
    </xf>
    <xf numFmtId="0" fontId="25" fillId="2" borderId="0" xfId="0" applyFont="1" applyFill="1" applyAlignment="1" applyProtection="1">
      <alignment vertical="center"/>
      <protection locked="0"/>
    </xf>
    <xf numFmtId="0" fontId="0" fillId="2" borderId="0" xfId="0" applyFill="1" applyAlignment="1">
      <alignment horizontal="left" vertical="center"/>
    </xf>
    <xf numFmtId="0" fontId="0" fillId="0" borderId="0" xfId="0" applyAlignment="1">
      <alignment horizontal="right"/>
    </xf>
    <xf numFmtId="0" fontId="11" fillId="0" borderId="0" xfId="0" applyFont="1"/>
    <xf numFmtId="0" fontId="26" fillId="3" borderId="6"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5" xfId="0" applyFont="1" applyFill="1" applyBorder="1" applyAlignment="1">
      <alignment horizontal="center" vertical="center"/>
    </xf>
    <xf numFmtId="4" fontId="26" fillId="3" borderId="5" xfId="0" applyNumberFormat="1" applyFont="1" applyFill="1" applyBorder="1" applyAlignment="1">
      <alignment horizontal="center" vertical="center"/>
    </xf>
    <xf numFmtId="0" fontId="24" fillId="2" borderId="0" xfId="0" applyFont="1" applyFill="1" applyAlignment="1" applyProtection="1">
      <alignment horizontal="left" vertical="center" wrapText="1"/>
      <protection locked="0"/>
    </xf>
    <xf numFmtId="166" fontId="24" fillId="2" borderId="0" xfId="0" applyNumberFormat="1" applyFont="1" applyFill="1" applyAlignment="1" applyProtection="1">
      <alignment horizontal="right" vertical="center" wrapText="1"/>
      <protection locked="0"/>
    </xf>
    <xf numFmtId="4" fontId="24" fillId="2" borderId="0" xfId="0" applyNumberFormat="1" applyFont="1" applyFill="1" applyAlignment="1" applyProtection="1">
      <alignment horizontal="right" vertical="center" wrapText="1"/>
      <protection locked="0"/>
    </xf>
    <xf numFmtId="170" fontId="24" fillId="2" borderId="0" xfId="0" applyNumberFormat="1" applyFont="1" applyFill="1" applyAlignment="1" applyProtection="1">
      <alignment horizontal="right" vertical="center" wrapText="1"/>
      <protection locked="0"/>
    </xf>
    <xf numFmtId="165" fontId="24" fillId="2" borderId="0" xfId="1" applyFont="1" applyFill="1" applyBorder="1" applyAlignment="1" applyProtection="1">
      <alignment horizontal="right" vertical="center" wrapText="1"/>
    </xf>
    <xf numFmtId="0" fontId="26" fillId="3" borderId="6" xfId="0" applyFont="1" applyFill="1" applyBorder="1" applyAlignment="1">
      <alignment horizontal="right" vertical="center" wrapText="1"/>
    </xf>
    <xf numFmtId="0" fontId="26" fillId="3" borderId="6" xfId="0" applyFont="1" applyFill="1" applyBorder="1" applyAlignment="1">
      <alignment horizontal="right" vertical="center"/>
    </xf>
    <xf numFmtId="170" fontId="24" fillId="3" borderId="6" xfId="0" applyNumberFormat="1" applyFont="1" applyFill="1" applyBorder="1" applyAlignment="1">
      <alignment horizontal="right" vertical="center" wrapText="1"/>
    </xf>
    <xf numFmtId="165" fontId="26" fillId="3" borderId="6" xfId="1" applyFont="1" applyFill="1" applyBorder="1" applyAlignment="1" applyProtection="1">
      <alignment horizontal="right" vertical="center" wrapText="1"/>
    </xf>
    <xf numFmtId="0" fontId="24" fillId="3" borderId="6" xfId="0" applyFont="1" applyFill="1" applyBorder="1" applyAlignment="1">
      <alignment horizontal="left" vertical="center" wrapText="1"/>
    </xf>
    <xf numFmtId="0" fontId="20" fillId="2" borderId="0" xfId="6" applyFont="1" applyFill="1" applyAlignment="1">
      <alignment vertical="center" wrapText="1"/>
    </xf>
    <xf numFmtId="0" fontId="20" fillId="2" borderId="0" xfId="0" applyFont="1" applyFill="1"/>
    <xf numFmtId="4" fontId="18" fillId="3" borderId="10" xfId="7" applyNumberFormat="1" applyFont="1" applyFill="1" applyBorder="1" applyAlignment="1">
      <alignment horizontal="center" vertical="center" wrapText="1"/>
    </xf>
    <xf numFmtId="4" fontId="18" fillId="3" borderId="31" xfId="7" applyNumberFormat="1" applyFont="1" applyFill="1" applyBorder="1" applyAlignment="1">
      <alignment horizontal="center" vertical="center" wrapText="1"/>
    </xf>
    <xf numFmtId="4" fontId="18" fillId="3" borderId="26" xfId="7" applyNumberFormat="1" applyFont="1" applyFill="1" applyBorder="1" applyAlignment="1">
      <alignment horizontal="center" vertical="center" wrapText="1"/>
    </xf>
    <xf numFmtId="0" fontId="20" fillId="2" borderId="16" xfId="0" applyFont="1" applyFill="1" applyBorder="1" applyAlignment="1" applyProtection="1">
      <alignment horizontal="right" vertical="center"/>
      <protection locked="0"/>
    </xf>
    <xf numFmtId="0" fontId="20" fillId="2" borderId="17" xfId="0" applyFont="1" applyFill="1" applyBorder="1" applyAlignment="1" applyProtection="1">
      <alignment horizontal="left" vertical="center" wrapText="1"/>
      <protection locked="0"/>
    </xf>
    <xf numFmtId="165" fontId="20" fillId="2" borderId="17" xfId="1" applyFont="1" applyFill="1" applyBorder="1" applyAlignment="1" applyProtection="1">
      <alignment horizontal="right" vertical="center"/>
      <protection locked="0"/>
    </xf>
    <xf numFmtId="166" fontId="20" fillId="2" borderId="17" xfId="0" applyNumberFormat="1" applyFont="1" applyFill="1" applyBorder="1" applyAlignment="1" applyProtection="1">
      <alignment horizontal="right" vertical="center"/>
      <protection locked="0"/>
    </xf>
    <xf numFmtId="0" fontId="20" fillId="0" borderId="25" xfId="0" applyFont="1" applyBorder="1" applyAlignment="1" applyProtection="1">
      <alignment horizontal="left" vertical="center" wrapText="1"/>
      <protection locked="0"/>
    </xf>
    <xf numFmtId="0" fontId="20" fillId="2" borderId="29" xfId="0" applyFont="1" applyFill="1" applyBorder="1" applyAlignment="1" applyProtection="1">
      <alignment horizontal="left" vertical="center" wrapText="1"/>
      <protection locked="0"/>
    </xf>
    <xf numFmtId="165" fontId="20" fillId="2" borderId="29" xfId="1" applyFont="1" applyFill="1" applyBorder="1" applyAlignment="1" applyProtection="1">
      <alignment horizontal="right" vertical="center"/>
    </xf>
    <xf numFmtId="0" fontId="20" fillId="3" borderId="6" xfId="0" applyFont="1" applyFill="1" applyBorder="1" applyAlignment="1">
      <alignment horizontal="right" vertical="center"/>
    </xf>
    <xf numFmtId="0" fontId="20" fillId="3" borderId="6" xfId="0" applyFont="1" applyFill="1" applyBorder="1" applyAlignment="1">
      <alignment horizontal="left" vertical="center" wrapText="1"/>
    </xf>
    <xf numFmtId="0" fontId="18" fillId="3" borderId="6" xfId="0" applyFont="1" applyFill="1" applyBorder="1" applyAlignment="1">
      <alignment horizontal="right" vertical="center"/>
    </xf>
    <xf numFmtId="165" fontId="20" fillId="3" borderId="6" xfId="0" applyNumberFormat="1" applyFont="1" applyFill="1" applyBorder="1" applyAlignment="1">
      <alignment horizontal="right" vertical="center"/>
    </xf>
    <xf numFmtId="0" fontId="0" fillId="2" borderId="0" xfId="0" applyFill="1" applyAlignment="1" applyProtection="1">
      <alignment wrapText="1"/>
      <protection locked="0"/>
    </xf>
    <xf numFmtId="1" fontId="12" fillId="2" borderId="26" xfId="0" applyNumberFormat="1" applyFont="1" applyFill="1" applyBorder="1" applyAlignment="1">
      <alignment horizontal="center" vertical="center" wrapText="1"/>
    </xf>
    <xf numFmtId="0" fontId="0" fillId="2" borderId="38" xfId="0" applyFill="1" applyBorder="1" applyAlignment="1" applyProtection="1">
      <alignment wrapText="1"/>
      <protection locked="0"/>
    </xf>
    <xf numFmtId="0" fontId="20" fillId="2" borderId="6" xfId="0" applyFont="1" applyFill="1" applyBorder="1" applyAlignment="1">
      <alignment horizontal="right" vertical="center"/>
    </xf>
    <xf numFmtId="4" fontId="2" fillId="2" borderId="0" xfId="7" applyNumberFormat="1" applyFont="1" applyFill="1" applyAlignment="1">
      <alignment horizontal="center"/>
    </xf>
    <xf numFmtId="0" fontId="30" fillId="2" borderId="0" xfId="7" applyFont="1" applyFill="1" applyAlignment="1">
      <alignment vertical="center"/>
    </xf>
    <xf numFmtId="0" fontId="31" fillId="2" borderId="0" xfId="7" applyFont="1" applyFill="1" applyAlignment="1">
      <alignment vertical="center"/>
    </xf>
    <xf numFmtId="0" fontId="0" fillId="2" borderId="0" xfId="6" applyFont="1" applyFill="1" applyAlignment="1">
      <alignment wrapText="1"/>
    </xf>
    <xf numFmtId="0" fontId="11" fillId="2" borderId="4" xfId="6" applyFont="1" applyFill="1" applyBorder="1" applyAlignment="1">
      <alignment horizontal="left" vertical="center" wrapText="1"/>
    </xf>
    <xf numFmtId="0" fontId="32" fillId="2" borderId="4" xfId="6" applyFont="1" applyFill="1" applyBorder="1" applyAlignment="1">
      <alignment horizontal="left" vertical="center" wrapText="1"/>
    </xf>
    <xf numFmtId="0" fontId="0" fillId="2" borderId="0" xfId="6" applyFont="1" applyFill="1" applyAlignment="1">
      <alignment vertical="center" wrapText="1"/>
    </xf>
    <xf numFmtId="0" fontId="0" fillId="2" borderId="0" xfId="6" applyFont="1" applyFill="1" applyAlignment="1">
      <alignment horizontal="left" vertical="center" wrapText="1"/>
    </xf>
    <xf numFmtId="0" fontId="32" fillId="2" borderId="4" xfId="9" applyFont="1" applyFill="1" applyBorder="1" applyAlignment="1">
      <alignment horizontal="left" vertical="center" wrapText="1"/>
    </xf>
    <xf numFmtId="0" fontId="32" fillId="2" borderId="0" xfId="6" applyFont="1" applyFill="1" applyAlignment="1">
      <alignment horizontal="left" vertical="center" wrapText="1"/>
    </xf>
    <xf numFmtId="0" fontId="33" fillId="2" borderId="4" xfId="9" applyFont="1" applyFill="1" applyBorder="1" applyAlignment="1">
      <alignment horizontal="left" vertical="center" wrapText="1"/>
    </xf>
    <xf numFmtId="0" fontId="36" fillId="3" borderId="5" xfId="0" applyFont="1" applyFill="1" applyBorder="1" applyAlignment="1" applyProtection="1">
      <alignment horizontal="center" vertical="center" wrapText="1"/>
      <protection locked="0"/>
    </xf>
    <xf numFmtId="166" fontId="35" fillId="2" borderId="16" xfId="1"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left" vertical="center" wrapText="1"/>
      <protection locked="0"/>
    </xf>
    <xf numFmtId="165" fontId="20" fillId="2" borderId="24" xfId="1" applyFont="1" applyFill="1" applyBorder="1" applyAlignment="1" applyProtection="1">
      <alignment horizontal="right" vertical="center" wrapText="1"/>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37" fillId="2" borderId="0" xfId="0" applyFont="1" applyFill="1" applyAlignment="1" applyProtection="1">
      <alignment horizontal="left" vertical="center" wrapText="1"/>
      <protection locked="0"/>
    </xf>
    <xf numFmtId="166" fontId="37" fillId="2" borderId="0" xfId="0" applyNumberFormat="1" applyFont="1" applyFill="1" applyAlignment="1" applyProtection="1">
      <alignment horizontal="right" vertical="center" wrapText="1"/>
      <protection locked="0"/>
    </xf>
    <xf numFmtId="0" fontId="20" fillId="0" borderId="17" xfId="0" applyFont="1" applyBorder="1" applyAlignment="1" applyProtection="1">
      <alignment horizontal="left" vertical="center" wrapText="1"/>
      <protection locked="0"/>
    </xf>
    <xf numFmtId="0" fontId="11" fillId="0" borderId="0" xfId="0" applyFont="1" applyAlignment="1">
      <alignment horizontal="center" vertical="center"/>
    </xf>
    <xf numFmtId="0" fontId="12" fillId="0" borderId="3" xfId="0" applyFont="1" applyBorder="1" applyAlignment="1">
      <alignment horizontal="center" wrapText="1"/>
    </xf>
    <xf numFmtId="0" fontId="12" fillId="0" borderId="3" xfId="0" applyFont="1" applyBorder="1" applyAlignment="1">
      <alignment horizontal="center"/>
    </xf>
    <xf numFmtId="0" fontId="18" fillId="2" borderId="1" xfId="7" applyFont="1" applyFill="1" applyBorder="1" applyAlignment="1">
      <alignment horizontal="right" vertical="center" wrapText="1"/>
    </xf>
    <xf numFmtId="0" fontId="11" fillId="2" borderId="0" xfId="0" applyFont="1" applyFill="1" applyAlignment="1">
      <alignment horizontal="center" vertical="center" wrapText="1"/>
    </xf>
    <xf numFmtId="0" fontId="11" fillId="2" borderId="5" xfId="0" applyFont="1" applyFill="1" applyBorder="1" applyAlignment="1">
      <alignment horizontal="center" vertical="center"/>
    </xf>
    <xf numFmtId="0" fontId="20" fillId="2" borderId="7"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3" borderId="6" xfId="7" applyFont="1" applyFill="1" applyBorder="1" applyAlignment="1">
      <alignment horizontal="left" vertical="center"/>
    </xf>
    <xf numFmtId="0" fontId="11" fillId="2" borderId="5" xfId="0" applyFont="1" applyFill="1" applyBorder="1" applyAlignment="1">
      <alignment horizontal="center" vertical="center" wrapText="1"/>
    </xf>
    <xf numFmtId="0" fontId="11" fillId="2" borderId="5" xfId="0" applyFont="1" applyFill="1" applyBorder="1" applyAlignment="1">
      <alignment horizontal="center"/>
    </xf>
    <xf numFmtId="0" fontId="18" fillId="3" borderId="6" xfId="0" applyFont="1" applyFill="1" applyBorder="1" applyAlignment="1">
      <alignment horizontal="left" vertical="center"/>
    </xf>
    <xf numFmtId="0" fontId="18" fillId="3" borderId="24"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1" fillId="2" borderId="0" xfId="0" applyFont="1" applyFill="1" applyAlignment="1">
      <alignment horizontal="center" vertical="center"/>
    </xf>
    <xf numFmtId="0" fontId="18" fillId="3" borderId="2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18" fillId="3" borderId="34"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8" fillId="3" borderId="0" xfId="0" applyFont="1" applyFill="1" applyAlignment="1">
      <alignment horizontal="center" vertical="center" wrapText="1"/>
    </xf>
    <xf numFmtId="0" fontId="0" fillId="2" borderId="0" xfId="0" applyFill="1" applyAlignment="1" applyProtection="1">
      <alignment horizontal="center" vertical="center" wrapText="1"/>
      <protection locked="0"/>
    </xf>
    <xf numFmtId="0" fontId="18" fillId="3" borderId="16" xfId="0" applyFont="1" applyFill="1" applyBorder="1" applyAlignment="1">
      <alignment horizontal="center" vertical="center" wrapText="1"/>
    </xf>
    <xf numFmtId="0" fontId="3" fillId="2" borderId="0" xfId="7" applyFont="1" applyFill="1" applyAlignment="1">
      <alignment horizontal="center" vertical="center" wrapText="1"/>
    </xf>
    <xf numFmtId="0" fontId="5" fillId="2" borderId="0" xfId="7" applyFont="1" applyFill="1" applyAlignment="1">
      <alignment horizontal="center"/>
    </xf>
    <xf numFmtId="0" fontId="3" fillId="2" borderId="0" xfId="7" applyFont="1" applyFill="1" applyAlignment="1">
      <alignment horizontal="center"/>
    </xf>
    <xf numFmtId="0" fontId="27" fillId="2" borderId="0" xfId="7" applyFont="1" applyFill="1" applyAlignment="1">
      <alignment horizontal="center" vertical="center"/>
    </xf>
    <xf numFmtId="0" fontId="30" fillId="2" borderId="0" xfId="7" applyFont="1" applyFill="1" applyAlignment="1">
      <alignment horizontal="center" vertical="center"/>
    </xf>
    <xf numFmtId="0" fontId="7" fillId="2" borderId="0" xfId="7" applyFont="1" applyFill="1" applyAlignment="1">
      <alignment horizontal="center" vertical="center"/>
    </xf>
    <xf numFmtId="0" fontId="28" fillId="2" borderId="0" xfId="7" applyFont="1" applyFill="1" applyAlignment="1">
      <alignment horizontal="center"/>
    </xf>
    <xf numFmtId="0" fontId="29" fillId="2" borderId="0" xfId="7" applyFont="1" applyFill="1" applyAlignment="1">
      <alignment horizontal="center"/>
    </xf>
    <xf numFmtId="0" fontId="38" fillId="2" borderId="0" xfId="7" applyFont="1" applyFill="1" applyAlignment="1" applyProtection="1">
      <alignment horizontal="center" vertical="center"/>
      <protection locked="0"/>
    </xf>
  </cellXfs>
  <cellStyles count="14">
    <cellStyle name="Moeda 2" xfId="3"/>
    <cellStyle name="Moeda 2 2" xfId="4"/>
    <cellStyle name="Moeda 3" xfId="5"/>
    <cellStyle name="Normal" xfId="0" builtinId="0"/>
    <cellStyle name="Normal 10" xfId="6"/>
    <cellStyle name="Normal 2" xfId="7"/>
    <cellStyle name="Normal 3" xfId="8"/>
    <cellStyle name="Normal 3 3" xfId="9"/>
    <cellStyle name="Normal 4" xfId="10"/>
    <cellStyle name="Normal 5" xfId="11"/>
    <cellStyle name="Porcentagem" xfId="2" builtinId="5"/>
    <cellStyle name="Porcentagem 2" xfId="12"/>
    <cellStyle name="Separador de milhares 2" xfId="13"/>
    <cellStyle name="Vírgula" xfId="1" builtinId="3"/>
  </cellStyles>
  <dxfs count="1788">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BFBFBF"/>
      <rgbColor rgb="FF7F7F7F"/>
      <rgbColor rgb="FF9999FF"/>
      <rgbColor rgb="FF993366"/>
      <rgbColor rgb="FFFDEADA"/>
      <rgbColor rgb="FFF2F2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AC090"/>
      <rgbColor rgb="FF3366FF"/>
      <rgbColor rgb="FF33CCCC"/>
      <rgbColor rgb="FF99CC00"/>
      <rgbColor rgb="FFFFCC00"/>
      <rgbColor rgb="FFFF9900"/>
      <rgbColor rgb="FFFF6600"/>
      <rgbColor rgb="FF666699"/>
      <rgbColor rgb="FFA6A6A6"/>
      <rgbColor rgb="FF003366"/>
      <rgbColor rgb="FF339966"/>
      <rgbColor rgb="FF0D0D0D"/>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196659</xdr:rowOff>
    </xdr:from>
    <xdr:to>
      <xdr:col>0</xdr:col>
      <xdr:colOff>2968058</xdr:colOff>
      <xdr:row>8</xdr:row>
      <xdr:rowOff>807925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84" t="33563" r="9604" b="35783"/>
        <a:stretch/>
      </xdr:blipFill>
      <xdr:spPr>
        <a:xfrm>
          <a:off x="0" y="2416324"/>
          <a:ext cx="2968058" cy="1096021"/>
        </a:xfrm>
        <a:prstGeom prst="rect">
          <a:avLst/>
        </a:prstGeom>
      </xdr:spPr>
    </xdr:pic>
    <xdr:clientData/>
  </xdr:twoCellAnchor>
  <xdr:twoCellAnchor editAs="oneCell">
    <xdr:from>
      <xdr:col>0</xdr:col>
      <xdr:colOff>6199141</xdr:colOff>
      <xdr:row>8</xdr:row>
      <xdr:rowOff>25513</xdr:rowOff>
    </xdr:from>
    <xdr:to>
      <xdr:col>1</xdr:col>
      <xdr:colOff>52171</xdr:colOff>
      <xdr:row>8</xdr:row>
      <xdr:rowOff>722730</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9141" y="2729933"/>
          <a:ext cx="4194459" cy="697217"/>
        </a:xfrm>
        <a:prstGeom prst="rect">
          <a:avLst/>
        </a:prstGeom>
      </xdr:spPr>
    </xdr:pic>
    <xdr:clientData/>
  </xdr:twoCellAnchor>
  <xdr:twoCellAnchor editAs="oneCell">
    <xdr:from>
      <xdr:col>0</xdr:col>
      <xdr:colOff>3384777</xdr:colOff>
      <xdr:row>7</xdr:row>
      <xdr:rowOff>127566</xdr:rowOff>
    </xdr:from>
    <xdr:to>
      <xdr:col>0</xdr:col>
      <xdr:colOff>5859577</xdr:colOff>
      <xdr:row>8</xdr:row>
      <xdr:rowOff>790915</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274" t="33007" r="28143" b="29218"/>
        <a:stretch/>
      </xdr:blipFill>
      <xdr:spPr>
        <a:xfrm>
          <a:off x="3384777" y="2619374"/>
          <a:ext cx="2474800" cy="8759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Modelos%20e%20Manuais\5%20-%20Monitoramento\Modelo%20de%20Relat&#243;rio%20Gerencial%20Financeiro%20vr%2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Comparativo"/>
      <sheetName val="Atividades"/>
      <sheetName val="Analítico Cx."/>
      <sheetName val="Analítico Cp."/>
      <sheetName val="Prov. Pessoal"/>
      <sheetName val="Comprometidos"/>
      <sheetName val="Diário"/>
      <sheetName val="Reserva"/>
      <sheetName val="Dec Dir."/>
      <sheetName val="Plano"/>
    </sheetNames>
    <sheetDataSet>
      <sheetData sheetId="0" refreshError="1"/>
      <sheetData sheetId="1" refreshError="1"/>
      <sheetData sheetId="2" refreshError="1"/>
      <sheetData sheetId="3">
        <row r="4">
          <cell r="B4" t="str">
            <v>Atividades do Termo de Parceria -
Vinculação ao Programa de Trabalho</v>
          </cell>
        </row>
        <row r="5">
          <cell r="B5">
            <v>0</v>
          </cell>
        </row>
        <row r="6">
          <cell r="B6" t="str">
            <v>N/A</v>
          </cell>
        </row>
        <row r="7">
          <cell r="B7" t="str">
            <v>Área Meio - Atividades e Gastos</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zoomScale="112" zoomScaleNormal="112" zoomScalePageLayoutView="85" workbookViewId="0"/>
  </sheetViews>
  <sheetFormatPr defaultColWidth="9.140625" defaultRowHeight="15"/>
  <cols>
    <col min="1" max="1" width="155.140625" style="1" customWidth="1"/>
    <col min="2" max="1024" width="9.140625" style="1"/>
  </cols>
  <sheetData>
    <row r="1" spans="1:1" ht="70.5" customHeight="1">
      <c r="A1" s="2" t="s">
        <v>741</v>
      </c>
    </row>
    <row r="2" spans="1:1" ht="18.75" customHeight="1">
      <c r="A2" s="3"/>
    </row>
    <row r="3" spans="1:1" ht="18.75" customHeight="1">
      <c r="A3" s="4"/>
    </row>
    <row r="4" spans="1:1" ht="24" customHeight="1">
      <c r="A4" s="5" t="s">
        <v>0</v>
      </c>
    </row>
    <row r="5" spans="1:1" ht="21.75" customHeight="1">
      <c r="A5" s="6">
        <v>45261</v>
      </c>
    </row>
    <row r="6" spans="1:1" ht="21.75" customHeight="1">
      <c r="A6" s="7" t="s">
        <v>1</v>
      </c>
    </row>
    <row r="7" spans="1:1" ht="21.75" customHeight="1">
      <c r="A7" s="6">
        <v>47058</v>
      </c>
    </row>
    <row r="8" spans="1:1" ht="16.5" customHeight="1">
      <c r="A8" s="8"/>
    </row>
    <row r="9" spans="1:1" ht="74.25" customHeight="1">
      <c r="A9"/>
    </row>
    <row r="10" spans="1:1" ht="27.75" customHeight="1">
      <c r="A10" s="9" t="s">
        <v>2</v>
      </c>
    </row>
    <row r="12" spans="1:1">
      <c r="A12" s="10" t="s">
        <v>3</v>
      </c>
    </row>
    <row r="14" spans="1:1" hidden="1">
      <c r="A14" s="1" t="s">
        <v>4</v>
      </c>
    </row>
    <row r="15" spans="1:1" hidden="1"/>
    <row r="16" spans="1:1" hidden="1">
      <c r="A16" s="1" t="s">
        <v>5</v>
      </c>
    </row>
    <row r="17" spans="1:1" hidden="1">
      <c r="A17" s="1" t="s">
        <v>6</v>
      </c>
    </row>
    <row r="18" spans="1:1" hidden="1">
      <c r="A18" s="1" t="s">
        <v>7</v>
      </c>
    </row>
    <row r="19" spans="1:1" hidden="1">
      <c r="A19" s="1" t="s">
        <v>8</v>
      </c>
    </row>
    <row r="20" spans="1:1" hidden="1">
      <c r="A20" s="1" t="s">
        <v>9</v>
      </c>
    </row>
    <row r="21" spans="1:1" hidden="1">
      <c r="A21" s="1" t="s">
        <v>10</v>
      </c>
    </row>
    <row r="22" spans="1:1" hidden="1">
      <c r="A22" s="1" t="s">
        <v>11</v>
      </c>
    </row>
    <row r="23" spans="1:1" hidden="1">
      <c r="A23" s="1" t="s">
        <v>12</v>
      </c>
    </row>
    <row r="24" spans="1:1" hidden="1">
      <c r="A24" s="1" t="s">
        <v>13</v>
      </c>
    </row>
    <row r="25" spans="1:1" hidden="1">
      <c r="A25" s="1" t="s">
        <v>14</v>
      </c>
    </row>
    <row r="26" spans="1:1" hidden="1">
      <c r="A26" s="1" t="s">
        <v>15</v>
      </c>
    </row>
    <row r="27" spans="1:1" hidden="1">
      <c r="A27" s="1" t="s">
        <v>16</v>
      </c>
    </row>
    <row r="28" spans="1:1" hidden="1">
      <c r="A28" s="1" t="s">
        <v>17</v>
      </c>
    </row>
    <row r="29" spans="1:1" hidden="1">
      <c r="A29" s="1" t="s">
        <v>18</v>
      </c>
    </row>
    <row r="30" spans="1:1" hidden="1">
      <c r="A30" s="1" t="s">
        <v>19</v>
      </c>
    </row>
    <row r="31" spans="1:1" hidden="1">
      <c r="A31" s="1" t="s">
        <v>20</v>
      </c>
    </row>
    <row r="32" spans="1:1" hidden="1">
      <c r="A32" s="1" t="s">
        <v>21</v>
      </c>
    </row>
    <row r="33" spans="1:1" hidden="1">
      <c r="A33" s="1" t="s">
        <v>22</v>
      </c>
    </row>
    <row r="34" spans="1:1" hidden="1">
      <c r="A34" s="1" t="s">
        <v>23</v>
      </c>
    </row>
    <row r="35" spans="1:1" hidden="1">
      <c r="A35" s="1" t="s">
        <v>24</v>
      </c>
    </row>
    <row r="36" spans="1:1" hidden="1">
      <c r="A36" s="11">
        <f>IF(ISNUMBER(A5),A5,DATEVALUE("1/7/2023"))</f>
        <v>45261</v>
      </c>
    </row>
  </sheetData>
  <sheetProtection algorithmName="SHA-512" hashValue="AlTpvVND0AuAu8gHJqN1oS60tq2t5cNq4qBUDU/kGDXjicFVuUiyxCVVuZcvlcQ9x42UEvkiulxIyW5iGycz3A==" saltValue="NNo/5bZVZq5Y5IraiYTldA==" spinCount="100000" sheet="1" formatCells="0"/>
  <dataValidations count="1">
    <dataValidation type="list" allowBlank="1" showInputMessage="1" showErrorMessage="1" sqref="A2">
      <formula1>$A$14:$A$35</formula1>
      <formula2>0</formula2>
    </dataValidation>
  </dataValidations>
  <printOptions horizontalCentered="1" verticalCentered="1"/>
  <pageMargins left="0.196527777777778" right="0.196527777777778" top="0.59027777777777801" bottom="0.59027777777777801" header="0.51180555555555496" footer="0.39374999999999999"/>
  <pageSetup paperSize="9" scale="94" firstPageNumber="0" orientation="landscape" horizontalDpi="300" verticalDpi="300" r:id="rId1"/>
  <headerFooter>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D0D0D"/>
    <pageSetUpPr fitToPage="1"/>
  </sheetPr>
  <dimension ref="A1:AMJ64"/>
  <sheetViews>
    <sheetView zoomScaleNormal="100" workbookViewId="0">
      <pane ySplit="3" topLeftCell="A56" activePane="bottomLeft" state="frozen"/>
      <selection pane="bottomLeft" activeCell="K63" sqref="K63"/>
    </sheetView>
  </sheetViews>
  <sheetFormatPr defaultColWidth="9.140625" defaultRowHeight="12.75"/>
  <cols>
    <col min="1" max="1" width="4.7109375" style="84" customWidth="1"/>
    <col min="2" max="2" width="18.28515625" style="84" customWidth="1"/>
    <col min="3" max="3" width="29.42578125" style="81" customWidth="1"/>
    <col min="4" max="4" width="13" style="84" customWidth="1"/>
    <col min="5" max="6" width="10.140625" style="84" customWidth="1"/>
    <col min="7" max="7" width="36" style="341" customWidth="1"/>
    <col min="8" max="8" width="11.5703125" style="84" customWidth="1"/>
    <col min="9" max="9" width="23.5703125" style="356" hidden="1" customWidth="1"/>
    <col min="10" max="1024" width="9.140625" style="120"/>
  </cols>
  <sheetData>
    <row r="1" spans="1:9" ht="42.75"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row>
    <row r="2" spans="1:9" ht="23.25" customHeight="1">
      <c r="A2" s="385" t="s">
        <v>407</v>
      </c>
      <c r="B2" s="385"/>
      <c r="C2" s="385"/>
      <c r="D2" s="385"/>
      <c r="E2" s="385"/>
      <c r="F2" s="385"/>
      <c r="G2" s="385"/>
      <c r="H2" s="385"/>
    </row>
    <row r="3" spans="1:9" ht="43.5" customHeight="1">
      <c r="A3" s="342" t="s">
        <v>401</v>
      </c>
      <c r="B3" s="342" t="s">
        <v>408</v>
      </c>
      <c r="C3" s="343" t="s">
        <v>394</v>
      </c>
      <c r="D3" s="343" t="s">
        <v>124</v>
      </c>
      <c r="E3" s="343" t="s">
        <v>402</v>
      </c>
      <c r="F3" s="343" t="s">
        <v>403</v>
      </c>
      <c r="G3" s="344" t="s">
        <v>404</v>
      </c>
      <c r="H3" s="344" t="s">
        <v>405</v>
      </c>
      <c r="I3" s="357" t="s">
        <v>408</v>
      </c>
    </row>
    <row r="4" spans="1:9" ht="45">
      <c r="A4" s="345">
        <v>1</v>
      </c>
      <c r="B4" s="345" t="s">
        <v>80</v>
      </c>
      <c r="C4" s="346" t="s">
        <v>82</v>
      </c>
      <c r="D4" s="347">
        <v>48807.9</v>
      </c>
      <c r="E4" s="348">
        <v>47058</v>
      </c>
      <c r="F4" s="348">
        <v>47088</v>
      </c>
      <c r="G4" s="350" t="s">
        <v>499</v>
      </c>
      <c r="H4" s="351">
        <f t="shared" ref="H4:H35" si="0">IFERROR((DATEDIF(E4,F4,"M")+1)*D4,0)</f>
        <v>97615.8</v>
      </c>
      <c r="I4" s="358" t="str">
        <f t="shared" ref="I4:I35" si="1">SUBSTITUTE(B4," ","_")</f>
        <v>Gastos_com_Pessoal</v>
      </c>
    </row>
    <row r="5" spans="1:9" ht="45">
      <c r="A5" s="345">
        <v>2</v>
      </c>
      <c r="B5" s="345" t="s">
        <v>80</v>
      </c>
      <c r="C5" s="346" t="s">
        <v>195</v>
      </c>
      <c r="D5" s="347">
        <v>2270.14</v>
      </c>
      <c r="E5" s="348">
        <v>47058</v>
      </c>
      <c r="F5" s="348">
        <v>47088</v>
      </c>
      <c r="G5" s="350" t="s">
        <v>499</v>
      </c>
      <c r="H5" s="351">
        <f t="shared" si="0"/>
        <v>4540.28</v>
      </c>
      <c r="I5" s="358" t="str">
        <f t="shared" si="1"/>
        <v>Gastos_com_Pessoal</v>
      </c>
    </row>
    <row r="6" spans="1:9" ht="45">
      <c r="A6" s="345">
        <v>3</v>
      </c>
      <c r="B6" s="345" t="s">
        <v>80</v>
      </c>
      <c r="C6" s="346" t="s">
        <v>154</v>
      </c>
      <c r="D6" s="347">
        <v>16526.91</v>
      </c>
      <c r="E6" s="348">
        <v>47058</v>
      </c>
      <c r="F6" s="348">
        <v>47088</v>
      </c>
      <c r="G6" s="350" t="s">
        <v>499</v>
      </c>
      <c r="H6" s="351">
        <f t="shared" si="0"/>
        <v>33053.82</v>
      </c>
      <c r="I6" s="358" t="str">
        <f t="shared" si="1"/>
        <v>Gastos_com_Pessoal</v>
      </c>
    </row>
    <row r="7" spans="1:9" ht="45">
      <c r="A7" s="345">
        <v>4</v>
      </c>
      <c r="B7" s="345" t="s">
        <v>80</v>
      </c>
      <c r="C7" s="346" t="s">
        <v>156</v>
      </c>
      <c r="D7" s="347">
        <v>623.66</v>
      </c>
      <c r="E7" s="348">
        <v>47058</v>
      </c>
      <c r="F7" s="348">
        <v>47088</v>
      </c>
      <c r="G7" s="350" t="s">
        <v>499</v>
      </c>
      <c r="H7" s="351">
        <f t="shared" si="0"/>
        <v>1247.32</v>
      </c>
      <c r="I7" s="358" t="str">
        <f t="shared" si="1"/>
        <v>Gastos_com_Pessoal</v>
      </c>
    </row>
    <row r="8" spans="1:9" ht="45">
      <c r="A8" s="345">
        <v>5</v>
      </c>
      <c r="B8" s="345" t="s">
        <v>80</v>
      </c>
      <c r="C8" s="346" t="s">
        <v>158</v>
      </c>
      <c r="D8" s="347">
        <v>4989.26</v>
      </c>
      <c r="E8" s="348">
        <v>47058</v>
      </c>
      <c r="F8" s="348">
        <v>47088</v>
      </c>
      <c r="G8" s="350" t="s">
        <v>499</v>
      </c>
      <c r="H8" s="351">
        <f t="shared" si="0"/>
        <v>9978.52</v>
      </c>
      <c r="I8" s="358" t="str">
        <f t="shared" si="1"/>
        <v>Gastos_com_Pessoal</v>
      </c>
    </row>
    <row r="9" spans="1:9" ht="45">
      <c r="A9" s="345">
        <v>6</v>
      </c>
      <c r="B9" s="345" t="s">
        <v>80</v>
      </c>
      <c r="C9" s="346" t="s">
        <v>160</v>
      </c>
      <c r="D9" s="347">
        <v>2494.63</v>
      </c>
      <c r="E9" s="348">
        <v>47058</v>
      </c>
      <c r="F9" s="348">
        <v>47088</v>
      </c>
      <c r="G9" s="350" t="s">
        <v>499</v>
      </c>
      <c r="H9" s="351">
        <f t="shared" si="0"/>
        <v>4989.26</v>
      </c>
      <c r="I9" s="358" t="str">
        <f t="shared" si="1"/>
        <v>Gastos_com_Pessoal</v>
      </c>
    </row>
    <row r="10" spans="1:9" ht="45">
      <c r="A10" s="345">
        <v>7</v>
      </c>
      <c r="B10" s="345" t="s">
        <v>80</v>
      </c>
      <c r="C10" s="346" t="s">
        <v>162</v>
      </c>
      <c r="D10" s="347">
        <v>4067.33</v>
      </c>
      <c r="E10" s="348">
        <v>47058</v>
      </c>
      <c r="F10" s="348">
        <v>47088</v>
      </c>
      <c r="G10" s="350" t="s">
        <v>499</v>
      </c>
      <c r="H10" s="351">
        <f t="shared" si="0"/>
        <v>8134.66</v>
      </c>
      <c r="I10" s="358" t="str">
        <f t="shared" si="1"/>
        <v>Gastos_com_Pessoal</v>
      </c>
    </row>
    <row r="11" spans="1:9" ht="45">
      <c r="A11" s="345">
        <v>8</v>
      </c>
      <c r="B11" s="345" t="s">
        <v>80</v>
      </c>
      <c r="C11" s="346" t="s">
        <v>164</v>
      </c>
      <c r="D11" s="347">
        <v>4067.33</v>
      </c>
      <c r="E11" s="348">
        <v>47058</v>
      </c>
      <c r="F11" s="348">
        <v>47088</v>
      </c>
      <c r="G11" s="350" t="s">
        <v>499</v>
      </c>
      <c r="H11" s="351">
        <f t="shared" si="0"/>
        <v>8134.66</v>
      </c>
      <c r="I11" s="358" t="str">
        <f t="shared" si="1"/>
        <v>Gastos_com_Pessoal</v>
      </c>
    </row>
    <row r="12" spans="1:9" ht="45">
      <c r="A12" s="345">
        <v>9</v>
      </c>
      <c r="B12" s="345" t="s">
        <v>80</v>
      </c>
      <c r="C12" s="346" t="s">
        <v>166</v>
      </c>
      <c r="D12" s="347">
        <v>1355.78</v>
      </c>
      <c r="E12" s="348">
        <v>47058</v>
      </c>
      <c r="F12" s="348">
        <v>47088</v>
      </c>
      <c r="G12" s="350" t="s">
        <v>499</v>
      </c>
      <c r="H12" s="351">
        <f t="shared" si="0"/>
        <v>2711.56</v>
      </c>
      <c r="I12" s="358" t="str">
        <f t="shared" si="1"/>
        <v>Gastos_com_Pessoal</v>
      </c>
    </row>
    <row r="13" spans="1:9" ht="45">
      <c r="A13" s="345">
        <v>10</v>
      </c>
      <c r="B13" s="345" t="s">
        <v>80</v>
      </c>
      <c r="C13" s="346" t="s">
        <v>421</v>
      </c>
      <c r="D13" s="347">
        <v>4067.33</v>
      </c>
      <c r="E13" s="348">
        <v>47058</v>
      </c>
      <c r="F13" s="348">
        <v>47088</v>
      </c>
      <c r="G13" s="350" t="s">
        <v>499</v>
      </c>
      <c r="H13" s="351">
        <f t="shared" si="0"/>
        <v>8134.66</v>
      </c>
      <c r="I13" s="358" t="str">
        <f t="shared" si="1"/>
        <v>Gastos_com_Pessoal</v>
      </c>
    </row>
    <row r="14" spans="1:9" ht="45">
      <c r="A14" s="345">
        <v>11</v>
      </c>
      <c r="B14" s="345" t="s">
        <v>80</v>
      </c>
      <c r="C14" s="346" t="s">
        <v>170</v>
      </c>
      <c r="D14" s="347">
        <v>597.66999999999996</v>
      </c>
      <c r="E14" s="348">
        <v>47058</v>
      </c>
      <c r="F14" s="348">
        <v>47088</v>
      </c>
      <c r="G14" s="350" t="s">
        <v>499</v>
      </c>
      <c r="H14" s="351">
        <f t="shared" si="0"/>
        <v>1195.3399999999999</v>
      </c>
      <c r="I14" s="358" t="str">
        <f t="shared" si="1"/>
        <v>Gastos_com_Pessoal</v>
      </c>
    </row>
    <row r="15" spans="1:9" ht="45">
      <c r="A15" s="345">
        <v>12</v>
      </c>
      <c r="B15" s="345" t="s">
        <v>80</v>
      </c>
      <c r="C15" s="346" t="s">
        <v>181</v>
      </c>
      <c r="D15" s="347">
        <v>2279.34</v>
      </c>
      <c r="E15" s="348">
        <v>47058</v>
      </c>
      <c r="F15" s="348">
        <v>47088</v>
      </c>
      <c r="G15" s="350" t="s">
        <v>499</v>
      </c>
      <c r="H15" s="351">
        <f t="shared" si="0"/>
        <v>4558.68</v>
      </c>
      <c r="I15" s="358" t="str">
        <f t="shared" si="1"/>
        <v>Gastos_com_Pessoal</v>
      </c>
    </row>
    <row r="16" spans="1:9" ht="45">
      <c r="A16" s="345">
        <v>13</v>
      </c>
      <c r="B16" s="345" t="s">
        <v>80</v>
      </c>
      <c r="C16" s="346" t="s">
        <v>183</v>
      </c>
      <c r="D16" s="347">
        <v>159.93</v>
      </c>
      <c r="E16" s="348">
        <v>47058</v>
      </c>
      <c r="F16" s="348">
        <v>47088</v>
      </c>
      <c r="G16" s="350" t="s">
        <v>499</v>
      </c>
      <c r="H16" s="351">
        <f t="shared" si="0"/>
        <v>319.86</v>
      </c>
      <c r="I16" s="358" t="str">
        <f t="shared" si="1"/>
        <v>Gastos_com_Pessoal</v>
      </c>
    </row>
    <row r="17" spans="1:9" ht="45">
      <c r="A17" s="345">
        <v>14</v>
      </c>
      <c r="B17" s="345" t="s">
        <v>80</v>
      </c>
      <c r="C17" s="346" t="s">
        <v>185</v>
      </c>
      <c r="D17" s="347">
        <v>15.18</v>
      </c>
      <c r="E17" s="348">
        <v>47058</v>
      </c>
      <c r="F17" s="348">
        <v>47088</v>
      </c>
      <c r="G17" s="350" t="s">
        <v>499</v>
      </c>
      <c r="H17" s="351">
        <f t="shared" si="0"/>
        <v>30.36</v>
      </c>
      <c r="I17" s="358" t="str">
        <f t="shared" si="1"/>
        <v>Gastos_com_Pessoal</v>
      </c>
    </row>
    <row r="18" spans="1:9" ht="45">
      <c r="A18" s="345">
        <v>15</v>
      </c>
      <c r="B18" s="345" t="s">
        <v>80</v>
      </c>
      <c r="C18" s="346" t="s">
        <v>187</v>
      </c>
      <c r="D18" s="347">
        <v>52.5</v>
      </c>
      <c r="E18" s="348">
        <v>47058</v>
      </c>
      <c r="F18" s="348">
        <v>47088</v>
      </c>
      <c r="G18" s="350" t="s">
        <v>499</v>
      </c>
      <c r="H18" s="351">
        <f t="shared" si="0"/>
        <v>105</v>
      </c>
      <c r="I18" s="358" t="str">
        <f t="shared" si="1"/>
        <v>Gastos_com_Pessoal</v>
      </c>
    </row>
    <row r="19" spans="1:9" ht="45">
      <c r="A19" s="345">
        <v>16</v>
      </c>
      <c r="B19" s="345" t="s">
        <v>80</v>
      </c>
      <c r="C19" s="346" t="s">
        <v>195</v>
      </c>
      <c r="D19" s="347">
        <v>725.25</v>
      </c>
      <c r="E19" s="348">
        <v>47058</v>
      </c>
      <c r="F19" s="348">
        <v>47088</v>
      </c>
      <c r="G19" s="350" t="s">
        <v>499</v>
      </c>
      <c r="H19" s="351">
        <f t="shared" si="0"/>
        <v>1450.5</v>
      </c>
      <c r="I19" s="358" t="str">
        <f t="shared" si="1"/>
        <v>Gastos_com_Pessoal</v>
      </c>
    </row>
    <row r="20" spans="1:9">
      <c r="A20" s="345">
        <v>17</v>
      </c>
      <c r="B20" s="345" t="s">
        <v>91</v>
      </c>
      <c r="C20" s="346" t="s">
        <v>320</v>
      </c>
      <c r="D20" s="347">
        <v>68353.262105262998</v>
      </c>
      <c r="E20" s="348">
        <v>47058</v>
      </c>
      <c r="F20" s="348">
        <v>47058</v>
      </c>
      <c r="G20" s="350" t="s">
        <v>595</v>
      </c>
      <c r="H20" s="351">
        <f t="shared" si="0"/>
        <v>68353.262105262998</v>
      </c>
      <c r="I20" s="358" t="str">
        <f t="shared" si="1"/>
        <v>Gastos_Gerais</v>
      </c>
    </row>
    <row r="21" spans="1:9" ht="22.5">
      <c r="A21" s="345">
        <v>18</v>
      </c>
      <c r="B21" s="345" t="s">
        <v>91</v>
      </c>
      <c r="C21" s="346" t="s">
        <v>320</v>
      </c>
      <c r="D21" s="347">
        <v>68353.262105262998</v>
      </c>
      <c r="E21" s="348">
        <v>47058</v>
      </c>
      <c r="F21" s="348">
        <v>47058</v>
      </c>
      <c r="G21" s="350" t="s">
        <v>597</v>
      </c>
      <c r="H21" s="351">
        <f t="shared" si="0"/>
        <v>68353.262105262998</v>
      </c>
      <c r="I21" s="358" t="str">
        <f t="shared" si="1"/>
        <v>Gastos_Gerais</v>
      </c>
    </row>
    <row r="22" spans="1:9">
      <c r="A22" s="345">
        <v>19</v>
      </c>
      <c r="B22" s="345" t="s">
        <v>91</v>
      </c>
      <c r="C22" s="346" t="s">
        <v>320</v>
      </c>
      <c r="D22" s="347">
        <v>68353.262105262998</v>
      </c>
      <c r="E22" s="348">
        <v>47058</v>
      </c>
      <c r="F22" s="348">
        <v>47058</v>
      </c>
      <c r="G22" s="350" t="s">
        <v>598</v>
      </c>
      <c r="H22" s="351">
        <f t="shared" si="0"/>
        <v>68353.262105262998</v>
      </c>
      <c r="I22" s="358" t="str">
        <f t="shared" si="1"/>
        <v>Gastos_Gerais</v>
      </c>
    </row>
    <row r="23" spans="1:9" ht="22.5">
      <c r="A23" s="345">
        <v>20</v>
      </c>
      <c r="B23" s="345" t="s">
        <v>91</v>
      </c>
      <c r="C23" s="346" t="s">
        <v>320</v>
      </c>
      <c r="D23" s="347">
        <v>68353.262105262998</v>
      </c>
      <c r="E23" s="348">
        <v>47058</v>
      </c>
      <c r="F23" s="348">
        <v>47058</v>
      </c>
      <c r="G23" s="350" t="s">
        <v>599</v>
      </c>
      <c r="H23" s="351">
        <f t="shared" si="0"/>
        <v>68353.262105262998</v>
      </c>
      <c r="I23" s="358" t="str">
        <f t="shared" si="1"/>
        <v>Gastos_Gerais</v>
      </c>
    </row>
    <row r="24" spans="1:9">
      <c r="A24" s="345">
        <v>21</v>
      </c>
      <c r="B24" s="345" t="s">
        <v>91</v>
      </c>
      <c r="C24" s="346" t="s">
        <v>320</v>
      </c>
      <c r="D24" s="347">
        <v>68353.262105262998</v>
      </c>
      <c r="E24" s="348">
        <v>47058</v>
      </c>
      <c r="F24" s="348">
        <v>47058</v>
      </c>
      <c r="G24" s="350" t="s">
        <v>600</v>
      </c>
      <c r="H24" s="351">
        <f t="shared" si="0"/>
        <v>68353.262105262998</v>
      </c>
      <c r="I24" s="358" t="str">
        <f t="shared" si="1"/>
        <v>Gastos_Gerais</v>
      </c>
    </row>
    <row r="25" spans="1:9" ht="22.5">
      <c r="A25" s="345">
        <v>22</v>
      </c>
      <c r="B25" s="345" t="s">
        <v>91</v>
      </c>
      <c r="C25" s="346" t="s">
        <v>320</v>
      </c>
      <c r="D25" s="347">
        <v>68353.262105262998</v>
      </c>
      <c r="E25" s="348">
        <v>47058</v>
      </c>
      <c r="F25" s="348">
        <v>47058</v>
      </c>
      <c r="G25" s="350" t="s">
        <v>601</v>
      </c>
      <c r="H25" s="351">
        <f t="shared" si="0"/>
        <v>68353.262105262998</v>
      </c>
      <c r="I25" s="358" t="str">
        <f t="shared" si="1"/>
        <v>Gastos_Gerais</v>
      </c>
    </row>
    <row r="26" spans="1:9" ht="22.5">
      <c r="A26" s="345">
        <v>23</v>
      </c>
      <c r="B26" s="345" t="s">
        <v>91</v>
      </c>
      <c r="C26" s="346" t="s">
        <v>320</v>
      </c>
      <c r="D26" s="347">
        <v>68353.262105262998</v>
      </c>
      <c r="E26" s="348">
        <v>47058</v>
      </c>
      <c r="F26" s="348">
        <v>47058</v>
      </c>
      <c r="G26" s="350" t="s">
        <v>603</v>
      </c>
      <c r="H26" s="351">
        <f t="shared" si="0"/>
        <v>68353.262105262998</v>
      </c>
      <c r="I26" s="358" t="str">
        <f t="shared" si="1"/>
        <v>Gastos_Gerais</v>
      </c>
    </row>
    <row r="27" spans="1:9">
      <c r="A27" s="345">
        <v>24</v>
      </c>
      <c r="B27" s="345" t="s">
        <v>91</v>
      </c>
      <c r="C27" s="346" t="s">
        <v>320</v>
      </c>
      <c r="D27" s="347">
        <v>68353.262105262998</v>
      </c>
      <c r="E27" s="348">
        <v>47058</v>
      </c>
      <c r="F27" s="348">
        <v>47058</v>
      </c>
      <c r="G27" s="350" t="s">
        <v>604</v>
      </c>
      <c r="H27" s="351">
        <f t="shared" si="0"/>
        <v>68353.262105262998</v>
      </c>
      <c r="I27" s="358" t="str">
        <f t="shared" si="1"/>
        <v>Gastos_Gerais</v>
      </c>
    </row>
    <row r="28" spans="1:9">
      <c r="A28" s="345">
        <v>25</v>
      </c>
      <c r="B28" s="345" t="s">
        <v>91</v>
      </c>
      <c r="C28" s="346" t="s">
        <v>320</v>
      </c>
      <c r="D28" s="347">
        <v>68353.262105262998</v>
      </c>
      <c r="E28" s="348">
        <v>47058</v>
      </c>
      <c r="F28" s="348">
        <v>47058</v>
      </c>
      <c r="G28" s="350" t="s">
        <v>605</v>
      </c>
      <c r="H28" s="351">
        <f t="shared" si="0"/>
        <v>68353.262105262998</v>
      </c>
      <c r="I28" s="358" t="str">
        <f t="shared" si="1"/>
        <v>Gastos_Gerais</v>
      </c>
    </row>
    <row r="29" spans="1:9">
      <c r="A29" s="345">
        <v>26</v>
      </c>
      <c r="B29" s="345" t="s">
        <v>91</v>
      </c>
      <c r="C29" s="346" t="s">
        <v>320</v>
      </c>
      <c r="D29" s="347">
        <v>68353.262105262998</v>
      </c>
      <c r="E29" s="348">
        <v>47058</v>
      </c>
      <c r="F29" s="348">
        <v>47058</v>
      </c>
      <c r="G29" s="350" t="s">
        <v>606</v>
      </c>
      <c r="H29" s="351">
        <f t="shared" si="0"/>
        <v>68353.262105262998</v>
      </c>
      <c r="I29" s="358" t="str">
        <f t="shared" si="1"/>
        <v>Gastos_Gerais</v>
      </c>
    </row>
    <row r="30" spans="1:9" ht="22.5">
      <c r="A30" s="345">
        <v>27</v>
      </c>
      <c r="B30" s="345" t="s">
        <v>91</v>
      </c>
      <c r="C30" s="346" t="s">
        <v>320</v>
      </c>
      <c r="D30" s="347">
        <v>68353.262105262998</v>
      </c>
      <c r="E30" s="348">
        <v>47058</v>
      </c>
      <c r="F30" s="348">
        <v>47058</v>
      </c>
      <c r="G30" s="350" t="s">
        <v>607</v>
      </c>
      <c r="H30" s="351">
        <f t="shared" si="0"/>
        <v>68353.262105262998</v>
      </c>
      <c r="I30" s="358" t="str">
        <f t="shared" si="1"/>
        <v>Gastos_Gerais</v>
      </c>
    </row>
    <row r="31" spans="1:9">
      <c r="A31" s="345">
        <v>28</v>
      </c>
      <c r="B31" s="345" t="s">
        <v>91</v>
      </c>
      <c r="C31" s="346" t="s">
        <v>320</v>
      </c>
      <c r="D31" s="347">
        <v>68353.262105262998</v>
      </c>
      <c r="E31" s="348">
        <v>47058</v>
      </c>
      <c r="F31" s="348">
        <v>47058</v>
      </c>
      <c r="G31" s="350" t="s">
        <v>608</v>
      </c>
      <c r="H31" s="351">
        <f t="shared" si="0"/>
        <v>68353.262105262998</v>
      </c>
      <c r="I31" s="358" t="str">
        <f t="shared" si="1"/>
        <v>Gastos_Gerais</v>
      </c>
    </row>
    <row r="32" spans="1:9" ht="22.5">
      <c r="A32" s="345">
        <v>29</v>
      </c>
      <c r="B32" s="345" t="s">
        <v>91</v>
      </c>
      <c r="C32" s="346" t="s">
        <v>320</v>
      </c>
      <c r="D32" s="347">
        <v>68353.262105262998</v>
      </c>
      <c r="E32" s="348">
        <v>47058</v>
      </c>
      <c r="F32" s="348">
        <v>47058</v>
      </c>
      <c r="G32" s="350" t="s">
        <v>609</v>
      </c>
      <c r="H32" s="351">
        <f t="shared" si="0"/>
        <v>68353.262105262998</v>
      </c>
      <c r="I32" s="358" t="str">
        <f t="shared" si="1"/>
        <v>Gastos_Gerais</v>
      </c>
    </row>
    <row r="33" spans="1:9" ht="22.5">
      <c r="A33" s="345">
        <v>30</v>
      </c>
      <c r="B33" s="345" t="s">
        <v>91</v>
      </c>
      <c r="C33" s="346" t="s">
        <v>320</v>
      </c>
      <c r="D33" s="347">
        <v>68353.262105262998</v>
      </c>
      <c r="E33" s="348">
        <v>47058</v>
      </c>
      <c r="F33" s="348">
        <v>47058</v>
      </c>
      <c r="G33" s="350" t="s">
        <v>610</v>
      </c>
      <c r="H33" s="351">
        <f t="shared" si="0"/>
        <v>68353.262105262998</v>
      </c>
      <c r="I33" s="358" t="str">
        <f t="shared" si="1"/>
        <v>Gastos_Gerais</v>
      </c>
    </row>
    <row r="34" spans="1:9" ht="22.5">
      <c r="A34" s="345">
        <v>31</v>
      </c>
      <c r="B34" s="345" t="s">
        <v>91</v>
      </c>
      <c r="C34" s="346" t="s">
        <v>320</v>
      </c>
      <c r="D34" s="347">
        <v>68353.262105262998</v>
      </c>
      <c r="E34" s="348">
        <v>47058</v>
      </c>
      <c r="F34" s="348">
        <v>47058</v>
      </c>
      <c r="G34" s="350" t="s">
        <v>612</v>
      </c>
      <c r="H34" s="351">
        <f t="shared" si="0"/>
        <v>68353.262105262998</v>
      </c>
      <c r="I34" s="358" t="str">
        <f t="shared" si="1"/>
        <v>Gastos_Gerais</v>
      </c>
    </row>
    <row r="35" spans="1:9" ht="22.5">
      <c r="A35" s="345">
        <v>32</v>
      </c>
      <c r="B35" s="345" t="s">
        <v>91</v>
      </c>
      <c r="C35" s="346" t="s">
        <v>320</v>
      </c>
      <c r="D35" s="347">
        <v>68353.262105262998</v>
      </c>
      <c r="E35" s="348">
        <v>47058</v>
      </c>
      <c r="F35" s="348">
        <v>47058</v>
      </c>
      <c r="G35" s="350" t="s">
        <v>613</v>
      </c>
      <c r="H35" s="351">
        <f t="shared" si="0"/>
        <v>68353.262105262998</v>
      </c>
      <c r="I35" s="358" t="str">
        <f t="shared" si="1"/>
        <v>Gastos_Gerais</v>
      </c>
    </row>
    <row r="36" spans="1:9">
      <c r="A36" s="345">
        <v>33</v>
      </c>
      <c r="B36" s="345" t="s">
        <v>91</v>
      </c>
      <c r="C36" s="346" t="s">
        <v>320</v>
      </c>
      <c r="D36" s="347">
        <v>68353.262105262998</v>
      </c>
      <c r="E36" s="348">
        <v>47058</v>
      </c>
      <c r="F36" s="348">
        <v>47058</v>
      </c>
      <c r="G36" s="350" t="s">
        <v>614</v>
      </c>
      <c r="H36" s="351">
        <f t="shared" ref="H36:H62" si="2">IFERROR((DATEDIF(E36,F36,"M")+1)*D36,0)</f>
        <v>68353.262105262998</v>
      </c>
      <c r="I36" s="358" t="str">
        <f t="shared" ref="I36:I62" si="3">SUBSTITUTE(B36," ","_")</f>
        <v>Gastos_Gerais</v>
      </c>
    </row>
    <row r="37" spans="1:9" ht="22.5">
      <c r="A37" s="345">
        <v>34</v>
      </c>
      <c r="B37" s="345" t="s">
        <v>91</v>
      </c>
      <c r="C37" s="346" t="s">
        <v>320</v>
      </c>
      <c r="D37" s="347">
        <v>68353.262105262998</v>
      </c>
      <c r="E37" s="348">
        <v>47058</v>
      </c>
      <c r="F37" s="348">
        <v>47058</v>
      </c>
      <c r="G37" s="350" t="s">
        <v>615</v>
      </c>
      <c r="H37" s="351">
        <f t="shared" si="2"/>
        <v>68353.262105262998</v>
      </c>
      <c r="I37" s="358" t="str">
        <f t="shared" si="3"/>
        <v>Gastos_Gerais</v>
      </c>
    </row>
    <row r="38" spans="1:9">
      <c r="A38" s="345">
        <v>35</v>
      </c>
      <c r="B38" s="345" t="s">
        <v>91</v>
      </c>
      <c r="C38" s="346" t="s">
        <v>298</v>
      </c>
      <c r="D38" s="347">
        <v>68353.262105262998</v>
      </c>
      <c r="E38" s="348">
        <v>47058</v>
      </c>
      <c r="F38" s="348">
        <v>47058</v>
      </c>
      <c r="G38" s="350" t="s">
        <v>616</v>
      </c>
      <c r="H38" s="351">
        <f t="shared" si="2"/>
        <v>68353.262105262998</v>
      </c>
      <c r="I38" s="358" t="str">
        <f t="shared" si="3"/>
        <v>Gastos_Gerais</v>
      </c>
    </row>
    <row r="39" spans="1:9" ht="22.5">
      <c r="A39" s="345">
        <v>36</v>
      </c>
      <c r="B39" s="345" t="s">
        <v>91</v>
      </c>
      <c r="C39" s="346" t="s">
        <v>198</v>
      </c>
      <c r="D39" s="347">
        <v>12548.71</v>
      </c>
      <c r="E39" s="348">
        <v>47058</v>
      </c>
      <c r="F39" s="348">
        <v>47088</v>
      </c>
      <c r="G39" s="350" t="s">
        <v>704</v>
      </c>
      <c r="H39" s="351">
        <f t="shared" si="2"/>
        <v>25097.42</v>
      </c>
      <c r="I39" s="358" t="str">
        <f t="shared" si="3"/>
        <v>Gastos_Gerais</v>
      </c>
    </row>
    <row r="40" spans="1:9" ht="22.5">
      <c r="A40" s="345">
        <v>37</v>
      </c>
      <c r="B40" s="345" t="s">
        <v>91</v>
      </c>
      <c r="C40" s="346" t="s">
        <v>200</v>
      </c>
      <c r="D40" s="347">
        <v>2484.63</v>
      </c>
      <c r="E40" s="348">
        <v>47058</v>
      </c>
      <c r="F40" s="348">
        <v>47088</v>
      </c>
      <c r="G40" s="350" t="s">
        <v>704</v>
      </c>
      <c r="H40" s="351">
        <f t="shared" si="2"/>
        <v>4969.26</v>
      </c>
      <c r="I40" s="358" t="str">
        <f t="shared" si="3"/>
        <v>Gastos_Gerais</v>
      </c>
    </row>
    <row r="41" spans="1:9" ht="22.5">
      <c r="A41" s="345">
        <v>38</v>
      </c>
      <c r="B41" s="345" t="s">
        <v>91</v>
      </c>
      <c r="C41" s="346" t="s">
        <v>202</v>
      </c>
      <c r="D41" s="347">
        <v>2622.48</v>
      </c>
      <c r="E41" s="348">
        <v>47058</v>
      </c>
      <c r="F41" s="348">
        <v>47088</v>
      </c>
      <c r="G41" s="350" t="s">
        <v>704</v>
      </c>
      <c r="H41" s="351">
        <f t="shared" si="2"/>
        <v>5244.96</v>
      </c>
      <c r="I41" s="358" t="str">
        <f t="shared" si="3"/>
        <v>Gastos_Gerais</v>
      </c>
    </row>
    <row r="42" spans="1:9" ht="22.5">
      <c r="A42" s="345">
        <v>39</v>
      </c>
      <c r="B42" s="345" t="s">
        <v>91</v>
      </c>
      <c r="C42" s="346" t="s">
        <v>216</v>
      </c>
      <c r="D42" s="347">
        <v>439.19</v>
      </c>
      <c r="E42" s="348">
        <v>47058</v>
      </c>
      <c r="F42" s="348">
        <v>47088</v>
      </c>
      <c r="G42" s="350" t="s">
        <v>704</v>
      </c>
      <c r="H42" s="351">
        <f t="shared" si="2"/>
        <v>878.38</v>
      </c>
      <c r="I42" s="358" t="str">
        <f t="shared" si="3"/>
        <v>Gastos_Gerais</v>
      </c>
    </row>
    <row r="43" spans="1:9" ht="22.5">
      <c r="A43" s="345">
        <v>40</v>
      </c>
      <c r="B43" s="345" t="s">
        <v>91</v>
      </c>
      <c r="C43" s="346" t="s">
        <v>204</v>
      </c>
      <c r="D43" s="347">
        <v>2586.4</v>
      </c>
      <c r="E43" s="348">
        <v>47058</v>
      </c>
      <c r="F43" s="348">
        <v>47088</v>
      </c>
      <c r="G43" s="350" t="s">
        <v>704</v>
      </c>
      <c r="H43" s="351">
        <f t="shared" si="2"/>
        <v>5172.8</v>
      </c>
      <c r="I43" s="358" t="str">
        <f t="shared" si="3"/>
        <v>Gastos_Gerais</v>
      </c>
    </row>
    <row r="44" spans="1:9" ht="22.5">
      <c r="A44" s="345">
        <v>41</v>
      </c>
      <c r="B44" s="345" t="s">
        <v>91</v>
      </c>
      <c r="C44" s="346" t="s">
        <v>206</v>
      </c>
      <c r="D44" s="347">
        <v>1031.5</v>
      </c>
      <c r="E44" s="348">
        <v>47058</v>
      </c>
      <c r="F44" s="348">
        <v>47088</v>
      </c>
      <c r="G44" s="350" t="s">
        <v>704</v>
      </c>
      <c r="H44" s="351">
        <f t="shared" si="2"/>
        <v>2063</v>
      </c>
      <c r="I44" s="358" t="str">
        <f t="shared" si="3"/>
        <v>Gastos_Gerais</v>
      </c>
    </row>
    <row r="45" spans="1:9" ht="22.5">
      <c r="A45" s="345">
        <v>42</v>
      </c>
      <c r="B45" s="345" t="s">
        <v>91</v>
      </c>
      <c r="C45" s="346" t="s">
        <v>208</v>
      </c>
      <c r="D45" s="347">
        <v>627.42999999999995</v>
      </c>
      <c r="E45" s="348">
        <v>47058</v>
      </c>
      <c r="F45" s="348">
        <v>47088</v>
      </c>
      <c r="G45" s="350" t="s">
        <v>704</v>
      </c>
      <c r="H45" s="351">
        <f t="shared" si="2"/>
        <v>1254.8599999999999</v>
      </c>
      <c r="I45" s="358" t="str">
        <f t="shared" si="3"/>
        <v>Gastos_Gerais</v>
      </c>
    </row>
    <row r="46" spans="1:9" ht="22.5">
      <c r="A46" s="345">
        <v>43</v>
      </c>
      <c r="B46" s="345" t="s">
        <v>91</v>
      </c>
      <c r="C46" s="346" t="s">
        <v>210</v>
      </c>
      <c r="D46" s="347">
        <v>149.32</v>
      </c>
      <c r="E46" s="348">
        <v>47058</v>
      </c>
      <c r="F46" s="348">
        <v>47088</v>
      </c>
      <c r="G46" s="350" t="s">
        <v>704</v>
      </c>
      <c r="H46" s="351">
        <f t="shared" si="2"/>
        <v>298.64</v>
      </c>
      <c r="I46" s="358" t="str">
        <f t="shared" si="3"/>
        <v>Gastos_Gerais</v>
      </c>
    </row>
    <row r="47" spans="1:9" ht="22.5">
      <c r="A47" s="345">
        <v>44</v>
      </c>
      <c r="B47" s="345" t="s">
        <v>91</v>
      </c>
      <c r="C47" s="346" t="s">
        <v>212</v>
      </c>
      <c r="D47" s="347">
        <v>591.64</v>
      </c>
      <c r="E47" s="348">
        <v>47058</v>
      </c>
      <c r="F47" s="348">
        <v>47088</v>
      </c>
      <c r="G47" s="350" t="s">
        <v>704</v>
      </c>
      <c r="H47" s="351">
        <f t="shared" si="2"/>
        <v>1183.28</v>
      </c>
      <c r="I47" s="358" t="str">
        <f t="shared" si="3"/>
        <v>Gastos_Gerais</v>
      </c>
    </row>
    <row r="48" spans="1:9" ht="22.5">
      <c r="A48" s="345">
        <v>45</v>
      </c>
      <c r="B48" s="345" t="s">
        <v>91</v>
      </c>
      <c r="C48" s="346" t="s">
        <v>214</v>
      </c>
      <c r="D48" s="347">
        <v>298.64999999999998</v>
      </c>
      <c r="E48" s="348">
        <v>47058</v>
      </c>
      <c r="F48" s="348">
        <v>47088</v>
      </c>
      <c r="G48" s="350" t="s">
        <v>704</v>
      </c>
      <c r="H48" s="351">
        <f t="shared" si="2"/>
        <v>597.29999999999995</v>
      </c>
      <c r="I48" s="358" t="str">
        <f t="shared" si="3"/>
        <v>Gastos_Gerais</v>
      </c>
    </row>
    <row r="49" spans="1:9" ht="22.5">
      <c r="A49" s="345">
        <v>46</v>
      </c>
      <c r="B49" s="345" t="s">
        <v>91</v>
      </c>
      <c r="C49" s="346" t="s">
        <v>218</v>
      </c>
      <c r="D49" s="347">
        <v>2269.63</v>
      </c>
      <c r="E49" s="348">
        <v>47058</v>
      </c>
      <c r="F49" s="348">
        <v>47088</v>
      </c>
      <c r="G49" s="350" t="s">
        <v>704</v>
      </c>
      <c r="H49" s="351">
        <f t="shared" si="2"/>
        <v>4539.26</v>
      </c>
      <c r="I49" s="358" t="str">
        <f t="shared" si="3"/>
        <v>Gastos_Gerais</v>
      </c>
    </row>
    <row r="50" spans="1:9" ht="22.5">
      <c r="A50" s="345">
        <v>47</v>
      </c>
      <c r="B50" s="345" t="s">
        <v>91</v>
      </c>
      <c r="C50" s="346" t="s">
        <v>260</v>
      </c>
      <c r="D50" s="347">
        <v>10000</v>
      </c>
      <c r="E50" s="348">
        <v>47058</v>
      </c>
      <c r="F50" s="348">
        <v>47088</v>
      </c>
      <c r="G50" s="350" t="s">
        <v>704</v>
      </c>
      <c r="H50" s="351">
        <f t="shared" si="2"/>
        <v>20000</v>
      </c>
      <c r="I50" s="358" t="str">
        <f t="shared" si="3"/>
        <v>Gastos_Gerais</v>
      </c>
    </row>
    <row r="51" spans="1:9" ht="22.5">
      <c r="A51" s="345">
        <v>48</v>
      </c>
      <c r="B51" s="345" t="s">
        <v>91</v>
      </c>
      <c r="C51" s="346" t="s">
        <v>266</v>
      </c>
      <c r="D51" s="347">
        <v>5000</v>
      </c>
      <c r="E51" s="348">
        <v>47058</v>
      </c>
      <c r="F51" s="348">
        <v>47088</v>
      </c>
      <c r="G51" s="350" t="s">
        <v>704</v>
      </c>
      <c r="H51" s="351">
        <f t="shared" si="2"/>
        <v>10000</v>
      </c>
      <c r="I51" s="358" t="str">
        <f t="shared" si="3"/>
        <v>Gastos_Gerais</v>
      </c>
    </row>
    <row r="52" spans="1:9" ht="22.5">
      <c r="A52" s="345">
        <v>49</v>
      </c>
      <c r="B52" s="345" t="s">
        <v>91</v>
      </c>
      <c r="C52" s="346" t="s">
        <v>258</v>
      </c>
      <c r="D52" s="347">
        <v>4179.51</v>
      </c>
      <c r="E52" s="348">
        <v>47058</v>
      </c>
      <c r="F52" s="348">
        <v>47088</v>
      </c>
      <c r="G52" s="350" t="s">
        <v>704</v>
      </c>
      <c r="H52" s="351">
        <f t="shared" si="2"/>
        <v>8359.02</v>
      </c>
      <c r="I52" s="358" t="str">
        <f t="shared" si="3"/>
        <v>Gastos_Gerais</v>
      </c>
    </row>
    <row r="53" spans="1:9" ht="22.5">
      <c r="A53" s="345">
        <v>50</v>
      </c>
      <c r="B53" s="345" t="s">
        <v>91</v>
      </c>
      <c r="C53" s="346" t="s">
        <v>280</v>
      </c>
      <c r="D53" s="347">
        <v>1000</v>
      </c>
      <c r="E53" s="348">
        <v>47058</v>
      </c>
      <c r="F53" s="348">
        <v>47088</v>
      </c>
      <c r="G53" s="350" t="s">
        <v>704</v>
      </c>
      <c r="H53" s="351">
        <f t="shared" si="2"/>
        <v>2000</v>
      </c>
      <c r="I53" s="358" t="str">
        <f t="shared" si="3"/>
        <v>Gastos_Gerais</v>
      </c>
    </row>
    <row r="54" spans="1:9" ht="22.5">
      <c r="A54" s="345">
        <v>51</v>
      </c>
      <c r="B54" s="345" t="s">
        <v>91</v>
      </c>
      <c r="C54" s="346" t="s">
        <v>278</v>
      </c>
      <c r="D54" s="347">
        <v>4969.29</v>
      </c>
      <c r="E54" s="348">
        <v>47058</v>
      </c>
      <c r="F54" s="348">
        <v>47088</v>
      </c>
      <c r="G54" s="350" t="s">
        <v>704</v>
      </c>
      <c r="H54" s="351">
        <f t="shared" si="2"/>
        <v>9938.58</v>
      </c>
      <c r="I54" s="358" t="str">
        <f t="shared" si="3"/>
        <v>Gastos_Gerais</v>
      </c>
    </row>
    <row r="55" spans="1:9" ht="22.5">
      <c r="A55" s="345">
        <v>52</v>
      </c>
      <c r="B55" s="345" t="s">
        <v>91</v>
      </c>
      <c r="C55" s="346" t="s">
        <v>298</v>
      </c>
      <c r="D55" s="347">
        <v>8282.15</v>
      </c>
      <c r="E55" s="348">
        <v>47058</v>
      </c>
      <c r="F55" s="348">
        <v>47088</v>
      </c>
      <c r="G55" s="350" t="s">
        <v>704</v>
      </c>
      <c r="H55" s="351">
        <f t="shared" si="2"/>
        <v>16564.3</v>
      </c>
      <c r="I55" s="358" t="str">
        <f t="shared" si="3"/>
        <v>Gastos_Gerais</v>
      </c>
    </row>
    <row r="56" spans="1:9" ht="22.5">
      <c r="A56" s="345">
        <v>53</v>
      </c>
      <c r="B56" s="345" t="s">
        <v>91</v>
      </c>
      <c r="C56" s="346" t="s">
        <v>304</v>
      </c>
      <c r="D56" s="347">
        <v>4366.95</v>
      </c>
      <c r="E56" s="348">
        <v>47058</v>
      </c>
      <c r="F56" s="348">
        <v>47088</v>
      </c>
      <c r="G56" s="350" t="s">
        <v>704</v>
      </c>
      <c r="H56" s="351">
        <f t="shared" si="2"/>
        <v>8733.9</v>
      </c>
      <c r="I56" s="358" t="str">
        <f t="shared" si="3"/>
        <v>Gastos_Gerais</v>
      </c>
    </row>
    <row r="57" spans="1:9" ht="22.5">
      <c r="A57" s="345">
        <v>54</v>
      </c>
      <c r="B57" s="345" t="s">
        <v>91</v>
      </c>
      <c r="C57" s="346" t="s">
        <v>306</v>
      </c>
      <c r="D57" s="347">
        <v>500</v>
      </c>
      <c r="E57" s="348">
        <v>47058</v>
      </c>
      <c r="F57" s="348">
        <v>47088</v>
      </c>
      <c r="G57" s="350" t="s">
        <v>704</v>
      </c>
      <c r="H57" s="351">
        <f t="shared" si="2"/>
        <v>1000</v>
      </c>
      <c r="I57" s="358" t="str">
        <f t="shared" si="3"/>
        <v>Gastos_Gerais</v>
      </c>
    </row>
    <row r="58" spans="1:9" ht="22.5">
      <c r="A58" s="345">
        <v>55</v>
      </c>
      <c r="B58" s="345" t="s">
        <v>91</v>
      </c>
      <c r="C58" s="346" t="s">
        <v>314</v>
      </c>
      <c r="D58" s="347">
        <v>8000</v>
      </c>
      <c r="E58" s="348">
        <v>47058</v>
      </c>
      <c r="F58" s="348">
        <v>47088</v>
      </c>
      <c r="G58" s="350" t="s">
        <v>704</v>
      </c>
      <c r="H58" s="351">
        <f t="shared" si="2"/>
        <v>16000</v>
      </c>
      <c r="I58" s="358" t="str">
        <f t="shared" si="3"/>
        <v>Gastos_Gerais</v>
      </c>
    </row>
    <row r="59" spans="1:9" ht="22.5">
      <c r="A59" s="345">
        <v>56</v>
      </c>
      <c r="B59" s="345" t="s">
        <v>91</v>
      </c>
      <c r="C59" s="346" t="s">
        <v>316</v>
      </c>
      <c r="D59" s="347">
        <v>5000</v>
      </c>
      <c r="E59" s="348">
        <v>47058</v>
      </c>
      <c r="F59" s="348">
        <v>47088</v>
      </c>
      <c r="G59" s="350" t="s">
        <v>704</v>
      </c>
      <c r="H59" s="351">
        <f t="shared" si="2"/>
        <v>10000</v>
      </c>
      <c r="I59" s="358" t="str">
        <f t="shared" si="3"/>
        <v>Gastos_Gerais</v>
      </c>
    </row>
    <row r="60" spans="1:9" ht="22.5">
      <c r="A60" s="345">
        <v>57</v>
      </c>
      <c r="B60" s="345" t="s">
        <v>91</v>
      </c>
      <c r="C60" s="346" t="s">
        <v>318</v>
      </c>
      <c r="D60" s="347">
        <v>10000</v>
      </c>
      <c r="E60" s="348">
        <v>47058</v>
      </c>
      <c r="F60" s="348">
        <v>47088</v>
      </c>
      <c r="G60" s="350" t="s">
        <v>704</v>
      </c>
      <c r="H60" s="351">
        <f t="shared" si="2"/>
        <v>20000</v>
      </c>
      <c r="I60" s="358" t="str">
        <f t="shared" si="3"/>
        <v>Gastos_Gerais</v>
      </c>
    </row>
    <row r="61" spans="1:9" ht="22.5">
      <c r="A61" s="345">
        <v>58</v>
      </c>
      <c r="B61" s="345" t="s">
        <v>91</v>
      </c>
      <c r="C61" s="346" t="s">
        <v>320</v>
      </c>
      <c r="D61" s="347">
        <v>46000</v>
      </c>
      <c r="E61" s="348">
        <v>47058</v>
      </c>
      <c r="F61" s="348">
        <v>47088</v>
      </c>
      <c r="G61" s="350" t="s">
        <v>704</v>
      </c>
      <c r="H61" s="351">
        <f t="shared" si="2"/>
        <v>92000</v>
      </c>
      <c r="I61" s="358" t="str">
        <f t="shared" si="3"/>
        <v>Gastos_Gerais</v>
      </c>
    </row>
    <row r="62" spans="1:9" ht="22.5">
      <c r="A62" s="345">
        <v>59</v>
      </c>
      <c r="B62" s="345" t="s">
        <v>91</v>
      </c>
      <c r="C62" s="346" t="s">
        <v>220</v>
      </c>
      <c r="D62" s="347">
        <v>12000</v>
      </c>
      <c r="E62" s="348">
        <v>47058</v>
      </c>
      <c r="F62" s="348">
        <v>47088</v>
      </c>
      <c r="G62" s="350" t="s">
        <v>704</v>
      </c>
      <c r="H62" s="351">
        <f t="shared" si="2"/>
        <v>24000</v>
      </c>
      <c r="I62" s="358" t="str">
        <f t="shared" si="3"/>
        <v>Gastos_Gerais</v>
      </c>
    </row>
    <row r="63" spans="1:9" ht="13.5" thickBot="1">
      <c r="A63" s="345">
        <v>200</v>
      </c>
      <c r="B63" s="345"/>
      <c r="C63" s="346"/>
      <c r="D63" s="347"/>
      <c r="E63" s="348"/>
      <c r="F63" s="348"/>
      <c r="G63" s="350"/>
      <c r="H63" s="351">
        <f t="shared" ref="H63" si="4">IFERROR((DATEDIF(E63,F63,"M")+1)*D63,0)</f>
        <v>0</v>
      </c>
      <c r="I63" s="358" t="str">
        <f t="shared" ref="I63" si="5">SUBSTITUTE(B63," ","_")</f>
        <v/>
      </c>
    </row>
    <row r="64" spans="1:9" ht="20.25" customHeight="1">
      <c r="A64" s="352"/>
      <c r="B64" s="352"/>
      <c r="C64" s="353"/>
      <c r="D64" s="352"/>
      <c r="E64" s="352"/>
      <c r="F64" s="352"/>
      <c r="G64" s="354" t="s">
        <v>409</v>
      </c>
      <c r="H64" s="355">
        <f>SUM(H4:H63)</f>
        <v>1774807.2199999972</v>
      </c>
      <c r="I64" s="359"/>
    </row>
  </sheetData>
  <autoFilter ref="A3:H64"/>
  <mergeCells count="2">
    <mergeCell ref="A1:H1"/>
    <mergeCell ref="A2:H2"/>
  </mergeCells>
  <conditionalFormatting sqref="A4:I63">
    <cfRule type="expression" dxfId="0" priority="1">
      <formula>ISEVEN(ROW())</formula>
    </cfRule>
  </conditionalFormatting>
  <dataValidations count="2">
    <dataValidation type="list" allowBlank="1" showInputMessage="1" showErrorMessage="1" sqref="B4:B63">
      <formula1>Categorias</formula1>
      <formula2>0</formula2>
    </dataValidation>
    <dataValidation type="list" allowBlank="1" showInputMessage="1" showErrorMessage="1" sqref="C4:C63">
      <formula1>INDIRECT($I4)</formula1>
      <formula2>0</formula2>
    </dataValidation>
  </dataValidations>
  <pageMargins left="0.51180555555555496" right="0.51180555555555496" top="0.78749999999999998" bottom="0.78749999999999998" header="0.51180555555555496" footer="0.31527777777777799"/>
  <pageSetup paperSize="9" firstPageNumber="0" fitToHeight="0" orientation="landscape" horizontalDpi="300" verticalDpi="300" r:id="rId1"/>
  <headerFooter>
    <oddFooter>&amp;CPágina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8"/>
  <sheetViews>
    <sheetView zoomScaleNormal="100" workbookViewId="0">
      <selection activeCell="A12" sqref="A12:F12"/>
    </sheetView>
  </sheetViews>
  <sheetFormatPr defaultColWidth="9.140625" defaultRowHeight="15"/>
  <cols>
    <col min="1" max="1" width="14.140625" style="1" customWidth="1"/>
    <col min="2" max="2" width="55.42578125" style="1" customWidth="1"/>
    <col min="3" max="3" width="19.28515625" style="360" customWidth="1"/>
    <col min="4" max="5" width="16" style="360" customWidth="1"/>
    <col min="6" max="6" width="15.5703125" style="1" customWidth="1"/>
    <col min="7" max="1024" width="9.140625" style="1"/>
  </cols>
  <sheetData>
    <row r="1" spans="1:6" ht="78" customHeight="1">
      <c r="A1" s="409" t="str">
        <f>Capa!A1</f>
        <v>Memória de Cálculo
Contrato de Gestão nº 10/2023 celebrado entre a Secretaria de Estado de Justiça e Segurança Pública - SEJUSP e  o Pólo de Evolução de Medidas Socioeducativas</v>
      </c>
      <c r="B1" s="409"/>
      <c r="C1" s="409"/>
      <c r="D1" s="409"/>
      <c r="E1" s="409"/>
      <c r="F1" s="409"/>
    </row>
    <row r="2" spans="1:6" ht="27.75" customHeight="1">
      <c r="A2" s="409" t="str">
        <f>IF(Capa!A2="","",Capa!A2)</f>
        <v/>
      </c>
      <c r="B2" s="409"/>
      <c r="C2" s="409"/>
      <c r="D2" s="409"/>
      <c r="E2" s="409"/>
      <c r="F2" s="409"/>
    </row>
    <row r="3" spans="1:6" ht="24.75" customHeight="1">
      <c r="A3" s="410"/>
      <c r="B3" s="410"/>
      <c r="C3" s="410"/>
      <c r="D3" s="410"/>
      <c r="E3" s="410"/>
      <c r="F3" s="410"/>
    </row>
    <row r="4" spans="1:6" ht="24.75" customHeight="1">
      <c r="A4" s="411" t="s">
        <v>0</v>
      </c>
      <c r="B4" s="411"/>
      <c r="C4" s="411"/>
      <c r="D4" s="411"/>
      <c r="E4" s="411"/>
      <c r="F4" s="411"/>
    </row>
    <row r="5" spans="1:6" ht="51" customHeight="1">
      <c r="A5" s="412" t="str">
        <f>TEXT(Capa!A5,"mmm/aaaa")&amp;" a "&amp;TEXT(Capa!A7,"mmm/aaaa")</f>
        <v>dez/2023 a nov/2028</v>
      </c>
      <c r="B5" s="412"/>
      <c r="C5" s="412"/>
      <c r="D5" s="412"/>
      <c r="E5" s="412"/>
      <c r="F5" s="412"/>
    </row>
    <row r="6" spans="1:6" ht="20.25" customHeight="1">
      <c r="A6" s="415"/>
      <c r="B6" s="415"/>
      <c r="C6" s="415"/>
      <c r="D6" s="415"/>
      <c r="E6" s="415"/>
      <c r="F6" s="415"/>
    </row>
    <row r="7" spans="1:6" ht="32.25" customHeight="1">
      <c r="A7" s="416" t="s">
        <v>410</v>
      </c>
      <c r="B7" s="416"/>
      <c r="C7" s="416"/>
      <c r="D7" s="416"/>
      <c r="E7" s="416"/>
      <c r="F7" s="416"/>
    </row>
    <row r="8" spans="1:6" ht="20.25" customHeight="1">
      <c r="A8" s="417" t="s">
        <v>742</v>
      </c>
      <c r="B8" s="417"/>
      <c r="C8" s="417"/>
      <c r="D8" s="417"/>
      <c r="E8" s="417"/>
      <c r="F8" s="417"/>
    </row>
    <row r="9" spans="1:6" ht="20.25" customHeight="1">
      <c r="A9" s="417" t="s">
        <v>743</v>
      </c>
      <c r="B9" s="417"/>
      <c r="C9" s="417"/>
      <c r="D9" s="417"/>
      <c r="E9" s="417"/>
      <c r="F9" s="417"/>
    </row>
    <row r="10" spans="1:6" ht="20.25" customHeight="1">
      <c r="A10" s="417" t="s">
        <v>744</v>
      </c>
      <c r="B10" s="417"/>
      <c r="C10" s="417"/>
      <c r="D10" s="417"/>
      <c r="E10" s="417"/>
      <c r="F10" s="417"/>
    </row>
    <row r="11" spans="1:6" ht="16.5" customHeight="1">
      <c r="A11" s="413"/>
      <c r="B11" s="413"/>
      <c r="C11" s="413"/>
      <c r="D11" s="413"/>
      <c r="E11" s="413"/>
      <c r="F11" s="413"/>
    </row>
    <row r="12" spans="1:6" ht="16.5" customHeight="1">
      <c r="A12" s="414" t="s">
        <v>411</v>
      </c>
      <c r="B12" s="414"/>
      <c r="C12" s="414"/>
      <c r="D12" s="414"/>
      <c r="E12" s="414"/>
      <c r="F12" s="414"/>
    </row>
    <row r="13" spans="1:6" ht="16.5" customHeight="1">
      <c r="A13" s="361"/>
      <c r="B13" s="361"/>
      <c r="C13" s="361"/>
      <c r="D13" s="361"/>
      <c r="E13" s="361"/>
      <c r="F13" s="361"/>
    </row>
    <row r="14" spans="1:6" ht="38.25" customHeight="1">
      <c r="A14" s="361"/>
      <c r="B14" s="361"/>
      <c r="C14" s="361"/>
      <c r="D14" s="361"/>
      <c r="E14" s="361"/>
      <c r="F14" s="361"/>
    </row>
    <row r="15" spans="1:6" ht="16.5" customHeight="1">
      <c r="A15" s="362"/>
      <c r="B15" s="362"/>
      <c r="C15" s="362"/>
      <c r="D15" s="362"/>
      <c r="E15" s="362"/>
      <c r="F15" s="362"/>
    </row>
    <row r="16" spans="1:6" ht="16.5" customHeight="1">
      <c r="A16" s="362"/>
      <c r="B16" s="362"/>
      <c r="C16" s="362"/>
      <c r="D16" s="362"/>
      <c r="E16" s="362"/>
      <c r="F16" s="362"/>
    </row>
    <row r="17" spans="1:6" ht="16.5" customHeight="1">
      <c r="A17" s="362"/>
      <c r="B17" s="362"/>
      <c r="C17" s="362"/>
      <c r="D17" s="362"/>
      <c r="E17" s="362"/>
      <c r="F17" s="362"/>
    </row>
    <row r="18" spans="1:6" ht="16.5" customHeight="1">
      <c r="A18" s="362"/>
      <c r="B18" s="362"/>
      <c r="C18" s="362"/>
      <c r="D18" s="362"/>
      <c r="E18" s="362"/>
      <c r="F18" s="362"/>
    </row>
  </sheetData>
  <sheetProtection algorithmName="SHA-512" hashValue="GZIvK+1f+AJVwieVjHlAnKwihMm5nt/eTgMbIx+HoODXsQfuWdw3PgARWlw6YjQS/u+bBhyG2uanJoB64SWWLQ==" saltValue="mYvGVmd43XEBFHbHM1px/w==" spinCount="100000" sheet="1" objects="1" scenarios="1" formatCells="0"/>
  <mergeCells count="12">
    <mergeCell ref="A11:F11"/>
    <mergeCell ref="A12:F12"/>
    <mergeCell ref="A6:F6"/>
    <mergeCell ref="A7:F7"/>
    <mergeCell ref="A8:F8"/>
    <mergeCell ref="A9:F9"/>
    <mergeCell ref="A10:F10"/>
    <mergeCell ref="A1:F1"/>
    <mergeCell ref="A2:F2"/>
    <mergeCell ref="A3:F3"/>
    <mergeCell ref="A4:F4"/>
    <mergeCell ref="A5:F5"/>
  </mergeCells>
  <printOptions horizontalCentered="1" verticalCentered="1"/>
  <pageMargins left="0.196527777777778" right="0.196527777777778" top="0.59027777777777801" bottom="0.59027777777777801" header="0.51180555555555496" footer="0"/>
  <pageSetup paperSize="9" firstPageNumber="0" orientation="landscape" horizontalDpi="300" verticalDpi="300" r:id="rId1"/>
  <headerFooter>
    <oddFooter>&amp;CPágina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D0D0D"/>
    <pageSetUpPr fitToPage="1"/>
  </sheetPr>
  <dimension ref="A1:AMJ64"/>
  <sheetViews>
    <sheetView zoomScaleNormal="100" workbookViewId="0">
      <selection activeCell="D2" sqref="D2"/>
    </sheetView>
  </sheetViews>
  <sheetFormatPr defaultColWidth="9.140625" defaultRowHeight="12.75"/>
  <cols>
    <col min="1" max="1" width="47.85546875" style="363" customWidth="1"/>
    <col min="2" max="2" width="26.28515625" style="363" customWidth="1"/>
    <col min="3" max="3" width="29.5703125" style="363" customWidth="1"/>
    <col min="4" max="4" width="31.42578125" style="363" customWidth="1"/>
    <col min="5" max="6" width="31" style="363" customWidth="1"/>
    <col min="7" max="7" width="28" style="363" customWidth="1"/>
    <col min="8" max="8" width="10.140625" style="363" customWidth="1"/>
    <col min="9" max="9" width="15.140625" style="363" customWidth="1"/>
    <col min="10" max="10" width="2.7109375" style="363" customWidth="1"/>
    <col min="11" max="11" width="9.140625" style="363"/>
    <col min="12" max="14" width="13.28515625" style="363" customWidth="1"/>
    <col min="15" max="15" width="0.7109375" style="363" customWidth="1"/>
    <col min="16" max="16" width="10.42578125" style="363" customWidth="1"/>
    <col min="17" max="17" width="13.28515625" style="363" customWidth="1"/>
    <col min="18" max="18" width="6" style="363" customWidth="1"/>
    <col min="19" max="19" width="9.140625" style="363"/>
    <col min="20" max="22" width="13.28515625" style="363" customWidth="1"/>
    <col min="23" max="23" width="1.85546875" style="363" customWidth="1"/>
    <col min="24" max="24" width="9.140625" style="363"/>
    <col min="25" max="25" width="13.28515625" style="363" customWidth="1"/>
    <col min="26" max="1024" width="9.140625" style="363"/>
  </cols>
  <sheetData>
    <row r="1" spans="1:19" s="366" customFormat="1" ht="35.25" customHeight="1">
      <c r="A1" s="364" t="s">
        <v>412</v>
      </c>
      <c r="B1" s="364" t="s">
        <v>413</v>
      </c>
      <c r="C1" s="364" t="s">
        <v>80</v>
      </c>
      <c r="D1" s="364" t="s">
        <v>91</v>
      </c>
      <c r="E1" s="364" t="s">
        <v>93</v>
      </c>
      <c r="F1" s="365" t="s">
        <v>95</v>
      </c>
      <c r="H1" s="363"/>
      <c r="I1" s="363"/>
      <c r="K1" s="363"/>
      <c r="L1" s="363"/>
      <c r="M1" s="363"/>
      <c r="N1" s="363"/>
      <c r="O1" s="363"/>
      <c r="P1" s="363"/>
      <c r="Q1" s="363"/>
      <c r="R1" s="363"/>
      <c r="S1" s="363"/>
    </row>
    <row r="2" spans="1:19" s="363" customFormat="1" ht="28.5">
      <c r="A2" s="365" t="s">
        <v>414</v>
      </c>
      <c r="B2" s="367"/>
      <c r="C2" s="365" t="s">
        <v>82</v>
      </c>
      <c r="D2" s="368" t="s">
        <v>198</v>
      </c>
      <c r="E2" s="365" t="s">
        <v>339</v>
      </c>
      <c r="F2" s="365" t="s">
        <v>415</v>
      </c>
    </row>
    <row r="3" spans="1:19" s="363" customFormat="1" ht="28.5">
      <c r="A3" s="365" t="s">
        <v>416</v>
      </c>
      <c r="B3" s="367"/>
      <c r="C3" s="365" t="s">
        <v>134</v>
      </c>
      <c r="D3" s="368" t="s">
        <v>200</v>
      </c>
      <c r="E3" s="365" t="s">
        <v>325</v>
      </c>
      <c r="F3" s="365" t="s">
        <v>417</v>
      </c>
    </row>
    <row r="4" spans="1:19" s="363" customFormat="1" ht="14.25">
      <c r="A4" s="365" t="s">
        <v>74</v>
      </c>
      <c r="B4" s="367"/>
      <c r="C4" s="365" t="s">
        <v>418</v>
      </c>
      <c r="D4" s="368" t="s">
        <v>202</v>
      </c>
      <c r="E4" s="365" t="s">
        <v>327</v>
      </c>
    </row>
    <row r="5" spans="1:19" s="363" customFormat="1" ht="28.5" customHeight="1">
      <c r="A5" s="367"/>
      <c r="C5" s="365" t="s">
        <v>419</v>
      </c>
      <c r="D5" s="368" t="s">
        <v>204</v>
      </c>
      <c r="E5" s="365" t="s">
        <v>343</v>
      </c>
      <c r="F5" s="369"/>
    </row>
    <row r="6" spans="1:19" s="363" customFormat="1" ht="28.5">
      <c r="A6" s="367"/>
      <c r="B6" s="367"/>
      <c r="C6" s="365" t="s">
        <v>146</v>
      </c>
      <c r="D6" s="368" t="s">
        <v>206</v>
      </c>
      <c r="E6" s="365" t="s">
        <v>329</v>
      </c>
      <c r="F6" s="369"/>
    </row>
    <row r="7" spans="1:19" s="363" customFormat="1" ht="28.5">
      <c r="A7" s="367"/>
      <c r="B7" s="367"/>
      <c r="C7" s="365" t="s">
        <v>420</v>
      </c>
      <c r="D7" s="368" t="s">
        <v>208</v>
      </c>
      <c r="E7" s="365" t="s">
        <v>341</v>
      </c>
      <c r="F7" s="369"/>
    </row>
    <row r="8" spans="1:19" s="363" customFormat="1" ht="42.75">
      <c r="A8" s="367"/>
      <c r="B8" s="367"/>
      <c r="C8" s="365" t="s">
        <v>151</v>
      </c>
      <c r="D8" s="368" t="s">
        <v>210</v>
      </c>
      <c r="E8" s="365" t="s">
        <v>331</v>
      </c>
      <c r="F8" s="369"/>
    </row>
    <row r="9" spans="1:19" s="363" customFormat="1" ht="42.75">
      <c r="A9" s="367"/>
      <c r="B9" s="367"/>
      <c r="C9" s="365" t="s">
        <v>154</v>
      </c>
      <c r="D9" s="368" t="s">
        <v>212</v>
      </c>
      <c r="E9" s="365" t="s">
        <v>323</v>
      </c>
      <c r="F9" s="369"/>
    </row>
    <row r="10" spans="1:19" s="363" customFormat="1" ht="14.25">
      <c r="A10" s="367"/>
      <c r="B10" s="367"/>
      <c r="C10" s="365" t="s">
        <v>156</v>
      </c>
      <c r="D10" s="368" t="s">
        <v>214</v>
      </c>
      <c r="E10" s="365" t="s">
        <v>345</v>
      </c>
      <c r="F10" s="369"/>
    </row>
    <row r="11" spans="1:19" s="363" customFormat="1" ht="42.75">
      <c r="A11" s="367"/>
      <c r="B11" s="367"/>
      <c r="C11" s="365" t="s">
        <v>158</v>
      </c>
      <c r="D11" s="368" t="s">
        <v>216</v>
      </c>
      <c r="E11" s="365" t="s">
        <v>333</v>
      </c>
      <c r="F11" s="369"/>
    </row>
    <row r="12" spans="1:19" ht="14.25">
      <c r="A12" s="367"/>
      <c r="B12" s="367"/>
      <c r="C12" s="365" t="s">
        <v>160</v>
      </c>
      <c r="D12" s="368" t="s">
        <v>218</v>
      </c>
      <c r="E12" s="365" t="s">
        <v>335</v>
      </c>
      <c r="F12" s="369"/>
    </row>
    <row r="13" spans="1:19" ht="14.25">
      <c r="A13" s="367"/>
      <c r="B13" s="367"/>
      <c r="C13" s="365" t="s">
        <v>162</v>
      </c>
      <c r="D13" s="368" t="s">
        <v>220</v>
      </c>
      <c r="E13" s="365" t="s">
        <v>349</v>
      </c>
      <c r="F13" s="369"/>
    </row>
    <row r="14" spans="1:19" ht="14.25">
      <c r="A14" s="367"/>
      <c r="B14" s="367"/>
      <c r="C14" s="365" t="s">
        <v>164</v>
      </c>
      <c r="D14" s="368" t="s">
        <v>222</v>
      </c>
      <c r="E14" s="365" t="s">
        <v>337</v>
      </c>
      <c r="F14" s="369"/>
    </row>
    <row r="15" spans="1:19" ht="14.25">
      <c r="A15" s="367"/>
      <c r="B15" s="367"/>
      <c r="C15" s="365" t="s">
        <v>166</v>
      </c>
      <c r="D15" s="368" t="s">
        <v>224</v>
      </c>
      <c r="E15" s="367"/>
      <c r="F15" s="369"/>
    </row>
    <row r="16" spans="1:19" ht="28.5">
      <c r="A16" s="367"/>
      <c r="B16" s="367"/>
      <c r="C16" s="365" t="s">
        <v>421</v>
      </c>
      <c r="D16" s="368" t="s">
        <v>226</v>
      </c>
      <c r="E16" s="367"/>
      <c r="F16" s="367"/>
    </row>
    <row r="17" spans="1:6" ht="28.5">
      <c r="A17" s="367"/>
      <c r="B17" s="367"/>
      <c r="C17" s="365" t="s">
        <v>170</v>
      </c>
      <c r="D17" s="365" t="s">
        <v>228</v>
      </c>
      <c r="E17" s="367"/>
      <c r="F17" s="367"/>
    </row>
    <row r="18" spans="1:6" ht="28.5">
      <c r="A18" s="367"/>
      <c r="B18" s="367"/>
      <c r="C18" s="365" t="s">
        <v>172</v>
      </c>
      <c r="D18" s="368" t="s">
        <v>230</v>
      </c>
      <c r="E18" s="367"/>
      <c r="F18" s="367"/>
    </row>
    <row r="19" spans="1:6" ht="28.5">
      <c r="A19" s="367"/>
      <c r="B19" s="367"/>
      <c r="C19" s="365" t="s">
        <v>174</v>
      </c>
      <c r="D19" s="368" t="s">
        <v>232</v>
      </c>
      <c r="E19" s="367"/>
      <c r="F19" s="367"/>
    </row>
    <row r="20" spans="1:6" ht="28.5">
      <c r="A20" s="367"/>
      <c r="B20" s="367"/>
      <c r="C20" s="365" t="s">
        <v>176</v>
      </c>
      <c r="D20" s="368" t="s">
        <v>234</v>
      </c>
      <c r="E20" s="367"/>
      <c r="F20" s="367"/>
    </row>
    <row r="21" spans="1:6" ht="28.5">
      <c r="A21" s="367"/>
      <c r="B21" s="367"/>
      <c r="C21" s="365" t="s">
        <v>179</v>
      </c>
      <c r="D21" s="365" t="s">
        <v>236</v>
      </c>
      <c r="E21" s="367"/>
      <c r="F21" s="367"/>
    </row>
    <row r="22" spans="1:6" ht="42.75">
      <c r="A22" s="367"/>
      <c r="B22" s="367"/>
      <c r="C22" s="365" t="s">
        <v>181</v>
      </c>
      <c r="D22" s="365" t="s">
        <v>238</v>
      </c>
      <c r="E22" s="367"/>
      <c r="F22" s="367"/>
    </row>
    <row r="23" spans="1:6" ht="28.5">
      <c r="A23" s="367"/>
      <c r="B23" s="367"/>
      <c r="C23" s="365" t="s">
        <v>183</v>
      </c>
      <c r="D23" s="365" t="s">
        <v>240</v>
      </c>
      <c r="E23" s="367"/>
      <c r="F23" s="367"/>
    </row>
    <row r="24" spans="1:6" ht="28.5">
      <c r="A24" s="367"/>
      <c r="B24" s="367"/>
      <c r="C24" s="365" t="s">
        <v>185</v>
      </c>
      <c r="D24" s="365" t="s">
        <v>242</v>
      </c>
      <c r="E24" s="367"/>
      <c r="F24" s="367"/>
    </row>
    <row r="25" spans="1:6" ht="28.5">
      <c r="A25" s="367"/>
      <c r="B25" s="367"/>
      <c r="C25" s="365" t="s">
        <v>187</v>
      </c>
      <c r="D25" s="365" t="s">
        <v>244</v>
      </c>
      <c r="E25" s="367"/>
      <c r="F25" s="367"/>
    </row>
    <row r="26" spans="1:6" ht="28.5">
      <c r="A26" s="367"/>
      <c r="B26" s="367"/>
      <c r="C26" s="365" t="s">
        <v>189</v>
      </c>
      <c r="D26" s="365" t="s">
        <v>246</v>
      </c>
      <c r="E26" s="367"/>
      <c r="F26" s="367"/>
    </row>
    <row r="27" spans="1:6" ht="14.25">
      <c r="A27" s="367"/>
      <c r="B27" s="367"/>
      <c r="C27" s="365" t="s">
        <v>195</v>
      </c>
      <c r="D27" s="365" t="s">
        <v>248</v>
      </c>
      <c r="E27" s="367"/>
      <c r="F27" s="367"/>
    </row>
    <row r="28" spans="1:6" ht="28.5">
      <c r="A28" s="367"/>
      <c r="B28" s="367"/>
      <c r="C28" s="367"/>
      <c r="D28" s="365" t="s">
        <v>250</v>
      </c>
      <c r="E28" s="367"/>
      <c r="F28" s="367"/>
    </row>
    <row r="29" spans="1:6" ht="28.5">
      <c r="A29" s="367"/>
      <c r="B29" s="367"/>
      <c r="C29" s="367"/>
      <c r="D29" s="365" t="s">
        <v>252</v>
      </c>
      <c r="E29" s="367"/>
      <c r="F29" s="367"/>
    </row>
    <row r="30" spans="1:6" ht="14.25">
      <c r="A30" s="367"/>
      <c r="B30" s="367"/>
      <c r="C30" s="367"/>
      <c r="D30" s="365" t="s">
        <v>254</v>
      </c>
      <c r="E30" s="367"/>
      <c r="F30" s="367"/>
    </row>
    <row r="31" spans="1:6" ht="14.25">
      <c r="A31" s="367"/>
      <c r="B31" s="367"/>
      <c r="C31" s="367"/>
      <c r="D31" s="365" t="s">
        <v>256</v>
      </c>
      <c r="E31" s="367"/>
      <c r="F31" s="367"/>
    </row>
    <row r="32" spans="1:6" ht="14.25">
      <c r="A32" s="367"/>
      <c r="B32" s="367"/>
      <c r="C32" s="367"/>
      <c r="D32" s="365" t="s">
        <v>258</v>
      </c>
      <c r="E32" s="367"/>
      <c r="F32" s="367"/>
    </row>
    <row r="33" spans="1:6" ht="14.25">
      <c r="A33" s="367"/>
      <c r="B33" s="367"/>
      <c r="C33" s="367"/>
      <c r="D33" s="365" t="s">
        <v>260</v>
      </c>
      <c r="E33" s="367"/>
      <c r="F33" s="367"/>
    </row>
    <row r="34" spans="1:6" ht="14.25">
      <c r="A34" s="367"/>
      <c r="B34" s="367"/>
      <c r="C34" s="367"/>
      <c r="D34" s="365" t="s">
        <v>262</v>
      </c>
      <c r="E34" s="367"/>
      <c r="F34" s="367"/>
    </row>
    <row r="35" spans="1:6" ht="14.25">
      <c r="A35" s="367"/>
      <c r="B35" s="367"/>
      <c r="C35" s="367"/>
      <c r="D35" s="365" t="s">
        <v>264</v>
      </c>
      <c r="E35" s="367"/>
      <c r="F35" s="367"/>
    </row>
    <row r="36" spans="1:6" ht="28.5">
      <c r="A36" s="367"/>
      <c r="B36" s="367"/>
      <c r="C36" s="367"/>
      <c r="D36" s="365" t="s">
        <v>266</v>
      </c>
      <c r="E36" s="367"/>
      <c r="F36" s="367"/>
    </row>
    <row r="37" spans="1:6" ht="14.25">
      <c r="A37" s="367"/>
      <c r="B37" s="367"/>
      <c r="C37" s="367"/>
      <c r="D37" s="365" t="s">
        <v>268</v>
      </c>
      <c r="E37" s="367"/>
      <c r="F37" s="367"/>
    </row>
    <row r="38" spans="1:6" ht="14.25">
      <c r="A38" s="367"/>
      <c r="B38" s="367"/>
      <c r="C38" s="367"/>
      <c r="D38" s="365" t="s">
        <v>270</v>
      </c>
      <c r="E38" s="367"/>
      <c r="F38" s="367"/>
    </row>
    <row r="39" spans="1:6" ht="14.25">
      <c r="A39" s="367"/>
      <c r="B39" s="367"/>
      <c r="C39" s="367"/>
      <c r="D39" s="365" t="s">
        <v>272</v>
      </c>
      <c r="E39" s="367"/>
      <c r="F39" s="367"/>
    </row>
    <row r="40" spans="1:6" ht="14.25">
      <c r="A40" s="367"/>
      <c r="B40" s="367"/>
      <c r="C40" s="367"/>
      <c r="D40" s="365" t="s">
        <v>274</v>
      </c>
      <c r="E40" s="367"/>
      <c r="F40" s="367"/>
    </row>
    <row r="41" spans="1:6" ht="14.25">
      <c r="A41" s="367"/>
      <c r="B41" s="367"/>
      <c r="C41" s="367"/>
      <c r="D41" s="365" t="s">
        <v>276</v>
      </c>
      <c r="E41" s="367"/>
      <c r="F41" s="367"/>
    </row>
    <row r="42" spans="1:6" ht="14.25">
      <c r="A42" s="367"/>
      <c r="B42" s="367"/>
      <c r="C42" s="367"/>
      <c r="D42" s="365" t="s">
        <v>278</v>
      </c>
      <c r="E42" s="367"/>
      <c r="F42" s="367"/>
    </row>
    <row r="43" spans="1:6" ht="14.25">
      <c r="A43" s="367"/>
      <c r="B43" s="367"/>
      <c r="C43" s="367"/>
      <c r="D43" s="365" t="s">
        <v>280</v>
      </c>
      <c r="E43" s="367"/>
      <c r="F43" s="367"/>
    </row>
    <row r="44" spans="1:6" ht="14.25">
      <c r="A44" s="367"/>
      <c r="B44" s="367"/>
      <c r="C44" s="367"/>
      <c r="D44" s="365" t="s">
        <v>282</v>
      </c>
      <c r="E44" s="367"/>
      <c r="F44" s="367"/>
    </row>
    <row r="45" spans="1:6" ht="14.25">
      <c r="A45" s="367"/>
      <c r="B45" s="367"/>
      <c r="C45" s="367"/>
      <c r="D45" s="365" t="s">
        <v>284</v>
      </c>
      <c r="E45" s="367"/>
      <c r="F45" s="367"/>
    </row>
    <row r="46" spans="1:6" ht="14.25">
      <c r="A46" s="367"/>
      <c r="B46" s="367"/>
      <c r="C46" s="367"/>
      <c r="D46" s="365" t="s">
        <v>286</v>
      </c>
      <c r="E46" s="367"/>
      <c r="F46" s="367"/>
    </row>
    <row r="47" spans="1:6" ht="14.25">
      <c r="A47" s="367"/>
      <c r="B47" s="367"/>
      <c r="C47" s="367"/>
      <c r="D47" s="370" t="s">
        <v>288</v>
      </c>
      <c r="E47" s="367"/>
      <c r="F47" s="367"/>
    </row>
    <row r="48" spans="1:6" ht="14.25">
      <c r="A48" s="367"/>
      <c r="B48" s="367"/>
      <c r="C48" s="367"/>
      <c r="D48" s="365" t="s">
        <v>290</v>
      </c>
      <c r="E48" s="367"/>
      <c r="F48" s="367"/>
    </row>
    <row r="49" spans="1:6" ht="14.25">
      <c r="A49" s="367"/>
      <c r="B49" s="367"/>
      <c r="C49" s="367"/>
      <c r="D49" s="365" t="s">
        <v>292</v>
      </c>
      <c r="E49" s="367"/>
      <c r="F49" s="367"/>
    </row>
    <row r="50" spans="1:6" ht="14.25">
      <c r="A50" s="367"/>
      <c r="B50" s="367"/>
      <c r="C50" s="367"/>
      <c r="D50" s="365" t="s">
        <v>294</v>
      </c>
      <c r="E50" s="367"/>
      <c r="F50" s="367"/>
    </row>
    <row r="51" spans="1:6" ht="14.25">
      <c r="A51" s="367"/>
      <c r="B51" s="367"/>
      <c r="C51" s="367"/>
      <c r="D51" s="365" t="s">
        <v>296</v>
      </c>
      <c r="E51" s="367"/>
      <c r="F51" s="367"/>
    </row>
    <row r="52" spans="1:6" ht="14.25">
      <c r="A52" s="367"/>
      <c r="B52" s="367"/>
      <c r="C52" s="367"/>
      <c r="D52" s="365" t="s">
        <v>298</v>
      </c>
      <c r="E52" s="367"/>
      <c r="F52" s="367"/>
    </row>
    <row r="53" spans="1:6" ht="28.5">
      <c r="A53" s="367"/>
      <c r="B53" s="367"/>
      <c r="C53" s="367"/>
      <c r="D53" s="365" t="s">
        <v>300</v>
      </c>
      <c r="E53" s="367"/>
      <c r="F53" s="367"/>
    </row>
    <row r="54" spans="1:6" ht="14.25">
      <c r="A54" s="367"/>
      <c r="B54" s="367"/>
      <c r="C54" s="367"/>
      <c r="D54" s="365" t="s">
        <v>302</v>
      </c>
      <c r="E54" s="367"/>
      <c r="F54" s="367"/>
    </row>
    <row r="55" spans="1:6" ht="14.25">
      <c r="A55" s="367"/>
      <c r="B55" s="367"/>
      <c r="C55" s="367"/>
      <c r="D55" s="365" t="s">
        <v>304</v>
      </c>
      <c r="E55" s="367"/>
      <c r="F55" s="367"/>
    </row>
    <row r="56" spans="1:6" ht="14.25">
      <c r="A56" s="367"/>
      <c r="B56" s="367"/>
      <c r="C56" s="367"/>
      <c r="D56" s="365" t="s">
        <v>306</v>
      </c>
      <c r="E56" s="367"/>
      <c r="F56" s="367"/>
    </row>
    <row r="57" spans="1:6" ht="28.5">
      <c r="A57" s="367"/>
      <c r="B57" s="367"/>
      <c r="C57" s="367"/>
      <c r="D57" s="365" t="s">
        <v>308</v>
      </c>
      <c r="E57" s="367"/>
      <c r="F57" s="367"/>
    </row>
    <row r="58" spans="1:6" ht="14.25">
      <c r="A58" s="367"/>
      <c r="B58" s="367"/>
      <c r="C58" s="367"/>
      <c r="D58" s="365" t="s">
        <v>310</v>
      </c>
      <c r="E58" s="367"/>
      <c r="F58" s="367"/>
    </row>
    <row r="59" spans="1:6" ht="14.25">
      <c r="A59" s="367"/>
      <c r="B59" s="367"/>
      <c r="C59" s="367"/>
      <c r="D59" s="365" t="s">
        <v>312</v>
      </c>
      <c r="E59" s="367"/>
      <c r="F59" s="367"/>
    </row>
    <row r="60" spans="1:6" ht="28.5">
      <c r="A60" s="367"/>
      <c r="B60" s="367"/>
      <c r="C60" s="367"/>
      <c r="D60" s="365" t="s">
        <v>314</v>
      </c>
      <c r="E60" s="367"/>
      <c r="F60" s="367"/>
    </row>
    <row r="61" spans="1:6" ht="28.5">
      <c r="A61" s="367"/>
      <c r="B61" s="367"/>
      <c r="C61" s="367"/>
      <c r="D61" s="365" t="s">
        <v>316</v>
      </c>
      <c r="E61" s="367"/>
      <c r="F61" s="367"/>
    </row>
    <row r="62" spans="1:6" ht="14.25">
      <c r="A62" s="367"/>
      <c r="B62" s="367"/>
      <c r="C62" s="367"/>
      <c r="D62" s="365" t="s">
        <v>318</v>
      </c>
      <c r="E62" s="367"/>
      <c r="F62" s="367"/>
    </row>
    <row r="63" spans="1:6" ht="14.25">
      <c r="A63" s="367"/>
      <c r="B63" s="367"/>
      <c r="D63" s="365" t="s">
        <v>320</v>
      </c>
      <c r="E63" s="367"/>
      <c r="F63" s="367"/>
    </row>
    <row r="64" spans="1:6">
      <c r="F64" s="367"/>
    </row>
  </sheetData>
  <pageMargins left="0.196527777777778" right="0.196527777777778" top="0.59027777777777801" bottom="0.59027777777777801" header="0.51180555555555496" footer="0"/>
  <pageSetup paperSize="9" firstPageNumber="0" orientation="landscape" horizontalDpi="300" verticalDpi="300"/>
  <headerFooter>
    <oddFooter>&amp;CPágina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933C"/>
    <pageSetUpPr fitToPage="1"/>
  </sheetPr>
  <dimension ref="A1:AH66"/>
  <sheetViews>
    <sheetView showGridLines="0" zoomScaleNormal="100" workbookViewId="0">
      <pane ySplit="6" topLeftCell="A7" activePane="bottomLeft" state="frozen"/>
      <selection activeCell="F1" sqref="F1"/>
      <selection pane="bottomLeft" sqref="A1:R66"/>
    </sheetView>
  </sheetViews>
  <sheetFormatPr defaultColWidth="9" defaultRowHeight="12.75"/>
  <cols>
    <col min="1" max="1" width="3.5703125" customWidth="1"/>
    <col min="2" max="2" width="10.42578125" customWidth="1"/>
    <col min="3" max="3" width="11.28515625" customWidth="1"/>
    <col min="4" max="4" width="11.5703125" customWidth="1"/>
    <col min="5" max="5" width="5.7109375" customWidth="1"/>
    <col min="6" max="6" width="9.140625" customWidth="1"/>
    <col min="7" max="9" width="13.5703125" customWidth="1"/>
    <col min="10" max="10" width="5.7109375" customWidth="1"/>
    <col min="11" max="11" width="13.28515625" customWidth="1"/>
    <col min="12" max="12" width="22.42578125" customWidth="1"/>
    <col min="13" max="13" width="11" customWidth="1"/>
    <col min="14" max="14" width="5.7109375" customWidth="1"/>
    <col min="15" max="15" width="12.140625" customWidth="1"/>
    <col min="16" max="16" width="16.28515625" customWidth="1"/>
    <col min="17" max="17" width="9.85546875" customWidth="1"/>
    <col min="18" max="18" width="81.42578125" customWidth="1"/>
    <col min="19" max="19" width="6.42578125" customWidth="1"/>
    <col min="20" max="21" width="6.85546875" hidden="1" customWidth="1"/>
    <col min="22" max="22" width="8.140625" hidden="1" customWidth="1"/>
    <col min="23" max="23" width="10.140625" hidden="1" customWidth="1"/>
    <col min="24" max="24" width="9.140625" hidden="1" customWidth="1"/>
    <col min="25" max="25" width="9.28515625" hidden="1" customWidth="1"/>
    <col min="26" max="26" width="10.85546875" hidden="1" customWidth="1"/>
    <col min="27" max="27" width="9.85546875" hidden="1" customWidth="1"/>
    <col min="28" max="31" width="16.28515625" hidden="1" customWidth="1"/>
    <col min="32" max="32" width="14.140625" hidden="1" customWidth="1"/>
    <col min="33" max="34" width="9.140625" hidden="1" customWidth="1"/>
  </cols>
  <sheetData>
    <row r="1" spans="1:34" ht="24" customHeight="1">
      <c r="A1" s="380" t="str">
        <f>"Cronogramas do "&amp;SUBSTITUTE(Capa!A1,"Memória de Cálculo","",1)</f>
        <v>Cronogramas do 
Contrato de Gestão nº 10/2023 celebrado entre a Secretaria de Estado de Justiça e Segurança Pública - SEJUSP e  o Pólo de Evolução de Medidas Socioeducativas</v>
      </c>
      <c r="B1" s="380"/>
      <c r="C1" s="380"/>
      <c r="D1" s="380"/>
      <c r="E1" s="380"/>
      <c r="F1" s="380"/>
      <c r="G1" s="380"/>
      <c r="H1" s="380"/>
      <c r="I1" s="380"/>
      <c r="J1" s="380"/>
      <c r="K1" s="380"/>
      <c r="L1" s="380"/>
      <c r="M1" s="380"/>
      <c r="N1" s="380"/>
      <c r="O1" s="380"/>
      <c r="P1" s="380"/>
      <c r="Q1" s="380"/>
      <c r="R1" s="380"/>
      <c r="AB1">
        <f>Capa!A2</f>
        <v>0</v>
      </c>
    </row>
    <row r="2" spans="1:34" ht="9" customHeight="1">
      <c r="A2" s="12"/>
      <c r="B2" s="12"/>
      <c r="C2" s="12"/>
      <c r="D2" s="12"/>
      <c r="E2" s="12"/>
      <c r="F2" s="12"/>
      <c r="G2" s="12"/>
      <c r="H2" s="12"/>
      <c r="I2" s="12"/>
      <c r="J2" s="12"/>
      <c r="K2" s="12"/>
      <c r="L2" s="12"/>
      <c r="M2" s="12"/>
      <c r="N2" s="12"/>
      <c r="O2" s="12"/>
      <c r="P2" s="12"/>
      <c r="Q2" s="12"/>
      <c r="R2" s="12"/>
    </row>
    <row r="3" spans="1:34" ht="18.75" customHeight="1">
      <c r="A3" s="13" t="str">
        <f>"Qual o número do Período Avaliatório de "&amp;TEXT($B$7,"mmm/aaaa")</f>
        <v>Qual o número do Período Avaliatório de dez/2023</v>
      </c>
      <c r="I3" s="14">
        <v>1</v>
      </c>
      <c r="K3" s="15" t="str">
        <f>"Quantos mêses do "&amp;IF(I3="",1,I3)&amp;"º Período compõem essa Memória de Cálculo?"</f>
        <v>Quantos mêses do 1º Período compõem essa Memória de Cálculo?</v>
      </c>
      <c r="P3" s="14">
        <v>2</v>
      </c>
    </row>
    <row r="4" spans="1:34" ht="18.75" customHeight="1">
      <c r="A4" s="13" t="str">
        <f>"Caso tenha iniciado antes, qual o 1º mês do "&amp;AH7&amp;"º Período Avaliatório? "</f>
        <v xml:space="preserve">Caso tenha iniciado antes, qual o 1º mês do 1º Período Avaliatório? </v>
      </c>
      <c r="B4" s="16"/>
      <c r="C4" s="16"/>
      <c r="D4" s="16"/>
      <c r="E4" s="16"/>
      <c r="F4" s="16"/>
      <c r="G4" s="17"/>
      <c r="I4" s="18"/>
      <c r="K4" s="13" t="str">
        <f>IF(Capa!A5="mmm/aaaa","Preencher a capa antes de qualquer campo destas tabelas","Está prevista Comissão de Avaliação para "&amp;TEXT($B$7,"mmm/aaaa")&amp;"?")</f>
        <v>Está prevista Comissão de Avaliação para dez/2023?</v>
      </c>
      <c r="L4" s="16"/>
      <c r="M4" s="16"/>
      <c r="N4" s="16"/>
      <c r="P4" s="14" t="s">
        <v>25</v>
      </c>
      <c r="AB4" t="s">
        <v>26</v>
      </c>
      <c r="AC4" s="19">
        <f ca="1">AC5+AB5+AF7</f>
        <v>332807094.81937766</v>
      </c>
    </row>
    <row r="5" spans="1:34" ht="38.25" customHeight="1">
      <c r="A5" s="381" t="s">
        <v>27</v>
      </c>
      <c r="B5" s="381"/>
      <c r="C5" s="381"/>
      <c r="D5" s="381"/>
      <c r="F5" s="382" t="s">
        <v>28</v>
      </c>
      <c r="G5" s="382"/>
      <c r="H5" s="382"/>
      <c r="I5" s="382"/>
      <c r="K5" s="382" t="s">
        <v>29</v>
      </c>
      <c r="L5" s="382"/>
      <c r="M5" s="382"/>
      <c r="O5" s="382" t="s">
        <v>30</v>
      </c>
      <c r="P5" s="382"/>
      <c r="Q5" s="382"/>
      <c r="R5" s="382"/>
      <c r="AB5" s="19">
        <f ca="1">SUM(AB7:AB66)</f>
        <v>332807094.81937766</v>
      </c>
      <c r="AC5" s="19">
        <f ca="1">SUM(AC7:AC66)</f>
        <v>0</v>
      </c>
      <c r="AD5" s="19">
        <f ca="1">SUM(AD7:AD66)</f>
        <v>0</v>
      </c>
      <c r="AE5" s="19">
        <f ca="1">SUM(AE7:AE66)</f>
        <v>332807094.81937766</v>
      </c>
    </row>
    <row r="6" spans="1:34" ht="76.5">
      <c r="A6" s="20" t="s">
        <v>31</v>
      </c>
      <c r="B6" s="20" t="s">
        <v>32</v>
      </c>
      <c r="C6" s="20" t="s">
        <v>33</v>
      </c>
      <c r="D6" s="20" t="s">
        <v>34</v>
      </c>
      <c r="F6" s="20" t="s">
        <v>35</v>
      </c>
      <c r="G6" s="20" t="s">
        <v>36</v>
      </c>
      <c r="H6" s="20" t="s">
        <v>37</v>
      </c>
      <c r="I6" s="20" t="s">
        <v>38</v>
      </c>
      <c r="K6" s="21" t="s">
        <v>39</v>
      </c>
      <c r="L6" s="21" t="s">
        <v>40</v>
      </c>
      <c r="M6" s="21" t="s">
        <v>41</v>
      </c>
      <c r="O6" s="21" t="s">
        <v>42</v>
      </c>
      <c r="P6" s="21" t="s">
        <v>43</v>
      </c>
      <c r="Q6" s="21" t="s">
        <v>44</v>
      </c>
      <c r="R6" s="21" t="s">
        <v>45</v>
      </c>
      <c r="T6" s="22" t="s">
        <v>46</v>
      </c>
      <c r="U6" s="22"/>
      <c r="V6" s="22" t="s">
        <v>47</v>
      </c>
      <c r="W6" s="22" t="s">
        <v>48</v>
      </c>
      <c r="X6" s="22" t="s">
        <v>49</v>
      </c>
      <c r="Y6" s="22" t="s">
        <v>50</v>
      </c>
      <c r="Z6" s="23" t="s">
        <v>51</v>
      </c>
      <c r="AA6" s="23" t="s">
        <v>52</v>
      </c>
      <c r="AB6" s="24" t="s">
        <v>53</v>
      </c>
      <c r="AC6" s="24" t="s">
        <v>54</v>
      </c>
      <c r="AD6" s="25" t="s">
        <v>55</v>
      </c>
      <c r="AE6" s="25" t="s">
        <v>38</v>
      </c>
      <c r="AF6" s="26" t="s">
        <v>56</v>
      </c>
      <c r="AG6" s="17"/>
      <c r="AH6" s="27" t="s">
        <v>57</v>
      </c>
    </row>
    <row r="7" spans="1:34" ht="15">
      <c r="A7" s="28">
        <v>1</v>
      </c>
      <c r="B7" s="29">
        <f>IFERROR(IF(Capa!A5="mmm/aaaa","",DATE(YEAR(Capa!$A$36),MONTH(Capa!$A$36),1)),"")</f>
        <v>45261</v>
      </c>
      <c r="C7" s="28">
        <f>IF(B7="","",IF(I3="",1,I3))</f>
        <v>1</v>
      </c>
      <c r="D7" s="30">
        <v>1</v>
      </c>
      <c r="E7" s="16"/>
      <c r="F7" s="31">
        <f>IF(Capa!A5="mmm/aaaa","",YEAR(Capa!A36))</f>
        <v>2023</v>
      </c>
      <c r="G7" s="32">
        <f t="shared" ref="G7:G12" ca="1" si="0">IF(F7="","",SUMIFS($AB$7:$AB$66,$B$7:$B$66,"&gt;="&amp;DATE(F7,1,1),$B$7:$B$66,"&lt;"&amp;DATE(F7+1,1,1)-1))</f>
        <v>11565545.86127962</v>
      </c>
      <c r="H7" s="32">
        <f t="shared" ref="H7:H12" ca="1" si="1">IF(F7="","",SUMIFS($AD$7:$AD$66,$B$7:$B$66,"&gt;="&amp;DATE(F7,1,1),$B$7:$B$66,"&lt;"&amp;DATE(F7+1,1,1)-1))</f>
        <v>0</v>
      </c>
      <c r="I7" s="32">
        <f ca="1">IF(F7="","",SUMIFS($AE$7:$AE$66,$B$7:$B$66,"&gt;="&amp;DATE(F7,1,1),$B$7:$B$66,"&lt;"&amp;DATE(F7+1,1,1)-1)+IF(F8="",Analítico!$BK$151,0))</f>
        <v>1854693.2621544437</v>
      </c>
      <c r="K7" s="33" t="str">
        <f t="shared" ref="K7:K39" si="2">IF(U7="","",U7&amp;"ª Avaliação")</f>
        <v>1ª Avaliação</v>
      </c>
      <c r="L7" s="33" t="str">
        <f t="shared" ref="L7:L39" ca="1" si="3">IF(K7="","",TEXT(Z7,"mmm/aaaa")&amp;" a "&amp;TEXT(AA7,"mmm/aaaa"))</f>
        <v>dez/2023 a jan/2024</v>
      </c>
      <c r="M7" s="34">
        <f t="shared" ref="M7:M39" ca="1" si="4">IF(K7="","",_xlfn.IFNA(OFFSET($B$6,MATCH(U7+1,$AH$7:$AH$66,0),0),EDATE(MAX($B$7:$B$66),1)))</f>
        <v>45323</v>
      </c>
      <c r="O7" s="33" t="str">
        <f t="shared" ref="O7:O38" ca="1" si="5">(IF(P7="","",OFFSET($Y$6,MATCH(A7,$X$7:$X$66,0),0)&amp;"ª Parcela"))</f>
        <v>1ª Parcela</v>
      </c>
      <c r="P7" s="35">
        <f t="shared" ref="P7:P38" ca="1" si="6">IFERROR(IF(OFFSET($AB$6,MATCH(A7,$X$7:$X$66,0),0)=0,"",OFFSET($AB$6,MATCH(A7,$X$7:$X$66,0),0)),"")</f>
        <v>11565545.86127962</v>
      </c>
      <c r="Q7" s="36">
        <f t="shared" ref="Q7:Q38" ca="1" si="7">IF(P7="","",OFFSET($B$6,MATCH(A7,$X$7:$X$66,0),0))</f>
        <v>45261</v>
      </c>
      <c r="R7" s="37" t="str">
        <f ca="1">IF(P7="","",IFERROR(IF(Capa!$A$2="","Após a celebração do termo de parceria.","Realização da "&amp;OFFSET($Y$6,MATCH(A7,$X$7:$X$66,0),0)-1&amp;"ª reunião da CA e aprovação da liberação de parcela pelo supervisor."),""))</f>
        <v>Após a celebração do termo de parceria.</v>
      </c>
      <c r="T7" s="38" t="str">
        <f>IF($P$4="Sim","Sim","Não")</f>
        <v>Não</v>
      </c>
      <c r="U7" s="38">
        <f>AH7</f>
        <v>1</v>
      </c>
      <c r="V7" s="38" t="str">
        <f>IF(Capa!$A$2="","Sim",Cronogramas!T7)</f>
        <v>Sim</v>
      </c>
      <c r="W7" s="38">
        <f>IF(Capa!$A$2="",0,IF(Cronogramas!$P$4="Sim",Cronogramas!AH7-1,Cronogramas!AH7))</f>
        <v>0</v>
      </c>
      <c r="X7" s="38">
        <f>COUNTIF(V7:$V$7,"Sim")</f>
        <v>1</v>
      </c>
      <c r="Y7" s="38">
        <f>IF(Capa!$A$2="",1,IF(T7="Não","",AH7))</f>
        <v>1</v>
      </c>
      <c r="Z7" s="39">
        <f>IF(K7="","",IF($I$4=0,Cronogramas!$B$7,$I$4))</f>
        <v>45261</v>
      </c>
      <c r="AA7" s="40">
        <f t="shared" ref="AA7:AA39" ca="1" si="8">IFERROR(EDATE(M7,-1),"")</f>
        <v>45292</v>
      </c>
      <c r="AB7" s="41">
        <f ca="1">_xlfn.IFNA(IF(V7="Sim",(IFERROR(SUM(OFFSET(AE7,1,,MATCH("Sim",V8:$V$66,0),1))-AC7,0)+IF(Y7-$W$7=1,SUM($AE$6:AE7)-$AF$7,0)+IF(SUM(Y8:$Y$66)=0,SUM(AE8:$AE$66)-AC7+Analítico!$BK$151)),0),0)</f>
        <v>11565545.86127962</v>
      </c>
      <c r="AC7" s="41">
        <f ca="1">IFERROR(IF(V7="Sim",IFERROR(SUM(OFFSET(AD7,1,,MATCH("Sim",T8:$T$66,0),1)),0)+IF(Y7-$W$7=1,SUM($AD$6:AD7),0)+IF(SUM(Y8:$Y$66)=0,SUM(AD8:$AD$66),0),0),0)</f>
        <v>0</v>
      </c>
      <c r="AD7" s="42">
        <f ca="1">SUM(OFFSET(Analítico!$B$10,0,A7,2,1))</f>
        <v>0</v>
      </c>
      <c r="AE7" s="42">
        <f ca="1">OFFSET(Analítico!$B$152,,A7)</f>
        <v>1854693.2621544437</v>
      </c>
      <c r="AF7" s="42">
        <f>Analítico!BK4</f>
        <v>0</v>
      </c>
      <c r="AG7" s="43" t="s">
        <v>58</v>
      </c>
      <c r="AH7" s="44">
        <f t="shared" ref="AH7:AH38" si="9">IF(D7="",C7,D7)</f>
        <v>1</v>
      </c>
    </row>
    <row r="8" spans="1:34" ht="15">
      <c r="A8" s="28">
        <v>2</v>
      </c>
      <c r="B8" s="29">
        <f>IFERROR(IF(EDATE(B7,1)&gt;DATE(YEAR(Capa!$A$7),MONTH(Capa!$A$7),1),"",EDATE(B7,1)),"")</f>
        <v>45292</v>
      </c>
      <c r="C8" s="28">
        <f>IF(B8="","",IF(P3="",C7,IF(P3&gt;=2,C7,C7+1)))</f>
        <v>1</v>
      </c>
      <c r="D8" s="30">
        <v>1</v>
      </c>
      <c r="E8" s="28"/>
      <c r="F8" s="31">
        <f>IFERROR(IF((F7+1)&gt;YEAR(Capa!$A$7),"",F7+1),"")</f>
        <v>2024</v>
      </c>
      <c r="G8" s="32">
        <f t="shared" ca="1" si="0"/>
        <v>62783950.494314685</v>
      </c>
      <c r="H8" s="32">
        <f t="shared" ca="1" si="1"/>
        <v>0</v>
      </c>
      <c r="I8" s="32">
        <f ca="1">IF(F8="","",SUMIFS($AE$7:$AE$66,$B$7:$B$66,"&gt;="&amp;DATE(F8,1,1),$B$7:$B$66,"&lt;"&amp;DATE(F8+1,1,1)-1)+IF(F9="",Analítico!$BK$151,0))</f>
        <v>61295658.926175073</v>
      </c>
      <c r="K8" s="33" t="str">
        <f t="shared" si="2"/>
        <v>2ª Avaliação</v>
      </c>
      <c r="L8" s="33" t="str">
        <f t="shared" ca="1" si="3"/>
        <v>fev/2024 a abr/2024</v>
      </c>
      <c r="M8" s="34">
        <f t="shared" ca="1" si="4"/>
        <v>45413</v>
      </c>
      <c r="O8" s="33" t="str">
        <f t="shared" ca="1" si="5"/>
        <v>2ª Parcela</v>
      </c>
      <c r="P8" s="35">
        <f t="shared" ca="1" si="6"/>
        <v>15842413.075141767</v>
      </c>
      <c r="Q8" s="36">
        <f t="shared" ca="1" si="7"/>
        <v>45323</v>
      </c>
      <c r="R8" s="37" t="str">
        <f t="shared" ref="R8:R37" ca="1" si="10">IF(P8="","",IFERROR("Realização da "&amp;OFFSET($Y$6,MATCH(A8,$X$7:$X$66,0),0)-1&amp;"ª reunião da CA e aprovação da liberação de parcela pelo supervisor.",""))</f>
        <v>Realização da 1ª reunião da CA e aprovação da liberação de parcela pelo supervisor.</v>
      </c>
      <c r="T8" s="38" t="str">
        <f t="shared" ref="T8:T39" si="11">IF(AH8="","Não",IF(AH8&gt;AH7,"Sim","Não"))</f>
        <v>Não</v>
      </c>
      <c r="U8" s="38">
        <f t="shared" ref="U8:U39" si="12">IFERROR(IF(U7+1&gt;MAX(AH7:AH66),"",U7+1),"")</f>
        <v>2</v>
      </c>
      <c r="V8" s="38" t="str">
        <f>Cronogramas!T8</f>
        <v>Não</v>
      </c>
      <c r="W8" s="38"/>
      <c r="X8" s="38">
        <f>COUNTIF(V$7:$V8,"Sim")</f>
        <v>1</v>
      </c>
      <c r="Y8" s="38" t="str">
        <f t="shared" ref="Y8:Y39" si="13">IF(T8="Não","",AH8)</f>
        <v/>
      </c>
      <c r="Z8" s="39">
        <f t="shared" ref="Z8:Z39" ca="1" si="14">IF(K8="","",EDATE(AA7,1))</f>
        <v>45323</v>
      </c>
      <c r="AA8" s="40">
        <f t="shared" ca="1" si="8"/>
        <v>45383</v>
      </c>
      <c r="AB8" s="41">
        <f ca="1">_xlfn.IFNA(IF(V8="Sim",(IFERROR(SUM(OFFSET(AE8,1,,MATCH("Sim",V9:$V$66,0),1))-AC8,0)+IF(Y8-$W$7=1,SUM($AE$6:AE8)-$AF$7,0)+IF(SUM(Y9:$Y$66)=0,SUM(AE9:$AE$66)-AC8+Analítico!$BK$151)),0),0)</f>
        <v>0</v>
      </c>
      <c r="AC8" s="41">
        <f ca="1">IFERROR(IF(V8="Sim",IFERROR(SUM(OFFSET(AD8,1,,MATCH("Sim",T9:$T$66,0),1)),0)+IF(Y8-$W$7=1,SUM($AD$6:AD8),0)+IF(SUM(Y9:$Y$66)=0,SUM(AD9:$AD$66),0),0),0)</f>
        <v>0</v>
      </c>
      <c r="AD8" s="42">
        <f ca="1">SUM(OFFSET(Analítico!$B$10,0,A8,2,1))</f>
        <v>0</v>
      </c>
      <c r="AE8" s="42">
        <f ca="1">OFFSET(Analítico!$B$152,,A8)</f>
        <v>4790572.6551540699</v>
      </c>
      <c r="AF8" s="38"/>
      <c r="AG8" s="43" t="s">
        <v>25</v>
      </c>
      <c r="AH8" s="44">
        <f t="shared" si="9"/>
        <v>1</v>
      </c>
    </row>
    <row r="9" spans="1:34" ht="15">
      <c r="A9" s="28">
        <v>3</v>
      </c>
      <c r="B9" s="29">
        <f>IFERROR(IF(EDATE(B8,1)&gt;DATE(YEAR(Capa!$A$7),MONTH(Capa!$A$7),1),"",EDATE(B8,1)),"")</f>
        <v>45323</v>
      </c>
      <c r="C9" s="28">
        <f>IF(B9="","",IF(P3="",C7,IF(P3=3,C7,C7+1)))</f>
        <v>2</v>
      </c>
      <c r="D9" s="30">
        <v>2</v>
      </c>
      <c r="E9" s="28"/>
      <c r="F9" s="31">
        <f>IFERROR(IF((F8+1)&gt;YEAR(Capa!$A$7),"",F8+1),"")</f>
        <v>2025</v>
      </c>
      <c r="G9" s="32">
        <f t="shared" ca="1" si="0"/>
        <v>66825440.899732098</v>
      </c>
      <c r="H9" s="32">
        <f t="shared" ca="1" si="1"/>
        <v>0</v>
      </c>
      <c r="I9" s="32">
        <f ca="1">IF(F9="","",SUMIFS($AE$7:$AE$66,$B$7:$B$66,"&gt;="&amp;DATE(F9,1,1),$B$7:$B$66,"&lt;"&amp;DATE(F9+1,1,1)-1)+IF(F10="",Analítico!$BK$151,0))</f>
        <v>67045174.404094294</v>
      </c>
      <c r="K9" s="33" t="str">
        <f t="shared" si="2"/>
        <v>3ª Avaliação</v>
      </c>
      <c r="L9" s="33" t="str">
        <f t="shared" ca="1" si="3"/>
        <v>mai/2024 a jul/2024</v>
      </c>
      <c r="M9" s="34">
        <f t="shared" ca="1" si="4"/>
        <v>45505</v>
      </c>
      <c r="O9" s="33" t="str">
        <f t="shared" ca="1" si="5"/>
        <v>3ª Parcela</v>
      </c>
      <c r="P9" s="35">
        <f t="shared" ca="1" si="6"/>
        <v>15118070.831598662</v>
      </c>
      <c r="Q9" s="36">
        <f t="shared" ca="1" si="7"/>
        <v>45413</v>
      </c>
      <c r="R9" s="37" t="str">
        <f t="shared" ca="1" si="10"/>
        <v>Realização da 2ª reunião da CA e aprovação da liberação de parcela pelo supervisor.</v>
      </c>
      <c r="T9" s="38" t="str">
        <f t="shared" si="11"/>
        <v>Sim</v>
      </c>
      <c r="U9" s="38">
        <f t="shared" si="12"/>
        <v>3</v>
      </c>
      <c r="V9" s="38" t="str">
        <f>Cronogramas!T9</f>
        <v>Sim</v>
      </c>
      <c r="W9" s="38"/>
      <c r="X9" s="38">
        <f>COUNTIF(V$7:$V9,"Sim")</f>
        <v>2</v>
      </c>
      <c r="Y9" s="38">
        <f t="shared" si="13"/>
        <v>2</v>
      </c>
      <c r="Z9" s="39">
        <f t="shared" ca="1" si="14"/>
        <v>45413</v>
      </c>
      <c r="AA9" s="40">
        <f t="shared" ca="1" si="8"/>
        <v>45474</v>
      </c>
      <c r="AB9" s="41">
        <f ca="1">_xlfn.IFNA(IF(V9="Sim",(IFERROR(SUM(OFFSET(AE9,1,,MATCH("Sim",V10:$V$66,0),1))-AC9,0)+IF(Y9-$W$7=1,SUM($AE$6:AE9)-$AF$7,0)+IF(SUM(Y10:$Y$66)=0,SUM(AE10:$AE$66)-AC9+Analítico!$BK$151)),0),0)</f>
        <v>15842413.075141767</v>
      </c>
      <c r="AC9" s="41">
        <f ca="1">IFERROR(IF(V9="Sim",IFERROR(SUM(OFFSET(AD9,1,,MATCH("Sim",T10:$T$66,0),1)),0)+IF(Y9-$W$7=1,SUM($AD$6:AD9),0)+IF(SUM(Y10:$Y$66)=0,SUM(AD10:$AD$66),0),0),0)</f>
        <v>0</v>
      </c>
      <c r="AD9" s="42">
        <f ca="1">SUM(OFFSET(Analítico!$B$10,0,A9,2,1))</f>
        <v>0</v>
      </c>
      <c r="AE9" s="42">
        <f ca="1">OFFSET(Analítico!$B$152,,A9)</f>
        <v>4920279.9439711077</v>
      </c>
      <c r="AF9" s="38"/>
      <c r="AG9" s="38"/>
      <c r="AH9" s="44">
        <f t="shared" si="9"/>
        <v>2</v>
      </c>
    </row>
    <row r="10" spans="1:34" ht="15">
      <c r="A10" s="28">
        <v>4</v>
      </c>
      <c r="B10" s="29">
        <f>IFERROR(IF(EDATE(B9,1)&gt;DATE(YEAR(Capa!$A$7),MONTH(Capa!$A$7),1),"",EDATE(B9,1)),"")</f>
        <v>45352</v>
      </c>
      <c r="C10" s="28">
        <f t="shared" ref="C10:C41" si="15">IF(B10="","",C7+1)</f>
        <v>2</v>
      </c>
      <c r="D10" s="30">
        <v>2</v>
      </c>
      <c r="E10" s="28"/>
      <c r="F10" s="31">
        <f>IFERROR(IF((F9+1)&gt;YEAR(Capa!$A$7),"",F9+1),"")</f>
        <v>2026</v>
      </c>
      <c r="G10" s="32">
        <f t="shared" ca="1" si="0"/>
        <v>66442656.827036463</v>
      </c>
      <c r="H10" s="32">
        <f t="shared" ca="1" si="1"/>
        <v>0</v>
      </c>
      <c r="I10" s="32">
        <f ca="1">IF(F10="","",SUMIFS($AE$7:$AE$66,$B$7:$B$66,"&gt;="&amp;DATE(F10,1,1),$B$7:$B$66,"&lt;"&amp;DATE(F10+1,1,1)-1)+IF(F11="",Analítico!$BK$151,0))</f>
        <v>65769579.370378956</v>
      </c>
      <c r="K10" s="33" t="str">
        <f t="shared" si="2"/>
        <v>4ª Avaliação</v>
      </c>
      <c r="L10" s="33" t="str">
        <f t="shared" ca="1" si="3"/>
        <v>ago/2024 a out/2024</v>
      </c>
      <c r="M10" s="34">
        <f t="shared" ca="1" si="4"/>
        <v>45597</v>
      </c>
      <c r="O10" s="33" t="str">
        <f t="shared" ca="1" si="5"/>
        <v>4ª Parcela</v>
      </c>
      <c r="P10" s="35">
        <f t="shared" ca="1" si="6"/>
        <v>15549785.411804855</v>
      </c>
      <c r="Q10" s="36">
        <f t="shared" ca="1" si="7"/>
        <v>45505</v>
      </c>
      <c r="R10" s="37" t="str">
        <f t="shared" ca="1" si="10"/>
        <v>Realização da 3ª reunião da CA e aprovação da liberação de parcela pelo supervisor.</v>
      </c>
      <c r="T10" s="38" t="str">
        <f t="shared" si="11"/>
        <v>Não</v>
      </c>
      <c r="U10" s="38">
        <f t="shared" si="12"/>
        <v>4</v>
      </c>
      <c r="V10" s="38" t="str">
        <f>Cronogramas!T10</f>
        <v>Não</v>
      </c>
      <c r="W10" s="38"/>
      <c r="X10" s="38">
        <f>COUNTIF(V$7:$V10,"Sim")</f>
        <v>2</v>
      </c>
      <c r="Y10" s="38" t="str">
        <f t="shared" si="13"/>
        <v/>
      </c>
      <c r="Z10" s="39">
        <f t="shared" ca="1" si="14"/>
        <v>45505</v>
      </c>
      <c r="AA10" s="40">
        <f t="shared" ca="1" si="8"/>
        <v>45566</v>
      </c>
      <c r="AB10" s="41">
        <f ca="1">_xlfn.IFNA(IF(V10="Sim",(IFERROR(SUM(OFFSET(AE10,1,,MATCH("Sim",V11:$V$66,0),1))-AC10,0)+IF(Y10-$W$7=1,SUM($AE$6:AE10)-$AF$7,0)+IF(SUM(Y11:$Y$66)=0,SUM(AE11:$AE$66)-AC10+Analítico!$BK$151)),0),0)</f>
        <v>0</v>
      </c>
      <c r="AC10" s="41">
        <f ca="1">IFERROR(IF(V10="Sim",IFERROR(SUM(OFFSET(AD10,1,,MATCH("Sim",T11:$T$66,0),1)),0)+IF(Y10-$W$7=1,SUM($AD$6:AD10),0)+IF(SUM(Y11:$Y$66)=0,SUM(AD11:$AD$66),0),0),0)</f>
        <v>0</v>
      </c>
      <c r="AD10" s="42">
        <f ca="1">SUM(OFFSET(Analítico!$B$10,0,A10,2,1))</f>
        <v>0</v>
      </c>
      <c r="AE10" s="42">
        <f ca="1">OFFSET(Analítico!$B$152,,A10)</f>
        <v>5210596.4939711066</v>
      </c>
      <c r="AF10" s="38"/>
      <c r="AG10" s="38"/>
      <c r="AH10" s="44">
        <f t="shared" si="9"/>
        <v>2</v>
      </c>
    </row>
    <row r="11" spans="1:34" ht="15">
      <c r="A11" s="28">
        <v>5</v>
      </c>
      <c r="B11" s="29">
        <f>IFERROR(IF(EDATE(B10,1)&gt;DATE(YEAR(Capa!$A$7),MONTH(Capa!$A$7),1),"",EDATE(B10,1)),"")</f>
        <v>45383</v>
      </c>
      <c r="C11" s="28">
        <f t="shared" si="15"/>
        <v>2</v>
      </c>
      <c r="D11" s="30">
        <f>D8+1</f>
        <v>2</v>
      </c>
      <c r="E11" s="28"/>
      <c r="F11" s="31">
        <f>IFERROR(IF((F10+1)&gt;YEAR(Capa!$A$7),"",F10+1),"")</f>
        <v>2027</v>
      </c>
      <c r="G11" s="32">
        <f t="shared" ca="1" si="0"/>
        <v>70349371.825215384</v>
      </c>
      <c r="H11" s="32">
        <f t="shared" ca="1" si="1"/>
        <v>0</v>
      </c>
      <c r="I11" s="32">
        <f ca="1">IF(F11="","",SUMIFS($AE$7:$AE$66,$B$7:$B$66,"&gt;="&amp;DATE(F11,1,1),$B$7:$B$66,"&lt;"&amp;DATE(F11+1,1,1)-1)+IF(F12="",Analítico!$BK$151,0))</f>
        <v>69909908.143617064</v>
      </c>
      <c r="K11" s="33" t="str">
        <f t="shared" si="2"/>
        <v>5ª Avaliação</v>
      </c>
      <c r="L11" s="33" t="str">
        <f t="shared" ca="1" si="3"/>
        <v>nov/2024 a jan/2025</v>
      </c>
      <c r="M11" s="34">
        <f t="shared" ca="1" si="4"/>
        <v>45689</v>
      </c>
      <c r="O11" s="33" t="str">
        <f t="shared" ca="1" si="5"/>
        <v>5ª Parcela</v>
      </c>
      <c r="P11" s="35">
        <f t="shared" ca="1" si="6"/>
        <v>16273681.175769405</v>
      </c>
      <c r="Q11" s="36">
        <f t="shared" ca="1" si="7"/>
        <v>45597</v>
      </c>
      <c r="R11" s="37" t="str">
        <f t="shared" ca="1" si="10"/>
        <v>Realização da 4ª reunião da CA e aprovação da liberação de parcela pelo supervisor.</v>
      </c>
      <c r="T11" s="38" t="str">
        <f t="shared" si="11"/>
        <v>Não</v>
      </c>
      <c r="U11" s="38">
        <f t="shared" si="12"/>
        <v>5</v>
      </c>
      <c r="V11" s="38" t="str">
        <f>Cronogramas!T11</f>
        <v>Não</v>
      </c>
      <c r="W11" s="38"/>
      <c r="X11" s="38">
        <f>COUNTIF(V$7:$V11,"Sim")</f>
        <v>2</v>
      </c>
      <c r="Y11" s="38" t="str">
        <f t="shared" si="13"/>
        <v/>
      </c>
      <c r="Z11" s="39">
        <f t="shared" ca="1" si="14"/>
        <v>45597</v>
      </c>
      <c r="AA11" s="40">
        <f t="shared" ca="1" si="8"/>
        <v>45658</v>
      </c>
      <c r="AB11" s="41">
        <f ca="1">_xlfn.IFNA(IF(V11="Sim",(IFERROR(SUM(OFFSET(AE11,1,,MATCH("Sim",V12:$V$66,0),1))-AC11,0)+IF(Y11-$W$7=1,SUM($AE$6:AE11)-$AF$7,0)+IF(SUM(Y12:$Y$66)=0,SUM(AE12:$AE$66)-AC11+Analítico!$BK$151)),0),0)</f>
        <v>0</v>
      </c>
      <c r="AC11" s="41">
        <f ca="1">IFERROR(IF(V11="Sim",IFERROR(SUM(OFFSET(AD11,1,,MATCH("Sim",T12:$T$66,0),1)),0)+IF(Y11-$W$7=1,SUM($AD$6:AD11),0)+IF(SUM(Y12:$Y$66)=0,SUM(AD12:$AD$66),0),0),0)</f>
        <v>0</v>
      </c>
      <c r="AD11" s="42">
        <f ca="1">SUM(OFFSET(Analítico!$B$10,0,A11,2,1))</f>
        <v>0</v>
      </c>
      <c r="AE11" s="42">
        <f ca="1">OFFSET(Analítico!$B$152,,A11)</f>
        <v>5528457.5039711064</v>
      </c>
      <c r="AF11" s="38"/>
      <c r="AG11" s="38"/>
      <c r="AH11" s="44">
        <f t="shared" si="9"/>
        <v>2</v>
      </c>
    </row>
    <row r="12" spans="1:34" ht="15">
      <c r="A12" s="28">
        <v>6</v>
      </c>
      <c r="B12" s="29">
        <f>IFERROR(IF(EDATE(B11,1)&gt;DATE(YEAR(Capa!$A$7),MONTH(Capa!$A$7),1),"",EDATE(B11,1)),"")</f>
        <v>45413</v>
      </c>
      <c r="C12" s="28">
        <f t="shared" si="15"/>
        <v>3</v>
      </c>
      <c r="D12" s="30">
        <f t="shared" ref="D12:D66" si="16">D9+1</f>
        <v>3</v>
      </c>
      <c r="E12" s="28"/>
      <c r="F12" s="31">
        <f>IFERROR(IF((F11+1)&gt;YEAR(Capa!$A$7),"",F11+1),"")</f>
        <v>2028</v>
      </c>
      <c r="G12" s="32">
        <f t="shared" ca="1" si="0"/>
        <v>54840128.911799371</v>
      </c>
      <c r="H12" s="32">
        <f t="shared" ca="1" si="1"/>
        <v>0</v>
      </c>
      <c r="I12" s="32">
        <f ca="1">IF(F12="","",SUMIFS($AE$7:$AE$66,$B$7:$B$66,"&gt;="&amp;DATE(F12,1,1),$B$7:$B$66,"&lt;"&amp;DATE(F12+1,1,1)-1)+IF(F13="",Analítico!$BK$151,0))</f>
        <v>68706887.932957768</v>
      </c>
      <c r="K12" s="33" t="str">
        <f t="shared" si="2"/>
        <v>6ª Avaliação</v>
      </c>
      <c r="L12" s="33" t="str">
        <f t="shared" ca="1" si="3"/>
        <v>fev/2025 a abr/2025</v>
      </c>
      <c r="M12" s="34">
        <f t="shared" ca="1" si="4"/>
        <v>45778</v>
      </c>
      <c r="O12" s="33" t="str">
        <f t="shared" ca="1" si="5"/>
        <v>6ª Parcela</v>
      </c>
      <c r="P12" s="35">
        <f t="shared" ca="1" si="6"/>
        <v>17710014.566190328</v>
      </c>
      <c r="Q12" s="36">
        <f t="shared" ca="1" si="7"/>
        <v>45689</v>
      </c>
      <c r="R12" s="37" t="str">
        <f t="shared" ca="1" si="10"/>
        <v>Realização da 5ª reunião da CA e aprovação da liberação de parcela pelo supervisor.</v>
      </c>
      <c r="T12" s="38" t="str">
        <f t="shared" si="11"/>
        <v>Sim</v>
      </c>
      <c r="U12" s="38">
        <f t="shared" si="12"/>
        <v>6</v>
      </c>
      <c r="V12" s="38" t="str">
        <f>Cronogramas!T12</f>
        <v>Sim</v>
      </c>
      <c r="W12" s="38"/>
      <c r="X12" s="38">
        <f>COUNTIF(V$7:$V12,"Sim")</f>
        <v>3</v>
      </c>
      <c r="Y12" s="38">
        <f t="shared" si="13"/>
        <v>3</v>
      </c>
      <c r="Z12" s="39">
        <f t="shared" ca="1" si="14"/>
        <v>45689</v>
      </c>
      <c r="AA12" s="40">
        <f t="shared" ca="1" si="8"/>
        <v>45748</v>
      </c>
      <c r="AB12" s="41">
        <f ca="1">_xlfn.IFNA(IF(V12="Sim",(IFERROR(SUM(OFFSET(AE12,1,,MATCH("Sim",V13:$V$66,0),1))-AC12,0)+IF(Y12-$W$7=1,SUM($AE$6:AE12)-$AF$7,0)+IF(SUM(Y13:$Y$66)=0,SUM(AE13:$AE$66)-AC12+Analítico!$BK$151)),0),0)</f>
        <v>15118070.831598662</v>
      </c>
      <c r="AC12" s="41">
        <f ca="1">IFERROR(IF(V12="Sim",IFERROR(SUM(OFFSET(AD12,1,,MATCH("Sim",T13:$T$66,0),1)),0)+IF(Y12-$W$7=1,SUM($AD$6:AD12),0)+IF(SUM(Y13:$Y$66)=0,SUM(AD13:$AD$66),0),0),0)</f>
        <v>0</v>
      </c>
      <c r="AD12" s="42">
        <f ca="1">SUM(OFFSET(Analítico!$B$10,0,A12,2,1))</f>
        <v>0</v>
      </c>
      <c r="AE12" s="42">
        <f ca="1">OFFSET(Analítico!$B$152,,A12)</f>
        <v>5103359.0771995541</v>
      </c>
      <c r="AF12" s="38"/>
      <c r="AG12" s="38"/>
      <c r="AH12" s="44">
        <f t="shared" si="9"/>
        <v>3</v>
      </c>
    </row>
    <row r="13" spans="1:34" ht="15">
      <c r="A13" s="28">
        <v>7</v>
      </c>
      <c r="B13" s="29">
        <f>IFERROR(IF(EDATE(B12,1)&gt;DATE(YEAR(Capa!$A$7),MONTH(Capa!$A$7),1),"",EDATE(B12,1)),"")</f>
        <v>45444</v>
      </c>
      <c r="C13" s="28">
        <f t="shared" si="15"/>
        <v>3</v>
      </c>
      <c r="D13" s="30">
        <f t="shared" si="16"/>
        <v>3</v>
      </c>
      <c r="E13" s="28"/>
      <c r="F13" s="31"/>
      <c r="G13" s="32"/>
      <c r="H13" s="28"/>
      <c r="I13" s="28"/>
      <c r="K13" s="33" t="str">
        <f t="shared" si="2"/>
        <v>7ª Avaliação</v>
      </c>
      <c r="L13" s="33" t="str">
        <f t="shared" ca="1" si="3"/>
        <v>mai/2025 a jul/2025</v>
      </c>
      <c r="M13" s="34">
        <f t="shared" ca="1" si="4"/>
        <v>45870</v>
      </c>
      <c r="O13" s="33" t="str">
        <f t="shared" ca="1" si="5"/>
        <v>7ª Parcela</v>
      </c>
      <c r="P13" s="35">
        <f t="shared" ca="1" si="6"/>
        <v>16587248.297416795</v>
      </c>
      <c r="Q13" s="36">
        <f t="shared" ca="1" si="7"/>
        <v>45778</v>
      </c>
      <c r="R13" s="37" t="str">
        <f t="shared" ca="1" si="10"/>
        <v>Realização da 6ª reunião da CA e aprovação da liberação de parcela pelo supervisor.</v>
      </c>
      <c r="T13" s="38" t="str">
        <f t="shared" si="11"/>
        <v>Não</v>
      </c>
      <c r="U13" s="38">
        <f t="shared" si="12"/>
        <v>7</v>
      </c>
      <c r="V13" s="38" t="str">
        <f>Cronogramas!T13</f>
        <v>Não</v>
      </c>
      <c r="W13" s="38"/>
      <c r="X13" s="38">
        <f>COUNTIF(V$7:$V13,"Sim")</f>
        <v>3</v>
      </c>
      <c r="Y13" s="38" t="str">
        <f t="shared" si="13"/>
        <v/>
      </c>
      <c r="Z13" s="39">
        <f t="shared" ca="1" si="14"/>
        <v>45778</v>
      </c>
      <c r="AA13" s="40">
        <f t="shared" ca="1" si="8"/>
        <v>45839</v>
      </c>
      <c r="AB13" s="41">
        <f ca="1">_xlfn.IFNA(IF(V13="Sim",(IFERROR(SUM(OFFSET(AE13,1,,MATCH("Sim",V14:$V$66,0),1))-AC13,0)+IF(Y13-$W$7=1,SUM($AE$6:AE13)-$AF$7,0)+IF(SUM(Y14:$Y$66)=0,SUM(AE14:$AE$66)-AC13+Analítico!$BK$151)),0),0)</f>
        <v>0</v>
      </c>
      <c r="AC13" s="41">
        <f ca="1">IFERROR(IF(V13="Sim",IFERROR(SUM(OFFSET(AD13,1,,MATCH("Sim",T14:$T$66,0),1)),0)+IF(Y13-$W$7=1,SUM($AD$6:AD13),0)+IF(SUM(Y14:$Y$66)=0,SUM(AD14:$AD$66),0),0),0)</f>
        <v>0</v>
      </c>
      <c r="AD13" s="42">
        <f ca="1">SUM(OFFSET(Analítico!$B$10,0,A13,2,1))</f>
        <v>0</v>
      </c>
      <c r="AE13" s="42">
        <f ca="1">OFFSET(Analítico!$B$152,,A13)</f>
        <v>5098981.0771995541</v>
      </c>
      <c r="AF13" s="38"/>
      <c r="AG13" s="38"/>
      <c r="AH13" s="44">
        <f t="shared" si="9"/>
        <v>3</v>
      </c>
    </row>
    <row r="14" spans="1:34" ht="15">
      <c r="A14" s="28">
        <v>8</v>
      </c>
      <c r="B14" s="29">
        <f>IFERROR(IF(EDATE(B13,1)&gt;DATE(YEAR(Capa!$A$7),MONTH(Capa!$A$7),1),"",EDATE(B13,1)),"")</f>
        <v>45474</v>
      </c>
      <c r="C14" s="28">
        <f t="shared" si="15"/>
        <v>3</v>
      </c>
      <c r="D14" s="30">
        <f t="shared" si="16"/>
        <v>3</v>
      </c>
      <c r="E14" s="28"/>
      <c r="F14" s="31"/>
      <c r="G14" s="32"/>
      <c r="H14" s="28"/>
      <c r="I14" s="28"/>
      <c r="K14" s="33" t="str">
        <f t="shared" si="2"/>
        <v>8ª Avaliação</v>
      </c>
      <c r="L14" s="33" t="str">
        <f t="shared" ca="1" si="3"/>
        <v>ago/2025 a out/2025</v>
      </c>
      <c r="M14" s="34">
        <f t="shared" ca="1" si="4"/>
        <v>45962</v>
      </c>
      <c r="O14" s="33" t="str">
        <f t="shared" ca="1" si="5"/>
        <v>8ª Parcela</v>
      </c>
      <c r="P14" s="35">
        <f t="shared" ca="1" si="6"/>
        <v>16115700.437416796</v>
      </c>
      <c r="Q14" s="36">
        <f t="shared" ca="1" si="7"/>
        <v>45870</v>
      </c>
      <c r="R14" s="37" t="str">
        <f t="shared" ca="1" si="10"/>
        <v>Realização da 7ª reunião da CA e aprovação da liberação de parcela pelo supervisor.</v>
      </c>
      <c r="T14" s="38" t="str">
        <f t="shared" si="11"/>
        <v>Não</v>
      </c>
      <c r="U14" s="38">
        <f t="shared" si="12"/>
        <v>8</v>
      </c>
      <c r="V14" s="38" t="str">
        <f>Cronogramas!T14</f>
        <v>Não</v>
      </c>
      <c r="W14" s="38"/>
      <c r="X14" s="38">
        <f>COUNTIF(V$7:$V14,"Sim")</f>
        <v>3</v>
      </c>
      <c r="Y14" s="38" t="str">
        <f t="shared" si="13"/>
        <v/>
      </c>
      <c r="Z14" s="39">
        <f t="shared" ca="1" si="14"/>
        <v>45870</v>
      </c>
      <c r="AA14" s="40">
        <f t="shared" ca="1" si="8"/>
        <v>45931</v>
      </c>
      <c r="AB14" s="41">
        <f ca="1">_xlfn.IFNA(IF(V14="Sim",(IFERROR(SUM(OFFSET(AE14,1,,MATCH("Sim",V15:$V$66,0),1))-AC14,0)+IF(Y14-$W$7=1,SUM($AE$6:AE14)-$AF$7,0)+IF(SUM(Y15:$Y$66)=0,SUM(AE15:$AE$66)-AC14+Analítico!$BK$151)),0),0)</f>
        <v>0</v>
      </c>
      <c r="AC14" s="41">
        <f ca="1">IFERROR(IF(V14="Sim",IFERROR(SUM(OFFSET(AD14,1,,MATCH("Sim",T15:$T$66,0),1)),0)+IF(Y14-$W$7=1,SUM($AD$6:AD14),0)+IF(SUM(Y15:$Y$66)=0,SUM(AD15:$AD$66),0),0),0)</f>
        <v>0</v>
      </c>
      <c r="AD14" s="42">
        <f ca="1">SUM(OFFSET(Analítico!$B$10,0,A14,2,1))</f>
        <v>0</v>
      </c>
      <c r="AE14" s="42">
        <f ca="1">OFFSET(Analítico!$B$152,,A14)</f>
        <v>5065716.4771995535</v>
      </c>
      <c r="AF14" s="38"/>
      <c r="AG14" s="38"/>
      <c r="AH14" s="44">
        <f t="shared" si="9"/>
        <v>3</v>
      </c>
    </row>
    <row r="15" spans="1:34" ht="15">
      <c r="A15" s="28">
        <v>9</v>
      </c>
      <c r="B15" s="29">
        <f>IFERROR(IF(EDATE(B14,1)&gt;DATE(YEAR(Capa!$A$7),MONTH(Capa!$A$7),1),"",EDATE(B14,1)),"")</f>
        <v>45505</v>
      </c>
      <c r="C15" s="28">
        <f t="shared" si="15"/>
        <v>4</v>
      </c>
      <c r="D15" s="30">
        <f t="shared" si="16"/>
        <v>4</v>
      </c>
      <c r="E15" s="28"/>
      <c r="F15" s="31"/>
      <c r="G15" s="28"/>
      <c r="H15" s="28"/>
      <c r="I15" s="28"/>
      <c r="K15" s="33" t="str">
        <f t="shared" si="2"/>
        <v>9ª Avaliação</v>
      </c>
      <c r="L15" s="33" t="str">
        <f t="shared" ca="1" si="3"/>
        <v>nov/2025 a jan/2026</v>
      </c>
      <c r="M15" s="34">
        <f t="shared" ca="1" si="4"/>
        <v>46054</v>
      </c>
      <c r="O15" s="33" t="str">
        <f t="shared" ca="1" si="5"/>
        <v>9ª Parcela</v>
      </c>
      <c r="P15" s="35">
        <f t="shared" ca="1" si="6"/>
        <v>16412477.598708186</v>
      </c>
      <c r="Q15" s="36">
        <f t="shared" ca="1" si="7"/>
        <v>45962</v>
      </c>
      <c r="R15" s="37" t="str">
        <f t="shared" ca="1" si="10"/>
        <v>Realização da 8ª reunião da CA e aprovação da liberação de parcela pelo supervisor.</v>
      </c>
      <c r="T15" s="38" t="str">
        <f t="shared" si="11"/>
        <v>Sim</v>
      </c>
      <c r="U15" s="38">
        <f t="shared" si="12"/>
        <v>9</v>
      </c>
      <c r="V15" s="38" t="str">
        <f>Cronogramas!T15</f>
        <v>Sim</v>
      </c>
      <c r="W15" s="38"/>
      <c r="X15" s="38">
        <f>COUNTIF(V$7:$V15,"Sim")</f>
        <v>4</v>
      </c>
      <c r="Y15" s="38">
        <f t="shared" si="13"/>
        <v>4</v>
      </c>
      <c r="Z15" s="39">
        <f t="shared" ca="1" si="14"/>
        <v>45962</v>
      </c>
      <c r="AA15" s="40">
        <f t="shared" ca="1" si="8"/>
        <v>46023</v>
      </c>
      <c r="AB15" s="41">
        <f ca="1">_xlfn.IFNA(IF(V15="Sim",(IFERROR(SUM(OFFSET(AE15,1,,MATCH("Sim",V16:$V$66,0),1))-AC15,0)+IF(Y15-$W$7=1,SUM($AE$6:AE15)-$AF$7,0)+IF(SUM(Y16:$Y$66)=0,SUM(AE16:$AE$66)-AC15+Analítico!$BK$151)),0),0)</f>
        <v>15549785.411804855</v>
      </c>
      <c r="AC15" s="41">
        <f ca="1">IFERROR(IF(V15="Sim",IFERROR(SUM(OFFSET(AD15,1,,MATCH("Sim",T16:$T$66,0),1)),0)+IF(Y15-$W$7=1,SUM($AD$6:AD15),0)+IF(SUM(Y16:$Y$66)=0,SUM(AD16:$AD$66),0),0),0)</f>
        <v>0</v>
      </c>
      <c r="AD15" s="42">
        <f ca="1">SUM(OFFSET(Analítico!$B$10,0,A15,2,1))</f>
        <v>0</v>
      </c>
      <c r="AE15" s="42">
        <f ca="1">OFFSET(Analítico!$B$152,,A15)</f>
        <v>4953373.2771995543</v>
      </c>
      <c r="AF15" s="38"/>
      <c r="AG15" s="38"/>
      <c r="AH15" s="44">
        <f t="shared" si="9"/>
        <v>4</v>
      </c>
    </row>
    <row r="16" spans="1:34" ht="15">
      <c r="A16" s="28">
        <v>10</v>
      </c>
      <c r="B16" s="29">
        <f>IFERROR(IF(EDATE(B15,1)&gt;DATE(YEAR(Capa!$A$7),MONTH(Capa!$A$7),1),"",EDATE(B15,1)),"")</f>
        <v>45536</v>
      </c>
      <c r="C16" s="28">
        <f t="shared" si="15"/>
        <v>4</v>
      </c>
      <c r="D16" s="30">
        <f t="shared" si="16"/>
        <v>4</v>
      </c>
      <c r="E16" s="28"/>
      <c r="F16" s="31"/>
      <c r="G16" s="28"/>
      <c r="H16" s="28"/>
      <c r="I16" s="28"/>
      <c r="K16" s="33" t="str">
        <f t="shared" si="2"/>
        <v>10ª Avaliação</v>
      </c>
      <c r="L16" s="33" t="str">
        <f t="shared" ca="1" si="3"/>
        <v>fev/2026 a abr/2026</v>
      </c>
      <c r="M16" s="34">
        <f t="shared" ca="1" si="4"/>
        <v>46143</v>
      </c>
      <c r="O16" s="33" t="str">
        <f t="shared" ca="1" si="5"/>
        <v>10ª Parcela</v>
      </c>
      <c r="P16" s="35">
        <f t="shared" ca="1" si="6"/>
        <v>16204004.472656842</v>
      </c>
      <c r="Q16" s="36">
        <f t="shared" ca="1" si="7"/>
        <v>46054</v>
      </c>
      <c r="R16" s="37" t="str">
        <f t="shared" ca="1" si="10"/>
        <v>Realização da 9ª reunião da CA e aprovação da liberação de parcela pelo supervisor.</v>
      </c>
      <c r="T16" s="38" t="str">
        <f t="shared" si="11"/>
        <v>Não</v>
      </c>
      <c r="U16" s="38">
        <f t="shared" si="12"/>
        <v>10</v>
      </c>
      <c r="V16" s="38" t="str">
        <f>Cronogramas!T16</f>
        <v>Não</v>
      </c>
      <c r="W16" s="38"/>
      <c r="X16" s="38">
        <f>COUNTIF(V$7:$V16,"Sim")</f>
        <v>4</v>
      </c>
      <c r="Y16" s="38" t="str">
        <f t="shared" si="13"/>
        <v/>
      </c>
      <c r="Z16" s="39">
        <f t="shared" ca="1" si="14"/>
        <v>46054</v>
      </c>
      <c r="AA16" s="40">
        <f t="shared" ca="1" si="8"/>
        <v>46113</v>
      </c>
      <c r="AB16" s="41">
        <f ca="1">_xlfn.IFNA(IF(V16="Sim",(IFERROR(SUM(OFFSET(AE16,1,,MATCH("Sim",V17:$V$66,0),1))-AC16,0)+IF(Y16-$W$7=1,SUM($AE$6:AE16)-$AF$7,0)+IF(SUM(Y17:$Y$66)=0,SUM(AE17:$AE$66)-AC16+Analítico!$BK$151)),0),0)</f>
        <v>0</v>
      </c>
      <c r="AC16" s="41">
        <f ca="1">IFERROR(IF(V16="Sim",IFERROR(SUM(OFFSET(AD16,1,,MATCH("Sim",T17:$T$66,0),1)),0)+IF(Y16-$W$7=1,SUM($AD$6:AD16),0)+IF(SUM(Y17:$Y$66)=0,SUM(AD17:$AD$66),0),0),0)</f>
        <v>0</v>
      </c>
      <c r="AD16" s="42">
        <f ca="1">SUM(OFFSET(Analítico!$B$10,0,A16,2,1))</f>
        <v>0</v>
      </c>
      <c r="AE16" s="42">
        <f ca="1">OFFSET(Analítico!$B$152,,A16)</f>
        <v>4948373.2771995543</v>
      </c>
      <c r="AF16" s="38"/>
      <c r="AG16" s="38"/>
      <c r="AH16" s="44">
        <f t="shared" si="9"/>
        <v>4</v>
      </c>
    </row>
    <row r="17" spans="1:34" ht="15">
      <c r="A17" s="28">
        <v>11</v>
      </c>
      <c r="B17" s="29">
        <f>IFERROR(IF(EDATE(B16,1)&gt;DATE(YEAR(Capa!$A$7),MONTH(Capa!$A$7),1),"",EDATE(B16,1)),"")</f>
        <v>45566</v>
      </c>
      <c r="C17" s="28">
        <f t="shared" si="15"/>
        <v>4</v>
      </c>
      <c r="D17" s="30">
        <f t="shared" si="16"/>
        <v>4</v>
      </c>
      <c r="E17" s="28"/>
      <c r="F17" s="31"/>
      <c r="G17" s="28"/>
      <c r="H17" s="28"/>
      <c r="I17" s="28"/>
      <c r="K17" s="33" t="str">
        <f t="shared" si="2"/>
        <v>11ª Avaliação</v>
      </c>
      <c r="L17" s="33" t="str">
        <f t="shared" ca="1" si="3"/>
        <v>mai/2026 a jul/2026</v>
      </c>
      <c r="M17" s="34">
        <f t="shared" ca="1" si="4"/>
        <v>46235</v>
      </c>
      <c r="O17" s="33" t="str">
        <f t="shared" ca="1" si="5"/>
        <v>11ª Parcela</v>
      </c>
      <c r="P17" s="35">
        <f t="shared" ca="1" si="6"/>
        <v>16613463.320636939</v>
      </c>
      <c r="Q17" s="36">
        <f t="shared" ca="1" si="7"/>
        <v>46143</v>
      </c>
      <c r="R17" s="37" t="str">
        <f t="shared" ca="1" si="10"/>
        <v>Realização da 10ª reunião da CA e aprovação da liberação de parcela pelo supervisor.</v>
      </c>
      <c r="T17" s="38" t="str">
        <f t="shared" si="11"/>
        <v>Não</v>
      </c>
      <c r="U17" s="38">
        <f t="shared" si="12"/>
        <v>11</v>
      </c>
      <c r="V17" s="38" t="str">
        <f>Cronogramas!T17</f>
        <v>Não</v>
      </c>
      <c r="W17" s="38"/>
      <c r="X17" s="38">
        <f>COUNTIF(V$7:$V17,"Sim")</f>
        <v>4</v>
      </c>
      <c r="Y17" s="38" t="str">
        <f t="shared" si="13"/>
        <v/>
      </c>
      <c r="Z17" s="39">
        <f t="shared" ca="1" si="14"/>
        <v>46143</v>
      </c>
      <c r="AA17" s="40">
        <f t="shared" ca="1" si="8"/>
        <v>46204</v>
      </c>
      <c r="AB17" s="41">
        <f ca="1">_xlfn.IFNA(IF(V17="Sim",(IFERROR(SUM(OFFSET(AE17,1,,MATCH("Sim",V18:$V$66,0),1))-AC17,0)+IF(Y17-$W$7=1,SUM($AE$6:AE17)-$AF$7,0)+IF(SUM(Y18:$Y$66)=0,SUM(AE18:$AE$66)-AC17+Analítico!$BK$151)),0),0)</f>
        <v>0</v>
      </c>
      <c r="AC17" s="41">
        <f ca="1">IFERROR(IF(V17="Sim",IFERROR(SUM(OFFSET(AD17,1,,MATCH("Sim",T18:$T$66,0),1)),0)+IF(Y17-$W$7=1,SUM($AD$6:AD17),0)+IF(SUM(Y18:$Y$66)=0,SUM(AD18:$AD$66),0),0),0)</f>
        <v>0</v>
      </c>
      <c r="AD17" s="42">
        <f ca="1">SUM(OFFSET(Analítico!$B$10,0,A17,2,1))</f>
        <v>0</v>
      </c>
      <c r="AE17" s="42">
        <f ca="1">OFFSET(Analítico!$B$152,,A17)</f>
        <v>5439664.0661006728</v>
      </c>
      <c r="AF17" s="38"/>
      <c r="AG17" s="38"/>
      <c r="AH17" s="44">
        <f t="shared" si="9"/>
        <v>4</v>
      </c>
    </row>
    <row r="18" spans="1:34" ht="15">
      <c r="A18" s="28">
        <v>12</v>
      </c>
      <c r="B18" s="29">
        <f>IFERROR(IF(EDATE(B17,1)&gt;DATE(YEAR(Capa!$A$7),MONTH(Capa!$A$7),1),"",EDATE(B17,1)),"")</f>
        <v>45597</v>
      </c>
      <c r="C18" s="28">
        <f t="shared" si="15"/>
        <v>5</v>
      </c>
      <c r="D18" s="30">
        <f t="shared" si="16"/>
        <v>5</v>
      </c>
      <c r="E18" s="28"/>
      <c r="F18" s="31"/>
      <c r="G18" s="28"/>
      <c r="H18" s="28"/>
      <c r="I18" s="28"/>
      <c r="K18" s="33" t="str">
        <f t="shared" si="2"/>
        <v>12ª Avaliação</v>
      </c>
      <c r="L18" s="33" t="str">
        <f t="shared" ca="1" si="3"/>
        <v>ago/2026 a out/2026</v>
      </c>
      <c r="M18" s="34">
        <f t="shared" ca="1" si="4"/>
        <v>46327</v>
      </c>
      <c r="O18" s="33" t="str">
        <f t="shared" ca="1" si="5"/>
        <v>12ª Parcela</v>
      </c>
      <c r="P18" s="35">
        <f t="shared" ca="1" si="6"/>
        <v>16465002.450636938</v>
      </c>
      <c r="Q18" s="36">
        <f t="shared" ca="1" si="7"/>
        <v>46235</v>
      </c>
      <c r="R18" s="37" t="str">
        <f t="shared" ca="1" si="10"/>
        <v>Realização da 11ª reunião da CA e aprovação da liberação de parcela pelo supervisor.</v>
      </c>
      <c r="T18" s="38" t="str">
        <f t="shared" si="11"/>
        <v>Sim</v>
      </c>
      <c r="U18" s="38">
        <f t="shared" si="12"/>
        <v>12</v>
      </c>
      <c r="V18" s="38" t="str">
        <f>Cronogramas!T18</f>
        <v>Sim</v>
      </c>
      <c r="W18" s="38"/>
      <c r="X18" s="38">
        <f>COUNTIF(V$7:$V18,"Sim")</f>
        <v>5</v>
      </c>
      <c r="Y18" s="38">
        <f t="shared" si="13"/>
        <v>5</v>
      </c>
      <c r="Z18" s="39">
        <f t="shared" ca="1" si="14"/>
        <v>46235</v>
      </c>
      <c r="AA18" s="40">
        <f t="shared" ca="1" si="8"/>
        <v>46296</v>
      </c>
      <c r="AB18" s="41">
        <f ca="1">_xlfn.IFNA(IF(V18="Sim",(IFERROR(SUM(OFFSET(AE18,1,,MATCH("Sim",V19:$V$66,0),1))-AC18,0)+IF(Y18-$W$7=1,SUM($AE$6:AE18)-$AF$7,0)+IF(SUM(Y19:$Y$66)=0,SUM(AE19:$AE$66)-AC18+Analítico!$BK$151)),0),0)</f>
        <v>16273681.175769405</v>
      </c>
      <c r="AC18" s="41">
        <f ca="1">IFERROR(IF(V18="Sim",IFERROR(SUM(OFFSET(AD18,1,,MATCH("Sim",T19:$T$66,0),1)),0)+IF(Y18-$W$7=1,SUM($AD$6:AD18),0)+IF(SUM(Y19:$Y$66)=0,SUM(AD19:$AD$66),0),0),0)</f>
        <v>0</v>
      </c>
      <c r="AD18" s="42">
        <f ca="1">SUM(OFFSET(Analítico!$B$10,0,A18,2,1))</f>
        <v>0</v>
      </c>
      <c r="AE18" s="42">
        <f ca="1">OFFSET(Analítico!$B$152,,A18)</f>
        <v>5161748.0685046269</v>
      </c>
      <c r="AF18" s="38"/>
      <c r="AG18" s="38"/>
      <c r="AH18" s="44">
        <f t="shared" si="9"/>
        <v>5</v>
      </c>
    </row>
    <row r="19" spans="1:34" ht="15">
      <c r="A19" s="28">
        <v>13</v>
      </c>
      <c r="B19" s="29">
        <f>IFERROR(IF(EDATE(B18,1)&gt;DATE(YEAR(Capa!$A$7),MONTH(Capa!$A$7),1),"",EDATE(B18,1)),"")</f>
        <v>45627</v>
      </c>
      <c r="C19" s="28">
        <f t="shared" si="15"/>
        <v>5</v>
      </c>
      <c r="D19" s="30">
        <f t="shared" si="16"/>
        <v>5</v>
      </c>
      <c r="E19" s="28"/>
      <c r="F19" s="31"/>
      <c r="G19" s="28"/>
      <c r="H19" s="28"/>
      <c r="I19" s="28"/>
      <c r="K19" s="33" t="str">
        <f t="shared" si="2"/>
        <v>13ª Avaliação</v>
      </c>
      <c r="L19" s="33" t="str">
        <f t="shared" ca="1" si="3"/>
        <v>nov/2026 a jan/2027</v>
      </c>
      <c r="M19" s="34">
        <f t="shared" ca="1" si="4"/>
        <v>46419</v>
      </c>
      <c r="O19" s="33" t="str">
        <f t="shared" ca="1" si="5"/>
        <v>13ª Parcela</v>
      </c>
      <c r="P19" s="35">
        <f t="shared" ca="1" si="6"/>
        <v>17160186.583105743</v>
      </c>
      <c r="Q19" s="36">
        <f t="shared" ca="1" si="7"/>
        <v>46327</v>
      </c>
      <c r="R19" s="37" t="str">
        <f t="shared" ca="1" si="10"/>
        <v>Realização da 12ª reunião da CA e aprovação da liberação de parcela pelo supervisor.</v>
      </c>
      <c r="T19" s="38" t="str">
        <f t="shared" si="11"/>
        <v>Não</v>
      </c>
      <c r="U19" s="38">
        <f t="shared" si="12"/>
        <v>13</v>
      </c>
      <c r="V19" s="38" t="str">
        <f>Cronogramas!T19</f>
        <v>Não</v>
      </c>
      <c r="W19" s="38"/>
      <c r="X19" s="38">
        <f>COUNTIF(V$7:$V19,"Sim")</f>
        <v>5</v>
      </c>
      <c r="Y19" s="38" t="str">
        <f t="shared" si="13"/>
        <v/>
      </c>
      <c r="Z19" s="39">
        <f t="shared" ca="1" si="14"/>
        <v>46327</v>
      </c>
      <c r="AA19" s="40">
        <f t="shared" ca="1" si="8"/>
        <v>46388</v>
      </c>
      <c r="AB19" s="41">
        <f ca="1">_xlfn.IFNA(IF(V19="Sim",(IFERROR(SUM(OFFSET(AE19,1,,MATCH("Sim",V20:$V$66,0),1))-AC19,0)+IF(Y19-$W$7=1,SUM($AE$6:AE19)-$AF$7,0)+IF(SUM(Y20:$Y$66)=0,SUM(AE20:$AE$66)-AC19+Analítico!$BK$151)),0),0)</f>
        <v>0</v>
      </c>
      <c r="AC19" s="41">
        <f ca="1">IFERROR(IF(V19="Sim",IFERROR(SUM(OFFSET(AD19,1,,MATCH("Sim",T20:$T$66,0),1)),0)+IF(Y19-$W$7=1,SUM($AD$6:AD19),0)+IF(SUM(Y20:$Y$66)=0,SUM(AD20:$AD$66),0),0),0)</f>
        <v>0</v>
      </c>
      <c r="AD19" s="42">
        <f ca="1">SUM(OFFSET(Analítico!$B$10,0,A19,2,1))</f>
        <v>0</v>
      </c>
      <c r="AE19" s="42">
        <f ca="1">OFFSET(Analítico!$B$152,,A19)</f>
        <v>5074537.0085046254</v>
      </c>
      <c r="AF19" s="38"/>
      <c r="AG19" s="38"/>
      <c r="AH19" s="44">
        <f t="shared" si="9"/>
        <v>5</v>
      </c>
    </row>
    <row r="20" spans="1:34" ht="15">
      <c r="A20" s="28">
        <v>14</v>
      </c>
      <c r="B20" s="29">
        <f>IFERROR(IF(EDATE(B19,1)&gt;DATE(YEAR(Capa!$A$7),MONTH(Capa!$A$7),1),"",EDATE(B19,1)),"")</f>
        <v>45658</v>
      </c>
      <c r="C20" s="28">
        <f t="shared" si="15"/>
        <v>5</v>
      </c>
      <c r="D20" s="30">
        <f t="shared" si="16"/>
        <v>5</v>
      </c>
      <c r="E20" s="28"/>
      <c r="F20" s="31"/>
      <c r="G20" s="28"/>
      <c r="H20" s="28"/>
      <c r="I20" s="28"/>
      <c r="K20" s="33" t="str">
        <f t="shared" si="2"/>
        <v>14ª Avaliação</v>
      </c>
      <c r="L20" s="33" t="str">
        <f t="shared" ca="1" si="3"/>
        <v>fev/2027 a abr/2027</v>
      </c>
      <c r="M20" s="34">
        <f t="shared" ca="1" si="4"/>
        <v>46508</v>
      </c>
      <c r="O20" s="33" t="str">
        <f t="shared" ca="1" si="5"/>
        <v>14ª Parcela</v>
      </c>
      <c r="P20" s="35">
        <f t="shared" ca="1" si="6"/>
        <v>17269416.781711999</v>
      </c>
      <c r="Q20" s="36">
        <f t="shared" ca="1" si="7"/>
        <v>46419</v>
      </c>
      <c r="R20" s="37" t="str">
        <f t="shared" ca="1" si="10"/>
        <v>Realização da 13ª reunião da CA e aprovação da liberação de parcela pelo supervisor.</v>
      </c>
      <c r="T20" s="38" t="str">
        <f t="shared" si="11"/>
        <v>Não</v>
      </c>
      <c r="U20" s="38">
        <f t="shared" si="12"/>
        <v>14</v>
      </c>
      <c r="V20" s="38" t="str">
        <f>Cronogramas!T20</f>
        <v>Não</v>
      </c>
      <c r="W20" s="38"/>
      <c r="X20" s="38">
        <f>COUNTIF(V$7:$V20,"Sim")</f>
        <v>5</v>
      </c>
      <c r="Y20" s="38" t="str">
        <f t="shared" si="13"/>
        <v/>
      </c>
      <c r="Z20" s="39">
        <f t="shared" ca="1" si="14"/>
        <v>46419</v>
      </c>
      <c r="AA20" s="40">
        <f t="shared" ca="1" si="8"/>
        <v>46478</v>
      </c>
      <c r="AB20" s="41">
        <f ca="1">_xlfn.IFNA(IF(V20="Sim",(IFERROR(SUM(OFFSET(AE20,1,,MATCH("Sim",V21:$V$66,0),1))-AC20,0)+IF(Y20-$W$7=1,SUM($AE$6:AE20)-$AF$7,0)+IF(SUM(Y21:$Y$66)=0,SUM(AE21:$AE$66)-AC20+Analítico!$BK$151)),0),0)</f>
        <v>0</v>
      </c>
      <c r="AC20" s="41">
        <f ca="1">IFERROR(IF(V20="Sim",IFERROR(SUM(OFFSET(AD20,1,,MATCH("Sim",T21:$T$66,0),1)),0)+IF(Y20-$W$7=1,SUM($AD$6:AD20),0)+IF(SUM(Y21:$Y$66)=0,SUM(AD21:$AD$66),0),0),0)</f>
        <v>0</v>
      </c>
      <c r="AD20" s="42">
        <f ca="1">SUM(OFFSET(Analítico!$B$10,0,A20,2,1))</f>
        <v>0</v>
      </c>
      <c r="AE20" s="42">
        <f ca="1">OFFSET(Analítico!$B$152,,A20)</f>
        <v>5176215.1120724147</v>
      </c>
      <c r="AF20" s="38"/>
      <c r="AG20" s="38"/>
      <c r="AH20" s="44">
        <f t="shared" si="9"/>
        <v>5</v>
      </c>
    </row>
    <row r="21" spans="1:34" ht="15">
      <c r="A21" s="28">
        <v>15</v>
      </c>
      <c r="B21" s="29">
        <f>IFERROR(IF(EDATE(B20,1)&gt;DATE(YEAR(Capa!$A$7),MONTH(Capa!$A$7),1),"",EDATE(B20,1)),"")</f>
        <v>45689</v>
      </c>
      <c r="C21" s="28">
        <f t="shared" si="15"/>
        <v>6</v>
      </c>
      <c r="D21" s="30">
        <f t="shared" si="16"/>
        <v>6</v>
      </c>
      <c r="E21" s="28"/>
      <c r="F21" s="31"/>
      <c r="G21" s="28"/>
      <c r="H21" s="28"/>
      <c r="I21" s="28"/>
      <c r="K21" s="33" t="str">
        <f t="shared" si="2"/>
        <v>15ª Avaliação</v>
      </c>
      <c r="L21" s="33" t="str">
        <f t="shared" ca="1" si="3"/>
        <v>mai/2027 a jul/2027</v>
      </c>
      <c r="M21" s="34">
        <f t="shared" ca="1" si="4"/>
        <v>46600</v>
      </c>
      <c r="O21" s="33" t="str">
        <f t="shared" ca="1" si="5"/>
        <v>15ª Parcela</v>
      </c>
      <c r="P21" s="35">
        <f t="shared" ca="1" si="6"/>
        <v>17642611.953862131</v>
      </c>
      <c r="Q21" s="36">
        <f t="shared" ca="1" si="7"/>
        <v>46508</v>
      </c>
      <c r="R21" s="37" t="str">
        <f t="shared" ca="1" si="10"/>
        <v>Realização da 14ª reunião da CA e aprovação da liberação de parcela pelo supervisor.</v>
      </c>
      <c r="T21" s="38" t="str">
        <f t="shared" si="11"/>
        <v>Sim</v>
      </c>
      <c r="U21" s="38">
        <f t="shared" si="12"/>
        <v>15</v>
      </c>
      <c r="V21" s="38" t="str">
        <f>Cronogramas!T21</f>
        <v>Sim</v>
      </c>
      <c r="W21" s="38"/>
      <c r="X21" s="38">
        <f>COUNTIF(V$7:$V21,"Sim")</f>
        <v>6</v>
      </c>
      <c r="Y21" s="38">
        <f t="shared" si="13"/>
        <v>6</v>
      </c>
      <c r="Z21" s="39">
        <f t="shared" ca="1" si="14"/>
        <v>46508</v>
      </c>
      <c r="AA21" s="40">
        <f t="shared" ca="1" si="8"/>
        <v>46569</v>
      </c>
      <c r="AB21" s="41">
        <f ca="1">_xlfn.IFNA(IF(V21="Sim",(IFERROR(SUM(OFFSET(AE21,1,,MATCH("Sim",V22:$V$66,0),1))-AC21,0)+IF(Y21-$W$7=1,SUM($AE$6:AE21)-$AF$7,0)+IF(SUM(Y22:$Y$66)=0,SUM(AE22:$AE$66)-AC21+Analítico!$BK$151)),0),0)</f>
        <v>17710014.566190328</v>
      </c>
      <c r="AC21" s="41">
        <f ca="1">IFERROR(IF(V21="Sim",IFERROR(SUM(OFFSET(AD21,1,,MATCH("Sim",T22:$T$66,0),1)),0)+IF(Y21-$W$7=1,SUM($AD$6:AD21),0)+IF(SUM(Y22:$Y$66)=0,SUM(AD22:$AD$66),0),0),0)</f>
        <v>0</v>
      </c>
      <c r="AD21" s="42">
        <f ca="1">SUM(OFFSET(Analítico!$B$10,0,A21,2,1))</f>
        <v>0</v>
      </c>
      <c r="AE21" s="42">
        <f ca="1">OFFSET(Analítico!$B$152,,A21)</f>
        <v>6022929.0551923644</v>
      </c>
      <c r="AF21" s="38"/>
      <c r="AG21" s="38"/>
      <c r="AH21" s="44">
        <f t="shared" si="9"/>
        <v>6</v>
      </c>
    </row>
    <row r="22" spans="1:34" ht="15">
      <c r="A22" s="28">
        <v>16</v>
      </c>
      <c r="B22" s="29">
        <f>IFERROR(IF(EDATE(B21,1)&gt;DATE(YEAR(Capa!$A$7),MONTH(Capa!$A$7),1),"",EDATE(B21,1)),"")</f>
        <v>45717</v>
      </c>
      <c r="C22" s="28">
        <f t="shared" si="15"/>
        <v>6</v>
      </c>
      <c r="D22" s="30">
        <f t="shared" si="16"/>
        <v>6</v>
      </c>
      <c r="E22" s="28"/>
      <c r="F22" s="31"/>
      <c r="G22" s="28"/>
      <c r="H22" s="28"/>
      <c r="I22" s="28"/>
      <c r="K22" s="33" t="str">
        <f t="shared" si="2"/>
        <v>16ª Avaliação</v>
      </c>
      <c r="L22" s="33" t="str">
        <f t="shared" ca="1" si="3"/>
        <v>ago/2027 a out/2027</v>
      </c>
      <c r="M22" s="34">
        <f t="shared" ca="1" si="4"/>
        <v>46692</v>
      </c>
      <c r="O22" s="33" t="str">
        <f t="shared" ca="1" si="5"/>
        <v>16ª Parcela</v>
      </c>
      <c r="P22" s="35">
        <f t="shared" ca="1" si="6"/>
        <v>17488607.573862132</v>
      </c>
      <c r="Q22" s="36">
        <f t="shared" ca="1" si="7"/>
        <v>46600</v>
      </c>
      <c r="R22" s="37" t="str">
        <f t="shared" ca="1" si="10"/>
        <v>Realização da 15ª reunião da CA e aprovação da liberação de parcela pelo supervisor.</v>
      </c>
      <c r="T22" s="38" t="str">
        <f t="shared" si="11"/>
        <v>Não</v>
      </c>
      <c r="U22" s="38">
        <f t="shared" si="12"/>
        <v>16</v>
      </c>
      <c r="V22" s="38" t="str">
        <f>Cronogramas!T22</f>
        <v>Não</v>
      </c>
      <c r="W22" s="38"/>
      <c r="X22" s="38">
        <f>COUNTIF(V$7:$V22,"Sim")</f>
        <v>6</v>
      </c>
      <c r="Y22" s="38" t="str">
        <f t="shared" si="13"/>
        <v/>
      </c>
      <c r="Z22" s="39">
        <f t="shared" ca="1" si="14"/>
        <v>46600</v>
      </c>
      <c r="AA22" s="40">
        <f t="shared" ca="1" si="8"/>
        <v>46661</v>
      </c>
      <c r="AB22" s="41">
        <f ca="1">_xlfn.IFNA(IF(V22="Sim",(IFERROR(SUM(OFFSET(AE22,1,,MATCH("Sim",V23:$V$66,0),1))-AC22,0)+IF(Y22-$W$7=1,SUM($AE$6:AE22)-$AF$7,0)+IF(SUM(Y23:$Y$66)=0,SUM(AE23:$AE$66)-AC22+Analítico!$BK$151)),0),0)</f>
        <v>0</v>
      </c>
      <c r="AC22" s="41">
        <f ca="1">IFERROR(IF(V22="Sim",IFERROR(SUM(OFFSET(AD22,1,,MATCH("Sim",T23:$T$66,0),1)),0)+IF(Y22-$W$7=1,SUM($AD$6:AD22),0)+IF(SUM(Y23:$Y$66)=0,SUM(AD23:$AD$66),0),0),0)</f>
        <v>0</v>
      </c>
      <c r="AD22" s="42">
        <f ca="1">SUM(OFFSET(Analítico!$B$10,0,A22,2,1))</f>
        <v>0</v>
      </c>
      <c r="AE22" s="42">
        <f ca="1">OFFSET(Analítico!$B$152,,A22)</f>
        <v>5520096.7651923643</v>
      </c>
      <c r="AF22" s="38"/>
      <c r="AG22" s="38"/>
      <c r="AH22" s="44">
        <f t="shared" si="9"/>
        <v>6</v>
      </c>
    </row>
    <row r="23" spans="1:34" ht="15">
      <c r="A23" s="28">
        <v>17</v>
      </c>
      <c r="B23" s="29">
        <f>IFERROR(IF(EDATE(B22,1)&gt;DATE(YEAR(Capa!$A$7),MONTH(Capa!$A$7),1),"",EDATE(B22,1)),"")</f>
        <v>45748</v>
      </c>
      <c r="C23" s="28">
        <f t="shared" si="15"/>
        <v>6</v>
      </c>
      <c r="D23" s="30">
        <f t="shared" si="16"/>
        <v>6</v>
      </c>
      <c r="E23" s="28"/>
      <c r="F23" s="31"/>
      <c r="G23" s="28"/>
      <c r="H23" s="28"/>
      <c r="I23" s="28"/>
      <c r="K23" s="33" t="str">
        <f t="shared" si="2"/>
        <v>17ª Avaliação</v>
      </c>
      <c r="L23" s="33" t="str">
        <f t="shared" ca="1" si="3"/>
        <v>nov/2027 a jan/2028</v>
      </c>
      <c r="M23" s="34">
        <f t="shared" ca="1" si="4"/>
        <v>46784</v>
      </c>
      <c r="O23" s="33" t="str">
        <f t="shared" ca="1" si="5"/>
        <v>17ª Parcela</v>
      </c>
      <c r="P23" s="35">
        <f t="shared" ca="1" si="6"/>
        <v>17948735.515779123</v>
      </c>
      <c r="Q23" s="36">
        <f t="shared" ca="1" si="7"/>
        <v>46692</v>
      </c>
      <c r="R23" s="37" t="str">
        <f t="shared" ca="1" si="10"/>
        <v>Realização da 16ª reunião da CA e aprovação da liberação de parcela pelo supervisor.</v>
      </c>
      <c r="T23" s="38" t="str">
        <f t="shared" si="11"/>
        <v>Não</v>
      </c>
      <c r="U23" s="38">
        <f t="shared" si="12"/>
        <v>17</v>
      </c>
      <c r="V23" s="38" t="str">
        <f>Cronogramas!T23</f>
        <v>Não</v>
      </c>
      <c r="W23" s="38"/>
      <c r="X23" s="38">
        <f>COUNTIF(V$7:$V23,"Sim")</f>
        <v>6</v>
      </c>
      <c r="Y23" s="38" t="str">
        <f t="shared" si="13"/>
        <v/>
      </c>
      <c r="Z23" s="39">
        <f t="shared" ca="1" si="14"/>
        <v>46692</v>
      </c>
      <c r="AA23" s="40">
        <f t="shared" ca="1" si="8"/>
        <v>46753</v>
      </c>
      <c r="AB23" s="41">
        <f ca="1">_xlfn.IFNA(IF(V23="Sim",(IFERROR(SUM(OFFSET(AE23,1,,MATCH("Sim",V24:$V$66,0),1))-AC23,0)+IF(Y23-$W$7=1,SUM($AE$6:AE23)-$AF$7,0)+IF(SUM(Y24:$Y$66)=0,SUM(AE24:$AE$66)-AC23+Analítico!$BK$151)),0),0)</f>
        <v>0</v>
      </c>
      <c r="AC23" s="41">
        <f ca="1">IFERROR(IF(V23="Sim",IFERROR(SUM(OFFSET(AD23,1,,MATCH("Sim",T24:$T$66,0),1)),0)+IF(Y23-$W$7=1,SUM($AD$6:AD23),0)+IF(SUM(Y24:$Y$66)=0,SUM(AD24:$AD$66),0),0),0)</f>
        <v>0</v>
      </c>
      <c r="AD23" s="42">
        <f ca="1">SUM(OFFSET(Analítico!$B$10,0,A23,2,1))</f>
        <v>0</v>
      </c>
      <c r="AE23" s="42">
        <f ca="1">OFFSET(Analítico!$B$152,,A23)</f>
        <v>6703028.4851923641</v>
      </c>
      <c r="AF23" s="38"/>
      <c r="AG23" s="38"/>
      <c r="AH23" s="44">
        <f t="shared" si="9"/>
        <v>6</v>
      </c>
    </row>
    <row r="24" spans="1:34" ht="15">
      <c r="A24" s="28">
        <v>18</v>
      </c>
      <c r="B24" s="29">
        <f>IFERROR(IF(EDATE(B23,1)&gt;DATE(YEAR(Capa!$A$7),MONTH(Capa!$A$7),1),"",EDATE(B23,1)),"")</f>
        <v>45778</v>
      </c>
      <c r="C24" s="28">
        <f t="shared" si="15"/>
        <v>7</v>
      </c>
      <c r="D24" s="30">
        <f t="shared" si="16"/>
        <v>7</v>
      </c>
      <c r="E24" s="28"/>
      <c r="F24" s="28"/>
      <c r="G24" s="28"/>
      <c r="H24" s="28"/>
      <c r="I24" s="28"/>
      <c r="K24" s="33" t="str">
        <f t="shared" si="2"/>
        <v>18ª Avaliação</v>
      </c>
      <c r="L24" s="33" t="str">
        <f t="shared" ca="1" si="3"/>
        <v>fev/2028 a abr/2028</v>
      </c>
      <c r="M24" s="34">
        <f t="shared" ca="1" si="4"/>
        <v>46874</v>
      </c>
      <c r="O24" s="33" t="str">
        <f t="shared" ca="1" si="5"/>
        <v>18ª Parcela</v>
      </c>
      <c r="P24" s="35">
        <f t="shared" ca="1" si="6"/>
        <v>18135850.032463986</v>
      </c>
      <c r="Q24" s="36">
        <f t="shared" ca="1" si="7"/>
        <v>46784</v>
      </c>
      <c r="R24" s="37" t="str">
        <f t="shared" ca="1" si="10"/>
        <v>Realização da 17ª reunião da CA e aprovação da liberação de parcela pelo supervisor.</v>
      </c>
      <c r="T24" s="38" t="str">
        <f t="shared" si="11"/>
        <v>Sim</v>
      </c>
      <c r="U24" s="38">
        <f t="shared" si="12"/>
        <v>18</v>
      </c>
      <c r="V24" s="38" t="str">
        <f>Cronogramas!T24</f>
        <v>Sim</v>
      </c>
      <c r="W24" s="38"/>
      <c r="X24" s="38">
        <f>COUNTIF(V$7:$V24,"Sim")</f>
        <v>7</v>
      </c>
      <c r="Y24" s="38">
        <f t="shared" si="13"/>
        <v>7</v>
      </c>
      <c r="Z24" s="39">
        <f t="shared" ca="1" si="14"/>
        <v>46784</v>
      </c>
      <c r="AA24" s="40">
        <f t="shared" ca="1" si="8"/>
        <v>46844</v>
      </c>
      <c r="AB24" s="41">
        <f ca="1">_xlfn.IFNA(IF(V24="Sim",(IFERROR(SUM(OFFSET(AE24,1,,MATCH("Sim",V25:$V$66,0),1))-AC24,0)+IF(Y24-$W$7=1,SUM($AE$6:AE24)-$AF$7,0)+IF(SUM(Y25:$Y$66)=0,SUM(AE25:$AE$66)-AC24+Analítico!$BK$151)),0),0)</f>
        <v>16587248.297416795</v>
      </c>
      <c r="AC24" s="41">
        <f ca="1">IFERROR(IF(V24="Sim",IFERROR(SUM(OFFSET(AD24,1,,MATCH("Sim",T25:$T$66,0),1)),0)+IF(Y24-$W$7=1,SUM($AD$6:AD24),0)+IF(SUM(Y25:$Y$66)=0,SUM(AD25:$AD$66),0),0),0)</f>
        <v>0</v>
      </c>
      <c r="AD24" s="41">
        <f ca="1">SUM(OFFSET(Analítico!$B$10,0,A24,2,1))</f>
        <v>0</v>
      </c>
      <c r="AE24" s="41">
        <f ca="1">OFFSET(Analítico!$B$152,,A24)</f>
        <v>5486889.3158055982</v>
      </c>
      <c r="AH24" s="44">
        <f t="shared" si="9"/>
        <v>7</v>
      </c>
    </row>
    <row r="25" spans="1:34" ht="15">
      <c r="A25" s="28">
        <v>19</v>
      </c>
      <c r="B25" s="29">
        <f>IFERROR(IF(EDATE(B24,1)&gt;DATE(YEAR(Capa!$A$7),MONTH(Capa!$A$7),1),"",EDATE(B24,1)),"")</f>
        <v>45809</v>
      </c>
      <c r="C25" s="28">
        <f t="shared" si="15"/>
        <v>7</v>
      </c>
      <c r="D25" s="30">
        <f t="shared" si="16"/>
        <v>7</v>
      </c>
      <c r="E25" s="28"/>
      <c r="F25" s="28"/>
      <c r="G25" s="28"/>
      <c r="H25" s="28"/>
      <c r="I25" s="28"/>
      <c r="K25" s="33" t="str">
        <f t="shared" si="2"/>
        <v>19ª Avaliação</v>
      </c>
      <c r="L25" s="33" t="str">
        <f t="shared" ca="1" si="3"/>
        <v>mai/2028 a jul/2028</v>
      </c>
      <c r="M25" s="34">
        <f t="shared" ca="1" si="4"/>
        <v>46966</v>
      </c>
      <c r="O25" s="33" t="str">
        <f t="shared" ca="1" si="5"/>
        <v>19ª Parcela</v>
      </c>
      <c r="P25" s="35">
        <f t="shared" ca="1" si="6"/>
        <v>18371573.679667689</v>
      </c>
      <c r="Q25" s="36">
        <f t="shared" ca="1" si="7"/>
        <v>46874</v>
      </c>
      <c r="R25" s="37" t="str">
        <f t="shared" ca="1" si="10"/>
        <v>Realização da 18ª reunião da CA e aprovação da liberação de parcela pelo supervisor.</v>
      </c>
      <c r="T25" s="38" t="str">
        <f t="shared" si="11"/>
        <v>Não</v>
      </c>
      <c r="U25" s="38">
        <f t="shared" si="12"/>
        <v>19</v>
      </c>
      <c r="V25" s="38" t="str">
        <f>Cronogramas!T25</f>
        <v>Não</v>
      </c>
      <c r="W25" s="38"/>
      <c r="X25" s="38">
        <f>COUNTIF(V$7:$V25,"Sim")</f>
        <v>7</v>
      </c>
      <c r="Y25" s="38" t="str">
        <f t="shared" si="13"/>
        <v/>
      </c>
      <c r="Z25" s="39">
        <f t="shared" ca="1" si="14"/>
        <v>46874</v>
      </c>
      <c r="AA25" s="40">
        <f t="shared" ca="1" si="8"/>
        <v>46935</v>
      </c>
      <c r="AB25" s="41">
        <f ca="1">_xlfn.IFNA(IF(V25="Sim",(IFERROR(SUM(OFFSET(AE25,1,,MATCH("Sim",V26:$V$66,0),1))-AC25,0)+IF(Y25-$W$7=1,SUM($AE$6:AE25)-$AF$7,0)+IF(SUM(Y26:$Y$66)=0,SUM(AE26:$AE$66)-AC25+Analítico!$BK$151)),0),0)</f>
        <v>0</v>
      </c>
      <c r="AC25" s="41">
        <f ca="1">IFERROR(IF(V25="Sim",IFERROR(SUM(OFFSET(AD25,1,,MATCH("Sim",T26:$T$66,0),1)),0)+IF(Y25-$W$7=1,SUM($AD$6:AD25),0)+IF(SUM(Y26:$Y$66)=0,SUM(AD26:$AD$66),0),0),0)</f>
        <v>0</v>
      </c>
      <c r="AD25" s="41">
        <f ca="1">SUM(OFFSET(Analítico!$B$10,0,A25,2,1))</f>
        <v>0</v>
      </c>
      <c r="AE25" s="41">
        <f ca="1">OFFSET(Analítico!$B$152,,A25)</f>
        <v>5647823.2358055981</v>
      </c>
      <c r="AH25" s="44">
        <f t="shared" si="9"/>
        <v>7</v>
      </c>
    </row>
    <row r="26" spans="1:34" ht="15">
      <c r="A26" s="28">
        <v>20</v>
      </c>
      <c r="B26" s="29">
        <f>IFERROR(IF(EDATE(B25,1)&gt;DATE(YEAR(Capa!$A$7),MONTH(Capa!$A$7),1),"",EDATE(B25,1)),"")</f>
        <v>45839</v>
      </c>
      <c r="C26" s="28">
        <f t="shared" si="15"/>
        <v>7</v>
      </c>
      <c r="D26" s="30">
        <f t="shared" si="16"/>
        <v>7</v>
      </c>
      <c r="E26" s="28"/>
      <c r="F26" s="28"/>
      <c r="G26" s="28"/>
      <c r="H26" s="28"/>
      <c r="I26" s="28"/>
      <c r="K26" s="33" t="str">
        <f t="shared" si="2"/>
        <v>20ª Avaliação</v>
      </c>
      <c r="L26" s="33" t="str">
        <f t="shared" ca="1" si="3"/>
        <v>ago/2028 a out/2028</v>
      </c>
      <c r="M26" s="34">
        <f t="shared" ca="1" si="4"/>
        <v>47058</v>
      </c>
      <c r="O26" s="33" t="str">
        <f t="shared" ca="1" si="5"/>
        <v>20ª Parcela</v>
      </c>
      <c r="P26" s="35">
        <f t="shared" ca="1" si="6"/>
        <v>18332705.199667688</v>
      </c>
      <c r="Q26" s="36">
        <f t="shared" ca="1" si="7"/>
        <v>46966</v>
      </c>
      <c r="R26" s="37" t="str">
        <f t="shared" ca="1" si="10"/>
        <v>Realização da 19ª reunião da CA e aprovação da liberação de parcela pelo supervisor.</v>
      </c>
      <c r="T26" s="38" t="str">
        <f t="shared" si="11"/>
        <v>Não</v>
      </c>
      <c r="U26" s="38">
        <f t="shared" si="12"/>
        <v>20</v>
      </c>
      <c r="V26" s="38" t="str">
        <f>Cronogramas!T26</f>
        <v>Não</v>
      </c>
      <c r="W26" s="38"/>
      <c r="X26" s="38">
        <f>COUNTIF(V$7:$V26,"Sim")</f>
        <v>7</v>
      </c>
      <c r="Y26" s="38" t="str">
        <f t="shared" si="13"/>
        <v/>
      </c>
      <c r="Z26" s="39">
        <f t="shared" ca="1" si="14"/>
        <v>46966</v>
      </c>
      <c r="AA26" s="40">
        <f t="shared" ca="1" si="8"/>
        <v>47027</v>
      </c>
      <c r="AB26" s="41">
        <f ca="1">_xlfn.IFNA(IF(V26="Sim",(IFERROR(SUM(OFFSET(AE26,1,,MATCH("Sim",V27:$V$66,0),1))-AC26,0)+IF(Y26-$W$7=1,SUM($AE$6:AE26)-$AF$7,0)+IF(SUM(Y27:$Y$66)=0,SUM(AE27:$AE$66)-AC26+Analítico!$BK$151)),0),0)</f>
        <v>0</v>
      </c>
      <c r="AC26" s="41">
        <f ca="1">IFERROR(IF(V26="Sim",IFERROR(SUM(OFFSET(AD26,1,,MATCH("Sim",T27:$T$66,0),1)),0)+IF(Y26-$W$7=1,SUM($AD$6:AD26),0)+IF(SUM(Y27:$Y$66)=0,SUM(AD27:$AD$66),0),0),0)</f>
        <v>0</v>
      </c>
      <c r="AD26" s="41">
        <f ca="1">SUM(OFFSET(Analítico!$B$10,0,A26,2,1))</f>
        <v>0</v>
      </c>
      <c r="AE26" s="41">
        <f ca="1">OFFSET(Analítico!$B$152,,A26)</f>
        <v>5478879.5958055975</v>
      </c>
      <c r="AH26" s="44">
        <f t="shared" si="9"/>
        <v>7</v>
      </c>
    </row>
    <row r="27" spans="1:34" ht="15">
      <c r="A27" s="28">
        <v>21</v>
      </c>
      <c r="B27" s="29">
        <f>IFERROR(IF(EDATE(B26,1)&gt;DATE(YEAR(Capa!$A$7),MONTH(Capa!$A$7),1),"",EDATE(B26,1)),"")</f>
        <v>45870</v>
      </c>
      <c r="C27" s="28">
        <f t="shared" si="15"/>
        <v>8</v>
      </c>
      <c r="D27" s="30">
        <f t="shared" si="16"/>
        <v>8</v>
      </c>
      <c r="E27" s="28"/>
      <c r="F27" s="28"/>
      <c r="G27" s="28"/>
      <c r="H27" s="28"/>
      <c r="I27" s="28"/>
      <c r="K27" s="33" t="str">
        <f t="shared" si="2"/>
        <v>21ª Avaliação</v>
      </c>
      <c r="L27" s="33" t="str">
        <f t="shared" ca="1" si="3"/>
        <v>nov/2028 a nov/2028</v>
      </c>
      <c r="M27" s="34">
        <f t="shared" ca="1" si="4"/>
        <v>47088</v>
      </c>
      <c r="O27" s="33" t="str">
        <f t="shared" ca="1" si="5"/>
        <v/>
      </c>
      <c r="P27" s="35" t="str">
        <f t="shared" ca="1" si="6"/>
        <v/>
      </c>
      <c r="Q27" s="36" t="str">
        <f t="shared" ca="1" si="7"/>
        <v/>
      </c>
      <c r="R27" s="37" t="str">
        <f t="shared" ca="1" si="10"/>
        <v/>
      </c>
      <c r="T27" s="38" t="str">
        <f t="shared" si="11"/>
        <v>Sim</v>
      </c>
      <c r="U27" s="38">
        <f t="shared" si="12"/>
        <v>21</v>
      </c>
      <c r="V27" s="38" t="str">
        <f>Cronogramas!T27</f>
        <v>Sim</v>
      </c>
      <c r="W27" s="38"/>
      <c r="X27" s="38">
        <f>COUNTIF(V$7:$V27,"Sim")</f>
        <v>8</v>
      </c>
      <c r="Y27" s="38">
        <f t="shared" si="13"/>
        <v>8</v>
      </c>
      <c r="Z27" s="39">
        <f t="shared" ca="1" si="14"/>
        <v>47058</v>
      </c>
      <c r="AA27" s="40">
        <f t="shared" ca="1" si="8"/>
        <v>47058</v>
      </c>
      <c r="AB27" s="41">
        <f ca="1">_xlfn.IFNA(IF(V27="Sim",(IFERROR(SUM(OFFSET(AE27,1,,MATCH("Sim",V28:$V$66,0),1))-AC27,0)+IF(Y27-$W$7=1,SUM($AE$6:AE27)-$AF$7,0)+IF(SUM(Y28:$Y$66)=0,SUM(AE28:$AE$66)-AC27+Analítico!$BK$151)),0),0)</f>
        <v>16115700.437416796</v>
      </c>
      <c r="AC27" s="41">
        <f ca="1">IFERROR(IF(V27="Sim",IFERROR(SUM(OFFSET(AD27,1,,MATCH("Sim",T28:$T$66,0),1)),0)+IF(Y27-$W$7=1,SUM($AD$6:AD27),0)+IF(SUM(Y28:$Y$66)=0,SUM(AD28:$AD$66),0),0),0)</f>
        <v>0</v>
      </c>
      <c r="AD27" s="41">
        <f ca="1">SUM(OFFSET(Analítico!$B$10,0,A27,2,1))</f>
        <v>0</v>
      </c>
      <c r="AE27" s="41">
        <f ca="1">OFFSET(Analítico!$B$152,,A27)</f>
        <v>5460545.4658055985</v>
      </c>
      <c r="AH27" s="44">
        <f t="shared" si="9"/>
        <v>8</v>
      </c>
    </row>
    <row r="28" spans="1:34" ht="15">
      <c r="A28" s="28">
        <v>22</v>
      </c>
      <c r="B28" s="29">
        <f>IFERROR(IF(EDATE(B27,1)&gt;DATE(YEAR(Capa!$A$7),MONTH(Capa!$A$7),1),"",EDATE(B27,1)),"")</f>
        <v>45901</v>
      </c>
      <c r="C28" s="28">
        <f t="shared" si="15"/>
        <v>8</v>
      </c>
      <c r="D28" s="30">
        <f t="shared" si="16"/>
        <v>8</v>
      </c>
      <c r="E28" s="28"/>
      <c r="F28" s="28"/>
      <c r="G28" s="28"/>
      <c r="H28" s="28"/>
      <c r="I28" s="28"/>
      <c r="K28" s="33" t="str">
        <f t="shared" si="2"/>
        <v/>
      </c>
      <c r="L28" s="33" t="str">
        <f t="shared" si="3"/>
        <v/>
      </c>
      <c r="M28" s="34" t="str">
        <f t="shared" ca="1" si="4"/>
        <v/>
      </c>
      <c r="O28" s="33" t="str">
        <f t="shared" ca="1" si="5"/>
        <v/>
      </c>
      <c r="P28" s="35" t="str">
        <f t="shared" ca="1" si="6"/>
        <v/>
      </c>
      <c r="Q28" s="36" t="str">
        <f t="shared" ca="1" si="7"/>
        <v/>
      </c>
      <c r="R28" s="37" t="str">
        <f t="shared" ca="1" si="10"/>
        <v/>
      </c>
      <c r="T28" s="38" t="str">
        <f t="shared" si="11"/>
        <v>Não</v>
      </c>
      <c r="U28" s="38" t="str">
        <f t="shared" si="12"/>
        <v/>
      </c>
      <c r="V28" s="38" t="str">
        <f>Cronogramas!T28</f>
        <v>Não</v>
      </c>
      <c r="W28" s="38"/>
      <c r="X28" s="38">
        <f>COUNTIF(V$7:$V28,"Sim")</f>
        <v>8</v>
      </c>
      <c r="Y28" s="38" t="str">
        <f t="shared" si="13"/>
        <v/>
      </c>
      <c r="Z28" s="39" t="str">
        <f t="shared" si="14"/>
        <v/>
      </c>
      <c r="AA28" s="40" t="str">
        <f t="shared" ca="1" si="8"/>
        <v/>
      </c>
      <c r="AB28" s="41">
        <f ca="1">_xlfn.IFNA(IF(V28="Sim",(IFERROR(SUM(OFFSET(AE28,1,,MATCH("Sim",V29:$V$66,0),1))-AC28,0)+IF(Y28-$W$7=1,SUM($AE$6:AE28)-$AF$7,0)+IF(SUM(Y29:$Y$66)=0,SUM(AE29:$AE$66)-AC28+Analítico!$BK$151)),0),0)</f>
        <v>0</v>
      </c>
      <c r="AC28" s="41">
        <f ca="1">IFERROR(IF(V28="Sim",IFERROR(SUM(OFFSET(AD28,1,,MATCH("Sim",T29:$T$66,0),1)),0)+IF(Y28-$W$7=1,SUM($AD$6:AD28),0)+IF(SUM(Y29:$Y$66)=0,SUM(AD29:$AD$66),0),0),0)</f>
        <v>0</v>
      </c>
      <c r="AD28" s="41">
        <f ca="1">SUM(OFFSET(Analítico!$B$10,0,A28,2,1))</f>
        <v>0</v>
      </c>
      <c r="AE28" s="41">
        <f ca="1">OFFSET(Analítico!$B$152,,A28)</f>
        <v>5388999.4658055985</v>
      </c>
      <c r="AH28" s="44">
        <f t="shared" si="9"/>
        <v>8</v>
      </c>
    </row>
    <row r="29" spans="1:34" ht="15">
      <c r="A29" s="28">
        <v>23</v>
      </c>
      <c r="B29" s="29">
        <f>IFERROR(IF(EDATE(B28,1)&gt;DATE(YEAR(Capa!$A$7),MONTH(Capa!$A$7),1),"",EDATE(B28,1)),"")</f>
        <v>45931</v>
      </c>
      <c r="C29" s="28">
        <f t="shared" si="15"/>
        <v>8</v>
      </c>
      <c r="D29" s="30">
        <f t="shared" si="16"/>
        <v>8</v>
      </c>
      <c r="E29" s="28"/>
      <c r="F29" s="28"/>
      <c r="G29" s="28"/>
      <c r="H29" s="28"/>
      <c r="I29" s="28"/>
      <c r="K29" s="33" t="str">
        <f t="shared" si="2"/>
        <v/>
      </c>
      <c r="L29" s="33" t="str">
        <f t="shared" si="3"/>
        <v/>
      </c>
      <c r="M29" s="34" t="str">
        <f t="shared" ca="1" si="4"/>
        <v/>
      </c>
      <c r="O29" s="33" t="str">
        <f t="shared" ca="1" si="5"/>
        <v/>
      </c>
      <c r="P29" s="35" t="str">
        <f t="shared" ca="1" si="6"/>
        <v/>
      </c>
      <c r="Q29" s="36" t="str">
        <f t="shared" ca="1" si="7"/>
        <v/>
      </c>
      <c r="R29" s="37" t="str">
        <f t="shared" ca="1" si="10"/>
        <v/>
      </c>
      <c r="T29" s="38" t="str">
        <f t="shared" si="11"/>
        <v>Não</v>
      </c>
      <c r="U29" s="38" t="str">
        <f t="shared" si="12"/>
        <v/>
      </c>
      <c r="V29" s="38" t="str">
        <f>Cronogramas!T29</f>
        <v>Não</v>
      </c>
      <c r="W29" s="38"/>
      <c r="X29" s="38">
        <f>COUNTIF(V$7:$V29,"Sim")</f>
        <v>8</v>
      </c>
      <c r="Y29" s="38" t="str">
        <f t="shared" si="13"/>
        <v/>
      </c>
      <c r="Z29" s="39" t="str">
        <f t="shared" si="14"/>
        <v/>
      </c>
      <c r="AA29" s="40" t="str">
        <f t="shared" ca="1" si="8"/>
        <v/>
      </c>
      <c r="AB29" s="41">
        <f ca="1">_xlfn.IFNA(IF(V29="Sim",(IFERROR(SUM(OFFSET(AE29,1,,MATCH("Sim",V30:$V$66,0),1))-AC29,0)+IF(Y29-$W$7=1,SUM($AE$6:AE29)-$AF$7,0)+IF(SUM(Y30:$Y$66)=0,SUM(AE30:$AE$66)-AC29+Analítico!$BK$151)),0),0)</f>
        <v>0</v>
      </c>
      <c r="AC29" s="41">
        <f ca="1">IFERROR(IF(V29="Sim",IFERROR(SUM(OFFSET(AD29,1,,MATCH("Sim",T30:$T$66,0),1)),0)+IF(Y29-$W$7=1,SUM($AD$6:AD29),0)+IF(SUM(Y30:$Y$66)=0,SUM(AD30:$AD$66),0),0),0)</f>
        <v>0</v>
      </c>
      <c r="AD29" s="41">
        <f ca="1">SUM(OFFSET(Analítico!$B$10,0,A29,2,1))</f>
        <v>0</v>
      </c>
      <c r="AE29" s="41">
        <f ca="1">OFFSET(Analítico!$B$152,,A29)</f>
        <v>5355653.4658055985</v>
      </c>
      <c r="AH29" s="44">
        <f t="shared" si="9"/>
        <v>8</v>
      </c>
    </row>
    <row r="30" spans="1:34" ht="15">
      <c r="A30" s="28">
        <v>24</v>
      </c>
      <c r="B30" s="29">
        <f>IFERROR(IF(EDATE(B29,1)&gt;DATE(YEAR(Capa!$A$7),MONTH(Capa!$A$7),1),"",EDATE(B29,1)),"")</f>
        <v>45962</v>
      </c>
      <c r="C30" s="28">
        <f t="shared" si="15"/>
        <v>9</v>
      </c>
      <c r="D30" s="30">
        <f t="shared" si="16"/>
        <v>9</v>
      </c>
      <c r="E30" s="28"/>
      <c r="F30" s="28"/>
      <c r="G30" s="28"/>
      <c r="H30" s="28"/>
      <c r="I30" s="28"/>
      <c r="K30" s="33" t="str">
        <f t="shared" si="2"/>
        <v/>
      </c>
      <c r="L30" s="33" t="str">
        <f t="shared" si="3"/>
        <v/>
      </c>
      <c r="M30" s="34" t="str">
        <f t="shared" ca="1" si="4"/>
        <v/>
      </c>
      <c r="O30" s="33" t="str">
        <f t="shared" ca="1" si="5"/>
        <v/>
      </c>
      <c r="P30" s="35" t="str">
        <f t="shared" ca="1" si="6"/>
        <v/>
      </c>
      <c r="Q30" s="36" t="str">
        <f t="shared" ca="1" si="7"/>
        <v/>
      </c>
      <c r="R30" s="37" t="str">
        <f t="shared" ca="1" si="10"/>
        <v/>
      </c>
      <c r="T30" s="38" t="str">
        <f t="shared" si="11"/>
        <v>Sim</v>
      </c>
      <c r="U30" s="38" t="str">
        <f t="shared" si="12"/>
        <v/>
      </c>
      <c r="V30" s="38" t="str">
        <f>Cronogramas!T30</f>
        <v>Sim</v>
      </c>
      <c r="W30" s="38"/>
      <c r="X30" s="38">
        <f>COUNTIF(V$7:$V30,"Sim")</f>
        <v>9</v>
      </c>
      <c r="Y30" s="38">
        <f t="shared" si="13"/>
        <v>9</v>
      </c>
      <c r="Z30" s="39" t="str">
        <f t="shared" si="14"/>
        <v/>
      </c>
      <c r="AA30" s="40" t="str">
        <f t="shared" ca="1" si="8"/>
        <v/>
      </c>
      <c r="AB30" s="41">
        <f ca="1">_xlfn.IFNA(IF(V30="Sim",(IFERROR(SUM(OFFSET(AE30,1,,MATCH("Sim",V31:$V$66,0),1))-AC30,0)+IF(Y30-$W$7=1,SUM($AE$6:AE30)-$AF$7,0)+IF(SUM(Y31:$Y$66)=0,SUM(AE31:$AE$66)-AC30+Analítico!$BK$151)),0),0)</f>
        <v>16412477.598708186</v>
      </c>
      <c r="AC30" s="41">
        <f ca="1">IFERROR(IF(V30="Sim",IFERROR(SUM(OFFSET(AD30,1,,MATCH("Sim",T31:$T$66,0),1)),0)+IF(Y30-$W$7=1,SUM($AD$6:AD30),0)+IF(SUM(Y31:$Y$66)=0,SUM(AD31:$AD$66),0),0),0)</f>
        <v>0</v>
      </c>
      <c r="AD30" s="41">
        <f ca="1">SUM(OFFSET(Analítico!$B$10,0,A30,2,1))</f>
        <v>0</v>
      </c>
      <c r="AE30" s="41">
        <f ca="1">OFFSET(Analítico!$B$152,,A30)</f>
        <v>5371047.5058055976</v>
      </c>
      <c r="AH30" s="44">
        <f t="shared" si="9"/>
        <v>9</v>
      </c>
    </row>
    <row r="31" spans="1:34" ht="15">
      <c r="A31" s="28">
        <v>25</v>
      </c>
      <c r="B31" s="29">
        <f>IFERROR(IF(EDATE(B30,1)&gt;DATE(YEAR(Capa!$A$7),MONTH(Capa!$A$7),1),"",EDATE(B30,1)),"")</f>
        <v>45992</v>
      </c>
      <c r="C31" s="28">
        <f t="shared" si="15"/>
        <v>9</v>
      </c>
      <c r="D31" s="30">
        <f t="shared" si="16"/>
        <v>9</v>
      </c>
      <c r="E31" s="28"/>
      <c r="F31" s="28"/>
      <c r="G31" s="28"/>
      <c r="H31" s="28"/>
      <c r="I31" s="28"/>
      <c r="K31" s="33" t="str">
        <f t="shared" si="2"/>
        <v/>
      </c>
      <c r="L31" s="33" t="str">
        <f t="shared" si="3"/>
        <v/>
      </c>
      <c r="M31" s="34" t="str">
        <f t="shared" ca="1" si="4"/>
        <v/>
      </c>
      <c r="O31" s="33" t="str">
        <f t="shared" ca="1" si="5"/>
        <v/>
      </c>
      <c r="P31" s="35" t="str">
        <f t="shared" ca="1" si="6"/>
        <v/>
      </c>
      <c r="Q31" s="36" t="str">
        <f t="shared" ca="1" si="7"/>
        <v/>
      </c>
      <c r="R31" s="37" t="str">
        <f t="shared" ca="1" si="10"/>
        <v/>
      </c>
      <c r="T31" s="38" t="str">
        <f t="shared" si="11"/>
        <v>Não</v>
      </c>
      <c r="U31" s="38" t="str">
        <f t="shared" si="12"/>
        <v/>
      </c>
      <c r="V31" s="38" t="str">
        <f>Cronogramas!T31</f>
        <v>Não</v>
      </c>
      <c r="W31" s="38"/>
      <c r="X31" s="38">
        <f>COUNTIF(V$7:$V31,"Sim")</f>
        <v>9</v>
      </c>
      <c r="Y31" s="38" t="str">
        <f t="shared" si="13"/>
        <v/>
      </c>
      <c r="Z31" s="39" t="str">
        <f t="shared" si="14"/>
        <v/>
      </c>
      <c r="AA31" s="40" t="str">
        <f t="shared" ca="1" si="8"/>
        <v/>
      </c>
      <c r="AB31" s="41">
        <f ca="1">_xlfn.IFNA(IF(V31="Sim",(IFERROR(SUM(OFFSET(AE31,1,,MATCH("Sim",V32:$V$66,0),1))-AC31,0)+IF(Y31-$W$7=1,SUM($AE$6:AE31)-$AF$7,0)+IF(SUM(Y32:$Y$66)=0,SUM(AE32:$AE$66)-AC31+Analítico!$BK$151)),0),0)</f>
        <v>0</v>
      </c>
      <c r="AC31" s="41">
        <f ca="1">IFERROR(IF(V31="Sim",IFERROR(SUM(OFFSET(AD31,1,,MATCH("Sim",T32:$T$66,0),1)),0)+IF(Y31-$W$7=1,SUM($AD$6:AD31),0)+IF(SUM(Y32:$Y$66)=0,SUM(AD32:$AD$66),0),0),0)</f>
        <v>0</v>
      </c>
      <c r="AD31" s="41">
        <f ca="1">SUM(OFFSET(Analítico!$B$10,0,A31,2,1))</f>
        <v>0</v>
      </c>
      <c r="AE31" s="41">
        <f ca="1">OFFSET(Analítico!$B$152,,A31)</f>
        <v>5433066.9358055983</v>
      </c>
      <c r="AH31" s="44">
        <f t="shared" si="9"/>
        <v>9</v>
      </c>
    </row>
    <row r="32" spans="1:34" ht="15">
      <c r="A32" s="28">
        <v>26</v>
      </c>
      <c r="B32" s="29">
        <f>IFERROR(IF(EDATE(B31,1)&gt;DATE(YEAR(Capa!$A$7),MONTH(Capa!$A$7),1),"",EDATE(B31,1)),"")</f>
        <v>46023</v>
      </c>
      <c r="C32" s="28">
        <f t="shared" si="15"/>
        <v>9</v>
      </c>
      <c r="D32" s="30">
        <f t="shared" si="16"/>
        <v>9</v>
      </c>
      <c r="E32" s="28"/>
      <c r="F32" s="28"/>
      <c r="G32" s="28"/>
      <c r="H32" s="28"/>
      <c r="I32" s="28"/>
      <c r="K32" s="33" t="str">
        <f t="shared" si="2"/>
        <v/>
      </c>
      <c r="L32" s="33" t="str">
        <f t="shared" si="3"/>
        <v/>
      </c>
      <c r="M32" s="34" t="str">
        <f t="shared" ca="1" si="4"/>
        <v/>
      </c>
      <c r="O32" s="33" t="str">
        <f t="shared" ca="1" si="5"/>
        <v/>
      </c>
      <c r="P32" s="35" t="str">
        <f t="shared" ca="1" si="6"/>
        <v/>
      </c>
      <c r="Q32" s="36" t="str">
        <f t="shared" ca="1" si="7"/>
        <v/>
      </c>
      <c r="R32" s="37" t="str">
        <f t="shared" ca="1" si="10"/>
        <v/>
      </c>
      <c r="T32" s="38" t="str">
        <f t="shared" si="11"/>
        <v>Não</v>
      </c>
      <c r="U32" s="38" t="str">
        <f t="shared" si="12"/>
        <v/>
      </c>
      <c r="V32" s="38" t="str">
        <f>Cronogramas!T32</f>
        <v>Não</v>
      </c>
      <c r="W32" s="38"/>
      <c r="X32" s="38">
        <f>COUNTIF(V$7:$V32,"Sim")</f>
        <v>9</v>
      </c>
      <c r="Y32" s="38" t="str">
        <f t="shared" si="13"/>
        <v/>
      </c>
      <c r="Z32" s="39" t="str">
        <f t="shared" si="14"/>
        <v/>
      </c>
      <c r="AA32" s="40" t="str">
        <f t="shared" ca="1" si="8"/>
        <v/>
      </c>
      <c r="AB32" s="41">
        <f ca="1">_xlfn.IFNA(IF(V32="Sim",(IFERROR(SUM(OFFSET(AE32,1,,MATCH("Sim",V33:$V$66,0),1))-AC32,0)+IF(Y32-$W$7=1,SUM($AE$6:AE32)-$AF$7,0)+IF(SUM(Y33:$Y$66)=0,SUM(AE33:$AE$66)-AC32+Analítico!$BK$151)),0),0)</f>
        <v>0</v>
      </c>
      <c r="AC32" s="41">
        <f ca="1">IFERROR(IF(V32="Sim",IFERROR(SUM(OFFSET(AD32,1,,MATCH("Sim",T33:$T$66,0),1)),0)+IF(Y32-$W$7=1,SUM($AD$6:AD32),0)+IF(SUM(Y33:$Y$66)=0,SUM(AD33:$AD$66),0),0),0)</f>
        <v>0</v>
      </c>
      <c r="AD32" s="41">
        <f ca="1">SUM(OFFSET(Analítico!$B$10,0,A32,2,1))</f>
        <v>0</v>
      </c>
      <c r="AE32" s="41">
        <f ca="1">OFFSET(Analítico!$B$152,,A32)</f>
        <v>5461858.5645555975</v>
      </c>
      <c r="AH32" s="44">
        <f t="shared" si="9"/>
        <v>9</v>
      </c>
    </row>
    <row r="33" spans="1:34" ht="15">
      <c r="A33" s="28">
        <v>27</v>
      </c>
      <c r="B33" s="29">
        <f>IFERROR(IF(EDATE(B32,1)&gt;DATE(YEAR(Capa!$A$7),MONTH(Capa!$A$7),1),"",EDATE(B32,1)),"")</f>
        <v>46054</v>
      </c>
      <c r="C33" s="28">
        <f t="shared" si="15"/>
        <v>10</v>
      </c>
      <c r="D33" s="30">
        <f t="shared" si="16"/>
        <v>10</v>
      </c>
      <c r="E33" s="28"/>
      <c r="F33" s="28"/>
      <c r="G33" s="28"/>
      <c r="H33" s="28"/>
      <c r="I33" s="28"/>
      <c r="K33" s="33" t="str">
        <f t="shared" si="2"/>
        <v/>
      </c>
      <c r="L33" s="33" t="str">
        <f t="shared" si="3"/>
        <v/>
      </c>
      <c r="M33" s="34" t="str">
        <f t="shared" ca="1" si="4"/>
        <v/>
      </c>
      <c r="O33" s="33" t="str">
        <f t="shared" ca="1" si="5"/>
        <v/>
      </c>
      <c r="P33" s="35" t="str">
        <f t="shared" ca="1" si="6"/>
        <v/>
      </c>
      <c r="Q33" s="36" t="str">
        <f t="shared" ca="1" si="7"/>
        <v/>
      </c>
      <c r="R33" s="37" t="str">
        <f t="shared" ca="1" si="10"/>
        <v/>
      </c>
      <c r="T33" s="38" t="str">
        <f t="shared" si="11"/>
        <v>Sim</v>
      </c>
      <c r="U33" s="38" t="str">
        <f t="shared" si="12"/>
        <v/>
      </c>
      <c r="V33" s="38" t="str">
        <f>Cronogramas!T33</f>
        <v>Sim</v>
      </c>
      <c r="W33" s="38"/>
      <c r="X33" s="38">
        <f>COUNTIF(V$7:$V33,"Sim")</f>
        <v>10</v>
      </c>
      <c r="Y33" s="38">
        <f t="shared" si="13"/>
        <v>10</v>
      </c>
      <c r="Z33" s="39" t="str">
        <f t="shared" si="14"/>
        <v/>
      </c>
      <c r="AA33" s="40" t="str">
        <f t="shared" ca="1" si="8"/>
        <v/>
      </c>
      <c r="AB33" s="41">
        <f ca="1">_xlfn.IFNA(IF(V33="Sim",(IFERROR(SUM(OFFSET(AE33,1,,MATCH("Sim",V34:$V$66,0),1))-AC33,0)+IF(Y33-$W$7=1,SUM($AE$6:AE33)-$AF$7,0)+IF(SUM(Y34:$Y$66)=0,SUM(AE34:$AE$66)-AC33+Analítico!$BK$151)),0),0)</f>
        <v>16204004.472656842</v>
      </c>
      <c r="AC33" s="41">
        <f ca="1">IFERROR(IF(V33="Sim",IFERROR(SUM(OFFSET(AD33,1,,MATCH("Sim",T34:$T$66,0),1)),0)+IF(Y33-$W$7=1,SUM($AD$6:AD33),0)+IF(SUM(Y34:$Y$66)=0,SUM(AD34:$AD$66),0),0),0)</f>
        <v>0</v>
      </c>
      <c r="AD33" s="41">
        <f ca="1">SUM(OFFSET(Analítico!$B$10,0,A33,2,1))</f>
        <v>0</v>
      </c>
      <c r="AE33" s="41">
        <f ca="1">OFFSET(Analítico!$B$152,,A33)</f>
        <v>5517552.0983469896</v>
      </c>
      <c r="AH33" s="44">
        <f t="shared" si="9"/>
        <v>10</v>
      </c>
    </row>
    <row r="34" spans="1:34" ht="15">
      <c r="A34" s="28">
        <v>28</v>
      </c>
      <c r="B34" s="29">
        <f>IFERROR(IF(EDATE(B33,1)&gt;DATE(YEAR(Capa!$A$7),MONTH(Capa!$A$7),1),"",EDATE(B33,1)),"")</f>
        <v>46082</v>
      </c>
      <c r="C34" s="28">
        <f t="shared" si="15"/>
        <v>10</v>
      </c>
      <c r="D34" s="30">
        <f t="shared" si="16"/>
        <v>10</v>
      </c>
      <c r="E34" s="28"/>
      <c r="F34" s="28"/>
      <c r="G34" s="28"/>
      <c r="H34" s="28"/>
      <c r="I34" s="28"/>
      <c r="K34" s="33" t="str">
        <f t="shared" si="2"/>
        <v/>
      </c>
      <c r="L34" s="33" t="str">
        <f t="shared" si="3"/>
        <v/>
      </c>
      <c r="M34" s="34" t="str">
        <f t="shared" ca="1" si="4"/>
        <v/>
      </c>
      <c r="O34" s="33" t="str">
        <f t="shared" ca="1" si="5"/>
        <v/>
      </c>
      <c r="P34" s="35" t="str">
        <f t="shared" ca="1" si="6"/>
        <v/>
      </c>
      <c r="Q34" s="36" t="str">
        <f t="shared" ca="1" si="7"/>
        <v/>
      </c>
      <c r="R34" s="37" t="str">
        <f t="shared" ca="1" si="10"/>
        <v/>
      </c>
      <c r="T34" s="38" t="str">
        <f t="shared" si="11"/>
        <v>Não</v>
      </c>
      <c r="U34" s="38" t="str">
        <f t="shared" si="12"/>
        <v/>
      </c>
      <c r="V34" s="38" t="str">
        <f>Cronogramas!T34</f>
        <v>Não</v>
      </c>
      <c r="W34" s="38"/>
      <c r="X34" s="38">
        <f>COUNTIF(V$7:$V34,"Sim")</f>
        <v>10</v>
      </c>
      <c r="Y34" s="38" t="str">
        <f t="shared" si="13"/>
        <v/>
      </c>
      <c r="Z34" s="39" t="str">
        <f t="shared" si="14"/>
        <v/>
      </c>
      <c r="AA34" s="40" t="str">
        <f t="shared" ca="1" si="8"/>
        <v/>
      </c>
      <c r="AB34" s="41">
        <f ca="1">_xlfn.IFNA(IF(V34="Sim",(IFERROR(SUM(OFFSET(AE34,1,,MATCH("Sim",V35:$V$66,0),1))-AC34,0)+IF(Y34-$W$7=1,SUM($AE$6:AE34)-$AF$7,0)+IF(SUM(Y35:$Y$66)=0,SUM(AE35:$AE$66)-AC34+Analítico!$BK$151)),0),0)</f>
        <v>0</v>
      </c>
      <c r="AC34" s="41">
        <f ca="1">IFERROR(IF(V34="Sim",IFERROR(SUM(OFFSET(AD34,1,,MATCH("Sim",T35:$T$66,0),1)),0)+IF(Y34-$W$7=1,SUM($AD$6:AD34),0)+IF(SUM(Y35:$Y$66)=0,SUM(AD35:$AD$66),0),0),0)</f>
        <v>0</v>
      </c>
      <c r="AD34" s="41">
        <f ca="1">SUM(OFFSET(Analítico!$B$10,0,A34,2,1))</f>
        <v>0</v>
      </c>
      <c r="AE34" s="41">
        <f ca="1">OFFSET(Analítico!$B$152,,A34)</f>
        <v>5400683.4245555988</v>
      </c>
      <c r="AH34" s="44">
        <f t="shared" si="9"/>
        <v>10</v>
      </c>
    </row>
    <row r="35" spans="1:34" ht="15">
      <c r="A35" s="28">
        <v>29</v>
      </c>
      <c r="B35" s="29">
        <f>IFERROR(IF(EDATE(B34,1)&gt;DATE(YEAR(Capa!$A$7),MONTH(Capa!$A$7),1),"",EDATE(B34,1)),"")</f>
        <v>46113</v>
      </c>
      <c r="C35" s="28">
        <f t="shared" si="15"/>
        <v>10</v>
      </c>
      <c r="D35" s="30">
        <f t="shared" si="16"/>
        <v>10</v>
      </c>
      <c r="E35" s="28"/>
      <c r="F35" s="28"/>
      <c r="G35" s="28"/>
      <c r="H35" s="28"/>
      <c r="I35" s="28"/>
      <c r="K35" s="33" t="str">
        <f t="shared" si="2"/>
        <v/>
      </c>
      <c r="L35" s="33" t="str">
        <f t="shared" si="3"/>
        <v/>
      </c>
      <c r="M35" s="34" t="str">
        <f t="shared" ca="1" si="4"/>
        <v/>
      </c>
      <c r="O35" s="33" t="str">
        <f t="shared" ca="1" si="5"/>
        <v/>
      </c>
      <c r="P35" s="35" t="str">
        <f t="shared" ca="1" si="6"/>
        <v/>
      </c>
      <c r="Q35" s="36" t="str">
        <f t="shared" ca="1" si="7"/>
        <v/>
      </c>
      <c r="R35" s="37" t="str">
        <f t="shared" ca="1" si="10"/>
        <v/>
      </c>
      <c r="T35" s="38" t="str">
        <f t="shared" si="11"/>
        <v>Não</v>
      </c>
      <c r="U35" s="38" t="str">
        <f t="shared" si="12"/>
        <v/>
      </c>
      <c r="V35" s="38" t="str">
        <f>Cronogramas!T35</f>
        <v>Não</v>
      </c>
      <c r="W35" s="38"/>
      <c r="X35" s="38">
        <f>COUNTIF(V$7:$V35,"Sim")</f>
        <v>10</v>
      </c>
      <c r="Y35" s="38" t="str">
        <f t="shared" si="13"/>
        <v/>
      </c>
      <c r="Z35" s="39" t="str">
        <f t="shared" si="14"/>
        <v/>
      </c>
      <c r="AA35" s="40" t="str">
        <f t="shared" ca="1" si="8"/>
        <v/>
      </c>
      <c r="AB35" s="41">
        <f ca="1">_xlfn.IFNA(IF(V35="Sim",(IFERROR(SUM(OFFSET(AE35,1,,MATCH("Sim",V36:$V$66,0),1))-AC35,0)+IF(Y35-$W$7=1,SUM($AE$6:AE35)-$AF$7,0)+IF(SUM(Y36:$Y$66)=0,SUM(AE36:$AE$66)-AC35+Analítico!$BK$151)),0),0)</f>
        <v>0</v>
      </c>
      <c r="AC35" s="41">
        <f ca="1">IFERROR(IF(V35="Sim",IFERROR(SUM(OFFSET(AD35,1,,MATCH("Sim",T36:$T$66,0),1)),0)+IF(Y35-$W$7=1,SUM($AD$6:AD35),0)+IF(SUM(Y36:$Y$66)=0,SUM(AD36:$AD$66),0),0),0)</f>
        <v>0</v>
      </c>
      <c r="AD35" s="41">
        <f ca="1">SUM(OFFSET(Analítico!$B$10,0,A35,2,1))</f>
        <v>0</v>
      </c>
      <c r="AE35" s="41">
        <f ca="1">OFFSET(Analítico!$B$152,,A35)</f>
        <v>5324227.2945555989</v>
      </c>
      <c r="AH35" s="44">
        <f t="shared" si="9"/>
        <v>10</v>
      </c>
    </row>
    <row r="36" spans="1:34" ht="15">
      <c r="A36" s="28">
        <v>30</v>
      </c>
      <c r="B36" s="29">
        <f>IFERROR(IF(EDATE(B35,1)&gt;DATE(YEAR(Capa!$A$7),MONTH(Capa!$A$7),1),"",EDATE(B35,1)),"")</f>
        <v>46143</v>
      </c>
      <c r="C36" s="28">
        <f t="shared" si="15"/>
        <v>11</v>
      </c>
      <c r="D36" s="30">
        <f t="shared" si="16"/>
        <v>11</v>
      </c>
      <c r="E36" s="28"/>
      <c r="F36" s="28"/>
      <c r="G36" s="28"/>
      <c r="H36" s="28"/>
      <c r="I36" s="28"/>
      <c r="K36" s="33" t="str">
        <f t="shared" si="2"/>
        <v/>
      </c>
      <c r="L36" s="33" t="str">
        <f t="shared" si="3"/>
        <v/>
      </c>
      <c r="M36" s="34" t="str">
        <f t="shared" ca="1" si="4"/>
        <v/>
      </c>
      <c r="O36" s="33" t="str">
        <f t="shared" ca="1" si="5"/>
        <v/>
      </c>
      <c r="P36" s="35" t="str">
        <f t="shared" ca="1" si="6"/>
        <v/>
      </c>
      <c r="Q36" s="36" t="str">
        <f t="shared" ca="1" si="7"/>
        <v/>
      </c>
      <c r="R36" s="37" t="str">
        <f t="shared" ca="1" si="10"/>
        <v/>
      </c>
      <c r="T36" s="38" t="str">
        <f t="shared" si="11"/>
        <v>Sim</v>
      </c>
      <c r="U36" s="38" t="str">
        <f t="shared" si="12"/>
        <v/>
      </c>
      <c r="V36" s="38" t="str">
        <f>Cronogramas!T36</f>
        <v>Sim</v>
      </c>
      <c r="W36" s="38"/>
      <c r="X36" s="38">
        <f>COUNTIF(V$7:$V36,"Sim")</f>
        <v>11</v>
      </c>
      <c r="Y36" s="38">
        <f t="shared" si="13"/>
        <v>11</v>
      </c>
      <c r="Z36" s="39" t="str">
        <f t="shared" si="14"/>
        <v/>
      </c>
      <c r="AA36" s="40" t="str">
        <f t="shared" ca="1" si="8"/>
        <v/>
      </c>
      <c r="AB36" s="41">
        <f ca="1">_xlfn.IFNA(IF(V36="Sim",(IFERROR(SUM(OFFSET(AE36,1,,MATCH("Sim",V37:$V$66,0),1))-AC36,0)+IF(Y36-$W$7=1,SUM($AE$6:AE36)-$AF$7,0)+IF(SUM(Y37:$Y$66)=0,SUM(AE37:$AE$66)-AC36+Analítico!$BK$151)),0),0)</f>
        <v>16613463.320636939</v>
      </c>
      <c r="AC36" s="41">
        <f ca="1">IFERROR(IF(V36="Sim",IFERROR(SUM(OFFSET(AD36,1,,MATCH("Sim",T37:$T$66,0),1)),0)+IF(Y36-$W$7=1,SUM($AD$6:AD36),0)+IF(SUM(Y37:$Y$66)=0,SUM(AD37:$AD$66),0),0),0)</f>
        <v>0</v>
      </c>
      <c r="AD36" s="41">
        <f ca="1">SUM(OFFSET(Analítico!$B$10,0,A36,2,1))</f>
        <v>0</v>
      </c>
      <c r="AE36" s="41">
        <f ca="1">OFFSET(Analítico!$B$152,,A36)</f>
        <v>5479093.7535456466</v>
      </c>
      <c r="AH36" s="44">
        <f t="shared" si="9"/>
        <v>11</v>
      </c>
    </row>
    <row r="37" spans="1:34" ht="15">
      <c r="A37" s="28">
        <v>31</v>
      </c>
      <c r="B37" s="29">
        <f>IFERROR(IF(EDATE(B36,1)&gt;DATE(YEAR(Capa!$A$7),MONTH(Capa!$A$7),1),"",EDATE(B36,1)),"")</f>
        <v>46174</v>
      </c>
      <c r="C37" s="28">
        <f t="shared" si="15"/>
        <v>11</v>
      </c>
      <c r="D37" s="30">
        <f t="shared" si="16"/>
        <v>11</v>
      </c>
      <c r="E37" s="28"/>
      <c r="F37" s="28"/>
      <c r="G37" s="28"/>
      <c r="H37" s="28"/>
      <c r="I37" s="28"/>
      <c r="K37" s="33" t="str">
        <f t="shared" si="2"/>
        <v/>
      </c>
      <c r="L37" s="33" t="str">
        <f t="shared" si="3"/>
        <v/>
      </c>
      <c r="M37" s="34" t="str">
        <f t="shared" ca="1" si="4"/>
        <v/>
      </c>
      <c r="O37" s="33" t="str">
        <f t="shared" ca="1" si="5"/>
        <v/>
      </c>
      <c r="P37" s="35" t="str">
        <f t="shared" ca="1" si="6"/>
        <v/>
      </c>
      <c r="Q37" s="36" t="str">
        <f t="shared" ca="1" si="7"/>
        <v/>
      </c>
      <c r="R37" s="37" t="str">
        <f t="shared" ca="1" si="10"/>
        <v/>
      </c>
      <c r="T37" s="38" t="str">
        <f t="shared" si="11"/>
        <v>Não</v>
      </c>
      <c r="U37" s="38" t="str">
        <f t="shared" si="12"/>
        <v/>
      </c>
      <c r="V37" s="38" t="str">
        <f>Cronogramas!T37</f>
        <v>Não</v>
      </c>
      <c r="W37" s="38"/>
      <c r="X37" s="38">
        <f>COUNTIF(V$7:$V37,"Sim")</f>
        <v>11</v>
      </c>
      <c r="Y37" s="38" t="str">
        <f t="shared" si="13"/>
        <v/>
      </c>
      <c r="Z37" s="39" t="str">
        <f t="shared" si="14"/>
        <v/>
      </c>
      <c r="AA37" s="40" t="str">
        <f t="shared" ca="1" si="8"/>
        <v/>
      </c>
      <c r="AB37" s="41">
        <f ca="1">_xlfn.IFNA(IF(V37="Sim",(IFERROR(SUM(OFFSET(AE37,1,,MATCH("Sim",V38:$V$66,0),1))-AC37,0)+IF(Y37-$W$7=1,SUM($AE$6:AE37)-$AF$7,0)+IF(SUM(Y38:$Y$66)=0,SUM(AE38:$AE$66)-AC37+Analítico!$BK$151)),0),0)</f>
        <v>0</v>
      </c>
      <c r="AC37" s="41">
        <f ca="1">IFERROR(IF(V37="Sim",IFERROR(SUM(OFFSET(AD37,1,,MATCH("Sim",T38:$T$66,0),1)),0)+IF(Y37-$W$7=1,SUM($AD$6:AD37),0)+IF(SUM(Y38:$Y$66)=0,SUM(AD38:$AD$66),0),0),0)</f>
        <v>0</v>
      </c>
      <c r="AD37" s="41">
        <f ca="1">SUM(OFFSET(Analítico!$B$10,0,A37,2,1))</f>
        <v>0</v>
      </c>
      <c r="AE37" s="41">
        <f ca="1">OFFSET(Analítico!$B$152,,A37)</f>
        <v>5627125.8335456466</v>
      </c>
      <c r="AH37" s="44">
        <f t="shared" si="9"/>
        <v>11</v>
      </c>
    </row>
    <row r="38" spans="1:34" ht="15">
      <c r="A38" s="28">
        <v>32</v>
      </c>
      <c r="B38" s="29">
        <f>IFERROR(IF(EDATE(B37,1)&gt;DATE(YEAR(Capa!$A$7),MONTH(Capa!$A$7),1),"",EDATE(B37,1)),"")</f>
        <v>46204</v>
      </c>
      <c r="C38" s="28">
        <f t="shared" si="15"/>
        <v>11</v>
      </c>
      <c r="D38" s="30">
        <f t="shared" si="16"/>
        <v>11</v>
      </c>
      <c r="E38" s="28"/>
      <c r="F38" s="28"/>
      <c r="G38" s="28"/>
      <c r="H38" s="28"/>
      <c r="I38" s="28"/>
      <c r="K38" s="33" t="str">
        <f t="shared" si="2"/>
        <v/>
      </c>
      <c r="L38" s="33" t="str">
        <f t="shared" si="3"/>
        <v/>
      </c>
      <c r="M38" s="34" t="str">
        <f t="shared" ca="1" si="4"/>
        <v/>
      </c>
      <c r="O38" s="33" t="str">
        <f t="shared" ca="1" si="5"/>
        <v/>
      </c>
      <c r="P38" s="35" t="str">
        <f t="shared" ca="1" si="6"/>
        <v/>
      </c>
      <c r="Q38" s="36" t="str">
        <f t="shared" ca="1" si="7"/>
        <v/>
      </c>
      <c r="R38" s="37" t="str">
        <f ca="1">IF(P38="","",IFERROR(IF(Capa!$A$2="","Após a celebração do termo de parceria.","Realização da "&amp;OFFSET($Y$6,MATCH(A38,$X$7:$X$66,0),0)-1&amp;"ª reunião da CA e aprovação da liberação de parcela pelo supervisor."),""))</f>
        <v/>
      </c>
      <c r="T38" s="38" t="str">
        <f t="shared" si="11"/>
        <v>Não</v>
      </c>
      <c r="U38" s="38" t="str">
        <f t="shared" si="12"/>
        <v/>
      </c>
      <c r="V38" s="38" t="str">
        <f>Cronogramas!T38</f>
        <v>Não</v>
      </c>
      <c r="W38" s="38"/>
      <c r="X38" s="38">
        <f>COUNTIF(V$7:$V38,"Sim")</f>
        <v>11</v>
      </c>
      <c r="Y38" s="38" t="str">
        <f t="shared" si="13"/>
        <v/>
      </c>
      <c r="Z38" s="39" t="str">
        <f t="shared" si="14"/>
        <v/>
      </c>
      <c r="AA38" s="40" t="str">
        <f t="shared" ca="1" si="8"/>
        <v/>
      </c>
      <c r="AB38" s="41">
        <f ca="1">_xlfn.IFNA(IF(V38="Sim",(IFERROR(SUM(OFFSET(AE38,1,,MATCH("Sim",V39:$V$66,0),1))-AC38,0)+IF(Y38-$W$7=1,SUM($AE$6:AE38)-$AF$7,0)+IF(SUM(Y39:$Y$66)=0,SUM(AE39:$AE$66)-AC38+Analítico!$BK$151)),0),0)</f>
        <v>0</v>
      </c>
      <c r="AC38" s="41">
        <f ca="1">IFERROR(IF(V38="Sim",IFERROR(SUM(OFFSET(AD38,1,,MATCH("Sim",T39:$T$66,0),1)),0)+IF(Y38-$W$7=1,SUM($AD$6:AD38),0)+IF(SUM(Y39:$Y$66)=0,SUM(AD39:$AD$66),0),0),0)</f>
        <v>0</v>
      </c>
      <c r="AD38" s="41">
        <f ca="1">SUM(OFFSET(Analítico!$B$10,0,A38,2,1))</f>
        <v>0</v>
      </c>
      <c r="AE38" s="41">
        <f ca="1">OFFSET(Analítico!$B$152,,A38)</f>
        <v>5524833.6835456472</v>
      </c>
      <c r="AH38" s="44">
        <f t="shared" si="9"/>
        <v>11</v>
      </c>
    </row>
    <row r="39" spans="1:34" ht="15">
      <c r="A39" s="28">
        <v>33</v>
      </c>
      <c r="B39" s="29">
        <f>IFERROR(IF(EDATE(B38,1)&gt;DATE(YEAR(Capa!$A$7),MONTH(Capa!$A$7),1),"",EDATE(B38,1)),"")</f>
        <v>46235</v>
      </c>
      <c r="C39" s="28">
        <f t="shared" si="15"/>
        <v>12</v>
      </c>
      <c r="D39" s="30">
        <f t="shared" si="16"/>
        <v>12</v>
      </c>
      <c r="E39" s="28"/>
      <c r="F39" s="28"/>
      <c r="G39" s="28"/>
      <c r="H39" s="28"/>
      <c r="I39" s="28"/>
      <c r="K39" s="33" t="str">
        <f t="shared" si="2"/>
        <v/>
      </c>
      <c r="L39" s="33" t="str">
        <f t="shared" si="3"/>
        <v/>
      </c>
      <c r="M39" s="34" t="str">
        <f t="shared" ca="1" si="4"/>
        <v/>
      </c>
      <c r="O39" s="38"/>
      <c r="P39" s="35"/>
      <c r="Q39" s="38"/>
      <c r="R39" s="37" t="str">
        <f ca="1">IF(P39="","",IFERROR(IF(Capa!$A$2="","Após a celebração do termo de parceria.","Realização da "&amp;OFFSET($Y$6,MATCH(A39,$X$7:$X$66,0),0)-1&amp;"ª reunião da CA e aprovação da liberação de parcela pelo supervisor."),""))</f>
        <v/>
      </c>
      <c r="T39" s="38" t="str">
        <f t="shared" si="11"/>
        <v>Sim</v>
      </c>
      <c r="U39" s="38" t="str">
        <f t="shared" si="12"/>
        <v/>
      </c>
      <c r="V39" s="38" t="str">
        <f>Cronogramas!T39</f>
        <v>Sim</v>
      </c>
      <c r="W39" s="38"/>
      <c r="X39" s="38">
        <f>COUNTIF(V$7:$V39,"Sim")</f>
        <v>12</v>
      </c>
      <c r="Y39" s="38">
        <f t="shared" si="13"/>
        <v>12</v>
      </c>
      <c r="Z39" s="39" t="str">
        <f t="shared" si="14"/>
        <v/>
      </c>
      <c r="AA39" s="40" t="str">
        <f t="shared" ca="1" si="8"/>
        <v/>
      </c>
      <c r="AB39" s="41">
        <f ca="1">_xlfn.IFNA(IF(V39="Sim",(IFERROR(SUM(OFFSET(AE39,1,,MATCH("Sim",V40:$V$66,0),1))-AC39,0)+IF(Y39-$W$7=1,SUM($AE$6:AE39)-$AF$7,0)+IF(SUM(Y40:$Y$66)=0,SUM(AE40:$AE$66)-AC39+Analítico!$BK$151)),0),0)</f>
        <v>16465002.450636938</v>
      </c>
      <c r="AC39" s="41">
        <f ca="1">IFERROR(IF(V39="Sim",IFERROR(SUM(OFFSET(AD39,1,,MATCH("Sim",T40:$T$66,0),1)),0)+IF(Y39-$W$7=1,SUM($AD$6:AD39),0)+IF(SUM(Y40:$Y$66)=0,SUM(AD40:$AD$66),0),0),0)</f>
        <v>0</v>
      </c>
      <c r="AD39" s="41">
        <f ca="1">SUM(OFFSET(Analítico!$B$10,0,A39,2,1))</f>
        <v>0</v>
      </c>
      <c r="AE39" s="41">
        <f ca="1">OFFSET(Analítico!$B$152,,A39)</f>
        <v>5461503.8035456464</v>
      </c>
      <c r="AH39" s="44">
        <f t="shared" ref="AH39:AH66" si="17">IF(D39="",C39,D39)</f>
        <v>12</v>
      </c>
    </row>
    <row r="40" spans="1:34" ht="15">
      <c r="A40" s="28">
        <v>34</v>
      </c>
      <c r="B40" s="29">
        <f>IFERROR(IF(EDATE(B39,1)&gt;DATE(YEAR(Capa!$A$7),MONTH(Capa!$A$7),1),"",EDATE(B39,1)),"")</f>
        <v>46266</v>
      </c>
      <c r="C40" s="28">
        <f t="shared" si="15"/>
        <v>12</v>
      </c>
      <c r="D40" s="30">
        <f t="shared" si="16"/>
        <v>12</v>
      </c>
      <c r="E40" s="28"/>
      <c r="F40" s="28"/>
      <c r="G40" s="28"/>
      <c r="H40" s="28"/>
      <c r="I40" s="28"/>
      <c r="O40" s="38"/>
      <c r="P40" s="38"/>
      <c r="Q40" s="38"/>
      <c r="R40" s="37" t="str">
        <f ca="1">IF(P40="","",IFERROR(IF(Capa!$A$2="","Após a celebração do termo de parceria.","Realização da "&amp;OFFSET($Y$6,MATCH(A40,$X$7:$X$66,0),0)-1&amp;"ª reunião da CA e aprovação da liberação de parcela pelo supervisor."),""))</f>
        <v/>
      </c>
      <c r="T40" s="38" t="str">
        <f t="shared" ref="T40:T66" si="18">IF(AH40="","Não",IF(AH40&gt;AH39,"Sim","Não"))</f>
        <v>Não</v>
      </c>
      <c r="U40" s="38" t="str">
        <f t="shared" ref="U40:U66" si="19">IFERROR(IF(U39+1&gt;MAX(AH39:AH98),"",U39+1),"")</f>
        <v/>
      </c>
      <c r="V40" s="38" t="str">
        <f>Cronogramas!T40</f>
        <v>Não</v>
      </c>
      <c r="W40" s="38"/>
      <c r="X40" s="38">
        <f>COUNTIF(V$7:$V40,"Sim")</f>
        <v>12</v>
      </c>
      <c r="Y40" s="38" t="str">
        <f t="shared" ref="Y40:Y66" si="20">IF(T40="Não","",AH40)</f>
        <v/>
      </c>
      <c r="Z40" s="39"/>
      <c r="AA40" s="45"/>
      <c r="AB40" s="41">
        <f ca="1">_xlfn.IFNA(IF(V40="Sim",(IFERROR(SUM(OFFSET(AE40,1,,MATCH("Sim",V41:$V$66,0),1))-AC40,0)+IF(Y40-$W$7=1,SUM($AE$6:AE40)-$AF$7,0)+IF(SUM(Y41:$Y$66)=0,SUM(AE41:$AE$66)-AC40+Analítico!$BK$151)),0),0)</f>
        <v>0</v>
      </c>
      <c r="AC40" s="41">
        <f ca="1">IFERROR(IF(V40="Sim",IFERROR(SUM(OFFSET(AD40,1,,MATCH("Sim",T41:$T$66,0),1)),0)+IF(Y40-$W$7=1,SUM($AD$6:AD40),0)+IF(SUM(Y41:$Y$66)=0,SUM(AD41:$AD$66),0),0),0)</f>
        <v>0</v>
      </c>
      <c r="AD40" s="41">
        <f ca="1">SUM(OFFSET(Analítico!$B$10,0,A40,2,1))</f>
        <v>0</v>
      </c>
      <c r="AE40" s="41">
        <f ca="1">OFFSET(Analítico!$B$152,,A40)</f>
        <v>5498273.8035456464</v>
      </c>
      <c r="AH40" s="44">
        <f t="shared" si="17"/>
        <v>12</v>
      </c>
    </row>
    <row r="41" spans="1:34" ht="15">
      <c r="A41" s="28">
        <v>35</v>
      </c>
      <c r="B41" s="29">
        <f>IFERROR(IF(EDATE(B40,1)&gt;DATE(YEAR(Capa!$A$7),MONTH(Capa!$A$7),1),"",EDATE(B40,1)),"")</f>
        <v>46296</v>
      </c>
      <c r="C41" s="28">
        <f t="shared" si="15"/>
        <v>12</v>
      </c>
      <c r="D41" s="30">
        <f t="shared" si="16"/>
        <v>12</v>
      </c>
      <c r="E41" s="28"/>
      <c r="F41" s="28"/>
      <c r="G41" s="28"/>
      <c r="H41" s="28"/>
      <c r="I41" s="28"/>
      <c r="R41" s="37" t="str">
        <f ca="1">IF(P41="","",IFERROR(IF(Capa!$A$2="","Após a celebração do termo de parceria.","Realização da "&amp;OFFSET($Y$6,MATCH(A41,$X$7:$X$66,0),0)-1&amp;"ª reunião da CA e aprovação da liberação de parcela pelo supervisor."),""))</f>
        <v/>
      </c>
      <c r="T41" s="38" t="str">
        <f t="shared" si="18"/>
        <v>Não</v>
      </c>
      <c r="U41" s="38" t="str">
        <f t="shared" si="19"/>
        <v/>
      </c>
      <c r="V41" s="38" t="str">
        <f>Cronogramas!T41</f>
        <v>Não</v>
      </c>
      <c r="W41" s="38"/>
      <c r="X41" s="38">
        <f>COUNTIF(V$7:$V41,"Sim")</f>
        <v>12</v>
      </c>
      <c r="Y41" s="38" t="str">
        <f t="shared" si="20"/>
        <v/>
      </c>
      <c r="Z41" s="39"/>
      <c r="AA41" s="45"/>
      <c r="AB41" s="41">
        <f ca="1">_xlfn.IFNA(IF(V41="Sim",(IFERROR(SUM(OFFSET(AE41,1,,MATCH("Sim",V42:$V$66,0),1))-AC41,0)+IF(Y41-$W$7=1,SUM($AE$6:AE41)-$AF$7,0)+IF(SUM(Y42:$Y$66)=0,SUM(AE42:$AE$66)-AC41+Analítico!$BK$151)),0),0)</f>
        <v>0</v>
      </c>
      <c r="AC41" s="41">
        <f ca="1">IFERROR(IF(V41="Sim",IFERROR(SUM(OFFSET(AD41,1,,MATCH("Sim",T42:$T$66,0),1)),0)+IF(Y41-$W$7=1,SUM($AD$6:AD41),0)+IF(SUM(Y42:$Y$66)=0,SUM(AD42:$AD$66),0),0),0)</f>
        <v>0</v>
      </c>
      <c r="AD41" s="41">
        <f ca="1">SUM(OFFSET(Analítico!$B$10,0,A41,2,1))</f>
        <v>0</v>
      </c>
      <c r="AE41" s="41">
        <f ca="1">OFFSET(Analítico!$B$152,,A41)</f>
        <v>5482514.9635456465</v>
      </c>
      <c r="AH41" s="44">
        <f t="shared" si="17"/>
        <v>12</v>
      </c>
    </row>
    <row r="42" spans="1:34" ht="15">
      <c r="A42" s="28">
        <v>36</v>
      </c>
      <c r="B42" s="29">
        <f>IFERROR(IF(EDATE(B41,1)&gt;DATE(YEAR(Capa!$A$7),MONTH(Capa!$A$7),1),"",EDATE(B41,1)),"")</f>
        <v>46327</v>
      </c>
      <c r="C42" s="28">
        <f t="shared" ref="C42:C66" si="21">IF(B42="","",C39+1)</f>
        <v>13</v>
      </c>
      <c r="D42" s="30">
        <f t="shared" si="16"/>
        <v>13</v>
      </c>
      <c r="E42" s="28"/>
      <c r="F42" s="28"/>
      <c r="G42" s="28"/>
      <c r="H42" s="28"/>
      <c r="I42" s="28"/>
      <c r="R42" s="37" t="str">
        <f ca="1">IF(P42="","",IFERROR(IF(Capa!$A$2="","Após a celebração do termo de parceria.","Realização da "&amp;OFFSET($Y$6,MATCH(A42,$X$7:$X$66,0),0)-1&amp;"ª reunião da CA e aprovação da liberação de parcela pelo supervisor."),""))</f>
        <v/>
      </c>
      <c r="T42" s="38" t="str">
        <f t="shared" si="18"/>
        <v>Sim</v>
      </c>
      <c r="U42" s="38" t="str">
        <f t="shared" si="19"/>
        <v/>
      </c>
      <c r="V42" s="38" t="str">
        <f>Cronogramas!T42</f>
        <v>Sim</v>
      </c>
      <c r="W42" s="38"/>
      <c r="X42" s="38">
        <f>COUNTIF(V$7:$V42,"Sim")</f>
        <v>13</v>
      </c>
      <c r="Y42" s="38">
        <f t="shared" si="20"/>
        <v>13</v>
      </c>
      <c r="Z42" s="39"/>
      <c r="AA42" s="45"/>
      <c r="AB42" s="41">
        <f ca="1">_xlfn.IFNA(IF(V42="Sim",(IFERROR(SUM(OFFSET(AE42,1,,MATCH("Sim",V43:$V$66,0),1))-AC42,0)+IF(Y42-$W$7=1,SUM($AE$6:AE42)-$AF$7,0)+IF(SUM(Y43:$Y$66)=0,SUM(AE43:$AE$66)-AC42+Analítico!$BK$151)),0),0)</f>
        <v>17160186.583105743</v>
      </c>
      <c r="AC42" s="41">
        <f ca="1">IFERROR(IF(V42="Sim",IFERROR(SUM(OFFSET(AD42,1,,MATCH("Sim",T43:$T$66,0),1)),0)+IF(Y42-$W$7=1,SUM($AD$6:AD42),0)+IF(SUM(Y43:$Y$66)=0,SUM(AD43:$AD$66),0),0),0)</f>
        <v>0</v>
      </c>
      <c r="AD42" s="41">
        <f ca="1">SUM(OFFSET(Analítico!$B$10,0,A42,2,1))</f>
        <v>0</v>
      </c>
      <c r="AE42" s="41">
        <f ca="1">OFFSET(Analítico!$B$152,,A42)</f>
        <v>5484213.6835456463</v>
      </c>
      <c r="AH42" s="44">
        <f t="shared" si="17"/>
        <v>13</v>
      </c>
    </row>
    <row r="43" spans="1:34" ht="15">
      <c r="A43" s="28">
        <v>37</v>
      </c>
      <c r="B43" s="29">
        <f>IFERROR(IF(EDATE(B42,1)&gt;DATE(YEAR(Capa!$A$7),MONTH(Capa!$A$7),1),"",EDATE(B42,1)),"")</f>
        <v>46357</v>
      </c>
      <c r="C43" s="28">
        <f t="shared" si="21"/>
        <v>13</v>
      </c>
      <c r="D43" s="30">
        <f t="shared" si="16"/>
        <v>13</v>
      </c>
      <c r="E43" s="28"/>
      <c r="F43" s="28"/>
      <c r="G43" s="28"/>
      <c r="H43" s="28"/>
      <c r="I43" s="28"/>
      <c r="R43" s="37" t="str">
        <f ca="1">IF(P43="","",IFERROR(IF(Capa!$A$2="","Após a celebração do termo de parceria.","Realização da "&amp;OFFSET($Y$6,MATCH(A43,$X$7:$X$66,0),0)-1&amp;"ª reunião da CA e aprovação da liberação de parcela pelo supervisor."),""))</f>
        <v/>
      </c>
      <c r="T43" s="38" t="str">
        <f t="shared" si="18"/>
        <v>Não</v>
      </c>
      <c r="U43" s="38" t="str">
        <f t="shared" si="19"/>
        <v/>
      </c>
      <c r="V43" s="38" t="str">
        <f>Cronogramas!T43</f>
        <v>Não</v>
      </c>
      <c r="W43" s="38"/>
      <c r="X43" s="38">
        <f>COUNTIF(V$7:$V43,"Sim")</f>
        <v>13</v>
      </c>
      <c r="Y43" s="38" t="str">
        <f t="shared" si="20"/>
        <v/>
      </c>
      <c r="Z43" s="45"/>
      <c r="AA43" s="45"/>
      <c r="AB43" s="41">
        <f ca="1">_xlfn.IFNA(IF(V43="Sim",(IFERROR(SUM(OFFSET(AE43,1,,MATCH("Sim",V44:$V$66,0),1))-AC43,0)+IF(Y43-$W$7=1,SUM($AE$6:AE43)-$AF$7,0)+IF(SUM(Y44:$Y$66)=0,SUM(AE44:$AE$66)-AC43+Analítico!$BK$151)),0),0)</f>
        <v>0</v>
      </c>
      <c r="AC43" s="41">
        <f ca="1">IFERROR(IF(V43="Sim",IFERROR(SUM(OFFSET(AD43,1,,MATCH("Sim",T44:$T$66,0),1)),0)+IF(Y43-$W$7=1,SUM($AD$6:AD43),0)+IF(SUM(Y44:$Y$66)=0,SUM(AD44:$AD$66),0),0),0)</f>
        <v>0</v>
      </c>
      <c r="AD43" s="41">
        <f ca="1">SUM(OFFSET(Analítico!$B$10,0,A43,2,1))</f>
        <v>0</v>
      </c>
      <c r="AE43" s="41">
        <f ca="1">OFFSET(Analítico!$B$152,,A43)</f>
        <v>5507698.4635456465</v>
      </c>
      <c r="AH43" s="44">
        <f t="shared" si="17"/>
        <v>13</v>
      </c>
    </row>
    <row r="44" spans="1:34" ht="15">
      <c r="A44" s="28">
        <v>38</v>
      </c>
      <c r="B44" s="29">
        <f>IFERROR(IF(EDATE(B43,1)&gt;DATE(YEAR(Capa!$A$7),MONTH(Capa!$A$7),1),"",EDATE(B43,1)),"")</f>
        <v>46388</v>
      </c>
      <c r="C44" s="28">
        <f t="shared" si="21"/>
        <v>13</v>
      </c>
      <c r="D44" s="30">
        <f t="shared" si="16"/>
        <v>13</v>
      </c>
      <c r="E44" s="28"/>
      <c r="F44" s="28"/>
      <c r="G44" s="28"/>
      <c r="H44" s="28"/>
      <c r="I44" s="28"/>
      <c r="R44" s="37" t="str">
        <f ca="1">IF(P44="","",IFERROR(IF(Capa!$A$2="","Após a celebração do termo de parceria.","Realização da "&amp;OFFSET($Y$6,MATCH(A44,$X$7:$X$66,0),0)-1&amp;"ª reunião da CA e aprovação da liberação de parcela pelo supervisor."),""))</f>
        <v/>
      </c>
      <c r="T44" s="38" t="str">
        <f t="shared" si="18"/>
        <v>Não</v>
      </c>
      <c r="U44" s="38" t="str">
        <f t="shared" si="19"/>
        <v/>
      </c>
      <c r="V44" s="38" t="str">
        <f>Cronogramas!T44</f>
        <v>Não</v>
      </c>
      <c r="W44" s="38"/>
      <c r="X44" s="38">
        <f>COUNTIF(V$7:$V44,"Sim")</f>
        <v>13</v>
      </c>
      <c r="Y44" s="38" t="str">
        <f t="shared" si="20"/>
        <v/>
      </c>
      <c r="Z44" s="45"/>
      <c r="AA44" s="45"/>
      <c r="AB44" s="41">
        <f ca="1">_xlfn.IFNA(IF(V44="Sim",(IFERROR(SUM(OFFSET(AE44,1,,MATCH("Sim",V45:$V$66,0),1))-AC44,0)+IF(Y44-$W$7=1,SUM($AE$6:AE44)-$AF$7,0)+IF(SUM(Y45:$Y$66)=0,SUM(AE45:$AE$66)-AC44+Analítico!$BK$151)),0),0)</f>
        <v>0</v>
      </c>
      <c r="AC44" s="41">
        <f ca="1">IFERROR(IF(V44="Sim",IFERROR(SUM(OFFSET(AD44,1,,MATCH("Sim",T45:$T$66,0),1)),0)+IF(Y44-$W$7=1,SUM($AD$6:AD44),0)+IF(SUM(Y45:$Y$66)=0,SUM(AD45:$AD$66),0),0),0)</f>
        <v>0</v>
      </c>
      <c r="AD44" s="41">
        <f ca="1">SUM(OFFSET(Analítico!$B$10,0,A44,2,1))</f>
        <v>0</v>
      </c>
      <c r="AE44" s="41">
        <f ca="1">OFFSET(Analítico!$B$152,,A44)</f>
        <v>5701113.9335456444</v>
      </c>
      <c r="AH44" s="44">
        <f t="shared" si="17"/>
        <v>13</v>
      </c>
    </row>
    <row r="45" spans="1:34" ht="15">
      <c r="A45" s="28">
        <v>39</v>
      </c>
      <c r="B45" s="29">
        <f>IFERROR(IF(EDATE(B44,1)&gt;DATE(YEAR(Capa!$A$7),MONTH(Capa!$A$7),1),"",EDATE(B44,1)),"")</f>
        <v>46419</v>
      </c>
      <c r="C45" s="28">
        <f t="shared" si="21"/>
        <v>14</v>
      </c>
      <c r="D45" s="30">
        <f t="shared" si="16"/>
        <v>14</v>
      </c>
      <c r="E45" s="28"/>
      <c r="F45" s="28"/>
      <c r="G45" s="28"/>
      <c r="H45" s="28"/>
      <c r="I45" s="28"/>
      <c r="R45" s="37" t="str">
        <f ca="1">IF(P45="","",IFERROR(IF(Capa!$A$2="","Após a celebração do termo de parceria.","Realização da "&amp;OFFSET($Y$6,MATCH(A45,$X$7:$X$66,0),0)-1&amp;"ª reunião da CA e aprovação da liberação de parcela pelo supervisor."),""))</f>
        <v/>
      </c>
      <c r="T45" s="38" t="str">
        <f t="shared" si="18"/>
        <v>Sim</v>
      </c>
      <c r="U45" s="38" t="str">
        <f t="shared" si="19"/>
        <v/>
      </c>
      <c r="V45" s="38" t="str">
        <f>Cronogramas!T45</f>
        <v>Sim</v>
      </c>
      <c r="W45" s="38"/>
      <c r="X45" s="38">
        <f>COUNTIF(V$7:$V45,"Sim")</f>
        <v>14</v>
      </c>
      <c r="Y45" s="38">
        <f t="shared" si="20"/>
        <v>14</v>
      </c>
      <c r="Z45" s="45"/>
      <c r="AA45" s="45"/>
      <c r="AB45" s="41">
        <f ca="1">_xlfn.IFNA(IF(V45="Sim",(IFERROR(SUM(OFFSET(AE45,1,,MATCH("Sim",V46:$V$66,0),1))-AC45,0)+IF(Y45-$W$7=1,SUM($AE$6:AE45)-$AF$7,0)+IF(SUM(Y46:$Y$66)=0,SUM(AE46:$AE$66)-AC45+Analítico!$BK$151)),0),0)</f>
        <v>17269416.781711999</v>
      </c>
      <c r="AC45" s="41">
        <f ca="1">IFERROR(IF(V45="Sim",IFERROR(SUM(OFFSET(AD45,1,,MATCH("Sim",T46:$T$66,0),1)),0)+IF(Y45-$W$7=1,SUM($AD$6:AD45),0)+IF(SUM(Y46:$Y$66)=0,SUM(AD46:$AD$66),0),0),0)</f>
        <v>0</v>
      </c>
      <c r="AD45" s="41">
        <f ca="1">SUM(OFFSET(Analítico!$B$10,0,A45,2,1))</f>
        <v>0</v>
      </c>
      <c r="AE45" s="41">
        <f ca="1">OFFSET(Analítico!$B$152,,A45)</f>
        <v>5951374.1860144511</v>
      </c>
      <c r="AH45" s="44">
        <f t="shared" si="17"/>
        <v>14</v>
      </c>
    </row>
    <row r="46" spans="1:34" ht="15">
      <c r="A46" s="28">
        <v>40</v>
      </c>
      <c r="B46" s="29">
        <f>IFERROR(IF(EDATE(B45,1)&gt;DATE(YEAR(Capa!$A$7),MONTH(Capa!$A$7),1),"",EDATE(B45,1)),"")</f>
        <v>46447</v>
      </c>
      <c r="C46" s="28">
        <f t="shared" si="21"/>
        <v>14</v>
      </c>
      <c r="D46" s="30">
        <f t="shared" si="16"/>
        <v>14</v>
      </c>
      <c r="E46" s="28"/>
      <c r="F46" s="28"/>
      <c r="G46" s="28"/>
      <c r="H46" s="28"/>
      <c r="I46" s="28"/>
      <c r="R46" s="37" t="str">
        <f ca="1">IF(P46="","",IFERROR(IF(Capa!$A$2="","Após a celebração do termo de parceria.","Realização da "&amp;OFFSET($Y$6,MATCH(A46,$X$7:$X$66,0),0)-1&amp;"ª reunião da CA e aprovação da liberação de parcela pelo supervisor."),""))</f>
        <v/>
      </c>
      <c r="T46" s="38" t="str">
        <f t="shared" si="18"/>
        <v>Não</v>
      </c>
      <c r="U46" s="38" t="str">
        <f t="shared" si="19"/>
        <v/>
      </c>
      <c r="V46" s="38" t="str">
        <f>Cronogramas!T46</f>
        <v>Não</v>
      </c>
      <c r="W46" s="38"/>
      <c r="X46" s="38">
        <f>COUNTIF(V$7:$V46,"Sim")</f>
        <v>14</v>
      </c>
      <c r="Y46" s="38" t="str">
        <f t="shared" si="20"/>
        <v/>
      </c>
      <c r="Z46" s="45"/>
      <c r="AA46" s="45"/>
      <c r="AB46" s="41">
        <f ca="1">_xlfn.IFNA(IF(V46="Sim",(IFERROR(SUM(OFFSET(AE46,1,,MATCH("Sim",V47:$V$66,0),1))-AC46,0)+IF(Y46-$W$7=1,SUM($AE$6:AE46)-$AF$7,0)+IF(SUM(Y47:$Y$66)=0,SUM(AE47:$AE$66)-AC46+Analítico!$BK$151)),0),0)</f>
        <v>0</v>
      </c>
      <c r="AC46" s="41">
        <f ca="1">IFERROR(IF(V46="Sim",IFERROR(SUM(OFFSET(AD46,1,,MATCH("Sim",T47:$T$66,0),1)),0)+IF(Y46-$W$7=1,SUM($AD$6:AD46),0)+IF(SUM(Y47:$Y$66)=0,SUM(AD47:$AD$66),0),0),0)</f>
        <v>0</v>
      </c>
      <c r="AD46" s="41">
        <f ca="1">SUM(OFFSET(Analítico!$B$10,0,A46,2,1))</f>
        <v>0</v>
      </c>
      <c r="AE46" s="41">
        <f ca="1">OFFSET(Analítico!$B$152,,A46)</f>
        <v>5763435.7635456445</v>
      </c>
      <c r="AH46" s="44">
        <f t="shared" si="17"/>
        <v>14</v>
      </c>
    </row>
    <row r="47" spans="1:34" ht="15">
      <c r="A47" s="28">
        <v>41</v>
      </c>
      <c r="B47" s="29">
        <f>IFERROR(IF(EDATE(B46,1)&gt;DATE(YEAR(Capa!$A$7),MONTH(Capa!$A$7),1),"",EDATE(B46,1)),"")</f>
        <v>46478</v>
      </c>
      <c r="C47" s="28">
        <f t="shared" si="21"/>
        <v>14</v>
      </c>
      <c r="D47" s="30">
        <f t="shared" si="16"/>
        <v>14</v>
      </c>
      <c r="E47" s="28"/>
      <c r="F47" s="28"/>
      <c r="G47" s="28"/>
      <c r="H47" s="28"/>
      <c r="I47" s="28"/>
      <c r="R47" s="37" t="str">
        <f ca="1">IF(P47="","",IFERROR(IF(Capa!$A$2="","Após a celebração do termo de parceria.","Realização da "&amp;OFFSET($Y$6,MATCH(A47,$X$7:$X$66,0),0)-1&amp;"ª reunião da CA e aprovação da liberação de parcela pelo supervisor."),""))</f>
        <v/>
      </c>
      <c r="T47" s="38" t="str">
        <f t="shared" si="18"/>
        <v>Não</v>
      </c>
      <c r="U47" s="38" t="str">
        <f t="shared" si="19"/>
        <v/>
      </c>
      <c r="V47" s="38" t="str">
        <f>Cronogramas!T47</f>
        <v>Não</v>
      </c>
      <c r="W47" s="38"/>
      <c r="X47" s="38">
        <f>COUNTIF(V$7:$V47,"Sim")</f>
        <v>14</v>
      </c>
      <c r="Y47" s="38" t="str">
        <f t="shared" si="20"/>
        <v/>
      </c>
      <c r="Z47" s="45"/>
      <c r="AA47" s="45"/>
      <c r="AB47" s="41">
        <f ca="1">_xlfn.IFNA(IF(V47="Sim",(IFERROR(SUM(OFFSET(AE47,1,,MATCH("Sim",V48:$V$66,0),1))-AC47,0)+IF(Y47-$W$7=1,SUM($AE$6:AE47)-$AF$7,0)+IF(SUM(Y48:$Y$66)=0,SUM(AE48:$AE$66)-AC47+Analítico!$BK$151)),0),0)</f>
        <v>0</v>
      </c>
      <c r="AC47" s="41">
        <f ca="1">IFERROR(IF(V47="Sim",IFERROR(SUM(OFFSET(AD47,1,,MATCH("Sim",T48:$T$66,0),1)),0)+IF(Y47-$W$7=1,SUM($AD$6:AD47),0)+IF(SUM(Y48:$Y$66)=0,SUM(AD48:$AD$66),0),0),0)</f>
        <v>0</v>
      </c>
      <c r="AD47" s="41">
        <f ca="1">SUM(OFFSET(Analítico!$B$10,0,A47,2,1))</f>
        <v>0</v>
      </c>
      <c r="AE47" s="41">
        <f ca="1">OFFSET(Analítico!$B$152,,A47)</f>
        <v>5682333.1935456442</v>
      </c>
      <c r="AH47" s="44">
        <f t="shared" si="17"/>
        <v>14</v>
      </c>
    </row>
    <row r="48" spans="1:34" ht="15">
      <c r="A48" s="28">
        <v>42</v>
      </c>
      <c r="B48" s="29">
        <f>IFERROR(IF(EDATE(B47,1)&gt;DATE(YEAR(Capa!$A$7),MONTH(Capa!$A$7),1),"",EDATE(B47,1)),"")</f>
        <v>46508</v>
      </c>
      <c r="C48" s="28">
        <f t="shared" si="21"/>
        <v>15</v>
      </c>
      <c r="D48" s="30">
        <f t="shared" si="16"/>
        <v>15</v>
      </c>
      <c r="E48" s="28"/>
      <c r="F48" s="28"/>
      <c r="G48" s="28"/>
      <c r="H48" s="28"/>
      <c r="I48" s="28"/>
      <c r="R48" s="37" t="str">
        <f ca="1">IF(P48="","",IFERROR(IF(Capa!$A$2="","Após a celebração do termo de parceria.","Realização da "&amp;OFFSET($Y$6,MATCH(A48,$X$7:$X$66,0),0)-1&amp;"ª reunião da CA e aprovação da liberação de parcela pelo supervisor."),""))</f>
        <v/>
      </c>
      <c r="T48" s="38" t="str">
        <f t="shared" si="18"/>
        <v>Sim</v>
      </c>
      <c r="U48" s="38" t="str">
        <f t="shared" si="19"/>
        <v/>
      </c>
      <c r="V48" s="38" t="str">
        <f>Cronogramas!T48</f>
        <v>Sim</v>
      </c>
      <c r="W48" s="38"/>
      <c r="X48" s="38">
        <f>COUNTIF(V$7:$V48,"Sim")</f>
        <v>15</v>
      </c>
      <c r="Y48" s="38">
        <f t="shared" si="20"/>
        <v>15</v>
      </c>
      <c r="Z48" s="45"/>
      <c r="AA48" s="45"/>
      <c r="AB48" s="41">
        <f ca="1">_xlfn.IFNA(IF(V48="Sim",(IFERROR(SUM(OFFSET(AE48,1,,MATCH("Sim",V49:$V$66,0),1))-AC48,0)+IF(Y48-$W$7=1,SUM($AE$6:AE48)-$AF$7,0)+IF(SUM(Y49:$Y$66)=0,SUM(AE49:$AE$66)-AC48+Analítico!$BK$151)),0),0)</f>
        <v>17642611.953862131</v>
      </c>
      <c r="AC48" s="41">
        <f ca="1">IFERROR(IF(V48="Sim",IFERROR(SUM(OFFSET(AD48,1,,MATCH("Sim",T49:$T$66,0),1)),0)+IF(Y48-$W$7=1,SUM($AD$6:AD48),0)+IF(SUM(Y49:$Y$66)=0,SUM(AD49:$AD$66),0),0),0)</f>
        <v>0</v>
      </c>
      <c r="AD48" s="41">
        <f ca="1">SUM(OFFSET(Analítico!$B$10,0,A48,2,1))</f>
        <v>0</v>
      </c>
      <c r="AE48" s="41">
        <f ca="1">OFFSET(Analítico!$B$152,,A48)</f>
        <v>5823647.8246207098</v>
      </c>
      <c r="AH48" s="44">
        <f t="shared" si="17"/>
        <v>15</v>
      </c>
    </row>
    <row r="49" spans="1:34" ht="15">
      <c r="A49" s="28">
        <v>43</v>
      </c>
      <c r="B49" s="29">
        <f>IFERROR(IF(EDATE(B48,1)&gt;DATE(YEAR(Capa!$A$7),MONTH(Capa!$A$7),1),"",EDATE(B48,1)),"")</f>
        <v>46539</v>
      </c>
      <c r="C49" s="28">
        <f t="shared" si="21"/>
        <v>15</v>
      </c>
      <c r="D49" s="30">
        <f t="shared" si="16"/>
        <v>15</v>
      </c>
      <c r="E49" s="28"/>
      <c r="F49" s="28"/>
      <c r="G49" s="28"/>
      <c r="H49" s="28"/>
      <c r="I49" s="28"/>
      <c r="R49" s="37" t="str">
        <f ca="1">IF(P49="","",IFERROR(IF(Capa!$A$2="","Após a celebração do termo de parceria.","Realização da "&amp;OFFSET($Y$6,MATCH(A49,$X$7:$X$66,0),0)-1&amp;"ª reunião da CA e aprovação da liberação de parcela pelo supervisor."),""))</f>
        <v/>
      </c>
      <c r="T49" s="38" t="str">
        <f t="shared" si="18"/>
        <v>Não</v>
      </c>
      <c r="U49" s="38" t="str">
        <f t="shared" si="19"/>
        <v/>
      </c>
      <c r="V49" s="38" t="str">
        <f>Cronogramas!T49</f>
        <v>Não</v>
      </c>
      <c r="W49" s="38"/>
      <c r="X49" s="38">
        <f>COUNTIF(V$7:$V49,"Sim")</f>
        <v>15</v>
      </c>
      <c r="Y49" s="38" t="str">
        <f t="shared" si="20"/>
        <v/>
      </c>
      <c r="Z49" s="45"/>
      <c r="AA49" s="45"/>
      <c r="AB49" s="41">
        <f ca="1">_xlfn.IFNA(IF(V49="Sim",(IFERROR(SUM(OFFSET(AE49,1,,MATCH("Sim",V50:$V$66,0),1))-AC49,0)+IF(Y49-$W$7=1,SUM($AE$6:AE49)-$AF$7,0)+IF(SUM(Y50:$Y$66)=0,SUM(AE50:$AE$66)-AC49+Analítico!$BK$151)),0),0)</f>
        <v>0</v>
      </c>
      <c r="AC49" s="41">
        <f ca="1">IFERROR(IF(V49="Sim",IFERROR(SUM(OFFSET(AD49,1,,MATCH("Sim",T50:$T$66,0),1)),0)+IF(Y49-$W$7=1,SUM($AD$6:AD49),0)+IF(SUM(Y50:$Y$66)=0,SUM(AD50:$AD$66),0),0),0)</f>
        <v>0</v>
      </c>
      <c r="AD49" s="41">
        <f ca="1">SUM(OFFSET(Analítico!$B$10,0,A49,2,1))</f>
        <v>0</v>
      </c>
      <c r="AE49" s="41">
        <f ca="1">OFFSET(Analítico!$B$152,,A49)</f>
        <v>5952989.8246207098</v>
      </c>
      <c r="AH49" s="44">
        <f t="shared" si="17"/>
        <v>15</v>
      </c>
    </row>
    <row r="50" spans="1:34" ht="15">
      <c r="A50" s="28">
        <v>44</v>
      </c>
      <c r="B50" s="29">
        <f>IFERROR(IF(EDATE(B49,1)&gt;DATE(YEAR(Capa!$A$7),MONTH(Capa!$A$7),1),"",EDATE(B49,1)),"")</f>
        <v>46569</v>
      </c>
      <c r="C50" s="28">
        <f t="shared" si="21"/>
        <v>15</v>
      </c>
      <c r="D50" s="30">
        <f t="shared" si="16"/>
        <v>15</v>
      </c>
      <c r="E50" s="28"/>
      <c r="F50" s="28"/>
      <c r="G50" s="28"/>
      <c r="H50" s="28"/>
      <c r="I50" s="28"/>
      <c r="R50" s="37" t="str">
        <f ca="1">IF(P50="","",IFERROR(IF(Capa!$A$2="","Após a celebração do termo de parceria.","Realização da "&amp;OFFSET($Y$6,MATCH(A50,$X$7:$X$66,0),0)-1&amp;"ª reunião da CA e aprovação da liberação de parcela pelo supervisor."),""))</f>
        <v/>
      </c>
      <c r="T50" s="38" t="str">
        <f t="shared" si="18"/>
        <v>Não</v>
      </c>
      <c r="U50" s="38" t="str">
        <f t="shared" si="19"/>
        <v/>
      </c>
      <c r="V50" s="38" t="str">
        <f>Cronogramas!T50</f>
        <v>Não</v>
      </c>
      <c r="W50" s="38"/>
      <c r="X50" s="38">
        <f>COUNTIF(V$7:$V50,"Sim")</f>
        <v>15</v>
      </c>
      <c r="Y50" s="38" t="str">
        <f t="shared" si="20"/>
        <v/>
      </c>
      <c r="Z50" s="45"/>
      <c r="AA50" s="45"/>
      <c r="AB50" s="41">
        <f ca="1">_xlfn.IFNA(IF(V50="Sim",(IFERROR(SUM(OFFSET(AE50,1,,MATCH("Sim",V51:$V$66,0),1))-AC50,0)+IF(Y50-$W$7=1,SUM($AE$6:AE50)-$AF$7,0)+IF(SUM(Y51:$Y$66)=0,SUM(AE51:$AE$66)-AC50+Analítico!$BK$151)),0),0)</f>
        <v>0</v>
      </c>
      <c r="AC50" s="41">
        <f ca="1">IFERROR(IF(V50="Sim",IFERROR(SUM(OFFSET(AD50,1,,MATCH("Sim",T51:$T$66,0),1)),0)+IF(Y50-$W$7=1,SUM($AD$6:AD50),0)+IF(SUM(Y51:$Y$66)=0,SUM(AD51:$AD$66),0),0),0)</f>
        <v>0</v>
      </c>
      <c r="AD50" s="41">
        <f ca="1">SUM(OFFSET(Analítico!$B$10,0,A50,2,1))</f>
        <v>0</v>
      </c>
      <c r="AE50" s="41">
        <f ca="1">OFFSET(Analítico!$B$152,,A50)</f>
        <v>5869364.8546207109</v>
      </c>
      <c r="AH50" s="44">
        <f t="shared" si="17"/>
        <v>15</v>
      </c>
    </row>
    <row r="51" spans="1:34" ht="15">
      <c r="A51" s="28">
        <v>45</v>
      </c>
      <c r="B51" s="29">
        <f>IFERROR(IF(EDATE(B50,1)&gt;DATE(YEAR(Capa!$A$7),MONTH(Capa!$A$7),1),"",EDATE(B50,1)),"")</f>
        <v>46600</v>
      </c>
      <c r="C51" s="28">
        <f t="shared" si="21"/>
        <v>16</v>
      </c>
      <c r="D51" s="30">
        <f t="shared" si="16"/>
        <v>16</v>
      </c>
      <c r="E51" s="28"/>
      <c r="F51" s="28"/>
      <c r="G51" s="28"/>
      <c r="H51" s="28"/>
      <c r="I51" s="28"/>
      <c r="R51" s="37" t="str">
        <f ca="1">IF(P51="","",IFERROR(IF(Capa!$A$2="","Após a celebração do termo de parceria.","Realização da "&amp;OFFSET($Y$6,MATCH(A51,$X$7:$X$66,0),0)-1&amp;"ª reunião da CA e aprovação da liberação de parcela pelo supervisor."),""))</f>
        <v/>
      </c>
      <c r="T51" s="38" t="str">
        <f t="shared" si="18"/>
        <v>Sim</v>
      </c>
      <c r="U51" s="38" t="str">
        <f t="shared" si="19"/>
        <v/>
      </c>
      <c r="V51" s="38" t="str">
        <f>Cronogramas!T51</f>
        <v>Sim</v>
      </c>
      <c r="W51" s="38"/>
      <c r="X51" s="38">
        <f>COUNTIF(V$7:$V51,"Sim")</f>
        <v>16</v>
      </c>
      <c r="Y51" s="38">
        <f t="shared" si="20"/>
        <v>16</v>
      </c>
      <c r="Z51" s="45"/>
      <c r="AA51" s="45"/>
      <c r="AB51" s="41">
        <f ca="1">_xlfn.IFNA(IF(V51="Sim",(IFERROR(SUM(OFFSET(AE51,1,,MATCH("Sim",V52:$V$66,0),1))-AC51,0)+IF(Y51-$W$7=1,SUM($AE$6:AE51)-$AF$7,0)+IF(SUM(Y52:$Y$66)=0,SUM(AE52:$AE$66)-AC51+Analítico!$BK$151)),0),0)</f>
        <v>17488607.573862132</v>
      </c>
      <c r="AC51" s="41">
        <f ca="1">IFERROR(IF(V51="Sim",IFERROR(SUM(OFFSET(AD51,1,,MATCH("Sim",T52:$T$66,0),1)),0)+IF(Y51-$W$7=1,SUM($AD$6:AD51),0)+IF(SUM(Y52:$Y$66)=0,SUM(AD52:$AD$66),0),0),0)</f>
        <v>0</v>
      </c>
      <c r="AD51" s="41">
        <f ca="1">SUM(OFFSET(Analítico!$B$10,0,A51,2,1))</f>
        <v>0</v>
      </c>
      <c r="AE51" s="41">
        <f ca="1">OFFSET(Analítico!$B$152,,A51)</f>
        <v>5820257.2746207109</v>
      </c>
      <c r="AH51" s="44">
        <f t="shared" si="17"/>
        <v>16</v>
      </c>
    </row>
    <row r="52" spans="1:34" ht="15">
      <c r="A52" s="28">
        <v>46</v>
      </c>
      <c r="B52" s="29">
        <f>IFERROR(IF(EDATE(B51,1)&gt;DATE(YEAR(Capa!$A$7),MONTH(Capa!$A$7),1),"",EDATE(B51,1)),"")</f>
        <v>46631</v>
      </c>
      <c r="C52" s="28">
        <f t="shared" si="21"/>
        <v>16</v>
      </c>
      <c r="D52" s="30">
        <f t="shared" si="16"/>
        <v>16</v>
      </c>
      <c r="E52" s="28"/>
      <c r="F52" s="28"/>
      <c r="G52" s="28"/>
      <c r="H52" s="28"/>
      <c r="I52" s="28"/>
      <c r="R52" s="37" t="str">
        <f ca="1">IF(P52="","",IFERROR(IF(Capa!$A$2="","Após a celebração do termo de parceria.","Realização da "&amp;OFFSET($Y$6,MATCH(A52,$X$7:$X$66,0),0)-1&amp;"ª reunião da CA e aprovação da liberação de parcela pelo supervisor."),""))</f>
        <v/>
      </c>
      <c r="T52" s="38" t="str">
        <f t="shared" si="18"/>
        <v>Não</v>
      </c>
      <c r="U52" s="38" t="str">
        <f t="shared" si="19"/>
        <v/>
      </c>
      <c r="V52" s="38" t="str">
        <f>Cronogramas!T52</f>
        <v>Não</v>
      </c>
      <c r="W52" s="38"/>
      <c r="X52" s="38">
        <f>COUNTIF(V$7:$V52,"Sim")</f>
        <v>16</v>
      </c>
      <c r="Y52" s="38" t="str">
        <f t="shared" si="20"/>
        <v/>
      </c>
      <c r="Z52" s="45"/>
      <c r="AA52" s="45"/>
      <c r="AB52" s="41">
        <f ca="1">_xlfn.IFNA(IF(V52="Sim",(IFERROR(SUM(OFFSET(AE52,1,,MATCH("Sim",V53:$V$66,0),1))-AC52,0)+IF(Y52-$W$7=1,SUM($AE$6:AE52)-$AF$7,0)+IF(SUM(Y53:$Y$66)=0,SUM(AE53:$AE$66)-AC52+Analítico!$BK$151)),0),0)</f>
        <v>0</v>
      </c>
      <c r="AC52" s="41">
        <f ca="1">IFERROR(IF(V52="Sim",IFERROR(SUM(OFFSET(AD52,1,,MATCH("Sim",T53:$T$66,0),1)),0)+IF(Y52-$W$7=1,SUM($AD$6:AD52),0)+IF(SUM(Y53:$Y$66)=0,SUM(AD53:$AD$66),0),0),0)</f>
        <v>0</v>
      </c>
      <c r="AD52" s="41">
        <f ca="1">SUM(OFFSET(Analítico!$B$10,0,A52,2,1))</f>
        <v>0</v>
      </c>
      <c r="AE52" s="41">
        <f ca="1">OFFSET(Analítico!$B$152,,A52)</f>
        <v>5859776.1146207098</v>
      </c>
      <c r="AH52" s="44">
        <f t="shared" si="17"/>
        <v>16</v>
      </c>
    </row>
    <row r="53" spans="1:34" ht="15">
      <c r="A53" s="28">
        <v>47</v>
      </c>
      <c r="B53" s="29">
        <f>IFERROR(IF(EDATE(B52,1)&gt;DATE(YEAR(Capa!$A$7),MONTH(Capa!$A$7),1),"",EDATE(B52,1)),"")</f>
        <v>46661</v>
      </c>
      <c r="C53" s="28">
        <f t="shared" si="21"/>
        <v>16</v>
      </c>
      <c r="D53" s="30">
        <f t="shared" si="16"/>
        <v>16</v>
      </c>
      <c r="E53" s="28"/>
      <c r="F53" s="28"/>
      <c r="G53" s="28"/>
      <c r="H53" s="28"/>
      <c r="I53" s="28"/>
      <c r="R53" s="37" t="str">
        <f ca="1">IF(P53="","",IFERROR(IF(Capa!$A$2="","Após a celebração do termo de parceria.","Realização da "&amp;OFFSET($Y$6,MATCH(A53,$X$7:$X$66,0),0)-1&amp;"ª reunião da CA e aprovação da liberação de parcela pelo supervisor."),""))</f>
        <v/>
      </c>
      <c r="T53" s="38" t="str">
        <f t="shared" si="18"/>
        <v>Não</v>
      </c>
      <c r="U53" s="38" t="str">
        <f t="shared" si="19"/>
        <v/>
      </c>
      <c r="V53" s="38" t="str">
        <f>Cronogramas!T53</f>
        <v>Não</v>
      </c>
      <c r="W53" s="38"/>
      <c r="X53" s="38">
        <f>COUNTIF(V$7:$V53,"Sim")</f>
        <v>16</v>
      </c>
      <c r="Y53" s="38" t="str">
        <f t="shared" si="20"/>
        <v/>
      </c>
      <c r="Z53" s="45"/>
      <c r="AA53" s="45"/>
      <c r="AB53" s="41">
        <f ca="1">_xlfn.IFNA(IF(V53="Sim",(IFERROR(SUM(OFFSET(AE53,1,,MATCH("Sim",V54:$V$66,0),1))-AC53,0)+IF(Y53-$W$7=1,SUM($AE$6:AE53)-$AF$7,0)+IF(SUM(Y54:$Y$66)=0,SUM(AE54:$AE$66)-AC53+Analítico!$BK$151)),0),0)</f>
        <v>0</v>
      </c>
      <c r="AC53" s="41">
        <f ca="1">IFERROR(IF(V53="Sim",IFERROR(SUM(OFFSET(AD53,1,,MATCH("Sim",T54:$T$66,0),1)),0)+IF(Y53-$W$7=1,SUM($AD$6:AD53),0)+IF(SUM(Y54:$Y$66)=0,SUM(AD54:$AD$66),0),0),0)</f>
        <v>0</v>
      </c>
      <c r="AD53" s="41">
        <f ca="1">SUM(OFFSET(Analítico!$B$10,0,A53,2,1))</f>
        <v>0</v>
      </c>
      <c r="AE53" s="41">
        <f ca="1">OFFSET(Analítico!$B$152,,A53)</f>
        <v>5820424.2046207106</v>
      </c>
      <c r="AH53" s="44">
        <f t="shared" si="17"/>
        <v>16</v>
      </c>
    </row>
    <row r="54" spans="1:34" ht="15">
      <c r="A54" s="28">
        <v>48</v>
      </c>
      <c r="B54" s="29">
        <f>IFERROR(IF(EDATE(B53,1)&gt;DATE(YEAR(Capa!$A$7),MONTH(Capa!$A$7),1),"",EDATE(B53,1)),"")</f>
        <v>46692</v>
      </c>
      <c r="C54" s="28">
        <f t="shared" si="21"/>
        <v>17</v>
      </c>
      <c r="D54" s="30">
        <f t="shared" si="16"/>
        <v>17</v>
      </c>
      <c r="E54" s="28"/>
      <c r="F54" s="28"/>
      <c r="G54" s="28"/>
      <c r="H54" s="28"/>
      <c r="I54" s="28"/>
      <c r="R54" s="37" t="str">
        <f ca="1">IF(P54="","",IFERROR(IF(Capa!$A$2="","Após a celebração do termo de parceria.","Realização da "&amp;OFFSET($Y$6,MATCH(A54,$X$7:$X$66,0),0)-1&amp;"ª reunião da CA e aprovação da liberação de parcela pelo supervisor."),""))</f>
        <v/>
      </c>
      <c r="T54" s="38" t="str">
        <f t="shared" si="18"/>
        <v>Sim</v>
      </c>
      <c r="U54" s="38" t="str">
        <f t="shared" si="19"/>
        <v/>
      </c>
      <c r="V54" s="38" t="str">
        <f>Cronogramas!T54</f>
        <v>Sim</v>
      </c>
      <c r="W54" s="38"/>
      <c r="X54" s="38">
        <f>COUNTIF(V$7:$V54,"Sim")</f>
        <v>17</v>
      </c>
      <c r="Y54" s="38">
        <f t="shared" si="20"/>
        <v>17</v>
      </c>
      <c r="Z54" s="45"/>
      <c r="AA54" s="45"/>
      <c r="AB54" s="41">
        <f ca="1">_xlfn.IFNA(IF(V54="Sim",(IFERROR(SUM(OFFSET(AE54,1,,MATCH("Sim",V55:$V$66,0),1))-AC54,0)+IF(Y54-$W$7=1,SUM($AE$6:AE54)-$AF$7,0)+IF(SUM(Y55:$Y$66)=0,SUM(AE55:$AE$66)-AC54+Analítico!$BK$151)),0),0)</f>
        <v>17948735.515779123</v>
      </c>
      <c r="AC54" s="41">
        <f ca="1">IFERROR(IF(V54="Sim",IFERROR(SUM(OFFSET(AD54,1,,MATCH("Sim",T55:$T$66,0),1)),0)+IF(Y54-$W$7=1,SUM($AD$6:AD54),0)+IF(SUM(Y55:$Y$66)=0,SUM(AD55:$AD$66),0),0),0)</f>
        <v>0</v>
      </c>
      <c r="AD54" s="41">
        <f ca="1">SUM(OFFSET(Analítico!$B$10,0,A54,2,1))</f>
        <v>0</v>
      </c>
      <c r="AE54" s="41">
        <f ca="1">OFFSET(Analítico!$B$152,,A54)</f>
        <v>5808407.2546207113</v>
      </c>
      <c r="AH54" s="44">
        <f t="shared" si="17"/>
        <v>17</v>
      </c>
    </row>
    <row r="55" spans="1:34" ht="15">
      <c r="A55" s="28">
        <v>49</v>
      </c>
      <c r="B55" s="29">
        <f>IFERROR(IF(EDATE(B54,1)&gt;DATE(YEAR(Capa!$A$7),MONTH(Capa!$A$7),1),"",EDATE(B54,1)),"")</f>
        <v>46722</v>
      </c>
      <c r="C55" s="28">
        <f t="shared" si="21"/>
        <v>17</v>
      </c>
      <c r="D55" s="30">
        <f t="shared" si="16"/>
        <v>17</v>
      </c>
      <c r="E55" s="28"/>
      <c r="F55" s="28"/>
      <c r="G55" s="28"/>
      <c r="H55" s="28"/>
      <c r="I55" s="28"/>
      <c r="R55" s="37" t="str">
        <f ca="1">IF(P55="","",IFERROR(IF(Capa!$A$2="","Após a celebração do termo de parceria.","Realização da "&amp;OFFSET($Y$6,MATCH(A55,$X$7:$X$66,0),0)-1&amp;"ª reunião da CA e aprovação da liberação de parcela pelo supervisor."),""))</f>
        <v/>
      </c>
      <c r="T55" s="38" t="str">
        <f t="shared" si="18"/>
        <v>Não</v>
      </c>
      <c r="U55" s="38" t="str">
        <f t="shared" si="19"/>
        <v/>
      </c>
      <c r="V55" s="38" t="str">
        <f>Cronogramas!T55</f>
        <v>Não</v>
      </c>
      <c r="W55" s="38"/>
      <c r="X55" s="38">
        <f>COUNTIF(V$7:$V55,"Sim")</f>
        <v>17</v>
      </c>
      <c r="Y55" s="38" t="str">
        <f t="shared" si="20"/>
        <v/>
      </c>
      <c r="Z55" s="45"/>
      <c r="AA55" s="45"/>
      <c r="AB55" s="41">
        <f ca="1">_xlfn.IFNA(IF(V55="Sim",(IFERROR(SUM(OFFSET(AE55,1,,MATCH("Sim",V56:$V$66,0),1))-AC55,0)+IF(Y55-$W$7=1,SUM($AE$6:AE55)-$AF$7,0)+IF(SUM(Y56:$Y$66)=0,SUM(AE56:$AE$66)-AC55+Analítico!$BK$151)),0),0)</f>
        <v>0</v>
      </c>
      <c r="AC55" s="41">
        <f ca="1">IFERROR(IF(V55="Sim",IFERROR(SUM(OFFSET(AD55,1,,MATCH("Sim",T56:$T$66,0),1)),0)+IF(Y55-$W$7=1,SUM($AD$6:AD55),0)+IF(SUM(Y56:$Y$66)=0,SUM(AD56:$AD$66),0),0),0)</f>
        <v>0</v>
      </c>
      <c r="AD55" s="41">
        <f ca="1">SUM(OFFSET(Analítico!$B$10,0,A55,2,1))</f>
        <v>0</v>
      </c>
      <c r="AE55" s="41">
        <f ca="1">OFFSET(Analítico!$B$152,,A55)</f>
        <v>5856783.7146207113</v>
      </c>
      <c r="AH55" s="44">
        <f t="shared" si="17"/>
        <v>17</v>
      </c>
    </row>
    <row r="56" spans="1:34" ht="15">
      <c r="A56" s="28">
        <v>50</v>
      </c>
      <c r="B56" s="29">
        <f>IFERROR(IF(EDATE(B55,1)&gt;DATE(YEAR(Capa!$A$7),MONTH(Capa!$A$7),1),"",EDATE(B55,1)),"")</f>
        <v>46753</v>
      </c>
      <c r="C56" s="28">
        <f t="shared" si="21"/>
        <v>17</v>
      </c>
      <c r="D56" s="30">
        <f t="shared" si="16"/>
        <v>17</v>
      </c>
      <c r="E56" s="28"/>
      <c r="F56" s="28"/>
      <c r="G56" s="28"/>
      <c r="H56" s="28"/>
      <c r="I56" s="28"/>
      <c r="R56" s="37" t="str">
        <f ca="1">IF(P56="","",IFERROR(IF(Capa!$A$2="","Após a celebração do termo de parceria.","Realização da "&amp;OFFSET($Y$6,MATCH(A56,$X$7:$X$66,0),0)-1&amp;"ª reunião da CA e aprovação da liberação de parcela pelo supervisor."),""))</f>
        <v/>
      </c>
      <c r="T56" s="38" t="str">
        <f t="shared" si="18"/>
        <v>Não</v>
      </c>
      <c r="U56" s="38" t="str">
        <f t="shared" si="19"/>
        <v/>
      </c>
      <c r="V56" s="38" t="str">
        <f>Cronogramas!T56</f>
        <v>Não</v>
      </c>
      <c r="W56" s="38"/>
      <c r="X56" s="38">
        <f>COUNTIF(V$7:$V56,"Sim")</f>
        <v>17</v>
      </c>
      <c r="Y56" s="38" t="str">
        <f t="shared" si="20"/>
        <v/>
      </c>
      <c r="Z56" s="45"/>
      <c r="AA56" s="45"/>
      <c r="AB56" s="41">
        <f ca="1">_xlfn.IFNA(IF(V56="Sim",(IFERROR(SUM(OFFSET(AE56,1,,MATCH("Sim",V57:$V$66,0),1))-AC56,0)+IF(Y56-$W$7=1,SUM($AE$6:AE56)-$AF$7,0)+IF(SUM(Y57:$Y$66)=0,SUM(AE57:$AE$66)-AC56+Analítico!$BK$151)),0),0)</f>
        <v>0</v>
      </c>
      <c r="AC56" s="41">
        <f ca="1">IFERROR(IF(V56="Sim",IFERROR(SUM(OFFSET(AD56,1,,MATCH("Sim",T57:$T$66,0),1)),0)+IF(Y56-$W$7=1,SUM($AD$6:AD56),0)+IF(SUM(Y57:$Y$66)=0,SUM(AD57:$AD$66),0),0),0)</f>
        <v>0</v>
      </c>
      <c r="AD56" s="41">
        <f ca="1">SUM(OFFSET(Analítico!$B$10,0,A56,2,1))</f>
        <v>0</v>
      </c>
      <c r="AE56" s="41">
        <f ca="1">OFFSET(Analítico!$B$152,,A56)</f>
        <v>6022208.5846207114</v>
      </c>
      <c r="AH56" s="44">
        <f t="shared" si="17"/>
        <v>17</v>
      </c>
    </row>
    <row r="57" spans="1:34" ht="15">
      <c r="A57" s="28">
        <v>51</v>
      </c>
      <c r="B57" s="29">
        <f>IFERROR(IF(EDATE(B56,1)&gt;DATE(YEAR(Capa!$A$7),MONTH(Capa!$A$7),1),"",EDATE(B56,1)),"")</f>
        <v>46784</v>
      </c>
      <c r="C57" s="28">
        <f t="shared" si="21"/>
        <v>18</v>
      </c>
      <c r="D57" s="30">
        <f t="shared" si="16"/>
        <v>18</v>
      </c>
      <c r="E57" s="28"/>
      <c r="F57" s="28"/>
      <c r="G57" s="28"/>
      <c r="H57" s="28"/>
      <c r="I57" s="28"/>
      <c r="R57" s="37" t="str">
        <f ca="1">IF(P57="","",IFERROR(IF(Capa!$A$2="","Após a celebração do termo de parceria.","Realização da "&amp;OFFSET($Y$6,MATCH(A57,$X$7:$X$66,0),0)-1&amp;"ª reunião da CA e aprovação da liberação de parcela pelo supervisor."),""))</f>
        <v/>
      </c>
      <c r="T57" s="38" t="str">
        <f t="shared" si="18"/>
        <v>Sim</v>
      </c>
      <c r="U57" s="38" t="str">
        <f t="shared" si="19"/>
        <v/>
      </c>
      <c r="V57" s="38" t="str">
        <f>Cronogramas!T57</f>
        <v>Sim</v>
      </c>
      <c r="W57" s="38"/>
      <c r="X57" s="38">
        <f>COUNTIF(V$7:$V57,"Sim")</f>
        <v>18</v>
      </c>
      <c r="Y57" s="38">
        <f t="shared" si="20"/>
        <v>18</v>
      </c>
      <c r="Z57" s="45"/>
      <c r="AA57" s="45"/>
      <c r="AB57" s="41">
        <f ca="1">_xlfn.IFNA(IF(V57="Sim",(IFERROR(SUM(OFFSET(AE57,1,,MATCH("Sim",V58:$V$66,0),1))-AC57,0)+IF(Y57-$W$7=1,SUM($AE$6:AE57)-$AF$7,0)+IF(SUM(Y58:$Y$66)=0,SUM(AE58:$AE$66)-AC57+Analítico!$BK$151)),0),0)</f>
        <v>18135850.032463986</v>
      </c>
      <c r="AC57" s="41">
        <f ca="1">IFERROR(IF(V57="Sim",IFERROR(SUM(OFFSET(AD57,1,,MATCH("Sim",T58:$T$66,0),1)),0)+IF(Y57-$W$7=1,SUM($AD$6:AD57),0)+IF(SUM(Y58:$Y$66)=0,SUM(AD58:$AD$66),0),0),0)</f>
        <v>0</v>
      </c>
      <c r="AD57" s="41">
        <f ca="1">SUM(OFFSET(Analítico!$B$10,0,A57,2,1))</f>
        <v>0</v>
      </c>
      <c r="AE57" s="41">
        <f ca="1">OFFSET(Analítico!$B$152,,A57)</f>
        <v>6069743.2165376991</v>
      </c>
      <c r="AH57" s="44">
        <f t="shared" si="17"/>
        <v>18</v>
      </c>
    </row>
    <row r="58" spans="1:34" ht="15">
      <c r="A58" s="28">
        <v>52</v>
      </c>
      <c r="B58" s="29">
        <f>IFERROR(IF(EDATE(B57,1)&gt;DATE(YEAR(Capa!$A$7),MONTH(Capa!$A$7),1),"",EDATE(B57,1)),"")</f>
        <v>46813</v>
      </c>
      <c r="C58" s="28">
        <f t="shared" si="21"/>
        <v>18</v>
      </c>
      <c r="D58" s="30">
        <f t="shared" si="16"/>
        <v>18</v>
      </c>
      <c r="E58" s="28"/>
      <c r="F58" s="28"/>
      <c r="G58" s="28"/>
      <c r="H58" s="28"/>
      <c r="I58" s="28"/>
      <c r="R58" s="37" t="str">
        <f ca="1">IF(P58="","",IFERROR(IF(Capa!$A$2="","Após a celebração do termo de parceria.","Realização da "&amp;OFFSET($Y$6,MATCH(A58,$X$7:$X$66,0),0)-1&amp;"ª reunião da CA e aprovação da liberação de parcela pelo supervisor."),""))</f>
        <v/>
      </c>
      <c r="T58" s="38" t="str">
        <f t="shared" si="18"/>
        <v>Não</v>
      </c>
      <c r="U58" s="38" t="str">
        <f t="shared" si="19"/>
        <v/>
      </c>
      <c r="V58" s="38" t="str">
        <f>Cronogramas!T58</f>
        <v>Não</v>
      </c>
      <c r="W58" s="38"/>
      <c r="X58" s="38">
        <f>COUNTIF(V$7:$V58,"Sim")</f>
        <v>18</v>
      </c>
      <c r="Y58" s="38" t="str">
        <f t="shared" si="20"/>
        <v/>
      </c>
      <c r="Z58" s="45"/>
      <c r="AA58" s="45"/>
      <c r="AB58" s="41">
        <f ca="1">_xlfn.IFNA(IF(V58="Sim",(IFERROR(SUM(OFFSET(AE58,1,,MATCH("Sim",V59:$V$66,0),1))-AC58,0)+IF(Y58-$W$7=1,SUM($AE$6:AE58)-$AF$7,0)+IF(SUM(Y59:$Y$66)=0,SUM(AE59:$AE$66)-AC58+Analítico!$BK$151)),0),0)</f>
        <v>0</v>
      </c>
      <c r="AC58" s="41">
        <f ca="1">IFERROR(IF(V58="Sim",IFERROR(SUM(OFFSET(AD58,1,,MATCH("Sim",T59:$T$66,0),1)),0)+IF(Y58-$W$7=1,SUM($AD$6:AD58),0)+IF(SUM(Y59:$Y$66)=0,SUM(AD59:$AD$66),0),0),0)</f>
        <v>0</v>
      </c>
      <c r="AD58" s="41">
        <f ca="1">SUM(OFFSET(Analítico!$B$10,0,A58,2,1))</f>
        <v>0</v>
      </c>
      <c r="AE58" s="41">
        <f ca="1">OFFSET(Analítico!$B$152,,A58)</f>
        <v>6062851.8746207114</v>
      </c>
      <c r="AH58" s="44">
        <f t="shared" si="17"/>
        <v>18</v>
      </c>
    </row>
    <row r="59" spans="1:34" ht="15">
      <c r="A59" s="28">
        <v>53</v>
      </c>
      <c r="B59" s="29">
        <f>IFERROR(IF(EDATE(B58,1)&gt;DATE(YEAR(Capa!$A$7),MONTH(Capa!$A$7),1),"",EDATE(B58,1)),"")</f>
        <v>46844</v>
      </c>
      <c r="C59" s="28">
        <f t="shared" si="21"/>
        <v>18</v>
      </c>
      <c r="D59" s="30">
        <f t="shared" si="16"/>
        <v>18</v>
      </c>
      <c r="E59" s="28"/>
      <c r="F59" s="28"/>
      <c r="G59" s="28"/>
      <c r="H59" s="28"/>
      <c r="I59" s="28"/>
      <c r="R59" s="37" t="str">
        <f ca="1">IF(P59="","",IFERROR(IF(Capa!$A$2="","Após a celebração do termo de parceria.","Realização da "&amp;OFFSET($Y$6,MATCH(A59,$X$7:$X$66,0),0)-1&amp;"ª reunião da CA e aprovação da liberação de parcela pelo supervisor."),""))</f>
        <v/>
      </c>
      <c r="T59" s="38" t="str">
        <f t="shared" si="18"/>
        <v>Não</v>
      </c>
      <c r="U59" s="38" t="str">
        <f t="shared" si="19"/>
        <v/>
      </c>
      <c r="V59" s="38" t="str">
        <f>Cronogramas!T59</f>
        <v>Não</v>
      </c>
      <c r="W59" s="38"/>
      <c r="X59" s="38">
        <f>COUNTIF(V$7:$V59,"Sim")</f>
        <v>18</v>
      </c>
      <c r="Y59" s="38" t="str">
        <f t="shared" si="20"/>
        <v/>
      </c>
      <c r="Z59" s="45"/>
      <c r="AA59" s="45"/>
      <c r="AB59" s="41">
        <f ca="1">_xlfn.IFNA(IF(V59="Sim",(IFERROR(SUM(OFFSET(AE59,1,,MATCH("Sim",V60:$V$66,0),1))-AC59,0)+IF(Y59-$W$7=1,SUM($AE$6:AE59)-$AF$7,0)+IF(SUM(Y60:$Y$66)=0,SUM(AE60:$AE$66)-AC59+Analítico!$BK$151)),0),0)</f>
        <v>0</v>
      </c>
      <c r="AC59" s="41">
        <f ca="1">IFERROR(IF(V59="Sim",IFERROR(SUM(OFFSET(AD59,1,,MATCH("Sim",T60:$T$66,0),1)),0)+IF(Y59-$W$7=1,SUM($AD$6:AD59),0)+IF(SUM(Y60:$Y$66)=0,SUM(AD60:$AD$66),0),0),0)</f>
        <v>0</v>
      </c>
      <c r="AD59" s="41">
        <f ca="1">SUM(OFFSET(Analítico!$B$10,0,A59,2,1))</f>
        <v>0</v>
      </c>
      <c r="AE59" s="41">
        <f ca="1">OFFSET(Analítico!$B$152,,A59)</f>
        <v>5957147.6046207109</v>
      </c>
      <c r="AH59" s="44">
        <f t="shared" si="17"/>
        <v>18</v>
      </c>
    </row>
    <row r="60" spans="1:34" ht="15">
      <c r="A60" s="28">
        <v>54</v>
      </c>
      <c r="B60" s="29">
        <f>IFERROR(IF(EDATE(B59,1)&gt;DATE(YEAR(Capa!$A$7),MONTH(Capa!$A$7),1),"",EDATE(B59,1)),"")</f>
        <v>46874</v>
      </c>
      <c r="C60" s="28">
        <f t="shared" si="21"/>
        <v>19</v>
      </c>
      <c r="D60" s="30">
        <f t="shared" si="16"/>
        <v>19</v>
      </c>
      <c r="E60" s="28"/>
      <c r="F60" s="28"/>
      <c r="G60" s="28"/>
      <c r="H60" s="28"/>
      <c r="I60" s="28"/>
      <c r="R60" s="37" t="str">
        <f ca="1">IF(P60="","",IFERROR(IF(Capa!$A$2="","Após a celebração do termo de parceria.","Realização da "&amp;OFFSET($Y$6,MATCH(A60,$X$7:$X$66,0),0)-1&amp;"ª reunião da CA e aprovação da liberação de parcela pelo supervisor."),""))</f>
        <v/>
      </c>
      <c r="T60" s="38" t="str">
        <f t="shared" si="18"/>
        <v>Sim</v>
      </c>
      <c r="U60" s="38" t="str">
        <f t="shared" si="19"/>
        <v/>
      </c>
      <c r="V60" s="38" t="str">
        <f>Cronogramas!T60</f>
        <v>Sim</v>
      </c>
      <c r="W60" s="38"/>
      <c r="X60" s="38">
        <f>COUNTIF(V$7:$V60,"Sim")</f>
        <v>19</v>
      </c>
      <c r="Y60" s="38">
        <f t="shared" si="20"/>
        <v>19</v>
      </c>
      <c r="Z60" s="45"/>
      <c r="AA60" s="45"/>
      <c r="AB60" s="41">
        <f ca="1">_xlfn.IFNA(IF(V60="Sim",(IFERROR(SUM(OFFSET(AE60,1,,MATCH("Sim",V61:$V$66,0),1))-AC60,0)+IF(Y60-$W$7=1,SUM($AE$6:AE60)-$AF$7,0)+IF(SUM(Y61:$Y$66)=0,SUM(AE61:$AE$66)-AC60+Analítico!$BK$151)),0),0)</f>
        <v>18371573.679667689</v>
      </c>
      <c r="AC60" s="41">
        <f ca="1">IFERROR(IF(V60="Sim",IFERROR(SUM(OFFSET(AD60,1,,MATCH("Sim",T61:$T$66,0),1)),0)+IF(Y60-$W$7=1,SUM($AD$6:AD60),0)+IF(SUM(Y61:$Y$66)=0,SUM(AD61:$AD$66),0),0),0)</f>
        <v>0</v>
      </c>
      <c r="AD60" s="41">
        <f ca="1">SUM(OFFSET(Analítico!$B$10,0,A60,2,1))</f>
        <v>0</v>
      </c>
      <c r="AE60" s="41">
        <f ca="1">OFFSET(Analítico!$B$152,,A60)</f>
        <v>6115850.5532225622</v>
      </c>
      <c r="AH60" s="44">
        <f t="shared" si="17"/>
        <v>19</v>
      </c>
    </row>
    <row r="61" spans="1:34" ht="15">
      <c r="A61" s="28">
        <v>55</v>
      </c>
      <c r="B61" s="29">
        <f>IFERROR(IF(EDATE(B60,1)&gt;DATE(YEAR(Capa!$A$7),MONTH(Capa!$A$7),1),"",EDATE(B60,1)),"")</f>
        <v>46905</v>
      </c>
      <c r="C61" s="28">
        <f t="shared" si="21"/>
        <v>19</v>
      </c>
      <c r="D61" s="30">
        <f t="shared" si="16"/>
        <v>19</v>
      </c>
      <c r="E61" s="28"/>
      <c r="F61" s="28"/>
      <c r="G61" s="28"/>
      <c r="H61" s="28"/>
      <c r="I61" s="28"/>
      <c r="R61" s="37" t="str">
        <f ca="1">IF(P61="","",IFERROR(IF(Capa!$A$2="","Após a celebração do termo de parceria.","Realização da "&amp;OFFSET($Y$6,MATCH(A61,$X$7:$X$66,0),0)-1&amp;"ª reunião da CA e aprovação da liberação de parcela pelo supervisor."),""))</f>
        <v/>
      </c>
      <c r="T61" s="38" t="str">
        <f t="shared" si="18"/>
        <v>Não</v>
      </c>
      <c r="U61" s="38" t="str">
        <f t="shared" si="19"/>
        <v/>
      </c>
      <c r="V61" s="38" t="str">
        <f>Cronogramas!T61</f>
        <v>Não</v>
      </c>
      <c r="W61" s="38"/>
      <c r="X61" s="38">
        <f>COUNTIF(V$7:$V61,"Sim")</f>
        <v>19</v>
      </c>
      <c r="Y61" s="38" t="str">
        <f t="shared" si="20"/>
        <v/>
      </c>
      <c r="Z61" s="45"/>
      <c r="AA61" s="45"/>
      <c r="AB61" s="41">
        <f ca="1">_xlfn.IFNA(IF(V61="Sim",(IFERROR(SUM(OFFSET(AE61,1,,MATCH("Sim",V62:$V$66,0),1))-AC61,0)+IF(Y61-$W$7=1,SUM($AE$6:AE61)-$AF$7,0)+IF(SUM(Y62:$Y$66)=0,SUM(AE62:$AE$66)-AC61+Analítico!$BK$151)),0),0)</f>
        <v>0</v>
      </c>
      <c r="AC61" s="41">
        <f ca="1">IFERROR(IF(V61="Sim",IFERROR(SUM(OFFSET(AD61,1,,MATCH("Sim",T62:$T$66,0),1)),0)+IF(Y61-$W$7=1,SUM($AD$6:AD61),0)+IF(SUM(Y62:$Y$66)=0,SUM(AD62:$AD$66),0),0),0)</f>
        <v>0</v>
      </c>
      <c r="AD61" s="41">
        <f ca="1">SUM(OFFSET(Analítico!$B$10,0,A61,2,1))</f>
        <v>0</v>
      </c>
      <c r="AE61" s="41">
        <f ca="1">OFFSET(Analítico!$B$152,,A61)</f>
        <v>6163381.8732225625</v>
      </c>
      <c r="AH61" s="44">
        <f t="shared" si="17"/>
        <v>19</v>
      </c>
    </row>
    <row r="62" spans="1:34" ht="15">
      <c r="A62" s="28">
        <v>56</v>
      </c>
      <c r="B62" s="29">
        <f>IFERROR(IF(EDATE(B61,1)&gt;DATE(YEAR(Capa!$A$7),MONTH(Capa!$A$7),1),"",EDATE(B61,1)),"")</f>
        <v>46935</v>
      </c>
      <c r="C62" s="28">
        <f t="shared" si="21"/>
        <v>19</v>
      </c>
      <c r="D62" s="30">
        <f t="shared" si="16"/>
        <v>19</v>
      </c>
      <c r="E62" s="28"/>
      <c r="F62" s="28"/>
      <c r="G62" s="28"/>
      <c r="H62" s="28"/>
      <c r="I62" s="28"/>
      <c r="R62" s="37" t="str">
        <f ca="1">IF(P62="","",IFERROR(IF(Capa!$A$2="","Após a celebração do termo de parceria.","Realização da "&amp;OFFSET($Y$6,MATCH(A62,$X$7:$X$66,0),0)-1&amp;"ª reunião da CA e aprovação da liberação de parcela pelo supervisor."),""))</f>
        <v/>
      </c>
      <c r="T62" s="38" t="str">
        <f t="shared" si="18"/>
        <v>Não</v>
      </c>
      <c r="U62" s="38" t="str">
        <f t="shared" si="19"/>
        <v/>
      </c>
      <c r="V62" s="38" t="str">
        <f>Cronogramas!T62</f>
        <v>Não</v>
      </c>
      <c r="W62" s="38"/>
      <c r="X62" s="38">
        <f>COUNTIF(V$7:$V62,"Sim")</f>
        <v>19</v>
      </c>
      <c r="Y62" s="38" t="str">
        <f t="shared" si="20"/>
        <v/>
      </c>
      <c r="Z62" s="45"/>
      <c r="AA62" s="45"/>
      <c r="AB62" s="41">
        <f ca="1">_xlfn.IFNA(IF(V62="Sim",(IFERROR(SUM(OFFSET(AE62,1,,MATCH("Sim",V63:$V$66,0),1))-AC62,0)+IF(Y62-$W$7=1,SUM($AE$6:AE62)-$AF$7,0)+IF(SUM(Y63:$Y$66)=0,SUM(AE63:$AE$66)-AC62+Analítico!$BK$151)),0),0)</f>
        <v>0</v>
      </c>
      <c r="AC62" s="41">
        <f ca="1">IFERROR(IF(V62="Sim",IFERROR(SUM(OFFSET(AD62,1,,MATCH("Sim",T63:$T$66,0),1)),0)+IF(Y62-$W$7=1,SUM($AD$6:AD62),0)+IF(SUM(Y63:$Y$66)=0,SUM(AD63:$AD$66),0),0),0)</f>
        <v>0</v>
      </c>
      <c r="AD62" s="41">
        <f ca="1">SUM(OFFSET(Analítico!$B$10,0,A62,2,1))</f>
        <v>0</v>
      </c>
      <c r="AE62" s="41">
        <f ca="1">OFFSET(Analítico!$B$152,,A62)</f>
        <v>6092733.3432225622</v>
      </c>
      <c r="AH62" s="44">
        <f t="shared" si="17"/>
        <v>19</v>
      </c>
    </row>
    <row r="63" spans="1:34" ht="15">
      <c r="A63" s="28">
        <v>57</v>
      </c>
      <c r="B63" s="29">
        <f>IFERROR(IF(EDATE(B62,1)&gt;DATE(YEAR(Capa!$A$7),MONTH(Capa!$A$7),1),"",EDATE(B62,1)),"")</f>
        <v>46966</v>
      </c>
      <c r="C63" s="28">
        <f t="shared" si="21"/>
        <v>20</v>
      </c>
      <c r="D63" s="30">
        <f t="shared" si="16"/>
        <v>20</v>
      </c>
      <c r="E63" s="28"/>
      <c r="F63" s="28"/>
      <c r="G63" s="28"/>
      <c r="H63" s="28"/>
      <c r="I63" s="28"/>
      <c r="R63" s="37" t="str">
        <f ca="1">IF(P63="","",IFERROR(IF(Capa!$A$2="","Após a celebração do termo de parceria.","Realização da "&amp;OFFSET($Y$6,MATCH(A63,$X$7:$X$66,0),0)-1&amp;"ª reunião da CA e aprovação da liberação de parcela pelo supervisor."),""))</f>
        <v/>
      </c>
      <c r="T63" s="38" t="str">
        <f t="shared" si="18"/>
        <v>Sim</v>
      </c>
      <c r="U63" s="38" t="str">
        <f t="shared" si="19"/>
        <v/>
      </c>
      <c r="V63" s="38" t="str">
        <f>Cronogramas!T63</f>
        <v>Sim</v>
      </c>
      <c r="W63" s="38"/>
      <c r="X63" s="38">
        <f>COUNTIF(V$7:$V63,"Sim")</f>
        <v>20</v>
      </c>
      <c r="Y63" s="38">
        <f t="shared" si="20"/>
        <v>20</v>
      </c>
      <c r="Z63" s="45"/>
      <c r="AA63" s="45"/>
      <c r="AB63" s="41">
        <f ca="1">_xlfn.IFNA(IF(V63="Sim",(IFERROR(SUM(OFFSET(AE63,1,,MATCH("Sim",V64:$V$66,0),1))-AC63,0)+IF(Y63-$W$7=1,SUM($AE$6:AE63)-$AF$7,0)+IF(SUM(Y64:$Y$66)=0,SUM(AE64:$AE$66)-AC63+Analítico!$BK$151)),0),0)</f>
        <v>18332705.199667688</v>
      </c>
      <c r="AC63" s="41">
        <f ca="1">IFERROR(IF(V63="Sim",IFERROR(SUM(OFFSET(AD63,1,,MATCH("Sim",T64:$T$66,0),1)),0)+IF(Y63-$W$7=1,SUM($AD$6:AD63),0)+IF(SUM(Y64:$Y$66)=0,SUM(AD64:$AD$66),0),0),0)</f>
        <v>0</v>
      </c>
      <c r="AD63" s="41">
        <f ca="1">SUM(OFFSET(Analítico!$B$10,0,A63,2,1))</f>
        <v>0</v>
      </c>
      <c r="AE63" s="41">
        <f ca="1">OFFSET(Analítico!$B$152,,A63)</f>
        <v>6115458.4632225623</v>
      </c>
      <c r="AH63" s="44">
        <f t="shared" si="17"/>
        <v>20</v>
      </c>
    </row>
    <row r="64" spans="1:34" ht="15">
      <c r="A64" s="28">
        <v>58</v>
      </c>
      <c r="B64" s="29">
        <f>IFERROR(IF(EDATE(B63,1)&gt;DATE(YEAR(Capa!$A$7),MONTH(Capa!$A$7),1),"",EDATE(B63,1)),"")</f>
        <v>46997</v>
      </c>
      <c r="C64" s="28">
        <f t="shared" si="21"/>
        <v>20</v>
      </c>
      <c r="D64" s="30">
        <f t="shared" si="16"/>
        <v>20</v>
      </c>
      <c r="E64" s="28"/>
      <c r="F64" s="28"/>
      <c r="G64" s="28"/>
      <c r="H64" s="28"/>
      <c r="I64" s="28"/>
      <c r="R64" s="37" t="str">
        <f ca="1">IF(P64="","",IFERROR(IF(Capa!$A$2="","Após a celebração do termo de parceria.","Realização da "&amp;OFFSET($Y$6,MATCH(A64,$X$7:$X$66,0),0)-1&amp;"ª reunião da CA e aprovação da liberação de parcela pelo supervisor."),""))</f>
        <v/>
      </c>
      <c r="T64" s="38" t="str">
        <f t="shared" si="18"/>
        <v>Não</v>
      </c>
      <c r="U64" s="38" t="str">
        <f t="shared" si="19"/>
        <v/>
      </c>
      <c r="V64" s="38" t="str">
        <f>Cronogramas!T64</f>
        <v>Não</v>
      </c>
      <c r="W64" s="38"/>
      <c r="X64" s="38">
        <f>COUNTIF(V$7:$V64,"Sim")</f>
        <v>20</v>
      </c>
      <c r="Y64" s="38" t="str">
        <f t="shared" si="20"/>
        <v/>
      </c>
      <c r="Z64" s="45"/>
      <c r="AA64" s="45"/>
      <c r="AB64" s="41">
        <f ca="1">_xlfn.IFNA(IF(V64="Sim",(IFERROR(SUM(OFFSET(AE64,1,,MATCH("Sim",V65:$V$66,0),1))-AC64,0)+IF(Y64-$W$7=1,SUM($AE$6:AE64)-$AF$7,0)+IF(SUM(Y65:$Y$66)=0,SUM(AE65:$AE$66)-AC64+Analítico!$BK$151)),0),0)</f>
        <v>0</v>
      </c>
      <c r="AC64" s="41">
        <f ca="1">IFERROR(IF(V64="Sim",IFERROR(SUM(OFFSET(AD64,1,,MATCH("Sim",T65:$T$66,0),1)),0)+IF(Y64-$W$7=1,SUM($AD$6:AD64),0)+IF(SUM(Y65:$Y$66)=0,SUM(AD65:$AD$66),0),0),0)</f>
        <v>0</v>
      </c>
      <c r="AD64" s="41">
        <f ca="1">SUM(OFFSET(Analítico!$B$10,0,A64,2,1))</f>
        <v>0</v>
      </c>
      <c r="AE64" s="41">
        <f ca="1">OFFSET(Analítico!$B$152,,A64)</f>
        <v>6137506.4032225627</v>
      </c>
      <c r="AH64" s="44">
        <f t="shared" si="17"/>
        <v>20</v>
      </c>
    </row>
    <row r="65" spans="1:34" ht="15">
      <c r="A65" s="28">
        <v>59</v>
      </c>
      <c r="B65" s="29">
        <f>IFERROR(IF(EDATE(B64,1)&gt;DATE(YEAR(Capa!$A$7),MONTH(Capa!$A$7),1),"",EDATE(B64,1)),"")</f>
        <v>47027</v>
      </c>
      <c r="C65" s="28">
        <f t="shared" si="21"/>
        <v>20</v>
      </c>
      <c r="D65" s="30">
        <f t="shared" si="16"/>
        <v>20</v>
      </c>
      <c r="E65" s="28"/>
      <c r="F65" s="28"/>
      <c r="G65" s="28"/>
      <c r="H65" s="28"/>
      <c r="I65" s="28"/>
      <c r="R65" s="37" t="str">
        <f ca="1">IF(P65="","",IFERROR(IF(Capa!$A$2="","Após a celebração do termo de parceria.","Realização da "&amp;OFFSET($Y$6,MATCH(A65,$X$7:$X$66,0),0)-1&amp;"ª reunião da CA e aprovação da liberação de parcela pelo supervisor."),""))</f>
        <v/>
      </c>
      <c r="T65" s="38" t="str">
        <f t="shared" si="18"/>
        <v>Não</v>
      </c>
      <c r="U65" s="38" t="str">
        <f t="shared" si="19"/>
        <v/>
      </c>
      <c r="V65" s="38" t="str">
        <f>Cronogramas!T65</f>
        <v>Não</v>
      </c>
      <c r="W65" s="38"/>
      <c r="X65" s="38">
        <f>COUNTIF(V$7:$V65,"Sim")</f>
        <v>20</v>
      </c>
      <c r="Y65" s="38" t="str">
        <f t="shared" si="20"/>
        <v/>
      </c>
      <c r="Z65" s="45"/>
      <c r="AA65" s="45"/>
      <c r="AB65" s="41">
        <f ca="1">_xlfn.IFNA(IF(V65="Sim",(IFERROR(SUM(OFFSET(AE65,1,,MATCH("Sim",V66:$V$66,0),1))-AC65,0)+IF(Y65-$W$7=1,SUM($AE$6:AE65)-$AF$7,0)+IF(SUM(Y66:$Y$66)=0,SUM(AE66:$AE$66)-AC65+Analítico!$BK$151)),0),0)</f>
        <v>0</v>
      </c>
      <c r="AC65" s="41">
        <f ca="1">IFERROR(IF(V65="Sim",IFERROR(SUM(OFFSET(AD65,1,,MATCH("Sim",T66:$T$66,0),1)),0)+IF(Y65-$W$7=1,SUM($AD$6:AD65),0)+IF(SUM(Y66:$Y$66)=0,SUM(AD66:$AD$66),0),0),0)</f>
        <v>0</v>
      </c>
      <c r="AD65" s="41">
        <f ca="1">SUM(OFFSET(Analítico!$B$10,0,A65,2,1))</f>
        <v>0</v>
      </c>
      <c r="AE65" s="41">
        <f ca="1">OFFSET(Analítico!$B$152,,A65)</f>
        <v>6094347.3432225632</v>
      </c>
      <c r="AH65" s="44">
        <f t="shared" si="17"/>
        <v>20</v>
      </c>
    </row>
    <row r="66" spans="1:34" ht="15">
      <c r="A66" s="46">
        <v>60</v>
      </c>
      <c r="B66" s="47">
        <f>IFERROR(IF(EDATE(B65,1)&gt;DATE(YEAR(Capa!$A$7),MONTH(Capa!$A$7),1),"",EDATE(B65,1)),"")</f>
        <v>47058</v>
      </c>
      <c r="C66" s="28">
        <f t="shared" si="21"/>
        <v>21</v>
      </c>
      <c r="D66" s="30">
        <f t="shared" si="16"/>
        <v>21</v>
      </c>
      <c r="E66" s="28"/>
      <c r="F66" s="28"/>
      <c r="G66" s="28"/>
      <c r="H66" s="28"/>
      <c r="I66" s="28"/>
      <c r="R66" s="37" t="str">
        <f ca="1">IF(P66="","",IFERROR(IF(Capa!$A$2="","Após a celebração do termo de parceria.","Realização da "&amp;OFFSET($Y$6,MATCH(A66,$X$7:$X$66,0),0)-1&amp;"ª reunião da CA e aprovação da liberação de parcela pelo supervisor."),""))</f>
        <v/>
      </c>
      <c r="T66" s="38" t="str">
        <f t="shared" si="18"/>
        <v>Sim</v>
      </c>
      <c r="U66" s="38" t="str">
        <f t="shared" si="19"/>
        <v/>
      </c>
      <c r="V66" s="38" t="str">
        <f>Cronogramas!T66</f>
        <v>Sim</v>
      </c>
      <c r="W66" s="38"/>
      <c r="X66" s="38">
        <f>COUNTIF(V$7:$V66,"Sim")</f>
        <v>21</v>
      </c>
      <c r="Y66" s="38">
        <f t="shared" si="20"/>
        <v>21</v>
      </c>
      <c r="Z66" s="45"/>
      <c r="AA66" s="45"/>
      <c r="AB66" s="41">
        <f ca="1">_xlfn.IFNA(IF(V66="Sim",(IFERROR(SUM(OFFSET(AE66,1,,MATCH("Sim",V$66:$V67,0),1))-AC66,0)+IF(Y66-$W$7=1,SUM($AE$6:AE66)-$AF$7,0)+IF(SUM(Y$66:$Y67)=0,SUM(AE$66:$AE67)-AC66+Analítico!$BK$151)),0),0)</f>
        <v>0</v>
      </c>
      <c r="AC66" s="41">
        <f ca="1">IFERROR(IF(V66="Sim",IFERROR(SUM(OFFSET(AD66,1,,MATCH("Sim",T$66:$T67,0),1)),0)+IF(Y66-$W$7=1,SUM($AD$6:AD66),0)+IF(SUM(Y$66:$Y67)=0,SUM(AD$66:$AD67),0),0),0)</f>
        <v>0</v>
      </c>
      <c r="AD66" s="41">
        <f ca="1">SUM(OFFSET(Analítico!$B$10,0,A66,2,1))</f>
        <v>0</v>
      </c>
      <c r="AE66" s="41">
        <f ca="1">OFFSET(Analítico!$B$152,,A66)</f>
        <v>6100851.4532225616</v>
      </c>
      <c r="AH66" s="44">
        <f t="shared" si="17"/>
        <v>21</v>
      </c>
    </row>
  </sheetData>
  <sheetProtection algorithmName="SHA-512" hashValue="YGIWTmAgfii+8r8qIyS1MHAwBn3PcB6f/dxI0QOHlBmbx2JYH0sbDjwmxh6ccrjaA0VzwFdQ+HSMDGiz6iexqQ==" saltValue="/3B/uNL7cdKCriG4rexpvA==" spinCount="100000" sheet="1" objects="1" scenarios="1"/>
  <mergeCells count="5">
    <mergeCell ref="A1:R1"/>
    <mergeCell ref="A5:D5"/>
    <mergeCell ref="F5:I5"/>
    <mergeCell ref="K5:M5"/>
    <mergeCell ref="O5:R5"/>
  </mergeCells>
  <conditionalFormatting sqref="K4:O4">
    <cfRule type="expression" dxfId="1787" priority="2">
      <formula>$K$4="Preencher a capa antes de qualquer campo destas tabelas"</formula>
    </cfRule>
  </conditionalFormatting>
  <pageMargins left="0.51180555555555496" right="0.51180555555555496" top="0.78749999999999998" bottom="0.78749999999999998" header="0.51180555555555496" footer="0.51180555555555496"/>
  <pageSetup paperSize="9" scale="46" firstPageNumber="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4"/>
  <sheetViews>
    <sheetView showGridLines="0" zoomScale="120" zoomScaleNormal="120" zoomScalePageLayoutView="85" workbookViewId="0">
      <pane xSplit="2" ySplit="3" topLeftCell="C4" activePane="bottomRight" state="frozen"/>
      <selection pane="topRight" activeCell="C1" sqref="C1"/>
      <selection pane="bottomLeft" activeCell="A4" sqref="A4"/>
      <selection pane="bottomRight" activeCell="C28" sqref="C28:D28"/>
    </sheetView>
  </sheetViews>
  <sheetFormatPr defaultColWidth="17" defaultRowHeight="12.75"/>
  <cols>
    <col min="1" max="1" width="5.140625" style="48" customWidth="1"/>
    <col min="2" max="2" width="18" style="48" customWidth="1"/>
    <col min="3" max="16" width="12.28515625" style="48" customWidth="1"/>
    <col min="17" max="28" width="12.5703125" style="48" customWidth="1"/>
    <col min="29" max="36" width="12.28515625" style="48" customWidth="1"/>
    <col min="37" max="46" width="12.5703125" style="48" customWidth="1"/>
    <col min="47" max="56" width="13" style="48" customWidth="1"/>
    <col min="57" max="62" width="12.5703125" style="48" customWidth="1"/>
    <col min="63" max="63" width="14.7109375" style="49" customWidth="1"/>
    <col min="64" max="64" width="9" style="50" customWidth="1"/>
    <col min="65" max="67" width="17" style="48"/>
    <col min="68" max="68" width="17" style="51"/>
    <col min="69" max="1024" width="17" style="48"/>
  </cols>
  <sheetData>
    <row r="1" spans="1:68" s="52" customFormat="1" ht="42" customHeight="1">
      <c r="B1" s="53"/>
      <c r="C1" s="384" t="str">
        <f>Capa!A1</f>
        <v>Memória de Cálculo
Contrato de Gestão nº 10/2023 celebrado entre a Secretaria de Estado de Justiça e Segurança Pública - SEJUSP e  o Pólo de Evolução de Medidas Socioeducativas</v>
      </c>
      <c r="D1" s="384"/>
      <c r="E1" s="384"/>
      <c r="F1" s="384"/>
      <c r="G1" s="384"/>
      <c r="H1" s="384"/>
      <c r="I1" s="384"/>
      <c r="J1" s="384"/>
      <c r="K1" s="384"/>
      <c r="L1" s="384"/>
      <c r="M1" s="384"/>
      <c r="N1" s="384"/>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4"/>
      <c r="BN1" s="54"/>
      <c r="BO1" s="54"/>
      <c r="BP1" s="55"/>
    </row>
    <row r="2" spans="1:68" s="52" customFormat="1" ht="16.5" customHeight="1">
      <c r="A2" s="56"/>
      <c r="B2" s="57"/>
      <c r="C2" s="385" t="s">
        <v>59</v>
      </c>
      <c r="D2" s="385"/>
      <c r="E2" s="385"/>
      <c r="F2" s="385"/>
      <c r="G2" s="385"/>
      <c r="H2" s="385"/>
      <c r="I2" s="385"/>
      <c r="J2" s="385"/>
      <c r="K2" s="385"/>
      <c r="L2" s="385"/>
      <c r="M2" s="385"/>
      <c r="N2" s="385"/>
      <c r="O2" s="385" t="s">
        <v>59</v>
      </c>
      <c r="P2" s="385"/>
      <c r="Q2" s="385"/>
      <c r="R2" s="385"/>
      <c r="S2" s="385"/>
      <c r="T2" s="385"/>
      <c r="U2" s="385"/>
      <c r="V2" s="385"/>
      <c r="W2" s="385"/>
      <c r="X2" s="385"/>
      <c r="Y2" s="385"/>
      <c r="Z2" s="385"/>
      <c r="AA2" s="385" t="s">
        <v>59</v>
      </c>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54"/>
      <c r="BN2" s="54"/>
      <c r="BO2" s="54"/>
      <c r="BP2" s="55"/>
    </row>
    <row r="3" spans="1:68" ht="21" customHeight="1">
      <c r="A3" s="58"/>
      <c r="B3" s="58"/>
      <c r="C3" s="59">
        <f>Analítico!C3</f>
        <v>45261</v>
      </c>
      <c r="D3" s="59">
        <f>Analítico!D3</f>
        <v>45292</v>
      </c>
      <c r="E3" s="59">
        <f>Analítico!E3</f>
        <v>45323</v>
      </c>
      <c r="F3" s="59">
        <f>Analítico!F3</f>
        <v>45352</v>
      </c>
      <c r="G3" s="59">
        <f>Analítico!G3</f>
        <v>45383</v>
      </c>
      <c r="H3" s="59">
        <f>Analítico!H3</f>
        <v>45413</v>
      </c>
      <c r="I3" s="59">
        <f>Analítico!I3</f>
        <v>45444</v>
      </c>
      <c r="J3" s="59">
        <f>Analítico!J3</f>
        <v>45474</v>
      </c>
      <c r="K3" s="59">
        <f>Analítico!K3</f>
        <v>45505</v>
      </c>
      <c r="L3" s="59">
        <f>Analítico!L3</f>
        <v>45536</v>
      </c>
      <c r="M3" s="59">
        <f>Analítico!M3</f>
        <v>45566</v>
      </c>
      <c r="N3" s="59">
        <f>Analítico!N3</f>
        <v>45597</v>
      </c>
      <c r="O3" s="59">
        <f>Analítico!O3</f>
        <v>45627</v>
      </c>
      <c r="P3" s="59">
        <f>Analítico!P3</f>
        <v>45658</v>
      </c>
      <c r="Q3" s="59">
        <f>Analítico!Q3</f>
        <v>45689</v>
      </c>
      <c r="R3" s="59">
        <f>Analítico!R3</f>
        <v>45717</v>
      </c>
      <c r="S3" s="59">
        <f>Analítico!S3</f>
        <v>45748</v>
      </c>
      <c r="T3" s="59">
        <f>Analítico!T3</f>
        <v>45778</v>
      </c>
      <c r="U3" s="59">
        <f>Analítico!U3</f>
        <v>45809</v>
      </c>
      <c r="V3" s="59">
        <f>Analítico!V3</f>
        <v>45839</v>
      </c>
      <c r="W3" s="59">
        <f>Analítico!W3</f>
        <v>45870</v>
      </c>
      <c r="X3" s="59">
        <f>Analítico!X3</f>
        <v>45901</v>
      </c>
      <c r="Y3" s="59">
        <f>Analítico!Y3</f>
        <v>45931</v>
      </c>
      <c r="Z3" s="59">
        <f>Analítico!Z3</f>
        <v>45962</v>
      </c>
      <c r="AA3" s="59">
        <f>Analítico!AA3</f>
        <v>45992</v>
      </c>
      <c r="AB3" s="59">
        <f>Analítico!AB3</f>
        <v>46023</v>
      </c>
      <c r="AC3" s="59">
        <f>Analítico!AC3</f>
        <v>46054</v>
      </c>
      <c r="AD3" s="59">
        <f>Analítico!AD3</f>
        <v>46082</v>
      </c>
      <c r="AE3" s="59">
        <f>Analítico!AE3</f>
        <v>46113</v>
      </c>
      <c r="AF3" s="59">
        <f>Analítico!AF3</f>
        <v>46143</v>
      </c>
      <c r="AG3" s="59">
        <f>Analítico!AG3</f>
        <v>46174</v>
      </c>
      <c r="AH3" s="59">
        <f>Analítico!AH3</f>
        <v>46204</v>
      </c>
      <c r="AI3" s="59">
        <f>Analítico!AI3</f>
        <v>46235</v>
      </c>
      <c r="AJ3" s="59">
        <f>Analítico!AJ3</f>
        <v>46266</v>
      </c>
      <c r="AK3" s="59">
        <f>Analítico!AK3</f>
        <v>46296</v>
      </c>
      <c r="AL3" s="59">
        <f>Analítico!AL3</f>
        <v>46327</v>
      </c>
      <c r="AM3" s="59">
        <f>Analítico!AM3</f>
        <v>46357</v>
      </c>
      <c r="AN3" s="59">
        <f>Analítico!AN3</f>
        <v>46388</v>
      </c>
      <c r="AO3" s="59">
        <f>Analítico!AO3</f>
        <v>46419</v>
      </c>
      <c r="AP3" s="59">
        <f>Analítico!AP3</f>
        <v>46447</v>
      </c>
      <c r="AQ3" s="59">
        <f>Analítico!AQ3</f>
        <v>46478</v>
      </c>
      <c r="AR3" s="59">
        <f>Analítico!AR3</f>
        <v>46508</v>
      </c>
      <c r="AS3" s="59">
        <f>Analítico!AS3</f>
        <v>46539</v>
      </c>
      <c r="AT3" s="59">
        <f>Analítico!AT3</f>
        <v>46569</v>
      </c>
      <c r="AU3" s="59">
        <f>Analítico!AU3</f>
        <v>46600</v>
      </c>
      <c r="AV3" s="59">
        <f>Analítico!AV3</f>
        <v>46631</v>
      </c>
      <c r="AW3" s="59">
        <f>Analítico!AW3</f>
        <v>46661</v>
      </c>
      <c r="AX3" s="59">
        <f>Analítico!AX3</f>
        <v>46692</v>
      </c>
      <c r="AY3" s="59">
        <f>Analítico!AY3</f>
        <v>46722</v>
      </c>
      <c r="AZ3" s="59">
        <f>Analítico!AZ3</f>
        <v>46753</v>
      </c>
      <c r="BA3" s="59">
        <f>Analítico!BA3</f>
        <v>46784</v>
      </c>
      <c r="BB3" s="59">
        <f>Analítico!BB3</f>
        <v>46813</v>
      </c>
      <c r="BC3" s="59">
        <f>Analítico!BC3</f>
        <v>46844</v>
      </c>
      <c r="BD3" s="59">
        <f>Analítico!BD3</f>
        <v>46874</v>
      </c>
      <c r="BE3" s="59">
        <f>Analítico!BE3</f>
        <v>46905</v>
      </c>
      <c r="BF3" s="59">
        <f>Analítico!BF3</f>
        <v>46935</v>
      </c>
      <c r="BG3" s="59">
        <f>Analítico!BG3</f>
        <v>46966</v>
      </c>
      <c r="BH3" s="59">
        <f>Analítico!BH3</f>
        <v>46997</v>
      </c>
      <c r="BI3" s="59">
        <f>Analítico!BI3</f>
        <v>47027</v>
      </c>
      <c r="BJ3" s="59">
        <f>Analítico!BJ3</f>
        <v>47058</v>
      </c>
      <c r="BK3" s="60" t="s">
        <v>60</v>
      </c>
      <c r="BL3" s="61" t="s">
        <v>61</v>
      </c>
    </row>
    <row r="4" spans="1:68" ht="16.5" customHeight="1">
      <c r="A4" s="62" t="s">
        <v>62</v>
      </c>
      <c r="B4" s="62" t="s">
        <v>63</v>
      </c>
      <c r="C4" s="63">
        <f>Analítico!C4</f>
        <v>0</v>
      </c>
      <c r="D4" s="63">
        <f>Analítico!D4</f>
        <v>0</v>
      </c>
      <c r="E4" s="63">
        <f>Analítico!E4</f>
        <v>0</v>
      </c>
      <c r="F4" s="63">
        <f>Analítico!F4</f>
        <v>0</v>
      </c>
      <c r="G4" s="63">
        <f>Analítico!G4</f>
        <v>0</v>
      </c>
      <c r="H4" s="63">
        <f>Analítico!H4</f>
        <v>0</v>
      </c>
      <c r="I4" s="63">
        <f>Analítico!I4</f>
        <v>0</v>
      </c>
      <c r="J4" s="63">
        <f>Analítico!J4</f>
        <v>0</v>
      </c>
      <c r="K4" s="63">
        <f>Analítico!K4</f>
        <v>0</v>
      </c>
      <c r="L4" s="63">
        <f>Analítico!L4</f>
        <v>0</v>
      </c>
      <c r="M4" s="63">
        <f>Analítico!M4</f>
        <v>0</v>
      </c>
      <c r="N4" s="63">
        <f>Analítico!N4</f>
        <v>0</v>
      </c>
      <c r="O4" s="63">
        <f>Analítico!O4</f>
        <v>0</v>
      </c>
      <c r="P4" s="63">
        <f>Analítico!P4</f>
        <v>0</v>
      </c>
      <c r="Q4" s="63">
        <f>Analítico!Q4</f>
        <v>0</v>
      </c>
      <c r="R4" s="63">
        <f>Analítico!R4</f>
        <v>0</v>
      </c>
      <c r="S4" s="63">
        <f>Analítico!S4</f>
        <v>0</v>
      </c>
      <c r="T4" s="63">
        <f>Analítico!T4</f>
        <v>0</v>
      </c>
      <c r="U4" s="63">
        <f>Analítico!U4</f>
        <v>0</v>
      </c>
      <c r="V4" s="63">
        <f>Analítico!V4</f>
        <v>0</v>
      </c>
      <c r="W4" s="63">
        <f>Analítico!W4</f>
        <v>0</v>
      </c>
      <c r="X4" s="63">
        <f>Analítico!X4</f>
        <v>0</v>
      </c>
      <c r="Y4" s="63">
        <f>Analítico!Y4</f>
        <v>0</v>
      </c>
      <c r="Z4" s="63">
        <f>Analítico!Z4</f>
        <v>0</v>
      </c>
      <c r="AA4" s="63">
        <f>Analítico!AA4</f>
        <v>0</v>
      </c>
      <c r="AB4" s="63">
        <f>Analítico!AB4</f>
        <v>0</v>
      </c>
      <c r="AC4" s="63">
        <f>Analítico!AC4</f>
        <v>0</v>
      </c>
      <c r="AD4" s="63">
        <f>Analítico!AD4</f>
        <v>0</v>
      </c>
      <c r="AE4" s="63">
        <f>Analítico!AE4</f>
        <v>0</v>
      </c>
      <c r="AF4" s="63">
        <f>Analítico!AF4</f>
        <v>0</v>
      </c>
      <c r="AG4" s="63">
        <f>Analítico!AG4</f>
        <v>0</v>
      </c>
      <c r="AH4" s="63">
        <f>Analítico!AH4</f>
        <v>0</v>
      </c>
      <c r="AI4" s="63">
        <f>Analítico!AI4</f>
        <v>0</v>
      </c>
      <c r="AJ4" s="63">
        <f>Analítico!AJ4</f>
        <v>0</v>
      </c>
      <c r="AK4" s="63">
        <f>Analítico!AK4</f>
        <v>0</v>
      </c>
      <c r="AL4" s="63">
        <f>Analítico!AL4</f>
        <v>0</v>
      </c>
      <c r="AM4" s="63">
        <f>Analítico!AM4</f>
        <v>0</v>
      </c>
      <c r="AN4" s="63">
        <f>Analítico!AN4</f>
        <v>0</v>
      </c>
      <c r="AO4" s="63">
        <f>Analítico!AO4</f>
        <v>0</v>
      </c>
      <c r="AP4" s="63">
        <f>Analítico!AP4</f>
        <v>0</v>
      </c>
      <c r="AQ4" s="63">
        <f>Analítico!AQ4</f>
        <v>0</v>
      </c>
      <c r="AR4" s="63">
        <f>Analítico!AR4</f>
        <v>0</v>
      </c>
      <c r="AS4" s="63">
        <f>Analítico!AS4</f>
        <v>0</v>
      </c>
      <c r="AT4" s="63">
        <f>Analítico!AT4</f>
        <v>0</v>
      </c>
      <c r="AU4" s="63">
        <f>Analítico!AU4</f>
        <v>0</v>
      </c>
      <c r="AV4" s="63">
        <f>Analítico!AV4</f>
        <v>0</v>
      </c>
      <c r="AW4" s="63">
        <f>Analítico!AW4</f>
        <v>0</v>
      </c>
      <c r="AX4" s="63">
        <f>Analítico!AX4</f>
        <v>0</v>
      </c>
      <c r="AY4" s="63">
        <f>Analítico!AY4</f>
        <v>0</v>
      </c>
      <c r="AZ4" s="63">
        <f>Analítico!AZ4</f>
        <v>0</v>
      </c>
      <c r="BA4" s="63">
        <f>Analítico!BA4</f>
        <v>0</v>
      </c>
      <c r="BB4" s="63">
        <f>Analítico!BB4</f>
        <v>0</v>
      </c>
      <c r="BC4" s="63">
        <f>Analítico!BC4</f>
        <v>0</v>
      </c>
      <c r="BD4" s="63">
        <f>Analítico!BD4</f>
        <v>0</v>
      </c>
      <c r="BE4" s="63">
        <f>Analítico!BE4</f>
        <v>0</v>
      </c>
      <c r="BF4" s="63">
        <f>Analítico!BF4</f>
        <v>0</v>
      </c>
      <c r="BG4" s="63">
        <f>Analítico!BG4</f>
        <v>0</v>
      </c>
      <c r="BH4" s="63">
        <f>Analítico!BH4</f>
        <v>0</v>
      </c>
      <c r="BI4" s="63">
        <f>Analítico!BI4</f>
        <v>0</v>
      </c>
      <c r="BJ4" s="63">
        <f>Analítico!BJ4</f>
        <v>0</v>
      </c>
      <c r="BK4" s="64">
        <f>C4</f>
        <v>0</v>
      </c>
      <c r="BL4" s="65">
        <f>IF($C$4=0,0,C4/$BK$15)</f>
        <v>0</v>
      </c>
    </row>
    <row r="5" spans="1:68" ht="7.5" customHeight="1">
      <c r="A5" s="386"/>
      <c r="B5" s="386"/>
      <c r="C5" s="66"/>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8"/>
      <c r="BL5" s="69"/>
    </row>
    <row r="6" spans="1:68" ht="21" customHeight="1">
      <c r="A6" s="70">
        <v>1</v>
      </c>
      <c r="B6" s="70" t="s">
        <v>64</v>
      </c>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60"/>
      <c r="BL6" s="61"/>
    </row>
    <row r="7" spans="1:68" ht="21" customHeight="1">
      <c r="A7" s="72" t="s">
        <v>65</v>
      </c>
      <c r="B7" s="73" t="s">
        <v>36</v>
      </c>
      <c r="C7" s="74">
        <f ca="1">Analítico!C7</f>
        <v>11565545.86127962</v>
      </c>
      <c r="D7" s="74">
        <f ca="1">Analítico!D7</f>
        <v>0</v>
      </c>
      <c r="E7" s="74">
        <f ca="1">Analítico!E7</f>
        <v>15842413.075141767</v>
      </c>
      <c r="F7" s="74">
        <f ca="1">Analítico!F7</f>
        <v>0</v>
      </c>
      <c r="G7" s="74">
        <f ca="1">Analítico!G7</f>
        <v>0</v>
      </c>
      <c r="H7" s="74">
        <f ca="1">Analítico!H7</f>
        <v>15118070.831598662</v>
      </c>
      <c r="I7" s="74">
        <f ca="1">Analítico!I7</f>
        <v>0</v>
      </c>
      <c r="J7" s="74">
        <f ca="1">Analítico!J7</f>
        <v>0</v>
      </c>
      <c r="K7" s="74">
        <f ca="1">Analítico!K7</f>
        <v>15549785.411804855</v>
      </c>
      <c r="L7" s="74">
        <f ca="1">Analítico!L7</f>
        <v>0</v>
      </c>
      <c r="M7" s="74">
        <f ca="1">Analítico!M7</f>
        <v>0</v>
      </c>
      <c r="N7" s="74">
        <f ca="1">Analítico!N7</f>
        <v>16273681.175769405</v>
      </c>
      <c r="O7" s="74">
        <f ca="1">Analítico!O7</f>
        <v>0</v>
      </c>
      <c r="P7" s="74">
        <f ca="1">Analítico!P7</f>
        <v>0</v>
      </c>
      <c r="Q7" s="74">
        <f ca="1">Analítico!Q7</f>
        <v>17710014.566190328</v>
      </c>
      <c r="R7" s="74">
        <f ca="1">Analítico!R7</f>
        <v>0</v>
      </c>
      <c r="S7" s="74">
        <f ca="1">Analítico!S7</f>
        <v>0</v>
      </c>
      <c r="T7" s="74">
        <f ca="1">Analítico!T7</f>
        <v>16587248.297416795</v>
      </c>
      <c r="U7" s="74">
        <f ca="1">Analítico!U7</f>
        <v>0</v>
      </c>
      <c r="V7" s="74">
        <f ca="1">Analítico!V7</f>
        <v>0</v>
      </c>
      <c r="W7" s="74">
        <f ca="1">Analítico!W7</f>
        <v>16115700.437416796</v>
      </c>
      <c r="X7" s="74">
        <f ca="1">Analítico!X7</f>
        <v>0</v>
      </c>
      <c r="Y7" s="74">
        <f ca="1">Analítico!Y7</f>
        <v>0</v>
      </c>
      <c r="Z7" s="74">
        <f ca="1">Analítico!Z7</f>
        <v>16412477.598708186</v>
      </c>
      <c r="AA7" s="74">
        <f ca="1">Analítico!AA7</f>
        <v>0</v>
      </c>
      <c r="AB7" s="74">
        <f ca="1">Analítico!AB7</f>
        <v>0</v>
      </c>
      <c r="AC7" s="74">
        <f ca="1">Analítico!AC7</f>
        <v>16204004.472656842</v>
      </c>
      <c r="AD7" s="74">
        <f ca="1">Analítico!AD7</f>
        <v>0</v>
      </c>
      <c r="AE7" s="74">
        <f ca="1">Analítico!AE7</f>
        <v>0</v>
      </c>
      <c r="AF7" s="74">
        <f ca="1">Analítico!AF7</f>
        <v>16613463.320636939</v>
      </c>
      <c r="AG7" s="74">
        <f ca="1">Analítico!AG7</f>
        <v>0</v>
      </c>
      <c r="AH7" s="74">
        <f ca="1">Analítico!AH7</f>
        <v>0</v>
      </c>
      <c r="AI7" s="74">
        <f ca="1">Analítico!AI7</f>
        <v>16465002.450636938</v>
      </c>
      <c r="AJ7" s="74">
        <f ca="1">Analítico!AJ7</f>
        <v>0</v>
      </c>
      <c r="AK7" s="74">
        <f ca="1">Analítico!AK7</f>
        <v>0</v>
      </c>
      <c r="AL7" s="74">
        <f ca="1">Analítico!AL7</f>
        <v>17160186.583105743</v>
      </c>
      <c r="AM7" s="74">
        <f ca="1">Analítico!AM7</f>
        <v>0</v>
      </c>
      <c r="AN7" s="74">
        <f ca="1">Analítico!AN7</f>
        <v>0</v>
      </c>
      <c r="AO7" s="74">
        <f ca="1">Analítico!AO7</f>
        <v>17269416.781711999</v>
      </c>
      <c r="AP7" s="74">
        <f ca="1">Analítico!AP7</f>
        <v>0</v>
      </c>
      <c r="AQ7" s="74">
        <f ca="1">Analítico!AQ7</f>
        <v>0</v>
      </c>
      <c r="AR7" s="74">
        <f ca="1">Analítico!AR7</f>
        <v>17642611.953862131</v>
      </c>
      <c r="AS7" s="74">
        <f ca="1">Analítico!AS7</f>
        <v>0</v>
      </c>
      <c r="AT7" s="74">
        <f ca="1">Analítico!AT7</f>
        <v>0</v>
      </c>
      <c r="AU7" s="74">
        <f ca="1">Analítico!AU7</f>
        <v>17488607.573862132</v>
      </c>
      <c r="AV7" s="74">
        <f ca="1">Analítico!AV7</f>
        <v>0</v>
      </c>
      <c r="AW7" s="74">
        <f ca="1">Analítico!AW7</f>
        <v>0</v>
      </c>
      <c r="AX7" s="74">
        <f ca="1">Analítico!AX7</f>
        <v>17948735.515779123</v>
      </c>
      <c r="AY7" s="74">
        <f ca="1">Analítico!AY7</f>
        <v>0</v>
      </c>
      <c r="AZ7" s="74">
        <f ca="1">Analítico!AZ7</f>
        <v>0</v>
      </c>
      <c r="BA7" s="74">
        <f ca="1">Analítico!BA7</f>
        <v>18135850.032463986</v>
      </c>
      <c r="BB7" s="74">
        <f ca="1">Analítico!BB7</f>
        <v>0</v>
      </c>
      <c r="BC7" s="74">
        <f ca="1">Analítico!BC7</f>
        <v>0</v>
      </c>
      <c r="BD7" s="74">
        <f ca="1">Analítico!BD7</f>
        <v>18371573.679667689</v>
      </c>
      <c r="BE7" s="74">
        <f ca="1">Analítico!BE7</f>
        <v>0</v>
      </c>
      <c r="BF7" s="74">
        <f ca="1">Analítico!BF7</f>
        <v>0</v>
      </c>
      <c r="BG7" s="74">
        <f ca="1">Analítico!BG7</f>
        <v>18332705.199667688</v>
      </c>
      <c r="BH7" s="74">
        <f ca="1">Analítico!BH7</f>
        <v>0</v>
      </c>
      <c r="BI7" s="74">
        <f ca="1">Analítico!BI7</f>
        <v>0</v>
      </c>
      <c r="BJ7" s="74">
        <f ca="1">Analítico!BJ7</f>
        <v>0</v>
      </c>
      <c r="BK7" s="74">
        <f ca="1">SUM(C7:BJ7)</f>
        <v>332807094.81937766</v>
      </c>
      <c r="BL7" s="75">
        <f ca="1">IF($BK$15=0,0,BK7/$BK$15)</f>
        <v>1</v>
      </c>
    </row>
    <row r="8" spans="1:68" ht="21" customHeight="1">
      <c r="A8" s="76" t="s">
        <v>66</v>
      </c>
      <c r="B8" s="77" t="s">
        <v>67</v>
      </c>
      <c r="C8" s="78">
        <f>Analítico!C8</f>
        <v>0</v>
      </c>
      <c r="D8" s="78">
        <f>Analítico!D8</f>
        <v>0</v>
      </c>
      <c r="E8" s="78">
        <f>Analítico!E8</f>
        <v>0</v>
      </c>
      <c r="F8" s="78">
        <f>Analítico!F8</f>
        <v>0</v>
      </c>
      <c r="G8" s="78">
        <f>Analítico!G8</f>
        <v>0</v>
      </c>
      <c r="H8" s="78">
        <f>Analítico!H8</f>
        <v>0</v>
      </c>
      <c r="I8" s="78">
        <f>Analítico!I8</f>
        <v>0</v>
      </c>
      <c r="J8" s="78">
        <f>Analítico!J8</f>
        <v>0</v>
      </c>
      <c r="K8" s="78">
        <f>Analítico!K8</f>
        <v>0</v>
      </c>
      <c r="L8" s="78">
        <f>Analítico!L8</f>
        <v>0</v>
      </c>
      <c r="M8" s="78">
        <f>Analítico!M8</f>
        <v>0</v>
      </c>
      <c r="N8" s="78">
        <f>Analítico!N8</f>
        <v>0</v>
      </c>
      <c r="O8" s="78">
        <f>Analítico!O8</f>
        <v>0</v>
      </c>
      <c r="P8" s="78">
        <f>Analítico!P8</f>
        <v>0</v>
      </c>
      <c r="Q8" s="78">
        <f>Analítico!Q8</f>
        <v>0</v>
      </c>
      <c r="R8" s="78">
        <f>Analítico!R8</f>
        <v>0</v>
      </c>
      <c r="S8" s="78">
        <f>Analítico!S8</f>
        <v>0</v>
      </c>
      <c r="T8" s="78">
        <f>Analítico!T8</f>
        <v>0</v>
      </c>
      <c r="U8" s="78">
        <f>Analítico!U8</f>
        <v>0</v>
      </c>
      <c r="V8" s="78">
        <f>Analítico!V8</f>
        <v>0</v>
      </c>
      <c r="W8" s="78">
        <f>Analítico!W8</f>
        <v>0</v>
      </c>
      <c r="X8" s="78">
        <f>Analítico!X8</f>
        <v>0</v>
      </c>
      <c r="Y8" s="78">
        <f>Analítico!Y8</f>
        <v>0</v>
      </c>
      <c r="Z8" s="78">
        <f>Analítico!Z8</f>
        <v>0</v>
      </c>
      <c r="AA8" s="78">
        <f>Analítico!AA8</f>
        <v>0</v>
      </c>
      <c r="AB8" s="78">
        <f>Analítico!AB8</f>
        <v>0</v>
      </c>
      <c r="AC8" s="78">
        <f>Analítico!AC8</f>
        <v>0</v>
      </c>
      <c r="AD8" s="78">
        <f>Analítico!AD8</f>
        <v>0</v>
      </c>
      <c r="AE8" s="78">
        <f>Analítico!AE8</f>
        <v>0</v>
      </c>
      <c r="AF8" s="78">
        <f>Analítico!AF8</f>
        <v>0</v>
      </c>
      <c r="AG8" s="78">
        <f>Analítico!AG8</f>
        <v>0</v>
      </c>
      <c r="AH8" s="78">
        <f>Analítico!AH8</f>
        <v>0</v>
      </c>
      <c r="AI8" s="78">
        <f>Analítico!AI8</f>
        <v>0</v>
      </c>
      <c r="AJ8" s="78">
        <f>Analítico!AJ8</f>
        <v>0</v>
      </c>
      <c r="AK8" s="78">
        <f>Analítico!AK8</f>
        <v>0</v>
      </c>
      <c r="AL8" s="78">
        <f>Analítico!AL8</f>
        <v>0</v>
      </c>
      <c r="AM8" s="78">
        <f>Analítico!AM8</f>
        <v>0</v>
      </c>
      <c r="AN8" s="78">
        <f>Analítico!AN8</f>
        <v>0</v>
      </c>
      <c r="AO8" s="78">
        <f>Analítico!AO8</f>
        <v>0</v>
      </c>
      <c r="AP8" s="78">
        <f>Analítico!AP8</f>
        <v>0</v>
      </c>
      <c r="AQ8" s="78">
        <f>Analítico!AQ8</f>
        <v>0</v>
      </c>
      <c r="AR8" s="78">
        <f>Analítico!AR8</f>
        <v>0</v>
      </c>
      <c r="AS8" s="78">
        <f>Analítico!AS8</f>
        <v>0</v>
      </c>
      <c r="AT8" s="78">
        <f>Analítico!AT8</f>
        <v>0</v>
      </c>
      <c r="AU8" s="78">
        <f>Analítico!AU8</f>
        <v>0</v>
      </c>
      <c r="AV8" s="78">
        <f>Analítico!AV8</f>
        <v>0</v>
      </c>
      <c r="AW8" s="78">
        <f>Analítico!AW8</f>
        <v>0</v>
      </c>
      <c r="AX8" s="78">
        <f>Analítico!AX8</f>
        <v>0</v>
      </c>
      <c r="AY8" s="78">
        <f>Analítico!AY8</f>
        <v>0</v>
      </c>
      <c r="AZ8" s="78">
        <f>Analítico!AZ8</f>
        <v>0</v>
      </c>
      <c r="BA8" s="78">
        <f>Analítico!BA8</f>
        <v>0</v>
      </c>
      <c r="BB8" s="78">
        <f>Analítico!BB8</f>
        <v>0</v>
      </c>
      <c r="BC8" s="78">
        <f>Analítico!BC8</f>
        <v>0</v>
      </c>
      <c r="BD8" s="78">
        <f>Analítico!BD8</f>
        <v>0</v>
      </c>
      <c r="BE8" s="78">
        <f>Analítico!BE8</f>
        <v>0</v>
      </c>
      <c r="BF8" s="78">
        <f>Analítico!BF8</f>
        <v>0</v>
      </c>
      <c r="BG8" s="78">
        <f>Analítico!BG8</f>
        <v>0</v>
      </c>
      <c r="BH8" s="78">
        <f>Analítico!BH8</f>
        <v>0</v>
      </c>
      <c r="BI8" s="78">
        <f>Analítico!BI8</f>
        <v>0</v>
      </c>
      <c r="BJ8" s="78">
        <f>Analítico!BJ8</f>
        <v>0</v>
      </c>
      <c r="BK8" s="78">
        <f>SUM(C8:BJ8)</f>
        <v>0</v>
      </c>
      <c r="BL8" s="79">
        <f ca="1">IF($BK$15=0,0,BK8/$BK$15)</f>
        <v>0</v>
      </c>
    </row>
    <row r="9" spans="1:68">
      <c r="A9" s="80" t="s">
        <v>68</v>
      </c>
      <c r="B9" s="81" t="s">
        <v>37</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3"/>
    </row>
    <row r="10" spans="1:68" ht="21.75" customHeight="1">
      <c r="A10" s="84" t="s">
        <v>69</v>
      </c>
      <c r="B10" s="81" t="s">
        <v>70</v>
      </c>
      <c r="C10" s="82">
        <f>Analítico!C10</f>
        <v>0</v>
      </c>
      <c r="D10" s="82">
        <f>Analítico!D10</f>
        <v>0</v>
      </c>
      <c r="E10" s="82">
        <f>Analítico!E10</f>
        <v>0</v>
      </c>
      <c r="F10" s="82">
        <f>Analítico!F10</f>
        <v>0</v>
      </c>
      <c r="G10" s="82">
        <f>Analítico!G10</f>
        <v>0</v>
      </c>
      <c r="H10" s="82">
        <f>Analítico!H10</f>
        <v>0</v>
      </c>
      <c r="I10" s="82">
        <f>Analítico!I10</f>
        <v>0</v>
      </c>
      <c r="J10" s="82">
        <f>Analítico!J10</f>
        <v>0</v>
      </c>
      <c r="K10" s="82">
        <f>Analítico!K10</f>
        <v>0</v>
      </c>
      <c r="L10" s="82">
        <f>Analítico!L10</f>
        <v>0</v>
      </c>
      <c r="M10" s="82">
        <f>Analítico!M10</f>
        <v>0</v>
      </c>
      <c r="N10" s="82">
        <f>Analítico!N10</f>
        <v>0</v>
      </c>
      <c r="O10" s="82">
        <f>Analítico!O10</f>
        <v>0</v>
      </c>
      <c r="P10" s="82">
        <f>Analítico!P10</f>
        <v>0</v>
      </c>
      <c r="Q10" s="82">
        <f>Analítico!Q10</f>
        <v>0</v>
      </c>
      <c r="R10" s="82">
        <f>Analítico!R10</f>
        <v>0</v>
      </c>
      <c r="S10" s="82">
        <f>Analítico!S10</f>
        <v>0</v>
      </c>
      <c r="T10" s="82">
        <f>Analítico!T10</f>
        <v>0</v>
      </c>
      <c r="U10" s="82">
        <f>Analítico!U10</f>
        <v>0</v>
      </c>
      <c r="V10" s="82">
        <f>Analítico!V10</f>
        <v>0</v>
      </c>
      <c r="W10" s="82">
        <f>Analítico!W10</f>
        <v>0</v>
      </c>
      <c r="X10" s="82">
        <f>Analítico!X10</f>
        <v>0</v>
      </c>
      <c r="Y10" s="82">
        <f>Analítico!Y10</f>
        <v>0</v>
      </c>
      <c r="Z10" s="82">
        <f>Analítico!Z10</f>
        <v>0</v>
      </c>
      <c r="AA10" s="82">
        <f>Analítico!AA10</f>
        <v>0</v>
      </c>
      <c r="AB10" s="82">
        <f>Analítico!AB10</f>
        <v>0</v>
      </c>
      <c r="AC10" s="82">
        <f>Analítico!AC10</f>
        <v>0</v>
      </c>
      <c r="AD10" s="82">
        <f>Analítico!AD10</f>
        <v>0</v>
      </c>
      <c r="AE10" s="82">
        <f>Analítico!AE10</f>
        <v>0</v>
      </c>
      <c r="AF10" s="82">
        <f>Analítico!AF10</f>
        <v>0</v>
      </c>
      <c r="AG10" s="82">
        <f>Analítico!AG10</f>
        <v>0</v>
      </c>
      <c r="AH10" s="82">
        <f>Analítico!AH10</f>
        <v>0</v>
      </c>
      <c r="AI10" s="82">
        <f>Analítico!AI10</f>
        <v>0</v>
      </c>
      <c r="AJ10" s="82">
        <f>Analítico!AJ10</f>
        <v>0</v>
      </c>
      <c r="AK10" s="82">
        <f>Analítico!AK10</f>
        <v>0</v>
      </c>
      <c r="AL10" s="82">
        <f>Analítico!AL10</f>
        <v>0</v>
      </c>
      <c r="AM10" s="82">
        <f>Analítico!AM10</f>
        <v>0</v>
      </c>
      <c r="AN10" s="82">
        <f>Analítico!AN10</f>
        <v>0</v>
      </c>
      <c r="AO10" s="82">
        <f>Analítico!AO10</f>
        <v>0</v>
      </c>
      <c r="AP10" s="82">
        <f>Analítico!AP10</f>
        <v>0</v>
      </c>
      <c r="AQ10" s="82">
        <f>Analítico!AQ10</f>
        <v>0</v>
      </c>
      <c r="AR10" s="82">
        <f>Analítico!AR10</f>
        <v>0</v>
      </c>
      <c r="AS10" s="82">
        <f>Analítico!AS10</f>
        <v>0</v>
      </c>
      <c r="AT10" s="82">
        <f>Analítico!AT10</f>
        <v>0</v>
      </c>
      <c r="AU10" s="82">
        <f>Analítico!AU10</f>
        <v>0</v>
      </c>
      <c r="AV10" s="82">
        <f>Analítico!AV10</f>
        <v>0</v>
      </c>
      <c r="AW10" s="82">
        <f>Analítico!AW10</f>
        <v>0</v>
      </c>
      <c r="AX10" s="82">
        <f>Analítico!AX10</f>
        <v>0</v>
      </c>
      <c r="AY10" s="82">
        <f>Analítico!AY10</f>
        <v>0</v>
      </c>
      <c r="AZ10" s="82">
        <f>Analítico!AZ10</f>
        <v>0</v>
      </c>
      <c r="BA10" s="82">
        <f>Analítico!BA10</f>
        <v>0</v>
      </c>
      <c r="BB10" s="82">
        <f>Analítico!BB10</f>
        <v>0</v>
      </c>
      <c r="BC10" s="82">
        <f>Analítico!BC10</f>
        <v>0</v>
      </c>
      <c r="BD10" s="82">
        <f>Analítico!BD10</f>
        <v>0</v>
      </c>
      <c r="BE10" s="82">
        <f>Analítico!BE10</f>
        <v>0</v>
      </c>
      <c r="BF10" s="82">
        <f>Analítico!BF10</f>
        <v>0</v>
      </c>
      <c r="BG10" s="82">
        <f>Analítico!BG10</f>
        <v>0</v>
      </c>
      <c r="BH10" s="82">
        <f>Analítico!BH10</f>
        <v>0</v>
      </c>
      <c r="BI10" s="82">
        <f>Analítico!BI10</f>
        <v>0</v>
      </c>
      <c r="BJ10" s="82">
        <f>Analítico!BJ10</f>
        <v>0</v>
      </c>
      <c r="BK10" s="82">
        <f t="shared" ref="BK10:BK15" si="0">SUM(C10:BJ10)</f>
        <v>0</v>
      </c>
      <c r="BL10" s="83">
        <f t="shared" ref="BL10:BL15" ca="1" si="1">IF($BK$15=0,0,BK10/$BK$15)</f>
        <v>0</v>
      </c>
    </row>
    <row r="11" spans="1:68" ht="21.75" customHeight="1">
      <c r="A11" s="84" t="s">
        <v>71</v>
      </c>
      <c r="B11" s="81" t="s">
        <v>72</v>
      </c>
      <c r="C11" s="82">
        <f>Analítico!C11</f>
        <v>0</v>
      </c>
      <c r="D11" s="82">
        <f>Analítico!D11</f>
        <v>0</v>
      </c>
      <c r="E11" s="82">
        <f>Analítico!E11</f>
        <v>0</v>
      </c>
      <c r="F11" s="82">
        <f>Analítico!F11</f>
        <v>0</v>
      </c>
      <c r="G11" s="82">
        <f>Analítico!G11</f>
        <v>0</v>
      </c>
      <c r="H11" s="82">
        <f>Analítico!H11</f>
        <v>0</v>
      </c>
      <c r="I11" s="82">
        <f>Analítico!I11</f>
        <v>0</v>
      </c>
      <c r="J11" s="82">
        <f>Analítico!J11</f>
        <v>0</v>
      </c>
      <c r="K11" s="82">
        <f>Analítico!K11</f>
        <v>0</v>
      </c>
      <c r="L11" s="82">
        <f>Analítico!L11</f>
        <v>0</v>
      </c>
      <c r="M11" s="82">
        <f>Analítico!M11</f>
        <v>0</v>
      </c>
      <c r="N11" s="82">
        <f>Analítico!N11</f>
        <v>0</v>
      </c>
      <c r="O11" s="82">
        <f>Analítico!O11</f>
        <v>0</v>
      </c>
      <c r="P11" s="82">
        <f>Analítico!P11</f>
        <v>0</v>
      </c>
      <c r="Q11" s="82">
        <f>Analítico!Q11</f>
        <v>0</v>
      </c>
      <c r="R11" s="82">
        <f>Analítico!R11</f>
        <v>0</v>
      </c>
      <c r="S11" s="82">
        <f>Analítico!S11</f>
        <v>0</v>
      </c>
      <c r="T11" s="82">
        <f>Analítico!T11</f>
        <v>0</v>
      </c>
      <c r="U11" s="82">
        <f>Analítico!U11</f>
        <v>0</v>
      </c>
      <c r="V11" s="82">
        <f>Analítico!V11</f>
        <v>0</v>
      </c>
      <c r="W11" s="82">
        <f>Analítico!W11</f>
        <v>0</v>
      </c>
      <c r="X11" s="82">
        <f>Analítico!X11</f>
        <v>0</v>
      </c>
      <c r="Y11" s="82">
        <f>Analítico!Y11</f>
        <v>0</v>
      </c>
      <c r="Z11" s="82">
        <f>Analítico!Z11</f>
        <v>0</v>
      </c>
      <c r="AA11" s="82">
        <f>Analítico!AA11</f>
        <v>0</v>
      </c>
      <c r="AB11" s="82">
        <f>Analítico!AB11</f>
        <v>0</v>
      </c>
      <c r="AC11" s="82">
        <f>Analítico!AC11</f>
        <v>0</v>
      </c>
      <c r="AD11" s="82">
        <f>Analítico!AD11</f>
        <v>0</v>
      </c>
      <c r="AE11" s="82">
        <f>Analítico!AE11</f>
        <v>0</v>
      </c>
      <c r="AF11" s="82">
        <f>Analítico!AF11</f>
        <v>0</v>
      </c>
      <c r="AG11" s="82">
        <f>Analítico!AG11</f>
        <v>0</v>
      </c>
      <c r="AH11" s="82">
        <f>Analítico!AH11</f>
        <v>0</v>
      </c>
      <c r="AI11" s="82">
        <f>Analítico!AI11</f>
        <v>0</v>
      </c>
      <c r="AJ11" s="82">
        <f>Analítico!AJ11</f>
        <v>0</v>
      </c>
      <c r="AK11" s="82">
        <f>Analítico!AK11</f>
        <v>0</v>
      </c>
      <c r="AL11" s="82">
        <f>Analítico!AL11</f>
        <v>0</v>
      </c>
      <c r="AM11" s="82">
        <f>Analítico!AM11</f>
        <v>0</v>
      </c>
      <c r="AN11" s="82">
        <f>Analítico!AN11</f>
        <v>0</v>
      </c>
      <c r="AO11" s="82">
        <f>Analítico!AO11</f>
        <v>0</v>
      </c>
      <c r="AP11" s="82">
        <f>Analítico!AP11</f>
        <v>0</v>
      </c>
      <c r="AQ11" s="82">
        <f>Analítico!AQ11</f>
        <v>0</v>
      </c>
      <c r="AR11" s="82">
        <f>Analítico!AR11</f>
        <v>0</v>
      </c>
      <c r="AS11" s="82">
        <f>Analítico!AS11</f>
        <v>0</v>
      </c>
      <c r="AT11" s="82">
        <f>Analítico!AT11</f>
        <v>0</v>
      </c>
      <c r="AU11" s="82">
        <f>Analítico!AU11</f>
        <v>0</v>
      </c>
      <c r="AV11" s="82">
        <f>Analítico!AV11</f>
        <v>0</v>
      </c>
      <c r="AW11" s="82">
        <f>Analítico!AW11</f>
        <v>0</v>
      </c>
      <c r="AX11" s="82">
        <f>Analítico!AX11</f>
        <v>0</v>
      </c>
      <c r="AY11" s="82">
        <f>Analítico!AY11</f>
        <v>0</v>
      </c>
      <c r="AZ11" s="82">
        <f>Analítico!AZ11</f>
        <v>0</v>
      </c>
      <c r="BA11" s="82">
        <f>Analítico!BA11</f>
        <v>0</v>
      </c>
      <c r="BB11" s="82">
        <f>Analítico!BB11</f>
        <v>0</v>
      </c>
      <c r="BC11" s="82">
        <f>Analítico!BC11</f>
        <v>0</v>
      </c>
      <c r="BD11" s="82">
        <f>Analítico!BD11</f>
        <v>0</v>
      </c>
      <c r="BE11" s="82">
        <f>Analítico!BE11</f>
        <v>0</v>
      </c>
      <c r="BF11" s="82">
        <f>Analítico!BF11</f>
        <v>0</v>
      </c>
      <c r="BG11" s="82">
        <f>Analítico!BG11</f>
        <v>0</v>
      </c>
      <c r="BH11" s="82">
        <f>Analítico!BH11</f>
        <v>0</v>
      </c>
      <c r="BI11" s="82">
        <f>Analítico!BI11</f>
        <v>0</v>
      </c>
      <c r="BJ11" s="82">
        <f>Analítico!BJ11</f>
        <v>0</v>
      </c>
      <c r="BK11" s="82">
        <f t="shared" si="0"/>
        <v>0</v>
      </c>
      <c r="BL11" s="83">
        <f t="shared" ca="1" si="1"/>
        <v>0</v>
      </c>
    </row>
    <row r="12" spans="1:68" ht="21.75" customHeight="1">
      <c r="A12" s="84" t="s">
        <v>73</v>
      </c>
      <c r="B12" s="85" t="s">
        <v>74</v>
      </c>
      <c r="C12" s="86">
        <f>Analítico!C12</f>
        <v>0</v>
      </c>
      <c r="D12" s="86">
        <f>Analítico!D12</f>
        <v>0</v>
      </c>
      <c r="E12" s="86">
        <f>Analítico!E12</f>
        <v>0</v>
      </c>
      <c r="F12" s="86">
        <f>Analítico!F12</f>
        <v>0</v>
      </c>
      <c r="G12" s="86">
        <f>Analítico!G12</f>
        <v>0</v>
      </c>
      <c r="H12" s="86">
        <f>Analítico!H12</f>
        <v>0</v>
      </c>
      <c r="I12" s="86">
        <f>Analítico!I12</f>
        <v>0</v>
      </c>
      <c r="J12" s="86">
        <f>Analítico!J12</f>
        <v>0</v>
      </c>
      <c r="K12" s="86">
        <f>Analítico!K12</f>
        <v>0</v>
      </c>
      <c r="L12" s="86">
        <f>Analítico!L12</f>
        <v>0</v>
      </c>
      <c r="M12" s="86">
        <f>Analítico!M12</f>
        <v>0</v>
      </c>
      <c r="N12" s="86">
        <f>Analítico!N12</f>
        <v>0</v>
      </c>
      <c r="O12" s="86">
        <f>Analítico!O12</f>
        <v>0</v>
      </c>
      <c r="P12" s="86">
        <f>Analítico!P12</f>
        <v>0</v>
      </c>
      <c r="Q12" s="86">
        <f>Analítico!Q12</f>
        <v>0</v>
      </c>
      <c r="R12" s="86">
        <f>Analítico!R12</f>
        <v>0</v>
      </c>
      <c r="S12" s="86">
        <f>Analítico!S12</f>
        <v>0</v>
      </c>
      <c r="T12" s="86">
        <f>Analítico!T12</f>
        <v>0</v>
      </c>
      <c r="U12" s="86">
        <f>Analítico!U12</f>
        <v>0</v>
      </c>
      <c r="V12" s="86">
        <f>Analítico!V12</f>
        <v>0</v>
      </c>
      <c r="W12" s="86">
        <f>Analítico!W12</f>
        <v>0</v>
      </c>
      <c r="X12" s="86">
        <f>Analítico!X12</f>
        <v>0</v>
      </c>
      <c r="Y12" s="86">
        <f>Analítico!Y12</f>
        <v>0</v>
      </c>
      <c r="Z12" s="86">
        <f>Analítico!Z12</f>
        <v>0</v>
      </c>
      <c r="AA12" s="86">
        <f>Analítico!AA12</f>
        <v>0</v>
      </c>
      <c r="AB12" s="86">
        <f>Analítico!AB12</f>
        <v>0</v>
      </c>
      <c r="AC12" s="86">
        <f>Analítico!AC12</f>
        <v>0</v>
      </c>
      <c r="AD12" s="86">
        <f>Analítico!AD12</f>
        <v>0</v>
      </c>
      <c r="AE12" s="86">
        <f>Analítico!AE12</f>
        <v>0</v>
      </c>
      <c r="AF12" s="86">
        <f>Analítico!AF12</f>
        <v>0</v>
      </c>
      <c r="AG12" s="86">
        <f>Analítico!AG12</f>
        <v>0</v>
      </c>
      <c r="AH12" s="86">
        <f>Analítico!AH12</f>
        <v>0</v>
      </c>
      <c r="AI12" s="86">
        <f>Analítico!AI12</f>
        <v>0</v>
      </c>
      <c r="AJ12" s="86">
        <f>Analítico!AJ12</f>
        <v>0</v>
      </c>
      <c r="AK12" s="86">
        <f>Analítico!AK12</f>
        <v>0</v>
      </c>
      <c r="AL12" s="86">
        <f>Analítico!AL12</f>
        <v>0</v>
      </c>
      <c r="AM12" s="86">
        <f>Analítico!AM12</f>
        <v>0</v>
      </c>
      <c r="AN12" s="86">
        <f>Analítico!AN12</f>
        <v>0</v>
      </c>
      <c r="AO12" s="86">
        <f>Analítico!AO12</f>
        <v>0</v>
      </c>
      <c r="AP12" s="86">
        <f>Analítico!AP12</f>
        <v>0</v>
      </c>
      <c r="AQ12" s="86">
        <f>Analítico!AQ12</f>
        <v>0</v>
      </c>
      <c r="AR12" s="86">
        <f>Analítico!AR12</f>
        <v>0</v>
      </c>
      <c r="AS12" s="86">
        <f>Analítico!AS12</f>
        <v>0</v>
      </c>
      <c r="AT12" s="86">
        <f>Analítico!AT12</f>
        <v>0</v>
      </c>
      <c r="AU12" s="86">
        <f>Analítico!AU12</f>
        <v>0</v>
      </c>
      <c r="AV12" s="86">
        <f>Analítico!AV12</f>
        <v>0</v>
      </c>
      <c r="AW12" s="86">
        <f>Analítico!AW12</f>
        <v>0</v>
      </c>
      <c r="AX12" s="86">
        <f>Analítico!AX12</f>
        <v>0</v>
      </c>
      <c r="AY12" s="86">
        <f>Analítico!AY12</f>
        <v>0</v>
      </c>
      <c r="AZ12" s="86">
        <f>Analítico!AZ12</f>
        <v>0</v>
      </c>
      <c r="BA12" s="86">
        <f>Analítico!BA12</f>
        <v>0</v>
      </c>
      <c r="BB12" s="86">
        <f>Analítico!BB12</f>
        <v>0</v>
      </c>
      <c r="BC12" s="86">
        <f>Analítico!BC12</f>
        <v>0</v>
      </c>
      <c r="BD12" s="86">
        <f>Analítico!BD12</f>
        <v>0</v>
      </c>
      <c r="BE12" s="86">
        <f>Analítico!BE12</f>
        <v>0</v>
      </c>
      <c r="BF12" s="86">
        <f>Analítico!BF12</f>
        <v>0</v>
      </c>
      <c r="BG12" s="86">
        <f>Analítico!BG12</f>
        <v>0</v>
      </c>
      <c r="BH12" s="86">
        <f>Analítico!BH12</f>
        <v>0</v>
      </c>
      <c r="BI12" s="86">
        <f>Analítico!BI12</f>
        <v>0</v>
      </c>
      <c r="BJ12" s="86">
        <f>Analítico!BJ12</f>
        <v>0</v>
      </c>
      <c r="BK12" s="86">
        <f t="shared" si="0"/>
        <v>0</v>
      </c>
      <c r="BL12" s="87">
        <f t="shared" ca="1" si="1"/>
        <v>0</v>
      </c>
    </row>
    <row r="13" spans="1:68" ht="21" customHeight="1">
      <c r="A13" s="383" t="s">
        <v>75</v>
      </c>
      <c r="B13" s="383"/>
      <c r="C13" s="88">
        <f t="shared" ref="C13:AH13" si="2">SUBTOTAL(109,C10:C12)</f>
        <v>0</v>
      </c>
      <c r="D13" s="88">
        <f t="shared" si="2"/>
        <v>0</v>
      </c>
      <c r="E13" s="88">
        <f t="shared" si="2"/>
        <v>0</v>
      </c>
      <c r="F13" s="88">
        <f t="shared" si="2"/>
        <v>0</v>
      </c>
      <c r="G13" s="88">
        <f t="shared" si="2"/>
        <v>0</v>
      </c>
      <c r="H13" s="88">
        <f t="shared" si="2"/>
        <v>0</v>
      </c>
      <c r="I13" s="88">
        <f t="shared" si="2"/>
        <v>0</v>
      </c>
      <c r="J13" s="88">
        <f t="shared" si="2"/>
        <v>0</v>
      </c>
      <c r="K13" s="88">
        <f t="shared" si="2"/>
        <v>0</v>
      </c>
      <c r="L13" s="88">
        <f t="shared" si="2"/>
        <v>0</v>
      </c>
      <c r="M13" s="88">
        <f t="shared" si="2"/>
        <v>0</v>
      </c>
      <c r="N13" s="88">
        <f t="shared" si="2"/>
        <v>0</v>
      </c>
      <c r="O13" s="88">
        <f t="shared" si="2"/>
        <v>0</v>
      </c>
      <c r="P13" s="88">
        <f t="shared" si="2"/>
        <v>0</v>
      </c>
      <c r="Q13" s="88">
        <f t="shared" si="2"/>
        <v>0</v>
      </c>
      <c r="R13" s="88">
        <f t="shared" si="2"/>
        <v>0</v>
      </c>
      <c r="S13" s="88">
        <f t="shared" si="2"/>
        <v>0</v>
      </c>
      <c r="T13" s="88">
        <f t="shared" si="2"/>
        <v>0</v>
      </c>
      <c r="U13" s="88">
        <f t="shared" si="2"/>
        <v>0</v>
      </c>
      <c r="V13" s="88">
        <f t="shared" si="2"/>
        <v>0</v>
      </c>
      <c r="W13" s="88">
        <f t="shared" si="2"/>
        <v>0</v>
      </c>
      <c r="X13" s="88">
        <f t="shared" si="2"/>
        <v>0</v>
      </c>
      <c r="Y13" s="88">
        <f t="shared" si="2"/>
        <v>0</v>
      </c>
      <c r="Z13" s="88">
        <f t="shared" si="2"/>
        <v>0</v>
      </c>
      <c r="AA13" s="88">
        <f t="shared" si="2"/>
        <v>0</v>
      </c>
      <c r="AB13" s="88">
        <f t="shared" si="2"/>
        <v>0</v>
      </c>
      <c r="AC13" s="88">
        <f t="shared" si="2"/>
        <v>0</v>
      </c>
      <c r="AD13" s="88">
        <f t="shared" si="2"/>
        <v>0</v>
      </c>
      <c r="AE13" s="88">
        <f t="shared" si="2"/>
        <v>0</v>
      </c>
      <c r="AF13" s="88">
        <f t="shared" si="2"/>
        <v>0</v>
      </c>
      <c r="AG13" s="88">
        <f t="shared" si="2"/>
        <v>0</v>
      </c>
      <c r="AH13" s="88">
        <f t="shared" si="2"/>
        <v>0</v>
      </c>
      <c r="AI13" s="88">
        <f t="shared" ref="AI13:BJ13" si="3">SUBTOTAL(109,AI10:AI12)</f>
        <v>0</v>
      </c>
      <c r="AJ13" s="88">
        <f t="shared" si="3"/>
        <v>0</v>
      </c>
      <c r="AK13" s="88">
        <f t="shared" si="3"/>
        <v>0</v>
      </c>
      <c r="AL13" s="88">
        <f t="shared" si="3"/>
        <v>0</v>
      </c>
      <c r="AM13" s="88">
        <f t="shared" si="3"/>
        <v>0</v>
      </c>
      <c r="AN13" s="88">
        <f t="shared" si="3"/>
        <v>0</v>
      </c>
      <c r="AO13" s="88">
        <f t="shared" si="3"/>
        <v>0</v>
      </c>
      <c r="AP13" s="88">
        <f t="shared" si="3"/>
        <v>0</v>
      </c>
      <c r="AQ13" s="88">
        <f t="shared" si="3"/>
        <v>0</v>
      </c>
      <c r="AR13" s="88">
        <f t="shared" si="3"/>
        <v>0</v>
      </c>
      <c r="AS13" s="88">
        <f t="shared" si="3"/>
        <v>0</v>
      </c>
      <c r="AT13" s="88">
        <f t="shared" si="3"/>
        <v>0</v>
      </c>
      <c r="AU13" s="88">
        <f t="shared" si="3"/>
        <v>0</v>
      </c>
      <c r="AV13" s="88">
        <f t="shared" si="3"/>
        <v>0</v>
      </c>
      <c r="AW13" s="88">
        <f t="shared" si="3"/>
        <v>0</v>
      </c>
      <c r="AX13" s="88">
        <f t="shared" si="3"/>
        <v>0</v>
      </c>
      <c r="AY13" s="88">
        <f t="shared" si="3"/>
        <v>0</v>
      </c>
      <c r="AZ13" s="88">
        <f t="shared" si="3"/>
        <v>0</v>
      </c>
      <c r="BA13" s="88">
        <f t="shared" si="3"/>
        <v>0</v>
      </c>
      <c r="BB13" s="88">
        <f t="shared" si="3"/>
        <v>0</v>
      </c>
      <c r="BC13" s="88">
        <f t="shared" si="3"/>
        <v>0</v>
      </c>
      <c r="BD13" s="88">
        <f t="shared" si="3"/>
        <v>0</v>
      </c>
      <c r="BE13" s="88">
        <f t="shared" si="3"/>
        <v>0</v>
      </c>
      <c r="BF13" s="88">
        <f t="shared" si="3"/>
        <v>0</v>
      </c>
      <c r="BG13" s="88">
        <f t="shared" si="3"/>
        <v>0</v>
      </c>
      <c r="BH13" s="88">
        <f t="shared" si="3"/>
        <v>0</v>
      </c>
      <c r="BI13" s="88">
        <f t="shared" si="3"/>
        <v>0</v>
      </c>
      <c r="BJ13" s="88">
        <f t="shared" si="3"/>
        <v>0</v>
      </c>
      <c r="BK13" s="88">
        <f t="shared" si="0"/>
        <v>0</v>
      </c>
      <c r="BL13" s="89">
        <f t="shared" ca="1" si="1"/>
        <v>0</v>
      </c>
    </row>
    <row r="14" spans="1:68" ht="21" customHeight="1">
      <c r="A14" s="387" t="s">
        <v>76</v>
      </c>
      <c r="B14" s="387"/>
      <c r="C14" s="90">
        <f t="shared" ref="C14:AH14" ca="1" si="4">SUBTOTAL(109,C7:C13)</f>
        <v>11565545.86127962</v>
      </c>
      <c r="D14" s="90">
        <f t="shared" ca="1" si="4"/>
        <v>0</v>
      </c>
      <c r="E14" s="90">
        <f t="shared" ca="1" si="4"/>
        <v>15842413.075141767</v>
      </c>
      <c r="F14" s="90">
        <f t="shared" ca="1" si="4"/>
        <v>0</v>
      </c>
      <c r="G14" s="90">
        <f t="shared" ca="1" si="4"/>
        <v>0</v>
      </c>
      <c r="H14" s="90">
        <f t="shared" ca="1" si="4"/>
        <v>15118070.831598662</v>
      </c>
      <c r="I14" s="90">
        <f t="shared" ca="1" si="4"/>
        <v>0</v>
      </c>
      <c r="J14" s="90">
        <f t="shared" ca="1" si="4"/>
        <v>0</v>
      </c>
      <c r="K14" s="90">
        <f t="shared" ca="1" si="4"/>
        <v>15549785.411804855</v>
      </c>
      <c r="L14" s="90">
        <f t="shared" ca="1" si="4"/>
        <v>0</v>
      </c>
      <c r="M14" s="90">
        <f t="shared" ca="1" si="4"/>
        <v>0</v>
      </c>
      <c r="N14" s="90">
        <f t="shared" ca="1" si="4"/>
        <v>16273681.175769405</v>
      </c>
      <c r="O14" s="90">
        <f t="shared" ca="1" si="4"/>
        <v>0</v>
      </c>
      <c r="P14" s="90">
        <f t="shared" ca="1" si="4"/>
        <v>0</v>
      </c>
      <c r="Q14" s="90">
        <f t="shared" ca="1" si="4"/>
        <v>17710014.566190328</v>
      </c>
      <c r="R14" s="90">
        <f t="shared" ca="1" si="4"/>
        <v>0</v>
      </c>
      <c r="S14" s="90">
        <f t="shared" ca="1" si="4"/>
        <v>0</v>
      </c>
      <c r="T14" s="90">
        <f t="shared" ca="1" si="4"/>
        <v>16587248.297416795</v>
      </c>
      <c r="U14" s="90">
        <f t="shared" ca="1" si="4"/>
        <v>0</v>
      </c>
      <c r="V14" s="90">
        <f t="shared" ca="1" si="4"/>
        <v>0</v>
      </c>
      <c r="W14" s="90">
        <f t="shared" ca="1" si="4"/>
        <v>16115700.437416796</v>
      </c>
      <c r="X14" s="90">
        <f t="shared" ca="1" si="4"/>
        <v>0</v>
      </c>
      <c r="Y14" s="90">
        <f t="shared" ca="1" si="4"/>
        <v>0</v>
      </c>
      <c r="Z14" s="90">
        <f t="shared" ca="1" si="4"/>
        <v>16412477.598708186</v>
      </c>
      <c r="AA14" s="90">
        <f t="shared" ca="1" si="4"/>
        <v>0</v>
      </c>
      <c r="AB14" s="90">
        <f t="shared" ca="1" si="4"/>
        <v>0</v>
      </c>
      <c r="AC14" s="90">
        <f t="shared" ca="1" si="4"/>
        <v>16204004.472656842</v>
      </c>
      <c r="AD14" s="90">
        <f t="shared" ca="1" si="4"/>
        <v>0</v>
      </c>
      <c r="AE14" s="90">
        <f t="shared" ca="1" si="4"/>
        <v>0</v>
      </c>
      <c r="AF14" s="90">
        <f t="shared" ca="1" si="4"/>
        <v>16613463.320636939</v>
      </c>
      <c r="AG14" s="90">
        <f t="shared" ca="1" si="4"/>
        <v>0</v>
      </c>
      <c r="AH14" s="90">
        <f t="shared" ca="1" si="4"/>
        <v>0</v>
      </c>
      <c r="AI14" s="90">
        <f t="shared" ref="AI14:BJ14" ca="1" si="5">SUBTOTAL(109,AI7:AI13)</f>
        <v>16465002.450636938</v>
      </c>
      <c r="AJ14" s="90">
        <f t="shared" ca="1" si="5"/>
        <v>0</v>
      </c>
      <c r="AK14" s="90">
        <f t="shared" ca="1" si="5"/>
        <v>0</v>
      </c>
      <c r="AL14" s="90">
        <f t="shared" ca="1" si="5"/>
        <v>17160186.583105743</v>
      </c>
      <c r="AM14" s="90">
        <f t="shared" ca="1" si="5"/>
        <v>0</v>
      </c>
      <c r="AN14" s="90">
        <f t="shared" ca="1" si="5"/>
        <v>0</v>
      </c>
      <c r="AO14" s="90">
        <f t="shared" ca="1" si="5"/>
        <v>17269416.781711999</v>
      </c>
      <c r="AP14" s="90">
        <f t="shared" ca="1" si="5"/>
        <v>0</v>
      </c>
      <c r="AQ14" s="90">
        <f t="shared" ca="1" si="5"/>
        <v>0</v>
      </c>
      <c r="AR14" s="90">
        <f t="shared" ca="1" si="5"/>
        <v>17642611.953862131</v>
      </c>
      <c r="AS14" s="90">
        <f t="shared" ca="1" si="5"/>
        <v>0</v>
      </c>
      <c r="AT14" s="90">
        <f t="shared" ca="1" si="5"/>
        <v>0</v>
      </c>
      <c r="AU14" s="90">
        <f t="shared" ca="1" si="5"/>
        <v>17488607.573862132</v>
      </c>
      <c r="AV14" s="90">
        <f t="shared" ca="1" si="5"/>
        <v>0</v>
      </c>
      <c r="AW14" s="90">
        <f t="shared" ca="1" si="5"/>
        <v>0</v>
      </c>
      <c r="AX14" s="90">
        <f t="shared" ca="1" si="5"/>
        <v>17948735.515779123</v>
      </c>
      <c r="AY14" s="90">
        <f t="shared" ca="1" si="5"/>
        <v>0</v>
      </c>
      <c r="AZ14" s="90">
        <f t="shared" ca="1" si="5"/>
        <v>0</v>
      </c>
      <c r="BA14" s="90">
        <f t="shared" ca="1" si="5"/>
        <v>18135850.032463986</v>
      </c>
      <c r="BB14" s="90">
        <f t="shared" ca="1" si="5"/>
        <v>0</v>
      </c>
      <c r="BC14" s="90">
        <f t="shared" ca="1" si="5"/>
        <v>0</v>
      </c>
      <c r="BD14" s="90">
        <f t="shared" ca="1" si="5"/>
        <v>18371573.679667689</v>
      </c>
      <c r="BE14" s="90">
        <f t="shared" ca="1" si="5"/>
        <v>0</v>
      </c>
      <c r="BF14" s="90">
        <f t="shared" ca="1" si="5"/>
        <v>0</v>
      </c>
      <c r="BG14" s="90">
        <f t="shared" ca="1" si="5"/>
        <v>18332705.199667688</v>
      </c>
      <c r="BH14" s="90">
        <f t="shared" ca="1" si="5"/>
        <v>0</v>
      </c>
      <c r="BI14" s="90">
        <f t="shared" ca="1" si="5"/>
        <v>0</v>
      </c>
      <c r="BJ14" s="90">
        <f t="shared" ca="1" si="5"/>
        <v>0</v>
      </c>
      <c r="BK14" s="91">
        <f t="shared" ca="1" si="0"/>
        <v>332807094.81937766</v>
      </c>
      <c r="BL14" s="92">
        <f t="shared" ca="1" si="1"/>
        <v>1</v>
      </c>
    </row>
    <row r="15" spans="1:68" ht="21" customHeight="1">
      <c r="A15" s="388" t="s">
        <v>77</v>
      </c>
      <c r="B15" s="388"/>
      <c r="C15" s="94">
        <f t="shared" ref="C15:AH15" ca="1" si="6">SUBTOTAL(109,C4:C14)</f>
        <v>11565545.86127962</v>
      </c>
      <c r="D15" s="94">
        <f t="shared" ca="1" si="6"/>
        <v>0</v>
      </c>
      <c r="E15" s="94">
        <f t="shared" ca="1" si="6"/>
        <v>15842413.075141767</v>
      </c>
      <c r="F15" s="94">
        <f t="shared" ca="1" si="6"/>
        <v>0</v>
      </c>
      <c r="G15" s="94">
        <f t="shared" ca="1" si="6"/>
        <v>0</v>
      </c>
      <c r="H15" s="94">
        <f t="shared" ca="1" si="6"/>
        <v>15118070.831598662</v>
      </c>
      <c r="I15" s="94">
        <f t="shared" ca="1" si="6"/>
        <v>0</v>
      </c>
      <c r="J15" s="94">
        <f t="shared" ca="1" si="6"/>
        <v>0</v>
      </c>
      <c r="K15" s="94">
        <f t="shared" ca="1" si="6"/>
        <v>15549785.411804855</v>
      </c>
      <c r="L15" s="94">
        <f t="shared" ca="1" si="6"/>
        <v>0</v>
      </c>
      <c r="M15" s="94">
        <f t="shared" ca="1" si="6"/>
        <v>0</v>
      </c>
      <c r="N15" s="94">
        <f t="shared" ca="1" si="6"/>
        <v>16273681.175769405</v>
      </c>
      <c r="O15" s="94">
        <f t="shared" ca="1" si="6"/>
        <v>0</v>
      </c>
      <c r="P15" s="94">
        <f t="shared" ca="1" si="6"/>
        <v>0</v>
      </c>
      <c r="Q15" s="94">
        <f t="shared" ca="1" si="6"/>
        <v>17710014.566190328</v>
      </c>
      <c r="R15" s="94">
        <f t="shared" ca="1" si="6"/>
        <v>0</v>
      </c>
      <c r="S15" s="94">
        <f t="shared" ca="1" si="6"/>
        <v>0</v>
      </c>
      <c r="T15" s="94">
        <f t="shared" ca="1" si="6"/>
        <v>16587248.297416795</v>
      </c>
      <c r="U15" s="94">
        <f t="shared" ca="1" si="6"/>
        <v>0</v>
      </c>
      <c r="V15" s="94">
        <f t="shared" ca="1" si="6"/>
        <v>0</v>
      </c>
      <c r="W15" s="94">
        <f t="shared" ca="1" si="6"/>
        <v>16115700.437416796</v>
      </c>
      <c r="X15" s="94">
        <f t="shared" ca="1" si="6"/>
        <v>0</v>
      </c>
      <c r="Y15" s="94">
        <f t="shared" ca="1" si="6"/>
        <v>0</v>
      </c>
      <c r="Z15" s="94">
        <f t="shared" ca="1" si="6"/>
        <v>16412477.598708186</v>
      </c>
      <c r="AA15" s="94">
        <f t="shared" ca="1" si="6"/>
        <v>0</v>
      </c>
      <c r="AB15" s="94">
        <f t="shared" ca="1" si="6"/>
        <v>0</v>
      </c>
      <c r="AC15" s="94">
        <f t="shared" ca="1" si="6"/>
        <v>16204004.472656842</v>
      </c>
      <c r="AD15" s="94">
        <f t="shared" ca="1" si="6"/>
        <v>0</v>
      </c>
      <c r="AE15" s="94">
        <f t="shared" ca="1" si="6"/>
        <v>0</v>
      </c>
      <c r="AF15" s="94">
        <f t="shared" ca="1" si="6"/>
        <v>16613463.320636939</v>
      </c>
      <c r="AG15" s="94">
        <f t="shared" ca="1" si="6"/>
        <v>0</v>
      </c>
      <c r="AH15" s="94">
        <f t="shared" ca="1" si="6"/>
        <v>0</v>
      </c>
      <c r="AI15" s="94">
        <f t="shared" ref="AI15:BJ15" ca="1" si="7">SUBTOTAL(109,AI4:AI14)</f>
        <v>16465002.450636938</v>
      </c>
      <c r="AJ15" s="94">
        <f t="shared" ca="1" si="7"/>
        <v>0</v>
      </c>
      <c r="AK15" s="94">
        <f t="shared" ca="1" si="7"/>
        <v>0</v>
      </c>
      <c r="AL15" s="94">
        <f t="shared" ca="1" si="7"/>
        <v>17160186.583105743</v>
      </c>
      <c r="AM15" s="94">
        <f t="shared" ca="1" si="7"/>
        <v>0</v>
      </c>
      <c r="AN15" s="94">
        <f t="shared" ca="1" si="7"/>
        <v>0</v>
      </c>
      <c r="AO15" s="94">
        <f t="shared" ca="1" si="7"/>
        <v>17269416.781711999</v>
      </c>
      <c r="AP15" s="94">
        <f t="shared" ca="1" si="7"/>
        <v>0</v>
      </c>
      <c r="AQ15" s="94">
        <f t="shared" ca="1" si="7"/>
        <v>0</v>
      </c>
      <c r="AR15" s="94">
        <f t="shared" ca="1" si="7"/>
        <v>17642611.953862131</v>
      </c>
      <c r="AS15" s="94">
        <f t="shared" ca="1" si="7"/>
        <v>0</v>
      </c>
      <c r="AT15" s="94">
        <f t="shared" ca="1" si="7"/>
        <v>0</v>
      </c>
      <c r="AU15" s="94">
        <f t="shared" ca="1" si="7"/>
        <v>17488607.573862132</v>
      </c>
      <c r="AV15" s="94">
        <f t="shared" ca="1" si="7"/>
        <v>0</v>
      </c>
      <c r="AW15" s="94">
        <f t="shared" ca="1" si="7"/>
        <v>0</v>
      </c>
      <c r="AX15" s="94">
        <f t="shared" ca="1" si="7"/>
        <v>17948735.515779123</v>
      </c>
      <c r="AY15" s="94">
        <f t="shared" ca="1" si="7"/>
        <v>0</v>
      </c>
      <c r="AZ15" s="94">
        <f t="shared" ca="1" si="7"/>
        <v>0</v>
      </c>
      <c r="BA15" s="94">
        <f t="shared" ca="1" si="7"/>
        <v>18135850.032463986</v>
      </c>
      <c r="BB15" s="94">
        <f t="shared" ca="1" si="7"/>
        <v>0</v>
      </c>
      <c r="BC15" s="94">
        <f t="shared" ca="1" si="7"/>
        <v>0</v>
      </c>
      <c r="BD15" s="94">
        <f t="shared" ca="1" si="7"/>
        <v>18371573.679667689</v>
      </c>
      <c r="BE15" s="94">
        <f t="shared" ca="1" si="7"/>
        <v>0</v>
      </c>
      <c r="BF15" s="94">
        <f t="shared" ca="1" si="7"/>
        <v>0</v>
      </c>
      <c r="BG15" s="94">
        <f t="shared" ca="1" si="7"/>
        <v>18332705.199667688</v>
      </c>
      <c r="BH15" s="94">
        <f t="shared" ca="1" si="7"/>
        <v>0</v>
      </c>
      <c r="BI15" s="94">
        <f t="shared" ca="1" si="7"/>
        <v>0</v>
      </c>
      <c r="BJ15" s="94">
        <f t="shared" ca="1" si="7"/>
        <v>0</v>
      </c>
      <c r="BK15" s="94">
        <f t="shared" ca="1" si="0"/>
        <v>332807094.81937766</v>
      </c>
      <c r="BL15" s="95">
        <f t="shared" ca="1" si="1"/>
        <v>1</v>
      </c>
    </row>
    <row r="16" spans="1:68" ht="18" customHeight="1">
      <c r="A16" s="96"/>
      <c r="B16" s="97"/>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98"/>
    </row>
    <row r="17" spans="1:68" ht="21" customHeight="1">
      <c r="A17" s="70">
        <v>2</v>
      </c>
      <c r="B17" s="70" t="s">
        <v>78</v>
      </c>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61"/>
    </row>
    <row r="18" spans="1:68">
      <c r="A18" s="99" t="s">
        <v>79</v>
      </c>
      <c r="B18" s="100" t="s">
        <v>80</v>
      </c>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2"/>
    </row>
    <row r="19" spans="1:68" ht="15.75" customHeight="1">
      <c r="A19" s="103" t="s">
        <v>81</v>
      </c>
      <c r="B19" s="100" t="s">
        <v>82</v>
      </c>
      <c r="C19" s="82">
        <f ca="1">Analítico!C28</f>
        <v>405698.50823666668</v>
      </c>
      <c r="D19" s="82">
        <f ca="1">Analítico!D28</f>
        <v>1453505.177804444</v>
      </c>
      <c r="E19" s="82">
        <f ca="1">Analítico!E28</f>
        <v>1531870.6348199998</v>
      </c>
      <c r="F19" s="82">
        <f ca="1">Analítico!F28</f>
        <v>1531870.6348199998</v>
      </c>
      <c r="G19" s="82">
        <f ca="1">Analítico!G28</f>
        <v>1531870.6348199998</v>
      </c>
      <c r="H19" s="82">
        <f ca="1">Analítico!H28</f>
        <v>1621331.879893488</v>
      </c>
      <c r="I19" s="82">
        <f ca="1">Analítico!I28</f>
        <v>1621331.879893488</v>
      </c>
      <c r="J19" s="82">
        <f ca="1">Analítico!J28</f>
        <v>1621331.879893488</v>
      </c>
      <c r="K19" s="82">
        <f ca="1">Analítico!K28</f>
        <v>1621331.879893488</v>
      </c>
      <c r="L19" s="82">
        <f ca="1">Analítico!L28</f>
        <v>1621331.879893488</v>
      </c>
      <c r="M19" s="82">
        <f ca="1">Analítico!M28</f>
        <v>1633403.6516054878</v>
      </c>
      <c r="N19" s="82">
        <f ca="1">Analítico!N28</f>
        <v>1716345.6513107517</v>
      </c>
      <c r="O19" s="82">
        <f ca="1">Analítico!O28</f>
        <v>1716345.6513107517</v>
      </c>
      <c r="P19" s="82">
        <f ca="1">Analítico!P28</f>
        <v>1728417.4230227517</v>
      </c>
      <c r="Q19" s="82">
        <f ca="1">Analítico!Q28</f>
        <v>1811359.422728016</v>
      </c>
      <c r="R19" s="82">
        <f ca="1">Analítico!R28</f>
        <v>1811359.422728016</v>
      </c>
      <c r="S19" s="82">
        <f ca="1">Analítico!S28</f>
        <v>1811359.422728016</v>
      </c>
      <c r="T19" s="82">
        <f ca="1">Analítico!T28</f>
        <v>1917142.813015332</v>
      </c>
      <c r="U19" s="82">
        <f ca="1">Analítico!U28</f>
        <v>1917142.813015332</v>
      </c>
      <c r="V19" s="82">
        <f ca="1">Analítico!V28</f>
        <v>1917142.813015332</v>
      </c>
      <c r="W19" s="82">
        <f ca="1">Analítico!W28</f>
        <v>1917142.813015332</v>
      </c>
      <c r="X19" s="82">
        <f ca="1">Analítico!X28</f>
        <v>1917142.813015332</v>
      </c>
      <c r="Y19" s="82">
        <f ca="1">Analítico!Y28</f>
        <v>1917142.813015332</v>
      </c>
      <c r="Z19" s="82">
        <f ca="1">Analítico!Z28</f>
        <v>1917142.813015332</v>
      </c>
      <c r="AA19" s="82">
        <f ca="1">Analítico!AA28</f>
        <v>1917142.813015332</v>
      </c>
      <c r="AB19" s="82">
        <f ca="1">Analítico!AB28</f>
        <v>1917142.813015332</v>
      </c>
      <c r="AC19" s="82">
        <f ca="1">Analítico!AC28</f>
        <v>1917142.813015332</v>
      </c>
      <c r="AD19" s="82">
        <f ca="1">Analítico!AD28</f>
        <v>1917142.813015332</v>
      </c>
      <c r="AE19" s="82">
        <f ca="1">Analítico!AE28</f>
        <v>1917142.813015332</v>
      </c>
      <c r="AF19" s="82">
        <f ca="1">Analítico!AF28</f>
        <v>2029103.9532954274</v>
      </c>
      <c r="AG19" s="82">
        <f ca="1">Analítico!AG28</f>
        <v>2029103.9532954274</v>
      </c>
      <c r="AH19" s="82">
        <f ca="1">Analítico!AH28</f>
        <v>2029103.9532954274</v>
      </c>
      <c r="AI19" s="82">
        <f ca="1">Analítico!AI28</f>
        <v>2029103.9532954274</v>
      </c>
      <c r="AJ19" s="82">
        <f ca="1">Analítico!AJ28</f>
        <v>2029103.9532954274</v>
      </c>
      <c r="AK19" s="82">
        <f ca="1">Analítico!AK28</f>
        <v>2029103.9532954274</v>
      </c>
      <c r="AL19" s="82">
        <f ca="1">Analítico!AL28</f>
        <v>2029103.9532954274</v>
      </c>
      <c r="AM19" s="82">
        <f ca="1">Analítico!AM28</f>
        <v>2029103.9532954274</v>
      </c>
      <c r="AN19" s="82">
        <f ca="1">Analítico!AN28</f>
        <v>2029103.9532954274</v>
      </c>
      <c r="AO19" s="82">
        <f ca="1">Analítico!AO28</f>
        <v>2029103.9532954274</v>
      </c>
      <c r="AP19" s="82">
        <f ca="1">Analítico!AP28</f>
        <v>2029103.9532954274</v>
      </c>
      <c r="AQ19" s="82">
        <f ca="1">Analítico!AQ28</f>
        <v>2029103.9532954274</v>
      </c>
      <c r="AR19" s="82">
        <f ca="1">Analítico!AR28</f>
        <v>2147603.6241678805</v>
      </c>
      <c r="AS19" s="82">
        <f ca="1">Analítico!AS28</f>
        <v>2147603.6241678805</v>
      </c>
      <c r="AT19" s="82">
        <f ca="1">Analítico!AT28</f>
        <v>2147603.6241678805</v>
      </c>
      <c r="AU19" s="82">
        <f ca="1">Analítico!AU28</f>
        <v>2147603.6241678805</v>
      </c>
      <c r="AV19" s="82">
        <f ca="1">Analítico!AV28</f>
        <v>2147603.6241678805</v>
      </c>
      <c r="AW19" s="82">
        <f ca="1">Analítico!AW28</f>
        <v>2147603.6241678805</v>
      </c>
      <c r="AX19" s="82">
        <f ca="1">Analítico!AX28</f>
        <v>2147603.6241678805</v>
      </c>
      <c r="AY19" s="82">
        <f ca="1">Analítico!AY28</f>
        <v>2147603.6241678805</v>
      </c>
      <c r="AZ19" s="82">
        <f ca="1">Analítico!AZ28</f>
        <v>2147603.6241678805</v>
      </c>
      <c r="BA19" s="82">
        <f ca="1">Analítico!BA28</f>
        <v>2147603.6241678805</v>
      </c>
      <c r="BB19" s="82">
        <f ca="1">Analítico!BB28</f>
        <v>2147603.6241678805</v>
      </c>
      <c r="BC19" s="82">
        <f ca="1">Analítico!BC28</f>
        <v>2147603.6241678805</v>
      </c>
      <c r="BD19" s="82">
        <f ca="1">Analítico!BD28</f>
        <v>2273023.6758192847</v>
      </c>
      <c r="BE19" s="82">
        <f ca="1">Analítico!BE28</f>
        <v>2273023.6758192847</v>
      </c>
      <c r="BF19" s="82">
        <f ca="1">Analítico!BF28</f>
        <v>2273023.6758192847</v>
      </c>
      <c r="BG19" s="82">
        <f ca="1">Analítico!BG28</f>
        <v>2273023.6758192847</v>
      </c>
      <c r="BH19" s="82">
        <f ca="1">Analítico!BH28</f>
        <v>2273023.6758192847</v>
      </c>
      <c r="BI19" s="82">
        <f ca="1">Analítico!BI28</f>
        <v>2273023.6758192847</v>
      </c>
      <c r="BJ19" s="82">
        <f ca="1">Analítico!BJ28</f>
        <v>2273023.6758192847</v>
      </c>
      <c r="BK19" s="66">
        <f t="shared" ref="BK19:BK26" ca="1" si="8">SUM(C19:BJ19)</f>
        <v>115827436.05188088</v>
      </c>
      <c r="BL19" s="83">
        <f t="shared" ref="BL19:BL28" ca="1" si="9">IF($BK$28=0,0,BK19/$BK$28)</f>
        <v>0.34618559864080445</v>
      </c>
    </row>
    <row r="20" spans="1:68" ht="15.75" customHeight="1">
      <c r="A20" s="103" t="s">
        <v>83</v>
      </c>
      <c r="B20" s="100" t="s">
        <v>84</v>
      </c>
      <c r="C20" s="82">
        <f ca="1">Analítico!C32</f>
        <v>0</v>
      </c>
      <c r="D20" s="82">
        <f ca="1">Analítico!D32</f>
        <v>10200</v>
      </c>
      <c r="E20" s="82">
        <f ca="1">Analítico!E32</f>
        <v>12400</v>
      </c>
      <c r="F20" s="82">
        <f ca="1">Analítico!F32</f>
        <v>12400</v>
      </c>
      <c r="G20" s="82">
        <f ca="1">Analítico!G32</f>
        <v>12400</v>
      </c>
      <c r="H20" s="82">
        <f ca="1">Analítico!H32</f>
        <v>12400</v>
      </c>
      <c r="I20" s="82">
        <f ca="1">Analítico!I32</f>
        <v>12400</v>
      </c>
      <c r="J20" s="82">
        <f ca="1">Analítico!J32</f>
        <v>12400</v>
      </c>
      <c r="K20" s="82">
        <f ca="1">Analítico!K32</f>
        <v>12400</v>
      </c>
      <c r="L20" s="82">
        <f ca="1">Analítico!L32</f>
        <v>12400</v>
      </c>
      <c r="M20" s="82">
        <f ca="1">Analítico!M32</f>
        <v>12400</v>
      </c>
      <c r="N20" s="82">
        <f ca="1">Analítico!N32</f>
        <v>12400</v>
      </c>
      <c r="O20" s="82">
        <f ca="1">Analítico!O32</f>
        <v>12400</v>
      </c>
      <c r="P20" s="82">
        <f ca="1">Analítico!P32</f>
        <v>0</v>
      </c>
      <c r="Q20" s="82">
        <f ca="1">Analítico!Q32</f>
        <v>0</v>
      </c>
      <c r="R20" s="82">
        <f ca="1">Analítico!R32</f>
        <v>0</v>
      </c>
      <c r="S20" s="82">
        <f ca="1">Analítico!S32</f>
        <v>0</v>
      </c>
      <c r="T20" s="82">
        <f ca="1">Analítico!T32</f>
        <v>0</v>
      </c>
      <c r="U20" s="82">
        <f ca="1">Analítico!U32</f>
        <v>0</v>
      </c>
      <c r="V20" s="82">
        <f ca="1">Analítico!V32</f>
        <v>0</v>
      </c>
      <c r="W20" s="82">
        <f ca="1">Analítico!W32</f>
        <v>0</v>
      </c>
      <c r="X20" s="82">
        <f ca="1">Analítico!X32</f>
        <v>0</v>
      </c>
      <c r="Y20" s="82">
        <f ca="1">Analítico!Y32</f>
        <v>0</v>
      </c>
      <c r="Z20" s="82">
        <f ca="1">Analítico!Z32</f>
        <v>0</v>
      </c>
      <c r="AA20" s="82">
        <f ca="1">Analítico!AA32</f>
        <v>0</v>
      </c>
      <c r="AB20" s="82">
        <f ca="1">Analítico!AB32</f>
        <v>0</v>
      </c>
      <c r="AC20" s="82">
        <f ca="1">Analítico!AC32</f>
        <v>0</v>
      </c>
      <c r="AD20" s="82">
        <f ca="1">Analítico!AD32</f>
        <v>0</v>
      </c>
      <c r="AE20" s="82">
        <f ca="1">Analítico!AE32</f>
        <v>0</v>
      </c>
      <c r="AF20" s="82">
        <f ca="1">Analítico!AF32</f>
        <v>0</v>
      </c>
      <c r="AG20" s="82">
        <f ca="1">Analítico!AG32</f>
        <v>0</v>
      </c>
      <c r="AH20" s="82">
        <f ca="1">Analítico!AH32</f>
        <v>0</v>
      </c>
      <c r="AI20" s="82">
        <f ca="1">Analítico!AI32</f>
        <v>0</v>
      </c>
      <c r="AJ20" s="82">
        <f ca="1">Analítico!AJ32</f>
        <v>0</v>
      </c>
      <c r="AK20" s="82">
        <f ca="1">Analítico!AK32</f>
        <v>0</v>
      </c>
      <c r="AL20" s="82">
        <f ca="1">Analítico!AL32</f>
        <v>0</v>
      </c>
      <c r="AM20" s="82">
        <f ca="1">Analítico!AM32</f>
        <v>0</v>
      </c>
      <c r="AN20" s="82">
        <f ca="1">Analítico!AN32</f>
        <v>0</v>
      </c>
      <c r="AO20" s="82">
        <f ca="1">Analítico!AO32</f>
        <v>0</v>
      </c>
      <c r="AP20" s="82">
        <f ca="1">Analítico!AP32</f>
        <v>0</v>
      </c>
      <c r="AQ20" s="82">
        <f ca="1">Analítico!AQ32</f>
        <v>0</v>
      </c>
      <c r="AR20" s="82">
        <f ca="1">Analítico!AR32</f>
        <v>0</v>
      </c>
      <c r="AS20" s="82">
        <f ca="1">Analítico!AS32</f>
        <v>0</v>
      </c>
      <c r="AT20" s="82">
        <f ca="1">Analítico!AT32</f>
        <v>0</v>
      </c>
      <c r="AU20" s="82">
        <f ca="1">Analítico!AU32</f>
        <v>0</v>
      </c>
      <c r="AV20" s="82">
        <f ca="1">Analítico!AV32</f>
        <v>0</v>
      </c>
      <c r="AW20" s="82">
        <f ca="1">Analítico!AW32</f>
        <v>0</v>
      </c>
      <c r="AX20" s="82">
        <f ca="1">Analítico!AX32</f>
        <v>0</v>
      </c>
      <c r="AY20" s="82">
        <f ca="1">Analítico!AY32</f>
        <v>0</v>
      </c>
      <c r="AZ20" s="82">
        <f ca="1">Analítico!AZ32</f>
        <v>0</v>
      </c>
      <c r="BA20" s="82">
        <f ca="1">Analítico!BA32</f>
        <v>0</v>
      </c>
      <c r="BB20" s="82">
        <f ca="1">Analítico!BB32</f>
        <v>0</v>
      </c>
      <c r="BC20" s="82">
        <f ca="1">Analítico!BC32</f>
        <v>0</v>
      </c>
      <c r="BD20" s="82">
        <f ca="1">Analítico!BD32</f>
        <v>0</v>
      </c>
      <c r="BE20" s="82">
        <f ca="1">Analítico!BE32</f>
        <v>0</v>
      </c>
      <c r="BF20" s="82">
        <f ca="1">Analítico!BF32</f>
        <v>0</v>
      </c>
      <c r="BG20" s="82">
        <f ca="1">Analítico!BG32</f>
        <v>0</v>
      </c>
      <c r="BH20" s="82">
        <f ca="1">Analítico!BH32</f>
        <v>0</v>
      </c>
      <c r="BI20" s="82">
        <f ca="1">Analítico!BI32</f>
        <v>0</v>
      </c>
      <c r="BJ20" s="82">
        <f ca="1">Analítico!BJ32</f>
        <v>0</v>
      </c>
      <c r="BK20" s="66">
        <f t="shared" ca="1" si="8"/>
        <v>146600</v>
      </c>
      <c r="BL20" s="83">
        <f t="shared" ca="1" si="9"/>
        <v>4.3815878595473588E-4</v>
      </c>
    </row>
    <row r="21" spans="1:68" ht="15.75" customHeight="1">
      <c r="A21" s="103" t="s">
        <v>85</v>
      </c>
      <c r="B21" s="100" t="s">
        <v>86</v>
      </c>
      <c r="C21" s="82">
        <f ca="1">Analítico!C46</f>
        <v>300391.62981777784</v>
      </c>
      <c r="D21" s="82">
        <f ca="1">Analítico!D46</f>
        <v>1034717.8270162968</v>
      </c>
      <c r="E21" s="82">
        <f ca="1">Analítico!E46</f>
        <v>1084555.7088177784</v>
      </c>
      <c r="F21" s="82">
        <f ca="1">Analítico!F46</f>
        <v>1509230.2588177787</v>
      </c>
      <c r="G21" s="82">
        <f ca="1">Analítico!G46</f>
        <v>1509230.2588177787</v>
      </c>
      <c r="H21" s="82">
        <f ca="1">Analítico!H46</f>
        <v>1571027.4369727368</v>
      </c>
      <c r="I21" s="82">
        <f ca="1">Analítico!I46</f>
        <v>1571027.4369727368</v>
      </c>
      <c r="J21" s="82">
        <f ca="1">Analítico!J46</f>
        <v>1571027.4369727368</v>
      </c>
      <c r="K21" s="82">
        <f ca="1">Analítico!K46</f>
        <v>1463027.4369727368</v>
      </c>
      <c r="L21" s="82">
        <f ca="1">Analítico!L46</f>
        <v>1452027.4369727368</v>
      </c>
      <c r="M21" s="82">
        <f ca="1">Analítico!M46</f>
        <v>1456716.634161857</v>
      </c>
      <c r="N21" s="82">
        <f ca="1">Analítico!N46</f>
        <v>1513127.3768605452</v>
      </c>
      <c r="O21" s="82">
        <f ca="1">Analítico!O46</f>
        <v>1218072.0268605454</v>
      </c>
      <c r="P21" s="82">
        <f ca="1">Analítico!P46</f>
        <v>1208982.1040496652</v>
      </c>
      <c r="Q21" s="82">
        <f ca="1">Analítico!Q46</f>
        <v>1113417.8774643529</v>
      </c>
      <c r="R21" s="82">
        <f ca="1">Analítico!R46</f>
        <v>1338417.8774643529</v>
      </c>
      <c r="S21" s="82">
        <f ca="1">Analítico!S46</f>
        <v>1338417.8774643529</v>
      </c>
      <c r="T21" s="82">
        <f ca="1">Analítico!T46</f>
        <v>1187226.9465402712</v>
      </c>
      <c r="U21" s="82">
        <f ca="1">Analítico!U46</f>
        <v>1187226.9465402712</v>
      </c>
      <c r="V21" s="82">
        <f ca="1">Analítico!V46</f>
        <v>1187226.9465402712</v>
      </c>
      <c r="W21" s="82">
        <f ca="1">Analítico!W46</f>
        <v>1172226.9465402712</v>
      </c>
      <c r="X21" s="82">
        <f ca="1">Analítico!X46</f>
        <v>1072226.9465402709</v>
      </c>
      <c r="Y21" s="82">
        <f ca="1">Analítico!Y46</f>
        <v>1072226.9465402709</v>
      </c>
      <c r="Z21" s="82">
        <f ca="1">Analítico!Z46</f>
        <v>1088044.3665402709</v>
      </c>
      <c r="AA21" s="82">
        <f ca="1">Analítico!AA46</f>
        <v>1081927.736540271</v>
      </c>
      <c r="AB21" s="82">
        <f ca="1">Analítico!AB46</f>
        <v>1072601.476540271</v>
      </c>
      <c r="AC21" s="82">
        <f ca="1">Analítico!AC46</f>
        <v>1225987.0703316624</v>
      </c>
      <c r="AD21" s="82">
        <f ca="1">Analítico!AD46</f>
        <v>1072601.476540271</v>
      </c>
      <c r="AE21" s="82">
        <f ca="1">Analítico!AE46</f>
        <v>1072601.476540271</v>
      </c>
      <c r="AF21" s="82">
        <f ca="1">Analítico!AF46</f>
        <v>1134844.995250223</v>
      </c>
      <c r="AG21" s="82">
        <f ca="1">Analítico!AG46</f>
        <v>1134844.995250223</v>
      </c>
      <c r="AH21" s="82">
        <f ca="1">Analítico!AH46</f>
        <v>1134844.995250223</v>
      </c>
      <c r="AI21" s="82">
        <f ca="1">Analítico!AI46</f>
        <v>1134844.995250223</v>
      </c>
      <c r="AJ21" s="82">
        <f ca="1">Analítico!AJ46</f>
        <v>1134844.995250223</v>
      </c>
      <c r="AK21" s="82">
        <f ca="1">Analítico!AK46</f>
        <v>1151586.1552502229</v>
      </c>
      <c r="AL21" s="82">
        <f ca="1">Analítico!AL46</f>
        <v>1145112.315250223</v>
      </c>
      <c r="AM21" s="82">
        <f ca="1">Analítico!AM46</f>
        <v>1135241.4052502229</v>
      </c>
      <c r="AN21" s="82">
        <f ca="1">Analítico!AN46</f>
        <v>1135241.4052502229</v>
      </c>
      <c r="AO21" s="82">
        <f ca="1">Analítico!AO46</f>
        <v>1297584.7177190315</v>
      </c>
      <c r="AP21" s="82">
        <f ca="1">Analítico!AP46</f>
        <v>1135241.4052502229</v>
      </c>
      <c r="AQ21" s="82">
        <f ca="1">Analítico!AQ46</f>
        <v>1135241.4052502229</v>
      </c>
      <c r="AR21" s="82">
        <f ca="1">Analítico!AR46</f>
        <v>1201119.9454528359</v>
      </c>
      <c r="AS21" s="82">
        <f ca="1">Analítico!AS46</f>
        <v>1201119.9454528359</v>
      </c>
      <c r="AT21" s="82">
        <f ca="1">Analítico!AT46</f>
        <v>1201119.9454528359</v>
      </c>
      <c r="AU21" s="82">
        <f ca="1">Analítico!AU46</f>
        <v>1201119.9454528359</v>
      </c>
      <c r="AV21" s="82">
        <f ca="1">Analítico!AV46</f>
        <v>1218838.785452836</v>
      </c>
      <c r="AW21" s="82">
        <f ca="1">Analítico!AW46</f>
        <v>1211986.8754528358</v>
      </c>
      <c r="AX21" s="82">
        <f ca="1">Analítico!AX46</f>
        <v>1201539.5054528359</v>
      </c>
      <c r="AY21" s="82">
        <f ca="1">Analítico!AY46</f>
        <v>1201539.5054528359</v>
      </c>
      <c r="AZ21" s="82">
        <f ca="1">Analítico!AZ46</f>
        <v>1201539.5054528359</v>
      </c>
      <c r="BA21" s="82">
        <f ca="1">Analítico!BA46</f>
        <v>1373363.667369823</v>
      </c>
      <c r="BB21" s="82">
        <f ca="1">Analítico!BB46</f>
        <v>1201539.5054528359</v>
      </c>
      <c r="BC21" s="82">
        <f ca="1">Analítico!BC46</f>
        <v>1201539.5054528359</v>
      </c>
      <c r="BD21" s="82">
        <f ca="1">Analítico!BD46</f>
        <v>1271265.3524032817</v>
      </c>
      <c r="BE21" s="82">
        <f ca="1">Analítico!BE46</f>
        <v>1271265.3524032817</v>
      </c>
      <c r="BF21" s="82">
        <f ca="1">Analítico!BF46</f>
        <v>1271265.3524032817</v>
      </c>
      <c r="BG21" s="82">
        <f ca="1">Analítico!BG46</f>
        <v>1290018.9724032816</v>
      </c>
      <c r="BH21" s="82">
        <f ca="1">Analítico!BH46</f>
        <v>1282766.9124032818</v>
      </c>
      <c r="BI21" s="82">
        <f ca="1">Analítico!BI46</f>
        <v>1271709.4124032818</v>
      </c>
      <c r="BJ21" s="82">
        <f ca="1">Analítico!BJ46</f>
        <v>1290018.9724032816</v>
      </c>
      <c r="BK21" s="66">
        <f t="shared" ca="1" si="8"/>
        <v>73119690.674396902</v>
      </c>
      <c r="BL21" s="83">
        <f t="shared" ca="1" si="9"/>
        <v>0.21854048359672285</v>
      </c>
    </row>
    <row r="22" spans="1:68" ht="15.75" customHeight="1">
      <c r="A22" s="103" t="s">
        <v>87</v>
      </c>
      <c r="B22" s="100" t="s">
        <v>88</v>
      </c>
      <c r="C22" s="82">
        <f ca="1">Analítico!C57</f>
        <v>61657.877999999931</v>
      </c>
      <c r="D22" s="82">
        <f ca="1">Analítico!D57</f>
        <v>221037.5499999997</v>
      </c>
      <c r="E22" s="82">
        <f ca="1">Analítico!E57</f>
        <v>232987.29999999967</v>
      </c>
      <c r="F22" s="82">
        <f ca="1">Analítico!F57</f>
        <v>232987.29999999967</v>
      </c>
      <c r="G22" s="82">
        <f ca="1">Analítico!G57</f>
        <v>232987.29999999967</v>
      </c>
      <c r="H22" s="82">
        <f ca="1">Analítico!H57</f>
        <v>240520.89999999964</v>
      </c>
      <c r="I22" s="82">
        <f ca="1">Analítico!I57</f>
        <v>240520.89999999964</v>
      </c>
      <c r="J22" s="82">
        <f ca="1">Analítico!J57</f>
        <v>240520.89999999964</v>
      </c>
      <c r="K22" s="82">
        <f ca="1">Analítico!K57</f>
        <v>240520.89999999964</v>
      </c>
      <c r="L22" s="82">
        <f ca="1">Analítico!L57</f>
        <v>240520.89999999964</v>
      </c>
      <c r="M22" s="82">
        <f ca="1">Analítico!M57</f>
        <v>242214.53999999957</v>
      </c>
      <c r="N22" s="82">
        <f ca="1">Analítico!N57</f>
        <v>255750.90999999957</v>
      </c>
      <c r="O22" s="82">
        <f ca="1">Analítico!O57</f>
        <v>255750.90999999957</v>
      </c>
      <c r="P22" s="82">
        <f ca="1">Analítico!P57</f>
        <v>257422.34999999957</v>
      </c>
      <c r="Q22" s="82">
        <f ca="1">Analítico!Q57</f>
        <v>269740.59999999957</v>
      </c>
      <c r="R22" s="82">
        <f ca="1">Analítico!R57</f>
        <v>269740.59999999957</v>
      </c>
      <c r="S22" s="82">
        <f ca="1">Analítico!S57</f>
        <v>269740.59999999957</v>
      </c>
      <c r="T22" s="82">
        <f ca="1">Analítico!T57</f>
        <v>278639.79999999952</v>
      </c>
      <c r="U22" s="82">
        <f ca="1">Analítico!U57</f>
        <v>278639.79999999952</v>
      </c>
      <c r="V22" s="82">
        <f ca="1">Analítico!V57</f>
        <v>278639.79999999952</v>
      </c>
      <c r="W22" s="82">
        <f ca="1">Analítico!W57</f>
        <v>278639.79999999952</v>
      </c>
      <c r="X22" s="82">
        <f ca="1">Analítico!X57</f>
        <v>278639.79999999952</v>
      </c>
      <c r="Y22" s="82">
        <f ca="1">Analítico!Y57</f>
        <v>278639.79999999952</v>
      </c>
      <c r="Z22" s="82">
        <f ca="1">Analítico!Z57</f>
        <v>278639.79999999952</v>
      </c>
      <c r="AA22" s="82">
        <f ca="1">Analítico!AA57</f>
        <v>278639.79999999952</v>
      </c>
      <c r="AB22" s="82">
        <f ca="1">Analítico!AB57</f>
        <v>278639.79999999952</v>
      </c>
      <c r="AC22" s="82">
        <f ca="1">Analítico!AC57</f>
        <v>278639.79999999952</v>
      </c>
      <c r="AD22" s="82">
        <f ca="1">Analítico!AD57</f>
        <v>278639.79999999952</v>
      </c>
      <c r="AE22" s="82">
        <f ca="1">Analítico!AE57</f>
        <v>278639.79999999952</v>
      </c>
      <c r="AF22" s="82">
        <f ca="1">Analítico!AF57</f>
        <v>288060.2799999995</v>
      </c>
      <c r="AG22" s="82">
        <f ca="1">Analítico!AG57</f>
        <v>288060.2799999995</v>
      </c>
      <c r="AH22" s="82">
        <f ca="1">Analítico!AH57</f>
        <v>288060.2799999995</v>
      </c>
      <c r="AI22" s="82">
        <f ca="1">Analítico!AI57</f>
        <v>288060.2799999995</v>
      </c>
      <c r="AJ22" s="82">
        <f ca="1">Analítico!AJ57</f>
        <v>288060.2799999995</v>
      </c>
      <c r="AK22" s="82">
        <f ca="1">Analítico!AK57</f>
        <v>288060.2799999995</v>
      </c>
      <c r="AL22" s="82">
        <f ca="1">Analítico!AL57</f>
        <v>288060.2799999995</v>
      </c>
      <c r="AM22" s="82">
        <f ca="1">Analítico!AM57</f>
        <v>288060.2799999995</v>
      </c>
      <c r="AN22" s="82">
        <f ca="1">Analítico!AN57</f>
        <v>288060.2799999995</v>
      </c>
      <c r="AO22" s="82">
        <f ca="1">Analítico!AO57</f>
        <v>288060.2799999995</v>
      </c>
      <c r="AP22" s="82">
        <f ca="1">Analítico!AP57</f>
        <v>288060.2799999995</v>
      </c>
      <c r="AQ22" s="82">
        <f ca="1">Analítico!AQ57</f>
        <v>288060.2799999995</v>
      </c>
      <c r="AR22" s="82">
        <f ca="1">Analítico!AR57</f>
        <v>298030.8399999995</v>
      </c>
      <c r="AS22" s="82">
        <f ca="1">Analítico!AS57</f>
        <v>298030.8399999995</v>
      </c>
      <c r="AT22" s="82">
        <f ca="1">Analítico!AT57</f>
        <v>298030.8399999995</v>
      </c>
      <c r="AU22" s="82">
        <f ca="1">Analítico!AU57</f>
        <v>298030.8399999995</v>
      </c>
      <c r="AV22" s="82">
        <f ca="1">Analítico!AV57</f>
        <v>298030.8399999995</v>
      </c>
      <c r="AW22" s="82">
        <f ca="1">Analítico!AW57</f>
        <v>298030.8399999995</v>
      </c>
      <c r="AX22" s="82">
        <f ca="1">Analítico!AX57</f>
        <v>298030.8399999995</v>
      </c>
      <c r="AY22" s="82">
        <f ca="1">Analítico!AY57</f>
        <v>298030.8399999995</v>
      </c>
      <c r="AZ22" s="82">
        <f ca="1">Analítico!AZ57</f>
        <v>298030.8399999995</v>
      </c>
      <c r="BA22" s="82">
        <f ca="1">Analítico!BA57</f>
        <v>298030.8399999995</v>
      </c>
      <c r="BB22" s="82">
        <f ca="1">Analítico!BB57</f>
        <v>298030.8399999995</v>
      </c>
      <c r="BC22" s="82">
        <f ca="1">Analítico!BC57</f>
        <v>298030.8399999995</v>
      </c>
      <c r="BD22" s="82">
        <f ca="1">Analítico!BD57</f>
        <v>308583.15999999951</v>
      </c>
      <c r="BE22" s="82">
        <f ca="1">Analítico!BE57</f>
        <v>308583.15999999951</v>
      </c>
      <c r="BF22" s="82">
        <f ca="1">Analítico!BF57</f>
        <v>308583.15999999951</v>
      </c>
      <c r="BG22" s="82">
        <f ca="1">Analítico!BG57</f>
        <v>308583.15999999951</v>
      </c>
      <c r="BH22" s="82">
        <f ca="1">Analítico!BH57</f>
        <v>308583.15999999951</v>
      </c>
      <c r="BI22" s="82">
        <f ca="1">Analítico!BI57</f>
        <v>308583.15999999951</v>
      </c>
      <c r="BJ22" s="82">
        <f ca="1">Analítico!BJ57</f>
        <v>308583.15999999951</v>
      </c>
      <c r="BK22" s="66">
        <f t="shared" ca="1" si="8"/>
        <v>16541475.497999983</v>
      </c>
      <c r="BL22" s="83">
        <f t="shared" ca="1" si="9"/>
        <v>4.9439241624172466E-2</v>
      </c>
    </row>
    <row r="23" spans="1:68" ht="21" customHeight="1">
      <c r="A23" s="383" t="s">
        <v>89</v>
      </c>
      <c r="B23" s="383"/>
      <c r="C23" s="88">
        <f t="shared" ref="C23:AH23" ca="1" si="10">SUBTOTAL(109,C19:C22)</f>
        <v>767748.01605444436</v>
      </c>
      <c r="D23" s="88">
        <f t="shared" ca="1" si="10"/>
        <v>2719460.5548207406</v>
      </c>
      <c r="E23" s="88">
        <f t="shared" ca="1" si="10"/>
        <v>2861813.6436377782</v>
      </c>
      <c r="F23" s="88">
        <f t="shared" ca="1" si="10"/>
        <v>3286488.1936377781</v>
      </c>
      <c r="G23" s="88">
        <f t="shared" ca="1" si="10"/>
        <v>3286488.1936377781</v>
      </c>
      <c r="H23" s="88">
        <f t="shared" ca="1" si="10"/>
        <v>3445280.2168662241</v>
      </c>
      <c r="I23" s="88">
        <f t="shared" ca="1" si="10"/>
        <v>3445280.2168662241</v>
      </c>
      <c r="J23" s="88">
        <f t="shared" ca="1" si="10"/>
        <v>3445280.2168662241</v>
      </c>
      <c r="K23" s="88">
        <f t="shared" ca="1" si="10"/>
        <v>3337280.2168662241</v>
      </c>
      <c r="L23" s="88">
        <f t="shared" ca="1" si="10"/>
        <v>3326280.2168662241</v>
      </c>
      <c r="M23" s="88">
        <f t="shared" ca="1" si="10"/>
        <v>3344734.8257673443</v>
      </c>
      <c r="N23" s="88">
        <f t="shared" ca="1" si="10"/>
        <v>3497623.9381712968</v>
      </c>
      <c r="O23" s="88">
        <f t="shared" ca="1" si="10"/>
        <v>3202568.5881712968</v>
      </c>
      <c r="P23" s="88">
        <f t="shared" ca="1" si="10"/>
        <v>3194821.8770724162</v>
      </c>
      <c r="Q23" s="88">
        <f t="shared" ca="1" si="10"/>
        <v>3194517.9001923688</v>
      </c>
      <c r="R23" s="88">
        <f t="shared" ca="1" si="10"/>
        <v>3419517.9001923688</v>
      </c>
      <c r="S23" s="88">
        <f t="shared" ca="1" si="10"/>
        <v>3419517.9001923688</v>
      </c>
      <c r="T23" s="88">
        <f t="shared" ca="1" si="10"/>
        <v>3383009.5595556027</v>
      </c>
      <c r="U23" s="88">
        <f t="shared" ca="1" si="10"/>
        <v>3383009.5595556027</v>
      </c>
      <c r="V23" s="88">
        <f t="shared" ca="1" si="10"/>
        <v>3383009.5595556027</v>
      </c>
      <c r="W23" s="88">
        <f t="shared" ca="1" si="10"/>
        <v>3368009.5595556027</v>
      </c>
      <c r="X23" s="88">
        <f t="shared" ca="1" si="10"/>
        <v>3268009.5595556023</v>
      </c>
      <c r="Y23" s="88">
        <f t="shared" ca="1" si="10"/>
        <v>3268009.5595556023</v>
      </c>
      <c r="Z23" s="88">
        <f t="shared" ca="1" si="10"/>
        <v>3283826.9795556022</v>
      </c>
      <c r="AA23" s="88">
        <f t="shared" ca="1" si="10"/>
        <v>3277710.3495556023</v>
      </c>
      <c r="AB23" s="88">
        <f t="shared" ca="1" si="10"/>
        <v>3268384.0895556021</v>
      </c>
      <c r="AC23" s="88">
        <f t="shared" ca="1" si="10"/>
        <v>3421769.6833469938</v>
      </c>
      <c r="AD23" s="88">
        <f t="shared" ca="1" si="10"/>
        <v>3268384.0895556021</v>
      </c>
      <c r="AE23" s="88">
        <f t="shared" ca="1" si="10"/>
        <v>3268384.0895556021</v>
      </c>
      <c r="AF23" s="88">
        <f t="shared" ca="1" si="10"/>
        <v>3452009.2285456499</v>
      </c>
      <c r="AG23" s="88">
        <f t="shared" ca="1" si="10"/>
        <v>3452009.2285456499</v>
      </c>
      <c r="AH23" s="88">
        <f t="shared" ca="1" si="10"/>
        <v>3452009.2285456499</v>
      </c>
      <c r="AI23" s="88">
        <f t="shared" ref="AI23:BJ23" ca="1" si="11">SUBTOTAL(109,AI19:AI22)</f>
        <v>3452009.2285456499</v>
      </c>
      <c r="AJ23" s="88">
        <f t="shared" ca="1" si="11"/>
        <v>3452009.2285456499</v>
      </c>
      <c r="AK23" s="88">
        <f t="shared" ca="1" si="11"/>
        <v>3468750.3885456496</v>
      </c>
      <c r="AL23" s="88">
        <f t="shared" ca="1" si="11"/>
        <v>3462276.5485456497</v>
      </c>
      <c r="AM23" s="88">
        <f t="shared" ca="1" si="11"/>
        <v>3452405.6385456496</v>
      </c>
      <c r="AN23" s="88">
        <f t="shared" ca="1" si="11"/>
        <v>3452405.6385456496</v>
      </c>
      <c r="AO23" s="88">
        <f t="shared" ca="1" si="11"/>
        <v>3614748.9510144582</v>
      </c>
      <c r="AP23" s="88">
        <f t="shared" ca="1" si="11"/>
        <v>3452405.6385456496</v>
      </c>
      <c r="AQ23" s="88">
        <f t="shared" ca="1" si="11"/>
        <v>3452405.6385456496</v>
      </c>
      <c r="AR23" s="88">
        <f t="shared" ca="1" si="11"/>
        <v>3646754.4096207158</v>
      </c>
      <c r="AS23" s="88">
        <f t="shared" ca="1" si="11"/>
        <v>3646754.4096207158</v>
      </c>
      <c r="AT23" s="88">
        <f t="shared" ca="1" si="11"/>
        <v>3646754.4096207158</v>
      </c>
      <c r="AU23" s="88">
        <f t="shared" ca="1" si="11"/>
        <v>3646754.4096207158</v>
      </c>
      <c r="AV23" s="88">
        <f t="shared" ca="1" si="11"/>
        <v>3664473.2496207156</v>
      </c>
      <c r="AW23" s="88">
        <f t="shared" ca="1" si="11"/>
        <v>3657621.3396207155</v>
      </c>
      <c r="AX23" s="88">
        <f t="shared" ca="1" si="11"/>
        <v>3647173.9696207158</v>
      </c>
      <c r="AY23" s="88">
        <f t="shared" ca="1" si="11"/>
        <v>3647173.9696207158</v>
      </c>
      <c r="AZ23" s="88">
        <f t="shared" ca="1" si="11"/>
        <v>3647173.9696207158</v>
      </c>
      <c r="BA23" s="88">
        <f t="shared" ca="1" si="11"/>
        <v>3818998.1315377029</v>
      </c>
      <c r="BB23" s="88">
        <f t="shared" ca="1" si="11"/>
        <v>3647173.9696207158</v>
      </c>
      <c r="BC23" s="88">
        <f t="shared" ca="1" si="11"/>
        <v>3647173.9696207158</v>
      </c>
      <c r="BD23" s="88">
        <f t="shared" ca="1" si="11"/>
        <v>3852872.1882225662</v>
      </c>
      <c r="BE23" s="88">
        <f t="shared" ca="1" si="11"/>
        <v>3852872.1882225662</v>
      </c>
      <c r="BF23" s="88">
        <f t="shared" ca="1" si="11"/>
        <v>3852872.1882225662</v>
      </c>
      <c r="BG23" s="88">
        <f t="shared" ca="1" si="11"/>
        <v>3871625.8082225663</v>
      </c>
      <c r="BH23" s="88">
        <f t="shared" ca="1" si="11"/>
        <v>3864373.7482225662</v>
      </c>
      <c r="BI23" s="88">
        <f t="shared" ca="1" si="11"/>
        <v>3853316.2482225662</v>
      </c>
      <c r="BJ23" s="88">
        <f t="shared" ca="1" si="11"/>
        <v>3871625.8082225663</v>
      </c>
      <c r="BK23" s="88">
        <f t="shared" ca="1" si="8"/>
        <v>205635202.2242777</v>
      </c>
      <c r="BL23" s="89">
        <f t="shared" ca="1" si="9"/>
        <v>0.6146034826476543</v>
      </c>
    </row>
    <row r="24" spans="1:68" ht="21" customHeight="1">
      <c r="A24" s="99" t="s">
        <v>90</v>
      </c>
      <c r="B24" s="100" t="s">
        <v>91</v>
      </c>
      <c r="C24" s="82">
        <f>Analítico!C133</f>
        <v>339681.24609999894</v>
      </c>
      <c r="D24" s="82">
        <f>Analítico!D133</f>
        <v>2026247.6203333298</v>
      </c>
      <c r="E24" s="82">
        <f>Analítico!E133</f>
        <v>2058466.3003333299</v>
      </c>
      <c r="F24" s="82">
        <f>Analítico!F133</f>
        <v>1907608.3003333299</v>
      </c>
      <c r="G24" s="82">
        <f>Analítico!G133</f>
        <v>1628714.4303333298</v>
      </c>
      <c r="H24" s="82">
        <f>Analítico!H133</f>
        <v>1658078.8603333298</v>
      </c>
      <c r="I24" s="82">
        <f>Analítico!I133</f>
        <v>1647700.8603333298</v>
      </c>
      <c r="J24" s="82">
        <f>Analítico!J133</f>
        <v>1620436.2603333297</v>
      </c>
      <c r="K24" s="82">
        <f>Analítico!K133</f>
        <v>1616093.06033333</v>
      </c>
      <c r="L24" s="82">
        <f>Analítico!L133</f>
        <v>1616093.06033333</v>
      </c>
      <c r="M24" s="82">
        <f>Analítico!M133</f>
        <v>1763860.6703333301</v>
      </c>
      <c r="N24" s="82">
        <f>Analítico!N133</f>
        <v>1664124.1303333298</v>
      </c>
      <c r="O24" s="82">
        <f>Analítico!O133</f>
        <v>1864268.4203333303</v>
      </c>
      <c r="P24" s="82">
        <f>Analítico!P133</f>
        <v>1973372.7349999968</v>
      </c>
      <c r="Q24" s="82">
        <f>Analítico!Q133</f>
        <v>2132072.1549999965</v>
      </c>
      <c r="R24" s="82">
        <f>Analítico!R133</f>
        <v>2060078.864999997</v>
      </c>
      <c r="S24" s="82">
        <f>Analítico!S133</f>
        <v>2973340.904999997</v>
      </c>
      <c r="T24" s="82">
        <f>Analítico!T133</f>
        <v>2103879.7562499968</v>
      </c>
      <c r="U24" s="82">
        <f>Analítico!U133</f>
        <v>2102830.4762499966</v>
      </c>
      <c r="V24" s="82">
        <f>Analítico!V133</f>
        <v>2088370.0362499969</v>
      </c>
      <c r="W24" s="82">
        <f>Analítico!W133</f>
        <v>2081335.906249997</v>
      </c>
      <c r="X24" s="82">
        <f>Analítico!X133</f>
        <v>2080489.906249997</v>
      </c>
      <c r="Y24" s="82">
        <f>Analítico!Y133</f>
        <v>2079643.906249997</v>
      </c>
      <c r="Z24" s="82">
        <f>Analítico!Z133</f>
        <v>2087220.5262499969</v>
      </c>
      <c r="AA24" s="82">
        <f>Analítico!AA133</f>
        <v>2088656.5862499969</v>
      </c>
      <c r="AB24" s="82">
        <f>Analítico!AB133</f>
        <v>2153857.7249999968</v>
      </c>
      <c r="AC24" s="82">
        <f>Analítico!AC133</f>
        <v>2035782.414999997</v>
      </c>
      <c r="AD24" s="82">
        <f>Analítico!AD133</f>
        <v>2075499.3349999969</v>
      </c>
      <c r="AE24" s="82">
        <f>Analítico!AE133</f>
        <v>2055843.204999997</v>
      </c>
      <c r="AF24" s="82">
        <f>Analítico!AF133</f>
        <v>2027084.5249999969</v>
      </c>
      <c r="AG24" s="82">
        <f>Analítico!AG133</f>
        <v>2027306.5249999969</v>
      </c>
      <c r="AH24" s="82">
        <f>Analítico!AH133</f>
        <v>2012824.454999997</v>
      </c>
      <c r="AI24" s="82">
        <f>Analítico!AI133</f>
        <v>2005414.5749999967</v>
      </c>
      <c r="AJ24" s="82">
        <f>Analítico!AJ133</f>
        <v>2005764.5749999967</v>
      </c>
      <c r="AK24" s="82">
        <f>Analítico!AK133</f>
        <v>2005764.5749999967</v>
      </c>
      <c r="AL24" s="82">
        <f>Analítico!AL133</f>
        <v>2014437.1349999965</v>
      </c>
      <c r="AM24" s="82">
        <f>Analítico!AM133</f>
        <v>2014792.8249999965</v>
      </c>
      <c r="AN24" s="82">
        <f>Analítico!AN133</f>
        <v>2243205.7949999967</v>
      </c>
      <c r="AO24" s="82">
        <f>Analítico!AO133</f>
        <v>2329125.2349999966</v>
      </c>
      <c r="AP24" s="82">
        <f>Analítico!AP133</f>
        <v>2227780.1249999967</v>
      </c>
      <c r="AQ24" s="82">
        <f>Analítico!AQ133</f>
        <v>2207127.5549999964</v>
      </c>
      <c r="AR24" s="82">
        <f>Analítico!AR133</f>
        <v>2176893.4149999968</v>
      </c>
      <c r="AS24" s="82">
        <f>Analítico!AS133</f>
        <v>2177115.4149999968</v>
      </c>
      <c r="AT24" s="82">
        <f>Analítico!AT133</f>
        <v>2162610.444999997</v>
      </c>
      <c r="AU24" s="82">
        <f>Analítico!AU133</f>
        <v>2154802.864999997</v>
      </c>
      <c r="AV24" s="82">
        <f>Analítico!AV133</f>
        <v>2154802.864999997</v>
      </c>
      <c r="AW24" s="82">
        <f>Analítico!AW133</f>
        <v>2154802.864999997</v>
      </c>
      <c r="AX24" s="82">
        <f>Analítico!AX133</f>
        <v>2161233.2849999964</v>
      </c>
      <c r="AY24" s="82">
        <f>Analítico!AY133</f>
        <v>2161609.7449999969</v>
      </c>
      <c r="AZ24" s="82">
        <f>Analítico!AZ133</f>
        <v>2369532.1149999974</v>
      </c>
      <c r="BA24" s="82">
        <f>Analítico!BA133</f>
        <v>2250745.0849999976</v>
      </c>
      <c r="BB24" s="82">
        <f>Analítico!BB133</f>
        <v>2307677.904999997</v>
      </c>
      <c r="BC24" s="82">
        <f>Analítico!BC133</f>
        <v>2285973.634999997</v>
      </c>
      <c r="BD24" s="82">
        <f>Analítico!BD133</f>
        <v>2254178.3649999974</v>
      </c>
      <c r="BE24" s="82">
        <f>Analítico!BE133</f>
        <v>2254400.3649999974</v>
      </c>
      <c r="BF24" s="82">
        <f>Analítico!BF133</f>
        <v>2239861.1549999975</v>
      </c>
      <c r="BG24" s="82">
        <f>Analítico!BG133</f>
        <v>2232632.6549999975</v>
      </c>
      <c r="BH24" s="82">
        <f>Analítico!BH133</f>
        <v>2232632.6549999975</v>
      </c>
      <c r="BI24" s="82">
        <f>Analítico!BI133</f>
        <v>2233031.0949999974</v>
      </c>
      <c r="BJ24" s="82">
        <f>Analítico!BJ133</f>
        <v>2229225.6449999972</v>
      </c>
      <c r="BK24" s="66">
        <f t="shared" si="8"/>
        <v>122898037.1350998</v>
      </c>
      <c r="BL24" s="83">
        <f t="shared" ca="1" si="9"/>
        <v>0.36731824520692619</v>
      </c>
    </row>
    <row r="25" spans="1:68" s="48" customFormat="1" ht="21" customHeight="1">
      <c r="A25" s="104" t="s">
        <v>92</v>
      </c>
      <c r="B25" s="105" t="s">
        <v>93</v>
      </c>
      <c r="C25" s="78">
        <f>Analítico!C149</f>
        <v>747264</v>
      </c>
      <c r="D25" s="78">
        <f>Analítico!D149</f>
        <v>44864.480000000003</v>
      </c>
      <c r="E25" s="78">
        <f>Analítico!E149</f>
        <v>0</v>
      </c>
      <c r="F25" s="78">
        <f>Analítico!F149</f>
        <v>16500</v>
      </c>
      <c r="G25" s="78">
        <f>Analítico!G149</f>
        <v>613254.88</v>
      </c>
      <c r="H25" s="78">
        <f>Analítico!H149</f>
        <v>0</v>
      </c>
      <c r="I25" s="78">
        <f>Analítico!I149</f>
        <v>6000</v>
      </c>
      <c r="J25" s="78">
        <f>Analítico!J149</f>
        <v>0</v>
      </c>
      <c r="K25" s="78">
        <f>Analítico!K149</f>
        <v>0</v>
      </c>
      <c r="L25" s="78">
        <f>Analítico!L149</f>
        <v>6000</v>
      </c>
      <c r="M25" s="78">
        <f>Analítico!M149</f>
        <v>331068.57</v>
      </c>
      <c r="N25" s="78">
        <f>Analítico!N149</f>
        <v>0</v>
      </c>
      <c r="O25" s="78">
        <f>Analítico!O149</f>
        <v>7700</v>
      </c>
      <c r="P25" s="78">
        <f>Analítico!P149</f>
        <v>8020.5</v>
      </c>
      <c r="Q25" s="78">
        <f>Analítico!Q149</f>
        <v>696339</v>
      </c>
      <c r="R25" s="78">
        <f>Analítico!R149</f>
        <v>40500</v>
      </c>
      <c r="S25" s="78">
        <f>Analítico!S149</f>
        <v>310169.68</v>
      </c>
      <c r="T25" s="78">
        <f>Analítico!T149</f>
        <v>0</v>
      </c>
      <c r="U25" s="78">
        <f>Analítico!U149</f>
        <v>161983.20000000001</v>
      </c>
      <c r="V25" s="78">
        <f>Analítico!V149</f>
        <v>7500</v>
      </c>
      <c r="W25" s="78">
        <f>Analítico!W149</f>
        <v>11200</v>
      </c>
      <c r="X25" s="78">
        <f>Analítico!X149</f>
        <v>40500</v>
      </c>
      <c r="Y25" s="78">
        <f>Analítico!Y149</f>
        <v>8000</v>
      </c>
      <c r="Z25" s="78">
        <f>Analítico!Z149</f>
        <v>0</v>
      </c>
      <c r="AA25" s="78">
        <f>Analítico!AA149</f>
        <v>66700</v>
      </c>
      <c r="AB25" s="78">
        <f>Analítico!AB149</f>
        <v>39616.75</v>
      </c>
      <c r="AC25" s="78">
        <f>Analítico!AC149</f>
        <v>60000</v>
      </c>
      <c r="AD25" s="78">
        <f>Analítico!AD149</f>
        <v>56800</v>
      </c>
      <c r="AE25" s="78">
        <f>Analítico!AE149</f>
        <v>0</v>
      </c>
      <c r="AF25" s="78">
        <f>Analítico!AF149</f>
        <v>0</v>
      </c>
      <c r="AG25" s="78">
        <f>Analítico!AG149</f>
        <v>147810.07999999999</v>
      </c>
      <c r="AH25" s="78">
        <f>Analítico!AH149</f>
        <v>60000</v>
      </c>
      <c r="AI25" s="78">
        <f>Analítico!AI149</f>
        <v>4080</v>
      </c>
      <c r="AJ25" s="78">
        <f>Analítico!AJ149</f>
        <v>40500</v>
      </c>
      <c r="AK25" s="78">
        <f>Analítico!AK149</f>
        <v>8000</v>
      </c>
      <c r="AL25" s="78">
        <f>Analítico!AL149</f>
        <v>7500</v>
      </c>
      <c r="AM25" s="78">
        <f>Analítico!AM149</f>
        <v>40500</v>
      </c>
      <c r="AN25" s="78">
        <f>Analítico!AN149</f>
        <v>5502.5</v>
      </c>
      <c r="AO25" s="78">
        <f>Analítico!AO149</f>
        <v>7500</v>
      </c>
      <c r="AP25" s="78">
        <f>Analítico!AP149</f>
        <v>83250</v>
      </c>
      <c r="AQ25" s="78">
        <f>Analítico!AQ149</f>
        <v>22800</v>
      </c>
      <c r="AR25" s="78">
        <f>Analítico!AR149</f>
        <v>0</v>
      </c>
      <c r="AS25" s="78">
        <f>Analítico!AS149</f>
        <v>129120</v>
      </c>
      <c r="AT25" s="78">
        <f>Analítico!AT149</f>
        <v>60000</v>
      </c>
      <c r="AU25" s="78">
        <f>Analítico!AU149</f>
        <v>18700</v>
      </c>
      <c r="AV25" s="78">
        <f>Analítico!AV149</f>
        <v>40500</v>
      </c>
      <c r="AW25" s="78">
        <f>Analítico!AW149</f>
        <v>8000</v>
      </c>
      <c r="AX25" s="78">
        <f>Analítico!AX149</f>
        <v>0</v>
      </c>
      <c r="AY25" s="78">
        <f>Analítico!AY149</f>
        <v>48000</v>
      </c>
      <c r="AZ25" s="78">
        <f>Analítico!AZ149</f>
        <v>5502.5</v>
      </c>
      <c r="BA25" s="78">
        <f>Analítico!BA149</f>
        <v>0</v>
      </c>
      <c r="BB25" s="78">
        <f>Analítico!BB149</f>
        <v>108000</v>
      </c>
      <c r="BC25" s="78">
        <f>Analítico!BC149</f>
        <v>24000</v>
      </c>
      <c r="BD25" s="78">
        <f>Analítico!BD149</f>
        <v>8800</v>
      </c>
      <c r="BE25" s="78">
        <f>Analítico!BE149</f>
        <v>56109.32</v>
      </c>
      <c r="BF25" s="78">
        <f>Analítico!BF149</f>
        <v>0</v>
      </c>
      <c r="BG25" s="78">
        <f>Analítico!BG149</f>
        <v>11200</v>
      </c>
      <c r="BH25" s="78">
        <f>Analítico!BH149</f>
        <v>40500</v>
      </c>
      <c r="BI25" s="78">
        <f>Analítico!BI149</f>
        <v>8000</v>
      </c>
      <c r="BJ25" s="78">
        <f>Analítico!BJ149</f>
        <v>0</v>
      </c>
      <c r="BK25" s="88">
        <f t="shared" si="8"/>
        <v>4273855.46</v>
      </c>
      <c r="BL25" s="79">
        <f t="shared" ca="1" si="9"/>
        <v>1.2773719779669982E-2</v>
      </c>
    </row>
    <row r="26" spans="1:68" s="48" customFormat="1" ht="21" customHeight="1">
      <c r="A26" s="106" t="s">
        <v>94</v>
      </c>
      <c r="B26" s="107" t="s">
        <v>95</v>
      </c>
      <c r="C26" s="108">
        <f>Analítico!C150</f>
        <v>0</v>
      </c>
      <c r="D26" s="108">
        <f>Analítico!D150</f>
        <v>0</v>
      </c>
      <c r="E26" s="108">
        <f>Analítico!E150</f>
        <v>0</v>
      </c>
      <c r="F26" s="108">
        <f>Analítico!F150</f>
        <v>0</v>
      </c>
      <c r="G26" s="108">
        <f>Analítico!G150</f>
        <v>0</v>
      </c>
      <c r="H26" s="108">
        <f>Analítico!H150</f>
        <v>0</v>
      </c>
      <c r="I26" s="108">
        <f>Analítico!I150</f>
        <v>0</v>
      </c>
      <c r="J26" s="108">
        <f>Analítico!J150</f>
        <v>0</v>
      </c>
      <c r="K26" s="108">
        <f>Analítico!K150</f>
        <v>0</v>
      </c>
      <c r="L26" s="108">
        <f>Analítico!L150</f>
        <v>0</v>
      </c>
      <c r="M26" s="108">
        <f>Analítico!M150</f>
        <v>0</v>
      </c>
      <c r="N26" s="108">
        <f>Analítico!N150</f>
        <v>0</v>
      </c>
      <c r="O26" s="108">
        <f>Analítico!O150</f>
        <v>0</v>
      </c>
      <c r="P26" s="108">
        <f>Analítico!P150</f>
        <v>0</v>
      </c>
      <c r="Q26" s="108">
        <f>Analítico!Q150</f>
        <v>0</v>
      </c>
      <c r="R26" s="108">
        <f>Analítico!R150</f>
        <v>0</v>
      </c>
      <c r="S26" s="108">
        <f>Analítico!S150</f>
        <v>0</v>
      </c>
      <c r="T26" s="108">
        <f>Analítico!T150</f>
        <v>0</v>
      </c>
      <c r="U26" s="108">
        <f>Analítico!U150</f>
        <v>0</v>
      </c>
      <c r="V26" s="108">
        <f>Analítico!V150</f>
        <v>0</v>
      </c>
      <c r="W26" s="108">
        <f>Analítico!W150</f>
        <v>0</v>
      </c>
      <c r="X26" s="108">
        <f>Analítico!X150</f>
        <v>0</v>
      </c>
      <c r="Y26" s="108">
        <f>Analítico!Y150</f>
        <v>0</v>
      </c>
      <c r="Z26" s="108">
        <f>Analítico!Z150</f>
        <v>0</v>
      </c>
      <c r="AA26" s="108">
        <f>Analítico!AA150</f>
        <v>0</v>
      </c>
      <c r="AB26" s="108">
        <f>Analítico!AB150</f>
        <v>0</v>
      </c>
      <c r="AC26" s="108">
        <f>Analítico!AC150</f>
        <v>0</v>
      </c>
      <c r="AD26" s="108">
        <f>Analítico!AD150</f>
        <v>0</v>
      </c>
      <c r="AE26" s="108">
        <f>Analítico!AE150</f>
        <v>0</v>
      </c>
      <c r="AF26" s="108">
        <f>Analítico!AF150</f>
        <v>0</v>
      </c>
      <c r="AG26" s="108">
        <f>Analítico!AG150</f>
        <v>0</v>
      </c>
      <c r="AH26" s="108">
        <f>Analítico!AH150</f>
        <v>0</v>
      </c>
      <c r="AI26" s="108">
        <f>Analítico!AI150</f>
        <v>0</v>
      </c>
      <c r="AJ26" s="108">
        <f>Analítico!AJ150</f>
        <v>0</v>
      </c>
      <c r="AK26" s="108">
        <f>Analítico!AK150</f>
        <v>0</v>
      </c>
      <c r="AL26" s="108">
        <f>Analítico!AL150</f>
        <v>0</v>
      </c>
      <c r="AM26" s="108">
        <f>Analítico!AM150</f>
        <v>0</v>
      </c>
      <c r="AN26" s="108">
        <f>Analítico!AN150</f>
        <v>0</v>
      </c>
      <c r="AO26" s="108">
        <f>Analítico!AO150</f>
        <v>0</v>
      </c>
      <c r="AP26" s="108">
        <f>Analítico!AP150</f>
        <v>0</v>
      </c>
      <c r="AQ26" s="108">
        <f>Analítico!AQ150</f>
        <v>0</v>
      </c>
      <c r="AR26" s="108">
        <f>Analítico!AR150</f>
        <v>0</v>
      </c>
      <c r="AS26" s="108">
        <f>Analítico!AS150</f>
        <v>0</v>
      </c>
      <c r="AT26" s="108">
        <f>Analítico!AT150</f>
        <v>0</v>
      </c>
      <c r="AU26" s="108">
        <f>Analítico!AU150</f>
        <v>0</v>
      </c>
      <c r="AV26" s="108">
        <f>Analítico!AV150</f>
        <v>0</v>
      </c>
      <c r="AW26" s="108">
        <f>Analítico!AW150</f>
        <v>0</v>
      </c>
      <c r="AX26" s="108">
        <f>Analítico!AX150</f>
        <v>0</v>
      </c>
      <c r="AY26" s="108">
        <f>Analítico!AY150</f>
        <v>0</v>
      </c>
      <c r="AZ26" s="108">
        <f>Analítico!AZ150</f>
        <v>0</v>
      </c>
      <c r="BA26" s="108">
        <f>Analítico!BA150</f>
        <v>0</v>
      </c>
      <c r="BB26" s="108">
        <f>Analítico!BB150</f>
        <v>0</v>
      </c>
      <c r="BC26" s="108">
        <f>Analítico!BC150</f>
        <v>0</v>
      </c>
      <c r="BD26" s="108">
        <f>Analítico!BD150</f>
        <v>0</v>
      </c>
      <c r="BE26" s="108">
        <f>Analítico!BE150</f>
        <v>0</v>
      </c>
      <c r="BF26" s="108">
        <f>Analítico!BF150</f>
        <v>0</v>
      </c>
      <c r="BG26" s="108">
        <f>Analítico!BG150</f>
        <v>0</v>
      </c>
      <c r="BH26" s="108">
        <f>Analítico!BH150</f>
        <v>0</v>
      </c>
      <c r="BI26" s="108">
        <f>Analítico!BI150</f>
        <v>0</v>
      </c>
      <c r="BJ26" s="108">
        <f>Analítico!BJ150</f>
        <v>0</v>
      </c>
      <c r="BK26" s="67">
        <f t="shared" si="8"/>
        <v>0</v>
      </c>
      <c r="BL26" s="109">
        <f t="shared" ca="1" si="9"/>
        <v>0</v>
      </c>
    </row>
    <row r="27" spans="1:68" s="48" customFormat="1" ht="21" customHeight="1">
      <c r="A27" s="110" t="s">
        <v>96</v>
      </c>
      <c r="B27" s="111" t="s">
        <v>97</v>
      </c>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90">
        <f>Desmobilização!H64</f>
        <v>1774807.2199999972</v>
      </c>
      <c r="BL27" s="113">
        <f t="shared" ca="1" si="9"/>
        <v>5.3045523657496499E-3</v>
      </c>
    </row>
    <row r="28" spans="1:68" s="48" customFormat="1" ht="21" customHeight="1">
      <c r="A28" s="93" t="s">
        <v>98</v>
      </c>
      <c r="B28" s="60"/>
      <c r="C28" s="94">
        <f t="shared" ref="C28:AH28" ca="1" si="12">SUBTOTAL(109,C19:C27)</f>
        <v>1854693.2621544432</v>
      </c>
      <c r="D28" s="94">
        <f t="shared" ca="1" si="12"/>
        <v>4790572.6551540708</v>
      </c>
      <c r="E28" s="94">
        <f t="shared" ca="1" si="12"/>
        <v>4920279.9439711086</v>
      </c>
      <c r="F28" s="94">
        <f t="shared" ca="1" si="12"/>
        <v>5210596.4939711075</v>
      </c>
      <c r="G28" s="94">
        <f t="shared" ca="1" si="12"/>
        <v>5528457.5039711082</v>
      </c>
      <c r="H28" s="94">
        <f t="shared" ca="1" si="12"/>
        <v>5103359.0771995541</v>
      </c>
      <c r="I28" s="94">
        <f t="shared" ca="1" si="12"/>
        <v>5098981.0771995541</v>
      </c>
      <c r="J28" s="94">
        <f t="shared" ca="1" si="12"/>
        <v>5065716.4771995535</v>
      </c>
      <c r="K28" s="94">
        <f t="shared" ca="1" si="12"/>
        <v>4953373.2771995543</v>
      </c>
      <c r="L28" s="94">
        <f t="shared" ca="1" si="12"/>
        <v>4948373.2771995543</v>
      </c>
      <c r="M28" s="94">
        <f t="shared" ca="1" si="12"/>
        <v>5439664.0661006747</v>
      </c>
      <c r="N28" s="94">
        <f t="shared" ca="1" si="12"/>
        <v>5161748.0685046269</v>
      </c>
      <c r="O28" s="94">
        <f t="shared" ca="1" si="12"/>
        <v>5074537.0085046273</v>
      </c>
      <c r="P28" s="94">
        <f t="shared" ca="1" si="12"/>
        <v>5176215.1120724129</v>
      </c>
      <c r="Q28" s="94">
        <f t="shared" ca="1" si="12"/>
        <v>6022929.0551923653</v>
      </c>
      <c r="R28" s="94">
        <f t="shared" ca="1" si="12"/>
        <v>5520096.7651923653</v>
      </c>
      <c r="S28" s="94">
        <f t="shared" ca="1" si="12"/>
        <v>6703028.4851923659</v>
      </c>
      <c r="T28" s="94">
        <f t="shared" ca="1" si="12"/>
        <v>5486889.3158055991</v>
      </c>
      <c r="U28" s="94">
        <f t="shared" ca="1" si="12"/>
        <v>5647823.2358056</v>
      </c>
      <c r="V28" s="94">
        <f t="shared" ca="1" si="12"/>
        <v>5478879.5958055994</v>
      </c>
      <c r="W28" s="94">
        <f t="shared" ca="1" si="12"/>
        <v>5460545.4658055995</v>
      </c>
      <c r="X28" s="94">
        <f t="shared" ca="1" si="12"/>
        <v>5388999.4658055995</v>
      </c>
      <c r="Y28" s="94">
        <f t="shared" ca="1" si="12"/>
        <v>5355653.4658055995</v>
      </c>
      <c r="Z28" s="94">
        <f t="shared" ca="1" si="12"/>
        <v>5371047.5058055986</v>
      </c>
      <c r="AA28" s="94">
        <f t="shared" ca="1" si="12"/>
        <v>5433066.9358055992</v>
      </c>
      <c r="AB28" s="94">
        <f t="shared" ca="1" si="12"/>
        <v>5461858.5645555984</v>
      </c>
      <c r="AC28" s="94">
        <f t="shared" ca="1" si="12"/>
        <v>5517552.0983469905</v>
      </c>
      <c r="AD28" s="94">
        <f t="shared" ca="1" si="12"/>
        <v>5400683.4245555988</v>
      </c>
      <c r="AE28" s="94">
        <f t="shared" ca="1" si="12"/>
        <v>5324227.2945555989</v>
      </c>
      <c r="AF28" s="94">
        <f t="shared" ca="1" si="12"/>
        <v>5479093.7535456466</v>
      </c>
      <c r="AG28" s="94">
        <f t="shared" ca="1" si="12"/>
        <v>5627125.8335456466</v>
      </c>
      <c r="AH28" s="94">
        <f t="shared" ca="1" si="12"/>
        <v>5524833.6835456472</v>
      </c>
      <c r="AI28" s="94">
        <f t="shared" ref="AI28:BJ28" ca="1" si="13">SUBTOTAL(109,AI19:AI27)</f>
        <v>5461503.8035456464</v>
      </c>
      <c r="AJ28" s="94">
        <f t="shared" ca="1" si="13"/>
        <v>5498273.8035456464</v>
      </c>
      <c r="AK28" s="94">
        <f t="shared" ca="1" si="13"/>
        <v>5482514.9635456465</v>
      </c>
      <c r="AL28" s="94">
        <f t="shared" ca="1" si="13"/>
        <v>5484213.6835456463</v>
      </c>
      <c r="AM28" s="94">
        <f t="shared" ca="1" si="13"/>
        <v>5507698.4635456465</v>
      </c>
      <c r="AN28" s="94">
        <f t="shared" ca="1" si="13"/>
        <v>5701113.9335456463</v>
      </c>
      <c r="AO28" s="94">
        <f t="shared" ca="1" si="13"/>
        <v>5951374.1860144548</v>
      </c>
      <c r="AP28" s="94">
        <f t="shared" ca="1" si="13"/>
        <v>5763435.7635456463</v>
      </c>
      <c r="AQ28" s="94">
        <f t="shared" ca="1" si="13"/>
        <v>5682333.193545646</v>
      </c>
      <c r="AR28" s="94">
        <f t="shared" ca="1" si="13"/>
        <v>5823647.8246207125</v>
      </c>
      <c r="AS28" s="94">
        <f t="shared" ca="1" si="13"/>
        <v>5952989.8246207125</v>
      </c>
      <c r="AT28" s="94">
        <f t="shared" ca="1" si="13"/>
        <v>5869364.8546207128</v>
      </c>
      <c r="AU28" s="94">
        <f t="shared" ca="1" si="13"/>
        <v>5820257.2746207127</v>
      </c>
      <c r="AV28" s="94">
        <f t="shared" ca="1" si="13"/>
        <v>5859776.1146207126</v>
      </c>
      <c r="AW28" s="94">
        <f t="shared" ca="1" si="13"/>
        <v>5820424.2046207124</v>
      </c>
      <c r="AX28" s="94">
        <f t="shared" ca="1" si="13"/>
        <v>5808407.2546207123</v>
      </c>
      <c r="AY28" s="94">
        <f t="shared" ca="1" si="13"/>
        <v>5856783.7146207131</v>
      </c>
      <c r="AZ28" s="94">
        <f t="shared" ca="1" si="13"/>
        <v>6022208.5846207133</v>
      </c>
      <c r="BA28" s="94">
        <f t="shared" ca="1" si="13"/>
        <v>6069743.216537701</v>
      </c>
      <c r="BB28" s="94">
        <f t="shared" ca="1" si="13"/>
        <v>6062851.8746207133</v>
      </c>
      <c r="BC28" s="94">
        <f t="shared" ca="1" si="13"/>
        <v>5957147.6046207128</v>
      </c>
      <c r="BD28" s="94">
        <f t="shared" ca="1" si="13"/>
        <v>6115850.5532225631</v>
      </c>
      <c r="BE28" s="94">
        <f t="shared" ca="1" si="13"/>
        <v>6163381.8732225634</v>
      </c>
      <c r="BF28" s="94">
        <f t="shared" ca="1" si="13"/>
        <v>6092733.3432225641</v>
      </c>
      <c r="BG28" s="94">
        <f t="shared" ca="1" si="13"/>
        <v>6115458.4632225633</v>
      </c>
      <c r="BH28" s="94">
        <f t="shared" ca="1" si="13"/>
        <v>6137506.4032225637</v>
      </c>
      <c r="BI28" s="94">
        <f t="shared" ca="1" si="13"/>
        <v>6094347.3432225641</v>
      </c>
      <c r="BJ28" s="94">
        <f t="shared" ca="1" si="13"/>
        <v>6100851.4532225635</v>
      </c>
      <c r="BK28" s="94">
        <f ca="1">SUBTOTAL(109,BK23:BK27)</f>
        <v>334581902.03937745</v>
      </c>
      <c r="BL28" s="95">
        <f t="shared" ca="1" si="9"/>
        <v>1</v>
      </c>
    </row>
    <row r="29" spans="1:68" s="48" customFormat="1" ht="16.5" customHeight="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5"/>
      <c r="BL29" s="116"/>
    </row>
    <row r="30" spans="1:68" ht="15">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P30" s="48"/>
    </row>
    <row r="31" spans="1:68" ht="15">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P31" s="48"/>
    </row>
    <row r="32" spans="1:68" ht="15">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8"/>
      <c r="BP32" s="48"/>
    </row>
    <row r="33" spans="1:68" ht="15">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P33" s="48"/>
    </row>
    <row r="34" spans="1:68" ht="15">
      <c r="BK34" s="117"/>
      <c r="BP34" s="48"/>
    </row>
  </sheetData>
  <sheetProtection algorithmName="SHA-512" hashValue="E+sTYCXlMDbuNOSiq82gKK8JnxM/PQ1GHTF5TRdz1mbRZnYue/ki5YkRPpUFXQtHbAoiYHG4bnIk0tkbUoXROA==" saltValue="hiS0krIx6PBNNKkiNKElHg==" spinCount="100000" sheet="1" objects="1" scenarios="1" formatColumns="0"/>
  <mergeCells count="9">
    <mergeCell ref="A23:B23"/>
    <mergeCell ref="C1:N1"/>
    <mergeCell ref="C2:N2"/>
    <mergeCell ref="O2:Z2"/>
    <mergeCell ref="AA2:BL2"/>
    <mergeCell ref="A5:B5"/>
    <mergeCell ref="A13:B13"/>
    <mergeCell ref="A14:B14"/>
    <mergeCell ref="A15:B15"/>
  </mergeCells>
  <pageMargins left="0.196527777777778" right="0.196527777777778" top="0.59027777777777801" bottom="0.59027777777777801" header="0.51180555555555496" footer="0"/>
  <pageSetup paperSize="9" scale="69" firstPageNumber="0" orientation="landscape" horizontalDpi="300" verticalDpi="300" r:id="rId1"/>
  <headerFooter>
    <oddFooter>&amp;CPágina &amp;P de &amp;N</oddFooter>
  </headerFooter>
  <colBreaks count="3" manualBreakCount="3">
    <brk id="14" max="1048575" man="1"/>
    <brk id="26" max="1048575" man="1"/>
    <brk id="5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6"/>
  <sheetViews>
    <sheetView tabSelected="1" zoomScaleNormal="100" workbookViewId="0">
      <pane xSplit="1" ySplit="3" topLeftCell="B25" activePane="bottomRight" state="frozen"/>
      <selection pane="topRight" activeCell="B1" sqref="B1"/>
      <selection pane="bottomLeft" activeCell="A4" sqref="A4"/>
      <selection pane="bottomRight" activeCell="C45" sqref="C45"/>
    </sheetView>
  </sheetViews>
  <sheetFormatPr defaultColWidth="9.140625" defaultRowHeight="12.75"/>
  <cols>
    <col min="1" max="1" width="4.85546875" style="119" customWidth="1"/>
    <col min="2" max="2" width="65.7109375" style="120" customWidth="1"/>
    <col min="3" max="3" width="13.85546875" style="120" customWidth="1"/>
    <col min="4" max="4" width="15.42578125" style="120" customWidth="1"/>
    <col min="5" max="8" width="12.42578125" style="120" customWidth="1"/>
    <col min="9" max="9" width="13.5703125" style="120" customWidth="1"/>
    <col min="10" max="14" width="8.85546875" style="120" customWidth="1"/>
    <col min="15" max="15" width="8.42578125" style="120" customWidth="1"/>
    <col min="16" max="16" width="11.5703125" style="120" hidden="1" customWidth="1"/>
    <col min="17" max="17" width="14.42578125" style="120" hidden="1" customWidth="1"/>
    <col min="18" max="18" width="12.5703125" style="120" hidden="1" customWidth="1"/>
    <col min="19" max="75" width="13.85546875" style="120" hidden="1" customWidth="1"/>
    <col min="76" max="1024" width="9.140625" style="120"/>
  </cols>
  <sheetData>
    <row r="1" spans="1:76" ht="35.25"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c r="I1" s="384"/>
      <c r="J1" s="384"/>
      <c r="K1" s="384"/>
      <c r="L1" s="384"/>
      <c r="M1" s="384"/>
      <c r="N1" s="384"/>
      <c r="O1" s="384"/>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row>
    <row r="2" spans="1:76" ht="15.75" customHeight="1">
      <c r="A2" s="389" t="s">
        <v>99</v>
      </c>
      <c r="B2" s="389"/>
      <c r="C2" s="389"/>
      <c r="D2" s="389"/>
      <c r="E2" s="389"/>
      <c r="F2" s="389"/>
      <c r="G2" s="389"/>
      <c r="H2" s="389"/>
      <c r="I2" s="389"/>
      <c r="J2" s="389"/>
      <c r="K2" s="389"/>
      <c r="L2" s="389"/>
      <c r="M2" s="389"/>
      <c r="N2" s="389"/>
      <c r="O2" s="389"/>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3"/>
    </row>
    <row r="3" spans="1:76" ht="33.75">
      <c r="A3" s="121" t="s">
        <v>31</v>
      </c>
      <c r="B3" s="122" t="s">
        <v>100</v>
      </c>
      <c r="C3" s="123" t="str">
        <f>TEXT(D3,"AAAA")&amp;"
(Planejado Anteriormente)"</f>
        <v>2023
(Planejado Anteriormente)</v>
      </c>
      <c r="D3" s="124">
        <f>DATE(YEAR(P3),1,1)</f>
        <v>44927</v>
      </c>
      <c r="E3" s="125">
        <f>DATE(YEAR(D3)+1,1,1)</f>
        <v>45292</v>
      </c>
      <c r="F3" s="125">
        <f>DATE(YEAR(E3)+1,1,1)</f>
        <v>45658</v>
      </c>
      <c r="G3" s="125">
        <f>DATE(YEAR(F3)+1,1,1)</f>
        <v>46023</v>
      </c>
      <c r="H3" s="125">
        <f>DATE(YEAR(G3)+1,1,1)</f>
        <v>46388</v>
      </c>
      <c r="I3" s="126" t="s">
        <v>60</v>
      </c>
      <c r="J3" s="124">
        <f>D3</f>
        <v>44927</v>
      </c>
      <c r="K3" s="125">
        <f>E3</f>
        <v>45292</v>
      </c>
      <c r="L3" s="125">
        <f>F3</f>
        <v>45658</v>
      </c>
      <c r="M3" s="125">
        <f>G3</f>
        <v>46023</v>
      </c>
      <c r="N3" s="127">
        <f>H3</f>
        <v>46388</v>
      </c>
      <c r="O3" s="128" t="s">
        <v>61</v>
      </c>
      <c r="P3" s="129">
        <f>Analítico!C3</f>
        <v>45261</v>
      </c>
      <c r="Q3" s="129">
        <f>Analítico!D3</f>
        <v>45292</v>
      </c>
      <c r="R3" s="129">
        <f>Analítico!E3</f>
        <v>45323</v>
      </c>
      <c r="S3" s="129">
        <f>Analítico!F3</f>
        <v>45352</v>
      </c>
      <c r="T3" s="129">
        <f>Analítico!G3</f>
        <v>45383</v>
      </c>
      <c r="U3" s="129">
        <f>Analítico!H3</f>
        <v>45413</v>
      </c>
      <c r="V3" s="129">
        <f>Analítico!I3</f>
        <v>45444</v>
      </c>
      <c r="W3" s="129">
        <f>Analítico!J3</f>
        <v>45474</v>
      </c>
      <c r="X3" s="129">
        <f>Analítico!K3</f>
        <v>45505</v>
      </c>
      <c r="Y3" s="129">
        <f>Analítico!L3</f>
        <v>45536</v>
      </c>
      <c r="Z3" s="129">
        <f>Analítico!M3</f>
        <v>45566</v>
      </c>
      <c r="AA3" s="129">
        <f>Analítico!N3</f>
        <v>45597</v>
      </c>
      <c r="AB3" s="129">
        <f>Analítico!O3</f>
        <v>45627</v>
      </c>
      <c r="AC3" s="129">
        <f>Analítico!P3</f>
        <v>45658</v>
      </c>
      <c r="AD3" s="129">
        <f>Analítico!Q3</f>
        <v>45689</v>
      </c>
      <c r="AE3" s="129">
        <f>Analítico!R3</f>
        <v>45717</v>
      </c>
      <c r="AF3" s="129">
        <f>Analítico!S3</f>
        <v>45748</v>
      </c>
      <c r="AG3" s="129">
        <f>Analítico!T3</f>
        <v>45778</v>
      </c>
      <c r="AH3" s="129">
        <f>Analítico!U3</f>
        <v>45809</v>
      </c>
      <c r="AI3" s="129">
        <f>Analítico!V3</f>
        <v>45839</v>
      </c>
      <c r="AJ3" s="129">
        <f>Analítico!W3</f>
        <v>45870</v>
      </c>
      <c r="AK3" s="129">
        <f>Analítico!X3</f>
        <v>45901</v>
      </c>
      <c r="AL3" s="129">
        <f>Analítico!Y3</f>
        <v>45931</v>
      </c>
      <c r="AM3" s="129">
        <f>Analítico!Z3</f>
        <v>45962</v>
      </c>
      <c r="AN3" s="129">
        <f>Analítico!AA3</f>
        <v>45992</v>
      </c>
      <c r="AO3" s="129">
        <f>Analítico!AB3</f>
        <v>46023</v>
      </c>
      <c r="AP3" s="129">
        <f>Analítico!AC3</f>
        <v>46054</v>
      </c>
      <c r="AQ3" s="129">
        <f>Analítico!AD3</f>
        <v>46082</v>
      </c>
      <c r="AR3" s="129">
        <f>Analítico!AE3</f>
        <v>46113</v>
      </c>
      <c r="AS3" s="129">
        <f>Analítico!AF3</f>
        <v>46143</v>
      </c>
      <c r="AT3" s="129">
        <f>Analítico!AG3</f>
        <v>46174</v>
      </c>
      <c r="AU3" s="129">
        <f>Analítico!AH3</f>
        <v>46204</v>
      </c>
      <c r="AV3" s="129">
        <f>Analítico!AI3</f>
        <v>46235</v>
      </c>
      <c r="AW3" s="129">
        <f>Analítico!AJ3</f>
        <v>46266</v>
      </c>
      <c r="AX3" s="129">
        <f>Analítico!AK3</f>
        <v>46296</v>
      </c>
      <c r="AY3" s="129">
        <f>Analítico!AL3</f>
        <v>46327</v>
      </c>
      <c r="AZ3" s="129">
        <f>Analítico!AM3</f>
        <v>46357</v>
      </c>
      <c r="BA3" s="129">
        <f>Analítico!AN3</f>
        <v>46388</v>
      </c>
      <c r="BB3" s="129">
        <f>Analítico!AO3</f>
        <v>46419</v>
      </c>
      <c r="BC3" s="129">
        <f>Analítico!AP3</f>
        <v>46447</v>
      </c>
      <c r="BD3" s="129">
        <f>Analítico!AQ3</f>
        <v>46478</v>
      </c>
      <c r="BE3" s="129">
        <f>Analítico!AR3</f>
        <v>46508</v>
      </c>
      <c r="BF3" s="129">
        <f>Analítico!AS3</f>
        <v>46539</v>
      </c>
      <c r="BG3" s="129">
        <f>Analítico!AT3</f>
        <v>46569</v>
      </c>
      <c r="BH3" s="129">
        <f>Analítico!AU3</f>
        <v>46600</v>
      </c>
      <c r="BI3" s="129">
        <f>Analítico!AV3</f>
        <v>46631</v>
      </c>
      <c r="BJ3" s="129">
        <f>Analítico!AW3</f>
        <v>46661</v>
      </c>
      <c r="BK3" s="129">
        <f>Analítico!AX3</f>
        <v>46692</v>
      </c>
      <c r="BL3" s="129">
        <f>Analítico!AY3</f>
        <v>46722</v>
      </c>
      <c r="BM3" s="129">
        <f>Analítico!AZ3</f>
        <v>46753</v>
      </c>
      <c r="BN3" s="129">
        <f>Analítico!BA3</f>
        <v>46784</v>
      </c>
      <c r="BO3" s="129">
        <f>Analítico!BB3</f>
        <v>46813</v>
      </c>
      <c r="BP3" s="129">
        <f>Analítico!BC3</f>
        <v>46844</v>
      </c>
      <c r="BQ3" s="129">
        <f>Analítico!BD3</f>
        <v>46874</v>
      </c>
      <c r="BR3" s="129">
        <f>Analítico!BE3</f>
        <v>46905</v>
      </c>
      <c r="BS3" s="129">
        <f>Analítico!BF3</f>
        <v>46935</v>
      </c>
      <c r="BT3" s="129">
        <f>Analítico!BG3</f>
        <v>46966</v>
      </c>
      <c r="BU3" s="129">
        <f>Analítico!BH3</f>
        <v>46997</v>
      </c>
      <c r="BV3" s="129">
        <f>Analítico!BI3</f>
        <v>47027</v>
      </c>
      <c r="BW3" s="129">
        <f>Analítico!BJ3</f>
        <v>47058</v>
      </c>
    </row>
    <row r="4" spans="1:76">
      <c r="A4" s="130">
        <v>1</v>
      </c>
      <c r="B4" s="131" t="s">
        <v>101</v>
      </c>
      <c r="C4" s="132">
        <v>0</v>
      </c>
      <c r="D4" s="133">
        <f t="shared" ref="D4:D33" si="0">SUMIFS($P4:$BW4,$P$3:$BW$3,"&gt;="&amp;D$3,$P$3:$BW$3,"&lt;"&amp;(DATE(YEAR(D$3)+1,1,1)-1))+C4</f>
        <v>233961.38033332999</v>
      </c>
      <c r="E4" s="134">
        <f t="shared" ref="E4:H33" si="1">SUMIFS($P4:$BW4,$P$3:$BW$3,"&gt;="&amp;E$3,$P$3:$BW$3,"&lt;"&amp;(DATE(YEAR(E$3)+1,1,1)-1))</f>
        <v>2120811.1639999608</v>
      </c>
      <c r="F4" s="134">
        <f t="shared" si="1"/>
        <v>2495341.5199999604</v>
      </c>
      <c r="G4" s="134">
        <f t="shared" si="1"/>
        <v>2423710.599999961</v>
      </c>
      <c r="H4" s="134">
        <f t="shared" si="1"/>
        <v>2570398.6299999612</v>
      </c>
      <c r="I4" s="135">
        <f t="shared" ref="I4:I33" si="2">SUM(P4:BW4)</f>
        <v>12302031.379333138</v>
      </c>
      <c r="J4" s="136">
        <f t="shared" ref="J4:J33" si="3">IF($I$34=0,0,D4/$I$34)</f>
        <v>1.8915045267183235E-3</v>
      </c>
      <c r="K4" s="136">
        <f t="shared" ref="K4:K33" si="4">IF($I$34=0,0,E4/$I$34)</f>
        <v>1.7146094416545906E-2</v>
      </c>
      <c r="L4" s="136">
        <f t="shared" ref="L4:L33" si="5">IF($I$34=0,0,F4/$I$34)</f>
        <v>2.0174055111418343E-2</v>
      </c>
      <c r="M4" s="136">
        <f t="shared" ref="M4:M33" si="6">IF($I$34=0,0,G4/$I$34)</f>
        <v>1.9594941544726435E-2</v>
      </c>
      <c r="N4" s="136">
        <f t="shared" ref="N4:N33" si="7">IF($I$34=0,0,H4/$I$34)</f>
        <v>2.078086835181352E-2</v>
      </c>
      <c r="O4" s="137">
        <f t="shared" ref="O4:O33" si="8">IF($I$34=0,0,I4/$I$34)</f>
        <v>9.9458072989170837E-2</v>
      </c>
      <c r="P4" s="134">
        <f>IF($B4="",0,SUMPRODUCT(-('Gastos Gerais'!$F$4:$F$3632='Gastos das Atividades'!$B4),-('Gastos das Atividades'!P$3&gt;='Gastos Gerais'!$D$4:$D$3632),-('Gastos das Atividades'!P$3&lt;='Gastos Gerais'!$E$4:$E$3632),-('Gastos Gerais'!$C$4:$C$3632)))</f>
        <v>233961.38033332999</v>
      </c>
      <c r="Q4" s="134">
        <f>IF($B4="",0,SUMPRODUCT(-('Gastos Gerais'!$F$4:$F$3632='Gastos das Atividades'!$B4),-('Gastos das Atividades'!Q$3&gt;='Gastos Gerais'!$D$4:$D$3632),-('Gastos das Atividades'!Q$3&lt;='Gastos Gerais'!$E$4:$E$3632),-('Gastos Gerais'!$C$4:$C$3632)))</f>
        <v>150340.98033332999</v>
      </c>
      <c r="R4" s="134">
        <f>IF($B4="",0,SUMPRODUCT(-('Gastos Gerais'!$F$4:$F$3632='Gastos das Atividades'!$B4),-('Gastos das Atividades'!R$3&gt;='Gastos Gerais'!$D$4:$D$3632),-('Gastos das Atividades'!R$3&lt;='Gastos Gerais'!$E$4:$E$3632),-('Gastos Gerais'!$C$4:$C$3632)))</f>
        <v>179527.50033333001</v>
      </c>
      <c r="S4" s="134">
        <f>IF($B4="",0,SUMPRODUCT(-('Gastos Gerais'!$F$4:$F$3632='Gastos das Atividades'!$B4),-('Gastos das Atividades'!S$3&gt;='Gastos Gerais'!$D$4:$D$3632),-('Gastos das Atividades'!S$3&lt;='Gastos Gerais'!$E$4:$E$3632),-('Gastos Gerais'!$C$4:$C$3632)))</f>
        <v>190027.50033333001</v>
      </c>
      <c r="T4" s="134">
        <f>IF($B4="",0,SUMPRODUCT(-('Gastos Gerais'!$F$4:$F$3632='Gastos das Atividades'!$B4),-('Gastos das Atividades'!T$3&gt;='Gastos Gerais'!$D$4:$D$3632),-('Gastos das Atividades'!T$3&lt;='Gastos Gerais'!$E$4:$E$3632),-('Gastos Gerais'!$C$4:$C$3632)))</f>
        <v>148457.46033333</v>
      </c>
      <c r="U4" s="134">
        <f>IF($B4="",0,SUMPRODUCT(-('Gastos Gerais'!$F$4:$F$3632='Gastos das Atividades'!$B4),-('Gastos das Atividades'!U$3&gt;='Gastos Gerais'!$D$4:$D$3632),-('Gastos das Atividades'!U$3&lt;='Gastos Gerais'!$E$4:$E$3632),-('Gastos Gerais'!$C$4:$C$3632)))</f>
        <v>189638.10033332999</v>
      </c>
      <c r="V4" s="134">
        <f>IF($B4="",0,SUMPRODUCT(-('Gastos Gerais'!$F$4:$F$3632='Gastos das Atividades'!$B4),-('Gastos das Atividades'!V$3&gt;='Gastos Gerais'!$D$4:$D$3632),-('Gastos das Atividades'!V$3&lt;='Gastos Gerais'!$E$4:$E$3632),-('Gastos Gerais'!$C$4:$C$3632)))</f>
        <v>189938.10033332999</v>
      </c>
      <c r="W4" s="134">
        <f>IF($B4="",0,SUMPRODUCT(-('Gastos Gerais'!$F$4:$F$3632='Gastos das Atividades'!$B4),-('Gastos das Atividades'!W$3&gt;='Gastos Gerais'!$D$4:$D$3632),-('Gastos das Atividades'!W$3&lt;='Gastos Gerais'!$E$4:$E$3632),-('Gastos Gerais'!$C$4:$C$3632)))</f>
        <v>177409.50033333001</v>
      </c>
      <c r="X4" s="134">
        <f>IF($B4="",0,SUMPRODUCT(-('Gastos Gerais'!$F$4:$F$3632='Gastos das Atividades'!$B4),-('Gastos das Atividades'!X$3&gt;='Gastos Gerais'!$D$4:$D$3632),-('Gastos das Atividades'!X$3&lt;='Gastos Gerais'!$E$4:$E$3632),-('Gastos Gerais'!$C$4:$C$3632)))</f>
        <v>177409.50033333001</v>
      </c>
      <c r="Y4" s="134">
        <f>IF($B4="",0,SUMPRODUCT(-('Gastos Gerais'!$F$4:$F$3632='Gastos das Atividades'!$B4),-('Gastos das Atividades'!Y$3&gt;='Gastos Gerais'!$D$4:$D$3632),-('Gastos das Atividades'!Y$3&lt;='Gastos Gerais'!$E$4:$E$3632),-('Gastos Gerais'!$C$4:$C$3632)))</f>
        <v>177409.50033333001</v>
      </c>
      <c r="Z4" s="134">
        <f>IF($B4="",0,SUMPRODUCT(-('Gastos Gerais'!$F$4:$F$3632='Gastos das Atividades'!$B4),-('Gastos das Atividades'!Z$3&gt;='Gastos Gerais'!$D$4:$D$3632),-('Gastos das Atividades'!Z$3&lt;='Gastos Gerais'!$E$4:$E$3632),-('Gastos Gerais'!$C$4:$C$3632)))</f>
        <v>177409.50033333001</v>
      </c>
      <c r="AA4" s="134">
        <f>IF($B4="",0,SUMPRODUCT(-('Gastos Gerais'!$F$4:$F$3632='Gastos das Atividades'!$B4),-('Gastos das Atividades'!AA$3&gt;='Gastos Gerais'!$D$4:$D$3632),-('Gastos das Atividades'!AA$3&lt;='Gastos Gerais'!$E$4:$E$3632),-('Gastos Gerais'!$C$4:$C$3632)))</f>
        <v>181463.00033333001</v>
      </c>
      <c r="AB4" s="134">
        <f>IF($B4="",0,SUMPRODUCT(-('Gastos Gerais'!$F$4:$F$3632='Gastos das Atividades'!$B4),-('Gastos das Atividades'!AB$3&gt;='Gastos Gerais'!$D$4:$D$3632),-('Gastos das Atividades'!AB$3&lt;='Gastos Gerais'!$E$4:$E$3632),-('Gastos Gerais'!$C$4:$C$3632)))</f>
        <v>181780.52033333</v>
      </c>
      <c r="AC4" s="134">
        <f>IF($B4="",0,SUMPRODUCT(-('Gastos Gerais'!$F$4:$F$3632='Gastos das Atividades'!$B4),-('Gastos das Atividades'!AC$3&gt;='Gastos Gerais'!$D$4:$D$3632),-('Gastos das Atividades'!AC$3&lt;='Gastos Gerais'!$E$4:$E$3632),-('Gastos Gerais'!$C$4:$C$3632)))</f>
        <v>194645.8649999967</v>
      </c>
      <c r="AD4" s="134">
        <f>IF($B4="",0,SUMPRODUCT(-('Gastos Gerais'!$F$4:$F$3632='Gastos das Atividades'!$B4),-('Gastos das Atividades'!AD$3&gt;='Gastos Gerais'!$D$4:$D$3632),-('Gastos das Atividades'!AD$3&lt;='Gastos Gerais'!$E$4:$E$3632),-('Gastos Gerais'!$C$4:$C$3632)))</f>
        <v>200739.2049999967</v>
      </c>
      <c r="AE4" s="134">
        <f>IF($B4="",0,SUMPRODUCT(-('Gastos Gerais'!$F$4:$F$3632='Gastos das Atividades'!$B4),-('Gastos das Atividades'!AE$3&gt;='Gastos Gerais'!$D$4:$D$3632),-('Gastos das Atividades'!AE$3&lt;='Gastos Gerais'!$E$4:$E$3632),-('Gastos Gerais'!$C$4:$C$3632)))</f>
        <v>207349.91499999669</v>
      </c>
      <c r="AF4" s="134">
        <f>IF($B4="",0,SUMPRODUCT(-('Gastos Gerais'!$F$4:$F$3632='Gastos das Atividades'!$B4),-('Gastos das Atividades'!AF$3&gt;='Gastos Gerais'!$D$4:$D$3632),-('Gastos das Atividades'!AF$3&lt;='Gastos Gerais'!$E$4:$E$3632),-('Gastos Gerais'!$C$4:$C$3632)))</f>
        <v>202956.57499999669</v>
      </c>
      <c r="AG4" s="134">
        <f>IF($B4="",0,SUMPRODUCT(-('Gastos Gerais'!$F$4:$F$3632='Gastos das Atividades'!$B4),-('Gastos das Atividades'!AG$3&gt;='Gastos Gerais'!$D$4:$D$3632),-('Gastos das Atividades'!AG$3&lt;='Gastos Gerais'!$E$4:$E$3632),-('Gastos Gerais'!$C$4:$C$3632)))</f>
        <v>210116.0824999967</v>
      </c>
      <c r="AH4" s="134">
        <f>IF($B4="",0,SUMPRODUCT(-('Gastos Gerais'!$F$4:$F$3632='Gastos das Atividades'!$B4),-('Gastos das Atividades'!AH$3&gt;='Gastos Gerais'!$D$4:$D$3632),-('Gastos das Atividades'!AH$3&lt;='Gastos Gerais'!$E$4:$E$3632),-('Gastos Gerais'!$C$4:$C$3632)))</f>
        <v>210416.0824999967</v>
      </c>
      <c r="AI4" s="134">
        <f>IF($B4="",0,SUMPRODUCT(-('Gastos Gerais'!$F$4:$F$3632='Gastos das Atividades'!$B4),-('Gastos das Atividades'!AI$3&gt;='Gastos Gerais'!$D$4:$D$3632),-('Gastos das Atividades'!AI$3&lt;='Gastos Gerais'!$E$4:$E$3632),-('Gastos Gerais'!$C$4:$C$3632)))</f>
        <v>210416.0824999967</v>
      </c>
      <c r="AJ4" s="134">
        <f>IF($B4="",0,SUMPRODUCT(-('Gastos Gerais'!$F$4:$F$3632='Gastos das Atividades'!$B4),-('Gastos das Atividades'!AJ$3&gt;='Gastos Gerais'!$D$4:$D$3632),-('Gastos das Atividades'!AJ$3&lt;='Gastos Gerais'!$E$4:$E$3632),-('Gastos Gerais'!$C$4:$C$3632)))</f>
        <v>210416.0824999967</v>
      </c>
      <c r="AK4" s="134">
        <f>IF($B4="",0,SUMPRODUCT(-('Gastos Gerais'!$F$4:$F$3632='Gastos das Atividades'!$B4),-('Gastos das Atividades'!AK$3&gt;='Gastos Gerais'!$D$4:$D$3632),-('Gastos das Atividades'!AK$3&lt;='Gastos Gerais'!$E$4:$E$3632),-('Gastos Gerais'!$C$4:$C$3632)))</f>
        <v>210416.0824999967</v>
      </c>
      <c r="AL4" s="134">
        <f>IF($B4="",0,SUMPRODUCT(-('Gastos Gerais'!$F$4:$F$3632='Gastos das Atividades'!$B4),-('Gastos das Atividades'!AL$3&gt;='Gastos Gerais'!$D$4:$D$3632),-('Gastos das Atividades'!AL$3&lt;='Gastos Gerais'!$E$4:$E$3632),-('Gastos Gerais'!$C$4:$C$3632)))</f>
        <v>210416.0824999967</v>
      </c>
      <c r="AM4" s="134">
        <f>IF($B4="",0,SUMPRODUCT(-('Gastos Gerais'!$F$4:$F$3632='Gastos das Atividades'!$B4),-('Gastos das Atividades'!AM$3&gt;='Gastos Gerais'!$D$4:$D$3632),-('Gastos das Atividades'!AM$3&lt;='Gastos Gerais'!$E$4:$E$3632),-('Gastos Gerais'!$C$4:$C$3632)))</f>
        <v>213558.7024999967</v>
      </c>
      <c r="AN4" s="134">
        <f>IF($B4="",0,SUMPRODUCT(-('Gastos Gerais'!$F$4:$F$3632='Gastos das Atividades'!$B4),-('Gastos das Atividades'!AN$3&gt;='Gastos Gerais'!$D$4:$D$3632),-('Gastos das Atividades'!AN$3&lt;='Gastos Gerais'!$E$4:$E$3632),-('Gastos Gerais'!$C$4:$C$3632)))</f>
        <v>213894.76249999669</v>
      </c>
      <c r="AO4" s="134">
        <f>IF($B4="",0,SUMPRODUCT(-('Gastos Gerais'!$F$4:$F$3632='Gastos das Atividades'!$B4),-('Gastos das Atividades'!AO$3&gt;='Gastos Gerais'!$D$4:$D$3632),-('Gastos das Atividades'!AO$3&lt;='Gastos Gerais'!$E$4:$E$3632),-('Gastos Gerais'!$C$4:$C$3632)))</f>
        <v>155560.6449999967</v>
      </c>
      <c r="AP4" s="134">
        <f>IF($B4="",0,SUMPRODUCT(-('Gastos Gerais'!$F$4:$F$3632='Gastos das Atividades'!$B4),-('Gastos das Atividades'!AP$3&gt;='Gastos Gerais'!$D$4:$D$3632),-('Gastos das Atividades'!AP$3&lt;='Gastos Gerais'!$E$4:$E$3632),-('Gastos Gerais'!$C$4:$C$3632)))</f>
        <v>160210.55499999673</v>
      </c>
      <c r="AQ4" s="134">
        <f>IF($B4="",0,SUMPRODUCT(-('Gastos Gerais'!$F$4:$F$3632='Gastos das Atividades'!$B4),-('Gastos das Atividades'!AQ$3&gt;='Gastos Gerais'!$D$4:$D$3632),-('Gastos das Atividades'!AQ$3&lt;='Gastos Gerais'!$E$4:$E$3632),-('Gastos Gerais'!$C$4:$C$3632)))</f>
        <v>211619.47499999669</v>
      </c>
      <c r="AR4" s="134">
        <f>IF($B4="",0,SUMPRODUCT(-('Gastos Gerais'!$F$4:$F$3632='Gastos das Atividades'!$B4),-('Gastos das Atividades'!AR$3&gt;='Gastos Gerais'!$D$4:$D$3632),-('Gastos das Atividades'!AR$3&lt;='Gastos Gerais'!$E$4:$E$3632),-('Gastos Gerais'!$C$4:$C$3632)))</f>
        <v>211619.47499999669</v>
      </c>
      <c r="AS4" s="134">
        <f>IF($B4="",0,SUMPRODUCT(-('Gastos Gerais'!$F$4:$F$3632='Gastos das Atividades'!$B4),-('Gastos das Atividades'!AS$3&gt;='Gastos Gerais'!$D$4:$D$3632),-('Gastos das Atividades'!AS$3&lt;='Gastos Gerais'!$E$4:$E$3632),-('Gastos Gerais'!$C$4:$C$3632)))</f>
        <v>208846.95499999673</v>
      </c>
      <c r="AT4" s="134">
        <f>IF($B4="",0,SUMPRODUCT(-('Gastos Gerais'!$F$4:$F$3632='Gastos das Atividades'!$B4),-('Gastos das Atividades'!AT$3&gt;='Gastos Gerais'!$D$4:$D$3632),-('Gastos das Atividades'!AT$3&lt;='Gastos Gerais'!$E$4:$E$3632),-('Gastos Gerais'!$C$4:$C$3632)))</f>
        <v>209146.95499999673</v>
      </c>
      <c r="AU4" s="134">
        <f>IF($B4="",0,SUMPRODUCT(-('Gastos Gerais'!$F$4:$F$3632='Gastos das Atividades'!$B4),-('Gastos das Atividades'!AU$3&gt;='Gastos Gerais'!$D$4:$D$3632),-('Gastos das Atividades'!AU$3&lt;='Gastos Gerais'!$E$4:$E$3632),-('Gastos Gerais'!$C$4:$C$3632)))</f>
        <v>209146.95499999673</v>
      </c>
      <c r="AV4" s="134">
        <f>IF($B4="",0,SUMPRODUCT(-('Gastos Gerais'!$F$4:$F$3632='Gastos das Atividades'!$B4),-('Gastos das Atividades'!AV$3&gt;='Gastos Gerais'!$D$4:$D$3632),-('Gastos das Atividades'!AV$3&lt;='Gastos Gerais'!$E$4:$E$3632),-('Gastos Gerais'!$C$4:$C$3632)))</f>
        <v>209146.95499999673</v>
      </c>
      <c r="AW4" s="134">
        <f>IF($B4="",0,SUMPRODUCT(-('Gastos Gerais'!$F$4:$F$3632='Gastos das Atividades'!$B4),-('Gastos das Atividades'!AW$3&gt;='Gastos Gerais'!$D$4:$D$3632),-('Gastos das Atividades'!AW$3&lt;='Gastos Gerais'!$E$4:$E$3632),-('Gastos Gerais'!$C$4:$C$3632)))</f>
        <v>209496.95499999673</v>
      </c>
      <c r="AX4" s="134">
        <f>IF($B4="",0,SUMPRODUCT(-('Gastos Gerais'!$F$4:$F$3632='Gastos das Atividades'!$B4),-('Gastos das Atividades'!AX$3&gt;='Gastos Gerais'!$D$4:$D$3632),-('Gastos das Atividades'!AX$3&lt;='Gastos Gerais'!$E$4:$E$3632),-('Gastos Gerais'!$C$4:$C$3632)))</f>
        <v>209496.95499999673</v>
      </c>
      <c r="AY4" s="134">
        <f>IF($B4="",0,SUMPRODUCT(-('Gastos Gerais'!$F$4:$F$3632='Gastos das Atividades'!$B4),-('Gastos das Atividades'!AY$3&gt;='Gastos Gerais'!$D$4:$D$3632),-('Gastos das Atividades'!AY$3&lt;='Gastos Gerais'!$E$4:$E$3632),-('Gastos Gerais'!$C$4:$C$3632)))</f>
        <v>214531.5149999967</v>
      </c>
      <c r="AZ4" s="134">
        <f>IF($B4="",0,SUMPRODUCT(-('Gastos Gerais'!$F$4:$F$3632='Gastos das Atividades'!$B4),-('Gastos das Atividades'!AZ$3&gt;='Gastos Gerais'!$D$4:$D$3632),-('Gastos das Atividades'!AZ$3&lt;='Gastos Gerais'!$E$4:$E$3632),-('Gastos Gerais'!$C$4:$C$3632)))</f>
        <v>214887.2049999967</v>
      </c>
      <c r="BA4" s="134">
        <f>IF($B4="",0,SUMPRODUCT(-('Gastos Gerais'!$F$4:$F$3632='Gastos das Atividades'!$B4),-('Gastos das Atividades'!BA$3&gt;='Gastos Gerais'!$D$4:$D$3632),-('Gastos das Atividades'!BA$3&lt;='Gastos Gerais'!$E$4:$E$3632),-('Gastos Gerais'!$C$4:$C$3632)))</f>
        <v>165563.97499999672</v>
      </c>
      <c r="BB4" s="134">
        <f>IF($B4="",0,SUMPRODUCT(-('Gastos Gerais'!$F$4:$F$3632='Gastos das Atividades'!$B4),-('Gastos das Atividades'!BB$3&gt;='Gastos Gerais'!$D$4:$D$3632),-('Gastos das Atividades'!BB$3&lt;='Gastos Gerais'!$E$4:$E$3632),-('Gastos Gerais'!$C$4:$C$3632)))</f>
        <v>170485.44499999669</v>
      </c>
      <c r="BC4" s="134">
        <f>IF($B4="",0,SUMPRODUCT(-('Gastos Gerais'!$F$4:$F$3632='Gastos das Atividades'!$B4),-('Gastos das Atividades'!BC$3&gt;='Gastos Gerais'!$D$4:$D$3632),-('Gastos das Atividades'!BC$3&lt;='Gastos Gerais'!$E$4:$E$3632),-('Gastos Gerais'!$C$4:$C$3632)))</f>
        <v>224986.3349999967</v>
      </c>
      <c r="BD4" s="134">
        <f>IF($B4="",0,SUMPRODUCT(-('Gastos Gerais'!$F$4:$F$3632='Gastos das Atividades'!$B4),-('Gastos das Atividades'!BD$3&gt;='Gastos Gerais'!$D$4:$D$3632),-('Gastos das Atividades'!BD$3&lt;='Gastos Gerais'!$E$4:$E$3632),-('Gastos Gerais'!$C$4:$C$3632)))</f>
        <v>224986.3349999967</v>
      </c>
      <c r="BE4" s="134">
        <f>IF($B4="",0,SUMPRODUCT(-('Gastos Gerais'!$F$4:$F$3632='Gastos das Atividades'!$B4),-('Gastos das Atividades'!BE$3&gt;='Gastos Gerais'!$D$4:$D$3632),-('Gastos das Atividades'!BE$3&lt;='Gastos Gerais'!$E$4:$E$3632),-('Gastos Gerais'!$C$4:$C$3632)))</f>
        <v>222051.90499999671</v>
      </c>
      <c r="BF4" s="134">
        <f>IF($B4="",0,SUMPRODUCT(-('Gastos Gerais'!$F$4:$F$3632='Gastos das Atividades'!$B4),-('Gastos das Atividades'!BF$3&gt;='Gastos Gerais'!$D$4:$D$3632),-('Gastos das Atividades'!BF$3&lt;='Gastos Gerais'!$E$4:$E$3632),-('Gastos Gerais'!$C$4:$C$3632)))</f>
        <v>222351.90499999671</v>
      </c>
      <c r="BG4" s="134">
        <f>IF($B4="",0,SUMPRODUCT(-('Gastos Gerais'!$F$4:$F$3632='Gastos das Atividades'!$B4),-('Gastos das Atividades'!BG$3&gt;='Gastos Gerais'!$D$4:$D$3632),-('Gastos das Atividades'!BG$3&lt;='Gastos Gerais'!$E$4:$E$3632),-('Gastos Gerais'!$C$4:$C$3632)))</f>
        <v>222351.90499999671</v>
      </c>
      <c r="BH4" s="134">
        <f>IF($B4="",0,SUMPRODUCT(-('Gastos Gerais'!$F$4:$F$3632='Gastos das Atividades'!$B4),-('Gastos das Atividades'!BH$3&gt;='Gastos Gerais'!$D$4:$D$3632),-('Gastos das Atividades'!BH$3&lt;='Gastos Gerais'!$E$4:$E$3632),-('Gastos Gerais'!$C$4:$C$3632)))</f>
        <v>222351.90499999671</v>
      </c>
      <c r="BI4" s="134">
        <f>IF($B4="",0,SUMPRODUCT(-('Gastos Gerais'!$F$4:$F$3632='Gastos das Atividades'!$B4),-('Gastos das Atividades'!BI$3&gt;='Gastos Gerais'!$D$4:$D$3632),-('Gastos das Atividades'!BI$3&lt;='Gastos Gerais'!$E$4:$E$3632),-('Gastos Gerais'!$C$4:$C$3632)))</f>
        <v>222351.90499999671</v>
      </c>
      <c r="BJ4" s="134">
        <f>IF($B4="",0,SUMPRODUCT(-('Gastos Gerais'!$F$4:$F$3632='Gastos das Atividades'!$B4),-('Gastos das Atividades'!BJ$3&gt;='Gastos Gerais'!$D$4:$D$3632),-('Gastos das Atividades'!BJ$3&lt;='Gastos Gerais'!$E$4:$E$3632),-('Gastos Gerais'!$C$4:$C$3632)))</f>
        <v>222351.90499999671</v>
      </c>
      <c r="BK4" s="134">
        <f>IF($B4="",0,SUMPRODUCT(-('Gastos Gerais'!$F$4:$F$3632='Gastos das Atividades'!$B4),-('Gastos das Atividades'!BK$3&gt;='Gastos Gerais'!$D$4:$D$3632),-('Gastos das Atividades'!BK$3&lt;='Gastos Gerais'!$E$4:$E$3632),-('Gastos Gerais'!$C$4:$C$3632)))</f>
        <v>225094.32499999669</v>
      </c>
      <c r="BL4" s="134">
        <f>IF($B4="",0,SUMPRODUCT(-('Gastos Gerais'!$F$4:$F$3632='Gastos das Atividades'!$B4),-('Gastos das Atividades'!BL$3&gt;='Gastos Gerais'!$D$4:$D$3632),-('Gastos das Atividades'!BL$3&lt;='Gastos Gerais'!$E$4:$E$3632),-('Gastos Gerais'!$C$4:$C$3632)))</f>
        <v>225470.78499999669</v>
      </c>
      <c r="BM4" s="134">
        <f>IF($B4="",0,SUMPRODUCT(-('Gastos Gerais'!$F$4:$F$3632='Gastos das Atividades'!$B4),-('Gastos das Atividades'!BM$3&gt;='Gastos Gerais'!$D$4:$D$3632),-('Gastos das Atividades'!BM$3&lt;='Gastos Gerais'!$E$4:$E$3632),-('Gastos Gerais'!$C$4:$C$3632)))</f>
        <v>172804.87499999668</v>
      </c>
      <c r="BN4" s="134">
        <f>IF($B4="",0,SUMPRODUCT(-('Gastos Gerais'!$F$4:$F$3632='Gastos das Atividades'!$B4),-('Gastos das Atividades'!BN$3&gt;='Gastos Gerais'!$D$4:$D$3632),-('Gastos das Atividades'!BN$3&lt;='Gastos Gerais'!$E$4:$E$3632),-('Gastos Gerais'!$C$4:$C$3632)))</f>
        <v>178013.75499999669</v>
      </c>
      <c r="BO4" s="134">
        <f>IF($B4="",0,SUMPRODUCT(-('Gastos Gerais'!$F$4:$F$3632='Gastos das Atividades'!$B4),-('Gastos das Atividades'!BO$3&gt;='Gastos Gerais'!$D$4:$D$3632),-('Gastos das Atividades'!BO$3&lt;='Gastos Gerais'!$E$4:$E$3632),-('Gastos Gerais'!$C$4:$C$3632)))</f>
        <v>235792.57499999669</v>
      </c>
      <c r="BP4" s="134">
        <f>IF($B4="",0,SUMPRODUCT(-('Gastos Gerais'!$F$4:$F$3632='Gastos das Atividades'!$B4),-('Gastos das Atividades'!BP$3&gt;='Gastos Gerais'!$D$4:$D$3632),-('Gastos das Atividades'!BP$3&lt;='Gastos Gerais'!$E$4:$E$3632),-('Gastos Gerais'!$C$4:$C$3632)))</f>
        <v>235792.57499999669</v>
      </c>
      <c r="BQ4" s="134">
        <f>IF($B4="",0,SUMPRODUCT(-('Gastos Gerais'!$F$4:$F$3632='Gastos das Atividades'!$B4),-('Gastos das Atividades'!BQ$3&gt;='Gastos Gerais'!$D$4:$D$3632),-('Gastos das Atividades'!BQ$3&lt;='Gastos Gerais'!$E$4:$E$3632),-('Gastos Gerais'!$C$4:$C$3632)))</f>
        <v>232686.77499999671</v>
      </c>
      <c r="BR4" s="134">
        <f>IF($B4="",0,SUMPRODUCT(-('Gastos Gerais'!$F$4:$F$3632='Gastos das Atividades'!$B4),-('Gastos das Atividades'!BR$3&gt;='Gastos Gerais'!$D$4:$D$3632),-('Gastos das Atividades'!BR$3&lt;='Gastos Gerais'!$E$4:$E$3632),-('Gastos Gerais'!$C$4:$C$3632)))</f>
        <v>232986.77499999671</v>
      </c>
      <c r="BS4" s="134">
        <f>IF($B4="",0,SUMPRODUCT(-('Gastos Gerais'!$F$4:$F$3632='Gastos das Atividades'!$B4),-('Gastos das Atividades'!BS$3&gt;='Gastos Gerais'!$D$4:$D$3632),-('Gastos das Atividades'!BS$3&lt;='Gastos Gerais'!$E$4:$E$3632),-('Gastos Gerais'!$C$4:$C$3632)))</f>
        <v>232986.77499999671</v>
      </c>
      <c r="BT4" s="134">
        <f>IF($B4="",0,SUMPRODUCT(-('Gastos Gerais'!$F$4:$F$3632='Gastos das Atividades'!$B4),-('Gastos das Atividades'!BT$3&gt;='Gastos Gerais'!$D$4:$D$3632),-('Gastos das Atividades'!BT$3&lt;='Gastos Gerais'!$E$4:$E$3632),-('Gastos Gerais'!$C$4:$C$3632)))</f>
        <v>233986.77499999671</v>
      </c>
      <c r="BU4" s="134">
        <f>IF($B4="",0,SUMPRODUCT(-('Gastos Gerais'!$F$4:$F$3632='Gastos das Atividades'!$B4),-('Gastos das Atividades'!BU$3&gt;='Gastos Gerais'!$D$4:$D$3632),-('Gastos das Atividades'!BU$3&lt;='Gastos Gerais'!$E$4:$E$3632),-('Gastos Gerais'!$C$4:$C$3632)))</f>
        <v>233986.77499999671</v>
      </c>
      <c r="BV4" s="134">
        <f>IF($B4="",0,SUMPRODUCT(-('Gastos Gerais'!$F$4:$F$3632='Gastos das Atividades'!$B4),-('Gastos das Atividades'!BV$3&gt;='Gastos Gerais'!$D$4:$D$3632),-('Gastos das Atividades'!BV$3&lt;='Gastos Gerais'!$E$4:$E$3632),-('Gastos Gerais'!$C$4:$C$3632)))</f>
        <v>234385.21499999671</v>
      </c>
      <c r="BW4" s="134">
        <f>IF($B4="",0,SUMPRODUCT(-('Gastos Gerais'!$F$4:$F$3632='Gastos das Atividades'!$B4),-('Gastos das Atividades'!BW$3&gt;='Gastos Gerais'!$D$4:$D$3632),-('Gastos das Atividades'!BW$3&lt;='Gastos Gerais'!$E$4:$E$3632),-('Gastos Gerais'!$C$4:$C$3632)))</f>
        <v>234385.21499999671</v>
      </c>
    </row>
    <row r="5" spans="1:76">
      <c r="A5" s="138">
        <v>2</v>
      </c>
      <c r="B5" s="139" t="s">
        <v>629</v>
      </c>
      <c r="C5" s="132">
        <v>0</v>
      </c>
      <c r="D5" s="133">
        <f t="shared" si="0"/>
        <v>74887.329999999987</v>
      </c>
      <c r="E5" s="134">
        <f t="shared" si="1"/>
        <v>1109823.72</v>
      </c>
      <c r="F5" s="134">
        <f t="shared" si="1"/>
        <v>1337251.9300000004</v>
      </c>
      <c r="G5" s="134">
        <f t="shared" si="1"/>
        <v>1253192.0599999998</v>
      </c>
      <c r="H5" s="134">
        <f t="shared" si="1"/>
        <v>1330790.25</v>
      </c>
      <c r="I5" s="135">
        <f t="shared" si="2"/>
        <v>6375822.1499999985</v>
      </c>
      <c r="J5" s="136">
        <f t="shared" si="3"/>
        <v>6.0544062223875309E-4</v>
      </c>
      <c r="K5" s="136">
        <f t="shared" si="4"/>
        <v>8.9725773854152334E-3</v>
      </c>
      <c r="L5" s="136">
        <f t="shared" si="5"/>
        <v>1.0811263274964856E-2</v>
      </c>
      <c r="M5" s="136">
        <f t="shared" si="6"/>
        <v>1.0131665537963028E-2</v>
      </c>
      <c r="N5" s="136">
        <f t="shared" si="7"/>
        <v>1.0759022614763619E-2</v>
      </c>
      <c r="O5" s="137">
        <f t="shared" si="8"/>
        <v>5.1546526358726162E-2</v>
      </c>
      <c r="P5" s="134">
        <f>IF($B5="",0,SUMPRODUCT(-('Gastos Gerais'!$F$4:$F$3632='Gastos das Atividades'!$B5),-('Gastos das Atividades'!P$3&gt;='Gastos Gerais'!$D$4:$D$3632),-('Gastos das Atividades'!P$3&lt;='Gastos Gerais'!$E$4:$E$3632),-('Gastos Gerais'!$C$4:$C$3632)))</f>
        <v>74887.329999999987</v>
      </c>
      <c r="Q5" s="134">
        <f>IF($B5="",0,SUMPRODUCT(-('Gastos Gerais'!$F$4:$F$3632='Gastos das Atividades'!$B5),-('Gastos das Atividades'!Q$3&gt;='Gastos Gerais'!$D$4:$D$3632),-('Gastos das Atividades'!Q$3&lt;='Gastos Gerais'!$E$4:$E$3632),-('Gastos Gerais'!$C$4:$C$3632)))</f>
        <v>97805.389999999985</v>
      </c>
      <c r="R5" s="134">
        <f>IF($B5="",0,SUMPRODUCT(-('Gastos Gerais'!$F$4:$F$3632='Gastos das Atividades'!$B5),-('Gastos das Atividades'!R$3&gt;='Gastos Gerais'!$D$4:$D$3632),-('Gastos das Atividades'!R$3&lt;='Gastos Gerais'!$E$4:$E$3632),-('Gastos Gerais'!$C$4:$C$3632)))</f>
        <v>95245.389999999985</v>
      </c>
      <c r="S5" s="134">
        <f>IF($B5="",0,SUMPRODUCT(-('Gastos Gerais'!$F$4:$F$3632='Gastos das Atividades'!$B5),-('Gastos das Atividades'!S$3&gt;='Gastos Gerais'!$D$4:$D$3632),-('Gastos das Atividades'!S$3&lt;='Gastos Gerais'!$E$4:$E$3632),-('Gastos Gerais'!$C$4:$C$3632)))</f>
        <v>95245.389999999985</v>
      </c>
      <c r="T5" s="134">
        <f>IF($B5="",0,SUMPRODUCT(-('Gastos Gerais'!$F$4:$F$3632='Gastos das Atividades'!$B5),-('Gastos das Atividades'!T$3&gt;='Gastos Gerais'!$D$4:$D$3632),-('Gastos das Atividades'!T$3&lt;='Gastos Gerais'!$E$4:$E$3632),-('Gastos Gerais'!$C$4:$C$3632)))</f>
        <v>95245.389999999985</v>
      </c>
      <c r="U5" s="134">
        <f>IF($B5="",0,SUMPRODUCT(-('Gastos Gerais'!$F$4:$F$3632='Gastos das Atividades'!$B5),-('Gastos das Atividades'!U$3&gt;='Gastos Gerais'!$D$4:$D$3632),-('Gastos das Atividades'!U$3&lt;='Gastos Gerais'!$E$4:$E$3632),-('Gastos Gerais'!$C$4:$C$3632)))</f>
        <v>91442.51999999999</v>
      </c>
      <c r="V5" s="134">
        <f>IF($B5="",0,SUMPRODUCT(-('Gastos Gerais'!$F$4:$F$3632='Gastos das Atividades'!$B5),-('Gastos das Atividades'!V$3&gt;='Gastos Gerais'!$D$4:$D$3632),-('Gastos das Atividades'!V$3&lt;='Gastos Gerais'!$E$4:$E$3632),-('Gastos Gerais'!$C$4:$C$3632)))</f>
        <v>91416.51999999999</v>
      </c>
      <c r="W5" s="134">
        <f>IF($B5="",0,SUMPRODUCT(-('Gastos Gerais'!$F$4:$F$3632='Gastos das Atividades'!$B5),-('Gastos das Atividades'!W$3&gt;='Gastos Gerais'!$D$4:$D$3632),-('Gastos das Atividades'!W$3&lt;='Gastos Gerais'!$E$4:$E$3632),-('Gastos Gerais'!$C$4:$C$3632)))</f>
        <v>90570.51999999999</v>
      </c>
      <c r="X5" s="134">
        <f>IF($B5="",0,SUMPRODUCT(-('Gastos Gerais'!$F$4:$F$3632='Gastos das Atividades'!$B5),-('Gastos das Atividades'!X$3&gt;='Gastos Gerais'!$D$4:$D$3632),-('Gastos das Atividades'!X$3&lt;='Gastos Gerais'!$E$4:$E$3632),-('Gastos Gerais'!$C$4:$C$3632)))</f>
        <v>90570.51999999999</v>
      </c>
      <c r="Y5" s="134">
        <f>IF($B5="",0,SUMPRODUCT(-('Gastos Gerais'!$F$4:$F$3632='Gastos das Atividades'!$B5),-('Gastos das Atividades'!Y$3&gt;='Gastos Gerais'!$D$4:$D$3632),-('Gastos das Atividades'!Y$3&lt;='Gastos Gerais'!$E$4:$E$3632),-('Gastos Gerais'!$C$4:$C$3632)))</f>
        <v>90570.51999999999</v>
      </c>
      <c r="Z5" s="134">
        <f>IF($B5="",0,SUMPRODUCT(-('Gastos Gerais'!$F$4:$F$3632='Gastos das Atividades'!$B5),-('Gastos das Atividades'!Z$3&gt;='Gastos Gerais'!$D$4:$D$3632),-('Gastos das Atividades'!Z$3&lt;='Gastos Gerais'!$E$4:$E$3632),-('Gastos Gerais'!$C$4:$C$3632)))</f>
        <v>90570.51999999999</v>
      </c>
      <c r="AA5" s="134">
        <f>IF($B5="",0,SUMPRODUCT(-('Gastos Gerais'!$F$4:$F$3632='Gastos das Atividades'!$B5),-('Gastos das Atividades'!AA$3&gt;='Gastos Gerais'!$D$4:$D$3632),-('Gastos das Atividades'!AA$3&lt;='Gastos Gerais'!$E$4:$E$3632),-('Gastos Gerais'!$C$4:$C$3632)))</f>
        <v>90570.51999999999</v>
      </c>
      <c r="AB5" s="134">
        <f>IF($B5="",0,SUMPRODUCT(-('Gastos Gerais'!$F$4:$F$3632='Gastos das Atividades'!$B5),-('Gastos das Atividades'!AB$3&gt;='Gastos Gerais'!$D$4:$D$3632),-('Gastos das Atividades'!AB$3&lt;='Gastos Gerais'!$E$4:$E$3632),-('Gastos Gerais'!$C$4:$C$3632)))</f>
        <v>90570.51999999999</v>
      </c>
      <c r="AC5" s="134">
        <f>IF($B5="",0,SUMPRODUCT(-('Gastos Gerais'!$F$4:$F$3632='Gastos das Atividades'!$B5),-('Gastos das Atividades'!AC$3&gt;='Gastos Gerais'!$D$4:$D$3632),-('Gastos das Atividades'!AC$3&lt;='Gastos Gerais'!$E$4:$E$3632),-('Gastos Gerais'!$C$4:$C$3632)))</f>
        <v>109304.58000000002</v>
      </c>
      <c r="AD5" s="134">
        <f>IF($B5="",0,SUMPRODUCT(-('Gastos Gerais'!$F$4:$F$3632='Gastos das Atividades'!$B5),-('Gastos das Atividades'!AD$3&gt;='Gastos Gerais'!$D$4:$D$3632),-('Gastos das Atividades'!AD$3&lt;='Gastos Gerais'!$E$4:$E$3632),-('Gastos Gerais'!$C$4:$C$3632)))</f>
        <v>104253.40000000001</v>
      </c>
      <c r="AE5" s="134">
        <f>IF($B5="",0,SUMPRODUCT(-('Gastos Gerais'!$F$4:$F$3632='Gastos das Atividades'!$B5),-('Gastos das Atividades'!AE$3&gt;='Gastos Gerais'!$D$4:$D$3632),-('Gastos das Atividades'!AE$3&lt;='Gastos Gerais'!$E$4:$E$3632),-('Gastos Gerais'!$C$4:$C$3632)))</f>
        <v>104253.40000000001</v>
      </c>
      <c r="AF5" s="134">
        <f>IF($B5="",0,SUMPRODUCT(-('Gastos Gerais'!$F$4:$F$3632='Gastos das Atividades'!$B5),-('Gastos das Atividades'!AF$3&gt;='Gastos Gerais'!$D$4:$D$3632),-('Gastos das Atividades'!AF$3&lt;='Gastos Gerais'!$E$4:$E$3632),-('Gastos Gerais'!$C$4:$C$3632)))</f>
        <v>184503.40000000002</v>
      </c>
      <c r="AG5" s="134">
        <f>IF($B5="",0,SUMPRODUCT(-('Gastos Gerais'!$F$4:$F$3632='Gastos das Atividades'!$B5),-('Gastos das Atividades'!AG$3&gt;='Gastos Gerais'!$D$4:$D$3632),-('Gastos das Atividades'!AG$3&lt;='Gastos Gerais'!$E$4:$E$3632),-('Gastos Gerais'!$C$4:$C$3632)))</f>
        <v>105024.39374999999</v>
      </c>
      <c r="AH5" s="134">
        <f>IF($B5="",0,SUMPRODUCT(-('Gastos Gerais'!$F$4:$F$3632='Gastos das Atividades'!$B5),-('Gastos das Atividades'!AH$3&gt;='Gastos Gerais'!$D$4:$D$3632),-('Gastos das Atividades'!AH$3&lt;='Gastos Gerais'!$E$4:$E$3632),-('Gastos Gerais'!$C$4:$C$3632)))</f>
        <v>104998.39374999999</v>
      </c>
      <c r="AI5" s="134">
        <f>IF($B5="",0,SUMPRODUCT(-('Gastos Gerais'!$F$4:$F$3632='Gastos das Atividades'!$B5),-('Gastos das Atividades'!AI$3&gt;='Gastos Gerais'!$D$4:$D$3632),-('Gastos das Atividades'!AI$3&lt;='Gastos Gerais'!$E$4:$E$3632),-('Gastos Gerais'!$C$4:$C$3632)))</f>
        <v>104152.39374999999</v>
      </c>
      <c r="AJ5" s="134">
        <f>IF($B5="",0,SUMPRODUCT(-('Gastos Gerais'!$F$4:$F$3632='Gastos das Atividades'!$B5),-('Gastos das Atividades'!AJ$3&gt;='Gastos Gerais'!$D$4:$D$3632),-('Gastos das Atividades'!AJ$3&lt;='Gastos Gerais'!$E$4:$E$3632),-('Gastos Gerais'!$C$4:$C$3632)))</f>
        <v>104152.39374999999</v>
      </c>
      <c r="AK5" s="134">
        <f>IF($B5="",0,SUMPRODUCT(-('Gastos Gerais'!$F$4:$F$3632='Gastos das Atividades'!$B5),-('Gastos das Atividades'!AK$3&gt;='Gastos Gerais'!$D$4:$D$3632),-('Gastos das Atividades'!AK$3&lt;='Gastos Gerais'!$E$4:$E$3632),-('Gastos Gerais'!$C$4:$C$3632)))</f>
        <v>104152.39374999999</v>
      </c>
      <c r="AL5" s="134">
        <f>IF($B5="",0,SUMPRODUCT(-('Gastos Gerais'!$F$4:$F$3632='Gastos das Atividades'!$B5),-('Gastos das Atividades'!AL$3&gt;='Gastos Gerais'!$D$4:$D$3632),-('Gastos das Atividades'!AL$3&lt;='Gastos Gerais'!$E$4:$E$3632),-('Gastos Gerais'!$C$4:$C$3632)))</f>
        <v>104152.39374999999</v>
      </c>
      <c r="AM5" s="134">
        <f>IF($B5="",0,SUMPRODUCT(-('Gastos Gerais'!$F$4:$F$3632='Gastos das Atividades'!$B5),-('Gastos das Atividades'!AM$3&gt;='Gastos Gerais'!$D$4:$D$3632),-('Gastos das Atividades'!AM$3&lt;='Gastos Gerais'!$E$4:$E$3632),-('Gastos Gerais'!$C$4:$C$3632)))</f>
        <v>104152.39374999999</v>
      </c>
      <c r="AN5" s="134">
        <f>IF($B5="",0,SUMPRODUCT(-('Gastos Gerais'!$F$4:$F$3632='Gastos das Atividades'!$B5),-('Gastos das Atividades'!AN$3&gt;='Gastos Gerais'!$D$4:$D$3632),-('Gastos das Atividades'!AN$3&lt;='Gastos Gerais'!$E$4:$E$3632),-('Gastos Gerais'!$C$4:$C$3632)))</f>
        <v>104152.39374999999</v>
      </c>
      <c r="AO5" s="134">
        <f>IF($B5="",0,SUMPRODUCT(-('Gastos Gerais'!$F$4:$F$3632='Gastos das Atividades'!$B5),-('Gastos das Atividades'!AO$3&gt;='Gastos Gerais'!$D$4:$D$3632),-('Gastos das Atividades'!AO$3&lt;='Gastos Gerais'!$E$4:$E$3632),-('Gastos Gerais'!$C$4:$C$3632)))</f>
        <v>112615.46999999999</v>
      </c>
      <c r="AP5" s="134">
        <f>IF($B5="",0,SUMPRODUCT(-('Gastos Gerais'!$F$4:$F$3632='Gastos das Atividades'!$B5),-('Gastos das Atividades'!AP$3&gt;='Gastos Gerais'!$D$4:$D$3632),-('Gastos das Atividades'!AP$3&lt;='Gastos Gerais'!$E$4:$E$3632),-('Gastos Gerais'!$C$4:$C$3632)))</f>
        <v>107264.96999999999</v>
      </c>
      <c r="AQ5" s="134">
        <f>IF($B5="",0,SUMPRODUCT(-('Gastos Gerais'!$F$4:$F$3632='Gastos das Atividades'!$B5),-('Gastos das Atividades'!AQ$3&gt;='Gastos Gerais'!$D$4:$D$3632),-('Gastos das Atividades'!AQ$3&lt;='Gastos Gerais'!$E$4:$E$3632),-('Gastos Gerais'!$C$4:$C$3632)))</f>
        <v>107264.96999999999</v>
      </c>
      <c r="AR5" s="134">
        <f>IF($B5="",0,SUMPRODUCT(-('Gastos Gerais'!$F$4:$F$3632='Gastos das Atividades'!$B5),-('Gastos das Atividades'!AR$3&gt;='Gastos Gerais'!$D$4:$D$3632),-('Gastos das Atividades'!AR$3&lt;='Gastos Gerais'!$E$4:$E$3632),-('Gastos Gerais'!$C$4:$C$3632)))</f>
        <v>107264.96999999999</v>
      </c>
      <c r="AS5" s="134">
        <f>IF($B5="",0,SUMPRODUCT(-('Gastos Gerais'!$F$4:$F$3632='Gastos das Atividades'!$B5),-('Gastos das Atividades'!AS$3&gt;='Gastos Gerais'!$D$4:$D$3632),-('Gastos das Atividades'!AS$3&lt;='Gastos Gerais'!$E$4:$E$3632),-('Gastos Gerais'!$C$4:$C$3632)))</f>
        <v>103004.95999999998</v>
      </c>
      <c r="AT5" s="134">
        <f>IF($B5="",0,SUMPRODUCT(-('Gastos Gerais'!$F$4:$F$3632='Gastos das Atividades'!$B5),-('Gastos das Atividades'!AT$3&gt;='Gastos Gerais'!$D$4:$D$3632),-('Gastos das Atividades'!AT$3&lt;='Gastos Gerais'!$E$4:$E$3632),-('Gastos Gerais'!$C$4:$C$3632)))</f>
        <v>102978.95999999998</v>
      </c>
      <c r="AU5" s="134">
        <f>IF($B5="",0,SUMPRODUCT(-('Gastos Gerais'!$F$4:$F$3632='Gastos das Atividades'!$B5),-('Gastos das Atividades'!AU$3&gt;='Gastos Gerais'!$D$4:$D$3632),-('Gastos das Atividades'!AU$3&lt;='Gastos Gerais'!$E$4:$E$3632),-('Gastos Gerais'!$C$4:$C$3632)))</f>
        <v>102132.95999999999</v>
      </c>
      <c r="AV5" s="134">
        <f>IF($B5="",0,SUMPRODUCT(-('Gastos Gerais'!$F$4:$F$3632='Gastos das Atividades'!$B5),-('Gastos das Atividades'!AV$3&gt;='Gastos Gerais'!$D$4:$D$3632),-('Gastos das Atividades'!AV$3&lt;='Gastos Gerais'!$E$4:$E$3632),-('Gastos Gerais'!$C$4:$C$3632)))</f>
        <v>102132.95999999999</v>
      </c>
      <c r="AW5" s="134">
        <f>IF($B5="",0,SUMPRODUCT(-('Gastos Gerais'!$F$4:$F$3632='Gastos das Atividades'!$B5),-('Gastos das Atividades'!AW$3&gt;='Gastos Gerais'!$D$4:$D$3632),-('Gastos das Atividades'!AW$3&lt;='Gastos Gerais'!$E$4:$E$3632),-('Gastos Gerais'!$C$4:$C$3632)))</f>
        <v>102132.95999999999</v>
      </c>
      <c r="AX5" s="134">
        <f>IF($B5="",0,SUMPRODUCT(-('Gastos Gerais'!$F$4:$F$3632='Gastos das Atividades'!$B5),-('Gastos das Atividades'!AX$3&gt;='Gastos Gerais'!$D$4:$D$3632),-('Gastos das Atividades'!AX$3&lt;='Gastos Gerais'!$E$4:$E$3632),-('Gastos Gerais'!$C$4:$C$3632)))</f>
        <v>102132.95999999999</v>
      </c>
      <c r="AY5" s="134">
        <f>IF($B5="",0,SUMPRODUCT(-('Gastos Gerais'!$F$4:$F$3632='Gastos das Atividades'!$B5),-('Gastos das Atividades'!AY$3&gt;='Gastos Gerais'!$D$4:$D$3632),-('Gastos das Atividades'!AY$3&lt;='Gastos Gerais'!$E$4:$E$3632),-('Gastos Gerais'!$C$4:$C$3632)))</f>
        <v>102132.95999999999</v>
      </c>
      <c r="AZ5" s="134">
        <f>IF($B5="",0,SUMPRODUCT(-('Gastos Gerais'!$F$4:$F$3632='Gastos das Atividades'!$B5),-('Gastos das Atividades'!AZ$3&gt;='Gastos Gerais'!$D$4:$D$3632),-('Gastos das Atividades'!AZ$3&lt;='Gastos Gerais'!$E$4:$E$3632),-('Gastos Gerais'!$C$4:$C$3632)))</f>
        <v>102132.95999999999</v>
      </c>
      <c r="BA5" s="134">
        <f>IF($B5="",0,SUMPRODUCT(-('Gastos Gerais'!$F$4:$F$3632='Gastos das Atividades'!$B5),-('Gastos das Atividades'!BA$3&gt;='Gastos Gerais'!$D$4:$D$3632),-('Gastos das Atividades'!BA$3&lt;='Gastos Gerais'!$E$4:$E$3632),-('Gastos Gerais'!$C$4:$C$3632)))</f>
        <v>118288.40000000001</v>
      </c>
      <c r="BB5" s="134">
        <f>IF($B5="",0,SUMPRODUCT(-('Gastos Gerais'!$F$4:$F$3632='Gastos das Atividades'!$B5),-('Gastos das Atividades'!BB$3&gt;='Gastos Gerais'!$D$4:$D$3632),-('Gastos das Atividades'!BB$3&lt;='Gastos Gerais'!$E$4:$E$3632),-('Gastos Gerais'!$C$4:$C$3632)))</f>
        <v>127620.83000000002</v>
      </c>
      <c r="BC5" s="134">
        <f>IF($B5="",0,SUMPRODUCT(-('Gastos Gerais'!$F$4:$F$3632='Gastos das Atividades'!$B5),-('Gastos das Atividades'!BC$3&gt;='Gastos Gerais'!$D$4:$D$3632),-('Gastos das Atividades'!BC$3&lt;='Gastos Gerais'!$E$4:$E$3632),-('Gastos Gerais'!$C$4:$C$3632)))</f>
        <v>112620.83000000002</v>
      </c>
      <c r="BD5" s="134">
        <f>IF($B5="",0,SUMPRODUCT(-('Gastos Gerais'!$F$4:$F$3632='Gastos das Atividades'!$B5),-('Gastos das Atividades'!BD$3&gt;='Gastos Gerais'!$D$4:$D$3632),-('Gastos das Atividades'!BD$3&lt;='Gastos Gerais'!$E$4:$E$3632),-('Gastos Gerais'!$C$4:$C$3632)))</f>
        <v>112620.83000000002</v>
      </c>
      <c r="BE5" s="134">
        <f>IF($B5="",0,SUMPRODUCT(-('Gastos Gerais'!$F$4:$F$3632='Gastos das Atividades'!$B5),-('Gastos das Atividades'!BE$3&gt;='Gastos Gerais'!$D$4:$D$3632),-('Gastos das Atividades'!BE$3&lt;='Gastos Gerais'!$E$4:$E$3632),-('Gastos Gerais'!$C$4:$C$3632)))</f>
        <v>108112.17000000001</v>
      </c>
      <c r="BF5" s="134">
        <f>IF($B5="",0,SUMPRODUCT(-('Gastos Gerais'!$F$4:$F$3632='Gastos das Atividades'!$B5),-('Gastos das Atividades'!BF$3&gt;='Gastos Gerais'!$D$4:$D$3632),-('Gastos das Atividades'!BF$3&lt;='Gastos Gerais'!$E$4:$E$3632),-('Gastos Gerais'!$C$4:$C$3632)))</f>
        <v>108086.17000000001</v>
      </c>
      <c r="BG5" s="134">
        <f>IF($B5="",0,SUMPRODUCT(-('Gastos Gerais'!$F$4:$F$3632='Gastos das Atividades'!$B5),-('Gastos das Atividades'!BG$3&gt;='Gastos Gerais'!$D$4:$D$3632),-('Gastos das Atividades'!BG$3&lt;='Gastos Gerais'!$E$4:$E$3632),-('Gastos Gerais'!$C$4:$C$3632)))</f>
        <v>107240.17000000001</v>
      </c>
      <c r="BH5" s="134">
        <f>IF($B5="",0,SUMPRODUCT(-('Gastos Gerais'!$F$4:$F$3632='Gastos das Atividades'!$B5),-('Gastos das Atividades'!BH$3&gt;='Gastos Gerais'!$D$4:$D$3632),-('Gastos das Atividades'!BH$3&lt;='Gastos Gerais'!$E$4:$E$3632),-('Gastos Gerais'!$C$4:$C$3632)))</f>
        <v>107240.17000000001</v>
      </c>
      <c r="BI5" s="134">
        <f>IF($B5="",0,SUMPRODUCT(-('Gastos Gerais'!$F$4:$F$3632='Gastos das Atividades'!$B5),-('Gastos das Atividades'!BI$3&gt;='Gastos Gerais'!$D$4:$D$3632),-('Gastos das Atividades'!BI$3&lt;='Gastos Gerais'!$E$4:$E$3632),-('Gastos Gerais'!$C$4:$C$3632)))</f>
        <v>107240.17000000001</v>
      </c>
      <c r="BJ5" s="134">
        <f>IF($B5="",0,SUMPRODUCT(-('Gastos Gerais'!$F$4:$F$3632='Gastos das Atividades'!$B5),-('Gastos das Atividades'!BJ$3&gt;='Gastos Gerais'!$D$4:$D$3632),-('Gastos das Atividades'!BJ$3&lt;='Gastos Gerais'!$E$4:$E$3632),-('Gastos Gerais'!$C$4:$C$3632)))</f>
        <v>107240.17000000001</v>
      </c>
      <c r="BK5" s="134">
        <f>IF($B5="",0,SUMPRODUCT(-('Gastos Gerais'!$F$4:$F$3632='Gastos das Atividades'!$B5),-('Gastos das Atividades'!BK$3&gt;='Gastos Gerais'!$D$4:$D$3632),-('Gastos das Atividades'!BK$3&lt;='Gastos Gerais'!$E$4:$E$3632),-('Gastos Gerais'!$C$4:$C$3632)))</f>
        <v>107240.17000000001</v>
      </c>
      <c r="BL5" s="134">
        <f>IF($B5="",0,SUMPRODUCT(-('Gastos Gerais'!$F$4:$F$3632='Gastos das Atividades'!$B5),-('Gastos das Atividades'!BL$3&gt;='Gastos Gerais'!$D$4:$D$3632),-('Gastos das Atividades'!BL$3&lt;='Gastos Gerais'!$E$4:$E$3632),-('Gastos Gerais'!$C$4:$C$3632)))</f>
        <v>107240.17000000001</v>
      </c>
      <c r="BM5" s="134">
        <f>IF($B5="",0,SUMPRODUCT(-('Gastos Gerais'!$F$4:$F$3632='Gastos das Atividades'!$B5),-('Gastos das Atividades'!BM$3&gt;='Gastos Gerais'!$D$4:$D$3632),-('Gastos das Atividades'!BM$3&lt;='Gastos Gerais'!$E$4:$E$3632),-('Gastos Gerais'!$C$4:$C$3632)))</f>
        <v>124336.09000000001</v>
      </c>
      <c r="BN5" s="134">
        <f>IF($B5="",0,SUMPRODUCT(-('Gastos Gerais'!$F$4:$F$3632='Gastos das Atividades'!$B5),-('Gastos das Atividades'!BN$3&gt;='Gastos Gerais'!$D$4:$D$3632),-('Gastos das Atividades'!BN$3&lt;='Gastos Gerais'!$E$4:$E$3632),-('Gastos Gerais'!$C$4:$C$3632)))</f>
        <v>118332.65000000001</v>
      </c>
      <c r="BO5" s="134">
        <f>IF($B5="",0,SUMPRODUCT(-('Gastos Gerais'!$F$4:$F$3632='Gastos das Atividades'!$B5),-('Gastos das Atividades'!BO$3&gt;='Gastos Gerais'!$D$4:$D$3632),-('Gastos das Atividades'!BO$3&lt;='Gastos Gerais'!$E$4:$E$3632),-('Gastos Gerais'!$C$4:$C$3632)))</f>
        <v>118332.65000000001</v>
      </c>
      <c r="BP5" s="134">
        <f>IF($B5="",0,SUMPRODUCT(-('Gastos Gerais'!$F$4:$F$3632='Gastos das Atividades'!$B5),-('Gastos das Atividades'!BP$3&gt;='Gastos Gerais'!$D$4:$D$3632),-('Gastos das Atividades'!BP$3&lt;='Gastos Gerais'!$E$4:$E$3632),-('Gastos Gerais'!$C$4:$C$3632)))</f>
        <v>118332.65000000001</v>
      </c>
      <c r="BQ5" s="134">
        <f>IF($B5="",0,SUMPRODUCT(-('Gastos Gerais'!$F$4:$F$3632='Gastos das Atividades'!$B5),-('Gastos das Atividades'!BQ$3&gt;='Gastos Gerais'!$D$4:$D$3632),-('Gastos das Atividades'!BQ$3&lt;='Gastos Gerais'!$E$4:$E$3632),-('Gastos Gerais'!$C$4:$C$3632)))</f>
        <v>113561.26000000002</v>
      </c>
      <c r="BR5" s="134">
        <f>IF($B5="",0,SUMPRODUCT(-('Gastos Gerais'!$F$4:$F$3632='Gastos das Atividades'!$B5),-('Gastos das Atividades'!BR$3&gt;='Gastos Gerais'!$D$4:$D$3632),-('Gastos das Atividades'!BR$3&lt;='Gastos Gerais'!$E$4:$E$3632),-('Gastos Gerais'!$C$4:$C$3632)))</f>
        <v>113535.26000000002</v>
      </c>
      <c r="BS5" s="134">
        <f>IF($B5="",0,SUMPRODUCT(-('Gastos Gerais'!$F$4:$F$3632='Gastos das Atividades'!$B5),-('Gastos das Atividades'!BS$3&gt;='Gastos Gerais'!$D$4:$D$3632),-('Gastos das Atividades'!BS$3&lt;='Gastos Gerais'!$E$4:$E$3632),-('Gastos Gerais'!$C$4:$C$3632)))</f>
        <v>112689.26000000002</v>
      </c>
      <c r="BT5" s="134">
        <f>IF($B5="",0,SUMPRODUCT(-('Gastos Gerais'!$F$4:$F$3632='Gastos das Atividades'!$B5),-('Gastos das Atividades'!BT$3&gt;='Gastos Gerais'!$D$4:$D$3632),-('Gastos das Atividades'!BT$3&lt;='Gastos Gerais'!$E$4:$E$3632),-('Gastos Gerais'!$C$4:$C$3632)))</f>
        <v>112689.26000000002</v>
      </c>
      <c r="BU5" s="134">
        <f>IF($B5="",0,SUMPRODUCT(-('Gastos Gerais'!$F$4:$F$3632='Gastos das Atividades'!$B5),-('Gastos das Atividades'!BU$3&gt;='Gastos Gerais'!$D$4:$D$3632),-('Gastos das Atividades'!BU$3&lt;='Gastos Gerais'!$E$4:$E$3632),-('Gastos Gerais'!$C$4:$C$3632)))</f>
        <v>112689.26000000002</v>
      </c>
      <c r="BV5" s="134">
        <f>IF($B5="",0,SUMPRODUCT(-('Gastos Gerais'!$F$4:$F$3632='Gastos das Atividades'!$B5),-('Gastos das Atividades'!BV$3&gt;='Gastos Gerais'!$D$4:$D$3632),-('Gastos das Atividades'!BV$3&lt;='Gastos Gerais'!$E$4:$E$3632),-('Gastos Gerais'!$C$4:$C$3632)))</f>
        <v>112689.26000000002</v>
      </c>
      <c r="BW5" s="134">
        <f>IF($B5="",0,SUMPRODUCT(-('Gastos Gerais'!$F$4:$F$3632='Gastos das Atividades'!$B5),-('Gastos das Atividades'!BW$3&gt;='Gastos Gerais'!$D$4:$D$3632),-('Gastos das Atividades'!BW$3&lt;='Gastos Gerais'!$E$4:$E$3632),-('Gastos Gerais'!$C$4:$C$3632)))</f>
        <v>112689.26000000002</v>
      </c>
    </row>
    <row r="6" spans="1:76">
      <c r="A6" s="138">
        <v>3</v>
      </c>
      <c r="B6" s="139" t="s">
        <v>630</v>
      </c>
      <c r="C6" s="132">
        <v>0</v>
      </c>
      <c r="D6" s="133">
        <f t="shared" si="0"/>
        <v>68058.209999999992</v>
      </c>
      <c r="E6" s="134">
        <f t="shared" si="1"/>
        <v>1260176.8400000001</v>
      </c>
      <c r="F6" s="134">
        <f t="shared" si="1"/>
        <v>1290877.77</v>
      </c>
      <c r="G6" s="134">
        <f t="shared" si="1"/>
        <v>1248511.7399999998</v>
      </c>
      <c r="H6" s="134">
        <f t="shared" si="1"/>
        <v>1322591.4700000002</v>
      </c>
      <c r="I6" s="135">
        <f t="shared" si="2"/>
        <v>6454298.8000000017</v>
      </c>
      <c r="J6" s="136">
        <f t="shared" si="3"/>
        <v>5.5022932465152285E-4</v>
      </c>
      <c r="K6" s="136">
        <f t="shared" si="4"/>
        <v>1.0188135297926441E-2</v>
      </c>
      <c r="L6" s="136">
        <f t="shared" si="5"/>
        <v>1.0436342707143841E-2</v>
      </c>
      <c r="M6" s="136">
        <f t="shared" si="6"/>
        <v>1.0093826615770496E-2</v>
      </c>
      <c r="N6" s="136">
        <f t="shared" si="7"/>
        <v>1.0692738044799666E-2</v>
      </c>
      <c r="O6" s="137">
        <f t="shared" si="8"/>
        <v>5.2180985509656164E-2</v>
      </c>
      <c r="P6" s="134">
        <f>IF($B6="",0,SUMPRODUCT(-('Gastos Gerais'!$F$4:$F$3632='Gastos das Atividades'!$B6),-('Gastos das Atividades'!P$3&gt;='Gastos Gerais'!$D$4:$D$3632),-('Gastos das Atividades'!P$3&lt;='Gastos Gerais'!$E$4:$E$3632),-('Gastos Gerais'!$C$4:$C$3632)))</f>
        <v>68058.209999999992</v>
      </c>
      <c r="Q6" s="134">
        <f>IF($B6="",0,SUMPRODUCT(-('Gastos Gerais'!$F$4:$F$3632='Gastos das Atividades'!$B6),-('Gastos das Atividades'!Q$3&gt;='Gastos Gerais'!$D$4:$D$3632),-('Gastos das Atividades'!Q$3&lt;='Gastos Gerais'!$E$4:$E$3632),-('Gastos Gerais'!$C$4:$C$3632)))</f>
        <v>107940.37</v>
      </c>
      <c r="R6" s="134">
        <f>IF($B6="",0,SUMPRODUCT(-('Gastos Gerais'!$F$4:$F$3632='Gastos das Atividades'!$B6),-('Gastos das Atividades'!R$3&gt;='Gastos Gerais'!$D$4:$D$3632),-('Gastos das Atividades'!R$3&lt;='Gastos Gerais'!$E$4:$E$3632),-('Gastos Gerais'!$C$4:$C$3632)))</f>
        <v>105226.76999999999</v>
      </c>
      <c r="S6" s="134">
        <f>IF($B6="",0,SUMPRODUCT(-('Gastos Gerais'!$F$4:$F$3632='Gastos das Atividades'!$B6),-('Gastos das Atividades'!S$3&gt;='Gastos Gerais'!$D$4:$D$3632),-('Gastos das Atividades'!S$3&lt;='Gastos Gerais'!$E$4:$E$3632),-('Gastos Gerais'!$C$4:$C$3632)))</f>
        <v>105226.76999999999</v>
      </c>
      <c r="T6" s="134">
        <f>IF($B6="",0,SUMPRODUCT(-('Gastos Gerais'!$F$4:$F$3632='Gastos das Atividades'!$B6),-('Gastos das Atividades'!T$3&gt;='Gastos Gerais'!$D$4:$D$3632),-('Gastos das Atividades'!T$3&lt;='Gastos Gerais'!$E$4:$E$3632),-('Gastos Gerais'!$C$4:$C$3632)))</f>
        <v>105226.76999999999</v>
      </c>
      <c r="U6" s="134">
        <f>IF($B6="",0,SUMPRODUCT(-('Gastos Gerais'!$F$4:$F$3632='Gastos das Atividades'!$B6),-('Gastos das Atividades'!U$3&gt;='Gastos Gerais'!$D$4:$D$3632),-('Gastos das Atividades'!U$3&lt;='Gastos Gerais'!$E$4:$E$3632),-('Gastos Gerais'!$C$4:$C$3632)))</f>
        <v>105226.76999999999</v>
      </c>
      <c r="V6" s="134">
        <f>IF($B6="",0,SUMPRODUCT(-('Gastos Gerais'!$F$4:$F$3632='Gastos das Atividades'!$B6),-('Gastos das Atividades'!V$3&gt;='Gastos Gerais'!$D$4:$D$3632),-('Gastos das Atividades'!V$3&lt;='Gastos Gerais'!$E$4:$E$3632),-('Gastos Gerais'!$C$4:$C$3632)))</f>
        <v>105200.76999999999</v>
      </c>
      <c r="W6" s="134">
        <f>IF($B6="",0,SUMPRODUCT(-('Gastos Gerais'!$F$4:$F$3632='Gastos das Atividades'!$B6),-('Gastos das Atividades'!W$3&gt;='Gastos Gerais'!$D$4:$D$3632),-('Gastos das Atividades'!W$3&lt;='Gastos Gerais'!$E$4:$E$3632),-('Gastos Gerais'!$C$4:$C$3632)))</f>
        <v>104354.76999999999</v>
      </c>
      <c r="X6" s="134">
        <f>IF($B6="",0,SUMPRODUCT(-('Gastos Gerais'!$F$4:$F$3632='Gastos das Atividades'!$B6),-('Gastos das Atividades'!X$3&gt;='Gastos Gerais'!$D$4:$D$3632),-('Gastos das Atividades'!X$3&lt;='Gastos Gerais'!$E$4:$E$3632),-('Gastos Gerais'!$C$4:$C$3632)))</f>
        <v>104354.76999999999</v>
      </c>
      <c r="Y6" s="134">
        <f>IF($B6="",0,SUMPRODUCT(-('Gastos Gerais'!$F$4:$F$3632='Gastos das Atividades'!$B6),-('Gastos das Atividades'!Y$3&gt;='Gastos Gerais'!$D$4:$D$3632),-('Gastos das Atividades'!Y$3&lt;='Gastos Gerais'!$E$4:$E$3632),-('Gastos Gerais'!$C$4:$C$3632)))</f>
        <v>104354.76999999999</v>
      </c>
      <c r="Z6" s="134">
        <f>IF($B6="",0,SUMPRODUCT(-('Gastos Gerais'!$F$4:$F$3632='Gastos das Atividades'!$B6),-('Gastos das Atividades'!Z$3&gt;='Gastos Gerais'!$D$4:$D$3632),-('Gastos das Atividades'!Z$3&lt;='Gastos Gerais'!$E$4:$E$3632),-('Gastos Gerais'!$C$4:$C$3632)))</f>
        <v>104354.76999999999</v>
      </c>
      <c r="AA6" s="134">
        <f>IF($B6="",0,SUMPRODUCT(-('Gastos Gerais'!$F$4:$F$3632='Gastos das Atividades'!$B6),-('Gastos das Atividades'!AA$3&gt;='Gastos Gerais'!$D$4:$D$3632),-('Gastos das Atividades'!AA$3&lt;='Gastos Gerais'!$E$4:$E$3632),-('Gastos Gerais'!$C$4:$C$3632)))</f>
        <v>104354.76999999999</v>
      </c>
      <c r="AB6" s="134">
        <f>IF($B6="",0,SUMPRODUCT(-('Gastos Gerais'!$F$4:$F$3632='Gastos das Atividades'!$B6),-('Gastos das Atividades'!AB$3&gt;='Gastos Gerais'!$D$4:$D$3632),-('Gastos das Atividades'!AB$3&lt;='Gastos Gerais'!$E$4:$E$3632),-('Gastos Gerais'!$C$4:$C$3632)))</f>
        <v>104354.76999999999</v>
      </c>
      <c r="AC6" s="134">
        <f>IF($B6="",0,SUMPRODUCT(-('Gastos Gerais'!$F$4:$F$3632='Gastos das Atividades'!$B6),-('Gastos das Atividades'!AC$3&gt;='Gastos Gerais'!$D$4:$D$3632),-('Gastos das Atividades'!AC$3&lt;='Gastos Gerais'!$E$4:$E$3632),-('Gastos Gerais'!$C$4:$C$3632)))</f>
        <v>103895.56000000001</v>
      </c>
      <c r="AD6" s="134">
        <f>IF($B6="",0,SUMPRODUCT(-('Gastos Gerais'!$F$4:$F$3632='Gastos das Atividades'!$B6),-('Gastos das Atividades'!AD$3&gt;='Gastos Gerais'!$D$4:$D$3632),-('Gastos das Atividades'!AD$3&lt;='Gastos Gerais'!$E$4:$E$3632),-('Gastos Gerais'!$C$4:$C$3632)))</f>
        <v>98844.37999999999</v>
      </c>
      <c r="AE6" s="134">
        <f>IF($B6="",0,SUMPRODUCT(-('Gastos Gerais'!$F$4:$F$3632='Gastos das Atividades'!$B6),-('Gastos das Atividades'!AE$3&gt;='Gastos Gerais'!$D$4:$D$3632),-('Gastos das Atividades'!AE$3&lt;='Gastos Gerais'!$E$4:$E$3632),-('Gastos Gerais'!$C$4:$C$3632)))</f>
        <v>98844.37999999999</v>
      </c>
      <c r="AF6" s="134">
        <f>IF($B6="",0,SUMPRODUCT(-('Gastos Gerais'!$F$4:$F$3632='Gastos das Atividades'!$B6),-('Gastos das Atividades'!AF$3&gt;='Gastos Gerais'!$D$4:$D$3632),-('Gastos das Atividades'!AF$3&lt;='Gastos Gerais'!$E$4:$E$3632),-('Gastos Gerais'!$C$4:$C$3632)))</f>
        <v>177823.09999999998</v>
      </c>
      <c r="AG6" s="134">
        <f>IF($B6="",0,SUMPRODUCT(-('Gastos Gerais'!$F$4:$F$3632='Gastos das Atividades'!$B6),-('Gastos das Atividades'!AG$3&gt;='Gastos Gerais'!$D$4:$D$3632),-('Gastos das Atividades'!AG$3&lt;='Gastos Gerais'!$E$4:$E$3632),-('Gastos Gerais'!$C$4:$C$3632)))</f>
        <v>102368.87375</v>
      </c>
      <c r="AH6" s="134">
        <f>IF($B6="",0,SUMPRODUCT(-('Gastos Gerais'!$F$4:$F$3632='Gastos das Atividades'!$B6),-('Gastos das Atividades'!AH$3&gt;='Gastos Gerais'!$D$4:$D$3632),-('Gastos das Atividades'!AH$3&lt;='Gastos Gerais'!$E$4:$E$3632),-('Gastos Gerais'!$C$4:$C$3632)))</f>
        <v>102342.87375</v>
      </c>
      <c r="AI6" s="134">
        <f>IF($B6="",0,SUMPRODUCT(-('Gastos Gerais'!$F$4:$F$3632='Gastos das Atividades'!$B6),-('Gastos das Atividades'!AI$3&gt;='Gastos Gerais'!$D$4:$D$3632),-('Gastos das Atividades'!AI$3&lt;='Gastos Gerais'!$E$4:$E$3632),-('Gastos Gerais'!$C$4:$C$3632)))</f>
        <v>101126.43375</v>
      </c>
      <c r="AJ6" s="134">
        <f>IF($B6="",0,SUMPRODUCT(-('Gastos Gerais'!$F$4:$F$3632='Gastos das Atividades'!$B6),-('Gastos das Atividades'!AJ$3&gt;='Gastos Gerais'!$D$4:$D$3632),-('Gastos das Atividades'!AJ$3&lt;='Gastos Gerais'!$E$4:$E$3632),-('Gastos Gerais'!$C$4:$C$3632)))</f>
        <v>101126.43375</v>
      </c>
      <c r="AK6" s="134">
        <f>IF($B6="",0,SUMPRODUCT(-('Gastos Gerais'!$F$4:$F$3632='Gastos das Atividades'!$B6),-('Gastos das Atividades'!AK$3&gt;='Gastos Gerais'!$D$4:$D$3632),-('Gastos das Atividades'!AK$3&lt;='Gastos Gerais'!$E$4:$E$3632),-('Gastos Gerais'!$C$4:$C$3632)))</f>
        <v>101126.43375</v>
      </c>
      <c r="AL6" s="134">
        <f>IF($B6="",0,SUMPRODUCT(-('Gastos Gerais'!$F$4:$F$3632='Gastos das Atividades'!$B6),-('Gastos das Atividades'!AL$3&gt;='Gastos Gerais'!$D$4:$D$3632),-('Gastos das Atividades'!AL$3&lt;='Gastos Gerais'!$E$4:$E$3632),-('Gastos Gerais'!$C$4:$C$3632)))</f>
        <v>101126.43375</v>
      </c>
      <c r="AM6" s="134">
        <f>IF($B6="",0,SUMPRODUCT(-('Gastos Gerais'!$F$4:$F$3632='Gastos das Atividades'!$B6),-('Gastos das Atividades'!AM$3&gt;='Gastos Gerais'!$D$4:$D$3632),-('Gastos das Atividades'!AM$3&lt;='Gastos Gerais'!$E$4:$E$3632),-('Gastos Gerais'!$C$4:$C$3632)))</f>
        <v>101126.43375</v>
      </c>
      <c r="AN6" s="134">
        <f>IF($B6="",0,SUMPRODUCT(-('Gastos Gerais'!$F$4:$F$3632='Gastos das Atividades'!$B6),-('Gastos das Atividades'!AN$3&gt;='Gastos Gerais'!$D$4:$D$3632),-('Gastos das Atividades'!AN$3&lt;='Gastos Gerais'!$E$4:$E$3632),-('Gastos Gerais'!$C$4:$C$3632)))</f>
        <v>101126.43375</v>
      </c>
      <c r="AO6" s="134">
        <f>IF($B6="",0,SUMPRODUCT(-('Gastos Gerais'!$F$4:$F$3632='Gastos das Atividades'!$B6),-('Gastos das Atividades'!AO$3&gt;='Gastos Gerais'!$D$4:$D$3632),-('Gastos das Atividades'!AO$3&lt;='Gastos Gerais'!$E$4:$E$3632),-('Gastos Gerais'!$C$4:$C$3632)))</f>
        <v>109514.37</v>
      </c>
      <c r="AP6" s="134">
        <f>IF($B6="",0,SUMPRODUCT(-('Gastos Gerais'!$F$4:$F$3632='Gastos das Atividades'!$B6),-('Gastos das Atividades'!AP$3&gt;='Gastos Gerais'!$D$4:$D$3632),-('Gastos das Atividades'!AP$3&lt;='Gastos Gerais'!$E$4:$E$3632),-('Gastos Gerais'!$C$4:$C$3632)))</f>
        <v>105337.95999999999</v>
      </c>
      <c r="AQ6" s="134">
        <f>IF($B6="",0,SUMPRODUCT(-('Gastos Gerais'!$F$4:$F$3632='Gastos das Atividades'!$B6),-('Gastos das Atividades'!AQ$3&gt;='Gastos Gerais'!$D$4:$D$3632),-('Gastos das Atividades'!AQ$3&lt;='Gastos Gerais'!$E$4:$E$3632),-('Gastos Gerais'!$C$4:$C$3632)))</f>
        <v>105337.95999999999</v>
      </c>
      <c r="AR6" s="134">
        <f>IF($B6="",0,SUMPRODUCT(-('Gastos Gerais'!$F$4:$F$3632='Gastos das Atividades'!$B6),-('Gastos das Atividades'!AR$3&gt;='Gastos Gerais'!$D$4:$D$3632),-('Gastos das Atividades'!AR$3&lt;='Gastos Gerais'!$E$4:$E$3632),-('Gastos Gerais'!$C$4:$C$3632)))</f>
        <v>103992.43</v>
      </c>
      <c r="AS6" s="134">
        <f>IF($B6="",0,SUMPRODUCT(-('Gastos Gerais'!$F$4:$F$3632='Gastos das Atividades'!$B6),-('Gastos das Atividades'!AS$3&gt;='Gastos Gerais'!$D$4:$D$3632),-('Gastos das Atividades'!AS$3&lt;='Gastos Gerais'!$E$4:$E$3632),-('Gastos Gerais'!$C$4:$C$3632)))</f>
        <v>103992.43</v>
      </c>
      <c r="AT6" s="134">
        <f>IF($B6="",0,SUMPRODUCT(-('Gastos Gerais'!$F$4:$F$3632='Gastos das Atividades'!$B6),-('Gastos das Atividades'!AT$3&gt;='Gastos Gerais'!$D$4:$D$3632),-('Gastos das Atividades'!AT$3&lt;='Gastos Gerais'!$E$4:$E$3632),-('Gastos Gerais'!$C$4:$C$3632)))</f>
        <v>103966.43</v>
      </c>
      <c r="AU6" s="134">
        <f>IF($B6="",0,SUMPRODUCT(-('Gastos Gerais'!$F$4:$F$3632='Gastos das Atividades'!$B6),-('Gastos das Atividades'!AU$3&gt;='Gastos Gerais'!$D$4:$D$3632),-('Gastos das Atividades'!AU$3&lt;='Gastos Gerais'!$E$4:$E$3632),-('Gastos Gerais'!$C$4:$C$3632)))</f>
        <v>102728.35999999999</v>
      </c>
      <c r="AV6" s="134">
        <f>IF($B6="",0,SUMPRODUCT(-('Gastos Gerais'!$F$4:$F$3632='Gastos das Atividades'!$B6),-('Gastos das Atividades'!AV$3&gt;='Gastos Gerais'!$D$4:$D$3632),-('Gastos das Atividades'!AV$3&lt;='Gastos Gerais'!$E$4:$E$3632),-('Gastos Gerais'!$C$4:$C$3632)))</f>
        <v>102728.35999999999</v>
      </c>
      <c r="AW6" s="134">
        <f>IF($B6="",0,SUMPRODUCT(-('Gastos Gerais'!$F$4:$F$3632='Gastos das Atividades'!$B6),-('Gastos das Atividades'!AW$3&gt;='Gastos Gerais'!$D$4:$D$3632),-('Gastos das Atividades'!AW$3&lt;='Gastos Gerais'!$E$4:$E$3632),-('Gastos Gerais'!$C$4:$C$3632)))</f>
        <v>102728.35999999999</v>
      </c>
      <c r="AX6" s="134">
        <f>IF($B6="",0,SUMPRODUCT(-('Gastos Gerais'!$F$4:$F$3632='Gastos das Atividades'!$B6),-('Gastos das Atividades'!AX$3&gt;='Gastos Gerais'!$D$4:$D$3632),-('Gastos das Atividades'!AX$3&lt;='Gastos Gerais'!$E$4:$E$3632),-('Gastos Gerais'!$C$4:$C$3632)))</f>
        <v>102728.35999999999</v>
      </c>
      <c r="AY6" s="134">
        <f>IF($B6="",0,SUMPRODUCT(-('Gastos Gerais'!$F$4:$F$3632='Gastos das Atividades'!$B6),-('Gastos das Atividades'!AY$3&gt;='Gastos Gerais'!$D$4:$D$3632),-('Gastos das Atividades'!AY$3&lt;='Gastos Gerais'!$E$4:$E$3632),-('Gastos Gerais'!$C$4:$C$3632)))</f>
        <v>102728.35999999999</v>
      </c>
      <c r="AZ6" s="134">
        <f>IF($B6="",0,SUMPRODUCT(-('Gastos Gerais'!$F$4:$F$3632='Gastos das Atividades'!$B6),-('Gastos das Atividades'!AZ$3&gt;='Gastos Gerais'!$D$4:$D$3632),-('Gastos das Atividades'!AZ$3&lt;='Gastos Gerais'!$E$4:$E$3632),-('Gastos Gerais'!$C$4:$C$3632)))</f>
        <v>102728.35999999999</v>
      </c>
      <c r="BA6" s="134">
        <f>IF($B6="",0,SUMPRODUCT(-('Gastos Gerais'!$F$4:$F$3632='Gastos das Atividades'!$B6),-('Gastos das Atividades'!BA$3&gt;='Gastos Gerais'!$D$4:$D$3632),-('Gastos das Atividades'!BA$3&lt;='Gastos Gerais'!$E$4:$E$3632),-('Gastos Gerais'!$C$4:$C$3632)))</f>
        <v>114207.94</v>
      </c>
      <c r="BB6" s="134">
        <f>IF($B6="",0,SUMPRODUCT(-('Gastos Gerais'!$F$4:$F$3632='Gastos das Atividades'!$B6),-('Gastos das Atividades'!BB$3&gt;='Gastos Gerais'!$D$4:$D$3632),-('Gastos das Atividades'!BB$3&lt;='Gastos Gerais'!$E$4:$E$3632),-('Gastos Gerais'!$C$4:$C$3632)))</f>
        <v>125358.94</v>
      </c>
      <c r="BC6" s="134">
        <f>IF($B6="",0,SUMPRODUCT(-('Gastos Gerais'!$F$4:$F$3632='Gastos das Atividades'!$B6),-('Gastos das Atividades'!BC$3&gt;='Gastos Gerais'!$D$4:$D$3632),-('Gastos das Atividades'!BC$3&lt;='Gastos Gerais'!$E$4:$E$3632),-('Gastos Gerais'!$C$4:$C$3632)))</f>
        <v>110358.94</v>
      </c>
      <c r="BD6" s="134">
        <f>IF($B6="",0,SUMPRODUCT(-('Gastos Gerais'!$F$4:$F$3632='Gastos das Atividades'!$B6),-('Gastos das Atividades'!BD$3&gt;='Gastos Gerais'!$D$4:$D$3632),-('Gastos das Atividades'!BD$3&lt;='Gastos Gerais'!$E$4:$E$3632),-('Gastos Gerais'!$C$4:$C$3632)))</f>
        <v>108934.83</v>
      </c>
      <c r="BE6" s="134">
        <f>IF($B6="",0,SUMPRODUCT(-('Gastos Gerais'!$F$4:$F$3632='Gastos das Atividades'!$B6),-('Gastos das Atividades'!BE$3&gt;='Gastos Gerais'!$D$4:$D$3632),-('Gastos das Atividades'!BE$3&lt;='Gastos Gerais'!$E$4:$E$3632),-('Gastos Gerais'!$C$4:$C$3632)))</f>
        <v>108934.83</v>
      </c>
      <c r="BF6" s="134">
        <f>IF($B6="",0,SUMPRODUCT(-('Gastos Gerais'!$F$4:$F$3632='Gastos das Atividades'!$B6),-('Gastos das Atividades'!BF$3&gt;='Gastos Gerais'!$D$4:$D$3632),-('Gastos das Atividades'!BF$3&lt;='Gastos Gerais'!$E$4:$E$3632),-('Gastos Gerais'!$C$4:$C$3632)))</f>
        <v>108908.83</v>
      </c>
      <c r="BG6" s="134">
        <f>IF($B6="",0,SUMPRODUCT(-('Gastos Gerais'!$F$4:$F$3632='Gastos das Atividades'!$B6),-('Gastos das Atividades'!BG$3&gt;='Gastos Gerais'!$D$4:$D$3632),-('Gastos das Atividades'!BG$3&lt;='Gastos Gerais'!$E$4:$E$3632),-('Gastos Gerais'!$C$4:$C$3632)))</f>
        <v>107647.86</v>
      </c>
      <c r="BH6" s="134">
        <f>IF($B6="",0,SUMPRODUCT(-('Gastos Gerais'!$F$4:$F$3632='Gastos das Atividades'!$B6),-('Gastos das Atividades'!BH$3&gt;='Gastos Gerais'!$D$4:$D$3632),-('Gastos das Atividades'!BH$3&lt;='Gastos Gerais'!$E$4:$E$3632),-('Gastos Gerais'!$C$4:$C$3632)))</f>
        <v>107647.86</v>
      </c>
      <c r="BI6" s="134">
        <f>IF($B6="",0,SUMPRODUCT(-('Gastos Gerais'!$F$4:$F$3632='Gastos das Atividades'!$B6),-('Gastos das Atividades'!BI$3&gt;='Gastos Gerais'!$D$4:$D$3632),-('Gastos das Atividades'!BI$3&lt;='Gastos Gerais'!$E$4:$E$3632),-('Gastos Gerais'!$C$4:$C$3632)))</f>
        <v>107647.86</v>
      </c>
      <c r="BJ6" s="134">
        <f>IF($B6="",0,SUMPRODUCT(-('Gastos Gerais'!$F$4:$F$3632='Gastos das Atividades'!$B6),-('Gastos das Atividades'!BJ$3&gt;='Gastos Gerais'!$D$4:$D$3632),-('Gastos das Atividades'!BJ$3&lt;='Gastos Gerais'!$E$4:$E$3632),-('Gastos Gerais'!$C$4:$C$3632)))</f>
        <v>107647.86</v>
      </c>
      <c r="BK6" s="134">
        <f>IF($B6="",0,SUMPRODUCT(-('Gastos Gerais'!$F$4:$F$3632='Gastos das Atividades'!$B6),-('Gastos das Atividades'!BK$3&gt;='Gastos Gerais'!$D$4:$D$3632),-('Gastos das Atividades'!BK$3&lt;='Gastos Gerais'!$E$4:$E$3632),-('Gastos Gerais'!$C$4:$C$3632)))</f>
        <v>107647.86</v>
      </c>
      <c r="BL6" s="134">
        <f>IF($B6="",0,SUMPRODUCT(-('Gastos Gerais'!$F$4:$F$3632='Gastos das Atividades'!$B6),-('Gastos das Atividades'!BL$3&gt;='Gastos Gerais'!$D$4:$D$3632),-('Gastos das Atividades'!BL$3&lt;='Gastos Gerais'!$E$4:$E$3632),-('Gastos Gerais'!$C$4:$C$3632)))</f>
        <v>107647.86</v>
      </c>
      <c r="BM6" s="134">
        <f>IF($B6="",0,SUMPRODUCT(-('Gastos Gerais'!$F$4:$F$3632='Gastos das Atividades'!$B6),-('Gastos das Atividades'!BM$3&gt;='Gastos Gerais'!$D$4:$D$3632),-('Gastos das Atividades'!BM$3&lt;='Gastos Gerais'!$E$4:$E$3632),-('Gastos Gerais'!$C$4:$C$3632)))</f>
        <v>119776.58000000002</v>
      </c>
      <c r="BN6" s="134">
        <f>IF($B6="",0,SUMPRODUCT(-('Gastos Gerais'!$F$4:$F$3632='Gastos das Atividades'!$B6),-('Gastos das Atividades'!BN$3&gt;='Gastos Gerais'!$D$4:$D$3632),-('Gastos das Atividades'!BN$3&lt;='Gastos Gerais'!$E$4:$E$3632),-('Gastos Gerais'!$C$4:$C$3632)))</f>
        <v>116294.64000000001</v>
      </c>
      <c r="BO6" s="134">
        <f>IF($B6="",0,SUMPRODUCT(-('Gastos Gerais'!$F$4:$F$3632='Gastos das Atividades'!$B6),-('Gastos das Atividades'!BO$3&gt;='Gastos Gerais'!$D$4:$D$3632),-('Gastos das Atividades'!BO$3&lt;='Gastos Gerais'!$E$4:$E$3632),-('Gastos Gerais'!$C$4:$C$3632)))</f>
        <v>116294.64000000001</v>
      </c>
      <c r="BP6" s="134">
        <f>IF($B6="",0,SUMPRODUCT(-('Gastos Gerais'!$F$4:$F$3632='Gastos das Atividades'!$B6),-('Gastos das Atividades'!BP$3&gt;='Gastos Gerais'!$D$4:$D$3632),-('Gastos das Atividades'!BP$3&lt;='Gastos Gerais'!$E$4:$E$3632),-('Gastos Gerais'!$C$4:$C$3632)))</f>
        <v>114787.37000000001</v>
      </c>
      <c r="BQ6" s="134">
        <f>IF($B6="",0,SUMPRODUCT(-('Gastos Gerais'!$F$4:$F$3632='Gastos das Atividades'!$B6),-('Gastos das Atividades'!BQ$3&gt;='Gastos Gerais'!$D$4:$D$3632),-('Gastos das Atividades'!BQ$3&lt;='Gastos Gerais'!$E$4:$E$3632),-('Gastos Gerais'!$C$4:$C$3632)))</f>
        <v>114787.37000000001</v>
      </c>
      <c r="BR6" s="134">
        <f>IF($B6="",0,SUMPRODUCT(-('Gastos Gerais'!$F$4:$F$3632='Gastos das Atividades'!$B6),-('Gastos das Atividades'!BR$3&gt;='Gastos Gerais'!$D$4:$D$3632),-('Gastos das Atividades'!BR$3&lt;='Gastos Gerais'!$E$4:$E$3632),-('Gastos Gerais'!$C$4:$C$3632)))</f>
        <v>114761.37000000001</v>
      </c>
      <c r="BS6" s="134">
        <f>IF($B6="",0,SUMPRODUCT(-('Gastos Gerais'!$F$4:$F$3632='Gastos das Atividades'!$B6),-('Gastos das Atividades'!BS$3&gt;='Gastos Gerais'!$D$4:$D$3632),-('Gastos das Atividades'!BS$3&lt;='Gastos Gerais'!$E$4:$E$3632),-('Gastos Gerais'!$C$4:$C$3632)))</f>
        <v>113476.16</v>
      </c>
      <c r="BT6" s="134">
        <f>IF($B6="",0,SUMPRODUCT(-('Gastos Gerais'!$F$4:$F$3632='Gastos das Atividades'!$B6),-('Gastos das Atividades'!BT$3&gt;='Gastos Gerais'!$D$4:$D$3632),-('Gastos das Atividades'!BT$3&lt;='Gastos Gerais'!$E$4:$E$3632),-('Gastos Gerais'!$C$4:$C$3632)))</f>
        <v>113476.16</v>
      </c>
      <c r="BU6" s="134">
        <f>IF($B6="",0,SUMPRODUCT(-('Gastos Gerais'!$F$4:$F$3632='Gastos das Atividades'!$B6),-('Gastos das Atividades'!BU$3&gt;='Gastos Gerais'!$D$4:$D$3632),-('Gastos das Atividades'!BU$3&lt;='Gastos Gerais'!$E$4:$E$3632),-('Gastos Gerais'!$C$4:$C$3632)))</f>
        <v>113476.16</v>
      </c>
      <c r="BV6" s="134">
        <f>IF($B6="",0,SUMPRODUCT(-('Gastos Gerais'!$F$4:$F$3632='Gastos das Atividades'!$B6),-('Gastos das Atividades'!BV$3&gt;='Gastos Gerais'!$D$4:$D$3632),-('Gastos das Atividades'!BV$3&lt;='Gastos Gerais'!$E$4:$E$3632),-('Gastos Gerais'!$C$4:$C$3632)))</f>
        <v>113476.16</v>
      </c>
      <c r="BW6" s="134">
        <f>IF($B6="",0,SUMPRODUCT(-('Gastos Gerais'!$F$4:$F$3632='Gastos das Atividades'!$B6),-('Gastos das Atividades'!BW$3&gt;='Gastos Gerais'!$D$4:$D$3632),-('Gastos das Atividades'!BW$3&lt;='Gastos Gerais'!$E$4:$E$3632),-('Gastos Gerais'!$C$4:$C$3632)))</f>
        <v>113476.16</v>
      </c>
    </row>
    <row r="7" spans="1:76">
      <c r="A7" s="138">
        <v>4</v>
      </c>
      <c r="B7" s="139" t="s">
        <v>631</v>
      </c>
      <c r="C7" s="132">
        <v>0</v>
      </c>
      <c r="D7" s="133">
        <f t="shared" si="0"/>
        <v>70716.03</v>
      </c>
      <c r="E7" s="134">
        <f t="shared" si="1"/>
        <v>1058544.6600000001</v>
      </c>
      <c r="F7" s="134">
        <f t="shared" si="1"/>
        <v>1285521.56</v>
      </c>
      <c r="G7" s="134">
        <f t="shared" si="1"/>
        <v>1202054.51</v>
      </c>
      <c r="H7" s="134">
        <f t="shared" si="1"/>
        <v>1277441.78</v>
      </c>
      <c r="I7" s="135">
        <f t="shared" si="2"/>
        <v>6110757.7299999995</v>
      </c>
      <c r="J7" s="136">
        <f t="shared" si="3"/>
        <v>5.7171696741564076E-4</v>
      </c>
      <c r="K7" s="136">
        <f t="shared" si="4"/>
        <v>8.5580022363984602E-3</v>
      </c>
      <c r="L7" s="136">
        <f t="shared" si="5"/>
        <v>1.0393039425864599E-2</v>
      </c>
      <c r="M7" s="136">
        <f t="shared" si="6"/>
        <v>9.7182344530015903E-3</v>
      </c>
      <c r="N7" s="136">
        <f t="shared" si="7"/>
        <v>1.0327716933651934E-2</v>
      </c>
      <c r="O7" s="137">
        <f t="shared" si="8"/>
        <v>4.9403563492001527E-2</v>
      </c>
      <c r="P7" s="134">
        <f>IF($B7="",0,SUMPRODUCT(-('Gastos Gerais'!$F$4:$F$3632='Gastos das Atividades'!$B7),-('Gastos das Atividades'!P$3&gt;='Gastos Gerais'!$D$4:$D$3632),-('Gastos das Atividades'!P$3&lt;='Gastos Gerais'!$E$4:$E$3632),-('Gastos Gerais'!$C$4:$C$3632)))</f>
        <v>70716.03</v>
      </c>
      <c r="Q7" s="134">
        <f>IF($B7="",0,SUMPRODUCT(-('Gastos Gerais'!$F$4:$F$3632='Gastos das Atividades'!$B7),-('Gastos das Atividades'!Q$3&gt;='Gastos Gerais'!$D$4:$D$3632),-('Gastos das Atividades'!Q$3&lt;='Gastos Gerais'!$E$4:$E$3632),-('Gastos Gerais'!$C$4:$C$3632)))</f>
        <v>91291.26</v>
      </c>
      <c r="R7" s="134">
        <f>IF($B7="",0,SUMPRODUCT(-('Gastos Gerais'!$F$4:$F$3632='Gastos das Atividades'!$B7),-('Gastos das Atividades'!R$3&gt;='Gastos Gerais'!$D$4:$D$3632),-('Gastos das Atividades'!R$3&lt;='Gastos Gerais'!$E$4:$E$3632),-('Gastos Gerais'!$C$4:$C$3632)))</f>
        <v>89641.4</v>
      </c>
      <c r="S7" s="134">
        <f>IF($B7="",0,SUMPRODUCT(-('Gastos Gerais'!$F$4:$F$3632='Gastos das Atividades'!$B7),-('Gastos das Atividades'!S$3&gt;='Gastos Gerais'!$D$4:$D$3632),-('Gastos das Atividades'!S$3&lt;='Gastos Gerais'!$E$4:$E$3632),-('Gastos Gerais'!$C$4:$C$3632)))</f>
        <v>89141.4</v>
      </c>
      <c r="T7" s="134">
        <f>IF($B7="",0,SUMPRODUCT(-('Gastos Gerais'!$F$4:$F$3632='Gastos das Atividades'!$B7),-('Gastos das Atividades'!T$3&gt;='Gastos Gerais'!$D$4:$D$3632),-('Gastos das Atividades'!T$3&lt;='Gastos Gerais'!$E$4:$E$3632),-('Gastos Gerais'!$C$4:$C$3632)))</f>
        <v>89141.4</v>
      </c>
      <c r="U7" s="134">
        <f>IF($B7="",0,SUMPRODUCT(-('Gastos Gerais'!$F$4:$F$3632='Gastos das Atividades'!$B7),-('Gastos das Atividades'!U$3&gt;='Gastos Gerais'!$D$4:$D$3632),-('Gastos das Atividades'!U$3&lt;='Gastos Gerais'!$E$4:$E$3632),-('Gastos Gerais'!$C$4:$C$3632)))</f>
        <v>88073.4</v>
      </c>
      <c r="V7" s="134">
        <f>IF($B7="",0,SUMPRODUCT(-('Gastos Gerais'!$F$4:$F$3632='Gastos das Atividades'!$B7),-('Gastos das Atividades'!V$3&gt;='Gastos Gerais'!$D$4:$D$3632),-('Gastos das Atividades'!V$3&lt;='Gastos Gerais'!$E$4:$E$3632),-('Gastos Gerais'!$C$4:$C$3632)))</f>
        <v>88047.4</v>
      </c>
      <c r="W7" s="134">
        <f>IF($B7="",0,SUMPRODUCT(-('Gastos Gerais'!$F$4:$F$3632='Gastos das Atividades'!$B7),-('Gastos das Atividades'!W$3&gt;='Gastos Gerais'!$D$4:$D$3632),-('Gastos das Atividades'!W$3&lt;='Gastos Gerais'!$E$4:$E$3632),-('Gastos Gerais'!$C$4:$C$3632)))</f>
        <v>87201.4</v>
      </c>
      <c r="X7" s="134">
        <f>IF($B7="",0,SUMPRODUCT(-('Gastos Gerais'!$F$4:$F$3632='Gastos das Atividades'!$B7),-('Gastos das Atividades'!X$3&gt;='Gastos Gerais'!$D$4:$D$3632),-('Gastos das Atividades'!X$3&lt;='Gastos Gerais'!$E$4:$E$3632),-('Gastos Gerais'!$C$4:$C$3632)))</f>
        <v>87201.4</v>
      </c>
      <c r="Y7" s="134">
        <f>IF($B7="",0,SUMPRODUCT(-('Gastos Gerais'!$F$4:$F$3632='Gastos das Atividades'!$B7),-('Gastos das Atividades'!Y$3&gt;='Gastos Gerais'!$D$4:$D$3632),-('Gastos das Atividades'!Y$3&lt;='Gastos Gerais'!$E$4:$E$3632),-('Gastos Gerais'!$C$4:$C$3632)))</f>
        <v>87201.4</v>
      </c>
      <c r="Z7" s="134">
        <f>IF($B7="",0,SUMPRODUCT(-('Gastos Gerais'!$F$4:$F$3632='Gastos das Atividades'!$B7),-('Gastos das Atividades'!Z$3&gt;='Gastos Gerais'!$D$4:$D$3632),-('Gastos das Atividades'!Z$3&lt;='Gastos Gerais'!$E$4:$E$3632),-('Gastos Gerais'!$C$4:$C$3632)))</f>
        <v>87201.4</v>
      </c>
      <c r="AA7" s="134">
        <f>IF($B7="",0,SUMPRODUCT(-('Gastos Gerais'!$F$4:$F$3632='Gastos das Atividades'!$B7),-('Gastos das Atividades'!AA$3&gt;='Gastos Gerais'!$D$4:$D$3632),-('Gastos das Atividades'!AA$3&lt;='Gastos Gerais'!$E$4:$E$3632),-('Gastos Gerais'!$C$4:$C$3632)))</f>
        <v>87201.4</v>
      </c>
      <c r="AB7" s="134">
        <f>IF($B7="",0,SUMPRODUCT(-('Gastos Gerais'!$F$4:$F$3632='Gastos das Atividades'!$B7),-('Gastos das Atividades'!AB$3&gt;='Gastos Gerais'!$D$4:$D$3632),-('Gastos das Atividades'!AB$3&lt;='Gastos Gerais'!$E$4:$E$3632),-('Gastos Gerais'!$C$4:$C$3632)))</f>
        <v>87201.4</v>
      </c>
      <c r="AC7" s="134">
        <f>IF($B7="",0,SUMPRODUCT(-('Gastos Gerais'!$F$4:$F$3632='Gastos das Atividades'!$B7),-('Gastos das Atividades'!AC$3&gt;='Gastos Gerais'!$D$4:$D$3632),-('Gastos das Atividades'!AC$3&lt;='Gastos Gerais'!$E$4:$E$3632),-('Gastos Gerais'!$C$4:$C$3632)))</f>
        <v>101798.77</v>
      </c>
      <c r="AD7" s="134">
        <f>IF($B7="",0,SUMPRODUCT(-('Gastos Gerais'!$F$4:$F$3632='Gastos das Atividades'!$B7),-('Gastos das Atividades'!AD$3&gt;='Gastos Gerais'!$D$4:$D$3632),-('Gastos das Atividades'!AD$3&lt;='Gastos Gerais'!$E$4:$E$3632),-('Gastos Gerais'!$C$4:$C$3632)))</f>
        <v>108127.95999999999</v>
      </c>
      <c r="AE7" s="134">
        <f>IF($B7="",0,SUMPRODUCT(-('Gastos Gerais'!$F$4:$F$3632='Gastos das Atividades'!$B7),-('Gastos das Atividades'!AE$3&gt;='Gastos Gerais'!$D$4:$D$3632),-('Gastos das Atividades'!AE$3&lt;='Gastos Gerais'!$E$4:$E$3632),-('Gastos Gerais'!$C$4:$C$3632)))</f>
        <v>98127.959999999992</v>
      </c>
      <c r="AF7" s="134">
        <f>IF($B7="",0,SUMPRODUCT(-('Gastos Gerais'!$F$4:$F$3632='Gastos das Atividades'!$B7),-('Gastos das Atividades'!AF$3&gt;='Gastos Gerais'!$D$4:$D$3632),-('Gastos das Atividades'!AF$3&lt;='Gastos Gerais'!$E$4:$E$3632),-('Gastos Gerais'!$C$4:$C$3632)))</f>
        <v>168377.96</v>
      </c>
      <c r="AG7" s="134">
        <f>IF($B7="",0,SUMPRODUCT(-('Gastos Gerais'!$F$4:$F$3632='Gastos das Atividades'!$B7),-('Gastos das Atividades'!AG$3&gt;='Gastos Gerais'!$D$4:$D$3632),-('Gastos das Atividades'!AG$3&lt;='Gastos Gerais'!$E$4:$E$3632),-('Gastos Gerais'!$C$4:$C$3632)))</f>
        <v>101793.36374999999</v>
      </c>
      <c r="AH7" s="134">
        <f>IF($B7="",0,SUMPRODUCT(-('Gastos Gerais'!$F$4:$F$3632='Gastos das Atividades'!$B7),-('Gastos das Atividades'!AH$3&gt;='Gastos Gerais'!$D$4:$D$3632),-('Gastos das Atividades'!AH$3&lt;='Gastos Gerais'!$E$4:$E$3632),-('Gastos Gerais'!$C$4:$C$3632)))</f>
        <v>101767.36374999999</v>
      </c>
      <c r="AI7" s="134">
        <f>IF($B7="",0,SUMPRODUCT(-('Gastos Gerais'!$F$4:$F$3632='Gastos das Atividades'!$B7),-('Gastos das Atividades'!AI$3&gt;='Gastos Gerais'!$D$4:$D$3632),-('Gastos das Atividades'!AI$3&lt;='Gastos Gerais'!$E$4:$E$3632),-('Gastos Gerais'!$C$4:$C$3632)))</f>
        <v>100921.36374999999</v>
      </c>
      <c r="AJ7" s="134">
        <f>IF($B7="",0,SUMPRODUCT(-('Gastos Gerais'!$F$4:$F$3632='Gastos das Atividades'!$B7),-('Gastos das Atividades'!AJ$3&gt;='Gastos Gerais'!$D$4:$D$3632),-('Gastos das Atividades'!AJ$3&lt;='Gastos Gerais'!$E$4:$E$3632),-('Gastos Gerais'!$C$4:$C$3632)))</f>
        <v>100921.36374999999</v>
      </c>
      <c r="AK7" s="134">
        <f>IF($B7="",0,SUMPRODUCT(-('Gastos Gerais'!$F$4:$F$3632='Gastos das Atividades'!$B7),-('Gastos das Atividades'!AK$3&gt;='Gastos Gerais'!$D$4:$D$3632),-('Gastos das Atividades'!AK$3&lt;='Gastos Gerais'!$E$4:$E$3632),-('Gastos Gerais'!$C$4:$C$3632)))</f>
        <v>100921.36374999999</v>
      </c>
      <c r="AL7" s="134">
        <f>IF($B7="",0,SUMPRODUCT(-('Gastos Gerais'!$F$4:$F$3632='Gastos das Atividades'!$B7),-('Gastos das Atividades'!AL$3&gt;='Gastos Gerais'!$D$4:$D$3632),-('Gastos das Atividades'!AL$3&lt;='Gastos Gerais'!$E$4:$E$3632),-('Gastos Gerais'!$C$4:$C$3632)))</f>
        <v>100921.36374999999</v>
      </c>
      <c r="AM7" s="134">
        <f>IF($B7="",0,SUMPRODUCT(-('Gastos Gerais'!$F$4:$F$3632='Gastos das Atividades'!$B7),-('Gastos das Atividades'!AM$3&gt;='Gastos Gerais'!$D$4:$D$3632),-('Gastos das Atividades'!AM$3&lt;='Gastos Gerais'!$E$4:$E$3632),-('Gastos Gerais'!$C$4:$C$3632)))</f>
        <v>100921.36374999999</v>
      </c>
      <c r="AN7" s="134">
        <f>IF($B7="",0,SUMPRODUCT(-('Gastos Gerais'!$F$4:$F$3632='Gastos das Atividades'!$B7),-('Gastos das Atividades'!AN$3&gt;='Gastos Gerais'!$D$4:$D$3632),-('Gastos das Atividades'!AN$3&lt;='Gastos Gerais'!$E$4:$E$3632),-('Gastos Gerais'!$C$4:$C$3632)))</f>
        <v>100921.36374999999</v>
      </c>
      <c r="AO7" s="134">
        <f>IF($B7="",0,SUMPRODUCT(-('Gastos Gerais'!$F$4:$F$3632='Gastos das Atividades'!$B7),-('Gastos das Atividades'!AO$3&gt;='Gastos Gerais'!$D$4:$D$3632),-('Gastos das Atividades'!AO$3&lt;='Gastos Gerais'!$E$4:$E$3632),-('Gastos Gerais'!$C$4:$C$3632)))</f>
        <v>104941.61999999998</v>
      </c>
      <c r="AP7" s="134">
        <f>IF($B7="",0,SUMPRODUCT(-('Gastos Gerais'!$F$4:$F$3632='Gastos das Atividades'!$B7),-('Gastos das Atividades'!AP$3&gt;='Gastos Gerais'!$D$4:$D$3632),-('Gastos das Atividades'!AP$3&lt;='Gastos Gerais'!$E$4:$E$3632),-('Gastos Gerais'!$C$4:$C$3632)))</f>
        <v>101085.62999999999</v>
      </c>
      <c r="AQ7" s="134">
        <f>IF($B7="",0,SUMPRODUCT(-('Gastos Gerais'!$F$4:$F$3632='Gastos das Atividades'!$B7),-('Gastos das Atividades'!AQ$3&gt;='Gastos Gerais'!$D$4:$D$3632),-('Gastos das Atividades'!AQ$3&lt;='Gastos Gerais'!$E$4:$E$3632),-('Gastos Gerais'!$C$4:$C$3632)))</f>
        <v>101085.62999999999</v>
      </c>
      <c r="AR7" s="134">
        <f>IF($B7="",0,SUMPRODUCT(-('Gastos Gerais'!$F$4:$F$3632='Gastos das Atividades'!$B7),-('Gastos das Atividades'!AR$3&gt;='Gastos Gerais'!$D$4:$D$3632),-('Gastos das Atividades'!AR$3&lt;='Gastos Gerais'!$E$4:$E$3632),-('Gastos Gerais'!$C$4:$C$3632)))</f>
        <v>101085.62999999999</v>
      </c>
      <c r="AS7" s="134">
        <f>IF($B7="",0,SUMPRODUCT(-('Gastos Gerais'!$F$4:$F$3632='Gastos das Atividades'!$B7),-('Gastos das Atividades'!AS$3&gt;='Gastos Gerais'!$D$4:$D$3632),-('Gastos das Atividades'!AS$3&lt;='Gastos Gerais'!$E$4:$E$3632),-('Gastos Gerais'!$C$4:$C$3632)))</f>
        <v>99889.25</v>
      </c>
      <c r="AT7" s="134">
        <f>IF($B7="",0,SUMPRODUCT(-('Gastos Gerais'!$F$4:$F$3632='Gastos das Atividades'!$B7),-('Gastos das Atividades'!AT$3&gt;='Gastos Gerais'!$D$4:$D$3632),-('Gastos das Atividades'!AT$3&lt;='Gastos Gerais'!$E$4:$E$3632),-('Gastos Gerais'!$C$4:$C$3632)))</f>
        <v>99863.25</v>
      </c>
      <c r="AU7" s="134">
        <f>IF($B7="",0,SUMPRODUCT(-('Gastos Gerais'!$F$4:$F$3632='Gastos das Atividades'!$B7),-('Gastos das Atividades'!AU$3&gt;='Gastos Gerais'!$D$4:$D$3632),-('Gastos das Atividades'!AU$3&lt;='Gastos Gerais'!$E$4:$E$3632),-('Gastos Gerais'!$C$4:$C$3632)))</f>
        <v>99017.25</v>
      </c>
      <c r="AV7" s="134">
        <f>IF($B7="",0,SUMPRODUCT(-('Gastos Gerais'!$F$4:$F$3632='Gastos das Atividades'!$B7),-('Gastos das Atividades'!AV$3&gt;='Gastos Gerais'!$D$4:$D$3632),-('Gastos das Atividades'!AV$3&lt;='Gastos Gerais'!$E$4:$E$3632),-('Gastos Gerais'!$C$4:$C$3632)))</f>
        <v>99017.25</v>
      </c>
      <c r="AW7" s="134">
        <f>IF($B7="",0,SUMPRODUCT(-('Gastos Gerais'!$F$4:$F$3632='Gastos das Atividades'!$B7),-('Gastos das Atividades'!AW$3&gt;='Gastos Gerais'!$D$4:$D$3632),-('Gastos das Atividades'!AW$3&lt;='Gastos Gerais'!$E$4:$E$3632),-('Gastos Gerais'!$C$4:$C$3632)))</f>
        <v>99017.25</v>
      </c>
      <c r="AX7" s="134">
        <f>IF($B7="",0,SUMPRODUCT(-('Gastos Gerais'!$F$4:$F$3632='Gastos das Atividades'!$B7),-('Gastos das Atividades'!AX$3&gt;='Gastos Gerais'!$D$4:$D$3632),-('Gastos das Atividades'!AX$3&lt;='Gastos Gerais'!$E$4:$E$3632),-('Gastos Gerais'!$C$4:$C$3632)))</f>
        <v>99017.25</v>
      </c>
      <c r="AY7" s="134">
        <f>IF($B7="",0,SUMPRODUCT(-('Gastos Gerais'!$F$4:$F$3632='Gastos das Atividades'!$B7),-('Gastos das Atividades'!AY$3&gt;='Gastos Gerais'!$D$4:$D$3632),-('Gastos das Atividades'!AY$3&lt;='Gastos Gerais'!$E$4:$E$3632),-('Gastos Gerais'!$C$4:$C$3632)))</f>
        <v>99017.25</v>
      </c>
      <c r="AZ7" s="134">
        <f>IF($B7="",0,SUMPRODUCT(-('Gastos Gerais'!$F$4:$F$3632='Gastos das Atividades'!$B7),-('Gastos das Atividades'!AZ$3&gt;='Gastos Gerais'!$D$4:$D$3632),-('Gastos das Atividades'!AZ$3&lt;='Gastos Gerais'!$E$4:$E$3632),-('Gastos Gerais'!$C$4:$C$3632)))</f>
        <v>99017.25</v>
      </c>
      <c r="BA7" s="134">
        <f>IF($B7="",0,SUMPRODUCT(-('Gastos Gerais'!$F$4:$F$3632='Gastos das Atividades'!$B7),-('Gastos das Atividades'!BA$3&gt;='Gastos Gerais'!$D$4:$D$3632),-('Gastos das Atividades'!BA$3&lt;='Gastos Gerais'!$E$4:$E$3632),-('Gastos Gerais'!$C$4:$C$3632)))</f>
        <v>110200.13</v>
      </c>
      <c r="BB7" s="134">
        <f>IF($B7="",0,SUMPRODUCT(-('Gastos Gerais'!$F$4:$F$3632='Gastos das Atividades'!$B7),-('Gastos das Atividades'!BB$3&gt;='Gastos Gerais'!$D$4:$D$3632),-('Gastos das Atividades'!BB$3&lt;='Gastos Gerais'!$E$4:$E$3632),-('Gastos Gerais'!$C$4:$C$3632)))</f>
        <v>121148.15000000001</v>
      </c>
      <c r="BC7" s="134">
        <f>IF($B7="",0,SUMPRODUCT(-('Gastos Gerais'!$F$4:$F$3632='Gastos das Atividades'!$B7),-('Gastos das Atividades'!BC$3&gt;='Gastos Gerais'!$D$4:$D$3632),-('Gastos das Atividades'!BC$3&lt;='Gastos Gerais'!$E$4:$E$3632),-('Gastos Gerais'!$C$4:$C$3632)))</f>
        <v>106148.15000000001</v>
      </c>
      <c r="BD7" s="134">
        <f>IF($B7="",0,SUMPRODUCT(-('Gastos Gerais'!$F$4:$F$3632='Gastos das Atividades'!$B7),-('Gastos das Atividades'!BD$3&gt;='Gastos Gerais'!$D$4:$D$3632),-('Gastos das Atividades'!BD$3&lt;='Gastos Gerais'!$E$4:$E$3632),-('Gastos Gerais'!$C$4:$C$3632)))</f>
        <v>106148.15000000001</v>
      </c>
      <c r="BE7" s="134">
        <f>IF($B7="",0,SUMPRODUCT(-('Gastos Gerais'!$F$4:$F$3632='Gastos das Atividades'!$B7),-('Gastos das Atividades'!BE$3&gt;='Gastos Gerais'!$D$4:$D$3632),-('Gastos das Atividades'!BE$3&lt;='Gastos Gerais'!$E$4:$E$3632),-('Gastos Gerais'!$C$4:$C$3632)))</f>
        <v>104881.90000000001</v>
      </c>
      <c r="BF7" s="134">
        <f>IF($B7="",0,SUMPRODUCT(-('Gastos Gerais'!$F$4:$F$3632='Gastos das Atividades'!$B7),-('Gastos das Atividades'!BF$3&gt;='Gastos Gerais'!$D$4:$D$3632),-('Gastos das Atividades'!BF$3&lt;='Gastos Gerais'!$E$4:$E$3632),-('Gastos Gerais'!$C$4:$C$3632)))</f>
        <v>104855.90000000001</v>
      </c>
      <c r="BG7" s="134">
        <f>IF($B7="",0,SUMPRODUCT(-('Gastos Gerais'!$F$4:$F$3632='Gastos das Atividades'!$B7),-('Gastos das Atividades'!BG$3&gt;='Gastos Gerais'!$D$4:$D$3632),-('Gastos das Atividades'!BG$3&lt;='Gastos Gerais'!$E$4:$E$3632),-('Gastos Gerais'!$C$4:$C$3632)))</f>
        <v>104009.90000000001</v>
      </c>
      <c r="BH7" s="134">
        <f>IF($B7="",0,SUMPRODUCT(-('Gastos Gerais'!$F$4:$F$3632='Gastos das Atividades'!$B7),-('Gastos das Atividades'!BH$3&gt;='Gastos Gerais'!$D$4:$D$3632),-('Gastos das Atividades'!BH$3&lt;='Gastos Gerais'!$E$4:$E$3632),-('Gastos Gerais'!$C$4:$C$3632)))</f>
        <v>104009.90000000001</v>
      </c>
      <c r="BI7" s="134">
        <f>IF($B7="",0,SUMPRODUCT(-('Gastos Gerais'!$F$4:$F$3632='Gastos das Atividades'!$B7),-('Gastos das Atividades'!BI$3&gt;='Gastos Gerais'!$D$4:$D$3632),-('Gastos das Atividades'!BI$3&lt;='Gastos Gerais'!$E$4:$E$3632),-('Gastos Gerais'!$C$4:$C$3632)))</f>
        <v>104009.90000000001</v>
      </c>
      <c r="BJ7" s="134">
        <f>IF($B7="",0,SUMPRODUCT(-('Gastos Gerais'!$F$4:$F$3632='Gastos das Atividades'!$B7),-('Gastos das Atividades'!BJ$3&gt;='Gastos Gerais'!$D$4:$D$3632),-('Gastos das Atividades'!BJ$3&lt;='Gastos Gerais'!$E$4:$E$3632),-('Gastos Gerais'!$C$4:$C$3632)))</f>
        <v>104009.90000000001</v>
      </c>
      <c r="BK7" s="134">
        <f>IF($B7="",0,SUMPRODUCT(-('Gastos Gerais'!$F$4:$F$3632='Gastos das Atividades'!$B7),-('Gastos das Atividades'!BK$3&gt;='Gastos Gerais'!$D$4:$D$3632),-('Gastos das Atividades'!BK$3&lt;='Gastos Gerais'!$E$4:$E$3632),-('Gastos Gerais'!$C$4:$C$3632)))</f>
        <v>104009.90000000001</v>
      </c>
      <c r="BL7" s="134">
        <f>IF($B7="",0,SUMPRODUCT(-('Gastos Gerais'!$F$4:$F$3632='Gastos das Atividades'!$B7),-('Gastos das Atividades'!BL$3&gt;='Gastos Gerais'!$D$4:$D$3632),-('Gastos das Atividades'!BL$3&lt;='Gastos Gerais'!$E$4:$E$3632),-('Gastos Gerais'!$C$4:$C$3632)))</f>
        <v>104009.90000000001</v>
      </c>
      <c r="BM7" s="134">
        <f>IF($B7="",0,SUMPRODUCT(-('Gastos Gerais'!$F$4:$F$3632='Gastos das Atividades'!$B7),-('Gastos das Atividades'!BM$3&gt;='Gastos Gerais'!$D$4:$D$3632),-('Gastos das Atividades'!BM$3&lt;='Gastos Gerais'!$E$4:$E$3632),-('Gastos Gerais'!$C$4:$C$3632)))</f>
        <v>115712.79000000002</v>
      </c>
      <c r="BN7" s="134">
        <f>IF($B7="",0,SUMPRODUCT(-('Gastos Gerais'!$F$4:$F$3632='Gastos das Atividades'!$B7),-('Gastos das Atividades'!BN$3&gt;='Gastos Gerais'!$D$4:$D$3632),-('Gastos das Atividades'!BN$3&lt;='Gastos Gerais'!$E$4:$E$3632),-('Gastos Gerais'!$C$4:$C$3632)))</f>
        <v>111453.38000000002</v>
      </c>
      <c r="BO7" s="134">
        <f>IF($B7="",0,SUMPRODUCT(-('Gastos Gerais'!$F$4:$F$3632='Gastos das Atividades'!$B7),-('Gastos das Atividades'!BO$3&gt;='Gastos Gerais'!$D$4:$D$3632),-('Gastos das Atividades'!BO$3&lt;='Gastos Gerais'!$E$4:$E$3632),-('Gastos Gerais'!$C$4:$C$3632)))</f>
        <v>111453.38000000002</v>
      </c>
      <c r="BP7" s="134">
        <f>IF($B7="",0,SUMPRODUCT(-('Gastos Gerais'!$F$4:$F$3632='Gastos das Atividades'!$B7),-('Gastos das Atividades'!BP$3&gt;='Gastos Gerais'!$D$4:$D$3632),-('Gastos das Atividades'!BP$3&lt;='Gastos Gerais'!$E$4:$E$3632),-('Gastos Gerais'!$C$4:$C$3632)))</f>
        <v>111453.38000000002</v>
      </c>
      <c r="BQ7" s="134">
        <f>IF($B7="",0,SUMPRODUCT(-('Gastos Gerais'!$F$4:$F$3632='Gastos das Atividades'!$B7),-('Gastos das Atividades'!BQ$3&gt;='Gastos Gerais'!$D$4:$D$3632),-('Gastos das Atividades'!BQ$3&lt;='Gastos Gerais'!$E$4:$E$3632),-('Gastos Gerais'!$C$4:$C$3632)))</f>
        <v>110113.18000000001</v>
      </c>
      <c r="BR7" s="134">
        <f>IF($B7="",0,SUMPRODUCT(-('Gastos Gerais'!$F$4:$F$3632='Gastos das Atividades'!$B7),-('Gastos das Atividades'!BR$3&gt;='Gastos Gerais'!$D$4:$D$3632),-('Gastos das Atividades'!BR$3&lt;='Gastos Gerais'!$E$4:$E$3632),-('Gastos Gerais'!$C$4:$C$3632)))</f>
        <v>110087.18000000001</v>
      </c>
      <c r="BS7" s="134">
        <f>IF($B7="",0,SUMPRODUCT(-('Gastos Gerais'!$F$4:$F$3632='Gastos das Atividades'!$B7),-('Gastos das Atividades'!BS$3&gt;='Gastos Gerais'!$D$4:$D$3632),-('Gastos das Atividades'!BS$3&lt;='Gastos Gerais'!$E$4:$E$3632),-('Gastos Gerais'!$C$4:$C$3632)))</f>
        <v>109241.18000000001</v>
      </c>
      <c r="BT7" s="134">
        <f>IF($B7="",0,SUMPRODUCT(-('Gastos Gerais'!$F$4:$F$3632='Gastos das Atividades'!$B7),-('Gastos das Atividades'!BT$3&gt;='Gastos Gerais'!$D$4:$D$3632),-('Gastos das Atividades'!BT$3&lt;='Gastos Gerais'!$E$4:$E$3632),-('Gastos Gerais'!$C$4:$C$3632)))</f>
        <v>109241.18000000001</v>
      </c>
      <c r="BU7" s="134">
        <f>IF($B7="",0,SUMPRODUCT(-('Gastos Gerais'!$F$4:$F$3632='Gastos das Atividades'!$B7),-('Gastos das Atividades'!BU$3&gt;='Gastos Gerais'!$D$4:$D$3632),-('Gastos das Atividades'!BU$3&lt;='Gastos Gerais'!$E$4:$E$3632),-('Gastos Gerais'!$C$4:$C$3632)))</f>
        <v>109241.18000000001</v>
      </c>
      <c r="BV7" s="134">
        <f>IF($B7="",0,SUMPRODUCT(-('Gastos Gerais'!$F$4:$F$3632='Gastos das Atividades'!$B7),-('Gastos das Atividades'!BV$3&gt;='Gastos Gerais'!$D$4:$D$3632),-('Gastos das Atividades'!BV$3&lt;='Gastos Gerais'!$E$4:$E$3632),-('Gastos Gerais'!$C$4:$C$3632)))</f>
        <v>109241.18000000001</v>
      </c>
      <c r="BW7" s="134">
        <f>IF($B7="",0,SUMPRODUCT(-('Gastos Gerais'!$F$4:$F$3632='Gastos das Atividades'!$B7),-('Gastos das Atividades'!BW$3&gt;='Gastos Gerais'!$D$4:$D$3632),-('Gastos das Atividades'!BW$3&lt;='Gastos Gerais'!$E$4:$E$3632),-('Gastos Gerais'!$C$4:$C$3632)))</f>
        <v>109241.18000000001</v>
      </c>
    </row>
    <row r="8" spans="1:76">
      <c r="A8" s="138">
        <v>5</v>
      </c>
      <c r="B8" s="139" t="s">
        <v>632</v>
      </c>
      <c r="C8" s="132">
        <v>0</v>
      </c>
      <c r="D8" s="133">
        <f t="shared" si="0"/>
        <v>53950.210000000006</v>
      </c>
      <c r="E8" s="134">
        <f t="shared" si="1"/>
        <v>951753.88000000012</v>
      </c>
      <c r="F8" s="134">
        <f t="shared" si="1"/>
        <v>1113569.5099999998</v>
      </c>
      <c r="G8" s="134">
        <f t="shared" si="1"/>
        <v>1058042.8700000003</v>
      </c>
      <c r="H8" s="134">
        <f t="shared" si="1"/>
        <v>1120657.58</v>
      </c>
      <c r="I8" s="135">
        <f t="shared" si="2"/>
        <v>5367727.379999999</v>
      </c>
      <c r="J8" s="136">
        <f t="shared" si="3"/>
        <v>4.3617056065841059E-4</v>
      </c>
      <c r="K8" s="136">
        <f t="shared" si="4"/>
        <v>7.6946322071483617E-3</v>
      </c>
      <c r="L8" s="136">
        <f t="shared" si="5"/>
        <v>9.0028609250790929E-3</v>
      </c>
      <c r="M8" s="136">
        <f t="shared" si="6"/>
        <v>8.5539454213159477E-3</v>
      </c>
      <c r="N8" s="136">
        <f t="shared" si="7"/>
        <v>9.0601657523612517E-3</v>
      </c>
      <c r="O8" s="137">
        <f t="shared" si="8"/>
        <v>4.3396395691436614E-2</v>
      </c>
      <c r="P8" s="134">
        <f>IF($B8="",0,SUMPRODUCT(-('Gastos Gerais'!$F$4:$F$3632='Gastos das Atividades'!$B8),-('Gastos das Atividades'!P$3&gt;='Gastos Gerais'!$D$4:$D$3632),-('Gastos das Atividades'!P$3&lt;='Gastos Gerais'!$E$4:$E$3632),-('Gastos Gerais'!$C$4:$C$3632)))</f>
        <v>53950.210000000006</v>
      </c>
      <c r="Q8" s="134">
        <f>IF($B8="",0,SUMPRODUCT(-('Gastos Gerais'!$F$4:$F$3632='Gastos das Atividades'!$B8),-('Gastos das Atividades'!Q$3&gt;='Gastos Gerais'!$D$4:$D$3632),-('Gastos das Atividades'!Q$3&lt;='Gastos Gerais'!$E$4:$E$3632),-('Gastos Gerais'!$C$4:$C$3632)))</f>
        <v>81499.17</v>
      </c>
      <c r="R8" s="134">
        <f>IF($B8="",0,SUMPRODUCT(-('Gastos Gerais'!$F$4:$F$3632='Gastos das Atividades'!$B8),-('Gastos das Atividades'!R$3&gt;='Gastos Gerais'!$D$4:$D$3632),-('Gastos das Atividades'!R$3&lt;='Gastos Gerais'!$E$4:$E$3632),-('Gastos Gerais'!$C$4:$C$3632)))</f>
        <v>94321.17</v>
      </c>
      <c r="S8" s="134">
        <f>IF($B8="",0,SUMPRODUCT(-('Gastos Gerais'!$F$4:$F$3632='Gastos das Atividades'!$B8),-('Gastos das Atividades'!S$3&gt;='Gastos Gerais'!$D$4:$D$3632),-('Gastos das Atividades'!S$3&lt;='Gastos Gerais'!$E$4:$E$3632),-('Gastos Gerais'!$C$4:$C$3632)))</f>
        <v>79321.17</v>
      </c>
      <c r="T8" s="134">
        <f>IF($B8="",0,SUMPRODUCT(-('Gastos Gerais'!$F$4:$F$3632='Gastos das Atividades'!$B8),-('Gastos das Atividades'!T$3&gt;='Gastos Gerais'!$D$4:$D$3632),-('Gastos das Atividades'!T$3&lt;='Gastos Gerais'!$E$4:$E$3632),-('Gastos Gerais'!$C$4:$C$3632)))</f>
        <v>79321.17</v>
      </c>
      <c r="U8" s="134">
        <f>IF($B8="",0,SUMPRODUCT(-('Gastos Gerais'!$F$4:$F$3632='Gastos das Atividades'!$B8),-('Gastos das Atividades'!U$3&gt;='Gastos Gerais'!$D$4:$D$3632),-('Gastos das Atividades'!U$3&lt;='Gastos Gerais'!$E$4:$E$3632),-('Gastos Gerais'!$C$4:$C$3632)))</f>
        <v>77584.399999999994</v>
      </c>
      <c r="V8" s="134">
        <f>IF($B8="",0,SUMPRODUCT(-('Gastos Gerais'!$F$4:$F$3632='Gastos das Atividades'!$B8),-('Gastos das Atividades'!V$3&gt;='Gastos Gerais'!$D$4:$D$3632),-('Gastos das Atividades'!V$3&lt;='Gastos Gerais'!$E$4:$E$3632),-('Gastos Gerais'!$C$4:$C$3632)))</f>
        <v>77584.399999999994</v>
      </c>
      <c r="W8" s="134">
        <f>IF($B8="",0,SUMPRODUCT(-('Gastos Gerais'!$F$4:$F$3632='Gastos das Atividades'!$B8),-('Gastos das Atividades'!W$3&gt;='Gastos Gerais'!$D$4:$D$3632),-('Gastos das Atividades'!W$3&lt;='Gastos Gerais'!$E$4:$E$3632),-('Gastos Gerais'!$C$4:$C$3632)))</f>
        <v>76738.399999999994</v>
      </c>
      <c r="X8" s="134">
        <f>IF($B8="",0,SUMPRODUCT(-('Gastos Gerais'!$F$4:$F$3632='Gastos das Atividades'!$B8),-('Gastos das Atividades'!X$3&gt;='Gastos Gerais'!$D$4:$D$3632),-('Gastos das Atividades'!X$3&lt;='Gastos Gerais'!$E$4:$E$3632),-('Gastos Gerais'!$C$4:$C$3632)))</f>
        <v>76738.399999999994</v>
      </c>
      <c r="Y8" s="134">
        <f>IF($B8="",0,SUMPRODUCT(-('Gastos Gerais'!$F$4:$F$3632='Gastos das Atividades'!$B8),-('Gastos das Atividades'!Y$3&gt;='Gastos Gerais'!$D$4:$D$3632),-('Gastos das Atividades'!Y$3&lt;='Gastos Gerais'!$E$4:$E$3632),-('Gastos Gerais'!$C$4:$C$3632)))</f>
        <v>76738.399999999994</v>
      </c>
      <c r="Z8" s="134">
        <f>IF($B8="",0,SUMPRODUCT(-('Gastos Gerais'!$F$4:$F$3632='Gastos das Atividades'!$B8),-('Gastos das Atividades'!Z$3&gt;='Gastos Gerais'!$D$4:$D$3632),-('Gastos das Atividades'!Z$3&lt;='Gastos Gerais'!$E$4:$E$3632),-('Gastos Gerais'!$C$4:$C$3632)))</f>
        <v>76738.399999999994</v>
      </c>
      <c r="AA8" s="134">
        <f>IF($B8="",0,SUMPRODUCT(-('Gastos Gerais'!$F$4:$F$3632='Gastos das Atividades'!$B8),-('Gastos das Atividades'!AA$3&gt;='Gastos Gerais'!$D$4:$D$3632),-('Gastos das Atividades'!AA$3&lt;='Gastos Gerais'!$E$4:$E$3632),-('Gastos Gerais'!$C$4:$C$3632)))</f>
        <v>77584.399999999994</v>
      </c>
      <c r="AB8" s="134">
        <f>IF($B8="",0,SUMPRODUCT(-('Gastos Gerais'!$F$4:$F$3632='Gastos das Atividades'!$B8),-('Gastos das Atividades'!AB$3&gt;='Gastos Gerais'!$D$4:$D$3632),-('Gastos das Atividades'!AB$3&lt;='Gastos Gerais'!$E$4:$E$3632),-('Gastos Gerais'!$C$4:$C$3632)))</f>
        <v>77584.399999999994</v>
      </c>
      <c r="AC8" s="134">
        <f>IF($B8="",0,SUMPRODUCT(-('Gastos Gerais'!$F$4:$F$3632='Gastos das Atividades'!$B8),-('Gastos das Atividades'!AC$3&gt;='Gastos Gerais'!$D$4:$D$3632),-('Gastos das Atividades'!AC$3&lt;='Gastos Gerais'!$E$4:$E$3632),-('Gastos Gerais'!$C$4:$C$3632)))</f>
        <v>88037.46</v>
      </c>
      <c r="AD8" s="134">
        <f>IF($B8="",0,SUMPRODUCT(-('Gastos Gerais'!$F$4:$F$3632='Gastos das Atividades'!$B8),-('Gastos das Atividades'!AD$3&gt;='Gastos Gerais'!$D$4:$D$3632),-('Gastos das Atividades'!AD$3&lt;='Gastos Gerais'!$E$4:$E$3632),-('Gastos Gerais'!$C$4:$C$3632)))</f>
        <v>85436.86</v>
      </c>
      <c r="AE8" s="134">
        <f>IF($B8="",0,SUMPRODUCT(-('Gastos Gerais'!$F$4:$F$3632='Gastos das Atividades'!$B8),-('Gastos das Atividades'!AE$3&gt;='Gastos Gerais'!$D$4:$D$3632),-('Gastos das Atividades'!AE$3&lt;='Gastos Gerais'!$E$4:$E$3632),-('Gastos Gerais'!$C$4:$C$3632)))</f>
        <v>85436.86</v>
      </c>
      <c r="AF8" s="134">
        <f>IF($B8="",0,SUMPRODUCT(-('Gastos Gerais'!$F$4:$F$3632='Gastos das Atividades'!$B8),-('Gastos das Atividades'!AF$3&gt;='Gastos Gerais'!$D$4:$D$3632),-('Gastos das Atividades'!AF$3&lt;='Gastos Gerais'!$E$4:$E$3632),-('Gastos Gerais'!$C$4:$C$3632)))</f>
        <v>155686.85999999999</v>
      </c>
      <c r="AG8" s="134">
        <f>IF($B8="",0,SUMPRODUCT(-('Gastos Gerais'!$F$4:$F$3632='Gastos das Atividades'!$B8),-('Gastos das Atividades'!AG$3&gt;='Gastos Gerais'!$D$4:$D$3632),-('Gastos das Atividades'!AG$3&lt;='Gastos Gerais'!$E$4:$E$3632),-('Gastos Gerais'!$C$4:$C$3632)))</f>
        <v>87794.433749999997</v>
      </c>
      <c r="AH8" s="134">
        <f>IF($B8="",0,SUMPRODUCT(-('Gastos Gerais'!$F$4:$F$3632='Gastos das Atividades'!$B8),-('Gastos das Atividades'!AH$3&gt;='Gastos Gerais'!$D$4:$D$3632),-('Gastos das Atividades'!AH$3&lt;='Gastos Gerais'!$E$4:$E$3632),-('Gastos Gerais'!$C$4:$C$3632)))</f>
        <v>87794.433749999997</v>
      </c>
      <c r="AI8" s="134">
        <f>IF($B8="",0,SUMPRODUCT(-('Gastos Gerais'!$F$4:$F$3632='Gastos das Atividades'!$B8),-('Gastos das Atividades'!AI$3&gt;='Gastos Gerais'!$D$4:$D$3632),-('Gastos das Atividades'!AI$3&lt;='Gastos Gerais'!$E$4:$E$3632),-('Gastos Gerais'!$C$4:$C$3632)))</f>
        <v>86948.433749999997</v>
      </c>
      <c r="AJ8" s="134">
        <f>IF($B8="",0,SUMPRODUCT(-('Gastos Gerais'!$F$4:$F$3632='Gastos das Atividades'!$B8),-('Gastos das Atividades'!AJ$3&gt;='Gastos Gerais'!$D$4:$D$3632),-('Gastos das Atividades'!AJ$3&lt;='Gastos Gerais'!$E$4:$E$3632),-('Gastos Gerais'!$C$4:$C$3632)))</f>
        <v>86948.433749999997</v>
      </c>
      <c r="AK8" s="134">
        <f>IF($B8="",0,SUMPRODUCT(-('Gastos Gerais'!$F$4:$F$3632='Gastos das Atividades'!$B8),-('Gastos das Atividades'!AK$3&gt;='Gastos Gerais'!$D$4:$D$3632),-('Gastos das Atividades'!AK$3&lt;='Gastos Gerais'!$E$4:$E$3632),-('Gastos Gerais'!$C$4:$C$3632)))</f>
        <v>86948.433749999997</v>
      </c>
      <c r="AL8" s="134">
        <f>IF($B8="",0,SUMPRODUCT(-('Gastos Gerais'!$F$4:$F$3632='Gastos das Atividades'!$B8),-('Gastos das Atividades'!AL$3&gt;='Gastos Gerais'!$D$4:$D$3632),-('Gastos das Atividades'!AL$3&lt;='Gastos Gerais'!$E$4:$E$3632),-('Gastos Gerais'!$C$4:$C$3632)))</f>
        <v>86948.433749999997</v>
      </c>
      <c r="AM8" s="134">
        <f>IF($B8="",0,SUMPRODUCT(-('Gastos Gerais'!$F$4:$F$3632='Gastos das Atividades'!$B8),-('Gastos das Atividades'!AM$3&gt;='Gastos Gerais'!$D$4:$D$3632),-('Gastos das Atividades'!AM$3&lt;='Gastos Gerais'!$E$4:$E$3632),-('Gastos Gerais'!$C$4:$C$3632)))</f>
        <v>87794.433749999997</v>
      </c>
      <c r="AN8" s="134">
        <f>IF($B8="",0,SUMPRODUCT(-('Gastos Gerais'!$F$4:$F$3632='Gastos das Atividades'!$B8),-('Gastos das Atividades'!AN$3&gt;='Gastos Gerais'!$D$4:$D$3632),-('Gastos das Atividades'!AN$3&lt;='Gastos Gerais'!$E$4:$E$3632),-('Gastos Gerais'!$C$4:$C$3632)))</f>
        <v>87794.433749999997</v>
      </c>
      <c r="AO8" s="134">
        <f>IF($B8="",0,SUMPRODUCT(-('Gastos Gerais'!$F$4:$F$3632='Gastos das Atividades'!$B8),-('Gastos das Atividades'!AO$3&gt;='Gastos Gerais'!$D$4:$D$3632),-('Gastos das Atividades'!AO$3&lt;='Gastos Gerais'!$E$4:$E$3632),-('Gastos Gerais'!$C$4:$C$3632)))</f>
        <v>92704.49</v>
      </c>
      <c r="AP8" s="134">
        <f>IF($B8="",0,SUMPRODUCT(-('Gastos Gerais'!$F$4:$F$3632='Gastos das Atividades'!$B8),-('Gastos das Atividades'!AP$3&gt;='Gastos Gerais'!$D$4:$D$3632),-('Gastos das Atividades'!AP$3&lt;='Gastos Gerais'!$E$4:$E$3632),-('Gastos Gerais'!$C$4:$C$3632)))</f>
        <v>89916.98</v>
      </c>
      <c r="AQ8" s="134">
        <f>IF($B8="",0,SUMPRODUCT(-('Gastos Gerais'!$F$4:$F$3632='Gastos das Atividades'!$B8),-('Gastos das Atividades'!AQ$3&gt;='Gastos Gerais'!$D$4:$D$3632),-('Gastos das Atividades'!AQ$3&lt;='Gastos Gerais'!$E$4:$E$3632),-('Gastos Gerais'!$C$4:$C$3632)))</f>
        <v>89916.98</v>
      </c>
      <c r="AR8" s="134">
        <f>IF($B8="",0,SUMPRODUCT(-('Gastos Gerais'!$F$4:$F$3632='Gastos das Atividades'!$B8),-('Gastos das Atividades'!AR$3&gt;='Gastos Gerais'!$D$4:$D$3632),-('Gastos das Atividades'!AR$3&lt;='Gastos Gerais'!$E$4:$E$3632),-('Gastos Gerais'!$C$4:$C$3632)))</f>
        <v>89916.98</v>
      </c>
      <c r="AS8" s="134">
        <f>IF($B8="",0,SUMPRODUCT(-('Gastos Gerais'!$F$4:$F$3632='Gastos das Atividades'!$B8),-('Gastos das Atividades'!AS$3&gt;='Gastos Gerais'!$D$4:$D$3632),-('Gastos das Atividades'!AS$3&lt;='Gastos Gerais'!$E$4:$E$3632),-('Gastos Gerais'!$C$4:$C$3632)))</f>
        <v>87371.430000000008</v>
      </c>
      <c r="AT8" s="134">
        <f>IF($B8="",0,SUMPRODUCT(-('Gastos Gerais'!$F$4:$F$3632='Gastos das Atividades'!$B8),-('Gastos das Atividades'!AT$3&gt;='Gastos Gerais'!$D$4:$D$3632),-('Gastos das Atividades'!AT$3&lt;='Gastos Gerais'!$E$4:$E$3632),-('Gastos Gerais'!$C$4:$C$3632)))</f>
        <v>87371.430000000008</v>
      </c>
      <c r="AU8" s="134">
        <f>IF($B8="",0,SUMPRODUCT(-('Gastos Gerais'!$F$4:$F$3632='Gastos das Atividades'!$B8),-('Gastos das Atividades'!AU$3&gt;='Gastos Gerais'!$D$4:$D$3632),-('Gastos das Atividades'!AU$3&lt;='Gastos Gerais'!$E$4:$E$3632),-('Gastos Gerais'!$C$4:$C$3632)))</f>
        <v>86525.430000000008</v>
      </c>
      <c r="AV8" s="134">
        <f>IF($B8="",0,SUMPRODUCT(-('Gastos Gerais'!$F$4:$F$3632='Gastos das Atividades'!$B8),-('Gastos das Atividades'!AV$3&gt;='Gastos Gerais'!$D$4:$D$3632),-('Gastos das Atividades'!AV$3&lt;='Gastos Gerais'!$E$4:$E$3632),-('Gastos Gerais'!$C$4:$C$3632)))</f>
        <v>86525.430000000008</v>
      </c>
      <c r="AW8" s="134">
        <f>IF($B8="",0,SUMPRODUCT(-('Gastos Gerais'!$F$4:$F$3632='Gastos das Atividades'!$B8),-('Gastos das Atividades'!AW$3&gt;='Gastos Gerais'!$D$4:$D$3632),-('Gastos das Atividades'!AW$3&lt;='Gastos Gerais'!$E$4:$E$3632),-('Gastos Gerais'!$C$4:$C$3632)))</f>
        <v>86525.430000000008</v>
      </c>
      <c r="AX8" s="134">
        <f>IF($B8="",0,SUMPRODUCT(-('Gastos Gerais'!$F$4:$F$3632='Gastos das Atividades'!$B8),-('Gastos das Atividades'!AX$3&gt;='Gastos Gerais'!$D$4:$D$3632),-('Gastos das Atividades'!AX$3&lt;='Gastos Gerais'!$E$4:$E$3632),-('Gastos Gerais'!$C$4:$C$3632)))</f>
        <v>86525.430000000008</v>
      </c>
      <c r="AY8" s="134">
        <f>IF($B8="",0,SUMPRODUCT(-('Gastos Gerais'!$F$4:$F$3632='Gastos das Atividades'!$B8),-('Gastos das Atividades'!AY$3&gt;='Gastos Gerais'!$D$4:$D$3632),-('Gastos das Atividades'!AY$3&lt;='Gastos Gerais'!$E$4:$E$3632),-('Gastos Gerais'!$C$4:$C$3632)))</f>
        <v>87371.430000000008</v>
      </c>
      <c r="AZ8" s="134">
        <f>IF($B8="",0,SUMPRODUCT(-('Gastos Gerais'!$F$4:$F$3632='Gastos das Atividades'!$B8),-('Gastos das Atividades'!AZ$3&gt;='Gastos Gerais'!$D$4:$D$3632),-('Gastos das Atividades'!AZ$3&lt;='Gastos Gerais'!$E$4:$E$3632),-('Gastos Gerais'!$C$4:$C$3632)))</f>
        <v>87371.430000000008</v>
      </c>
      <c r="BA8" s="134">
        <f>IF($B8="",0,SUMPRODUCT(-('Gastos Gerais'!$F$4:$F$3632='Gastos das Atividades'!$B8),-('Gastos das Atividades'!BA$3&gt;='Gastos Gerais'!$D$4:$D$3632),-('Gastos das Atividades'!BA$3&lt;='Gastos Gerais'!$E$4:$E$3632),-('Gastos Gerais'!$C$4:$C$3632)))</f>
        <v>97346.140000000014</v>
      </c>
      <c r="BB8" s="134">
        <f>IF($B8="",0,SUMPRODUCT(-('Gastos Gerais'!$F$4:$F$3632='Gastos das Atividades'!$B8),-('Gastos das Atividades'!BB$3&gt;='Gastos Gerais'!$D$4:$D$3632),-('Gastos das Atividades'!BB$3&lt;='Gastos Gerais'!$E$4:$E$3632),-('Gastos Gerais'!$C$4:$C$3632)))</f>
        <v>104360.80000000002</v>
      </c>
      <c r="BC8" s="134">
        <f>IF($B8="",0,SUMPRODUCT(-('Gastos Gerais'!$F$4:$F$3632='Gastos das Atividades'!$B8),-('Gastos das Atividades'!BC$3&gt;='Gastos Gerais'!$D$4:$D$3632),-('Gastos das Atividades'!BC$3&lt;='Gastos Gerais'!$E$4:$E$3632),-('Gastos Gerais'!$C$4:$C$3632)))</f>
        <v>94360.800000000017</v>
      </c>
      <c r="BD8" s="134">
        <f>IF($B8="",0,SUMPRODUCT(-('Gastos Gerais'!$F$4:$F$3632='Gastos das Atividades'!$B8),-('Gastos das Atividades'!BD$3&gt;='Gastos Gerais'!$D$4:$D$3632),-('Gastos das Atividades'!BD$3&lt;='Gastos Gerais'!$E$4:$E$3632),-('Gastos Gerais'!$C$4:$C$3632)))</f>
        <v>94360.800000000017</v>
      </c>
      <c r="BE8" s="134">
        <f>IF($B8="",0,SUMPRODUCT(-('Gastos Gerais'!$F$4:$F$3632='Gastos das Atividades'!$B8),-('Gastos das Atividades'!BE$3&gt;='Gastos Gerais'!$D$4:$D$3632),-('Gastos das Atividades'!BE$3&lt;='Gastos Gerais'!$E$4:$E$3632),-('Gastos Gerais'!$C$4:$C$3632)))</f>
        <v>91701.630000000019</v>
      </c>
      <c r="BF8" s="134">
        <f>IF($B8="",0,SUMPRODUCT(-('Gastos Gerais'!$F$4:$F$3632='Gastos das Atividades'!$B8),-('Gastos das Atividades'!BF$3&gt;='Gastos Gerais'!$D$4:$D$3632),-('Gastos das Atividades'!BF$3&lt;='Gastos Gerais'!$E$4:$E$3632),-('Gastos Gerais'!$C$4:$C$3632)))</f>
        <v>91701.630000000019</v>
      </c>
      <c r="BG8" s="134">
        <f>IF($B8="",0,SUMPRODUCT(-('Gastos Gerais'!$F$4:$F$3632='Gastos das Atividades'!$B8),-('Gastos das Atividades'!BG$3&gt;='Gastos Gerais'!$D$4:$D$3632),-('Gastos das Atividades'!BG$3&lt;='Gastos Gerais'!$E$4:$E$3632),-('Gastos Gerais'!$C$4:$C$3632)))</f>
        <v>90855.630000000019</v>
      </c>
      <c r="BH8" s="134">
        <f>IF($B8="",0,SUMPRODUCT(-('Gastos Gerais'!$F$4:$F$3632='Gastos das Atividades'!$B8),-('Gastos das Atividades'!BH$3&gt;='Gastos Gerais'!$D$4:$D$3632),-('Gastos das Atividades'!BH$3&lt;='Gastos Gerais'!$E$4:$E$3632),-('Gastos Gerais'!$C$4:$C$3632)))</f>
        <v>90855.630000000019</v>
      </c>
      <c r="BI8" s="134">
        <f>IF($B8="",0,SUMPRODUCT(-('Gastos Gerais'!$F$4:$F$3632='Gastos das Atividades'!$B8),-('Gastos das Atividades'!BI$3&gt;='Gastos Gerais'!$D$4:$D$3632),-('Gastos das Atividades'!BI$3&lt;='Gastos Gerais'!$E$4:$E$3632),-('Gastos Gerais'!$C$4:$C$3632)))</f>
        <v>90855.630000000019</v>
      </c>
      <c r="BJ8" s="134">
        <f>IF($B8="",0,SUMPRODUCT(-('Gastos Gerais'!$F$4:$F$3632='Gastos das Atividades'!$B8),-('Gastos das Atividades'!BJ$3&gt;='Gastos Gerais'!$D$4:$D$3632),-('Gastos das Atividades'!BJ$3&lt;='Gastos Gerais'!$E$4:$E$3632),-('Gastos Gerais'!$C$4:$C$3632)))</f>
        <v>90855.630000000019</v>
      </c>
      <c r="BK8" s="134">
        <f>IF($B8="",0,SUMPRODUCT(-('Gastos Gerais'!$F$4:$F$3632='Gastos das Atividades'!$B8),-('Gastos das Atividades'!BK$3&gt;='Gastos Gerais'!$D$4:$D$3632),-('Gastos das Atividades'!BK$3&lt;='Gastos Gerais'!$E$4:$E$3632),-('Gastos Gerais'!$C$4:$C$3632)))</f>
        <v>91701.630000000019</v>
      </c>
      <c r="BL8" s="134">
        <f>IF($B8="",0,SUMPRODUCT(-('Gastos Gerais'!$F$4:$F$3632='Gastos das Atividades'!$B8),-('Gastos das Atividades'!BL$3&gt;='Gastos Gerais'!$D$4:$D$3632),-('Gastos das Atividades'!BL$3&lt;='Gastos Gerais'!$E$4:$E$3632),-('Gastos Gerais'!$C$4:$C$3632)))</f>
        <v>91701.630000000019</v>
      </c>
      <c r="BM8" s="134">
        <f>IF($B8="",0,SUMPRODUCT(-('Gastos Gerais'!$F$4:$F$3632='Gastos das Atividades'!$B8),-('Gastos das Atividades'!BM$3&gt;='Gastos Gerais'!$D$4:$D$3632),-('Gastos das Atividades'!BM$3&lt;='Gastos Gerais'!$E$4:$E$3632),-('Gastos Gerais'!$C$4:$C$3632)))</f>
        <v>102307.87</v>
      </c>
      <c r="BN8" s="134">
        <f>IF($B8="",0,SUMPRODUCT(-('Gastos Gerais'!$F$4:$F$3632='Gastos das Atividades'!$B8),-('Gastos das Atividades'!BN$3&gt;='Gastos Gerais'!$D$4:$D$3632),-('Gastos das Atividades'!BN$3&lt;='Gastos Gerais'!$E$4:$E$3632),-('Gastos Gerais'!$C$4:$C$3632)))</f>
        <v>99113.14</v>
      </c>
      <c r="BO8" s="134">
        <f>IF($B8="",0,SUMPRODUCT(-('Gastos Gerais'!$F$4:$F$3632='Gastos das Atividades'!$B8),-('Gastos das Atividades'!BO$3&gt;='Gastos Gerais'!$D$4:$D$3632),-('Gastos das Atividades'!BO$3&lt;='Gastos Gerais'!$E$4:$E$3632),-('Gastos Gerais'!$C$4:$C$3632)))</f>
        <v>99113.14</v>
      </c>
      <c r="BP8" s="134">
        <f>IF($B8="",0,SUMPRODUCT(-('Gastos Gerais'!$F$4:$F$3632='Gastos das Atividades'!$B8),-('Gastos das Atividades'!BP$3&gt;='Gastos Gerais'!$D$4:$D$3632),-('Gastos das Atividades'!BP$3&lt;='Gastos Gerais'!$E$4:$E$3632),-('Gastos Gerais'!$C$4:$C$3632)))</f>
        <v>99113.14</v>
      </c>
      <c r="BQ8" s="134">
        <f>IF($B8="",0,SUMPRODUCT(-('Gastos Gerais'!$F$4:$F$3632='Gastos das Atividades'!$B8),-('Gastos das Atividades'!BQ$3&gt;='Gastos Gerais'!$D$4:$D$3632),-('Gastos das Atividades'!BQ$3&lt;='Gastos Gerais'!$E$4:$E$3632),-('Gastos Gerais'!$C$4:$C$3632)))</f>
        <v>96333.72</v>
      </c>
      <c r="BR8" s="134">
        <f>IF($B8="",0,SUMPRODUCT(-('Gastos Gerais'!$F$4:$F$3632='Gastos das Atividades'!$B8),-('Gastos das Atividades'!BR$3&gt;='Gastos Gerais'!$D$4:$D$3632),-('Gastos das Atividades'!BR$3&lt;='Gastos Gerais'!$E$4:$E$3632),-('Gastos Gerais'!$C$4:$C$3632)))</f>
        <v>96333.72</v>
      </c>
      <c r="BS8" s="134">
        <f>IF($B8="",0,SUMPRODUCT(-('Gastos Gerais'!$F$4:$F$3632='Gastos das Atividades'!$B8),-('Gastos das Atividades'!BS$3&gt;='Gastos Gerais'!$D$4:$D$3632),-('Gastos das Atividades'!BS$3&lt;='Gastos Gerais'!$E$4:$E$3632),-('Gastos Gerais'!$C$4:$C$3632)))</f>
        <v>95487.72</v>
      </c>
      <c r="BT8" s="134">
        <f>IF($B8="",0,SUMPRODUCT(-('Gastos Gerais'!$F$4:$F$3632='Gastos das Atividades'!$B8),-('Gastos das Atividades'!BT$3&gt;='Gastos Gerais'!$D$4:$D$3632),-('Gastos das Atividades'!BT$3&lt;='Gastos Gerais'!$E$4:$E$3632),-('Gastos Gerais'!$C$4:$C$3632)))</f>
        <v>95487.72</v>
      </c>
      <c r="BU8" s="134">
        <f>IF($B8="",0,SUMPRODUCT(-('Gastos Gerais'!$F$4:$F$3632='Gastos das Atividades'!$B8),-('Gastos das Atividades'!BU$3&gt;='Gastos Gerais'!$D$4:$D$3632),-('Gastos das Atividades'!BU$3&lt;='Gastos Gerais'!$E$4:$E$3632),-('Gastos Gerais'!$C$4:$C$3632)))</f>
        <v>95487.72</v>
      </c>
      <c r="BV8" s="134">
        <f>IF($B8="",0,SUMPRODUCT(-('Gastos Gerais'!$F$4:$F$3632='Gastos das Atividades'!$B8),-('Gastos das Atividades'!BV$3&gt;='Gastos Gerais'!$D$4:$D$3632),-('Gastos das Atividades'!BV$3&lt;='Gastos Gerais'!$E$4:$E$3632),-('Gastos Gerais'!$C$4:$C$3632)))</f>
        <v>95487.72</v>
      </c>
      <c r="BW8" s="134">
        <f>IF($B8="",0,SUMPRODUCT(-('Gastos Gerais'!$F$4:$F$3632='Gastos das Atividades'!$B8),-('Gastos das Atividades'!BW$3&gt;='Gastos Gerais'!$D$4:$D$3632),-('Gastos das Atividades'!BW$3&lt;='Gastos Gerais'!$E$4:$E$3632),-('Gastos Gerais'!$C$4:$C$3632)))</f>
        <v>95487.72</v>
      </c>
    </row>
    <row r="9" spans="1:76">
      <c r="A9" s="138">
        <v>6</v>
      </c>
      <c r="B9" s="139" t="s">
        <v>633</v>
      </c>
      <c r="C9" s="132">
        <v>0</v>
      </c>
      <c r="D9" s="133">
        <f t="shared" si="0"/>
        <v>53560.210000000006</v>
      </c>
      <c r="E9" s="134">
        <f t="shared" si="1"/>
        <v>1029897.8800000001</v>
      </c>
      <c r="F9" s="134">
        <f t="shared" si="1"/>
        <v>1200668.9099999999</v>
      </c>
      <c r="G9" s="134">
        <f t="shared" si="1"/>
        <v>1140324.3199999996</v>
      </c>
      <c r="H9" s="134">
        <f t="shared" si="1"/>
        <v>1208446.2900000005</v>
      </c>
      <c r="I9" s="135">
        <f t="shared" si="2"/>
        <v>5787859.450000002</v>
      </c>
      <c r="J9" s="136">
        <f t="shared" si="3"/>
        <v>4.3301753273401918E-4</v>
      </c>
      <c r="K9" s="136">
        <f t="shared" si="4"/>
        <v>8.3264019869525707E-3</v>
      </c>
      <c r="L9" s="136">
        <f t="shared" si="5"/>
        <v>9.7070323107143162E-3</v>
      </c>
      <c r="M9" s="136">
        <f t="shared" si="6"/>
        <v>9.2191651892888013E-3</v>
      </c>
      <c r="N9" s="136">
        <f t="shared" si="7"/>
        <v>9.7699099935825342E-3</v>
      </c>
      <c r="O9" s="137">
        <f t="shared" si="8"/>
        <v>4.6793031970006796E-2</v>
      </c>
      <c r="P9" s="134">
        <f>IF($B9="",0,SUMPRODUCT(-('Gastos Gerais'!$F$4:$F$3632='Gastos das Atividades'!$B9),-('Gastos das Atividades'!P$3&gt;='Gastos Gerais'!$D$4:$D$3632),-('Gastos das Atividades'!P$3&lt;='Gastos Gerais'!$E$4:$E$3632),-('Gastos Gerais'!$C$4:$C$3632)))</f>
        <v>53560.210000000006</v>
      </c>
      <c r="Q9" s="134">
        <f>IF($B9="",0,SUMPRODUCT(-('Gastos Gerais'!$F$4:$F$3632='Gastos das Atividades'!$B9),-('Gastos das Atividades'!Q$3&gt;='Gastos Gerais'!$D$4:$D$3632),-('Gastos das Atividades'!Q$3&lt;='Gastos Gerais'!$E$4:$E$3632),-('Gastos Gerais'!$C$4:$C$3632)))</f>
        <v>88680.17</v>
      </c>
      <c r="R9" s="134">
        <f>IF($B9="",0,SUMPRODUCT(-('Gastos Gerais'!$F$4:$F$3632='Gastos das Atividades'!$B9),-('Gastos das Atividades'!R$3&gt;='Gastos Gerais'!$D$4:$D$3632),-('Gastos das Atividades'!R$3&lt;='Gastos Gerais'!$E$4:$E$3632),-('Gastos Gerais'!$C$4:$C$3632)))</f>
        <v>100926.17</v>
      </c>
      <c r="S9" s="134">
        <f>IF($B9="",0,SUMPRODUCT(-('Gastos Gerais'!$F$4:$F$3632='Gastos das Atividades'!$B9),-('Gastos das Atividades'!S$3&gt;='Gastos Gerais'!$D$4:$D$3632),-('Gastos das Atividades'!S$3&lt;='Gastos Gerais'!$E$4:$E$3632),-('Gastos Gerais'!$C$4:$C$3632)))</f>
        <v>85926.17</v>
      </c>
      <c r="T9" s="134">
        <f>IF($B9="",0,SUMPRODUCT(-('Gastos Gerais'!$F$4:$F$3632='Gastos das Atividades'!$B9),-('Gastos das Atividades'!T$3&gt;='Gastos Gerais'!$D$4:$D$3632),-('Gastos das Atividades'!T$3&lt;='Gastos Gerais'!$E$4:$E$3632),-('Gastos Gerais'!$C$4:$C$3632)))</f>
        <v>85926.17</v>
      </c>
      <c r="U9" s="134">
        <f>IF($B9="",0,SUMPRODUCT(-('Gastos Gerais'!$F$4:$F$3632='Gastos das Atividades'!$B9),-('Gastos das Atividades'!U$3&gt;='Gastos Gerais'!$D$4:$D$3632),-('Gastos das Atividades'!U$3&lt;='Gastos Gerais'!$E$4:$E$3632),-('Gastos Gerais'!$C$4:$C$3632)))</f>
        <v>84189.4</v>
      </c>
      <c r="V9" s="134">
        <f>IF($B9="",0,SUMPRODUCT(-('Gastos Gerais'!$F$4:$F$3632='Gastos das Atividades'!$B9),-('Gastos das Atividades'!V$3&gt;='Gastos Gerais'!$D$4:$D$3632),-('Gastos das Atividades'!V$3&lt;='Gastos Gerais'!$E$4:$E$3632),-('Gastos Gerais'!$C$4:$C$3632)))</f>
        <v>84189.4</v>
      </c>
      <c r="W9" s="134">
        <f>IF($B9="",0,SUMPRODUCT(-('Gastos Gerais'!$F$4:$F$3632='Gastos das Atividades'!$B9),-('Gastos das Atividades'!W$3&gt;='Gastos Gerais'!$D$4:$D$3632),-('Gastos das Atividades'!W$3&lt;='Gastos Gerais'!$E$4:$E$3632),-('Gastos Gerais'!$C$4:$C$3632)))</f>
        <v>83343.399999999994</v>
      </c>
      <c r="X9" s="134">
        <f>IF($B9="",0,SUMPRODUCT(-('Gastos Gerais'!$F$4:$F$3632='Gastos das Atividades'!$B9),-('Gastos das Atividades'!X$3&gt;='Gastos Gerais'!$D$4:$D$3632),-('Gastos das Atividades'!X$3&lt;='Gastos Gerais'!$E$4:$E$3632),-('Gastos Gerais'!$C$4:$C$3632)))</f>
        <v>83343.399999999994</v>
      </c>
      <c r="Y9" s="134">
        <f>IF($B9="",0,SUMPRODUCT(-('Gastos Gerais'!$F$4:$F$3632='Gastos das Atividades'!$B9),-('Gastos das Atividades'!Y$3&gt;='Gastos Gerais'!$D$4:$D$3632),-('Gastos das Atividades'!Y$3&lt;='Gastos Gerais'!$E$4:$E$3632),-('Gastos Gerais'!$C$4:$C$3632)))</f>
        <v>83343.399999999994</v>
      </c>
      <c r="Z9" s="134">
        <f>IF($B9="",0,SUMPRODUCT(-('Gastos Gerais'!$F$4:$F$3632='Gastos das Atividades'!$B9),-('Gastos das Atividades'!Z$3&gt;='Gastos Gerais'!$D$4:$D$3632),-('Gastos das Atividades'!Z$3&lt;='Gastos Gerais'!$E$4:$E$3632),-('Gastos Gerais'!$C$4:$C$3632)))</f>
        <v>83343.399999999994</v>
      </c>
      <c r="AA9" s="134">
        <f>IF($B9="",0,SUMPRODUCT(-('Gastos Gerais'!$F$4:$F$3632='Gastos das Atividades'!$B9),-('Gastos das Atividades'!AA$3&gt;='Gastos Gerais'!$D$4:$D$3632),-('Gastos das Atividades'!AA$3&lt;='Gastos Gerais'!$E$4:$E$3632),-('Gastos Gerais'!$C$4:$C$3632)))</f>
        <v>83343.399999999994</v>
      </c>
      <c r="AB9" s="134">
        <f>IF($B9="",0,SUMPRODUCT(-('Gastos Gerais'!$F$4:$F$3632='Gastos das Atividades'!$B9),-('Gastos das Atividades'!AB$3&gt;='Gastos Gerais'!$D$4:$D$3632),-('Gastos das Atividades'!AB$3&lt;='Gastos Gerais'!$E$4:$E$3632),-('Gastos Gerais'!$C$4:$C$3632)))</f>
        <v>83343.399999999994</v>
      </c>
      <c r="AC9" s="134">
        <f>IF($B9="",0,SUMPRODUCT(-('Gastos Gerais'!$F$4:$F$3632='Gastos das Atividades'!$B9),-('Gastos das Atividades'!AC$3&gt;='Gastos Gerais'!$D$4:$D$3632),-('Gastos das Atividades'!AC$3&lt;='Gastos Gerais'!$E$4:$E$3632),-('Gastos Gerais'!$C$4:$C$3632)))</f>
        <v>96000.86</v>
      </c>
      <c r="AD9" s="134">
        <f>IF($B9="",0,SUMPRODUCT(-('Gastos Gerais'!$F$4:$F$3632='Gastos das Atividades'!$B9),-('Gastos das Atividades'!AD$3&gt;='Gastos Gerais'!$D$4:$D$3632),-('Gastos das Atividades'!AD$3&lt;='Gastos Gerais'!$E$4:$E$3632),-('Gastos Gerais'!$C$4:$C$3632)))</f>
        <v>92784.86</v>
      </c>
      <c r="AE9" s="134">
        <f>IF($B9="",0,SUMPRODUCT(-('Gastos Gerais'!$F$4:$F$3632='Gastos das Atividades'!$B9),-('Gastos das Atividades'!AE$3&gt;='Gastos Gerais'!$D$4:$D$3632),-('Gastos das Atividades'!AE$3&lt;='Gastos Gerais'!$E$4:$E$3632),-('Gastos Gerais'!$C$4:$C$3632)))</f>
        <v>92784.86</v>
      </c>
      <c r="AF9" s="134">
        <f>IF($B9="",0,SUMPRODUCT(-('Gastos Gerais'!$F$4:$F$3632='Gastos das Atividades'!$B9),-('Gastos das Atividades'!AF$3&gt;='Gastos Gerais'!$D$4:$D$3632),-('Gastos das Atividades'!AF$3&lt;='Gastos Gerais'!$E$4:$E$3632),-('Gastos Gerais'!$C$4:$C$3632)))</f>
        <v>163034.85999999999</v>
      </c>
      <c r="AG9" s="134">
        <f>IF($B9="",0,SUMPRODUCT(-('Gastos Gerais'!$F$4:$F$3632='Gastos das Atividades'!$B9),-('Gastos das Atividades'!AG$3&gt;='Gastos Gerais'!$D$4:$D$3632),-('Gastos das Atividades'!AG$3&lt;='Gastos Gerais'!$E$4:$E$3632),-('Gastos Gerais'!$C$4:$C$3632)))</f>
        <v>95142.433749999997</v>
      </c>
      <c r="AH9" s="134">
        <f>IF($B9="",0,SUMPRODUCT(-('Gastos Gerais'!$F$4:$F$3632='Gastos das Atividades'!$B9),-('Gastos das Atividades'!AH$3&gt;='Gastos Gerais'!$D$4:$D$3632),-('Gastos das Atividades'!AH$3&lt;='Gastos Gerais'!$E$4:$E$3632),-('Gastos Gerais'!$C$4:$C$3632)))</f>
        <v>95142.433749999997</v>
      </c>
      <c r="AI9" s="134">
        <f>IF($B9="",0,SUMPRODUCT(-('Gastos Gerais'!$F$4:$F$3632='Gastos das Atividades'!$B9),-('Gastos das Atividades'!AI$3&gt;='Gastos Gerais'!$D$4:$D$3632),-('Gastos das Atividades'!AI$3&lt;='Gastos Gerais'!$E$4:$E$3632),-('Gastos Gerais'!$C$4:$C$3632)))</f>
        <v>94296.433749999997</v>
      </c>
      <c r="AJ9" s="134">
        <f>IF($B9="",0,SUMPRODUCT(-('Gastos Gerais'!$F$4:$F$3632='Gastos das Atividades'!$B9),-('Gastos das Atividades'!AJ$3&gt;='Gastos Gerais'!$D$4:$D$3632),-('Gastos das Atividades'!AJ$3&lt;='Gastos Gerais'!$E$4:$E$3632),-('Gastos Gerais'!$C$4:$C$3632)))</f>
        <v>94296.433749999997</v>
      </c>
      <c r="AK9" s="134">
        <f>IF($B9="",0,SUMPRODUCT(-('Gastos Gerais'!$F$4:$F$3632='Gastos das Atividades'!$B9),-('Gastos das Atividades'!AK$3&gt;='Gastos Gerais'!$D$4:$D$3632),-('Gastos das Atividades'!AK$3&lt;='Gastos Gerais'!$E$4:$E$3632),-('Gastos Gerais'!$C$4:$C$3632)))</f>
        <v>94296.433749999997</v>
      </c>
      <c r="AL9" s="134">
        <f>IF($B9="",0,SUMPRODUCT(-('Gastos Gerais'!$F$4:$F$3632='Gastos das Atividades'!$B9),-('Gastos das Atividades'!AL$3&gt;='Gastos Gerais'!$D$4:$D$3632),-('Gastos das Atividades'!AL$3&lt;='Gastos Gerais'!$E$4:$E$3632),-('Gastos Gerais'!$C$4:$C$3632)))</f>
        <v>94296.433749999997</v>
      </c>
      <c r="AM9" s="134">
        <f>IF($B9="",0,SUMPRODUCT(-('Gastos Gerais'!$F$4:$F$3632='Gastos das Atividades'!$B9),-('Gastos das Atividades'!AM$3&gt;='Gastos Gerais'!$D$4:$D$3632),-('Gastos das Atividades'!AM$3&lt;='Gastos Gerais'!$E$4:$E$3632),-('Gastos Gerais'!$C$4:$C$3632)))</f>
        <v>94296.433749999997</v>
      </c>
      <c r="AN9" s="134">
        <f>IF($B9="",0,SUMPRODUCT(-('Gastos Gerais'!$F$4:$F$3632='Gastos das Atividades'!$B9),-('Gastos das Atividades'!AN$3&gt;='Gastos Gerais'!$D$4:$D$3632),-('Gastos das Atividades'!AN$3&lt;='Gastos Gerais'!$E$4:$E$3632),-('Gastos Gerais'!$C$4:$C$3632)))</f>
        <v>94296.433749999997</v>
      </c>
      <c r="AO9" s="134">
        <f>IF($B9="",0,SUMPRODUCT(-('Gastos Gerais'!$F$4:$F$3632='Gastos das Atividades'!$B9),-('Gastos das Atividades'!AO$3&gt;='Gastos Gerais'!$D$4:$D$3632),-('Gastos das Atividades'!AO$3&lt;='Gastos Gerais'!$E$4:$E$3632),-('Gastos Gerais'!$C$4:$C$3632)))</f>
        <v>100304.94</v>
      </c>
      <c r="AP9" s="134">
        <f>IF($B9="",0,SUMPRODUCT(-('Gastos Gerais'!$F$4:$F$3632='Gastos das Atividades'!$B9),-('Gastos das Atividades'!AP$3&gt;='Gastos Gerais'!$D$4:$D$3632),-('Gastos das Atividades'!AP$3&lt;='Gastos Gerais'!$E$4:$E$3632),-('Gastos Gerais'!$C$4:$C$3632)))</f>
        <v>96859.98</v>
      </c>
      <c r="AQ9" s="134">
        <f>IF($B9="",0,SUMPRODUCT(-('Gastos Gerais'!$F$4:$F$3632='Gastos das Atividades'!$B9),-('Gastos das Atividades'!AQ$3&gt;='Gastos Gerais'!$D$4:$D$3632),-('Gastos das Atividades'!AQ$3&lt;='Gastos Gerais'!$E$4:$E$3632),-('Gastos Gerais'!$C$4:$C$3632)))</f>
        <v>96859.98</v>
      </c>
      <c r="AR9" s="134">
        <f>IF($B9="",0,SUMPRODUCT(-('Gastos Gerais'!$F$4:$F$3632='Gastos das Atividades'!$B9),-('Gastos das Atividades'!AR$3&gt;='Gastos Gerais'!$D$4:$D$3632),-('Gastos das Atividades'!AR$3&lt;='Gastos Gerais'!$E$4:$E$3632),-('Gastos Gerais'!$C$4:$C$3632)))</f>
        <v>96859.98</v>
      </c>
      <c r="AS9" s="134">
        <f>IF($B9="",0,SUMPRODUCT(-('Gastos Gerais'!$F$4:$F$3632='Gastos das Atividades'!$B9),-('Gastos das Atividades'!AS$3&gt;='Gastos Gerais'!$D$4:$D$3632),-('Gastos das Atividades'!AS$3&lt;='Gastos Gerais'!$E$4:$E$3632),-('Gastos Gerais'!$C$4:$C$3632)))</f>
        <v>94314.43</v>
      </c>
      <c r="AT9" s="134">
        <f>IF($B9="",0,SUMPRODUCT(-('Gastos Gerais'!$F$4:$F$3632='Gastos das Atividades'!$B9),-('Gastos das Atividades'!AT$3&gt;='Gastos Gerais'!$D$4:$D$3632),-('Gastos das Atividades'!AT$3&lt;='Gastos Gerais'!$E$4:$E$3632),-('Gastos Gerais'!$C$4:$C$3632)))</f>
        <v>94314.43</v>
      </c>
      <c r="AU9" s="134">
        <f>IF($B9="",0,SUMPRODUCT(-('Gastos Gerais'!$F$4:$F$3632='Gastos das Atividades'!$B9),-('Gastos das Atividades'!AU$3&gt;='Gastos Gerais'!$D$4:$D$3632),-('Gastos das Atividades'!AU$3&lt;='Gastos Gerais'!$E$4:$E$3632),-('Gastos Gerais'!$C$4:$C$3632)))</f>
        <v>93468.43</v>
      </c>
      <c r="AV9" s="134">
        <f>IF($B9="",0,SUMPRODUCT(-('Gastos Gerais'!$F$4:$F$3632='Gastos das Atividades'!$B9),-('Gastos das Atividades'!AV$3&gt;='Gastos Gerais'!$D$4:$D$3632),-('Gastos das Atividades'!AV$3&lt;='Gastos Gerais'!$E$4:$E$3632),-('Gastos Gerais'!$C$4:$C$3632)))</f>
        <v>93468.43</v>
      </c>
      <c r="AW9" s="134">
        <f>IF($B9="",0,SUMPRODUCT(-('Gastos Gerais'!$F$4:$F$3632='Gastos das Atividades'!$B9),-('Gastos das Atividades'!AW$3&gt;='Gastos Gerais'!$D$4:$D$3632),-('Gastos das Atividades'!AW$3&lt;='Gastos Gerais'!$E$4:$E$3632),-('Gastos Gerais'!$C$4:$C$3632)))</f>
        <v>93468.43</v>
      </c>
      <c r="AX9" s="134">
        <f>IF($B9="",0,SUMPRODUCT(-('Gastos Gerais'!$F$4:$F$3632='Gastos das Atividades'!$B9),-('Gastos das Atividades'!AX$3&gt;='Gastos Gerais'!$D$4:$D$3632),-('Gastos das Atividades'!AX$3&lt;='Gastos Gerais'!$E$4:$E$3632),-('Gastos Gerais'!$C$4:$C$3632)))</f>
        <v>93468.43</v>
      </c>
      <c r="AY9" s="134">
        <f>IF($B9="",0,SUMPRODUCT(-('Gastos Gerais'!$F$4:$F$3632='Gastos das Atividades'!$B9),-('Gastos das Atividades'!AY$3&gt;='Gastos Gerais'!$D$4:$D$3632),-('Gastos das Atividades'!AY$3&lt;='Gastos Gerais'!$E$4:$E$3632),-('Gastos Gerais'!$C$4:$C$3632)))</f>
        <v>93468.43</v>
      </c>
      <c r="AZ9" s="134">
        <f>IF($B9="",0,SUMPRODUCT(-('Gastos Gerais'!$F$4:$F$3632='Gastos das Atividades'!$B9),-('Gastos das Atividades'!AZ$3&gt;='Gastos Gerais'!$D$4:$D$3632),-('Gastos das Atividades'!AZ$3&lt;='Gastos Gerais'!$E$4:$E$3632),-('Gastos Gerais'!$C$4:$C$3632)))</f>
        <v>93468.43</v>
      </c>
      <c r="BA9" s="134">
        <f>IF($B9="",0,SUMPRODUCT(-('Gastos Gerais'!$F$4:$F$3632='Gastos das Atividades'!$B9),-('Gastos das Atividades'!BA$3&gt;='Gastos Gerais'!$D$4:$D$3632),-('Gastos das Atividades'!BA$3&lt;='Gastos Gerais'!$E$4:$E$3632),-('Gastos Gerais'!$C$4:$C$3632)))</f>
        <v>105446.65000000001</v>
      </c>
      <c r="BB9" s="134">
        <f>IF($B9="",0,SUMPRODUCT(-('Gastos Gerais'!$F$4:$F$3632='Gastos das Atividades'!$B9),-('Gastos das Atividades'!BB$3&gt;='Gastos Gerais'!$D$4:$D$3632),-('Gastos das Atividades'!BB$3&lt;='Gastos Gerais'!$E$4:$E$3632),-('Gastos Gerais'!$C$4:$C$3632)))</f>
        <v>111759.00000000001</v>
      </c>
      <c r="BC9" s="134">
        <f>IF($B9="",0,SUMPRODUCT(-('Gastos Gerais'!$F$4:$F$3632='Gastos das Atividades'!$B9),-('Gastos das Atividades'!BC$3&gt;='Gastos Gerais'!$D$4:$D$3632),-('Gastos das Atividades'!BC$3&lt;='Gastos Gerais'!$E$4:$E$3632),-('Gastos Gerais'!$C$4:$C$3632)))</f>
        <v>101759.00000000001</v>
      </c>
      <c r="BD9" s="134">
        <f>IF($B9="",0,SUMPRODUCT(-('Gastos Gerais'!$F$4:$F$3632='Gastos das Atividades'!$B9),-('Gastos das Atividades'!BD$3&gt;='Gastos Gerais'!$D$4:$D$3632),-('Gastos das Atividades'!BD$3&lt;='Gastos Gerais'!$E$4:$E$3632),-('Gastos Gerais'!$C$4:$C$3632)))</f>
        <v>101759.00000000001</v>
      </c>
      <c r="BE9" s="134">
        <f>IF($B9="",0,SUMPRODUCT(-('Gastos Gerais'!$F$4:$F$3632='Gastos das Atividades'!$B9),-('Gastos das Atividades'!BE$3&gt;='Gastos Gerais'!$D$4:$D$3632),-('Gastos das Atividades'!BE$3&lt;='Gastos Gerais'!$E$4:$E$3632),-('Gastos Gerais'!$C$4:$C$3632)))</f>
        <v>99099.83</v>
      </c>
      <c r="BF9" s="134">
        <f>IF($B9="",0,SUMPRODUCT(-('Gastos Gerais'!$F$4:$F$3632='Gastos das Atividades'!$B9),-('Gastos das Atividades'!BF$3&gt;='Gastos Gerais'!$D$4:$D$3632),-('Gastos das Atividades'!BF$3&lt;='Gastos Gerais'!$E$4:$E$3632),-('Gastos Gerais'!$C$4:$C$3632)))</f>
        <v>99099.83</v>
      </c>
      <c r="BG9" s="134">
        <f>IF($B9="",0,SUMPRODUCT(-('Gastos Gerais'!$F$4:$F$3632='Gastos das Atividades'!$B9),-('Gastos das Atividades'!BG$3&gt;='Gastos Gerais'!$D$4:$D$3632),-('Gastos das Atividades'!BG$3&lt;='Gastos Gerais'!$E$4:$E$3632),-('Gastos Gerais'!$C$4:$C$3632)))</f>
        <v>98253.830000000016</v>
      </c>
      <c r="BH9" s="134">
        <f>IF($B9="",0,SUMPRODUCT(-('Gastos Gerais'!$F$4:$F$3632='Gastos das Atividades'!$B9),-('Gastos das Atividades'!BH$3&gt;='Gastos Gerais'!$D$4:$D$3632),-('Gastos das Atividades'!BH$3&lt;='Gastos Gerais'!$E$4:$E$3632),-('Gastos Gerais'!$C$4:$C$3632)))</f>
        <v>98253.830000000016</v>
      </c>
      <c r="BI9" s="134">
        <f>IF($B9="",0,SUMPRODUCT(-('Gastos Gerais'!$F$4:$F$3632='Gastos das Atividades'!$B9),-('Gastos das Atividades'!BI$3&gt;='Gastos Gerais'!$D$4:$D$3632),-('Gastos das Atividades'!BI$3&lt;='Gastos Gerais'!$E$4:$E$3632),-('Gastos Gerais'!$C$4:$C$3632)))</f>
        <v>98253.830000000016</v>
      </c>
      <c r="BJ9" s="134">
        <f>IF($B9="",0,SUMPRODUCT(-('Gastos Gerais'!$F$4:$F$3632='Gastos das Atividades'!$B9),-('Gastos das Atividades'!BJ$3&gt;='Gastos Gerais'!$D$4:$D$3632),-('Gastos das Atividades'!BJ$3&lt;='Gastos Gerais'!$E$4:$E$3632),-('Gastos Gerais'!$C$4:$C$3632)))</f>
        <v>98253.830000000016</v>
      </c>
      <c r="BK9" s="134">
        <f>IF($B9="",0,SUMPRODUCT(-('Gastos Gerais'!$F$4:$F$3632='Gastos das Atividades'!$B9),-('Gastos das Atividades'!BK$3&gt;='Gastos Gerais'!$D$4:$D$3632),-('Gastos das Atividades'!BK$3&lt;='Gastos Gerais'!$E$4:$E$3632),-('Gastos Gerais'!$C$4:$C$3632)))</f>
        <v>98253.830000000016</v>
      </c>
      <c r="BL9" s="134">
        <f>IF($B9="",0,SUMPRODUCT(-('Gastos Gerais'!$F$4:$F$3632='Gastos das Atividades'!$B9),-('Gastos das Atividades'!BL$3&gt;='Gastos Gerais'!$D$4:$D$3632),-('Gastos das Atividades'!BL$3&lt;='Gastos Gerais'!$E$4:$E$3632),-('Gastos Gerais'!$C$4:$C$3632)))</f>
        <v>98253.830000000016</v>
      </c>
      <c r="BM9" s="134">
        <f>IF($B9="",0,SUMPRODUCT(-('Gastos Gerais'!$F$4:$F$3632='Gastos das Atividades'!$B9),-('Gastos das Atividades'!BM$3&gt;='Gastos Gerais'!$D$4:$D$3632),-('Gastos das Atividades'!BM$3&lt;='Gastos Gerais'!$E$4:$E$3632),-('Gastos Gerais'!$C$4:$C$3632)))</f>
        <v>110836.08000000002</v>
      </c>
      <c r="BN9" s="134">
        <f>IF($B9="",0,SUMPRODUCT(-('Gastos Gerais'!$F$4:$F$3632='Gastos das Atividades'!$B9),-('Gastos das Atividades'!BN$3&gt;='Gastos Gerais'!$D$4:$D$3632),-('Gastos das Atividades'!BN$3&lt;='Gastos Gerais'!$E$4:$E$3632),-('Gastos Gerais'!$C$4:$C$3632)))</f>
        <v>106891.17000000001</v>
      </c>
      <c r="BO9" s="134">
        <f>IF($B9="",0,SUMPRODUCT(-('Gastos Gerais'!$F$4:$F$3632='Gastos das Atividades'!$B9),-('Gastos das Atividades'!BO$3&gt;='Gastos Gerais'!$D$4:$D$3632),-('Gastos das Atividades'!BO$3&lt;='Gastos Gerais'!$E$4:$E$3632),-('Gastos Gerais'!$C$4:$C$3632)))</f>
        <v>106891.17000000001</v>
      </c>
      <c r="BP9" s="134">
        <f>IF($B9="",0,SUMPRODUCT(-('Gastos Gerais'!$F$4:$F$3632='Gastos das Atividades'!$B9),-('Gastos das Atividades'!BP$3&gt;='Gastos Gerais'!$D$4:$D$3632),-('Gastos das Atividades'!BP$3&lt;='Gastos Gerais'!$E$4:$E$3632),-('Gastos Gerais'!$C$4:$C$3632)))</f>
        <v>106891.17000000001</v>
      </c>
      <c r="BQ9" s="134">
        <f>IF($B9="",0,SUMPRODUCT(-('Gastos Gerais'!$F$4:$F$3632='Gastos das Atividades'!$B9),-('Gastos das Atividades'!BQ$3&gt;='Gastos Gerais'!$D$4:$D$3632),-('Gastos das Atividades'!BQ$3&lt;='Gastos Gerais'!$E$4:$E$3632),-('Gastos Gerais'!$C$4:$C$3632)))</f>
        <v>104111.75000000001</v>
      </c>
      <c r="BR9" s="134">
        <f>IF($B9="",0,SUMPRODUCT(-('Gastos Gerais'!$F$4:$F$3632='Gastos das Atividades'!$B9),-('Gastos das Atividades'!BR$3&gt;='Gastos Gerais'!$D$4:$D$3632),-('Gastos das Atividades'!BR$3&lt;='Gastos Gerais'!$E$4:$E$3632),-('Gastos Gerais'!$C$4:$C$3632)))</f>
        <v>104111.75000000001</v>
      </c>
      <c r="BS9" s="134">
        <f>IF($B9="",0,SUMPRODUCT(-('Gastos Gerais'!$F$4:$F$3632='Gastos das Atividades'!$B9),-('Gastos das Atividades'!BS$3&gt;='Gastos Gerais'!$D$4:$D$3632),-('Gastos das Atividades'!BS$3&lt;='Gastos Gerais'!$E$4:$E$3632),-('Gastos Gerais'!$C$4:$C$3632)))</f>
        <v>103265.75000000001</v>
      </c>
      <c r="BT9" s="134">
        <f>IF($B9="",0,SUMPRODUCT(-('Gastos Gerais'!$F$4:$F$3632='Gastos das Atividades'!$B9),-('Gastos das Atividades'!BT$3&gt;='Gastos Gerais'!$D$4:$D$3632),-('Gastos das Atividades'!BT$3&lt;='Gastos Gerais'!$E$4:$E$3632),-('Gastos Gerais'!$C$4:$C$3632)))</f>
        <v>103265.75000000001</v>
      </c>
      <c r="BU9" s="134">
        <f>IF($B9="",0,SUMPRODUCT(-('Gastos Gerais'!$F$4:$F$3632='Gastos das Atividades'!$B9),-('Gastos das Atividades'!BU$3&gt;='Gastos Gerais'!$D$4:$D$3632),-('Gastos das Atividades'!BU$3&lt;='Gastos Gerais'!$E$4:$E$3632),-('Gastos Gerais'!$C$4:$C$3632)))</f>
        <v>103265.75000000001</v>
      </c>
      <c r="BV9" s="134">
        <f>IF($B9="",0,SUMPRODUCT(-('Gastos Gerais'!$F$4:$F$3632='Gastos das Atividades'!$B9),-('Gastos das Atividades'!BV$3&gt;='Gastos Gerais'!$D$4:$D$3632),-('Gastos das Atividades'!BV$3&lt;='Gastos Gerais'!$E$4:$E$3632),-('Gastos Gerais'!$C$4:$C$3632)))</f>
        <v>103265.75000000001</v>
      </c>
      <c r="BW9" s="134">
        <f>IF($B9="",0,SUMPRODUCT(-('Gastos Gerais'!$F$4:$F$3632='Gastos das Atividades'!$B9),-('Gastos das Atividades'!BW$3&gt;='Gastos Gerais'!$D$4:$D$3632),-('Gastos das Atividades'!BW$3&lt;='Gastos Gerais'!$E$4:$E$3632),-('Gastos Gerais'!$C$4:$C$3632)))</f>
        <v>102165.75000000001</v>
      </c>
    </row>
    <row r="10" spans="1:76">
      <c r="A10" s="138">
        <v>7</v>
      </c>
      <c r="B10" s="139" t="s">
        <v>634</v>
      </c>
      <c r="C10" s="132">
        <v>0</v>
      </c>
      <c r="D10" s="133">
        <f t="shared" si="0"/>
        <v>57446.210000000006</v>
      </c>
      <c r="E10" s="134">
        <f t="shared" si="1"/>
        <v>984272.38000000012</v>
      </c>
      <c r="F10" s="134">
        <f t="shared" si="1"/>
        <v>1155416.6600000004</v>
      </c>
      <c r="G10" s="134">
        <f t="shared" si="1"/>
        <v>978721.70999999985</v>
      </c>
      <c r="H10" s="134">
        <f t="shared" si="1"/>
        <v>1181806.49</v>
      </c>
      <c r="I10" s="135">
        <f t="shared" si="2"/>
        <v>5487074.3300000029</v>
      </c>
      <c r="J10" s="136">
        <f t="shared" si="3"/>
        <v>4.644346263601345E-4</v>
      </c>
      <c r="K10" s="136">
        <f t="shared" si="4"/>
        <v>7.9575341008902116E-3</v>
      </c>
      <c r="L10" s="136">
        <f t="shared" si="5"/>
        <v>9.3411820340693428E-3</v>
      </c>
      <c r="M10" s="136">
        <f t="shared" si="6"/>
        <v>7.9126586713797447E-3</v>
      </c>
      <c r="N10" s="136">
        <f t="shared" si="7"/>
        <v>9.554535549223038E-3</v>
      </c>
      <c r="O10" s="137">
        <f t="shared" si="8"/>
        <v>4.4361278424874966E-2</v>
      </c>
      <c r="P10" s="134">
        <f>IF($B10="",0,SUMPRODUCT(-('Gastos Gerais'!$F$4:$F$3632='Gastos das Atividades'!$B10),-('Gastos das Atividades'!P$3&gt;='Gastos Gerais'!$D$4:$D$3632),-('Gastos das Atividades'!P$3&lt;='Gastos Gerais'!$E$4:$E$3632),-('Gastos Gerais'!$C$4:$C$3632)))</f>
        <v>57446.210000000006</v>
      </c>
      <c r="Q10" s="134">
        <f>IF($B10="",0,SUMPRODUCT(-('Gastos Gerais'!$F$4:$F$3632='Gastos das Atividades'!$B10),-('Gastos das Atividades'!Q$3&gt;='Gastos Gerais'!$D$4:$D$3632),-('Gastos das Atividades'!Q$3&lt;='Gastos Gerais'!$E$4:$E$3632),-('Gastos Gerais'!$C$4:$C$3632)))</f>
        <v>87149.03</v>
      </c>
      <c r="R10" s="134">
        <f>IF($B10="",0,SUMPRODUCT(-('Gastos Gerais'!$F$4:$F$3632='Gastos das Atividades'!$B10),-('Gastos das Atividades'!R$3&gt;='Gastos Gerais'!$D$4:$D$3632),-('Gastos das Atividades'!R$3&lt;='Gastos Gerais'!$E$4:$E$3632),-('Gastos Gerais'!$C$4:$C$3632)))</f>
        <v>83229.03</v>
      </c>
      <c r="S10" s="134">
        <f>IF($B10="",0,SUMPRODUCT(-('Gastos Gerais'!$F$4:$F$3632='Gastos das Atividades'!$B10),-('Gastos das Atividades'!S$3&gt;='Gastos Gerais'!$D$4:$D$3632),-('Gastos das Atividades'!S$3&lt;='Gastos Gerais'!$E$4:$E$3632),-('Gastos Gerais'!$C$4:$C$3632)))</f>
        <v>83229.03</v>
      </c>
      <c r="T10" s="134">
        <f>IF($B10="",0,SUMPRODUCT(-('Gastos Gerais'!$F$4:$F$3632='Gastos das Atividades'!$B10),-('Gastos das Atividades'!T$3&gt;='Gastos Gerais'!$D$4:$D$3632),-('Gastos das Atividades'!T$3&lt;='Gastos Gerais'!$E$4:$E$3632),-('Gastos Gerais'!$C$4:$C$3632)))</f>
        <v>81866.09</v>
      </c>
      <c r="U10" s="134">
        <f>IF($B10="",0,SUMPRODUCT(-('Gastos Gerais'!$F$4:$F$3632='Gastos das Atividades'!$B10),-('Gastos das Atividades'!U$3&gt;='Gastos Gerais'!$D$4:$D$3632),-('Gastos das Atividades'!U$3&lt;='Gastos Gerais'!$E$4:$E$3632),-('Gastos Gerais'!$C$4:$C$3632)))</f>
        <v>90334.399999999994</v>
      </c>
      <c r="V10" s="134">
        <f>IF($B10="",0,SUMPRODUCT(-('Gastos Gerais'!$F$4:$F$3632='Gastos das Atividades'!$B10),-('Gastos das Atividades'!V$3&gt;='Gastos Gerais'!$D$4:$D$3632),-('Gastos das Atividades'!V$3&lt;='Gastos Gerais'!$E$4:$E$3632),-('Gastos Gerais'!$C$4:$C$3632)))</f>
        <v>80334.399999999994</v>
      </c>
      <c r="W10" s="134">
        <f>IF($B10="",0,SUMPRODUCT(-('Gastos Gerais'!$F$4:$F$3632='Gastos das Atividades'!$B10),-('Gastos das Atividades'!W$3&gt;='Gastos Gerais'!$D$4:$D$3632),-('Gastos das Atividades'!W$3&lt;='Gastos Gerais'!$E$4:$E$3632),-('Gastos Gerais'!$C$4:$C$3632)))</f>
        <v>79488.399999999994</v>
      </c>
      <c r="X10" s="134">
        <f>IF($B10="",0,SUMPRODUCT(-('Gastos Gerais'!$F$4:$F$3632='Gastos das Atividades'!$B10),-('Gastos das Atividades'!X$3&gt;='Gastos Gerais'!$D$4:$D$3632),-('Gastos das Atividades'!X$3&lt;='Gastos Gerais'!$E$4:$E$3632),-('Gastos Gerais'!$C$4:$C$3632)))</f>
        <v>79488.399999999994</v>
      </c>
      <c r="Y10" s="134">
        <f>IF($B10="",0,SUMPRODUCT(-('Gastos Gerais'!$F$4:$F$3632='Gastos das Atividades'!$B10),-('Gastos das Atividades'!Y$3&gt;='Gastos Gerais'!$D$4:$D$3632),-('Gastos das Atividades'!Y$3&lt;='Gastos Gerais'!$E$4:$E$3632),-('Gastos Gerais'!$C$4:$C$3632)))</f>
        <v>79488.399999999994</v>
      </c>
      <c r="Z10" s="134">
        <f>IF($B10="",0,SUMPRODUCT(-('Gastos Gerais'!$F$4:$F$3632='Gastos das Atividades'!$B10),-('Gastos das Atividades'!Z$3&gt;='Gastos Gerais'!$D$4:$D$3632),-('Gastos das Atividades'!Z$3&lt;='Gastos Gerais'!$E$4:$E$3632),-('Gastos Gerais'!$C$4:$C$3632)))</f>
        <v>79488.399999999994</v>
      </c>
      <c r="AA10" s="134">
        <f>IF($B10="",0,SUMPRODUCT(-('Gastos Gerais'!$F$4:$F$3632='Gastos das Atividades'!$B10),-('Gastos das Atividades'!AA$3&gt;='Gastos Gerais'!$D$4:$D$3632),-('Gastos das Atividades'!AA$3&lt;='Gastos Gerais'!$E$4:$E$3632),-('Gastos Gerais'!$C$4:$C$3632)))</f>
        <v>80088.399999999994</v>
      </c>
      <c r="AB10" s="134">
        <f>IF($B10="",0,SUMPRODUCT(-('Gastos Gerais'!$F$4:$F$3632='Gastos das Atividades'!$B10),-('Gastos das Atividades'!AB$3&gt;='Gastos Gerais'!$D$4:$D$3632),-('Gastos das Atividades'!AB$3&lt;='Gastos Gerais'!$E$4:$E$3632),-('Gastos Gerais'!$C$4:$C$3632)))</f>
        <v>80088.399999999994</v>
      </c>
      <c r="AC10" s="134">
        <f>IF($B10="",0,SUMPRODUCT(-('Gastos Gerais'!$F$4:$F$3632='Gastos das Atividades'!$B10),-('Gastos das Atividades'!AC$3&gt;='Gastos Gerais'!$D$4:$D$3632),-('Gastos das Atividades'!AC$3&lt;='Gastos Gerais'!$E$4:$E$3632),-('Gastos Gerais'!$C$4:$C$3632)))</f>
        <v>93972.2</v>
      </c>
      <c r="AD10" s="134">
        <f>IF($B10="",0,SUMPRODUCT(-('Gastos Gerais'!$F$4:$F$3632='Gastos das Atividades'!$B10),-('Gastos das Atividades'!AD$3&gt;='Gastos Gerais'!$D$4:$D$3632),-('Gastos das Atividades'!AD$3&lt;='Gastos Gerais'!$E$4:$E$3632),-('Gastos Gerais'!$C$4:$C$3632)))</f>
        <v>89823.28</v>
      </c>
      <c r="AE10" s="134">
        <f>IF($B10="",0,SUMPRODUCT(-('Gastos Gerais'!$F$4:$F$3632='Gastos das Atividades'!$B10),-('Gastos das Atividades'!AE$3&gt;='Gastos Gerais'!$D$4:$D$3632),-('Gastos das Atividades'!AE$3&lt;='Gastos Gerais'!$E$4:$E$3632),-('Gastos Gerais'!$C$4:$C$3632)))</f>
        <v>89823.28</v>
      </c>
      <c r="AF10" s="134">
        <f>IF($B10="",0,SUMPRODUCT(-('Gastos Gerais'!$F$4:$F$3632='Gastos das Atividades'!$B10),-('Gastos das Atividades'!AF$3&gt;='Gastos Gerais'!$D$4:$D$3632),-('Gastos das Atividades'!AF$3&lt;='Gastos Gerais'!$E$4:$E$3632),-('Gastos Gerais'!$C$4:$C$3632)))</f>
        <v>158030.75</v>
      </c>
      <c r="AG10" s="134">
        <f>IF($B10="",0,SUMPRODUCT(-('Gastos Gerais'!$F$4:$F$3632='Gastos das Atividades'!$B10),-('Gastos das Atividades'!AG$3&gt;='Gastos Gerais'!$D$4:$D$3632),-('Gastos das Atividades'!AG$3&lt;='Gastos Gerais'!$E$4:$E$3632),-('Gastos Gerais'!$C$4:$C$3632)))</f>
        <v>90955.393750000017</v>
      </c>
      <c r="AH10" s="134">
        <f>IF($B10="",0,SUMPRODUCT(-('Gastos Gerais'!$F$4:$F$3632='Gastos das Atividades'!$B10),-('Gastos das Atividades'!AH$3&gt;='Gastos Gerais'!$D$4:$D$3632),-('Gastos das Atividades'!AH$3&lt;='Gastos Gerais'!$E$4:$E$3632),-('Gastos Gerais'!$C$4:$C$3632)))</f>
        <v>90955.393750000017</v>
      </c>
      <c r="AI10" s="134">
        <f>IF($B10="",0,SUMPRODUCT(-('Gastos Gerais'!$F$4:$F$3632='Gastos das Atividades'!$B10),-('Gastos das Atividades'!AI$3&gt;='Gastos Gerais'!$D$4:$D$3632),-('Gastos das Atividades'!AI$3&lt;='Gastos Gerais'!$E$4:$E$3632),-('Gastos Gerais'!$C$4:$C$3632)))</f>
        <v>90109.393750000017</v>
      </c>
      <c r="AJ10" s="134">
        <f>IF($B10="",0,SUMPRODUCT(-('Gastos Gerais'!$F$4:$F$3632='Gastos das Atividades'!$B10),-('Gastos das Atividades'!AJ$3&gt;='Gastos Gerais'!$D$4:$D$3632),-('Gastos das Atividades'!AJ$3&lt;='Gastos Gerais'!$E$4:$E$3632),-('Gastos Gerais'!$C$4:$C$3632)))</f>
        <v>90109.393750000017</v>
      </c>
      <c r="AK10" s="134">
        <f>IF($B10="",0,SUMPRODUCT(-('Gastos Gerais'!$F$4:$F$3632='Gastos das Atividades'!$B10),-('Gastos das Atividades'!AK$3&gt;='Gastos Gerais'!$D$4:$D$3632),-('Gastos das Atividades'!AK$3&lt;='Gastos Gerais'!$E$4:$E$3632),-('Gastos Gerais'!$C$4:$C$3632)))</f>
        <v>90109.393750000017</v>
      </c>
      <c r="AL10" s="134">
        <f>IF($B10="",0,SUMPRODUCT(-('Gastos Gerais'!$F$4:$F$3632='Gastos das Atividades'!$B10),-('Gastos das Atividades'!AL$3&gt;='Gastos Gerais'!$D$4:$D$3632),-('Gastos das Atividades'!AL$3&lt;='Gastos Gerais'!$E$4:$E$3632),-('Gastos Gerais'!$C$4:$C$3632)))</f>
        <v>90109.393750000017</v>
      </c>
      <c r="AM10" s="134">
        <f>IF($B10="",0,SUMPRODUCT(-('Gastos Gerais'!$F$4:$F$3632='Gastos das Atividades'!$B10),-('Gastos das Atividades'!AM$3&gt;='Gastos Gerais'!$D$4:$D$3632),-('Gastos das Atividades'!AM$3&lt;='Gastos Gerais'!$E$4:$E$3632),-('Gastos Gerais'!$C$4:$C$3632)))</f>
        <v>90709.393750000017</v>
      </c>
      <c r="AN10" s="134">
        <f>IF($B10="",0,SUMPRODUCT(-('Gastos Gerais'!$F$4:$F$3632='Gastos das Atividades'!$B10),-('Gastos das Atividades'!AN$3&gt;='Gastos Gerais'!$D$4:$D$3632),-('Gastos das Atividades'!AN$3&lt;='Gastos Gerais'!$E$4:$E$3632),-('Gastos Gerais'!$C$4:$C$3632)))</f>
        <v>90709.393750000017</v>
      </c>
      <c r="AO10" s="134">
        <f>IF($B10="",0,SUMPRODUCT(-('Gastos Gerais'!$F$4:$F$3632='Gastos das Atividades'!$B10),-('Gastos das Atividades'!AO$3&gt;='Gastos Gerais'!$D$4:$D$3632),-('Gastos das Atividades'!AO$3&lt;='Gastos Gerais'!$E$4:$E$3632),-('Gastos Gerais'!$C$4:$C$3632)))</f>
        <v>100022.55</v>
      </c>
      <c r="AP10" s="134">
        <f>IF($B10="",0,SUMPRODUCT(-('Gastos Gerais'!$F$4:$F$3632='Gastos das Atividades'!$B10),-('Gastos das Atividades'!AP$3&gt;='Gastos Gerais'!$D$4:$D$3632),-('Gastos das Atividades'!AP$3&lt;='Gastos Gerais'!$E$4:$E$3632),-('Gastos Gerais'!$C$4:$C$3632)))</f>
        <v>83222.060000000012</v>
      </c>
      <c r="AQ10" s="134">
        <f>IF($B10="",0,SUMPRODUCT(-('Gastos Gerais'!$F$4:$F$3632='Gastos das Atividades'!$B10),-('Gastos das Atividades'!AQ$3&gt;='Gastos Gerais'!$D$4:$D$3632),-('Gastos das Atividades'!AQ$3&lt;='Gastos Gerais'!$E$4:$E$3632),-('Gastos Gerais'!$C$4:$C$3632)))</f>
        <v>83222.060000000012</v>
      </c>
      <c r="AR10" s="134">
        <f>IF($B10="",0,SUMPRODUCT(-('Gastos Gerais'!$F$4:$F$3632='Gastos das Atividades'!$B10),-('Gastos das Atividades'!AR$3&gt;='Gastos Gerais'!$D$4:$D$3632),-('Gastos das Atividades'!AR$3&lt;='Gastos Gerais'!$E$4:$E$3632),-('Gastos Gerais'!$C$4:$C$3632)))</f>
        <v>81095.280000000013</v>
      </c>
      <c r="AS10" s="134">
        <f>IF($B10="",0,SUMPRODUCT(-('Gastos Gerais'!$F$4:$F$3632='Gastos das Atividades'!$B10),-('Gastos das Atividades'!AS$3&gt;='Gastos Gerais'!$D$4:$D$3632),-('Gastos das Atividades'!AS$3&lt;='Gastos Gerais'!$E$4:$E$3632),-('Gastos Gerais'!$C$4:$C$3632)))</f>
        <v>79379.47</v>
      </c>
      <c r="AT10" s="134">
        <f>IF($B10="",0,SUMPRODUCT(-('Gastos Gerais'!$F$4:$F$3632='Gastos das Atividades'!$B10),-('Gastos das Atividades'!AT$3&gt;='Gastos Gerais'!$D$4:$D$3632),-('Gastos das Atividades'!AT$3&lt;='Gastos Gerais'!$E$4:$E$3632),-('Gastos Gerais'!$C$4:$C$3632)))</f>
        <v>79379.47</v>
      </c>
      <c r="AU10" s="134">
        <f>IF($B10="",0,SUMPRODUCT(-('Gastos Gerais'!$F$4:$F$3632='Gastos das Atividades'!$B10),-('Gastos das Atividades'!AU$3&gt;='Gastos Gerais'!$D$4:$D$3632),-('Gastos das Atividades'!AU$3&lt;='Gastos Gerais'!$E$4:$E$3632),-('Gastos Gerais'!$C$4:$C$3632)))</f>
        <v>78533.47</v>
      </c>
      <c r="AV10" s="134">
        <f>IF($B10="",0,SUMPRODUCT(-('Gastos Gerais'!$F$4:$F$3632='Gastos das Atividades'!$B10),-('Gastos das Atividades'!AV$3&gt;='Gastos Gerais'!$D$4:$D$3632),-('Gastos das Atividades'!AV$3&lt;='Gastos Gerais'!$E$4:$E$3632),-('Gastos Gerais'!$C$4:$C$3632)))</f>
        <v>78533.47</v>
      </c>
      <c r="AW10" s="134">
        <f>IF($B10="",0,SUMPRODUCT(-('Gastos Gerais'!$F$4:$F$3632='Gastos das Atividades'!$B10),-('Gastos das Atividades'!AW$3&gt;='Gastos Gerais'!$D$4:$D$3632),-('Gastos das Atividades'!AW$3&lt;='Gastos Gerais'!$E$4:$E$3632),-('Gastos Gerais'!$C$4:$C$3632)))</f>
        <v>78533.47</v>
      </c>
      <c r="AX10" s="134">
        <f>IF($B10="",0,SUMPRODUCT(-('Gastos Gerais'!$F$4:$F$3632='Gastos das Atividades'!$B10),-('Gastos das Atividades'!AX$3&gt;='Gastos Gerais'!$D$4:$D$3632),-('Gastos das Atividades'!AX$3&lt;='Gastos Gerais'!$E$4:$E$3632),-('Gastos Gerais'!$C$4:$C$3632)))</f>
        <v>78533.47</v>
      </c>
      <c r="AY10" s="134">
        <f>IF($B10="",0,SUMPRODUCT(-('Gastos Gerais'!$F$4:$F$3632='Gastos das Atividades'!$B10),-('Gastos das Atividades'!AY$3&gt;='Gastos Gerais'!$D$4:$D$3632),-('Gastos das Atividades'!AY$3&lt;='Gastos Gerais'!$E$4:$E$3632),-('Gastos Gerais'!$C$4:$C$3632)))</f>
        <v>79133.47</v>
      </c>
      <c r="AZ10" s="134">
        <f>IF($B10="",0,SUMPRODUCT(-('Gastos Gerais'!$F$4:$F$3632='Gastos das Atividades'!$B10),-('Gastos das Atividades'!AZ$3&gt;='Gastos Gerais'!$D$4:$D$3632),-('Gastos das Atividades'!AZ$3&lt;='Gastos Gerais'!$E$4:$E$3632),-('Gastos Gerais'!$C$4:$C$3632)))</f>
        <v>79133.47</v>
      </c>
      <c r="BA10" s="134">
        <f>IF($B10="",0,SUMPRODUCT(-('Gastos Gerais'!$F$4:$F$3632='Gastos das Atividades'!$B10),-('Gastos das Atividades'!BA$3&gt;='Gastos Gerais'!$D$4:$D$3632),-('Gastos das Atividades'!BA$3&lt;='Gastos Gerais'!$E$4:$E$3632),-('Gastos Gerais'!$C$4:$C$3632)))</f>
        <v>105106.54000000002</v>
      </c>
      <c r="BB10" s="134">
        <f>IF($B10="",0,SUMPRODUCT(-('Gastos Gerais'!$F$4:$F$3632='Gastos das Atividades'!$B10),-('Gastos das Atividades'!BB$3&gt;='Gastos Gerais'!$D$4:$D$3632),-('Gastos das Atividades'!BB$3&lt;='Gastos Gerais'!$E$4:$E$3632),-('Gastos Gerais'!$C$4:$C$3632)))</f>
        <v>110458.87000000002</v>
      </c>
      <c r="BC10" s="134">
        <f>IF($B10="",0,SUMPRODUCT(-('Gastos Gerais'!$F$4:$F$3632='Gastos das Atividades'!$B10),-('Gastos das Atividades'!BC$3&gt;='Gastos Gerais'!$D$4:$D$3632),-('Gastos das Atividades'!BC$3&lt;='Gastos Gerais'!$E$4:$E$3632),-('Gastos Gerais'!$C$4:$C$3632)))</f>
        <v>100458.87000000002</v>
      </c>
      <c r="BD10" s="134">
        <f>IF($B10="",0,SUMPRODUCT(-('Gastos Gerais'!$F$4:$F$3632='Gastos das Atividades'!$B10),-('Gastos das Atividades'!BD$3&gt;='Gastos Gerais'!$D$4:$D$3632),-('Gastos das Atividades'!BD$3&lt;='Gastos Gerais'!$E$4:$E$3632),-('Gastos Gerais'!$C$4:$C$3632)))</f>
        <v>98242.930000000008</v>
      </c>
      <c r="BE10" s="134">
        <f>IF($B10="",0,SUMPRODUCT(-('Gastos Gerais'!$F$4:$F$3632='Gastos das Atividades'!$B10),-('Gastos das Atividades'!BE$3&gt;='Gastos Gerais'!$D$4:$D$3632),-('Gastos das Atividades'!BE$3&lt;='Gastos Gerais'!$E$4:$E$3632),-('Gastos Gerais'!$C$4:$C$3632)))</f>
        <v>96426.910000000018</v>
      </c>
      <c r="BF10" s="134">
        <f>IF($B10="",0,SUMPRODUCT(-('Gastos Gerais'!$F$4:$F$3632='Gastos das Atividades'!$B10),-('Gastos das Atividades'!BF$3&gt;='Gastos Gerais'!$D$4:$D$3632),-('Gastos das Atividades'!BF$3&lt;='Gastos Gerais'!$E$4:$E$3632),-('Gastos Gerais'!$C$4:$C$3632)))</f>
        <v>96426.910000000018</v>
      </c>
      <c r="BG10" s="134">
        <f>IF($B10="",0,SUMPRODUCT(-('Gastos Gerais'!$F$4:$F$3632='Gastos das Atividades'!$B10),-('Gastos das Atividades'!BG$3&gt;='Gastos Gerais'!$D$4:$D$3632),-('Gastos das Atividades'!BG$3&lt;='Gastos Gerais'!$E$4:$E$3632),-('Gastos Gerais'!$C$4:$C$3632)))</f>
        <v>95580.91</v>
      </c>
      <c r="BH10" s="134">
        <f>IF($B10="",0,SUMPRODUCT(-('Gastos Gerais'!$F$4:$F$3632='Gastos das Atividades'!$B10),-('Gastos das Atividades'!BH$3&gt;='Gastos Gerais'!$D$4:$D$3632),-('Gastos das Atividades'!BH$3&lt;='Gastos Gerais'!$E$4:$E$3632),-('Gastos Gerais'!$C$4:$C$3632)))</f>
        <v>95580.91</v>
      </c>
      <c r="BI10" s="134">
        <f>IF($B10="",0,SUMPRODUCT(-('Gastos Gerais'!$F$4:$F$3632='Gastos das Atividades'!$B10),-('Gastos das Atividades'!BI$3&gt;='Gastos Gerais'!$D$4:$D$3632),-('Gastos das Atividades'!BI$3&lt;='Gastos Gerais'!$E$4:$E$3632),-('Gastos Gerais'!$C$4:$C$3632)))</f>
        <v>95580.91</v>
      </c>
      <c r="BJ10" s="134">
        <f>IF($B10="",0,SUMPRODUCT(-('Gastos Gerais'!$F$4:$F$3632='Gastos das Atividades'!$B10),-('Gastos das Atividades'!BJ$3&gt;='Gastos Gerais'!$D$4:$D$3632),-('Gastos das Atividades'!BJ$3&lt;='Gastos Gerais'!$E$4:$E$3632),-('Gastos Gerais'!$C$4:$C$3632)))</f>
        <v>95580.91</v>
      </c>
      <c r="BK10" s="134">
        <f>IF($B10="",0,SUMPRODUCT(-('Gastos Gerais'!$F$4:$F$3632='Gastos das Atividades'!$B10),-('Gastos das Atividades'!BK$3&gt;='Gastos Gerais'!$D$4:$D$3632),-('Gastos das Atividades'!BK$3&lt;='Gastos Gerais'!$E$4:$E$3632),-('Gastos Gerais'!$C$4:$C$3632)))</f>
        <v>96180.910000000018</v>
      </c>
      <c r="BL10" s="134">
        <f>IF($B10="",0,SUMPRODUCT(-('Gastos Gerais'!$F$4:$F$3632='Gastos das Atividades'!$B10),-('Gastos das Atividades'!BL$3&gt;='Gastos Gerais'!$D$4:$D$3632),-('Gastos das Atividades'!BL$3&lt;='Gastos Gerais'!$E$4:$E$3632),-('Gastos Gerais'!$C$4:$C$3632)))</f>
        <v>96180.910000000018</v>
      </c>
      <c r="BM10" s="134">
        <f>IF($B10="",0,SUMPRODUCT(-('Gastos Gerais'!$F$4:$F$3632='Gastos das Atividades'!$B10),-('Gastos das Atividades'!BM$3&gt;='Gastos Gerais'!$D$4:$D$3632),-('Gastos das Atividades'!BM$3&lt;='Gastos Gerais'!$E$4:$E$3632),-('Gastos Gerais'!$C$4:$C$3632)))</f>
        <v>110433.53000000001</v>
      </c>
      <c r="BN10" s="134">
        <f>IF($B10="",0,SUMPRODUCT(-('Gastos Gerais'!$F$4:$F$3632='Gastos das Atividades'!$B10),-('Gastos das Atividades'!BN$3&gt;='Gastos Gerais'!$D$4:$D$3632),-('Gastos das Atividades'!BN$3&lt;='Gastos Gerais'!$E$4:$E$3632),-('Gastos Gerais'!$C$4:$C$3632)))</f>
        <v>105514.44000000002</v>
      </c>
      <c r="BO10" s="134">
        <f>IF($B10="",0,SUMPRODUCT(-('Gastos Gerais'!$F$4:$F$3632='Gastos das Atividades'!$B10),-('Gastos das Atividades'!BO$3&gt;='Gastos Gerais'!$D$4:$D$3632),-('Gastos das Atividades'!BO$3&lt;='Gastos Gerais'!$E$4:$E$3632),-('Gastos Gerais'!$C$4:$C$3632)))</f>
        <v>105514.44000000002</v>
      </c>
      <c r="BP10" s="134">
        <f>IF($B10="",0,SUMPRODUCT(-('Gastos Gerais'!$F$4:$F$3632='Gastos das Atividades'!$B10),-('Gastos das Atividades'!BP$3&gt;='Gastos Gerais'!$D$4:$D$3632),-('Gastos das Atividades'!BP$3&lt;='Gastos Gerais'!$E$4:$E$3632),-('Gastos Gerais'!$C$4:$C$3632)))</f>
        <v>103204.12000000002</v>
      </c>
      <c r="BQ10" s="134">
        <f>IF($B10="",0,SUMPRODUCT(-('Gastos Gerais'!$F$4:$F$3632='Gastos das Atividades'!$B10),-('Gastos das Atividades'!BQ$3&gt;='Gastos Gerais'!$D$4:$D$3632),-('Gastos das Atividades'!BQ$3&lt;='Gastos Gerais'!$E$4:$E$3632),-('Gastos Gerais'!$C$4:$C$3632)))</f>
        <v>101282.05000000002</v>
      </c>
      <c r="BR10" s="134">
        <f>IF($B10="",0,SUMPRODUCT(-('Gastos Gerais'!$F$4:$F$3632='Gastos das Atividades'!$B10),-('Gastos das Atividades'!BR$3&gt;='Gastos Gerais'!$D$4:$D$3632),-('Gastos das Atividades'!BR$3&lt;='Gastos Gerais'!$E$4:$E$3632),-('Gastos Gerais'!$C$4:$C$3632)))</f>
        <v>101282.05000000002</v>
      </c>
      <c r="BS10" s="134">
        <f>IF($B10="",0,SUMPRODUCT(-('Gastos Gerais'!$F$4:$F$3632='Gastos das Atividades'!$B10),-('Gastos das Atividades'!BS$3&gt;='Gastos Gerais'!$D$4:$D$3632),-('Gastos das Atividades'!BS$3&lt;='Gastos Gerais'!$E$4:$E$3632),-('Gastos Gerais'!$C$4:$C$3632)))</f>
        <v>100436.05000000002</v>
      </c>
      <c r="BT10" s="134">
        <f>IF($B10="",0,SUMPRODUCT(-('Gastos Gerais'!$F$4:$F$3632='Gastos das Atividades'!$B10),-('Gastos das Atividades'!BT$3&gt;='Gastos Gerais'!$D$4:$D$3632),-('Gastos das Atividades'!BT$3&lt;='Gastos Gerais'!$E$4:$E$3632),-('Gastos Gerais'!$C$4:$C$3632)))</f>
        <v>100436.05000000002</v>
      </c>
      <c r="BU10" s="134">
        <f>IF($B10="",0,SUMPRODUCT(-('Gastos Gerais'!$F$4:$F$3632='Gastos das Atividades'!$B10),-('Gastos das Atividades'!BU$3&gt;='Gastos Gerais'!$D$4:$D$3632),-('Gastos das Atividades'!BU$3&lt;='Gastos Gerais'!$E$4:$E$3632),-('Gastos Gerais'!$C$4:$C$3632)))</f>
        <v>100436.05000000002</v>
      </c>
      <c r="BV10" s="134">
        <f>IF($B10="",0,SUMPRODUCT(-('Gastos Gerais'!$F$4:$F$3632='Gastos das Atividades'!$B10),-('Gastos das Atividades'!BV$3&gt;='Gastos Gerais'!$D$4:$D$3632),-('Gastos das Atividades'!BV$3&lt;='Gastos Gerais'!$E$4:$E$3632),-('Gastos Gerais'!$C$4:$C$3632)))</f>
        <v>100436.05000000002</v>
      </c>
      <c r="BW10" s="134">
        <f>IF($B10="",0,SUMPRODUCT(-('Gastos Gerais'!$F$4:$F$3632='Gastos das Atividades'!$B10),-('Gastos das Atividades'!BW$3&gt;='Gastos Gerais'!$D$4:$D$3632),-('Gastos das Atividades'!BW$3&lt;='Gastos Gerais'!$E$4:$E$3632),-('Gastos Gerais'!$C$4:$C$3632)))</f>
        <v>100436.05000000002</v>
      </c>
    </row>
    <row r="11" spans="1:76">
      <c r="A11" s="138">
        <v>8</v>
      </c>
      <c r="B11" s="139" t="s">
        <v>635</v>
      </c>
      <c r="C11" s="132">
        <v>0</v>
      </c>
      <c r="D11" s="133">
        <f t="shared" si="0"/>
        <v>51259.210000000006</v>
      </c>
      <c r="E11" s="134">
        <f t="shared" si="1"/>
        <v>913657.33000000007</v>
      </c>
      <c r="F11" s="134">
        <f t="shared" si="1"/>
        <v>1103400.6700000002</v>
      </c>
      <c r="G11" s="134">
        <f t="shared" si="1"/>
        <v>1037596.0999999999</v>
      </c>
      <c r="H11" s="134">
        <f t="shared" si="1"/>
        <v>1105790.7200000002</v>
      </c>
      <c r="I11" s="135">
        <f t="shared" si="2"/>
        <v>5263715.1099999985</v>
      </c>
      <c r="J11" s="136">
        <f t="shared" si="3"/>
        <v>4.1441466798010991E-4</v>
      </c>
      <c r="K11" s="136">
        <f t="shared" si="4"/>
        <v>7.3866335251663792E-3</v>
      </c>
      <c r="L11" s="136">
        <f t="shared" si="5"/>
        <v>8.9206490366722548E-3</v>
      </c>
      <c r="M11" s="136">
        <f t="shared" si="6"/>
        <v>8.3886396859990005E-3</v>
      </c>
      <c r="N11" s="136">
        <f t="shared" si="7"/>
        <v>8.9399718428022339E-3</v>
      </c>
      <c r="O11" s="137">
        <f t="shared" si="8"/>
        <v>4.2555489045822924E-2</v>
      </c>
      <c r="P11" s="134">
        <f>IF($B11="",0,SUMPRODUCT(-('Gastos Gerais'!$F$4:$F$3632='Gastos das Atividades'!$B11),-('Gastos das Atividades'!P$3&gt;='Gastos Gerais'!$D$4:$D$3632),-('Gastos das Atividades'!P$3&lt;='Gastos Gerais'!$E$4:$E$3632),-('Gastos Gerais'!$C$4:$C$3632)))</f>
        <v>51259.210000000006</v>
      </c>
      <c r="Q11" s="134">
        <f>IF($B11="",0,SUMPRODUCT(-('Gastos Gerais'!$F$4:$F$3632='Gastos das Atividades'!$B11),-('Gastos das Atividades'!Q$3&gt;='Gastos Gerais'!$D$4:$D$3632),-('Gastos das Atividades'!Q$3&lt;='Gastos Gerais'!$E$4:$E$3632),-('Gastos Gerais'!$C$4:$C$3632)))</f>
        <v>78493.19</v>
      </c>
      <c r="R11" s="134">
        <f>IF($B11="",0,SUMPRODUCT(-('Gastos Gerais'!$F$4:$F$3632='Gastos das Atividades'!$B11),-('Gastos das Atividades'!R$3&gt;='Gastos Gerais'!$D$4:$D$3632),-('Gastos das Atividades'!R$3&lt;='Gastos Gerais'!$E$4:$E$3632),-('Gastos Gerais'!$C$4:$C$3632)))</f>
        <v>79514.98</v>
      </c>
      <c r="S11" s="134">
        <f>IF($B11="",0,SUMPRODUCT(-('Gastos Gerais'!$F$4:$F$3632='Gastos das Atividades'!$B11),-('Gastos das Atividades'!S$3&gt;='Gastos Gerais'!$D$4:$D$3632),-('Gastos das Atividades'!S$3&lt;='Gastos Gerais'!$E$4:$E$3632),-('Gastos Gerais'!$C$4:$C$3632)))</f>
        <v>76834.98</v>
      </c>
      <c r="T11" s="134">
        <f>IF($B11="",0,SUMPRODUCT(-('Gastos Gerais'!$F$4:$F$3632='Gastos das Atividades'!$B11),-('Gastos das Atividades'!T$3&gt;='Gastos Gerais'!$D$4:$D$3632),-('Gastos das Atividades'!T$3&lt;='Gastos Gerais'!$E$4:$E$3632),-('Gastos Gerais'!$C$4:$C$3632)))</f>
        <v>76834.98</v>
      </c>
      <c r="U11" s="134">
        <f>IF($B11="",0,SUMPRODUCT(-('Gastos Gerais'!$F$4:$F$3632='Gastos das Atividades'!$B11),-('Gastos das Atividades'!U$3&gt;='Gastos Gerais'!$D$4:$D$3632),-('Gastos das Atividades'!U$3&lt;='Gastos Gerais'!$E$4:$E$3632),-('Gastos Gerais'!$C$4:$C$3632)))</f>
        <v>75147.399999999994</v>
      </c>
      <c r="V11" s="134">
        <f>IF($B11="",0,SUMPRODUCT(-('Gastos Gerais'!$F$4:$F$3632='Gastos das Atividades'!$B11),-('Gastos das Atividades'!V$3&gt;='Gastos Gerais'!$D$4:$D$3632),-('Gastos das Atividades'!V$3&lt;='Gastos Gerais'!$E$4:$E$3632),-('Gastos Gerais'!$C$4:$C$3632)))</f>
        <v>75147.399999999994</v>
      </c>
      <c r="W11" s="134">
        <f>IF($B11="",0,SUMPRODUCT(-('Gastos Gerais'!$F$4:$F$3632='Gastos das Atividades'!$B11),-('Gastos das Atividades'!W$3&gt;='Gastos Gerais'!$D$4:$D$3632),-('Gastos das Atividades'!W$3&lt;='Gastos Gerais'!$E$4:$E$3632),-('Gastos Gerais'!$C$4:$C$3632)))</f>
        <v>75147.399999999994</v>
      </c>
      <c r="X11" s="134">
        <f>IF($B11="",0,SUMPRODUCT(-('Gastos Gerais'!$F$4:$F$3632='Gastos das Atividades'!$B11),-('Gastos das Atividades'!X$3&gt;='Gastos Gerais'!$D$4:$D$3632),-('Gastos das Atividades'!X$3&lt;='Gastos Gerais'!$E$4:$E$3632),-('Gastos Gerais'!$C$4:$C$3632)))</f>
        <v>75147.399999999994</v>
      </c>
      <c r="Y11" s="134">
        <f>IF($B11="",0,SUMPRODUCT(-('Gastos Gerais'!$F$4:$F$3632='Gastos das Atividades'!$B11),-('Gastos das Atividades'!Y$3&gt;='Gastos Gerais'!$D$4:$D$3632),-('Gastos das Atividades'!Y$3&lt;='Gastos Gerais'!$E$4:$E$3632),-('Gastos Gerais'!$C$4:$C$3632)))</f>
        <v>75147.399999999994</v>
      </c>
      <c r="Z11" s="134">
        <f>IF($B11="",0,SUMPRODUCT(-('Gastos Gerais'!$F$4:$F$3632='Gastos das Atividades'!$B11),-('Gastos das Atividades'!Z$3&gt;='Gastos Gerais'!$D$4:$D$3632),-('Gastos das Atividades'!Z$3&lt;='Gastos Gerais'!$E$4:$E$3632),-('Gastos Gerais'!$C$4:$C$3632)))</f>
        <v>75147.399999999994</v>
      </c>
      <c r="AA11" s="134">
        <f>IF($B11="",0,SUMPRODUCT(-('Gastos Gerais'!$F$4:$F$3632='Gastos das Atividades'!$B11),-('Gastos das Atividades'!AA$3&gt;='Gastos Gerais'!$D$4:$D$3632),-('Gastos das Atividades'!AA$3&lt;='Gastos Gerais'!$E$4:$E$3632),-('Gastos Gerais'!$C$4:$C$3632)))</f>
        <v>75547.399999999994</v>
      </c>
      <c r="AB11" s="134">
        <f>IF($B11="",0,SUMPRODUCT(-('Gastos Gerais'!$F$4:$F$3632='Gastos das Atividades'!$B11),-('Gastos das Atividades'!AB$3&gt;='Gastos Gerais'!$D$4:$D$3632),-('Gastos das Atividades'!AB$3&lt;='Gastos Gerais'!$E$4:$E$3632),-('Gastos Gerais'!$C$4:$C$3632)))</f>
        <v>75547.399999999994</v>
      </c>
      <c r="AC11" s="134">
        <f>IF($B11="",0,SUMPRODUCT(-('Gastos Gerais'!$F$4:$F$3632='Gastos das Atividades'!$B11),-('Gastos das Atividades'!AC$3&gt;='Gastos Gerais'!$D$4:$D$3632),-('Gastos das Atividades'!AC$3&lt;='Gastos Gerais'!$E$4:$E$3632),-('Gastos Gerais'!$C$4:$C$3632)))</f>
        <v>87695.6</v>
      </c>
      <c r="AD11" s="134">
        <f>IF($B11="",0,SUMPRODUCT(-('Gastos Gerais'!$F$4:$F$3632='Gastos das Atividades'!$B11),-('Gastos das Atividades'!AD$3&gt;='Gastos Gerais'!$D$4:$D$3632),-('Gastos das Atividades'!AD$3&lt;='Gastos Gerais'!$E$4:$E$3632),-('Gastos Gerais'!$C$4:$C$3632)))</f>
        <v>93098.000000000015</v>
      </c>
      <c r="AE11" s="134">
        <f>IF($B11="",0,SUMPRODUCT(-('Gastos Gerais'!$F$4:$F$3632='Gastos das Atividades'!$B11),-('Gastos das Atividades'!AE$3&gt;='Gastos Gerais'!$D$4:$D$3632),-('Gastos das Atividades'!AE$3&lt;='Gastos Gerais'!$E$4:$E$3632),-('Gastos Gerais'!$C$4:$C$3632)))</f>
        <v>83098.000000000015</v>
      </c>
      <c r="AF11" s="134">
        <f>IF($B11="",0,SUMPRODUCT(-('Gastos Gerais'!$F$4:$F$3632='Gastos das Atividades'!$B11),-('Gastos das Atividades'!AF$3&gt;='Gastos Gerais'!$D$4:$D$3632),-('Gastos das Atividades'!AF$3&lt;='Gastos Gerais'!$E$4:$E$3632),-('Gastos Gerais'!$C$4:$C$3632)))</f>
        <v>152948</v>
      </c>
      <c r="AG11" s="134">
        <f>IF($B11="",0,SUMPRODUCT(-('Gastos Gerais'!$F$4:$F$3632='Gastos das Atividades'!$B11),-('Gastos das Atividades'!AG$3&gt;='Gastos Gerais'!$D$4:$D$3632),-('Gastos das Atividades'!AG$3&lt;='Gastos Gerais'!$E$4:$E$3632),-('Gastos Gerais'!$C$4:$C$3632)))</f>
        <v>85707.633750000008</v>
      </c>
      <c r="AH11" s="134">
        <f>IF($B11="",0,SUMPRODUCT(-('Gastos Gerais'!$F$4:$F$3632='Gastos das Atividades'!$B11),-('Gastos das Atividades'!AH$3&gt;='Gastos Gerais'!$D$4:$D$3632),-('Gastos das Atividades'!AH$3&lt;='Gastos Gerais'!$E$4:$E$3632),-('Gastos Gerais'!$C$4:$C$3632)))</f>
        <v>85707.633750000008</v>
      </c>
      <c r="AI11" s="134">
        <f>IF($B11="",0,SUMPRODUCT(-('Gastos Gerais'!$F$4:$F$3632='Gastos das Atividades'!$B11),-('Gastos das Atividades'!AI$3&gt;='Gastos Gerais'!$D$4:$D$3632),-('Gastos das Atividades'!AI$3&lt;='Gastos Gerais'!$E$4:$E$3632),-('Gastos Gerais'!$C$4:$C$3632)))</f>
        <v>85707.633750000008</v>
      </c>
      <c r="AJ11" s="134">
        <f>IF($B11="",0,SUMPRODUCT(-('Gastos Gerais'!$F$4:$F$3632='Gastos das Atividades'!$B11),-('Gastos das Atividades'!AJ$3&gt;='Gastos Gerais'!$D$4:$D$3632),-('Gastos das Atividades'!AJ$3&lt;='Gastos Gerais'!$E$4:$E$3632),-('Gastos Gerais'!$C$4:$C$3632)))</f>
        <v>85707.633750000008</v>
      </c>
      <c r="AK11" s="134">
        <f>IF($B11="",0,SUMPRODUCT(-('Gastos Gerais'!$F$4:$F$3632='Gastos das Atividades'!$B11),-('Gastos das Atividades'!AK$3&gt;='Gastos Gerais'!$D$4:$D$3632),-('Gastos das Atividades'!AK$3&lt;='Gastos Gerais'!$E$4:$E$3632),-('Gastos Gerais'!$C$4:$C$3632)))</f>
        <v>85707.633750000008</v>
      </c>
      <c r="AL11" s="134">
        <f>IF($B11="",0,SUMPRODUCT(-('Gastos Gerais'!$F$4:$F$3632='Gastos das Atividades'!$B11),-('Gastos das Atividades'!AL$3&gt;='Gastos Gerais'!$D$4:$D$3632),-('Gastos das Atividades'!AL$3&lt;='Gastos Gerais'!$E$4:$E$3632),-('Gastos Gerais'!$C$4:$C$3632)))</f>
        <v>85707.633750000008</v>
      </c>
      <c r="AM11" s="134">
        <f>IF($B11="",0,SUMPRODUCT(-('Gastos Gerais'!$F$4:$F$3632='Gastos das Atividades'!$B11),-('Gastos das Atividades'!AM$3&gt;='Gastos Gerais'!$D$4:$D$3632),-('Gastos das Atividades'!AM$3&lt;='Gastos Gerais'!$E$4:$E$3632),-('Gastos Gerais'!$C$4:$C$3632)))</f>
        <v>86157.633750000008</v>
      </c>
      <c r="AN11" s="134">
        <f>IF($B11="",0,SUMPRODUCT(-('Gastos Gerais'!$F$4:$F$3632='Gastos das Atividades'!$B11),-('Gastos das Atividades'!AN$3&gt;='Gastos Gerais'!$D$4:$D$3632),-('Gastos das Atividades'!AN$3&lt;='Gastos Gerais'!$E$4:$E$3632),-('Gastos Gerais'!$C$4:$C$3632)))</f>
        <v>86157.633750000008</v>
      </c>
      <c r="AO11" s="134">
        <f>IF($B11="",0,SUMPRODUCT(-('Gastos Gerais'!$F$4:$F$3632='Gastos das Atividades'!$B11),-('Gastos das Atividades'!AO$3&gt;='Gastos Gerais'!$D$4:$D$3632),-('Gastos das Atividades'!AO$3&lt;='Gastos Gerais'!$E$4:$E$3632),-('Gastos Gerais'!$C$4:$C$3632)))</f>
        <v>92441.400000000009</v>
      </c>
      <c r="AP11" s="134">
        <f>IF($B11="",0,SUMPRODUCT(-('Gastos Gerais'!$F$4:$F$3632='Gastos das Atividades'!$B11),-('Gastos das Atividades'!AP$3&gt;='Gastos Gerais'!$D$4:$D$3632),-('Gastos das Atividades'!AP$3&lt;='Gastos Gerais'!$E$4:$E$3632),-('Gastos Gerais'!$C$4:$C$3632)))</f>
        <v>87575.3</v>
      </c>
      <c r="AQ11" s="134">
        <f>IF($B11="",0,SUMPRODUCT(-('Gastos Gerais'!$F$4:$F$3632='Gastos das Atividades'!$B11),-('Gastos das Atividades'!AQ$3&gt;='Gastos Gerais'!$D$4:$D$3632),-('Gastos das Atividades'!AQ$3&lt;='Gastos Gerais'!$E$4:$E$3632),-('Gastos Gerais'!$C$4:$C$3632)))</f>
        <v>87575.3</v>
      </c>
      <c r="AR11" s="134">
        <f>IF($B11="",0,SUMPRODUCT(-('Gastos Gerais'!$F$4:$F$3632='Gastos das Atividades'!$B11),-('Gastos das Atividades'!AR$3&gt;='Gastos Gerais'!$D$4:$D$3632),-('Gastos das Atividades'!AR$3&lt;='Gastos Gerais'!$E$4:$E$3632),-('Gastos Gerais'!$C$4:$C$3632)))</f>
        <v>87125.3</v>
      </c>
      <c r="AS11" s="134">
        <f>IF($B11="",0,SUMPRODUCT(-('Gastos Gerais'!$F$4:$F$3632='Gastos das Atividades'!$B11),-('Gastos das Atividades'!AS$3&gt;='Gastos Gerais'!$D$4:$D$3632),-('Gastos das Atividades'!AS$3&lt;='Gastos Gerais'!$E$4:$E$3632),-('Gastos Gerais'!$C$4:$C$3632)))</f>
        <v>85234.85</v>
      </c>
      <c r="AT11" s="134">
        <f>IF($B11="",0,SUMPRODUCT(-('Gastos Gerais'!$F$4:$F$3632='Gastos das Atividades'!$B11),-('Gastos das Atividades'!AT$3&gt;='Gastos Gerais'!$D$4:$D$3632),-('Gastos das Atividades'!AT$3&lt;='Gastos Gerais'!$E$4:$E$3632),-('Gastos Gerais'!$C$4:$C$3632)))</f>
        <v>85234.85</v>
      </c>
      <c r="AU11" s="134">
        <f>IF($B11="",0,SUMPRODUCT(-('Gastos Gerais'!$F$4:$F$3632='Gastos das Atividades'!$B11),-('Gastos das Atividades'!AU$3&gt;='Gastos Gerais'!$D$4:$D$3632),-('Gastos das Atividades'!AU$3&lt;='Gastos Gerais'!$E$4:$E$3632),-('Gastos Gerais'!$C$4:$C$3632)))</f>
        <v>85234.85</v>
      </c>
      <c r="AV11" s="134">
        <f>IF($B11="",0,SUMPRODUCT(-('Gastos Gerais'!$F$4:$F$3632='Gastos das Atividades'!$B11),-('Gastos das Atividades'!AV$3&gt;='Gastos Gerais'!$D$4:$D$3632),-('Gastos das Atividades'!AV$3&lt;='Gastos Gerais'!$E$4:$E$3632),-('Gastos Gerais'!$C$4:$C$3632)))</f>
        <v>85234.85</v>
      </c>
      <c r="AW11" s="134">
        <f>IF($B11="",0,SUMPRODUCT(-('Gastos Gerais'!$F$4:$F$3632='Gastos das Atividades'!$B11),-('Gastos das Atividades'!AW$3&gt;='Gastos Gerais'!$D$4:$D$3632),-('Gastos das Atividades'!AW$3&lt;='Gastos Gerais'!$E$4:$E$3632),-('Gastos Gerais'!$C$4:$C$3632)))</f>
        <v>85234.85</v>
      </c>
      <c r="AX11" s="134">
        <f>IF($B11="",0,SUMPRODUCT(-('Gastos Gerais'!$F$4:$F$3632='Gastos das Atividades'!$B11),-('Gastos das Atividades'!AX$3&gt;='Gastos Gerais'!$D$4:$D$3632),-('Gastos das Atividades'!AX$3&lt;='Gastos Gerais'!$E$4:$E$3632),-('Gastos Gerais'!$C$4:$C$3632)))</f>
        <v>85234.85</v>
      </c>
      <c r="AY11" s="134">
        <f>IF($B11="",0,SUMPRODUCT(-('Gastos Gerais'!$F$4:$F$3632='Gastos das Atividades'!$B11),-('Gastos das Atividades'!AY$3&gt;='Gastos Gerais'!$D$4:$D$3632),-('Gastos das Atividades'!AY$3&lt;='Gastos Gerais'!$E$4:$E$3632),-('Gastos Gerais'!$C$4:$C$3632)))</f>
        <v>85734.85</v>
      </c>
      <c r="AZ11" s="134">
        <f>IF($B11="",0,SUMPRODUCT(-('Gastos Gerais'!$F$4:$F$3632='Gastos das Atividades'!$B11),-('Gastos das Atividades'!AZ$3&gt;='Gastos Gerais'!$D$4:$D$3632),-('Gastos das Atividades'!AZ$3&lt;='Gastos Gerais'!$E$4:$E$3632),-('Gastos Gerais'!$C$4:$C$3632)))</f>
        <v>85734.85</v>
      </c>
      <c r="BA11" s="134">
        <f>IF($B11="",0,SUMPRODUCT(-('Gastos Gerais'!$F$4:$F$3632='Gastos das Atividades'!$B11),-('Gastos das Atividades'!BA$3&gt;='Gastos Gerais'!$D$4:$D$3632),-('Gastos das Atividades'!BA$3&lt;='Gastos Gerais'!$E$4:$E$3632),-('Gastos Gerais'!$C$4:$C$3632)))</f>
        <v>97237.550000000017</v>
      </c>
      <c r="BB11" s="134">
        <f>IF($B11="",0,SUMPRODUCT(-('Gastos Gerais'!$F$4:$F$3632='Gastos das Atividades'!$B11),-('Gastos das Atividades'!BB$3&gt;='Gastos Gerais'!$D$4:$D$3632),-('Gastos das Atividades'!BB$3&lt;='Gastos Gerais'!$E$4:$E$3632),-('Gastos Gerais'!$C$4:$C$3632)))</f>
        <v>107087.27</v>
      </c>
      <c r="BC11" s="134">
        <f>IF($B11="",0,SUMPRODUCT(-('Gastos Gerais'!$F$4:$F$3632='Gastos das Atividades'!$B11),-('Gastos das Atividades'!BC$3&gt;='Gastos Gerais'!$D$4:$D$3632),-('Gastos das Atividades'!BC$3&lt;='Gastos Gerais'!$E$4:$E$3632),-('Gastos Gerais'!$C$4:$C$3632)))</f>
        <v>92087.27</v>
      </c>
      <c r="BD11" s="134">
        <f>IF($B11="",0,SUMPRODUCT(-('Gastos Gerais'!$F$4:$F$3632='Gastos das Atividades'!$B11),-('Gastos das Atividades'!BD$3&gt;='Gastos Gerais'!$D$4:$D$3632),-('Gastos das Atividades'!BD$3&lt;='Gastos Gerais'!$E$4:$E$3632),-('Gastos Gerais'!$C$4:$C$3632)))</f>
        <v>91587.27</v>
      </c>
      <c r="BE11" s="134">
        <f>IF($B11="",0,SUMPRODUCT(-('Gastos Gerais'!$F$4:$F$3632='Gastos das Atividades'!$B11),-('Gastos das Atividades'!BE$3&gt;='Gastos Gerais'!$D$4:$D$3632),-('Gastos das Atividades'!BE$3&lt;='Gastos Gerais'!$E$4:$E$3632),-('Gastos Gerais'!$C$4:$C$3632)))</f>
        <v>89586.420000000013</v>
      </c>
      <c r="BF11" s="134">
        <f>IF($B11="",0,SUMPRODUCT(-('Gastos Gerais'!$F$4:$F$3632='Gastos das Atividades'!$B11),-('Gastos das Atividades'!BF$3&gt;='Gastos Gerais'!$D$4:$D$3632),-('Gastos das Atividades'!BF$3&lt;='Gastos Gerais'!$E$4:$E$3632),-('Gastos Gerais'!$C$4:$C$3632)))</f>
        <v>89586.420000000013</v>
      </c>
      <c r="BG11" s="134">
        <f>IF($B11="",0,SUMPRODUCT(-('Gastos Gerais'!$F$4:$F$3632='Gastos das Atividades'!$B11),-('Gastos das Atividades'!BG$3&gt;='Gastos Gerais'!$D$4:$D$3632),-('Gastos das Atividades'!BG$3&lt;='Gastos Gerais'!$E$4:$E$3632),-('Gastos Gerais'!$C$4:$C$3632)))</f>
        <v>89586.420000000013</v>
      </c>
      <c r="BH11" s="134">
        <f>IF($B11="",0,SUMPRODUCT(-('Gastos Gerais'!$F$4:$F$3632='Gastos das Atividades'!$B11),-('Gastos das Atividades'!BH$3&gt;='Gastos Gerais'!$D$4:$D$3632),-('Gastos das Atividades'!BH$3&lt;='Gastos Gerais'!$E$4:$E$3632),-('Gastos Gerais'!$C$4:$C$3632)))</f>
        <v>89586.420000000013</v>
      </c>
      <c r="BI11" s="134">
        <f>IF($B11="",0,SUMPRODUCT(-('Gastos Gerais'!$F$4:$F$3632='Gastos das Atividades'!$B11),-('Gastos das Atividades'!BI$3&gt;='Gastos Gerais'!$D$4:$D$3632),-('Gastos das Atividades'!BI$3&lt;='Gastos Gerais'!$E$4:$E$3632),-('Gastos Gerais'!$C$4:$C$3632)))</f>
        <v>89586.420000000013</v>
      </c>
      <c r="BJ11" s="134">
        <f>IF($B11="",0,SUMPRODUCT(-('Gastos Gerais'!$F$4:$F$3632='Gastos das Atividades'!$B11),-('Gastos das Atividades'!BJ$3&gt;='Gastos Gerais'!$D$4:$D$3632),-('Gastos das Atividades'!BJ$3&lt;='Gastos Gerais'!$E$4:$E$3632),-('Gastos Gerais'!$C$4:$C$3632)))</f>
        <v>89586.420000000013</v>
      </c>
      <c r="BK11" s="134">
        <f>IF($B11="",0,SUMPRODUCT(-('Gastos Gerais'!$F$4:$F$3632='Gastos das Atividades'!$B11),-('Gastos das Atividades'!BK$3&gt;='Gastos Gerais'!$D$4:$D$3632),-('Gastos das Atividades'!BK$3&lt;='Gastos Gerais'!$E$4:$E$3632),-('Gastos Gerais'!$C$4:$C$3632)))</f>
        <v>90136.420000000013</v>
      </c>
      <c r="BL11" s="134">
        <f>IF($B11="",0,SUMPRODUCT(-('Gastos Gerais'!$F$4:$F$3632='Gastos das Atividades'!$B11),-('Gastos das Atividades'!BL$3&gt;='Gastos Gerais'!$D$4:$D$3632),-('Gastos das Atividades'!BL$3&lt;='Gastos Gerais'!$E$4:$E$3632),-('Gastos Gerais'!$C$4:$C$3632)))</f>
        <v>90136.420000000013</v>
      </c>
      <c r="BM11" s="134">
        <f>IF($B11="",0,SUMPRODUCT(-('Gastos Gerais'!$F$4:$F$3632='Gastos das Atividades'!$B11),-('Gastos das Atividades'!BM$3&gt;='Gastos Gerais'!$D$4:$D$3632),-('Gastos das Atividades'!BM$3&lt;='Gastos Gerais'!$E$4:$E$3632),-('Gastos Gerais'!$C$4:$C$3632)))</f>
        <v>103185.38</v>
      </c>
      <c r="BN11" s="134">
        <f>IF($B11="",0,SUMPRODUCT(-('Gastos Gerais'!$F$4:$F$3632='Gastos das Atividades'!$B11),-('Gastos das Atividades'!BN$3&gt;='Gastos Gerais'!$D$4:$D$3632),-('Gastos das Atividades'!BN$3&lt;='Gastos Gerais'!$E$4:$E$3632),-('Gastos Gerais'!$C$4:$C$3632)))</f>
        <v>96804.96</v>
      </c>
      <c r="BO11" s="134">
        <f>IF($B11="",0,SUMPRODUCT(-('Gastos Gerais'!$F$4:$F$3632='Gastos das Atividades'!$B11),-('Gastos das Atividades'!BO$3&gt;='Gastos Gerais'!$D$4:$D$3632),-('Gastos das Atividades'!BO$3&lt;='Gastos Gerais'!$E$4:$E$3632),-('Gastos Gerais'!$C$4:$C$3632)))</f>
        <v>96804.96</v>
      </c>
      <c r="BP11" s="134">
        <f>IF($B11="",0,SUMPRODUCT(-('Gastos Gerais'!$F$4:$F$3632='Gastos das Atividades'!$B11),-('Gastos das Atividades'!BP$3&gt;='Gastos Gerais'!$D$4:$D$3632),-('Gastos das Atividades'!BP$3&lt;='Gastos Gerais'!$E$4:$E$3632),-('Gastos Gerais'!$C$4:$C$3632)))</f>
        <v>96254.96</v>
      </c>
      <c r="BQ11" s="134">
        <f>IF($B11="",0,SUMPRODUCT(-('Gastos Gerais'!$F$4:$F$3632='Gastos das Atividades'!$B11),-('Gastos das Atividades'!BQ$3&gt;='Gastos Gerais'!$D$4:$D$3632),-('Gastos das Atividades'!BQ$3&lt;='Gastos Gerais'!$E$4:$E$3632),-('Gastos Gerais'!$C$4:$C$3632)))</f>
        <v>94137.260000000009</v>
      </c>
      <c r="BR11" s="134">
        <f>IF($B11="",0,SUMPRODUCT(-('Gastos Gerais'!$F$4:$F$3632='Gastos das Atividades'!$B11),-('Gastos das Atividades'!BR$3&gt;='Gastos Gerais'!$D$4:$D$3632),-('Gastos das Atividades'!BR$3&lt;='Gastos Gerais'!$E$4:$E$3632),-('Gastos Gerais'!$C$4:$C$3632)))</f>
        <v>94137.260000000009</v>
      </c>
      <c r="BS11" s="134">
        <f>IF($B11="",0,SUMPRODUCT(-('Gastos Gerais'!$F$4:$F$3632='Gastos das Atividades'!$B11),-('Gastos das Atividades'!BS$3&gt;='Gastos Gerais'!$D$4:$D$3632),-('Gastos das Atividades'!BS$3&lt;='Gastos Gerais'!$E$4:$E$3632),-('Gastos Gerais'!$C$4:$C$3632)))</f>
        <v>94137.260000000009</v>
      </c>
      <c r="BT11" s="134">
        <f>IF($B11="",0,SUMPRODUCT(-('Gastos Gerais'!$F$4:$F$3632='Gastos das Atividades'!$B11),-('Gastos das Atividades'!BT$3&gt;='Gastos Gerais'!$D$4:$D$3632),-('Gastos das Atividades'!BT$3&lt;='Gastos Gerais'!$E$4:$E$3632),-('Gastos Gerais'!$C$4:$C$3632)))</f>
        <v>94137.260000000009</v>
      </c>
      <c r="BU11" s="134">
        <f>IF($B11="",0,SUMPRODUCT(-('Gastos Gerais'!$F$4:$F$3632='Gastos das Atividades'!$B11),-('Gastos das Atividades'!BU$3&gt;='Gastos Gerais'!$D$4:$D$3632),-('Gastos das Atividades'!BU$3&lt;='Gastos Gerais'!$E$4:$E$3632),-('Gastos Gerais'!$C$4:$C$3632)))</f>
        <v>94137.260000000009</v>
      </c>
      <c r="BV11" s="134">
        <f>IF($B11="",0,SUMPRODUCT(-('Gastos Gerais'!$F$4:$F$3632='Gastos das Atividades'!$B11),-('Gastos das Atividades'!BV$3&gt;='Gastos Gerais'!$D$4:$D$3632),-('Gastos das Atividades'!BV$3&lt;='Gastos Gerais'!$E$4:$E$3632),-('Gastos Gerais'!$C$4:$C$3632)))</f>
        <v>94137.260000000009</v>
      </c>
      <c r="BW11" s="134">
        <f>IF($B11="",0,SUMPRODUCT(-('Gastos Gerais'!$F$4:$F$3632='Gastos das Atividades'!$B11),-('Gastos das Atividades'!BW$3&gt;='Gastos Gerais'!$D$4:$D$3632),-('Gastos das Atividades'!BW$3&lt;='Gastos Gerais'!$E$4:$E$3632),-('Gastos Gerais'!$C$4:$C$3632)))</f>
        <v>94137.260000000009</v>
      </c>
    </row>
    <row r="12" spans="1:76">
      <c r="A12" s="138">
        <v>9</v>
      </c>
      <c r="B12" s="139" t="s">
        <v>636</v>
      </c>
      <c r="C12" s="132">
        <v>0</v>
      </c>
      <c r="D12" s="133">
        <f t="shared" si="0"/>
        <v>60063.429999999993</v>
      </c>
      <c r="E12" s="134">
        <f t="shared" si="1"/>
        <v>1138451.8399999999</v>
      </c>
      <c r="F12" s="134">
        <f t="shared" si="1"/>
        <v>1186683.51</v>
      </c>
      <c r="G12" s="134">
        <f t="shared" si="1"/>
        <v>1131756.5500000003</v>
      </c>
      <c r="H12" s="134">
        <f t="shared" si="1"/>
        <v>1198932.54</v>
      </c>
      <c r="I12" s="135">
        <f t="shared" si="2"/>
        <v>5861779.740000003</v>
      </c>
      <c r="J12" s="136">
        <f t="shared" si="3"/>
        <v>4.8559403083263609E-4</v>
      </c>
      <c r="K12" s="136">
        <f t="shared" si="4"/>
        <v>9.2040267746019699E-3</v>
      </c>
      <c r="L12" s="136">
        <f t="shared" si="5"/>
        <v>9.5939647293456411E-3</v>
      </c>
      <c r="M12" s="136">
        <f t="shared" si="6"/>
        <v>9.1498974506740299E-3</v>
      </c>
      <c r="N12" s="136">
        <f t="shared" si="7"/>
        <v>9.6929943027730982E-3</v>
      </c>
      <c r="O12" s="137">
        <f t="shared" si="8"/>
        <v>4.7390654376542982E-2</v>
      </c>
      <c r="P12" s="134">
        <f>IF($B12="",0,SUMPRODUCT(-('Gastos Gerais'!$F$4:$F$3632='Gastos das Atividades'!$B12),-('Gastos das Atividades'!P$3&gt;='Gastos Gerais'!$D$4:$D$3632),-('Gastos das Atividades'!P$3&lt;='Gastos Gerais'!$E$4:$E$3632),-('Gastos Gerais'!$C$4:$C$3632)))</f>
        <v>60063.429999999993</v>
      </c>
      <c r="Q12" s="134">
        <f>IF($B12="",0,SUMPRODUCT(-('Gastos Gerais'!$F$4:$F$3632='Gastos das Atividades'!$B12),-('Gastos das Atividades'!Q$3&gt;='Gastos Gerais'!$D$4:$D$3632),-('Gastos das Atividades'!Q$3&lt;='Gastos Gerais'!$E$4:$E$3632),-('Gastos Gerais'!$C$4:$C$3632)))</f>
        <v>187577.32</v>
      </c>
      <c r="R12" s="134">
        <f>IF($B12="",0,SUMPRODUCT(-('Gastos Gerais'!$F$4:$F$3632='Gastos das Atividades'!$B12),-('Gastos das Atividades'!R$3&gt;='Gastos Gerais'!$D$4:$D$3632),-('Gastos das Atividades'!R$3&lt;='Gastos Gerais'!$E$4:$E$3632),-('Gastos Gerais'!$C$4:$C$3632)))</f>
        <v>114177.31999999999</v>
      </c>
      <c r="S12" s="134">
        <f>IF($B12="",0,SUMPRODUCT(-('Gastos Gerais'!$F$4:$F$3632='Gastos das Atividades'!$B12),-('Gastos das Atividades'!S$3&gt;='Gastos Gerais'!$D$4:$D$3632),-('Gastos das Atividades'!S$3&lt;='Gastos Gerais'!$E$4:$E$3632),-('Gastos Gerais'!$C$4:$C$3632)))</f>
        <v>84177.319999999992</v>
      </c>
      <c r="T12" s="134">
        <f>IF($B12="",0,SUMPRODUCT(-('Gastos Gerais'!$F$4:$F$3632='Gastos das Atividades'!$B12),-('Gastos das Atividades'!T$3&gt;='Gastos Gerais'!$D$4:$D$3632),-('Gastos das Atividades'!T$3&lt;='Gastos Gerais'!$E$4:$E$3632),-('Gastos Gerais'!$C$4:$C$3632)))</f>
        <v>84177.319999999992</v>
      </c>
      <c r="U12" s="134">
        <f>IF($B12="",0,SUMPRODUCT(-('Gastos Gerais'!$F$4:$F$3632='Gastos das Atividades'!$B12),-('Gastos das Atividades'!U$3&gt;='Gastos Gerais'!$D$4:$D$3632),-('Gastos das Atividades'!U$3&lt;='Gastos Gerais'!$E$4:$E$3632),-('Gastos Gerais'!$C$4:$C$3632)))</f>
        <v>84177.319999999992</v>
      </c>
      <c r="V12" s="134">
        <f>IF($B12="",0,SUMPRODUCT(-('Gastos Gerais'!$F$4:$F$3632='Gastos das Atividades'!$B12),-('Gastos das Atividades'!V$3&gt;='Gastos Gerais'!$D$4:$D$3632),-('Gastos das Atividades'!V$3&lt;='Gastos Gerais'!$E$4:$E$3632),-('Gastos Gerais'!$C$4:$C$3632)))</f>
        <v>84177.319999999992</v>
      </c>
      <c r="W12" s="134">
        <f>IF($B12="",0,SUMPRODUCT(-('Gastos Gerais'!$F$4:$F$3632='Gastos das Atividades'!$B12),-('Gastos das Atividades'!W$3&gt;='Gastos Gerais'!$D$4:$D$3632),-('Gastos das Atividades'!W$3&lt;='Gastos Gerais'!$E$4:$E$3632),-('Gastos Gerais'!$C$4:$C$3632)))</f>
        <v>83331.319999999992</v>
      </c>
      <c r="X12" s="134">
        <f>IF($B12="",0,SUMPRODUCT(-('Gastos Gerais'!$F$4:$F$3632='Gastos das Atividades'!$B12),-('Gastos das Atividades'!X$3&gt;='Gastos Gerais'!$D$4:$D$3632),-('Gastos das Atividades'!X$3&lt;='Gastos Gerais'!$E$4:$E$3632),-('Gastos Gerais'!$C$4:$C$3632)))</f>
        <v>83331.319999999992</v>
      </c>
      <c r="Y12" s="134">
        <f>IF($B12="",0,SUMPRODUCT(-('Gastos Gerais'!$F$4:$F$3632='Gastos das Atividades'!$B12),-('Gastos das Atividades'!Y$3&gt;='Gastos Gerais'!$D$4:$D$3632),-('Gastos das Atividades'!Y$3&lt;='Gastos Gerais'!$E$4:$E$3632),-('Gastos Gerais'!$C$4:$C$3632)))</f>
        <v>83331.319999999992</v>
      </c>
      <c r="Z12" s="134">
        <f>IF($B12="",0,SUMPRODUCT(-('Gastos Gerais'!$F$4:$F$3632='Gastos das Atividades'!$B12),-('Gastos das Atividades'!Z$3&gt;='Gastos Gerais'!$D$4:$D$3632),-('Gastos das Atividades'!Z$3&lt;='Gastos Gerais'!$E$4:$E$3632),-('Gastos Gerais'!$C$4:$C$3632)))</f>
        <v>83331.319999999992</v>
      </c>
      <c r="AA12" s="134">
        <f>IF($B12="",0,SUMPRODUCT(-('Gastos Gerais'!$F$4:$F$3632='Gastos das Atividades'!$B12),-('Gastos das Atividades'!AA$3&gt;='Gastos Gerais'!$D$4:$D$3632),-('Gastos das Atividades'!AA$3&lt;='Gastos Gerais'!$E$4:$E$3632),-('Gastos Gerais'!$C$4:$C$3632)))</f>
        <v>83331.319999999992</v>
      </c>
      <c r="AB12" s="134">
        <f>IF($B12="",0,SUMPRODUCT(-('Gastos Gerais'!$F$4:$F$3632='Gastos das Atividades'!$B12),-('Gastos das Atividades'!AB$3&gt;='Gastos Gerais'!$D$4:$D$3632),-('Gastos das Atividades'!AB$3&lt;='Gastos Gerais'!$E$4:$E$3632),-('Gastos Gerais'!$C$4:$C$3632)))</f>
        <v>83331.319999999992</v>
      </c>
      <c r="AC12" s="134">
        <f>IF($B12="",0,SUMPRODUCT(-('Gastos Gerais'!$F$4:$F$3632='Gastos das Atividades'!$B12),-('Gastos das Atividades'!AC$3&gt;='Gastos Gerais'!$D$4:$D$3632),-('Gastos das Atividades'!AC$3&lt;='Gastos Gerais'!$E$4:$E$3632),-('Gastos Gerais'!$C$4:$C$3632)))</f>
        <v>94307.19</v>
      </c>
      <c r="AD12" s="134">
        <f>IF($B12="",0,SUMPRODUCT(-('Gastos Gerais'!$F$4:$F$3632='Gastos das Atividades'!$B12),-('Gastos das Atividades'!AD$3&gt;='Gastos Gerais'!$D$4:$D$3632),-('Gastos das Atividades'!AD$3&lt;='Gastos Gerais'!$E$4:$E$3632),-('Gastos Gerais'!$C$4:$C$3632)))</f>
        <v>90703.19</v>
      </c>
      <c r="AE12" s="134">
        <f>IF($B12="",0,SUMPRODUCT(-('Gastos Gerais'!$F$4:$F$3632='Gastos das Atividades'!$B12),-('Gastos das Atividades'!AE$3&gt;='Gastos Gerais'!$D$4:$D$3632),-('Gastos das Atividades'!AE$3&lt;='Gastos Gerais'!$E$4:$E$3632),-('Gastos Gerais'!$C$4:$C$3632)))</f>
        <v>90703.19</v>
      </c>
      <c r="AF12" s="134">
        <f>IF($B12="",0,SUMPRODUCT(-('Gastos Gerais'!$F$4:$F$3632='Gastos das Atividades'!$B12),-('Gastos das Atividades'!AF$3&gt;='Gastos Gerais'!$D$4:$D$3632),-('Gastos das Atividades'!AF$3&lt;='Gastos Gerais'!$E$4:$E$3632),-('Gastos Gerais'!$C$4:$C$3632)))</f>
        <v>160953.19</v>
      </c>
      <c r="AG12" s="134">
        <f>IF($B12="",0,SUMPRODUCT(-('Gastos Gerais'!$F$4:$F$3632='Gastos das Atividades'!$B12),-('Gastos das Atividades'!AG$3&gt;='Gastos Gerais'!$D$4:$D$3632),-('Gastos das Atividades'!AG$3&lt;='Gastos Gerais'!$E$4:$E$3632),-('Gastos Gerais'!$C$4:$C$3632)))</f>
        <v>95498.963749999995</v>
      </c>
      <c r="AH12" s="134">
        <f>IF($B12="",0,SUMPRODUCT(-('Gastos Gerais'!$F$4:$F$3632='Gastos das Atividades'!$B12),-('Gastos das Atividades'!AH$3&gt;='Gastos Gerais'!$D$4:$D$3632),-('Gastos das Atividades'!AH$3&lt;='Gastos Gerais'!$E$4:$E$3632),-('Gastos Gerais'!$C$4:$C$3632)))</f>
        <v>94227.683749999997</v>
      </c>
      <c r="AI12" s="134">
        <f>IF($B12="",0,SUMPRODUCT(-('Gastos Gerais'!$F$4:$F$3632='Gastos das Atividades'!$B12),-('Gastos das Atividades'!AI$3&gt;='Gastos Gerais'!$D$4:$D$3632),-('Gastos das Atividades'!AI$3&lt;='Gastos Gerais'!$E$4:$E$3632),-('Gastos Gerais'!$C$4:$C$3632)))</f>
        <v>93381.683749999997</v>
      </c>
      <c r="AJ12" s="134">
        <f>IF($B12="",0,SUMPRODUCT(-('Gastos Gerais'!$F$4:$F$3632='Gastos das Atividades'!$B12),-('Gastos das Atividades'!AJ$3&gt;='Gastos Gerais'!$D$4:$D$3632),-('Gastos das Atividades'!AJ$3&lt;='Gastos Gerais'!$E$4:$E$3632),-('Gastos Gerais'!$C$4:$C$3632)))</f>
        <v>93381.683749999997</v>
      </c>
      <c r="AK12" s="134">
        <f>IF($B12="",0,SUMPRODUCT(-('Gastos Gerais'!$F$4:$F$3632='Gastos das Atividades'!$B12),-('Gastos das Atividades'!AK$3&gt;='Gastos Gerais'!$D$4:$D$3632),-('Gastos das Atividades'!AK$3&lt;='Gastos Gerais'!$E$4:$E$3632),-('Gastos Gerais'!$C$4:$C$3632)))</f>
        <v>93381.683749999997</v>
      </c>
      <c r="AL12" s="134">
        <f>IF($B12="",0,SUMPRODUCT(-('Gastos Gerais'!$F$4:$F$3632='Gastos das Atividades'!$B12),-('Gastos das Atividades'!AL$3&gt;='Gastos Gerais'!$D$4:$D$3632),-('Gastos das Atividades'!AL$3&lt;='Gastos Gerais'!$E$4:$E$3632),-('Gastos Gerais'!$C$4:$C$3632)))</f>
        <v>93381.683749999997</v>
      </c>
      <c r="AM12" s="134">
        <f>IF($B12="",0,SUMPRODUCT(-('Gastos Gerais'!$F$4:$F$3632='Gastos das Atividades'!$B12),-('Gastos das Atividades'!AM$3&gt;='Gastos Gerais'!$D$4:$D$3632),-('Gastos das Atividades'!AM$3&lt;='Gastos Gerais'!$E$4:$E$3632),-('Gastos Gerais'!$C$4:$C$3632)))</f>
        <v>93381.683749999997</v>
      </c>
      <c r="AN12" s="134">
        <f>IF($B12="",0,SUMPRODUCT(-('Gastos Gerais'!$F$4:$F$3632='Gastos das Atividades'!$B12),-('Gastos das Atividades'!AN$3&gt;='Gastos Gerais'!$D$4:$D$3632),-('Gastos das Atividades'!AN$3&lt;='Gastos Gerais'!$E$4:$E$3632),-('Gastos Gerais'!$C$4:$C$3632)))</f>
        <v>93381.683749999997</v>
      </c>
      <c r="AO12" s="134">
        <f>IF($B12="",0,SUMPRODUCT(-('Gastos Gerais'!$F$4:$F$3632='Gastos das Atividades'!$B12),-('Gastos das Atividades'!AO$3&gt;='Gastos Gerais'!$D$4:$D$3632),-('Gastos das Atividades'!AO$3&lt;='Gastos Gerais'!$E$4:$E$3632),-('Gastos Gerais'!$C$4:$C$3632)))</f>
        <v>99247.08</v>
      </c>
      <c r="AP12" s="134">
        <f>IF($B12="",0,SUMPRODUCT(-('Gastos Gerais'!$F$4:$F$3632='Gastos das Atividades'!$B12),-('Gastos das Atividades'!AP$3&gt;='Gastos Gerais'!$D$4:$D$3632),-('Gastos das Atividades'!AP$3&lt;='Gastos Gerais'!$E$4:$E$3632),-('Gastos Gerais'!$C$4:$C$3632)))</f>
        <v>95426.84</v>
      </c>
      <c r="AQ12" s="134">
        <f>IF($B12="",0,SUMPRODUCT(-('Gastos Gerais'!$F$4:$F$3632='Gastos das Atividades'!$B12),-('Gastos das Atividades'!AQ$3&gt;='Gastos Gerais'!$D$4:$D$3632),-('Gastos das Atividades'!AQ$3&lt;='Gastos Gerais'!$E$4:$E$3632),-('Gastos Gerais'!$C$4:$C$3632)))</f>
        <v>95426.84</v>
      </c>
      <c r="AR12" s="134">
        <f>IF($B12="",0,SUMPRODUCT(-('Gastos Gerais'!$F$4:$F$3632='Gastos das Atividades'!$B12),-('Gastos das Atividades'!AR$3&gt;='Gastos Gerais'!$D$4:$D$3632),-('Gastos das Atividades'!AR$3&lt;='Gastos Gerais'!$E$4:$E$3632),-('Gastos Gerais'!$C$4:$C$3632)))</f>
        <v>94081.31</v>
      </c>
      <c r="AS12" s="134">
        <f>IF($B12="",0,SUMPRODUCT(-('Gastos Gerais'!$F$4:$F$3632='Gastos das Atividades'!$B12),-('Gastos das Atividades'!AS$3&gt;='Gastos Gerais'!$D$4:$D$3632),-('Gastos das Atividades'!AS$3&lt;='Gastos Gerais'!$E$4:$E$3632),-('Gastos Gerais'!$C$4:$C$3632)))</f>
        <v>94081.31</v>
      </c>
      <c r="AT12" s="134">
        <f>IF($B12="",0,SUMPRODUCT(-('Gastos Gerais'!$F$4:$F$3632='Gastos das Atividades'!$B12),-('Gastos das Atividades'!AT$3&gt;='Gastos Gerais'!$D$4:$D$3632),-('Gastos das Atividades'!AT$3&lt;='Gastos Gerais'!$E$4:$E$3632),-('Gastos Gerais'!$C$4:$C$3632)))</f>
        <v>94081.31</v>
      </c>
      <c r="AU12" s="134">
        <f>IF($B12="",0,SUMPRODUCT(-('Gastos Gerais'!$F$4:$F$3632='Gastos das Atividades'!$B12),-('Gastos das Atividades'!AU$3&gt;='Gastos Gerais'!$D$4:$D$3632),-('Gastos das Atividades'!AU$3&lt;='Gastos Gerais'!$E$4:$E$3632),-('Gastos Gerais'!$C$4:$C$3632)))</f>
        <v>93235.31</v>
      </c>
      <c r="AV12" s="134">
        <f>IF($B12="",0,SUMPRODUCT(-('Gastos Gerais'!$F$4:$F$3632='Gastos das Atividades'!$B12),-('Gastos das Atividades'!AV$3&gt;='Gastos Gerais'!$D$4:$D$3632),-('Gastos das Atividades'!AV$3&lt;='Gastos Gerais'!$E$4:$E$3632),-('Gastos Gerais'!$C$4:$C$3632)))</f>
        <v>93235.31</v>
      </c>
      <c r="AW12" s="134">
        <f>IF($B12="",0,SUMPRODUCT(-('Gastos Gerais'!$F$4:$F$3632='Gastos das Atividades'!$B12),-('Gastos das Atividades'!AW$3&gt;='Gastos Gerais'!$D$4:$D$3632),-('Gastos das Atividades'!AW$3&lt;='Gastos Gerais'!$E$4:$E$3632),-('Gastos Gerais'!$C$4:$C$3632)))</f>
        <v>93235.31</v>
      </c>
      <c r="AX12" s="134">
        <f>IF($B12="",0,SUMPRODUCT(-('Gastos Gerais'!$F$4:$F$3632='Gastos das Atividades'!$B12),-('Gastos das Atividades'!AX$3&gt;='Gastos Gerais'!$D$4:$D$3632),-('Gastos das Atividades'!AX$3&lt;='Gastos Gerais'!$E$4:$E$3632),-('Gastos Gerais'!$C$4:$C$3632)))</f>
        <v>93235.31</v>
      </c>
      <c r="AY12" s="134">
        <f>IF($B12="",0,SUMPRODUCT(-('Gastos Gerais'!$F$4:$F$3632='Gastos das Atividades'!$B12),-('Gastos das Atividades'!AY$3&gt;='Gastos Gerais'!$D$4:$D$3632),-('Gastos das Atividades'!AY$3&lt;='Gastos Gerais'!$E$4:$E$3632),-('Gastos Gerais'!$C$4:$C$3632)))</f>
        <v>93235.31</v>
      </c>
      <c r="AZ12" s="134">
        <f>IF($B12="",0,SUMPRODUCT(-('Gastos Gerais'!$F$4:$F$3632='Gastos das Atividades'!$B12),-('Gastos das Atividades'!AZ$3&gt;='Gastos Gerais'!$D$4:$D$3632),-('Gastos das Atividades'!AZ$3&lt;='Gastos Gerais'!$E$4:$E$3632),-('Gastos Gerais'!$C$4:$C$3632)))</f>
        <v>93235.31</v>
      </c>
      <c r="BA12" s="134">
        <f>IF($B12="",0,SUMPRODUCT(-('Gastos Gerais'!$F$4:$F$3632='Gastos das Atividades'!$B12),-('Gastos das Atividades'!BA$3&gt;='Gastos Gerais'!$D$4:$D$3632),-('Gastos das Atividades'!BA$3&lt;='Gastos Gerais'!$E$4:$E$3632),-('Gastos Gerais'!$C$4:$C$3632)))</f>
        <v>104280.79000000001</v>
      </c>
      <c r="BB12" s="134">
        <f>IF($B12="",0,SUMPRODUCT(-('Gastos Gerais'!$F$4:$F$3632='Gastos das Atividades'!$B12),-('Gastos das Atividades'!BB$3&gt;='Gastos Gerais'!$D$4:$D$3632),-('Gastos das Atividades'!BB$3&lt;='Gastos Gerais'!$E$4:$E$3632),-('Gastos Gerais'!$C$4:$C$3632)))</f>
        <v>110231.34000000001</v>
      </c>
      <c r="BC12" s="134">
        <f>IF($B12="",0,SUMPRODUCT(-('Gastos Gerais'!$F$4:$F$3632='Gastos das Atividades'!$B12),-('Gastos das Atividades'!BC$3&gt;='Gastos Gerais'!$D$4:$D$3632),-('Gastos das Atividades'!BC$3&lt;='Gastos Gerais'!$E$4:$E$3632),-('Gastos Gerais'!$C$4:$C$3632)))</f>
        <v>100231.34000000001</v>
      </c>
      <c r="BD12" s="134">
        <f>IF($B12="",0,SUMPRODUCT(-('Gastos Gerais'!$F$4:$F$3632='Gastos das Atividades'!$B12),-('Gastos das Atividades'!BD$3&gt;='Gastos Gerais'!$D$4:$D$3632),-('Gastos das Atividades'!BD$3&lt;='Gastos Gerais'!$E$4:$E$3632),-('Gastos Gerais'!$C$4:$C$3632)))</f>
        <v>98807.23000000001</v>
      </c>
      <c r="BE12" s="134">
        <f>IF($B12="",0,SUMPRODUCT(-('Gastos Gerais'!$F$4:$F$3632='Gastos das Atividades'!$B12),-('Gastos das Atividades'!BE$3&gt;='Gastos Gerais'!$D$4:$D$3632),-('Gastos das Atividades'!BE$3&lt;='Gastos Gerais'!$E$4:$E$3632),-('Gastos Gerais'!$C$4:$C$3632)))</f>
        <v>98807.23000000001</v>
      </c>
      <c r="BF12" s="134">
        <f>IF($B12="",0,SUMPRODUCT(-('Gastos Gerais'!$F$4:$F$3632='Gastos das Atividades'!$B12),-('Gastos das Atividades'!BF$3&gt;='Gastos Gerais'!$D$4:$D$3632),-('Gastos das Atividades'!BF$3&lt;='Gastos Gerais'!$E$4:$E$3632),-('Gastos Gerais'!$C$4:$C$3632)))</f>
        <v>98807.23000000001</v>
      </c>
      <c r="BG12" s="134">
        <f>IF($B12="",0,SUMPRODUCT(-('Gastos Gerais'!$F$4:$F$3632='Gastos das Atividades'!$B12),-('Gastos das Atividades'!BG$3&gt;='Gastos Gerais'!$D$4:$D$3632),-('Gastos das Atividades'!BG$3&lt;='Gastos Gerais'!$E$4:$E$3632),-('Gastos Gerais'!$C$4:$C$3632)))</f>
        <v>97961.23000000001</v>
      </c>
      <c r="BH12" s="134">
        <f>IF($B12="",0,SUMPRODUCT(-('Gastos Gerais'!$F$4:$F$3632='Gastos das Atividades'!$B12),-('Gastos das Atividades'!BH$3&gt;='Gastos Gerais'!$D$4:$D$3632),-('Gastos das Atividades'!BH$3&lt;='Gastos Gerais'!$E$4:$E$3632),-('Gastos Gerais'!$C$4:$C$3632)))</f>
        <v>97961.23000000001</v>
      </c>
      <c r="BI12" s="134">
        <f>IF($B12="",0,SUMPRODUCT(-('Gastos Gerais'!$F$4:$F$3632='Gastos das Atividades'!$B12),-('Gastos das Atividades'!BI$3&gt;='Gastos Gerais'!$D$4:$D$3632),-('Gastos das Atividades'!BI$3&lt;='Gastos Gerais'!$E$4:$E$3632),-('Gastos Gerais'!$C$4:$C$3632)))</f>
        <v>97961.23000000001</v>
      </c>
      <c r="BJ12" s="134">
        <f>IF($B12="",0,SUMPRODUCT(-('Gastos Gerais'!$F$4:$F$3632='Gastos das Atividades'!$B12),-('Gastos das Atividades'!BJ$3&gt;='Gastos Gerais'!$D$4:$D$3632),-('Gastos das Atividades'!BJ$3&lt;='Gastos Gerais'!$E$4:$E$3632),-('Gastos Gerais'!$C$4:$C$3632)))</f>
        <v>97961.23000000001</v>
      </c>
      <c r="BK12" s="134">
        <f>IF($B12="",0,SUMPRODUCT(-('Gastos Gerais'!$F$4:$F$3632='Gastos das Atividades'!$B12),-('Gastos das Atividades'!BK$3&gt;='Gastos Gerais'!$D$4:$D$3632),-('Gastos das Atividades'!BK$3&lt;='Gastos Gerais'!$E$4:$E$3632),-('Gastos Gerais'!$C$4:$C$3632)))</f>
        <v>97961.23000000001</v>
      </c>
      <c r="BL12" s="134">
        <f>IF($B12="",0,SUMPRODUCT(-('Gastos Gerais'!$F$4:$F$3632='Gastos das Atividades'!$B12),-('Gastos das Atividades'!BL$3&gt;='Gastos Gerais'!$D$4:$D$3632),-('Gastos das Atividades'!BL$3&lt;='Gastos Gerais'!$E$4:$E$3632),-('Gastos Gerais'!$C$4:$C$3632)))</f>
        <v>97961.23000000001</v>
      </c>
      <c r="BM12" s="134">
        <f>IF($B12="",0,SUMPRODUCT(-('Gastos Gerais'!$F$4:$F$3632='Gastos das Atividades'!$B12),-('Gastos das Atividades'!BM$3&gt;='Gastos Gerais'!$D$4:$D$3632),-('Gastos das Atividades'!BM$3&lt;='Gastos Gerais'!$E$4:$E$3632),-('Gastos Gerais'!$C$4:$C$3632)))</f>
        <v>109554.93000000001</v>
      </c>
      <c r="BN12" s="134">
        <f>IF($B12="",0,SUMPRODUCT(-('Gastos Gerais'!$F$4:$F$3632='Gastos das Atividades'!$B12),-('Gastos das Atividades'!BN$3&gt;='Gastos Gerais'!$D$4:$D$3632),-('Gastos das Atividades'!BN$3&lt;='Gastos Gerais'!$E$4:$E$3632),-('Gastos Gerais'!$C$4:$C$3632)))</f>
        <v>105262.51000000001</v>
      </c>
      <c r="BO12" s="134">
        <f>IF($B12="",0,SUMPRODUCT(-('Gastos Gerais'!$F$4:$F$3632='Gastos das Atividades'!$B12),-('Gastos das Atividades'!BO$3&gt;='Gastos Gerais'!$D$4:$D$3632),-('Gastos das Atividades'!BO$3&lt;='Gastos Gerais'!$E$4:$E$3632),-('Gastos Gerais'!$C$4:$C$3632)))</f>
        <v>105262.51000000001</v>
      </c>
      <c r="BP12" s="134">
        <f>IF($B12="",0,SUMPRODUCT(-('Gastos Gerais'!$F$4:$F$3632='Gastos das Atividades'!$B12),-('Gastos das Atividades'!BP$3&gt;='Gastos Gerais'!$D$4:$D$3632),-('Gastos das Atividades'!BP$3&lt;='Gastos Gerais'!$E$4:$E$3632),-('Gastos Gerais'!$C$4:$C$3632)))</f>
        <v>103755.24</v>
      </c>
      <c r="BQ12" s="134">
        <f>IF($B12="",0,SUMPRODUCT(-('Gastos Gerais'!$F$4:$F$3632='Gastos das Atividades'!$B12),-('Gastos das Atividades'!BQ$3&gt;='Gastos Gerais'!$D$4:$D$3632),-('Gastos das Atividades'!BQ$3&lt;='Gastos Gerais'!$E$4:$E$3632),-('Gastos Gerais'!$C$4:$C$3632)))</f>
        <v>103755.24</v>
      </c>
      <c r="BR12" s="134">
        <f>IF($B12="",0,SUMPRODUCT(-('Gastos Gerais'!$F$4:$F$3632='Gastos das Atividades'!$B12),-('Gastos das Atividades'!BR$3&gt;='Gastos Gerais'!$D$4:$D$3632),-('Gastos das Atividades'!BR$3&lt;='Gastos Gerais'!$E$4:$E$3632),-('Gastos Gerais'!$C$4:$C$3632)))</f>
        <v>103755.24</v>
      </c>
      <c r="BS12" s="134">
        <f>IF($B12="",0,SUMPRODUCT(-('Gastos Gerais'!$F$4:$F$3632='Gastos das Atividades'!$B12),-('Gastos das Atividades'!BS$3&gt;='Gastos Gerais'!$D$4:$D$3632),-('Gastos das Atividades'!BS$3&lt;='Gastos Gerais'!$E$4:$E$3632),-('Gastos Gerais'!$C$4:$C$3632)))</f>
        <v>102909.24</v>
      </c>
      <c r="BT12" s="134">
        <f>IF($B12="",0,SUMPRODUCT(-('Gastos Gerais'!$F$4:$F$3632='Gastos das Atividades'!$B12),-('Gastos das Atividades'!BT$3&gt;='Gastos Gerais'!$D$4:$D$3632),-('Gastos das Atividades'!BT$3&lt;='Gastos Gerais'!$E$4:$E$3632),-('Gastos Gerais'!$C$4:$C$3632)))</f>
        <v>102909.24</v>
      </c>
      <c r="BU12" s="134">
        <f>IF($B12="",0,SUMPRODUCT(-('Gastos Gerais'!$F$4:$F$3632='Gastos das Atividades'!$B12),-('Gastos das Atividades'!BU$3&gt;='Gastos Gerais'!$D$4:$D$3632),-('Gastos das Atividades'!BU$3&lt;='Gastos Gerais'!$E$4:$E$3632),-('Gastos Gerais'!$C$4:$C$3632)))</f>
        <v>102909.24</v>
      </c>
      <c r="BV12" s="134">
        <f>IF($B12="",0,SUMPRODUCT(-('Gastos Gerais'!$F$4:$F$3632='Gastos das Atividades'!$B12),-('Gastos das Atividades'!BV$3&gt;='Gastos Gerais'!$D$4:$D$3632),-('Gastos das Atividades'!BV$3&lt;='Gastos Gerais'!$E$4:$E$3632),-('Gastos Gerais'!$C$4:$C$3632)))</f>
        <v>102909.24</v>
      </c>
      <c r="BW12" s="134">
        <f>IF($B12="",0,SUMPRODUCT(-('Gastos Gerais'!$F$4:$F$3632='Gastos das Atividades'!$B12),-('Gastos das Atividades'!BW$3&gt;='Gastos Gerais'!$D$4:$D$3632),-('Gastos das Atividades'!BW$3&lt;='Gastos Gerais'!$E$4:$E$3632),-('Gastos Gerais'!$C$4:$C$3632)))</f>
        <v>102909.24</v>
      </c>
    </row>
    <row r="13" spans="1:76">
      <c r="A13" s="138">
        <v>10</v>
      </c>
      <c r="B13" s="139" t="s">
        <v>637</v>
      </c>
      <c r="C13" s="132">
        <v>0</v>
      </c>
      <c r="D13" s="133">
        <f t="shared" si="0"/>
        <v>58385.819999999992</v>
      </c>
      <c r="E13" s="134">
        <f t="shared" si="1"/>
        <v>1057537.4800000002</v>
      </c>
      <c r="F13" s="134">
        <f t="shared" si="1"/>
        <v>1261804.95</v>
      </c>
      <c r="G13" s="134">
        <f t="shared" si="1"/>
        <v>1189659.1599999999</v>
      </c>
      <c r="H13" s="134">
        <f t="shared" si="1"/>
        <v>1261166.8499999999</v>
      </c>
      <c r="I13" s="135">
        <f t="shared" si="2"/>
        <v>6033474.230000006</v>
      </c>
      <c r="J13" s="136">
        <f t="shared" si="3"/>
        <v>4.7203107909869182E-4</v>
      </c>
      <c r="K13" s="136">
        <f t="shared" si="4"/>
        <v>8.5498595013602848E-3</v>
      </c>
      <c r="L13" s="136">
        <f t="shared" si="5"/>
        <v>1.0201298057654597E-2</v>
      </c>
      <c r="M13" s="136">
        <f t="shared" si="6"/>
        <v>9.6180219281743976E-3</v>
      </c>
      <c r="N13" s="136">
        <f t="shared" si="7"/>
        <v>1.0196139218889073E-2</v>
      </c>
      <c r="O13" s="137">
        <f t="shared" si="8"/>
        <v>4.8778750585348495E-2</v>
      </c>
      <c r="P13" s="134">
        <f>IF($B13="",0,SUMPRODUCT(-('Gastos Gerais'!$F$4:$F$3632='Gastos das Atividades'!$B13),-('Gastos das Atividades'!P$3&gt;='Gastos Gerais'!$D$4:$D$3632),-('Gastos das Atividades'!P$3&lt;='Gastos Gerais'!$E$4:$E$3632),-('Gastos Gerais'!$C$4:$C$3632)))</f>
        <v>58385.819999999992</v>
      </c>
      <c r="Q13" s="134">
        <f>IF($B13="",0,SUMPRODUCT(-('Gastos Gerais'!$F$4:$F$3632='Gastos das Atividades'!$B13),-('Gastos das Atividades'!Q$3&gt;='Gastos Gerais'!$D$4:$D$3632),-('Gastos das Atividades'!Q$3&lt;='Gastos Gerais'!$E$4:$E$3632),-('Gastos Gerais'!$C$4:$C$3632)))</f>
        <v>87492.29</v>
      </c>
      <c r="R13" s="134">
        <f>IF($B13="",0,SUMPRODUCT(-('Gastos Gerais'!$F$4:$F$3632='Gastos das Atividades'!$B13),-('Gastos das Atividades'!R$3&gt;='Gastos Gerais'!$D$4:$D$3632),-('Gastos das Atividades'!R$3&lt;='Gastos Gerais'!$E$4:$E$3632),-('Gastos Gerais'!$C$4:$C$3632)))</f>
        <v>91738.29</v>
      </c>
      <c r="S13" s="134">
        <f>IF($B13="",0,SUMPRODUCT(-('Gastos Gerais'!$F$4:$F$3632='Gastos das Atividades'!$B13),-('Gastos das Atividades'!S$3&gt;='Gastos Gerais'!$D$4:$D$3632),-('Gastos das Atividades'!S$3&lt;='Gastos Gerais'!$E$4:$E$3632),-('Gastos Gerais'!$C$4:$C$3632)))</f>
        <v>88338.29</v>
      </c>
      <c r="T13" s="134">
        <f>IF($B13="",0,SUMPRODUCT(-('Gastos Gerais'!$F$4:$F$3632='Gastos das Atividades'!$B13),-('Gastos das Atividades'!T$3&gt;='Gastos Gerais'!$D$4:$D$3632),-('Gastos das Atividades'!T$3&lt;='Gastos Gerais'!$E$4:$E$3632),-('Gastos Gerais'!$C$4:$C$3632)))</f>
        <v>88338.29</v>
      </c>
      <c r="U13" s="134">
        <f>IF($B13="",0,SUMPRODUCT(-('Gastos Gerais'!$F$4:$F$3632='Gastos das Atividades'!$B13),-('Gastos das Atividades'!U$3&gt;='Gastos Gerais'!$D$4:$D$3632),-('Gastos das Atividades'!U$3&lt;='Gastos Gerais'!$E$4:$E$3632),-('Gastos Gerais'!$C$4:$C$3632)))</f>
        <v>88338.29</v>
      </c>
      <c r="V13" s="134">
        <f>IF($B13="",0,SUMPRODUCT(-('Gastos Gerais'!$F$4:$F$3632='Gastos das Atividades'!$B13),-('Gastos das Atividades'!V$3&gt;='Gastos Gerais'!$D$4:$D$3632),-('Gastos das Atividades'!V$3&lt;='Gastos Gerais'!$E$4:$E$3632),-('Gastos Gerais'!$C$4:$C$3632)))</f>
        <v>88338.29</v>
      </c>
      <c r="W13" s="134">
        <f>IF($B13="",0,SUMPRODUCT(-('Gastos Gerais'!$F$4:$F$3632='Gastos das Atividades'!$B13),-('Gastos das Atividades'!W$3&gt;='Gastos Gerais'!$D$4:$D$3632),-('Gastos das Atividades'!W$3&lt;='Gastos Gerais'!$E$4:$E$3632),-('Gastos Gerais'!$C$4:$C$3632)))</f>
        <v>87492.29</v>
      </c>
      <c r="X13" s="134">
        <f>IF($B13="",0,SUMPRODUCT(-('Gastos Gerais'!$F$4:$F$3632='Gastos das Atividades'!$B13),-('Gastos das Atividades'!X$3&gt;='Gastos Gerais'!$D$4:$D$3632),-('Gastos das Atividades'!X$3&lt;='Gastos Gerais'!$E$4:$E$3632),-('Gastos Gerais'!$C$4:$C$3632)))</f>
        <v>87492.29</v>
      </c>
      <c r="Y13" s="134">
        <f>IF($B13="",0,SUMPRODUCT(-('Gastos Gerais'!$F$4:$F$3632='Gastos das Atividades'!$B13),-('Gastos das Atividades'!Y$3&gt;='Gastos Gerais'!$D$4:$D$3632),-('Gastos das Atividades'!Y$3&lt;='Gastos Gerais'!$E$4:$E$3632),-('Gastos Gerais'!$C$4:$C$3632)))</f>
        <v>87492.29</v>
      </c>
      <c r="Z13" s="134">
        <f>IF($B13="",0,SUMPRODUCT(-('Gastos Gerais'!$F$4:$F$3632='Gastos das Atividades'!$B13),-('Gastos das Atividades'!Z$3&gt;='Gastos Gerais'!$D$4:$D$3632),-('Gastos das Atividades'!Z$3&lt;='Gastos Gerais'!$E$4:$E$3632),-('Gastos Gerais'!$C$4:$C$3632)))</f>
        <v>87492.29</v>
      </c>
      <c r="AA13" s="134">
        <f>IF($B13="",0,SUMPRODUCT(-('Gastos Gerais'!$F$4:$F$3632='Gastos das Atividades'!$B13),-('Gastos das Atividades'!AA$3&gt;='Gastos Gerais'!$D$4:$D$3632),-('Gastos das Atividades'!AA$3&lt;='Gastos Gerais'!$E$4:$E$3632),-('Gastos Gerais'!$C$4:$C$3632)))</f>
        <v>87492.29</v>
      </c>
      <c r="AB13" s="134">
        <f>IF($B13="",0,SUMPRODUCT(-('Gastos Gerais'!$F$4:$F$3632='Gastos das Atividades'!$B13),-('Gastos das Atividades'!AB$3&gt;='Gastos Gerais'!$D$4:$D$3632),-('Gastos das Atividades'!AB$3&lt;='Gastos Gerais'!$E$4:$E$3632),-('Gastos Gerais'!$C$4:$C$3632)))</f>
        <v>87492.29</v>
      </c>
      <c r="AC13" s="134">
        <f>IF($B13="",0,SUMPRODUCT(-('Gastos Gerais'!$F$4:$F$3632='Gastos das Atividades'!$B13),-('Gastos das Atividades'!AC$3&gt;='Gastos Gerais'!$D$4:$D$3632),-('Gastos das Atividades'!AC$3&lt;='Gastos Gerais'!$E$4:$E$3632),-('Gastos Gerais'!$C$4:$C$3632)))</f>
        <v>97800.23</v>
      </c>
      <c r="AD13" s="134">
        <f>IF($B13="",0,SUMPRODUCT(-('Gastos Gerais'!$F$4:$F$3632='Gastos das Atividades'!$B13),-('Gastos das Atividades'!AD$3&gt;='Gastos Gerais'!$D$4:$D$3632),-('Gastos das Atividades'!AD$3&lt;='Gastos Gerais'!$E$4:$E$3632),-('Gastos Gerais'!$C$4:$C$3632)))</f>
        <v>110042.23</v>
      </c>
      <c r="AE13" s="134">
        <f>IF($B13="",0,SUMPRODUCT(-('Gastos Gerais'!$F$4:$F$3632='Gastos das Atividades'!$B13),-('Gastos das Atividades'!AE$3&gt;='Gastos Gerais'!$D$4:$D$3632),-('Gastos das Atividades'!AE$3&lt;='Gastos Gerais'!$E$4:$E$3632),-('Gastos Gerais'!$C$4:$C$3632)))</f>
        <v>95042.23</v>
      </c>
      <c r="AF13" s="134">
        <f>IF($B13="",0,SUMPRODUCT(-('Gastos Gerais'!$F$4:$F$3632='Gastos das Atividades'!$B13),-('Gastos das Atividades'!AF$3&gt;='Gastos Gerais'!$D$4:$D$3632),-('Gastos das Atividades'!AF$3&lt;='Gastos Gerais'!$E$4:$E$3632),-('Gastos Gerais'!$C$4:$C$3632)))</f>
        <v>165292.22999999998</v>
      </c>
      <c r="AG13" s="134">
        <f>IF($B13="",0,SUMPRODUCT(-('Gastos Gerais'!$F$4:$F$3632='Gastos das Atividades'!$B13),-('Gastos das Atividades'!AG$3&gt;='Gastos Gerais'!$D$4:$D$3632),-('Gastos das Atividades'!AG$3&lt;='Gastos Gerais'!$E$4:$E$3632),-('Gastos Gerais'!$C$4:$C$3632)))</f>
        <v>99838.003750000003</v>
      </c>
      <c r="AH13" s="134">
        <f>IF($B13="",0,SUMPRODUCT(-('Gastos Gerais'!$F$4:$F$3632='Gastos das Atividades'!$B13),-('Gastos das Atividades'!AH$3&gt;='Gastos Gerais'!$D$4:$D$3632),-('Gastos das Atividades'!AH$3&lt;='Gastos Gerais'!$E$4:$E$3632),-('Gastos Gerais'!$C$4:$C$3632)))</f>
        <v>99838.003750000003</v>
      </c>
      <c r="AI13" s="134">
        <f>IF($B13="",0,SUMPRODUCT(-('Gastos Gerais'!$F$4:$F$3632='Gastos das Atividades'!$B13),-('Gastos das Atividades'!AI$3&gt;='Gastos Gerais'!$D$4:$D$3632),-('Gastos das Atividades'!AI$3&lt;='Gastos Gerais'!$E$4:$E$3632),-('Gastos Gerais'!$C$4:$C$3632)))</f>
        <v>98992.003750000003</v>
      </c>
      <c r="AJ13" s="134">
        <f>IF($B13="",0,SUMPRODUCT(-('Gastos Gerais'!$F$4:$F$3632='Gastos das Atividades'!$B13),-('Gastos das Atividades'!AJ$3&gt;='Gastos Gerais'!$D$4:$D$3632),-('Gastos das Atividades'!AJ$3&lt;='Gastos Gerais'!$E$4:$E$3632),-('Gastos Gerais'!$C$4:$C$3632)))</f>
        <v>98992.003750000003</v>
      </c>
      <c r="AK13" s="134">
        <f>IF($B13="",0,SUMPRODUCT(-('Gastos Gerais'!$F$4:$F$3632='Gastos das Atividades'!$B13),-('Gastos das Atividades'!AK$3&gt;='Gastos Gerais'!$D$4:$D$3632),-('Gastos das Atividades'!AK$3&lt;='Gastos Gerais'!$E$4:$E$3632),-('Gastos Gerais'!$C$4:$C$3632)))</f>
        <v>98992.003750000003</v>
      </c>
      <c r="AL13" s="134">
        <f>IF($B13="",0,SUMPRODUCT(-('Gastos Gerais'!$F$4:$F$3632='Gastos das Atividades'!$B13),-('Gastos das Atividades'!AL$3&gt;='Gastos Gerais'!$D$4:$D$3632),-('Gastos das Atividades'!AL$3&lt;='Gastos Gerais'!$E$4:$E$3632),-('Gastos Gerais'!$C$4:$C$3632)))</f>
        <v>98992.003750000003</v>
      </c>
      <c r="AM13" s="134">
        <f>IF($B13="",0,SUMPRODUCT(-('Gastos Gerais'!$F$4:$F$3632='Gastos das Atividades'!$B13),-('Gastos das Atividades'!AM$3&gt;='Gastos Gerais'!$D$4:$D$3632),-('Gastos das Atividades'!AM$3&lt;='Gastos Gerais'!$E$4:$E$3632),-('Gastos Gerais'!$C$4:$C$3632)))</f>
        <v>98992.003750000003</v>
      </c>
      <c r="AN13" s="134">
        <f>IF($B13="",0,SUMPRODUCT(-('Gastos Gerais'!$F$4:$F$3632='Gastos das Atividades'!$B13),-('Gastos das Atividades'!AN$3&gt;='Gastos Gerais'!$D$4:$D$3632),-('Gastos das Atividades'!AN$3&lt;='Gastos Gerais'!$E$4:$E$3632),-('Gastos Gerais'!$C$4:$C$3632)))</f>
        <v>98992.003750000003</v>
      </c>
      <c r="AO13" s="134">
        <f>IF($B13="",0,SUMPRODUCT(-('Gastos Gerais'!$F$4:$F$3632='Gastos das Atividades'!$B13),-('Gastos das Atividades'!AO$3&gt;='Gastos Gerais'!$D$4:$D$3632),-('Gastos das Atividades'!AO$3&lt;='Gastos Gerais'!$E$4:$E$3632),-('Gastos Gerais'!$C$4:$C$3632)))</f>
        <v>102287.65</v>
      </c>
      <c r="AP13" s="134">
        <f>IF($B13="",0,SUMPRODUCT(-('Gastos Gerais'!$F$4:$F$3632='Gastos das Atividades'!$B13),-('Gastos das Atividades'!AP$3&gt;='Gastos Gerais'!$D$4:$D$3632),-('Gastos das Atividades'!AP$3&lt;='Gastos Gerais'!$E$4:$E$3632),-('Gastos Gerais'!$C$4:$C$3632)))</f>
        <v>99313.409999999989</v>
      </c>
      <c r="AQ13" s="134">
        <f>IF($B13="",0,SUMPRODUCT(-('Gastos Gerais'!$F$4:$F$3632='Gastos das Atividades'!$B13),-('Gastos das Atividades'!AQ$3&gt;='Gastos Gerais'!$D$4:$D$3632),-('Gastos das Atividades'!AQ$3&lt;='Gastos Gerais'!$E$4:$E$3632),-('Gastos Gerais'!$C$4:$C$3632)))</f>
        <v>99313.409999999989</v>
      </c>
      <c r="AR13" s="134">
        <f>IF($B13="",0,SUMPRODUCT(-('Gastos Gerais'!$F$4:$F$3632='Gastos das Atividades'!$B13),-('Gastos das Atividades'!AR$3&gt;='Gastos Gerais'!$D$4:$D$3632),-('Gastos das Atividades'!AR$3&lt;='Gastos Gerais'!$E$4:$E$3632),-('Gastos Gerais'!$C$4:$C$3632)))</f>
        <v>99313.409999999989</v>
      </c>
      <c r="AS13" s="134">
        <f>IF($B13="",0,SUMPRODUCT(-('Gastos Gerais'!$F$4:$F$3632='Gastos das Atividades'!$B13),-('Gastos das Atividades'!AS$3&gt;='Gastos Gerais'!$D$4:$D$3632),-('Gastos das Atividades'!AS$3&lt;='Gastos Gerais'!$E$4:$E$3632),-('Gastos Gerais'!$C$4:$C$3632)))</f>
        <v>99313.409999999989</v>
      </c>
      <c r="AT13" s="134">
        <f>IF($B13="",0,SUMPRODUCT(-('Gastos Gerais'!$F$4:$F$3632='Gastos das Atividades'!$B13),-('Gastos das Atividades'!AT$3&gt;='Gastos Gerais'!$D$4:$D$3632),-('Gastos das Atividades'!AT$3&lt;='Gastos Gerais'!$E$4:$E$3632),-('Gastos Gerais'!$C$4:$C$3632)))</f>
        <v>99313.409999999989</v>
      </c>
      <c r="AU13" s="134">
        <f>IF($B13="",0,SUMPRODUCT(-('Gastos Gerais'!$F$4:$F$3632='Gastos das Atividades'!$B13),-('Gastos das Atividades'!AU$3&gt;='Gastos Gerais'!$D$4:$D$3632),-('Gastos das Atividades'!AU$3&lt;='Gastos Gerais'!$E$4:$E$3632),-('Gastos Gerais'!$C$4:$C$3632)))</f>
        <v>98467.409999999989</v>
      </c>
      <c r="AV13" s="134">
        <f>IF($B13="",0,SUMPRODUCT(-('Gastos Gerais'!$F$4:$F$3632='Gastos das Atividades'!$B13),-('Gastos das Atividades'!AV$3&gt;='Gastos Gerais'!$D$4:$D$3632),-('Gastos das Atividades'!AV$3&lt;='Gastos Gerais'!$E$4:$E$3632),-('Gastos Gerais'!$C$4:$C$3632)))</f>
        <v>98467.409999999989</v>
      </c>
      <c r="AW13" s="134">
        <f>IF($B13="",0,SUMPRODUCT(-('Gastos Gerais'!$F$4:$F$3632='Gastos das Atividades'!$B13),-('Gastos das Atividades'!AW$3&gt;='Gastos Gerais'!$D$4:$D$3632),-('Gastos das Atividades'!AW$3&lt;='Gastos Gerais'!$E$4:$E$3632),-('Gastos Gerais'!$C$4:$C$3632)))</f>
        <v>98467.409999999989</v>
      </c>
      <c r="AX13" s="134">
        <f>IF($B13="",0,SUMPRODUCT(-('Gastos Gerais'!$F$4:$F$3632='Gastos das Atividades'!$B13),-('Gastos das Atividades'!AX$3&gt;='Gastos Gerais'!$D$4:$D$3632),-('Gastos das Atividades'!AX$3&lt;='Gastos Gerais'!$E$4:$E$3632),-('Gastos Gerais'!$C$4:$C$3632)))</f>
        <v>98467.409999999989</v>
      </c>
      <c r="AY13" s="134">
        <f>IF($B13="",0,SUMPRODUCT(-('Gastos Gerais'!$F$4:$F$3632='Gastos das Atividades'!$B13),-('Gastos das Atividades'!AY$3&gt;='Gastos Gerais'!$D$4:$D$3632),-('Gastos das Atividades'!AY$3&lt;='Gastos Gerais'!$E$4:$E$3632),-('Gastos Gerais'!$C$4:$C$3632)))</f>
        <v>98467.409999999989</v>
      </c>
      <c r="AZ13" s="134">
        <f>IF($B13="",0,SUMPRODUCT(-('Gastos Gerais'!$F$4:$F$3632='Gastos das Atividades'!$B13),-('Gastos das Atividades'!AZ$3&gt;='Gastos Gerais'!$D$4:$D$3632),-('Gastos das Atividades'!AZ$3&lt;='Gastos Gerais'!$E$4:$E$3632),-('Gastos Gerais'!$C$4:$C$3632)))</f>
        <v>98467.409999999989</v>
      </c>
      <c r="BA13" s="134">
        <f>IF($B13="",0,SUMPRODUCT(-('Gastos Gerais'!$F$4:$F$3632='Gastos das Atividades'!$B13),-('Gastos das Atividades'!BA$3&gt;='Gastos Gerais'!$D$4:$D$3632),-('Gastos das Atividades'!BA$3&lt;='Gastos Gerais'!$E$4:$E$3632),-('Gastos Gerais'!$C$4:$C$3632)))</f>
        <v>107623.40000000001</v>
      </c>
      <c r="BB13" s="134">
        <f>IF($B13="",0,SUMPRODUCT(-('Gastos Gerais'!$F$4:$F$3632='Gastos das Atividades'!$B13),-('Gastos das Atividades'!BB$3&gt;='Gastos Gerais'!$D$4:$D$3632),-('Gastos das Atividades'!BB$3&lt;='Gastos Gerais'!$E$4:$E$3632),-('Gastos Gerais'!$C$4:$C$3632)))</f>
        <v>114419.95000000001</v>
      </c>
      <c r="BC13" s="134">
        <f>IF($B13="",0,SUMPRODUCT(-('Gastos Gerais'!$F$4:$F$3632='Gastos das Atividades'!$B13),-('Gastos das Atividades'!BC$3&gt;='Gastos Gerais'!$D$4:$D$3632),-('Gastos das Atividades'!BC$3&lt;='Gastos Gerais'!$E$4:$E$3632),-('Gastos Gerais'!$C$4:$C$3632)))</f>
        <v>104419.95000000001</v>
      </c>
      <c r="BD13" s="134">
        <f>IF($B13="",0,SUMPRODUCT(-('Gastos Gerais'!$F$4:$F$3632='Gastos das Atividades'!$B13),-('Gastos das Atividades'!BD$3&gt;='Gastos Gerais'!$D$4:$D$3632),-('Gastos das Atividades'!BD$3&lt;='Gastos Gerais'!$E$4:$E$3632),-('Gastos Gerais'!$C$4:$C$3632)))</f>
        <v>104419.95000000001</v>
      </c>
      <c r="BE13" s="134">
        <f>IF($B13="",0,SUMPRODUCT(-('Gastos Gerais'!$F$4:$F$3632='Gastos das Atividades'!$B13),-('Gastos das Atividades'!BE$3&gt;='Gastos Gerais'!$D$4:$D$3632),-('Gastos das Atividades'!BE$3&lt;='Gastos Gerais'!$E$4:$E$3632),-('Gastos Gerais'!$C$4:$C$3632)))</f>
        <v>104419.95000000001</v>
      </c>
      <c r="BF13" s="134">
        <f>IF($B13="",0,SUMPRODUCT(-('Gastos Gerais'!$F$4:$F$3632='Gastos das Atividades'!$B13),-('Gastos das Atividades'!BF$3&gt;='Gastos Gerais'!$D$4:$D$3632),-('Gastos das Atividades'!BF$3&lt;='Gastos Gerais'!$E$4:$E$3632),-('Gastos Gerais'!$C$4:$C$3632)))</f>
        <v>104419.95000000001</v>
      </c>
      <c r="BG13" s="134">
        <f>IF($B13="",0,SUMPRODUCT(-('Gastos Gerais'!$F$4:$F$3632='Gastos das Atividades'!$B13),-('Gastos das Atividades'!BG$3&gt;='Gastos Gerais'!$D$4:$D$3632),-('Gastos das Atividades'!BG$3&lt;='Gastos Gerais'!$E$4:$E$3632),-('Gastos Gerais'!$C$4:$C$3632)))</f>
        <v>103573.95000000001</v>
      </c>
      <c r="BH13" s="134">
        <f>IF($B13="",0,SUMPRODUCT(-('Gastos Gerais'!$F$4:$F$3632='Gastos das Atividades'!$B13),-('Gastos das Atividades'!BH$3&gt;='Gastos Gerais'!$D$4:$D$3632),-('Gastos das Atividades'!BH$3&lt;='Gastos Gerais'!$E$4:$E$3632),-('Gastos Gerais'!$C$4:$C$3632)))</f>
        <v>103573.95000000001</v>
      </c>
      <c r="BI13" s="134">
        <f>IF($B13="",0,SUMPRODUCT(-('Gastos Gerais'!$F$4:$F$3632='Gastos das Atividades'!$B13),-('Gastos das Atividades'!BI$3&gt;='Gastos Gerais'!$D$4:$D$3632),-('Gastos das Atividades'!BI$3&lt;='Gastos Gerais'!$E$4:$E$3632),-('Gastos Gerais'!$C$4:$C$3632)))</f>
        <v>103573.95000000001</v>
      </c>
      <c r="BJ13" s="134">
        <f>IF($B13="",0,SUMPRODUCT(-('Gastos Gerais'!$F$4:$F$3632='Gastos das Atividades'!$B13),-('Gastos das Atividades'!BJ$3&gt;='Gastos Gerais'!$D$4:$D$3632),-('Gastos das Atividades'!BJ$3&lt;='Gastos Gerais'!$E$4:$E$3632),-('Gastos Gerais'!$C$4:$C$3632)))</f>
        <v>103573.95000000001</v>
      </c>
      <c r="BK13" s="134">
        <f>IF($B13="",0,SUMPRODUCT(-('Gastos Gerais'!$F$4:$F$3632='Gastos das Atividades'!$B13),-('Gastos das Atividades'!BK$3&gt;='Gastos Gerais'!$D$4:$D$3632),-('Gastos das Atividades'!BK$3&lt;='Gastos Gerais'!$E$4:$E$3632),-('Gastos Gerais'!$C$4:$C$3632)))</f>
        <v>103573.95000000001</v>
      </c>
      <c r="BL13" s="134">
        <f>IF($B13="",0,SUMPRODUCT(-('Gastos Gerais'!$F$4:$F$3632='Gastos das Atividades'!$B13),-('Gastos das Atividades'!BL$3&gt;='Gastos Gerais'!$D$4:$D$3632),-('Gastos das Atividades'!BL$3&lt;='Gastos Gerais'!$E$4:$E$3632),-('Gastos Gerais'!$C$4:$C$3632)))</f>
        <v>103573.95000000001</v>
      </c>
      <c r="BM13" s="134">
        <f>IF($B13="",0,SUMPRODUCT(-('Gastos Gerais'!$F$4:$F$3632='Gastos das Atividades'!$B13),-('Gastos das Atividades'!BM$3&gt;='Gastos Gerais'!$D$4:$D$3632),-('Gastos das Atividades'!BM$3&lt;='Gastos Gerais'!$E$4:$E$3632),-('Gastos Gerais'!$C$4:$C$3632)))</f>
        <v>113218.20000000001</v>
      </c>
      <c r="BN13" s="134">
        <f>IF($B13="",0,SUMPRODUCT(-('Gastos Gerais'!$F$4:$F$3632='Gastos das Atividades'!$B13),-('Gastos das Atividades'!BN$3&gt;='Gastos Gerais'!$D$4:$D$3632),-('Gastos das Atividades'!BN$3&lt;='Gastos Gerais'!$E$4:$E$3632),-('Gastos Gerais'!$C$4:$C$3632)))</f>
        <v>109771.78000000001</v>
      </c>
      <c r="BO13" s="134">
        <f>IF($B13="",0,SUMPRODUCT(-('Gastos Gerais'!$F$4:$F$3632='Gastos das Atividades'!$B13),-('Gastos das Atividades'!BO$3&gt;='Gastos Gerais'!$D$4:$D$3632),-('Gastos das Atividades'!BO$3&lt;='Gastos Gerais'!$E$4:$E$3632),-('Gastos Gerais'!$C$4:$C$3632)))</f>
        <v>109771.78000000001</v>
      </c>
      <c r="BP13" s="134">
        <f>IF($B13="",0,SUMPRODUCT(-('Gastos Gerais'!$F$4:$F$3632='Gastos das Atividades'!$B13),-('Gastos das Atividades'!BP$3&gt;='Gastos Gerais'!$D$4:$D$3632),-('Gastos das Atividades'!BP$3&lt;='Gastos Gerais'!$E$4:$E$3632),-('Gastos Gerais'!$C$4:$C$3632)))</f>
        <v>109771.78000000001</v>
      </c>
      <c r="BQ13" s="134">
        <f>IF($B13="",0,SUMPRODUCT(-('Gastos Gerais'!$F$4:$F$3632='Gastos das Atividades'!$B13),-('Gastos das Atividades'!BQ$3&gt;='Gastos Gerais'!$D$4:$D$3632),-('Gastos das Atividades'!BQ$3&lt;='Gastos Gerais'!$E$4:$E$3632),-('Gastos Gerais'!$C$4:$C$3632)))</f>
        <v>109771.78000000001</v>
      </c>
      <c r="BR13" s="134">
        <f>IF($B13="",0,SUMPRODUCT(-('Gastos Gerais'!$F$4:$F$3632='Gastos das Atividades'!$B13),-('Gastos das Atividades'!BR$3&gt;='Gastos Gerais'!$D$4:$D$3632),-('Gastos das Atividades'!BR$3&lt;='Gastos Gerais'!$E$4:$E$3632),-('Gastos Gerais'!$C$4:$C$3632)))</f>
        <v>109771.78000000001</v>
      </c>
      <c r="BS13" s="134">
        <f>IF($B13="",0,SUMPRODUCT(-('Gastos Gerais'!$F$4:$F$3632='Gastos das Atividades'!$B13),-('Gastos das Atividades'!BS$3&gt;='Gastos Gerais'!$D$4:$D$3632),-('Gastos das Atividades'!BS$3&lt;='Gastos Gerais'!$E$4:$E$3632),-('Gastos Gerais'!$C$4:$C$3632)))</f>
        <v>108925.78000000001</v>
      </c>
      <c r="BT13" s="134">
        <f>IF($B13="",0,SUMPRODUCT(-('Gastos Gerais'!$F$4:$F$3632='Gastos das Atividades'!$B13),-('Gastos das Atividades'!BT$3&gt;='Gastos Gerais'!$D$4:$D$3632),-('Gastos das Atividades'!BT$3&lt;='Gastos Gerais'!$E$4:$E$3632),-('Gastos Gerais'!$C$4:$C$3632)))</f>
        <v>108925.78000000001</v>
      </c>
      <c r="BU13" s="134">
        <f>IF($B13="",0,SUMPRODUCT(-('Gastos Gerais'!$F$4:$F$3632='Gastos das Atividades'!$B13),-('Gastos das Atividades'!BU$3&gt;='Gastos Gerais'!$D$4:$D$3632),-('Gastos das Atividades'!BU$3&lt;='Gastos Gerais'!$E$4:$E$3632),-('Gastos Gerais'!$C$4:$C$3632)))</f>
        <v>108925.78000000001</v>
      </c>
      <c r="BV13" s="134">
        <f>IF($B13="",0,SUMPRODUCT(-('Gastos Gerais'!$F$4:$F$3632='Gastos das Atividades'!$B13),-('Gastos das Atividades'!BV$3&gt;='Gastos Gerais'!$D$4:$D$3632),-('Gastos das Atividades'!BV$3&lt;='Gastos Gerais'!$E$4:$E$3632),-('Gastos Gerais'!$C$4:$C$3632)))</f>
        <v>108925.78000000001</v>
      </c>
      <c r="BW13" s="134">
        <f>IF($B13="",0,SUMPRODUCT(-('Gastos Gerais'!$F$4:$F$3632='Gastos das Atividades'!$B13),-('Gastos das Atividades'!BW$3&gt;='Gastos Gerais'!$D$4:$D$3632),-('Gastos das Atividades'!BW$3&lt;='Gastos Gerais'!$E$4:$E$3632),-('Gastos Gerais'!$C$4:$C$3632)))</f>
        <v>107139.75000000001</v>
      </c>
    </row>
    <row r="14" spans="1:76">
      <c r="A14" s="138">
        <v>11</v>
      </c>
      <c r="B14" s="139" t="s">
        <v>638</v>
      </c>
      <c r="C14" s="132">
        <v>0</v>
      </c>
      <c r="D14" s="133">
        <f t="shared" si="0"/>
        <v>61055.609999999993</v>
      </c>
      <c r="E14" s="134">
        <f t="shared" si="1"/>
        <v>1222425.79</v>
      </c>
      <c r="F14" s="134">
        <f t="shared" si="1"/>
        <v>1238814.19</v>
      </c>
      <c r="G14" s="134">
        <f t="shared" si="1"/>
        <v>1250096.6799999997</v>
      </c>
      <c r="H14" s="134">
        <f t="shared" si="1"/>
        <v>1323154.9200000002</v>
      </c>
      <c r="I14" s="135">
        <f t="shared" si="2"/>
        <v>6363544.629999999</v>
      </c>
      <c r="J14" s="136">
        <f t="shared" si="3"/>
        <v>4.9361549556602754E-4</v>
      </c>
      <c r="K14" s="136">
        <f t="shared" si="4"/>
        <v>9.8829298752979907E-3</v>
      </c>
      <c r="L14" s="136">
        <f t="shared" si="5"/>
        <v>1.0015424959493108E-2</v>
      </c>
      <c r="M14" s="136">
        <f t="shared" si="6"/>
        <v>1.0106640359561481E-2</v>
      </c>
      <c r="N14" s="136">
        <f t="shared" si="7"/>
        <v>1.0697293361681712E-2</v>
      </c>
      <c r="O14" s="137">
        <f t="shared" si="8"/>
        <v>5.144726645256649E-2</v>
      </c>
      <c r="P14" s="134">
        <f>IF($B14="",0,SUMPRODUCT(-('Gastos Gerais'!$F$4:$F$3632='Gastos das Atividades'!$B14),-('Gastos das Atividades'!P$3&gt;='Gastos Gerais'!$D$4:$D$3632),-('Gastos das Atividades'!P$3&lt;='Gastos Gerais'!$E$4:$E$3632),-('Gastos Gerais'!$C$4:$C$3632)))</f>
        <v>61055.609999999993</v>
      </c>
      <c r="Q14" s="134">
        <f>IF($B14="",0,SUMPRODUCT(-('Gastos Gerais'!$F$4:$F$3632='Gastos das Atividades'!$B14),-('Gastos das Atividades'!Q$3&gt;='Gastos Gerais'!$D$4:$D$3632),-('Gastos das Atividades'!Q$3&lt;='Gastos Gerais'!$E$4:$E$3632),-('Gastos Gerais'!$C$4:$C$3632)))</f>
        <v>222218.97</v>
      </c>
      <c r="R14" s="134">
        <f>IF($B14="",0,SUMPRODUCT(-('Gastos Gerais'!$F$4:$F$3632='Gastos das Atividades'!$B14),-('Gastos das Atividades'!R$3&gt;='Gastos Gerais'!$D$4:$D$3632),-('Gastos das Atividades'!R$3&lt;='Gastos Gerais'!$E$4:$E$3632),-('Gastos Gerais'!$C$4:$C$3632)))</f>
        <v>95618.97</v>
      </c>
      <c r="S14" s="134">
        <f>IF($B14="",0,SUMPRODUCT(-('Gastos Gerais'!$F$4:$F$3632='Gastos das Atividades'!$B14),-('Gastos das Atividades'!S$3&gt;='Gastos Gerais'!$D$4:$D$3632),-('Gastos das Atividades'!S$3&lt;='Gastos Gerais'!$E$4:$E$3632),-('Gastos Gerais'!$C$4:$C$3632)))</f>
        <v>92218.97</v>
      </c>
      <c r="T14" s="134">
        <f>IF($B14="",0,SUMPRODUCT(-('Gastos Gerais'!$F$4:$F$3632='Gastos das Atividades'!$B14),-('Gastos das Atividades'!T$3&gt;='Gastos Gerais'!$D$4:$D$3632),-('Gastos das Atividades'!T$3&lt;='Gastos Gerais'!$E$4:$E$3632),-('Gastos Gerais'!$C$4:$C$3632)))</f>
        <v>92218.97</v>
      </c>
      <c r="U14" s="134">
        <f>IF($B14="",0,SUMPRODUCT(-('Gastos Gerais'!$F$4:$F$3632='Gastos das Atividades'!$B14),-('Gastos das Atividades'!U$3&gt;='Gastos Gerais'!$D$4:$D$3632),-('Gastos das Atividades'!U$3&lt;='Gastos Gerais'!$E$4:$E$3632),-('Gastos Gerais'!$C$4:$C$3632)))</f>
        <v>92218.97</v>
      </c>
      <c r="V14" s="134">
        <f>IF($B14="",0,SUMPRODUCT(-('Gastos Gerais'!$F$4:$F$3632='Gastos das Atividades'!$B14),-('Gastos das Atividades'!V$3&gt;='Gastos Gerais'!$D$4:$D$3632),-('Gastos das Atividades'!V$3&lt;='Gastos Gerais'!$E$4:$E$3632),-('Gastos Gerais'!$C$4:$C$3632)))</f>
        <v>92218.97</v>
      </c>
      <c r="W14" s="134">
        <f>IF($B14="",0,SUMPRODUCT(-('Gastos Gerais'!$F$4:$F$3632='Gastos das Atividades'!$B14),-('Gastos das Atividades'!W$3&gt;='Gastos Gerais'!$D$4:$D$3632),-('Gastos das Atividades'!W$3&lt;='Gastos Gerais'!$E$4:$E$3632),-('Gastos Gerais'!$C$4:$C$3632)))</f>
        <v>91372.97</v>
      </c>
      <c r="X14" s="134">
        <f>IF($B14="",0,SUMPRODUCT(-('Gastos Gerais'!$F$4:$F$3632='Gastos das Atividades'!$B14),-('Gastos das Atividades'!X$3&gt;='Gastos Gerais'!$D$4:$D$3632),-('Gastos das Atividades'!X$3&lt;='Gastos Gerais'!$E$4:$E$3632),-('Gastos Gerais'!$C$4:$C$3632)))</f>
        <v>88867.799999999988</v>
      </c>
      <c r="Y14" s="134">
        <f>IF($B14="",0,SUMPRODUCT(-('Gastos Gerais'!$F$4:$F$3632='Gastos das Atividades'!$B14),-('Gastos das Atividades'!Y$3&gt;='Gastos Gerais'!$D$4:$D$3632),-('Gastos das Atividades'!Y$3&lt;='Gastos Gerais'!$E$4:$E$3632),-('Gastos Gerais'!$C$4:$C$3632)))</f>
        <v>88867.799999999988</v>
      </c>
      <c r="Z14" s="134">
        <f>IF($B14="",0,SUMPRODUCT(-('Gastos Gerais'!$F$4:$F$3632='Gastos das Atividades'!$B14),-('Gastos das Atividades'!Z$3&gt;='Gastos Gerais'!$D$4:$D$3632),-('Gastos das Atividades'!Z$3&lt;='Gastos Gerais'!$E$4:$E$3632),-('Gastos Gerais'!$C$4:$C$3632)))</f>
        <v>88867.799999999988</v>
      </c>
      <c r="AA14" s="134">
        <f>IF($B14="",0,SUMPRODUCT(-('Gastos Gerais'!$F$4:$F$3632='Gastos das Atividades'!$B14),-('Gastos das Atividades'!AA$3&gt;='Gastos Gerais'!$D$4:$D$3632),-('Gastos das Atividades'!AA$3&lt;='Gastos Gerais'!$E$4:$E$3632),-('Gastos Gerais'!$C$4:$C$3632)))</f>
        <v>88867.799999999988</v>
      </c>
      <c r="AB14" s="134">
        <f>IF($B14="",0,SUMPRODUCT(-('Gastos Gerais'!$F$4:$F$3632='Gastos das Atividades'!$B14),-('Gastos das Atividades'!AB$3&gt;='Gastos Gerais'!$D$4:$D$3632),-('Gastos das Atividades'!AB$3&lt;='Gastos Gerais'!$E$4:$E$3632),-('Gastos Gerais'!$C$4:$C$3632)))</f>
        <v>88867.799999999988</v>
      </c>
      <c r="AC14" s="134">
        <f>IF($B14="",0,SUMPRODUCT(-('Gastos Gerais'!$F$4:$F$3632='Gastos das Atividades'!$B14),-('Gastos das Atividades'!AC$3&gt;='Gastos Gerais'!$D$4:$D$3632),-('Gastos das Atividades'!AC$3&lt;='Gastos Gerais'!$E$4:$E$3632),-('Gastos Gerais'!$C$4:$C$3632)))</f>
        <v>104047.95000000001</v>
      </c>
      <c r="AD14" s="134">
        <f>IF($B14="",0,SUMPRODUCT(-('Gastos Gerais'!$F$4:$F$3632='Gastos das Atividades'!$B14),-('Gastos das Atividades'!AD$3&gt;='Gastos Gerais'!$D$4:$D$3632),-('Gastos das Atividades'!AD$3&lt;='Gastos Gerais'!$E$4:$E$3632),-('Gastos Gerais'!$C$4:$C$3632)))</f>
        <v>115443.95000000001</v>
      </c>
      <c r="AE14" s="134">
        <f>IF($B14="",0,SUMPRODUCT(-('Gastos Gerais'!$F$4:$F$3632='Gastos das Atividades'!$B14),-('Gastos das Atividades'!AE$3&gt;='Gastos Gerais'!$D$4:$D$3632),-('Gastos das Atividades'!AE$3&lt;='Gastos Gerais'!$E$4:$E$3632),-('Gastos Gerais'!$C$4:$C$3632)))</f>
        <v>100443.95000000001</v>
      </c>
      <c r="AF14" s="134">
        <f>IF($B14="",0,SUMPRODUCT(-('Gastos Gerais'!$F$4:$F$3632='Gastos das Atividades'!$B14),-('Gastos das Atividades'!AF$3&gt;='Gastos Gerais'!$D$4:$D$3632),-('Gastos das Atividades'!AF$3&lt;='Gastos Gerais'!$E$4:$E$3632),-('Gastos Gerais'!$C$4:$C$3632)))</f>
        <v>100093.95000000001</v>
      </c>
      <c r="AG14" s="134">
        <f>IF($B14="",0,SUMPRODUCT(-('Gastos Gerais'!$F$4:$F$3632='Gastos das Atividades'!$B14),-('Gastos das Atividades'!AG$3&gt;='Gastos Gerais'!$D$4:$D$3632),-('Gastos das Atividades'!AG$3&lt;='Gastos Gerais'!$E$4:$E$3632),-('Gastos Gerais'!$C$4:$C$3632)))</f>
        <v>104639.72375</v>
      </c>
      <c r="AH14" s="134">
        <f>IF($B14="",0,SUMPRODUCT(-('Gastos Gerais'!$F$4:$F$3632='Gastos das Atividades'!$B14),-('Gastos das Atividades'!AH$3&gt;='Gastos Gerais'!$D$4:$D$3632),-('Gastos das Atividades'!AH$3&lt;='Gastos Gerais'!$E$4:$E$3632),-('Gastos Gerais'!$C$4:$C$3632)))</f>
        <v>104639.72375</v>
      </c>
      <c r="AI14" s="134">
        <f>IF($B14="",0,SUMPRODUCT(-('Gastos Gerais'!$F$4:$F$3632='Gastos das Atividades'!$B14),-('Gastos das Atividades'!AI$3&gt;='Gastos Gerais'!$D$4:$D$3632),-('Gastos das Atividades'!AI$3&lt;='Gastos Gerais'!$E$4:$E$3632),-('Gastos Gerais'!$C$4:$C$3632)))</f>
        <v>103793.72375</v>
      </c>
      <c r="AJ14" s="134">
        <f>IF($B14="",0,SUMPRODUCT(-('Gastos Gerais'!$F$4:$F$3632='Gastos das Atividades'!$B14),-('Gastos das Atividades'!AJ$3&gt;='Gastos Gerais'!$D$4:$D$3632),-('Gastos das Atividades'!AJ$3&lt;='Gastos Gerais'!$E$4:$E$3632),-('Gastos Gerais'!$C$4:$C$3632)))</f>
        <v>101142.24375000002</v>
      </c>
      <c r="AK14" s="134">
        <f>IF($B14="",0,SUMPRODUCT(-('Gastos Gerais'!$F$4:$F$3632='Gastos das Atividades'!$B14),-('Gastos das Atividades'!AK$3&gt;='Gastos Gerais'!$D$4:$D$3632),-('Gastos das Atividades'!AK$3&lt;='Gastos Gerais'!$E$4:$E$3632),-('Gastos Gerais'!$C$4:$C$3632)))</f>
        <v>101142.24375000002</v>
      </c>
      <c r="AL14" s="134">
        <f>IF($B14="",0,SUMPRODUCT(-('Gastos Gerais'!$F$4:$F$3632='Gastos das Atividades'!$B14),-('Gastos das Atividades'!AL$3&gt;='Gastos Gerais'!$D$4:$D$3632),-('Gastos das Atividades'!AL$3&lt;='Gastos Gerais'!$E$4:$E$3632),-('Gastos Gerais'!$C$4:$C$3632)))</f>
        <v>101142.24375000002</v>
      </c>
      <c r="AM14" s="134">
        <f>IF($B14="",0,SUMPRODUCT(-('Gastos Gerais'!$F$4:$F$3632='Gastos das Atividades'!$B14),-('Gastos das Atividades'!AM$3&gt;='Gastos Gerais'!$D$4:$D$3632),-('Gastos das Atividades'!AM$3&lt;='Gastos Gerais'!$E$4:$E$3632),-('Gastos Gerais'!$C$4:$C$3632)))</f>
        <v>101142.24375000002</v>
      </c>
      <c r="AN14" s="134">
        <f>IF($B14="",0,SUMPRODUCT(-('Gastos Gerais'!$F$4:$F$3632='Gastos das Atividades'!$B14),-('Gastos das Atividades'!AN$3&gt;='Gastos Gerais'!$D$4:$D$3632),-('Gastos das Atividades'!AN$3&lt;='Gastos Gerais'!$E$4:$E$3632),-('Gastos Gerais'!$C$4:$C$3632)))</f>
        <v>101142.24375000002</v>
      </c>
      <c r="AO14" s="134">
        <f>IF($B14="",0,SUMPRODUCT(-('Gastos Gerais'!$F$4:$F$3632='Gastos das Atividades'!$B14),-('Gastos das Atividades'!AO$3&gt;='Gastos Gerais'!$D$4:$D$3632),-('Gastos das Atividades'!AO$3&lt;='Gastos Gerais'!$E$4:$E$3632),-('Gastos Gerais'!$C$4:$C$3632)))</f>
        <v>109718.90999999999</v>
      </c>
      <c r="AP14" s="134">
        <f>IF($B14="",0,SUMPRODUCT(-('Gastos Gerais'!$F$4:$F$3632='Gastos das Atividades'!$B14),-('Gastos das Atividades'!AP$3&gt;='Gastos Gerais'!$D$4:$D$3632),-('Gastos das Atividades'!AP$3&lt;='Gastos Gerais'!$E$4:$E$3632),-('Gastos Gerais'!$C$4:$C$3632)))</f>
        <v>105898.66999999998</v>
      </c>
      <c r="AQ14" s="134">
        <f>IF($B14="",0,SUMPRODUCT(-('Gastos Gerais'!$F$4:$F$3632='Gastos das Atividades'!$B14),-('Gastos das Atividades'!AQ$3&gt;='Gastos Gerais'!$D$4:$D$3632),-('Gastos das Atividades'!AQ$3&lt;='Gastos Gerais'!$E$4:$E$3632),-('Gastos Gerais'!$C$4:$C$3632)))</f>
        <v>105898.66999999998</v>
      </c>
      <c r="AR14" s="134">
        <f>IF($B14="",0,SUMPRODUCT(-('Gastos Gerais'!$F$4:$F$3632='Gastos das Atividades'!$B14),-('Gastos das Atividades'!AR$3&gt;='Gastos Gerais'!$D$4:$D$3632),-('Gastos das Atividades'!AR$3&lt;='Gastos Gerais'!$E$4:$E$3632),-('Gastos Gerais'!$C$4:$C$3632)))</f>
        <v>105298.66999999998</v>
      </c>
      <c r="AS14" s="134">
        <f>IF($B14="",0,SUMPRODUCT(-('Gastos Gerais'!$F$4:$F$3632='Gastos das Atividades'!$B14),-('Gastos das Atividades'!AS$3&gt;='Gastos Gerais'!$D$4:$D$3632),-('Gastos das Atividades'!AS$3&lt;='Gastos Gerais'!$E$4:$E$3632),-('Gastos Gerais'!$C$4:$C$3632)))</f>
        <v>105298.66999999998</v>
      </c>
      <c r="AT14" s="134">
        <f>IF($B14="",0,SUMPRODUCT(-('Gastos Gerais'!$F$4:$F$3632='Gastos das Atividades'!$B14),-('Gastos das Atividades'!AT$3&gt;='Gastos Gerais'!$D$4:$D$3632),-('Gastos das Atividades'!AT$3&lt;='Gastos Gerais'!$E$4:$E$3632),-('Gastos Gerais'!$C$4:$C$3632)))</f>
        <v>105298.66999999998</v>
      </c>
      <c r="AU14" s="134">
        <f>IF($B14="",0,SUMPRODUCT(-('Gastos Gerais'!$F$4:$F$3632='Gastos das Atividades'!$B14),-('Gastos das Atividades'!AU$3&gt;='Gastos Gerais'!$D$4:$D$3632),-('Gastos das Atividades'!AU$3&lt;='Gastos Gerais'!$E$4:$E$3632),-('Gastos Gerais'!$C$4:$C$3632)))</f>
        <v>104452.66999999998</v>
      </c>
      <c r="AV14" s="134">
        <f>IF($B14="",0,SUMPRODUCT(-('Gastos Gerais'!$F$4:$F$3632='Gastos das Atividades'!$B14),-('Gastos das Atividades'!AV$3&gt;='Gastos Gerais'!$D$4:$D$3632),-('Gastos das Atividades'!AV$3&lt;='Gastos Gerais'!$E$4:$E$3632),-('Gastos Gerais'!$C$4:$C$3632)))</f>
        <v>101646.34999999999</v>
      </c>
      <c r="AW14" s="134">
        <f>IF($B14="",0,SUMPRODUCT(-('Gastos Gerais'!$F$4:$F$3632='Gastos das Atividades'!$B14),-('Gastos das Atividades'!AW$3&gt;='Gastos Gerais'!$D$4:$D$3632),-('Gastos das Atividades'!AW$3&lt;='Gastos Gerais'!$E$4:$E$3632),-('Gastos Gerais'!$C$4:$C$3632)))</f>
        <v>101646.34999999999</v>
      </c>
      <c r="AX14" s="134">
        <f>IF($B14="",0,SUMPRODUCT(-('Gastos Gerais'!$F$4:$F$3632='Gastos das Atividades'!$B14),-('Gastos das Atividades'!AX$3&gt;='Gastos Gerais'!$D$4:$D$3632),-('Gastos das Atividades'!AX$3&lt;='Gastos Gerais'!$E$4:$E$3632),-('Gastos Gerais'!$C$4:$C$3632)))</f>
        <v>101646.34999999999</v>
      </c>
      <c r="AY14" s="134">
        <f>IF($B14="",0,SUMPRODUCT(-('Gastos Gerais'!$F$4:$F$3632='Gastos das Atividades'!$B14),-('Gastos das Atividades'!AY$3&gt;='Gastos Gerais'!$D$4:$D$3632),-('Gastos das Atividades'!AY$3&lt;='Gastos Gerais'!$E$4:$E$3632),-('Gastos Gerais'!$C$4:$C$3632)))</f>
        <v>101646.34999999999</v>
      </c>
      <c r="AZ14" s="134">
        <f>IF($B14="",0,SUMPRODUCT(-('Gastos Gerais'!$F$4:$F$3632='Gastos das Atividades'!$B14),-('Gastos das Atividades'!AZ$3&gt;='Gastos Gerais'!$D$4:$D$3632),-('Gastos das Atividades'!AZ$3&lt;='Gastos Gerais'!$E$4:$E$3632),-('Gastos Gerais'!$C$4:$C$3632)))</f>
        <v>101646.34999999999</v>
      </c>
      <c r="BA14" s="134">
        <f>IF($B14="",0,SUMPRODUCT(-('Gastos Gerais'!$F$4:$F$3632='Gastos das Atividades'!$B14),-('Gastos das Atividades'!BA$3&gt;='Gastos Gerais'!$D$4:$D$3632),-('Gastos das Atividades'!BA$3&lt;='Gastos Gerais'!$E$4:$E$3632),-('Gastos Gerais'!$C$4:$C$3632)))</f>
        <v>115252.16000000002</v>
      </c>
      <c r="BB14" s="134">
        <f>IF($B14="",0,SUMPRODUCT(-('Gastos Gerais'!$F$4:$F$3632='Gastos das Atividades'!$B14),-('Gastos das Atividades'!BB$3&gt;='Gastos Gerais'!$D$4:$D$3632),-('Gastos das Atividades'!BB$3&lt;='Gastos Gerais'!$E$4:$E$3632),-('Gastos Gerais'!$C$4:$C$3632)))</f>
        <v>121202.71000000002</v>
      </c>
      <c r="BC14" s="134">
        <f>IF($B14="",0,SUMPRODUCT(-('Gastos Gerais'!$F$4:$F$3632='Gastos das Atividades'!$B14),-('Gastos das Atividades'!BC$3&gt;='Gastos Gerais'!$D$4:$D$3632),-('Gastos das Atividades'!BC$3&lt;='Gastos Gerais'!$E$4:$E$3632),-('Gastos Gerais'!$C$4:$C$3632)))</f>
        <v>111202.71000000002</v>
      </c>
      <c r="BD14" s="134">
        <f>IF($B14="",0,SUMPRODUCT(-('Gastos Gerais'!$F$4:$F$3632='Gastos das Atividades'!$B14),-('Gastos das Atividades'!BD$3&gt;='Gastos Gerais'!$D$4:$D$3632),-('Gastos das Atividades'!BD$3&lt;='Gastos Gerais'!$E$4:$E$3632),-('Gastos Gerais'!$C$4:$C$3632)))</f>
        <v>110602.71000000002</v>
      </c>
      <c r="BE14" s="134">
        <f>IF($B14="",0,SUMPRODUCT(-('Gastos Gerais'!$F$4:$F$3632='Gastos das Atividades'!$B14),-('Gastos das Atividades'!BE$3&gt;='Gastos Gerais'!$D$4:$D$3632),-('Gastos das Atividades'!BE$3&lt;='Gastos Gerais'!$E$4:$E$3632),-('Gastos Gerais'!$C$4:$C$3632)))</f>
        <v>110602.71000000002</v>
      </c>
      <c r="BF14" s="134">
        <f>IF($B14="",0,SUMPRODUCT(-('Gastos Gerais'!$F$4:$F$3632='Gastos das Atividades'!$B14),-('Gastos das Atividades'!BF$3&gt;='Gastos Gerais'!$D$4:$D$3632),-('Gastos das Atividades'!BF$3&lt;='Gastos Gerais'!$E$4:$E$3632),-('Gastos Gerais'!$C$4:$C$3632)))</f>
        <v>110602.71000000002</v>
      </c>
      <c r="BG14" s="134">
        <f>IF($B14="",0,SUMPRODUCT(-('Gastos Gerais'!$F$4:$F$3632='Gastos das Atividades'!$B14),-('Gastos das Atividades'!BG$3&gt;='Gastos Gerais'!$D$4:$D$3632),-('Gastos das Atividades'!BG$3&lt;='Gastos Gerais'!$E$4:$E$3632),-('Gastos Gerais'!$C$4:$C$3632)))</f>
        <v>109756.71000000002</v>
      </c>
      <c r="BH14" s="134">
        <f>IF($B14="",0,SUMPRODUCT(-('Gastos Gerais'!$F$4:$F$3632='Gastos das Atividades'!$B14),-('Gastos das Atividades'!BH$3&gt;='Gastos Gerais'!$D$4:$D$3632),-('Gastos das Atividades'!BH$3&lt;='Gastos Gerais'!$E$4:$E$3632),-('Gastos Gerais'!$C$4:$C$3632)))</f>
        <v>106786.50000000001</v>
      </c>
      <c r="BI14" s="134">
        <f>IF($B14="",0,SUMPRODUCT(-('Gastos Gerais'!$F$4:$F$3632='Gastos das Atividades'!$B14),-('Gastos das Atividades'!BI$3&gt;='Gastos Gerais'!$D$4:$D$3632),-('Gastos das Atividades'!BI$3&lt;='Gastos Gerais'!$E$4:$E$3632),-('Gastos Gerais'!$C$4:$C$3632)))</f>
        <v>106786.50000000001</v>
      </c>
      <c r="BJ14" s="134">
        <f>IF($B14="",0,SUMPRODUCT(-('Gastos Gerais'!$F$4:$F$3632='Gastos das Atividades'!$B14),-('Gastos das Atividades'!BJ$3&gt;='Gastos Gerais'!$D$4:$D$3632),-('Gastos das Atividades'!BJ$3&lt;='Gastos Gerais'!$E$4:$E$3632),-('Gastos Gerais'!$C$4:$C$3632)))</f>
        <v>106786.50000000001</v>
      </c>
      <c r="BK14" s="134">
        <f>IF($B14="",0,SUMPRODUCT(-('Gastos Gerais'!$F$4:$F$3632='Gastos das Atividades'!$B14),-('Gastos das Atividades'!BK$3&gt;='Gastos Gerais'!$D$4:$D$3632),-('Gastos das Atividades'!BK$3&lt;='Gastos Gerais'!$E$4:$E$3632),-('Gastos Gerais'!$C$4:$C$3632)))</f>
        <v>106786.50000000001</v>
      </c>
      <c r="BL14" s="134">
        <f>IF($B14="",0,SUMPRODUCT(-('Gastos Gerais'!$F$4:$F$3632='Gastos das Atividades'!$B14),-('Gastos das Atividades'!BL$3&gt;='Gastos Gerais'!$D$4:$D$3632),-('Gastos das Atividades'!BL$3&lt;='Gastos Gerais'!$E$4:$E$3632),-('Gastos Gerais'!$C$4:$C$3632)))</f>
        <v>106786.50000000001</v>
      </c>
      <c r="BM14" s="134">
        <f>IF($B14="",0,SUMPRODUCT(-('Gastos Gerais'!$F$4:$F$3632='Gastos das Atividades'!$B14),-('Gastos das Atividades'!BM$3&gt;='Gastos Gerais'!$D$4:$D$3632),-('Gastos das Atividades'!BM$3&lt;='Gastos Gerais'!$E$4:$E$3632),-('Gastos Gerais'!$C$4:$C$3632)))</f>
        <v>121138.76000000001</v>
      </c>
      <c r="BN14" s="134">
        <f>IF($B14="",0,SUMPRODUCT(-('Gastos Gerais'!$F$4:$F$3632='Gastos das Atividades'!$B14),-('Gastos das Atividades'!BN$3&gt;='Gastos Gerais'!$D$4:$D$3632),-('Gastos das Atividades'!BN$3&lt;='Gastos Gerais'!$E$4:$E$3632),-('Gastos Gerais'!$C$4:$C$3632)))</f>
        <v>116846.34000000001</v>
      </c>
      <c r="BO14" s="134">
        <f>IF($B14="",0,SUMPRODUCT(-('Gastos Gerais'!$F$4:$F$3632='Gastos das Atividades'!$B14),-('Gastos das Atividades'!BO$3&gt;='Gastos Gerais'!$D$4:$D$3632),-('Gastos das Atividades'!BO$3&lt;='Gastos Gerais'!$E$4:$E$3632),-('Gastos Gerais'!$C$4:$C$3632)))</f>
        <v>116846.34000000001</v>
      </c>
      <c r="BP14" s="134">
        <f>IF($B14="",0,SUMPRODUCT(-('Gastos Gerais'!$F$4:$F$3632='Gastos das Atividades'!$B14),-('Gastos das Atividades'!BP$3&gt;='Gastos Gerais'!$D$4:$D$3632),-('Gastos das Atividades'!BP$3&lt;='Gastos Gerais'!$E$4:$E$3632),-('Gastos Gerais'!$C$4:$C$3632)))</f>
        <v>116246.34000000001</v>
      </c>
      <c r="BQ14" s="134">
        <f>IF($B14="",0,SUMPRODUCT(-('Gastos Gerais'!$F$4:$F$3632='Gastos das Atividades'!$B14),-('Gastos das Atividades'!BQ$3&gt;='Gastos Gerais'!$D$4:$D$3632),-('Gastos das Atividades'!BQ$3&lt;='Gastos Gerais'!$E$4:$E$3632),-('Gastos Gerais'!$C$4:$C$3632)))</f>
        <v>116246.34000000001</v>
      </c>
      <c r="BR14" s="134">
        <f>IF($B14="",0,SUMPRODUCT(-('Gastos Gerais'!$F$4:$F$3632='Gastos das Atividades'!$B14),-('Gastos das Atividades'!BR$3&gt;='Gastos Gerais'!$D$4:$D$3632),-('Gastos das Atividades'!BR$3&lt;='Gastos Gerais'!$E$4:$E$3632),-('Gastos Gerais'!$C$4:$C$3632)))</f>
        <v>116246.34000000001</v>
      </c>
      <c r="BS14" s="134">
        <f>IF($B14="",0,SUMPRODUCT(-('Gastos Gerais'!$F$4:$F$3632='Gastos das Atividades'!$B14),-('Gastos das Atividades'!BS$3&gt;='Gastos Gerais'!$D$4:$D$3632),-('Gastos das Atividades'!BS$3&lt;='Gastos Gerais'!$E$4:$E$3632),-('Gastos Gerais'!$C$4:$C$3632)))</f>
        <v>115400.34000000001</v>
      </c>
      <c r="BT14" s="134">
        <f>IF($B14="",0,SUMPRODUCT(-('Gastos Gerais'!$F$4:$F$3632='Gastos das Atividades'!$B14),-('Gastos das Atividades'!BT$3&gt;='Gastos Gerais'!$D$4:$D$3632),-('Gastos das Atividades'!BT$3&lt;='Gastos Gerais'!$E$4:$E$3632),-('Gastos Gerais'!$C$4:$C$3632)))</f>
        <v>112256.66000000002</v>
      </c>
      <c r="BU14" s="134">
        <f>IF($B14="",0,SUMPRODUCT(-('Gastos Gerais'!$F$4:$F$3632='Gastos das Atividades'!$B14),-('Gastos das Atividades'!BU$3&gt;='Gastos Gerais'!$D$4:$D$3632),-('Gastos das Atividades'!BU$3&lt;='Gastos Gerais'!$E$4:$E$3632),-('Gastos Gerais'!$C$4:$C$3632)))</f>
        <v>112256.66000000002</v>
      </c>
      <c r="BV14" s="134">
        <f>IF($B14="",0,SUMPRODUCT(-('Gastos Gerais'!$F$4:$F$3632='Gastos das Atividades'!$B14),-('Gastos das Atividades'!BV$3&gt;='Gastos Gerais'!$D$4:$D$3632),-('Gastos das Atividades'!BV$3&lt;='Gastos Gerais'!$E$4:$E$3632),-('Gastos Gerais'!$C$4:$C$3632)))</f>
        <v>112256.66000000002</v>
      </c>
      <c r="BW14" s="134">
        <f>IF($B14="",0,SUMPRODUCT(-('Gastos Gerais'!$F$4:$F$3632='Gastos das Atividades'!$B14),-('Gastos das Atividades'!BW$3&gt;='Gastos Gerais'!$D$4:$D$3632),-('Gastos das Atividades'!BW$3&lt;='Gastos Gerais'!$E$4:$E$3632),-('Gastos Gerais'!$C$4:$C$3632)))</f>
        <v>112256.66000000002</v>
      </c>
    </row>
    <row r="15" spans="1:76">
      <c r="A15" s="138">
        <v>12</v>
      </c>
      <c r="B15" s="139" t="s">
        <v>639</v>
      </c>
      <c r="C15" s="132">
        <v>0</v>
      </c>
      <c r="D15" s="133">
        <f t="shared" si="0"/>
        <v>58605.609999999993</v>
      </c>
      <c r="E15" s="134">
        <f t="shared" si="1"/>
        <v>1290639.6000000003</v>
      </c>
      <c r="F15" s="134">
        <f t="shared" si="1"/>
        <v>1179087.43</v>
      </c>
      <c r="G15" s="134">
        <f t="shared" si="1"/>
        <v>1182513.1799999997</v>
      </c>
      <c r="H15" s="134">
        <f t="shared" si="1"/>
        <v>1258845.5</v>
      </c>
      <c r="I15" s="135">
        <f t="shared" si="2"/>
        <v>6170059.8400000017</v>
      </c>
      <c r="J15" s="136">
        <f t="shared" si="3"/>
        <v>4.7380801245126104E-4</v>
      </c>
      <c r="K15" s="136">
        <f t="shared" si="4"/>
        <v>1.0434417177244477E-2</v>
      </c>
      <c r="L15" s="136">
        <f t="shared" si="5"/>
        <v>9.5325528002279201E-3</v>
      </c>
      <c r="M15" s="136">
        <f t="shared" si="6"/>
        <v>9.5602489166689026E-3</v>
      </c>
      <c r="N15" s="136">
        <f t="shared" si="7"/>
        <v>1.0177371830755007E-2</v>
      </c>
      <c r="O15" s="137">
        <f t="shared" si="8"/>
        <v>4.9883002488938288E-2</v>
      </c>
      <c r="P15" s="134">
        <f>IF($B15="",0,SUMPRODUCT(-('Gastos Gerais'!$F$4:$F$3632='Gastos das Atividades'!$B15),-('Gastos das Atividades'!P$3&gt;='Gastos Gerais'!$D$4:$D$3632),-('Gastos das Atividades'!P$3&lt;='Gastos Gerais'!$E$4:$E$3632),-('Gastos Gerais'!$C$4:$C$3632)))</f>
        <v>58605.609999999993</v>
      </c>
      <c r="Q15" s="134">
        <f>IF($B15="",0,SUMPRODUCT(-('Gastos Gerais'!$F$4:$F$3632='Gastos das Atividades'!$B15),-('Gastos das Atividades'!Q$3&gt;='Gastos Gerais'!$D$4:$D$3632),-('Gastos das Atividades'!Q$3&lt;='Gastos Gerais'!$E$4:$E$3632),-('Gastos Gerais'!$C$4:$C$3632)))</f>
        <v>91972.299999999988</v>
      </c>
      <c r="R15" s="134">
        <f>IF($B15="",0,SUMPRODUCT(-('Gastos Gerais'!$F$4:$F$3632='Gastos das Atividades'!$B15),-('Gastos das Atividades'!R$3&gt;='Gastos Gerais'!$D$4:$D$3632),-('Gastos das Atividades'!R$3&lt;='Gastos Gerais'!$E$4:$E$3632),-('Gastos Gerais'!$C$4:$C$3632)))</f>
        <v>95368.299999999988</v>
      </c>
      <c r="S15" s="134">
        <f>IF($B15="",0,SUMPRODUCT(-('Gastos Gerais'!$F$4:$F$3632='Gastos das Atividades'!$B15),-('Gastos das Atividades'!S$3&gt;='Gastos Gerais'!$D$4:$D$3632),-('Gastos das Atividades'!S$3&lt;='Gastos Gerais'!$E$4:$E$3632),-('Gastos Gerais'!$C$4:$C$3632)))</f>
        <v>318368.3</v>
      </c>
      <c r="T15" s="134">
        <f>IF($B15="",0,SUMPRODUCT(-('Gastos Gerais'!$F$4:$F$3632='Gastos das Atividades'!$B15),-('Gastos das Atividades'!T$3&gt;='Gastos Gerais'!$D$4:$D$3632),-('Gastos das Atividades'!T$3&lt;='Gastos Gerais'!$E$4:$E$3632),-('Gastos Gerais'!$C$4:$C$3632)))</f>
        <v>88368.299999999988</v>
      </c>
      <c r="U15" s="134">
        <f>IF($B15="",0,SUMPRODUCT(-('Gastos Gerais'!$F$4:$F$3632='Gastos das Atividades'!$B15),-('Gastos das Atividades'!U$3&gt;='Gastos Gerais'!$D$4:$D$3632),-('Gastos das Atividades'!U$3&lt;='Gastos Gerais'!$E$4:$E$3632),-('Gastos Gerais'!$C$4:$C$3632)))</f>
        <v>87704.799999999988</v>
      </c>
      <c r="V15" s="134">
        <f>IF($B15="",0,SUMPRODUCT(-('Gastos Gerais'!$F$4:$F$3632='Gastos das Atividades'!$B15),-('Gastos das Atividades'!V$3&gt;='Gastos Gerais'!$D$4:$D$3632),-('Gastos das Atividades'!V$3&lt;='Gastos Gerais'!$E$4:$E$3632),-('Gastos Gerais'!$C$4:$C$3632)))</f>
        <v>87704.799999999988</v>
      </c>
      <c r="W15" s="134">
        <f>IF($B15="",0,SUMPRODUCT(-('Gastos Gerais'!$F$4:$F$3632='Gastos das Atividades'!$B15),-('Gastos das Atividades'!W$3&gt;='Gastos Gerais'!$D$4:$D$3632),-('Gastos das Atividades'!W$3&lt;='Gastos Gerais'!$E$4:$E$3632),-('Gastos Gerais'!$C$4:$C$3632)))</f>
        <v>86858.799999999988</v>
      </c>
      <c r="X15" s="134">
        <f>IF($B15="",0,SUMPRODUCT(-('Gastos Gerais'!$F$4:$F$3632='Gastos das Atividades'!$B15),-('Gastos das Atividades'!X$3&gt;='Gastos Gerais'!$D$4:$D$3632),-('Gastos das Atividades'!X$3&lt;='Gastos Gerais'!$E$4:$E$3632),-('Gastos Gerais'!$C$4:$C$3632)))</f>
        <v>86858.799999999988</v>
      </c>
      <c r="Y15" s="134">
        <f>IF($B15="",0,SUMPRODUCT(-('Gastos Gerais'!$F$4:$F$3632='Gastos das Atividades'!$B15),-('Gastos das Atividades'!Y$3&gt;='Gastos Gerais'!$D$4:$D$3632),-('Gastos das Atividades'!Y$3&lt;='Gastos Gerais'!$E$4:$E$3632),-('Gastos Gerais'!$C$4:$C$3632)))</f>
        <v>86858.799999999988</v>
      </c>
      <c r="Z15" s="134">
        <f>IF($B15="",0,SUMPRODUCT(-('Gastos Gerais'!$F$4:$F$3632='Gastos das Atividades'!$B15),-('Gastos das Atividades'!Z$3&gt;='Gastos Gerais'!$D$4:$D$3632),-('Gastos das Atividades'!Z$3&lt;='Gastos Gerais'!$E$4:$E$3632),-('Gastos Gerais'!$C$4:$C$3632)))</f>
        <v>86858.799999999988</v>
      </c>
      <c r="AA15" s="134">
        <f>IF($B15="",0,SUMPRODUCT(-('Gastos Gerais'!$F$4:$F$3632='Gastos das Atividades'!$B15),-('Gastos das Atividades'!AA$3&gt;='Gastos Gerais'!$D$4:$D$3632),-('Gastos das Atividades'!AA$3&lt;='Gastos Gerais'!$E$4:$E$3632),-('Gastos Gerais'!$C$4:$C$3632)))</f>
        <v>86858.799999999988</v>
      </c>
      <c r="AB15" s="134">
        <f>IF($B15="",0,SUMPRODUCT(-('Gastos Gerais'!$F$4:$F$3632='Gastos das Atividades'!$B15),-('Gastos das Atividades'!AB$3&gt;='Gastos Gerais'!$D$4:$D$3632),-('Gastos das Atividades'!AB$3&lt;='Gastos Gerais'!$E$4:$E$3632),-('Gastos Gerais'!$C$4:$C$3632)))</f>
        <v>86858.799999999988</v>
      </c>
      <c r="AC15" s="134">
        <f>IF($B15="",0,SUMPRODUCT(-('Gastos Gerais'!$F$4:$F$3632='Gastos das Atividades'!$B15),-('Gastos das Atividades'!AC$3&gt;='Gastos Gerais'!$D$4:$D$3632),-('Gastos das Atividades'!AC$3&lt;='Gastos Gerais'!$E$4:$E$3632),-('Gastos Gerais'!$C$4:$C$3632)))</f>
        <v>100329.21000000002</v>
      </c>
      <c r="AD15" s="134">
        <f>IF($B15="",0,SUMPRODUCT(-('Gastos Gerais'!$F$4:$F$3632='Gastos das Atividades'!$B15),-('Gastos das Atividades'!AD$3&gt;='Gastos Gerais'!$D$4:$D$3632),-('Gastos das Atividades'!AD$3&lt;='Gastos Gerais'!$E$4:$E$3632),-('Gastos Gerais'!$C$4:$C$3632)))</f>
        <v>104621.45</v>
      </c>
      <c r="AE15" s="134">
        <f>IF($B15="",0,SUMPRODUCT(-('Gastos Gerais'!$F$4:$F$3632='Gastos das Atividades'!$B15),-('Gastos das Atividades'!AE$3&gt;='Gastos Gerais'!$D$4:$D$3632),-('Gastos das Atividades'!AE$3&lt;='Gastos Gerais'!$E$4:$E$3632),-('Gastos Gerais'!$C$4:$C$3632)))</f>
        <v>94621.45</v>
      </c>
      <c r="AF15" s="134">
        <f>IF($B15="",0,SUMPRODUCT(-('Gastos Gerais'!$F$4:$F$3632='Gastos das Atividades'!$B15),-('Gastos das Atividades'!AF$3&gt;='Gastos Gerais'!$D$4:$D$3632),-('Gastos das Atividades'!AF$3&lt;='Gastos Gerais'!$E$4:$E$3632),-('Gastos Gerais'!$C$4:$C$3632)))</f>
        <v>94871.45</v>
      </c>
      <c r="AG15" s="134">
        <f>IF($B15="",0,SUMPRODUCT(-('Gastos Gerais'!$F$4:$F$3632='Gastos das Atividades'!$B15),-('Gastos das Atividades'!AG$3&gt;='Gastos Gerais'!$D$4:$D$3632),-('Gastos das Atividades'!AG$3&lt;='Gastos Gerais'!$E$4:$E$3632),-('Gastos Gerais'!$C$4:$C$3632)))</f>
        <v>98714.983749999985</v>
      </c>
      <c r="AH15" s="134">
        <f>IF($B15="",0,SUMPRODUCT(-('Gastos Gerais'!$F$4:$F$3632='Gastos das Atividades'!$B15),-('Gastos das Atividades'!AH$3&gt;='Gastos Gerais'!$D$4:$D$3632),-('Gastos das Atividades'!AH$3&lt;='Gastos Gerais'!$E$4:$E$3632),-('Gastos Gerais'!$C$4:$C$3632)))</f>
        <v>98714.983749999985</v>
      </c>
      <c r="AI15" s="134">
        <f>IF($B15="",0,SUMPRODUCT(-('Gastos Gerais'!$F$4:$F$3632='Gastos das Atividades'!$B15),-('Gastos das Atividades'!AI$3&gt;='Gastos Gerais'!$D$4:$D$3632),-('Gastos das Atividades'!AI$3&lt;='Gastos Gerais'!$E$4:$E$3632),-('Gastos Gerais'!$C$4:$C$3632)))</f>
        <v>97868.983749999985</v>
      </c>
      <c r="AJ15" s="134">
        <f>IF($B15="",0,SUMPRODUCT(-('Gastos Gerais'!$F$4:$F$3632='Gastos das Atividades'!$B15),-('Gastos das Atividades'!AJ$3&gt;='Gastos Gerais'!$D$4:$D$3632),-('Gastos das Atividades'!AJ$3&lt;='Gastos Gerais'!$E$4:$E$3632),-('Gastos Gerais'!$C$4:$C$3632)))</f>
        <v>97868.983749999985</v>
      </c>
      <c r="AK15" s="134">
        <f>IF($B15="",0,SUMPRODUCT(-('Gastos Gerais'!$F$4:$F$3632='Gastos das Atividades'!$B15),-('Gastos das Atividades'!AK$3&gt;='Gastos Gerais'!$D$4:$D$3632),-('Gastos das Atividades'!AK$3&lt;='Gastos Gerais'!$E$4:$E$3632),-('Gastos Gerais'!$C$4:$C$3632)))</f>
        <v>97868.983749999985</v>
      </c>
      <c r="AL15" s="134">
        <f>IF($B15="",0,SUMPRODUCT(-('Gastos Gerais'!$F$4:$F$3632='Gastos das Atividades'!$B15),-('Gastos das Atividades'!AL$3&gt;='Gastos Gerais'!$D$4:$D$3632),-('Gastos das Atividades'!AL$3&lt;='Gastos Gerais'!$E$4:$E$3632),-('Gastos Gerais'!$C$4:$C$3632)))</f>
        <v>97868.983749999985</v>
      </c>
      <c r="AM15" s="134">
        <f>IF($B15="",0,SUMPRODUCT(-('Gastos Gerais'!$F$4:$F$3632='Gastos das Atividades'!$B15),-('Gastos das Atividades'!AM$3&gt;='Gastos Gerais'!$D$4:$D$3632),-('Gastos das Atividades'!AM$3&lt;='Gastos Gerais'!$E$4:$E$3632),-('Gastos Gerais'!$C$4:$C$3632)))</f>
        <v>97868.983749999985</v>
      </c>
      <c r="AN15" s="134">
        <f>IF($B15="",0,SUMPRODUCT(-('Gastos Gerais'!$F$4:$F$3632='Gastos das Atividades'!$B15),-('Gastos das Atividades'!AN$3&gt;='Gastos Gerais'!$D$4:$D$3632),-('Gastos das Atividades'!AN$3&lt;='Gastos Gerais'!$E$4:$E$3632),-('Gastos Gerais'!$C$4:$C$3632)))</f>
        <v>97868.983749999985</v>
      </c>
      <c r="AO15" s="134">
        <f>IF($B15="",0,SUMPRODUCT(-('Gastos Gerais'!$F$4:$F$3632='Gastos das Atividades'!$B15),-('Gastos das Atividades'!AO$3&gt;='Gastos Gerais'!$D$4:$D$3632),-('Gastos das Atividades'!AO$3&lt;='Gastos Gerais'!$E$4:$E$3632),-('Gastos Gerais'!$C$4:$C$3632)))</f>
        <v>105004.22</v>
      </c>
      <c r="AP15" s="134">
        <f>IF($B15="",0,SUMPRODUCT(-('Gastos Gerais'!$F$4:$F$3632='Gastos das Atividades'!$B15),-('Gastos das Atividades'!AP$3&gt;='Gastos Gerais'!$D$4:$D$3632),-('Gastos das Atividades'!AP$3&lt;='Gastos Gerais'!$E$4:$E$3632),-('Gastos Gerais'!$C$4:$C$3632)))</f>
        <v>98957.36</v>
      </c>
      <c r="AQ15" s="134">
        <f>IF($B15="",0,SUMPRODUCT(-('Gastos Gerais'!$F$4:$F$3632='Gastos das Atividades'!$B15),-('Gastos das Atividades'!AQ$3&gt;='Gastos Gerais'!$D$4:$D$3632),-('Gastos das Atividades'!AQ$3&lt;='Gastos Gerais'!$E$4:$E$3632),-('Gastos Gerais'!$C$4:$C$3632)))</f>
        <v>98957.36</v>
      </c>
      <c r="AR15" s="134">
        <f>IF($B15="",0,SUMPRODUCT(-('Gastos Gerais'!$F$4:$F$3632='Gastos das Atividades'!$B15),-('Gastos das Atividades'!AR$3&gt;='Gastos Gerais'!$D$4:$D$3632),-('Gastos das Atividades'!AR$3&lt;='Gastos Gerais'!$E$4:$E$3632),-('Gastos Gerais'!$C$4:$C$3632)))</f>
        <v>98957.36</v>
      </c>
      <c r="AS15" s="134">
        <f>IF($B15="",0,SUMPRODUCT(-('Gastos Gerais'!$F$4:$F$3632='Gastos das Atividades'!$B15),-('Gastos das Atividades'!AS$3&gt;='Gastos Gerais'!$D$4:$D$3632),-('Gastos das Atividades'!AS$3&lt;='Gastos Gerais'!$E$4:$E$3632),-('Gastos Gerais'!$C$4:$C$3632)))</f>
        <v>98214.11</v>
      </c>
      <c r="AT15" s="134">
        <f>IF($B15="",0,SUMPRODUCT(-('Gastos Gerais'!$F$4:$F$3632='Gastos das Atividades'!$B15),-('Gastos das Atividades'!AT$3&gt;='Gastos Gerais'!$D$4:$D$3632),-('Gastos das Atividades'!AT$3&lt;='Gastos Gerais'!$E$4:$E$3632),-('Gastos Gerais'!$C$4:$C$3632)))</f>
        <v>98214.11</v>
      </c>
      <c r="AU15" s="134">
        <f>IF($B15="",0,SUMPRODUCT(-('Gastos Gerais'!$F$4:$F$3632='Gastos das Atividades'!$B15),-('Gastos das Atividades'!AU$3&gt;='Gastos Gerais'!$D$4:$D$3632),-('Gastos das Atividades'!AU$3&lt;='Gastos Gerais'!$E$4:$E$3632),-('Gastos Gerais'!$C$4:$C$3632)))</f>
        <v>97368.109999999986</v>
      </c>
      <c r="AV15" s="134">
        <f>IF($B15="",0,SUMPRODUCT(-('Gastos Gerais'!$F$4:$F$3632='Gastos das Atividades'!$B15),-('Gastos das Atividades'!AV$3&gt;='Gastos Gerais'!$D$4:$D$3632),-('Gastos das Atividades'!AV$3&lt;='Gastos Gerais'!$E$4:$E$3632),-('Gastos Gerais'!$C$4:$C$3632)))</f>
        <v>97368.109999999986</v>
      </c>
      <c r="AW15" s="134">
        <f>IF($B15="",0,SUMPRODUCT(-('Gastos Gerais'!$F$4:$F$3632='Gastos das Atividades'!$B15),-('Gastos das Atividades'!AW$3&gt;='Gastos Gerais'!$D$4:$D$3632),-('Gastos das Atividades'!AW$3&lt;='Gastos Gerais'!$E$4:$E$3632),-('Gastos Gerais'!$C$4:$C$3632)))</f>
        <v>97368.109999999986</v>
      </c>
      <c r="AX15" s="134">
        <f>IF($B15="",0,SUMPRODUCT(-('Gastos Gerais'!$F$4:$F$3632='Gastos das Atividades'!$B15),-('Gastos das Atividades'!AX$3&gt;='Gastos Gerais'!$D$4:$D$3632),-('Gastos das Atividades'!AX$3&lt;='Gastos Gerais'!$E$4:$E$3632),-('Gastos Gerais'!$C$4:$C$3632)))</f>
        <v>97368.109999999986</v>
      </c>
      <c r="AY15" s="134">
        <f>IF($B15="",0,SUMPRODUCT(-('Gastos Gerais'!$F$4:$F$3632='Gastos das Atividades'!$B15),-('Gastos das Atividades'!AY$3&gt;='Gastos Gerais'!$D$4:$D$3632),-('Gastos das Atividades'!AY$3&lt;='Gastos Gerais'!$E$4:$E$3632),-('Gastos Gerais'!$C$4:$C$3632)))</f>
        <v>97368.109999999986</v>
      </c>
      <c r="AZ15" s="134">
        <f>IF($B15="",0,SUMPRODUCT(-('Gastos Gerais'!$F$4:$F$3632='Gastos das Atividades'!$B15),-('Gastos das Atividades'!AZ$3&gt;='Gastos Gerais'!$D$4:$D$3632),-('Gastos das Atividades'!AZ$3&lt;='Gastos Gerais'!$E$4:$E$3632),-('Gastos Gerais'!$C$4:$C$3632)))</f>
        <v>97368.109999999986</v>
      </c>
      <c r="BA15" s="134">
        <f>IF($B15="",0,SUMPRODUCT(-('Gastos Gerais'!$F$4:$F$3632='Gastos das Atividades'!$B15),-('Gastos das Atividades'!BA$3&gt;='Gastos Gerais'!$D$4:$D$3632),-('Gastos das Atividades'!BA$3&lt;='Gastos Gerais'!$E$4:$E$3632),-('Gastos Gerais'!$C$4:$C$3632)))</f>
        <v>110473.49</v>
      </c>
      <c r="BB15" s="134">
        <f>IF($B15="",0,SUMPRODUCT(-('Gastos Gerais'!$F$4:$F$3632='Gastos das Atividades'!$B15),-('Gastos das Atividades'!BB$3&gt;='Gastos Gerais'!$D$4:$D$3632),-('Gastos das Atividades'!BB$3&lt;='Gastos Gerais'!$E$4:$E$3632),-('Gastos Gerais'!$C$4:$C$3632)))</f>
        <v>119067.39000000001</v>
      </c>
      <c r="BC15" s="134">
        <f>IF($B15="",0,SUMPRODUCT(-('Gastos Gerais'!$F$4:$F$3632='Gastos das Atividades'!$B15),-('Gastos das Atividades'!BC$3&gt;='Gastos Gerais'!$D$4:$D$3632),-('Gastos das Atividades'!BC$3&lt;='Gastos Gerais'!$E$4:$E$3632),-('Gastos Gerais'!$C$4:$C$3632)))</f>
        <v>104067.39000000001</v>
      </c>
      <c r="BD15" s="134">
        <f>IF($B15="",0,SUMPRODUCT(-('Gastos Gerais'!$F$4:$F$3632='Gastos das Atividades'!$B15),-('Gastos das Atividades'!BD$3&gt;='Gastos Gerais'!$D$4:$D$3632),-('Gastos das Atividades'!BD$3&lt;='Gastos Gerais'!$E$4:$E$3632),-('Gastos Gerais'!$C$4:$C$3632)))</f>
        <v>104067.39000000001</v>
      </c>
      <c r="BE15" s="134">
        <f>IF($B15="",0,SUMPRODUCT(-('Gastos Gerais'!$F$4:$F$3632='Gastos das Atividades'!$B15),-('Gastos das Atividades'!BE$3&gt;='Gastos Gerais'!$D$4:$D$3632),-('Gastos das Atividades'!BE$3&lt;='Gastos Gerais'!$E$4:$E$3632),-('Gastos Gerais'!$C$4:$C$3632)))</f>
        <v>103280.73000000001</v>
      </c>
      <c r="BF15" s="134">
        <f>IF($B15="",0,SUMPRODUCT(-('Gastos Gerais'!$F$4:$F$3632='Gastos das Atividades'!$B15),-('Gastos das Atividades'!BF$3&gt;='Gastos Gerais'!$D$4:$D$3632),-('Gastos das Atividades'!BF$3&lt;='Gastos Gerais'!$E$4:$E$3632),-('Gastos Gerais'!$C$4:$C$3632)))</f>
        <v>103280.73000000001</v>
      </c>
      <c r="BG15" s="134">
        <f>IF($B15="",0,SUMPRODUCT(-('Gastos Gerais'!$F$4:$F$3632='Gastos das Atividades'!$B15),-('Gastos das Atividades'!BG$3&gt;='Gastos Gerais'!$D$4:$D$3632),-('Gastos das Atividades'!BG$3&lt;='Gastos Gerais'!$E$4:$E$3632),-('Gastos Gerais'!$C$4:$C$3632)))</f>
        <v>102434.73000000001</v>
      </c>
      <c r="BH15" s="134">
        <f>IF($B15="",0,SUMPRODUCT(-('Gastos Gerais'!$F$4:$F$3632='Gastos das Atividades'!$B15),-('Gastos das Atividades'!BH$3&gt;='Gastos Gerais'!$D$4:$D$3632),-('Gastos das Atividades'!BH$3&lt;='Gastos Gerais'!$E$4:$E$3632),-('Gastos Gerais'!$C$4:$C$3632)))</f>
        <v>102434.73000000001</v>
      </c>
      <c r="BI15" s="134">
        <f>IF($B15="",0,SUMPRODUCT(-('Gastos Gerais'!$F$4:$F$3632='Gastos das Atividades'!$B15),-('Gastos das Atividades'!BI$3&gt;='Gastos Gerais'!$D$4:$D$3632),-('Gastos das Atividades'!BI$3&lt;='Gastos Gerais'!$E$4:$E$3632),-('Gastos Gerais'!$C$4:$C$3632)))</f>
        <v>102434.73000000001</v>
      </c>
      <c r="BJ15" s="134">
        <f>IF($B15="",0,SUMPRODUCT(-('Gastos Gerais'!$F$4:$F$3632='Gastos das Atividades'!$B15),-('Gastos das Atividades'!BJ$3&gt;='Gastos Gerais'!$D$4:$D$3632),-('Gastos das Atividades'!BJ$3&lt;='Gastos Gerais'!$E$4:$E$3632),-('Gastos Gerais'!$C$4:$C$3632)))</f>
        <v>102434.73000000001</v>
      </c>
      <c r="BK15" s="134">
        <f>IF($B15="",0,SUMPRODUCT(-('Gastos Gerais'!$F$4:$F$3632='Gastos das Atividades'!$B15),-('Gastos das Atividades'!BK$3&gt;='Gastos Gerais'!$D$4:$D$3632),-('Gastos das Atividades'!BK$3&lt;='Gastos Gerais'!$E$4:$E$3632),-('Gastos Gerais'!$C$4:$C$3632)))</f>
        <v>102434.73000000001</v>
      </c>
      <c r="BL15" s="134">
        <f>IF($B15="",0,SUMPRODUCT(-('Gastos Gerais'!$F$4:$F$3632='Gastos das Atividades'!$B15),-('Gastos das Atividades'!BL$3&gt;='Gastos Gerais'!$D$4:$D$3632),-('Gastos das Atividades'!BL$3&lt;='Gastos Gerais'!$E$4:$E$3632),-('Gastos Gerais'!$C$4:$C$3632)))</f>
        <v>102434.73000000001</v>
      </c>
      <c r="BM15" s="134">
        <f>IF($B15="",0,SUMPRODUCT(-('Gastos Gerais'!$F$4:$F$3632='Gastos das Atividades'!$B15),-('Gastos das Atividades'!BM$3&gt;='Gastos Gerais'!$D$4:$D$3632),-('Gastos das Atividades'!BM$3&lt;='Gastos Gerais'!$E$4:$E$3632),-('Gastos Gerais'!$C$4:$C$3632)))</f>
        <v>116208.52</v>
      </c>
      <c r="BN15" s="134">
        <f>IF($B15="",0,SUMPRODUCT(-('Gastos Gerais'!$F$4:$F$3632='Gastos das Atividades'!$B15),-('Gastos das Atividades'!BN$3&gt;='Gastos Gerais'!$D$4:$D$3632),-('Gastos das Atividades'!BN$3&lt;='Gastos Gerais'!$E$4:$E$3632),-('Gastos Gerais'!$C$4:$C$3632)))</f>
        <v>109421.82</v>
      </c>
      <c r="BO15" s="134">
        <f>IF($B15="",0,SUMPRODUCT(-('Gastos Gerais'!$F$4:$F$3632='Gastos das Atividades'!$B15),-('Gastos das Atividades'!BO$3&gt;='Gastos Gerais'!$D$4:$D$3632),-('Gastos das Atividades'!BO$3&lt;='Gastos Gerais'!$E$4:$E$3632),-('Gastos Gerais'!$C$4:$C$3632)))</f>
        <v>109421.82</v>
      </c>
      <c r="BP15" s="134">
        <f>IF($B15="",0,SUMPRODUCT(-('Gastos Gerais'!$F$4:$F$3632='Gastos das Atividades'!$B15),-('Gastos das Atividades'!BP$3&gt;='Gastos Gerais'!$D$4:$D$3632),-('Gastos das Atividades'!BP$3&lt;='Gastos Gerais'!$E$4:$E$3632),-('Gastos Gerais'!$C$4:$C$3632)))</f>
        <v>109421.82</v>
      </c>
      <c r="BQ15" s="134">
        <f>IF($B15="",0,SUMPRODUCT(-('Gastos Gerais'!$F$4:$F$3632='Gastos das Atividades'!$B15),-('Gastos das Atividades'!BQ$3&gt;='Gastos Gerais'!$D$4:$D$3632),-('Gastos das Atividades'!BQ$3&lt;='Gastos Gerais'!$E$4:$E$3632),-('Gastos Gerais'!$C$4:$C$3632)))</f>
        <v>108589.22</v>
      </c>
      <c r="BR15" s="134">
        <f>IF($B15="",0,SUMPRODUCT(-('Gastos Gerais'!$F$4:$F$3632='Gastos das Atividades'!$B15),-('Gastos das Atividades'!BR$3&gt;='Gastos Gerais'!$D$4:$D$3632),-('Gastos das Atividades'!BR$3&lt;='Gastos Gerais'!$E$4:$E$3632),-('Gastos Gerais'!$C$4:$C$3632)))</f>
        <v>108589.22</v>
      </c>
      <c r="BS15" s="134">
        <f>IF($B15="",0,SUMPRODUCT(-('Gastos Gerais'!$F$4:$F$3632='Gastos das Atividades'!$B15),-('Gastos das Atividades'!BS$3&gt;='Gastos Gerais'!$D$4:$D$3632),-('Gastos das Atividades'!BS$3&lt;='Gastos Gerais'!$E$4:$E$3632),-('Gastos Gerais'!$C$4:$C$3632)))</f>
        <v>107743.22</v>
      </c>
      <c r="BT15" s="134">
        <f>IF($B15="",0,SUMPRODUCT(-('Gastos Gerais'!$F$4:$F$3632='Gastos das Atividades'!$B15),-('Gastos das Atividades'!BT$3&gt;='Gastos Gerais'!$D$4:$D$3632),-('Gastos das Atividades'!BT$3&lt;='Gastos Gerais'!$E$4:$E$3632),-('Gastos Gerais'!$C$4:$C$3632)))</f>
        <v>107743.22</v>
      </c>
      <c r="BU15" s="134">
        <f>IF($B15="",0,SUMPRODUCT(-('Gastos Gerais'!$F$4:$F$3632='Gastos das Atividades'!$B15),-('Gastos das Atividades'!BU$3&gt;='Gastos Gerais'!$D$4:$D$3632),-('Gastos das Atividades'!BU$3&lt;='Gastos Gerais'!$E$4:$E$3632),-('Gastos Gerais'!$C$4:$C$3632)))</f>
        <v>107743.22</v>
      </c>
      <c r="BV15" s="134">
        <f>IF($B15="",0,SUMPRODUCT(-('Gastos Gerais'!$F$4:$F$3632='Gastos das Atividades'!$B15),-('Gastos das Atividades'!BV$3&gt;='Gastos Gerais'!$D$4:$D$3632),-('Gastos das Atividades'!BV$3&lt;='Gastos Gerais'!$E$4:$E$3632),-('Gastos Gerais'!$C$4:$C$3632)))</f>
        <v>107743.22</v>
      </c>
      <c r="BW15" s="134">
        <f>IF($B15="",0,SUMPRODUCT(-('Gastos Gerais'!$F$4:$F$3632='Gastos das Atividades'!$B15),-('Gastos das Atividades'!BW$3&gt;='Gastos Gerais'!$D$4:$D$3632),-('Gastos das Atividades'!BW$3&lt;='Gastos Gerais'!$E$4:$E$3632),-('Gastos Gerais'!$C$4:$C$3632)))</f>
        <v>107743.22</v>
      </c>
    </row>
    <row r="16" spans="1:76">
      <c r="A16" s="138">
        <v>13</v>
      </c>
      <c r="B16" s="139" t="s">
        <v>640</v>
      </c>
      <c r="C16" s="132">
        <v>0</v>
      </c>
      <c r="D16" s="133">
        <f t="shared" si="0"/>
        <v>0</v>
      </c>
      <c r="E16" s="134">
        <f t="shared" si="1"/>
        <v>1163790.5899999999</v>
      </c>
      <c r="F16" s="134">
        <f t="shared" si="1"/>
        <v>1177987.0599999998</v>
      </c>
      <c r="G16" s="134">
        <f t="shared" si="1"/>
        <v>1203661.54</v>
      </c>
      <c r="H16" s="134">
        <f t="shared" si="1"/>
        <v>1275938.2200000002</v>
      </c>
      <c r="I16" s="135">
        <f t="shared" si="2"/>
        <v>6042363.2899999982</v>
      </c>
      <c r="J16" s="136">
        <f t="shared" si="3"/>
        <v>0</v>
      </c>
      <c r="K16" s="136">
        <f t="shared" si="4"/>
        <v>9.4088826369588228E-3</v>
      </c>
      <c r="L16" s="136">
        <f t="shared" si="5"/>
        <v>9.5236566532095543E-3</v>
      </c>
      <c r="M16" s="136">
        <f t="shared" si="6"/>
        <v>9.7312267875280904E-3</v>
      </c>
      <c r="N16" s="136">
        <f t="shared" si="7"/>
        <v>1.0315561121687838E-2</v>
      </c>
      <c r="O16" s="137">
        <f t="shared" si="8"/>
        <v>4.8850615853044815E-2</v>
      </c>
      <c r="P16" s="134">
        <f>IF($B16="",0,SUMPRODUCT(-('Gastos Gerais'!$F$4:$F$3632='Gastos das Atividades'!$B16),-('Gastos das Atividades'!P$3&gt;='Gastos Gerais'!$D$4:$D$3632),-('Gastos das Atividades'!P$3&lt;='Gastos Gerais'!$E$4:$E$3632),-('Gastos Gerais'!$C$4:$C$3632)))</f>
        <v>0</v>
      </c>
      <c r="Q16" s="134">
        <f>IF($B16="",0,SUMPRODUCT(-('Gastos Gerais'!$F$4:$F$3632='Gastos das Atividades'!$B16),-('Gastos das Atividades'!Q$3&gt;='Gastos Gerais'!$D$4:$D$3632),-('Gastos das Atividades'!Q$3&lt;='Gastos Gerais'!$E$4:$E$3632),-('Gastos Gerais'!$C$4:$C$3632)))</f>
        <v>160580.79999999999</v>
      </c>
      <c r="R16" s="134">
        <f>IF($B16="",0,SUMPRODUCT(-('Gastos Gerais'!$F$4:$F$3632='Gastos das Atividades'!$B16),-('Gastos das Atividades'!R$3&gt;='Gastos Gerais'!$D$4:$D$3632),-('Gastos das Atividades'!R$3&lt;='Gastos Gerais'!$E$4:$E$3632),-('Gastos Gerais'!$C$4:$C$3632)))</f>
        <v>106279.37</v>
      </c>
      <c r="S16" s="134">
        <f>IF($B16="",0,SUMPRODUCT(-('Gastos Gerais'!$F$4:$F$3632='Gastos das Atividades'!$B16),-('Gastos das Atividades'!S$3&gt;='Gastos Gerais'!$D$4:$D$3632),-('Gastos das Atividades'!S$3&lt;='Gastos Gerais'!$E$4:$E$3632),-('Gastos Gerais'!$C$4:$C$3632)))</f>
        <v>91949.37</v>
      </c>
      <c r="T16" s="134">
        <f>IF($B16="",0,SUMPRODUCT(-('Gastos Gerais'!$F$4:$F$3632='Gastos das Atividades'!$B16),-('Gastos das Atividades'!T$3&gt;='Gastos Gerais'!$D$4:$D$3632),-('Gastos das Atividades'!T$3&lt;='Gastos Gerais'!$E$4:$E$3632),-('Gastos Gerais'!$C$4:$C$3632)))</f>
        <v>91949.37</v>
      </c>
      <c r="U16" s="134">
        <f>IF($B16="",0,SUMPRODUCT(-('Gastos Gerais'!$F$4:$F$3632='Gastos das Atividades'!$B16),-('Gastos das Atividades'!U$3&gt;='Gastos Gerais'!$D$4:$D$3632),-('Gastos das Atividades'!U$3&lt;='Gastos Gerais'!$E$4:$E$3632),-('Gastos Gerais'!$C$4:$C$3632)))</f>
        <v>90213.459999999992</v>
      </c>
      <c r="V16" s="134">
        <f>IF($B16="",0,SUMPRODUCT(-('Gastos Gerais'!$F$4:$F$3632='Gastos das Atividades'!$B16),-('Gastos das Atividades'!V$3&gt;='Gastos Gerais'!$D$4:$D$3632),-('Gastos das Atividades'!V$3&lt;='Gastos Gerais'!$E$4:$E$3632),-('Gastos Gerais'!$C$4:$C$3632)))</f>
        <v>90213.459999999992</v>
      </c>
      <c r="W16" s="134">
        <f>IF($B16="",0,SUMPRODUCT(-('Gastos Gerais'!$F$4:$F$3632='Gastos das Atividades'!$B16),-('Gastos das Atividades'!W$3&gt;='Gastos Gerais'!$D$4:$D$3632),-('Gastos das Atividades'!W$3&lt;='Gastos Gerais'!$E$4:$E$3632),-('Gastos Gerais'!$C$4:$C$3632)))</f>
        <v>88767.459999999992</v>
      </c>
      <c r="X16" s="134">
        <f>IF($B16="",0,SUMPRODUCT(-('Gastos Gerais'!$F$4:$F$3632='Gastos das Atividades'!$B16),-('Gastos das Atividades'!X$3&gt;='Gastos Gerais'!$D$4:$D$3632),-('Gastos das Atividades'!X$3&lt;='Gastos Gerais'!$E$4:$E$3632),-('Gastos Gerais'!$C$4:$C$3632)))</f>
        <v>88767.459999999992</v>
      </c>
      <c r="Y16" s="134">
        <f>IF($B16="",0,SUMPRODUCT(-('Gastos Gerais'!$F$4:$F$3632='Gastos das Atividades'!$B16),-('Gastos das Atividades'!Y$3&gt;='Gastos Gerais'!$D$4:$D$3632),-('Gastos das Atividades'!Y$3&lt;='Gastos Gerais'!$E$4:$E$3632),-('Gastos Gerais'!$C$4:$C$3632)))</f>
        <v>88767.459999999992</v>
      </c>
      <c r="Z16" s="134">
        <f>IF($B16="",0,SUMPRODUCT(-('Gastos Gerais'!$F$4:$F$3632='Gastos das Atividades'!$B16),-('Gastos das Atividades'!Z$3&gt;='Gastos Gerais'!$D$4:$D$3632),-('Gastos das Atividades'!Z$3&lt;='Gastos Gerais'!$E$4:$E$3632),-('Gastos Gerais'!$C$4:$C$3632)))</f>
        <v>88767.459999999992</v>
      </c>
      <c r="AA16" s="134">
        <f>IF($B16="",0,SUMPRODUCT(-('Gastos Gerais'!$F$4:$F$3632='Gastos das Atividades'!$B16),-('Gastos das Atividades'!AA$3&gt;='Gastos Gerais'!$D$4:$D$3632),-('Gastos das Atividades'!AA$3&lt;='Gastos Gerais'!$E$4:$E$3632),-('Gastos Gerais'!$C$4:$C$3632)))</f>
        <v>88767.459999999992</v>
      </c>
      <c r="AB16" s="134">
        <f>IF($B16="",0,SUMPRODUCT(-('Gastos Gerais'!$F$4:$F$3632='Gastos das Atividades'!$B16),-('Gastos das Atividades'!AB$3&gt;='Gastos Gerais'!$D$4:$D$3632),-('Gastos das Atividades'!AB$3&lt;='Gastos Gerais'!$E$4:$E$3632),-('Gastos Gerais'!$C$4:$C$3632)))</f>
        <v>88767.459999999992</v>
      </c>
      <c r="AC16" s="134">
        <f>IF($B16="",0,SUMPRODUCT(-('Gastos Gerais'!$F$4:$F$3632='Gastos das Atividades'!$B16),-('Gastos das Atividades'!AC$3&gt;='Gastos Gerais'!$D$4:$D$3632),-('Gastos das Atividades'!AC$3&lt;='Gastos Gerais'!$E$4:$E$3632),-('Gastos Gerais'!$C$4:$C$3632)))</f>
        <v>100260.54000000001</v>
      </c>
      <c r="AD16" s="134">
        <f>IF($B16="",0,SUMPRODUCT(-('Gastos Gerais'!$F$4:$F$3632='Gastos das Atividades'!$B16),-('Gastos das Atividades'!AD$3&gt;='Gastos Gerais'!$D$4:$D$3632),-('Gastos das Atividades'!AD$3&lt;='Gastos Gerais'!$E$4:$E$3632),-('Gastos Gerais'!$C$4:$C$3632)))</f>
        <v>96656.540000000008</v>
      </c>
      <c r="AE16" s="134">
        <f>IF($B16="",0,SUMPRODUCT(-('Gastos Gerais'!$F$4:$F$3632='Gastos das Atividades'!$B16),-('Gastos das Atividades'!AE$3&gt;='Gastos Gerais'!$D$4:$D$3632),-('Gastos das Atividades'!AE$3&lt;='Gastos Gerais'!$E$4:$E$3632),-('Gastos Gerais'!$C$4:$C$3632)))</f>
        <v>96656.540000000008</v>
      </c>
      <c r="AF16" s="134">
        <f>IF($B16="",0,SUMPRODUCT(-('Gastos Gerais'!$F$4:$F$3632='Gastos das Atividades'!$B16),-('Gastos das Atividades'!AF$3&gt;='Gastos Gerais'!$D$4:$D$3632),-('Gastos das Atividades'!AF$3&lt;='Gastos Gerais'!$E$4:$E$3632),-('Gastos Gerais'!$C$4:$C$3632)))</f>
        <v>95069.250000000015</v>
      </c>
      <c r="AG16" s="134">
        <f>IF($B16="",0,SUMPRODUCT(-('Gastos Gerais'!$F$4:$F$3632='Gastos das Atividades'!$B16),-('Gastos das Atividades'!AG$3&gt;='Gastos Gerais'!$D$4:$D$3632),-('Gastos das Atividades'!AG$3&lt;='Gastos Gerais'!$E$4:$E$3632),-('Gastos Gerais'!$C$4:$C$3632)))</f>
        <v>99615.023750000022</v>
      </c>
      <c r="AH16" s="134">
        <f>IF($B16="",0,SUMPRODUCT(-('Gastos Gerais'!$F$4:$F$3632='Gastos das Atividades'!$B16),-('Gastos das Atividades'!AH$3&gt;='Gastos Gerais'!$D$4:$D$3632),-('Gastos das Atividades'!AH$3&lt;='Gastos Gerais'!$E$4:$E$3632),-('Gastos Gerais'!$C$4:$C$3632)))</f>
        <v>99615.023750000022</v>
      </c>
      <c r="AI16" s="134">
        <f>IF($B16="",0,SUMPRODUCT(-('Gastos Gerais'!$F$4:$F$3632='Gastos das Atividades'!$B16),-('Gastos das Atividades'!AI$3&gt;='Gastos Gerais'!$D$4:$D$3632),-('Gastos das Atividades'!AI$3&lt;='Gastos Gerais'!$E$4:$E$3632),-('Gastos Gerais'!$C$4:$C$3632)))</f>
        <v>98169.023749999993</v>
      </c>
      <c r="AJ16" s="134">
        <f>IF($B16="",0,SUMPRODUCT(-('Gastos Gerais'!$F$4:$F$3632='Gastos das Atividades'!$B16),-('Gastos das Atividades'!AJ$3&gt;='Gastos Gerais'!$D$4:$D$3632),-('Gastos das Atividades'!AJ$3&lt;='Gastos Gerais'!$E$4:$E$3632),-('Gastos Gerais'!$C$4:$C$3632)))</f>
        <v>98169.023749999993</v>
      </c>
      <c r="AK16" s="134">
        <f>IF($B16="",0,SUMPRODUCT(-('Gastos Gerais'!$F$4:$F$3632='Gastos das Atividades'!$B16),-('Gastos das Atividades'!AK$3&gt;='Gastos Gerais'!$D$4:$D$3632),-('Gastos das Atividades'!AK$3&lt;='Gastos Gerais'!$E$4:$E$3632),-('Gastos Gerais'!$C$4:$C$3632)))</f>
        <v>98169.023749999993</v>
      </c>
      <c r="AL16" s="134">
        <f>IF($B16="",0,SUMPRODUCT(-('Gastos Gerais'!$F$4:$F$3632='Gastos das Atividades'!$B16),-('Gastos das Atividades'!AL$3&gt;='Gastos Gerais'!$D$4:$D$3632),-('Gastos das Atividades'!AL$3&lt;='Gastos Gerais'!$E$4:$E$3632),-('Gastos Gerais'!$C$4:$C$3632)))</f>
        <v>98169.023749999993</v>
      </c>
      <c r="AM16" s="134">
        <f>IF($B16="",0,SUMPRODUCT(-('Gastos Gerais'!$F$4:$F$3632='Gastos das Atividades'!$B16),-('Gastos das Atividades'!AM$3&gt;='Gastos Gerais'!$D$4:$D$3632),-('Gastos das Atividades'!AM$3&lt;='Gastos Gerais'!$E$4:$E$3632),-('Gastos Gerais'!$C$4:$C$3632)))</f>
        <v>98169.023749999993</v>
      </c>
      <c r="AN16" s="134">
        <f>IF($B16="",0,SUMPRODUCT(-('Gastos Gerais'!$F$4:$F$3632='Gastos das Atividades'!$B16),-('Gastos das Atividades'!AN$3&gt;='Gastos Gerais'!$D$4:$D$3632),-('Gastos das Atividades'!AN$3&lt;='Gastos Gerais'!$E$4:$E$3632),-('Gastos Gerais'!$C$4:$C$3632)))</f>
        <v>99269.023749999993</v>
      </c>
      <c r="AO16" s="134">
        <f>IF($B16="",0,SUMPRODUCT(-('Gastos Gerais'!$F$4:$F$3632='Gastos das Atividades'!$B16),-('Gastos das Atividades'!AO$3&gt;='Gastos Gerais'!$D$4:$D$3632),-('Gastos das Atividades'!AO$3&lt;='Gastos Gerais'!$E$4:$E$3632),-('Gastos Gerais'!$C$4:$C$3632)))</f>
        <v>105988.45</v>
      </c>
      <c r="AP16" s="134">
        <f>IF($B16="",0,SUMPRODUCT(-('Gastos Gerais'!$F$4:$F$3632='Gastos das Atividades'!$B16),-('Gastos das Atividades'!AP$3&gt;='Gastos Gerais'!$D$4:$D$3632),-('Gastos das Atividades'!AP$3&lt;='Gastos Gerais'!$E$4:$E$3632),-('Gastos Gerais'!$C$4:$C$3632)))</f>
        <v>102168.20999999999</v>
      </c>
      <c r="AQ16" s="134">
        <f>IF($B16="",0,SUMPRODUCT(-('Gastos Gerais'!$F$4:$F$3632='Gastos das Atividades'!$B16),-('Gastos das Atividades'!AQ$3&gt;='Gastos Gerais'!$D$4:$D$3632),-('Gastos das Atividades'!AQ$3&lt;='Gastos Gerais'!$E$4:$E$3632),-('Gastos Gerais'!$C$4:$C$3632)))</f>
        <v>102168.20999999999</v>
      </c>
      <c r="AR16" s="134">
        <f>IF($B16="",0,SUMPRODUCT(-('Gastos Gerais'!$F$4:$F$3632='Gastos das Atividades'!$B16),-('Gastos das Atividades'!AR$3&gt;='Gastos Gerais'!$D$4:$D$3632),-('Gastos das Atividades'!AR$3&lt;='Gastos Gerais'!$E$4:$E$3632),-('Gastos Gerais'!$C$4:$C$3632)))</f>
        <v>100223.62999999999</v>
      </c>
      <c r="AS16" s="134">
        <f>IF($B16="",0,SUMPRODUCT(-('Gastos Gerais'!$F$4:$F$3632='Gastos das Atividades'!$B16),-('Gastos das Atividades'!AS$3&gt;='Gastos Gerais'!$D$4:$D$3632),-('Gastos das Atividades'!AS$3&lt;='Gastos Gerais'!$E$4:$E$3632),-('Gastos Gerais'!$C$4:$C$3632)))</f>
        <v>100223.62999999999</v>
      </c>
      <c r="AT16" s="134">
        <f>IF($B16="",0,SUMPRODUCT(-('Gastos Gerais'!$F$4:$F$3632='Gastos das Atividades'!$B16),-('Gastos das Atividades'!AT$3&gt;='Gastos Gerais'!$D$4:$D$3632),-('Gastos das Atividades'!AT$3&lt;='Gastos Gerais'!$E$4:$E$3632),-('Gastos Gerais'!$C$4:$C$3632)))</f>
        <v>100223.62999999999</v>
      </c>
      <c r="AU16" s="134">
        <f>IF($B16="",0,SUMPRODUCT(-('Gastos Gerais'!$F$4:$F$3632='Gastos das Atividades'!$B16),-('Gastos das Atividades'!AU$3&gt;='Gastos Gerais'!$D$4:$D$3632),-('Gastos das Atividades'!AU$3&lt;='Gastos Gerais'!$E$4:$E$3632),-('Gastos Gerais'!$C$4:$C$3632)))</f>
        <v>98777.63</v>
      </c>
      <c r="AV16" s="134">
        <f>IF($B16="",0,SUMPRODUCT(-('Gastos Gerais'!$F$4:$F$3632='Gastos das Atividades'!$B16),-('Gastos das Atividades'!AV$3&gt;='Gastos Gerais'!$D$4:$D$3632),-('Gastos das Atividades'!AV$3&lt;='Gastos Gerais'!$E$4:$E$3632),-('Gastos Gerais'!$C$4:$C$3632)))</f>
        <v>98777.63</v>
      </c>
      <c r="AW16" s="134">
        <f>IF($B16="",0,SUMPRODUCT(-('Gastos Gerais'!$F$4:$F$3632='Gastos das Atividades'!$B16),-('Gastos das Atividades'!AW$3&gt;='Gastos Gerais'!$D$4:$D$3632),-('Gastos das Atividades'!AW$3&lt;='Gastos Gerais'!$E$4:$E$3632),-('Gastos Gerais'!$C$4:$C$3632)))</f>
        <v>98777.63</v>
      </c>
      <c r="AX16" s="134">
        <f>IF($B16="",0,SUMPRODUCT(-('Gastos Gerais'!$F$4:$F$3632='Gastos das Atividades'!$B16),-('Gastos das Atividades'!AX$3&gt;='Gastos Gerais'!$D$4:$D$3632),-('Gastos das Atividades'!AX$3&lt;='Gastos Gerais'!$E$4:$E$3632),-('Gastos Gerais'!$C$4:$C$3632)))</f>
        <v>98777.63</v>
      </c>
      <c r="AY16" s="134">
        <f>IF($B16="",0,SUMPRODUCT(-('Gastos Gerais'!$F$4:$F$3632='Gastos das Atividades'!$B16),-('Gastos das Atividades'!AY$3&gt;='Gastos Gerais'!$D$4:$D$3632),-('Gastos das Atividades'!AY$3&lt;='Gastos Gerais'!$E$4:$E$3632),-('Gastos Gerais'!$C$4:$C$3632)))</f>
        <v>98777.63</v>
      </c>
      <c r="AZ16" s="134">
        <f>IF($B16="",0,SUMPRODUCT(-('Gastos Gerais'!$F$4:$F$3632='Gastos das Atividades'!$B16),-('Gastos das Atividades'!AZ$3&gt;='Gastos Gerais'!$D$4:$D$3632),-('Gastos das Atividades'!AZ$3&lt;='Gastos Gerais'!$E$4:$E$3632),-('Gastos Gerais'!$C$4:$C$3632)))</f>
        <v>98777.63</v>
      </c>
      <c r="BA16" s="134">
        <f>IF($B16="",0,SUMPRODUCT(-('Gastos Gerais'!$F$4:$F$3632='Gastos das Atividades'!$B16),-('Gastos das Atividades'!BA$3&gt;='Gastos Gerais'!$D$4:$D$3632),-('Gastos das Atividades'!BA$3&lt;='Gastos Gerais'!$E$4:$E$3632),-('Gastos Gerais'!$C$4:$C$3632)))</f>
        <v>111473.46</v>
      </c>
      <c r="BB16" s="134">
        <f>IF($B16="",0,SUMPRODUCT(-('Gastos Gerais'!$F$4:$F$3632='Gastos das Atividades'!$B16),-('Gastos das Atividades'!BB$3&gt;='Gastos Gerais'!$D$4:$D$3632),-('Gastos das Atividades'!BB$3&lt;='Gastos Gerais'!$E$4:$E$3632),-('Gastos Gerais'!$C$4:$C$3632)))</f>
        <v>117424.01000000001</v>
      </c>
      <c r="BC16" s="134">
        <f>IF($B16="",0,SUMPRODUCT(-('Gastos Gerais'!$F$4:$F$3632='Gastos das Atividades'!$B16),-('Gastos das Atividades'!BC$3&gt;='Gastos Gerais'!$D$4:$D$3632),-('Gastos das Atividades'!BC$3&lt;='Gastos Gerais'!$E$4:$E$3632),-('Gastos Gerais'!$C$4:$C$3632)))</f>
        <v>107424.01000000001</v>
      </c>
      <c r="BD16" s="134">
        <f>IF($B16="",0,SUMPRODUCT(-('Gastos Gerais'!$F$4:$F$3632='Gastos das Atividades'!$B16),-('Gastos das Atividades'!BD$3&gt;='Gastos Gerais'!$D$4:$D$3632),-('Gastos das Atividades'!BD$3&lt;='Gastos Gerais'!$E$4:$E$3632),-('Gastos Gerais'!$C$4:$C$3632)))</f>
        <v>105365.86000000002</v>
      </c>
      <c r="BE16" s="134">
        <f>IF($B16="",0,SUMPRODUCT(-('Gastos Gerais'!$F$4:$F$3632='Gastos das Atividades'!$B16),-('Gastos das Atividades'!BE$3&gt;='Gastos Gerais'!$D$4:$D$3632),-('Gastos das Atividades'!BE$3&lt;='Gastos Gerais'!$E$4:$E$3632),-('Gastos Gerais'!$C$4:$C$3632)))</f>
        <v>105365.86000000002</v>
      </c>
      <c r="BF16" s="134">
        <f>IF($B16="",0,SUMPRODUCT(-('Gastos Gerais'!$F$4:$F$3632='Gastos das Atividades'!$B16),-('Gastos das Atividades'!BF$3&gt;='Gastos Gerais'!$D$4:$D$3632),-('Gastos das Atividades'!BF$3&lt;='Gastos Gerais'!$E$4:$E$3632),-('Gastos Gerais'!$C$4:$C$3632)))</f>
        <v>105365.86000000002</v>
      </c>
      <c r="BG16" s="134">
        <f>IF($B16="",0,SUMPRODUCT(-('Gastos Gerais'!$F$4:$F$3632='Gastos das Atividades'!$B16),-('Gastos das Atividades'!BG$3&gt;='Gastos Gerais'!$D$4:$D$3632),-('Gastos das Atividades'!BG$3&lt;='Gastos Gerais'!$E$4:$E$3632),-('Gastos Gerais'!$C$4:$C$3632)))</f>
        <v>103919.86000000002</v>
      </c>
      <c r="BH16" s="134">
        <f>IF($B16="",0,SUMPRODUCT(-('Gastos Gerais'!$F$4:$F$3632='Gastos das Atividades'!$B16),-('Gastos das Atividades'!BH$3&gt;='Gastos Gerais'!$D$4:$D$3632),-('Gastos das Atividades'!BH$3&lt;='Gastos Gerais'!$E$4:$E$3632),-('Gastos Gerais'!$C$4:$C$3632)))</f>
        <v>103919.86000000002</v>
      </c>
      <c r="BI16" s="134">
        <f>IF($B16="",0,SUMPRODUCT(-('Gastos Gerais'!$F$4:$F$3632='Gastos das Atividades'!$B16),-('Gastos das Atividades'!BI$3&gt;='Gastos Gerais'!$D$4:$D$3632),-('Gastos das Atividades'!BI$3&lt;='Gastos Gerais'!$E$4:$E$3632),-('Gastos Gerais'!$C$4:$C$3632)))</f>
        <v>103919.86000000002</v>
      </c>
      <c r="BJ16" s="134">
        <f>IF($B16="",0,SUMPRODUCT(-('Gastos Gerais'!$F$4:$F$3632='Gastos das Atividades'!$B16),-('Gastos das Atividades'!BJ$3&gt;='Gastos Gerais'!$D$4:$D$3632),-('Gastos das Atividades'!BJ$3&lt;='Gastos Gerais'!$E$4:$E$3632),-('Gastos Gerais'!$C$4:$C$3632)))</f>
        <v>103919.86000000002</v>
      </c>
      <c r="BK16" s="134">
        <f>IF($B16="",0,SUMPRODUCT(-('Gastos Gerais'!$F$4:$F$3632='Gastos das Atividades'!$B16),-('Gastos das Atividades'!BK$3&gt;='Gastos Gerais'!$D$4:$D$3632),-('Gastos das Atividades'!BK$3&lt;='Gastos Gerais'!$E$4:$E$3632),-('Gastos Gerais'!$C$4:$C$3632)))</f>
        <v>103919.86000000002</v>
      </c>
      <c r="BL16" s="134">
        <f>IF($B16="",0,SUMPRODUCT(-('Gastos Gerais'!$F$4:$F$3632='Gastos das Atividades'!$B16),-('Gastos das Atividades'!BL$3&gt;='Gastos Gerais'!$D$4:$D$3632),-('Gastos das Atividades'!BL$3&lt;='Gastos Gerais'!$E$4:$E$3632),-('Gastos Gerais'!$C$4:$C$3632)))</f>
        <v>103919.86000000002</v>
      </c>
      <c r="BM16" s="134">
        <f>IF($B16="",0,SUMPRODUCT(-('Gastos Gerais'!$F$4:$F$3632='Gastos das Atividades'!$B16),-('Gastos das Atividades'!BM$3&gt;='Gastos Gerais'!$D$4:$D$3632),-('Gastos das Atividades'!BM$3&lt;='Gastos Gerais'!$E$4:$E$3632),-('Gastos Gerais'!$C$4:$C$3632)))</f>
        <v>117226.02</v>
      </c>
      <c r="BN16" s="134">
        <f>IF($B16="",0,SUMPRODUCT(-('Gastos Gerais'!$F$4:$F$3632='Gastos das Atividades'!$B16),-('Gastos das Atividades'!BN$3&gt;='Gastos Gerais'!$D$4:$D$3632),-('Gastos das Atividades'!BN$3&lt;='Gastos Gerais'!$E$4:$E$3632),-('Gastos Gerais'!$C$4:$C$3632)))</f>
        <v>112933.6</v>
      </c>
      <c r="BO16" s="134">
        <f>IF($B16="",0,SUMPRODUCT(-('Gastos Gerais'!$F$4:$F$3632='Gastos das Atividades'!$B16),-('Gastos das Atividades'!BO$3&gt;='Gastos Gerais'!$D$4:$D$3632),-('Gastos das Atividades'!BO$3&lt;='Gastos Gerais'!$E$4:$E$3632),-('Gastos Gerais'!$C$4:$C$3632)))</f>
        <v>112933.6</v>
      </c>
      <c r="BP16" s="134">
        <f>IF($B16="",0,SUMPRODUCT(-('Gastos Gerais'!$F$4:$F$3632='Gastos das Atividades'!$B16),-('Gastos das Atividades'!BP$3&gt;='Gastos Gerais'!$D$4:$D$3632),-('Gastos das Atividades'!BP$3&lt;='Gastos Gerais'!$E$4:$E$3632),-('Gastos Gerais'!$C$4:$C$3632)))</f>
        <v>110755.26000000001</v>
      </c>
      <c r="BQ16" s="134">
        <f>IF($B16="",0,SUMPRODUCT(-('Gastos Gerais'!$F$4:$F$3632='Gastos das Atividades'!$B16),-('Gastos das Atividades'!BQ$3&gt;='Gastos Gerais'!$D$4:$D$3632),-('Gastos das Atividades'!BQ$3&lt;='Gastos Gerais'!$E$4:$E$3632),-('Gastos Gerais'!$C$4:$C$3632)))</f>
        <v>110755.26000000001</v>
      </c>
      <c r="BR16" s="134">
        <f>IF($B16="",0,SUMPRODUCT(-('Gastos Gerais'!$F$4:$F$3632='Gastos das Atividades'!$B16),-('Gastos das Atividades'!BR$3&gt;='Gastos Gerais'!$D$4:$D$3632),-('Gastos das Atividades'!BR$3&lt;='Gastos Gerais'!$E$4:$E$3632),-('Gastos Gerais'!$C$4:$C$3632)))</f>
        <v>110755.26000000001</v>
      </c>
      <c r="BS16" s="134">
        <f>IF($B16="",0,SUMPRODUCT(-('Gastos Gerais'!$F$4:$F$3632='Gastos das Atividades'!$B16),-('Gastos das Atividades'!BS$3&gt;='Gastos Gerais'!$D$4:$D$3632),-('Gastos das Atividades'!BS$3&lt;='Gastos Gerais'!$E$4:$E$3632),-('Gastos Gerais'!$C$4:$C$3632)))</f>
        <v>109309.26000000001</v>
      </c>
      <c r="BT16" s="134">
        <f>IF($B16="",0,SUMPRODUCT(-('Gastos Gerais'!$F$4:$F$3632='Gastos das Atividades'!$B16),-('Gastos das Atividades'!BT$3&gt;='Gastos Gerais'!$D$4:$D$3632),-('Gastos das Atividades'!BT$3&lt;='Gastos Gerais'!$E$4:$E$3632),-('Gastos Gerais'!$C$4:$C$3632)))</f>
        <v>109309.26000000001</v>
      </c>
      <c r="BU16" s="134">
        <f>IF($B16="",0,SUMPRODUCT(-('Gastos Gerais'!$F$4:$F$3632='Gastos das Atividades'!$B16),-('Gastos das Atividades'!BU$3&gt;='Gastos Gerais'!$D$4:$D$3632),-('Gastos das Atividades'!BU$3&lt;='Gastos Gerais'!$E$4:$E$3632),-('Gastos Gerais'!$C$4:$C$3632)))</f>
        <v>109309.26000000001</v>
      </c>
      <c r="BV16" s="134">
        <f>IF($B16="",0,SUMPRODUCT(-('Gastos Gerais'!$F$4:$F$3632='Gastos das Atividades'!$B16),-('Gastos das Atividades'!BV$3&gt;='Gastos Gerais'!$D$4:$D$3632),-('Gastos das Atividades'!BV$3&lt;='Gastos Gerais'!$E$4:$E$3632),-('Gastos Gerais'!$C$4:$C$3632)))</f>
        <v>109309.26000000001</v>
      </c>
      <c r="BW16" s="134">
        <f>IF($B16="",0,SUMPRODUCT(-('Gastos Gerais'!$F$4:$F$3632='Gastos das Atividades'!$B16),-('Gastos das Atividades'!BW$3&gt;='Gastos Gerais'!$D$4:$D$3632),-('Gastos das Atividades'!BW$3&lt;='Gastos Gerais'!$E$4:$E$3632),-('Gastos Gerais'!$C$4:$C$3632)))</f>
        <v>108389.84000000001</v>
      </c>
    </row>
    <row r="17" spans="1:75">
      <c r="A17" s="138">
        <v>14</v>
      </c>
      <c r="B17" s="139" t="s">
        <v>641</v>
      </c>
      <c r="C17" s="132">
        <v>0</v>
      </c>
      <c r="D17" s="133">
        <f t="shared" si="0"/>
        <v>0</v>
      </c>
      <c r="E17" s="134">
        <f t="shared" si="1"/>
        <v>294329.55</v>
      </c>
      <c r="F17" s="134">
        <f t="shared" si="1"/>
        <v>1162814.3900000001</v>
      </c>
      <c r="G17" s="134">
        <f t="shared" si="1"/>
        <v>1218063.9599999997</v>
      </c>
      <c r="H17" s="134">
        <f t="shared" si="1"/>
        <v>1270025.7800000003</v>
      </c>
      <c r="I17" s="135">
        <f t="shared" si="2"/>
        <v>5172614.5799999991</v>
      </c>
      <c r="J17" s="136">
        <f t="shared" si="3"/>
        <v>0</v>
      </c>
      <c r="K17" s="136">
        <f t="shared" si="4"/>
        <v>2.3795622823680885E-3</v>
      </c>
      <c r="L17" s="136">
        <f t="shared" si="5"/>
        <v>9.4009903655234654E-3</v>
      </c>
      <c r="M17" s="136">
        <f t="shared" si="6"/>
        <v>9.8476658450635055E-3</v>
      </c>
      <c r="N17" s="136">
        <f t="shared" si="7"/>
        <v>1.0267760894966586E-2</v>
      </c>
      <c r="O17" s="137">
        <f t="shared" si="8"/>
        <v>4.1818969776548934E-2</v>
      </c>
      <c r="P17" s="134">
        <f>IF($B17="",0,SUMPRODUCT(-('Gastos Gerais'!$F$4:$F$3632='Gastos das Atividades'!$B17),-('Gastos das Atividades'!P$3&gt;='Gastos Gerais'!$D$4:$D$3632),-('Gastos das Atividades'!P$3&lt;='Gastos Gerais'!$E$4:$E$3632),-('Gastos Gerais'!$C$4:$C$3632)))</f>
        <v>0</v>
      </c>
      <c r="Q17" s="134">
        <f>IF($B17="",0,SUMPRODUCT(-('Gastos Gerais'!$F$4:$F$3632='Gastos das Atividades'!$B17),-('Gastos das Atividades'!Q$3&gt;='Gastos Gerais'!$D$4:$D$3632),-('Gastos das Atividades'!Q$3&lt;='Gastos Gerais'!$E$4:$E$3632),-('Gastos Gerais'!$C$4:$C$3632)))</f>
        <v>1643</v>
      </c>
      <c r="R17" s="134">
        <f>IF($B17="",0,SUMPRODUCT(-('Gastos Gerais'!$F$4:$F$3632='Gastos das Atividades'!$B17),-('Gastos das Atividades'!R$3&gt;='Gastos Gerais'!$D$4:$D$3632),-('Gastos das Atividades'!R$3&lt;='Gastos Gerais'!$E$4:$E$3632),-('Gastos Gerais'!$C$4:$C$3632)))</f>
        <v>1643</v>
      </c>
      <c r="S17" s="134">
        <f>IF($B17="",0,SUMPRODUCT(-('Gastos Gerais'!$F$4:$F$3632='Gastos das Atividades'!$B17),-('Gastos das Atividades'!S$3&gt;='Gastos Gerais'!$D$4:$D$3632),-('Gastos das Atividades'!S$3&lt;='Gastos Gerais'!$E$4:$E$3632),-('Gastos Gerais'!$C$4:$C$3632)))</f>
        <v>1643</v>
      </c>
      <c r="T17" s="134">
        <f>IF($B17="",0,SUMPRODUCT(-('Gastos Gerais'!$F$4:$F$3632='Gastos das Atividades'!$B17),-('Gastos das Atividades'!T$3&gt;='Gastos Gerais'!$D$4:$D$3632),-('Gastos das Atividades'!T$3&lt;='Gastos Gerais'!$E$4:$E$3632),-('Gastos Gerais'!$C$4:$C$3632)))</f>
        <v>1643</v>
      </c>
      <c r="U17" s="134">
        <f>IF($B17="",0,SUMPRODUCT(-('Gastos Gerais'!$F$4:$F$3632='Gastos das Atividades'!$B17),-('Gastos das Atividades'!U$3&gt;='Gastos Gerais'!$D$4:$D$3632),-('Gastos das Atividades'!U$3&lt;='Gastos Gerais'!$E$4:$E$3632),-('Gastos Gerais'!$C$4:$C$3632)))</f>
        <v>1643</v>
      </c>
      <c r="V17" s="134">
        <f>IF($B17="",0,SUMPRODUCT(-('Gastos Gerais'!$F$4:$F$3632='Gastos das Atividades'!$B17),-('Gastos das Atividades'!V$3&gt;='Gastos Gerais'!$D$4:$D$3632),-('Gastos das Atividades'!V$3&lt;='Gastos Gerais'!$E$4:$E$3632),-('Gastos Gerais'!$C$4:$C$3632)))</f>
        <v>1643</v>
      </c>
      <c r="W17" s="134">
        <f>IF($B17="",0,SUMPRODUCT(-('Gastos Gerais'!$F$4:$F$3632='Gastos das Atividades'!$B17),-('Gastos das Atividades'!W$3&gt;='Gastos Gerais'!$D$4:$D$3632),-('Gastos das Atividades'!W$3&lt;='Gastos Gerais'!$E$4:$E$3632),-('Gastos Gerais'!$C$4:$C$3632)))</f>
        <v>1643</v>
      </c>
      <c r="X17" s="134">
        <f>IF($B17="",0,SUMPRODUCT(-('Gastos Gerais'!$F$4:$F$3632='Gastos das Atividades'!$B17),-('Gastos das Atividades'!X$3&gt;='Gastos Gerais'!$D$4:$D$3632),-('Gastos das Atividades'!X$3&lt;='Gastos Gerais'!$E$4:$E$3632),-('Gastos Gerais'!$C$4:$C$3632)))</f>
        <v>1643</v>
      </c>
      <c r="Y17" s="134">
        <f>IF($B17="",0,SUMPRODUCT(-('Gastos Gerais'!$F$4:$F$3632='Gastos das Atividades'!$B17),-('Gastos das Atividades'!Y$3&gt;='Gastos Gerais'!$D$4:$D$3632),-('Gastos das Atividades'!Y$3&lt;='Gastos Gerais'!$E$4:$E$3632),-('Gastos Gerais'!$C$4:$C$3632)))</f>
        <v>1643</v>
      </c>
      <c r="Z17" s="134">
        <f>IF($B17="",0,SUMPRODUCT(-('Gastos Gerais'!$F$4:$F$3632='Gastos das Atividades'!$B17),-('Gastos das Atividades'!Z$3&gt;='Gastos Gerais'!$D$4:$D$3632),-('Gastos das Atividades'!Z$3&lt;='Gastos Gerais'!$E$4:$E$3632),-('Gastos Gerais'!$C$4:$C$3632)))</f>
        <v>149410.60999999999</v>
      </c>
      <c r="AA17" s="134">
        <f>IF($B17="",0,SUMPRODUCT(-('Gastos Gerais'!$F$4:$F$3632='Gastos das Atividades'!$B17),-('Gastos das Atividades'!AA$3&gt;='Gastos Gerais'!$D$4:$D$3632),-('Gastos das Atividades'!AA$3&lt;='Gastos Gerais'!$E$4:$E$3632),-('Gastos Gerais'!$C$4:$C$3632)))</f>
        <v>42928.57</v>
      </c>
      <c r="AB17" s="134">
        <f>IF($B17="",0,SUMPRODUCT(-('Gastos Gerais'!$F$4:$F$3632='Gastos das Atividades'!$B17),-('Gastos das Atividades'!AB$3&gt;='Gastos Gerais'!$D$4:$D$3632),-('Gastos das Atividades'!AB$3&lt;='Gastos Gerais'!$E$4:$E$3632),-('Gastos Gerais'!$C$4:$C$3632)))</f>
        <v>87203.37</v>
      </c>
      <c r="AC17" s="134">
        <f>IF($B17="",0,SUMPRODUCT(-('Gastos Gerais'!$F$4:$F$3632='Gastos das Atividades'!$B17),-('Gastos das Atividades'!AC$3&gt;='Gastos Gerais'!$D$4:$D$3632),-('Gastos das Atividades'!AC$3&lt;='Gastos Gerais'!$E$4:$E$3632),-('Gastos Gerais'!$C$4:$C$3632)))</f>
        <v>98664.54</v>
      </c>
      <c r="AD17" s="134">
        <f>IF($B17="",0,SUMPRODUCT(-('Gastos Gerais'!$F$4:$F$3632='Gastos das Atividades'!$B17),-('Gastos das Atividades'!AD$3&gt;='Gastos Gerais'!$D$4:$D$3632),-('Gastos das Atividades'!AD$3&lt;='Gastos Gerais'!$E$4:$E$3632),-('Gastos Gerais'!$C$4:$C$3632)))</f>
        <v>95906.540000000008</v>
      </c>
      <c r="AE17" s="134">
        <f>IF($B17="",0,SUMPRODUCT(-('Gastos Gerais'!$F$4:$F$3632='Gastos das Atividades'!$B17),-('Gastos das Atividades'!AE$3&gt;='Gastos Gerais'!$D$4:$D$3632),-('Gastos das Atividades'!AE$3&lt;='Gastos Gerais'!$E$4:$E$3632),-('Gastos Gerais'!$C$4:$C$3632)))</f>
        <v>95906.540000000008</v>
      </c>
      <c r="AF17" s="134">
        <f>IF($B17="",0,SUMPRODUCT(-('Gastos Gerais'!$F$4:$F$3632='Gastos das Atividades'!$B17),-('Gastos das Atividades'!AF$3&gt;='Gastos Gerais'!$D$4:$D$3632),-('Gastos das Atividades'!AF$3&lt;='Gastos Gerais'!$E$4:$E$3632),-('Gastos Gerais'!$C$4:$C$3632)))</f>
        <v>94521.67</v>
      </c>
      <c r="AG17" s="134">
        <f>IF($B17="",0,SUMPRODUCT(-('Gastos Gerais'!$F$4:$F$3632='Gastos das Atividades'!$B17),-('Gastos das Atividades'!AG$3&gt;='Gastos Gerais'!$D$4:$D$3632),-('Gastos das Atividades'!AG$3&lt;='Gastos Gerais'!$E$4:$E$3632),-('Gastos Gerais'!$C$4:$C$3632)))</f>
        <v>99067.443750000006</v>
      </c>
      <c r="AH17" s="134">
        <f>IF($B17="",0,SUMPRODUCT(-('Gastos Gerais'!$F$4:$F$3632='Gastos das Atividades'!$B17),-('Gastos das Atividades'!AH$3&gt;='Gastos Gerais'!$D$4:$D$3632),-('Gastos das Atividades'!AH$3&lt;='Gastos Gerais'!$E$4:$E$3632),-('Gastos Gerais'!$C$4:$C$3632)))</f>
        <v>99067.443750000006</v>
      </c>
      <c r="AI17" s="134">
        <f>IF($B17="",0,SUMPRODUCT(-('Gastos Gerais'!$F$4:$F$3632='Gastos das Atividades'!$B17),-('Gastos das Atividades'!AI$3&gt;='Gastos Gerais'!$D$4:$D$3632),-('Gastos das Atividades'!AI$3&lt;='Gastos Gerais'!$E$4:$E$3632),-('Gastos Gerais'!$C$4:$C$3632)))</f>
        <v>99067.443750000006</v>
      </c>
      <c r="AJ17" s="134">
        <f>IF($B17="",0,SUMPRODUCT(-('Gastos Gerais'!$F$4:$F$3632='Gastos das Atividades'!$B17),-('Gastos das Atividades'!AJ$3&gt;='Gastos Gerais'!$D$4:$D$3632),-('Gastos das Atividades'!AJ$3&lt;='Gastos Gerais'!$E$4:$E$3632),-('Gastos Gerais'!$C$4:$C$3632)))</f>
        <v>96630.153749999998</v>
      </c>
      <c r="AK17" s="134">
        <f>IF($B17="",0,SUMPRODUCT(-('Gastos Gerais'!$F$4:$F$3632='Gastos das Atividades'!$B17),-('Gastos das Atividades'!AK$3&gt;='Gastos Gerais'!$D$4:$D$3632),-('Gastos das Atividades'!AK$3&lt;='Gastos Gerais'!$E$4:$E$3632),-('Gastos Gerais'!$C$4:$C$3632)))</f>
        <v>96630.153749999998</v>
      </c>
      <c r="AL17" s="134">
        <f>IF($B17="",0,SUMPRODUCT(-('Gastos Gerais'!$F$4:$F$3632='Gastos das Atividades'!$B17),-('Gastos das Atividades'!AL$3&gt;='Gastos Gerais'!$D$4:$D$3632),-('Gastos das Atividades'!AL$3&lt;='Gastos Gerais'!$E$4:$E$3632),-('Gastos Gerais'!$C$4:$C$3632)))</f>
        <v>95784.153749999998</v>
      </c>
      <c r="AM17" s="134">
        <f>IF($B17="",0,SUMPRODUCT(-('Gastos Gerais'!$F$4:$F$3632='Gastos das Atividades'!$B17),-('Gastos das Atividades'!AM$3&gt;='Gastos Gerais'!$D$4:$D$3632),-('Gastos das Atividades'!AM$3&lt;='Gastos Gerais'!$E$4:$E$3632),-('Gastos Gerais'!$C$4:$C$3632)))</f>
        <v>95784.153749999998</v>
      </c>
      <c r="AN17" s="134">
        <f>IF($B17="",0,SUMPRODUCT(-('Gastos Gerais'!$F$4:$F$3632='Gastos das Atividades'!$B17),-('Gastos das Atividades'!AN$3&gt;='Gastos Gerais'!$D$4:$D$3632),-('Gastos das Atividades'!AN$3&lt;='Gastos Gerais'!$E$4:$E$3632),-('Gastos Gerais'!$C$4:$C$3632)))</f>
        <v>95784.153749999998</v>
      </c>
      <c r="AO17" s="134">
        <f>IF($B17="",0,SUMPRODUCT(-('Gastos Gerais'!$F$4:$F$3632='Gastos das Atividades'!$B17),-('Gastos das Atividades'!AO$3&gt;='Gastos Gerais'!$D$4:$D$3632),-('Gastos das Atividades'!AO$3&lt;='Gastos Gerais'!$E$4:$E$3632),-('Gastos Gerais'!$C$4:$C$3632)))</f>
        <v>107095.87999999999</v>
      </c>
      <c r="AP17" s="134">
        <f>IF($B17="",0,SUMPRODUCT(-('Gastos Gerais'!$F$4:$F$3632='Gastos das Atividades'!$B17),-('Gastos das Atividades'!AP$3&gt;='Gastos Gerais'!$D$4:$D$3632),-('Gastos das Atividades'!AP$3&lt;='Gastos Gerais'!$E$4:$E$3632),-('Gastos Gerais'!$C$4:$C$3632)))</f>
        <v>113275.63999999998</v>
      </c>
      <c r="AQ17" s="134">
        <f>IF($B17="",0,SUMPRODUCT(-('Gastos Gerais'!$F$4:$F$3632='Gastos das Atividades'!$B17),-('Gastos das Atividades'!AQ$3&gt;='Gastos Gerais'!$D$4:$D$3632),-('Gastos das Atividades'!AQ$3&lt;='Gastos Gerais'!$E$4:$E$3632),-('Gastos Gerais'!$C$4:$C$3632)))</f>
        <v>103275.63999999998</v>
      </c>
      <c r="AR17" s="134">
        <f>IF($B17="",0,SUMPRODUCT(-('Gastos Gerais'!$F$4:$F$3632='Gastos das Atividades'!$B17),-('Gastos das Atividades'!AR$3&gt;='Gastos Gerais'!$D$4:$D$3632),-('Gastos das Atividades'!AR$3&lt;='Gastos Gerais'!$E$4:$E$3632),-('Gastos Gerais'!$C$4:$C$3632)))</f>
        <v>101545.29999999999</v>
      </c>
      <c r="AS17" s="134">
        <f>IF($B17="",0,SUMPRODUCT(-('Gastos Gerais'!$F$4:$F$3632='Gastos das Atividades'!$B17),-('Gastos das Atividades'!AS$3&gt;='Gastos Gerais'!$D$4:$D$3632),-('Gastos das Atividades'!AS$3&lt;='Gastos Gerais'!$E$4:$E$3632),-('Gastos Gerais'!$C$4:$C$3632)))</f>
        <v>100699.29999999999</v>
      </c>
      <c r="AT17" s="134">
        <f>IF($B17="",0,SUMPRODUCT(-('Gastos Gerais'!$F$4:$F$3632='Gastos das Atividades'!$B17),-('Gastos das Atividades'!AT$3&gt;='Gastos Gerais'!$D$4:$D$3632),-('Gastos das Atividades'!AT$3&lt;='Gastos Gerais'!$E$4:$E$3632),-('Gastos Gerais'!$C$4:$C$3632)))</f>
        <v>100699.29999999999</v>
      </c>
      <c r="AU17" s="134">
        <f>IF($B17="",0,SUMPRODUCT(-('Gastos Gerais'!$F$4:$F$3632='Gastos das Atividades'!$B17),-('Gastos das Atividades'!AU$3&gt;='Gastos Gerais'!$D$4:$D$3632),-('Gastos das Atividades'!AU$3&lt;='Gastos Gerais'!$E$4:$E$3632),-('Gastos Gerais'!$C$4:$C$3632)))</f>
        <v>100699.29999999999</v>
      </c>
      <c r="AV17" s="134">
        <f>IF($B17="",0,SUMPRODUCT(-('Gastos Gerais'!$F$4:$F$3632='Gastos das Atividades'!$B17),-('Gastos das Atividades'!AV$3&gt;='Gastos Gerais'!$D$4:$D$3632),-('Gastos das Atividades'!AV$3&lt;='Gastos Gerais'!$E$4:$E$3632),-('Gastos Gerais'!$C$4:$C$3632)))</f>
        <v>98154.719999999987</v>
      </c>
      <c r="AW17" s="134">
        <f>IF($B17="",0,SUMPRODUCT(-('Gastos Gerais'!$F$4:$F$3632='Gastos das Atividades'!$B17),-('Gastos das Atividades'!AW$3&gt;='Gastos Gerais'!$D$4:$D$3632),-('Gastos das Atividades'!AW$3&lt;='Gastos Gerais'!$E$4:$E$3632),-('Gastos Gerais'!$C$4:$C$3632)))</f>
        <v>98154.719999999987</v>
      </c>
      <c r="AX17" s="134">
        <f>IF($B17="",0,SUMPRODUCT(-('Gastos Gerais'!$F$4:$F$3632='Gastos das Atividades'!$B17),-('Gastos das Atividades'!AX$3&gt;='Gastos Gerais'!$D$4:$D$3632),-('Gastos das Atividades'!AX$3&lt;='Gastos Gerais'!$E$4:$E$3632),-('Gastos Gerais'!$C$4:$C$3632)))</f>
        <v>98154.719999999987</v>
      </c>
      <c r="AY17" s="134">
        <f>IF($B17="",0,SUMPRODUCT(-('Gastos Gerais'!$F$4:$F$3632='Gastos das Atividades'!$B17),-('Gastos das Atividades'!AY$3&gt;='Gastos Gerais'!$D$4:$D$3632),-('Gastos das Atividades'!AY$3&lt;='Gastos Gerais'!$E$4:$E$3632),-('Gastos Gerais'!$C$4:$C$3632)))</f>
        <v>98154.719999999987</v>
      </c>
      <c r="AZ17" s="134">
        <f>IF($B17="",0,SUMPRODUCT(-('Gastos Gerais'!$F$4:$F$3632='Gastos das Atividades'!$B17),-('Gastos das Atividades'!AZ$3&gt;='Gastos Gerais'!$D$4:$D$3632),-('Gastos das Atividades'!AZ$3&lt;='Gastos Gerais'!$E$4:$E$3632),-('Gastos Gerais'!$C$4:$C$3632)))</f>
        <v>98154.719999999987</v>
      </c>
      <c r="BA17" s="134">
        <f>IF($B17="",0,SUMPRODUCT(-('Gastos Gerais'!$F$4:$F$3632='Gastos das Atividades'!$B17),-('Gastos das Atividades'!BA$3&gt;='Gastos Gerais'!$D$4:$D$3632),-('Gastos das Atividades'!BA$3&lt;='Gastos Gerais'!$E$4:$E$3632),-('Gastos Gerais'!$C$4:$C$3632)))</f>
        <v>112592.59000000001</v>
      </c>
      <c r="BB17" s="134">
        <f>IF($B17="",0,SUMPRODUCT(-('Gastos Gerais'!$F$4:$F$3632='Gastos das Atividades'!$B17),-('Gastos das Atividades'!BB$3&gt;='Gastos Gerais'!$D$4:$D$3632),-('Gastos das Atividades'!BB$3&lt;='Gastos Gerais'!$E$4:$E$3632),-('Gastos Gerais'!$C$4:$C$3632)))</f>
        <v>108543.14000000001</v>
      </c>
      <c r="BC17" s="134">
        <f>IF($B17="",0,SUMPRODUCT(-('Gastos Gerais'!$F$4:$F$3632='Gastos das Atividades'!$B17),-('Gastos das Atividades'!BC$3&gt;='Gastos Gerais'!$D$4:$D$3632),-('Gastos das Atividades'!BC$3&lt;='Gastos Gerais'!$E$4:$E$3632),-('Gastos Gerais'!$C$4:$C$3632)))</f>
        <v>108543.14000000001</v>
      </c>
      <c r="BD17" s="134">
        <f>IF($B17="",0,SUMPRODUCT(-('Gastos Gerais'!$F$4:$F$3632='Gastos das Atividades'!$B17),-('Gastos das Atividades'!BD$3&gt;='Gastos Gerais'!$D$4:$D$3632),-('Gastos das Atividades'!BD$3&lt;='Gastos Gerais'!$E$4:$E$3632),-('Gastos Gerais'!$C$4:$C$3632)))</f>
        <v>106711.74000000002</v>
      </c>
      <c r="BE17" s="134">
        <f>IF($B17="",0,SUMPRODUCT(-('Gastos Gerais'!$F$4:$F$3632='Gastos das Atividades'!$B17),-('Gastos das Atividades'!BE$3&gt;='Gastos Gerais'!$D$4:$D$3632),-('Gastos das Atividades'!BE$3&lt;='Gastos Gerais'!$E$4:$E$3632),-('Gastos Gerais'!$C$4:$C$3632)))</f>
        <v>105865.74000000002</v>
      </c>
      <c r="BF17" s="134">
        <f>IF($B17="",0,SUMPRODUCT(-('Gastos Gerais'!$F$4:$F$3632='Gastos das Atividades'!$B17),-('Gastos das Atividades'!BF$3&gt;='Gastos Gerais'!$D$4:$D$3632),-('Gastos das Atividades'!BF$3&lt;='Gastos Gerais'!$E$4:$E$3632),-('Gastos Gerais'!$C$4:$C$3632)))</f>
        <v>105865.74000000002</v>
      </c>
      <c r="BG17" s="134">
        <f>IF($B17="",0,SUMPRODUCT(-('Gastos Gerais'!$F$4:$F$3632='Gastos das Atividades'!$B17),-('Gastos das Atividades'!BG$3&gt;='Gastos Gerais'!$D$4:$D$3632),-('Gastos das Atividades'!BG$3&lt;='Gastos Gerais'!$E$4:$E$3632),-('Gastos Gerais'!$C$4:$C$3632)))</f>
        <v>105865.74000000002</v>
      </c>
      <c r="BH17" s="134">
        <f>IF($B17="",0,SUMPRODUCT(-('Gastos Gerais'!$F$4:$F$3632='Gastos das Atividades'!$B17),-('Gastos das Atividades'!BH$3&gt;='Gastos Gerais'!$D$4:$D$3632),-('Gastos das Atividades'!BH$3&lt;='Gastos Gerais'!$E$4:$E$3632),-('Gastos Gerais'!$C$4:$C$3632)))</f>
        <v>103207.59000000001</v>
      </c>
      <c r="BI17" s="134">
        <f>IF($B17="",0,SUMPRODUCT(-('Gastos Gerais'!$F$4:$F$3632='Gastos das Atividades'!$B17),-('Gastos das Atividades'!BI$3&gt;='Gastos Gerais'!$D$4:$D$3632),-('Gastos das Atividades'!BI$3&lt;='Gastos Gerais'!$E$4:$E$3632),-('Gastos Gerais'!$C$4:$C$3632)))</f>
        <v>103207.59000000001</v>
      </c>
      <c r="BJ17" s="134">
        <f>IF($B17="",0,SUMPRODUCT(-('Gastos Gerais'!$F$4:$F$3632='Gastos das Atividades'!$B17),-('Gastos das Atividades'!BJ$3&gt;='Gastos Gerais'!$D$4:$D$3632),-('Gastos das Atividades'!BJ$3&lt;='Gastos Gerais'!$E$4:$E$3632),-('Gastos Gerais'!$C$4:$C$3632)))</f>
        <v>103207.59000000001</v>
      </c>
      <c r="BK17" s="134">
        <f>IF($B17="",0,SUMPRODUCT(-('Gastos Gerais'!$F$4:$F$3632='Gastos das Atividades'!$B17),-('Gastos das Atividades'!BK$3&gt;='Gastos Gerais'!$D$4:$D$3632),-('Gastos das Atividades'!BK$3&lt;='Gastos Gerais'!$E$4:$E$3632),-('Gastos Gerais'!$C$4:$C$3632)))</f>
        <v>103207.59000000001</v>
      </c>
      <c r="BL17" s="134">
        <f>IF($B17="",0,SUMPRODUCT(-('Gastos Gerais'!$F$4:$F$3632='Gastos das Atividades'!$B17),-('Gastos das Atividades'!BL$3&gt;='Gastos Gerais'!$D$4:$D$3632),-('Gastos das Atividades'!BL$3&lt;='Gastos Gerais'!$E$4:$E$3632),-('Gastos Gerais'!$C$4:$C$3632)))</f>
        <v>103207.59000000001</v>
      </c>
      <c r="BM17" s="134">
        <f>IF($B17="",0,SUMPRODUCT(-('Gastos Gerais'!$F$4:$F$3632='Gastos das Atividades'!$B17),-('Gastos das Atividades'!BM$3&gt;='Gastos Gerais'!$D$4:$D$3632),-('Gastos das Atividades'!BM$3&lt;='Gastos Gerais'!$E$4:$E$3632),-('Gastos Gerais'!$C$4:$C$3632)))</f>
        <v>118440.66000000002</v>
      </c>
      <c r="BN17" s="134">
        <f>IF($B17="",0,SUMPRODUCT(-('Gastos Gerais'!$F$4:$F$3632='Gastos das Atividades'!$B17),-('Gastos das Atividades'!BN$3&gt;='Gastos Gerais'!$D$4:$D$3632),-('Gastos das Atividades'!BN$3&lt;='Gastos Gerais'!$E$4:$E$3632),-('Gastos Gerais'!$C$4:$C$3632)))</f>
        <v>114148.24000000002</v>
      </c>
      <c r="BO17" s="134">
        <f>IF($B17="",0,SUMPRODUCT(-('Gastos Gerais'!$F$4:$F$3632='Gastos das Atividades'!$B17),-('Gastos das Atividades'!BO$3&gt;='Gastos Gerais'!$D$4:$D$3632),-('Gastos das Atividades'!BO$3&lt;='Gastos Gerais'!$E$4:$E$3632),-('Gastos Gerais'!$C$4:$C$3632)))</f>
        <v>114148.24000000002</v>
      </c>
      <c r="BP17" s="134">
        <f>IF($B17="",0,SUMPRODUCT(-('Gastos Gerais'!$F$4:$F$3632='Gastos das Atividades'!$B17),-('Gastos das Atividades'!BP$3&gt;='Gastos Gerais'!$D$4:$D$3632),-('Gastos das Atividades'!BP$3&lt;='Gastos Gerais'!$E$4:$E$3632),-('Gastos Gerais'!$C$4:$C$3632)))</f>
        <v>112209.89000000001</v>
      </c>
      <c r="BQ17" s="134">
        <f>IF($B17="",0,SUMPRODUCT(-('Gastos Gerais'!$F$4:$F$3632='Gastos das Atividades'!$B17),-('Gastos das Atividades'!BQ$3&gt;='Gastos Gerais'!$D$4:$D$3632),-('Gastos das Atividades'!BQ$3&lt;='Gastos Gerais'!$E$4:$E$3632),-('Gastos Gerais'!$C$4:$C$3632)))</f>
        <v>111363.89000000001</v>
      </c>
      <c r="BR17" s="134">
        <f>IF($B17="",0,SUMPRODUCT(-('Gastos Gerais'!$F$4:$F$3632='Gastos das Atividades'!$B17),-('Gastos das Atividades'!BR$3&gt;='Gastos Gerais'!$D$4:$D$3632),-('Gastos das Atividades'!BR$3&lt;='Gastos Gerais'!$E$4:$E$3632),-('Gastos Gerais'!$C$4:$C$3632)))</f>
        <v>111363.89000000001</v>
      </c>
      <c r="BS17" s="134">
        <f>IF($B17="",0,SUMPRODUCT(-('Gastos Gerais'!$F$4:$F$3632='Gastos das Atividades'!$B17),-('Gastos das Atividades'!BS$3&gt;='Gastos Gerais'!$D$4:$D$3632),-('Gastos das Atividades'!BS$3&lt;='Gastos Gerais'!$E$4:$E$3632),-('Gastos Gerais'!$C$4:$C$3632)))</f>
        <v>111363.89000000001</v>
      </c>
      <c r="BT17" s="134">
        <f>IF($B17="",0,SUMPRODUCT(-('Gastos Gerais'!$F$4:$F$3632='Gastos das Atividades'!$B17),-('Gastos das Atividades'!BT$3&gt;='Gastos Gerais'!$D$4:$D$3632),-('Gastos das Atividades'!BT$3&lt;='Gastos Gerais'!$E$4:$E$3632),-('Gastos Gerais'!$C$4:$C$3632)))</f>
        <v>108585.55000000002</v>
      </c>
      <c r="BU17" s="134">
        <f>IF($B17="",0,SUMPRODUCT(-('Gastos Gerais'!$F$4:$F$3632='Gastos das Atividades'!$B17),-('Gastos das Atividades'!BU$3&gt;='Gastos Gerais'!$D$4:$D$3632),-('Gastos das Atividades'!BU$3&lt;='Gastos Gerais'!$E$4:$E$3632),-('Gastos Gerais'!$C$4:$C$3632)))</f>
        <v>108585.55000000002</v>
      </c>
      <c r="BV17" s="134">
        <f>IF($B17="",0,SUMPRODUCT(-('Gastos Gerais'!$F$4:$F$3632='Gastos das Atividades'!$B17),-('Gastos das Atividades'!BV$3&gt;='Gastos Gerais'!$D$4:$D$3632),-('Gastos das Atividades'!BV$3&lt;='Gastos Gerais'!$E$4:$E$3632),-('Gastos Gerais'!$C$4:$C$3632)))</f>
        <v>108585.55000000002</v>
      </c>
      <c r="BW17" s="134">
        <f>IF($B17="",0,SUMPRODUCT(-('Gastos Gerais'!$F$4:$F$3632='Gastos das Atividades'!$B17),-('Gastos das Atividades'!BW$3&gt;='Gastos Gerais'!$D$4:$D$3632),-('Gastos das Atividades'!BW$3&lt;='Gastos Gerais'!$E$4:$E$3632),-('Gastos Gerais'!$C$4:$C$3632)))</f>
        <v>108585.55000000002</v>
      </c>
    </row>
    <row r="18" spans="1:75">
      <c r="A18" s="138">
        <v>15</v>
      </c>
      <c r="B18" s="139" t="s">
        <v>642</v>
      </c>
      <c r="C18" s="132">
        <v>0</v>
      </c>
      <c r="D18" s="133">
        <f t="shared" si="0"/>
        <v>0</v>
      </c>
      <c r="E18" s="134">
        <f t="shared" si="1"/>
        <v>155551.97</v>
      </c>
      <c r="F18" s="134">
        <f t="shared" si="1"/>
        <v>1891481.4900000002</v>
      </c>
      <c r="G18" s="134">
        <f t="shared" si="1"/>
        <v>1240566.6699999997</v>
      </c>
      <c r="H18" s="134">
        <f t="shared" si="1"/>
        <v>1312238.6099999999</v>
      </c>
      <c r="I18" s="135">
        <f t="shared" si="2"/>
        <v>5853793.0299999993</v>
      </c>
      <c r="J18" s="136">
        <f t="shared" si="3"/>
        <v>0</v>
      </c>
      <c r="K18" s="136">
        <f t="shared" si="4"/>
        <v>1.2575889874463927E-3</v>
      </c>
      <c r="L18" s="136">
        <f t="shared" si="5"/>
        <v>1.5292035785742184E-2</v>
      </c>
      <c r="M18" s="136">
        <f t="shared" si="6"/>
        <v>1.0029593211741664E-2</v>
      </c>
      <c r="N18" s="136">
        <f t="shared" si="7"/>
        <v>1.0609038412293728E-2</v>
      </c>
      <c r="O18" s="137">
        <f t="shared" si="8"/>
        <v>4.7326084326148044E-2</v>
      </c>
      <c r="P18" s="134">
        <f>IF($B18="",0,SUMPRODUCT(-('Gastos Gerais'!$F$4:$F$3632='Gastos das Atividades'!$B18),-('Gastos das Atividades'!P$3&gt;='Gastos Gerais'!$D$4:$D$3632),-('Gastos das Atividades'!P$3&lt;='Gastos Gerais'!$E$4:$E$3632),-('Gastos Gerais'!$C$4:$C$3632)))</f>
        <v>0</v>
      </c>
      <c r="Q18" s="134">
        <f>IF($B18="",0,SUMPRODUCT(-('Gastos Gerais'!$F$4:$F$3632='Gastos das Atividades'!$B18),-('Gastos das Atividades'!Q$3&gt;='Gastos Gerais'!$D$4:$D$3632),-('Gastos das Atividades'!Q$3&lt;='Gastos Gerais'!$E$4:$E$3632),-('Gastos Gerais'!$C$4:$C$3632)))</f>
        <v>0</v>
      </c>
      <c r="R18" s="134">
        <f>IF($B18="",0,SUMPRODUCT(-('Gastos Gerais'!$F$4:$F$3632='Gastos das Atividades'!$B18),-('Gastos das Atividades'!R$3&gt;='Gastos Gerais'!$D$4:$D$3632),-('Gastos das Atividades'!R$3&lt;='Gastos Gerais'!$E$4:$E$3632),-('Gastos Gerais'!$C$4:$C$3632)))</f>
        <v>0</v>
      </c>
      <c r="S18" s="134">
        <f>IF($B18="",0,SUMPRODUCT(-('Gastos Gerais'!$F$4:$F$3632='Gastos das Atividades'!$B18),-('Gastos das Atividades'!S$3&gt;='Gastos Gerais'!$D$4:$D$3632),-('Gastos das Atividades'!S$3&lt;='Gastos Gerais'!$E$4:$E$3632),-('Gastos Gerais'!$C$4:$C$3632)))</f>
        <v>0</v>
      </c>
      <c r="T18" s="134">
        <f>IF($B18="",0,SUMPRODUCT(-('Gastos Gerais'!$F$4:$F$3632='Gastos das Atividades'!$B18),-('Gastos das Atividades'!T$3&gt;='Gastos Gerais'!$D$4:$D$3632),-('Gastos das Atividades'!T$3&lt;='Gastos Gerais'!$E$4:$E$3632),-('Gastos Gerais'!$C$4:$C$3632)))</f>
        <v>0</v>
      </c>
      <c r="U18" s="134">
        <f>IF($B18="",0,SUMPRODUCT(-('Gastos Gerais'!$F$4:$F$3632='Gastos das Atividades'!$B18),-('Gastos das Atividades'!U$3&gt;='Gastos Gerais'!$D$4:$D$3632),-('Gastos das Atividades'!U$3&lt;='Gastos Gerais'!$E$4:$E$3632),-('Gastos Gerais'!$C$4:$C$3632)))</f>
        <v>0</v>
      </c>
      <c r="V18" s="134">
        <f>IF($B18="",0,SUMPRODUCT(-('Gastos Gerais'!$F$4:$F$3632='Gastos das Atividades'!$B18),-('Gastos das Atividades'!V$3&gt;='Gastos Gerais'!$D$4:$D$3632),-('Gastos das Atividades'!V$3&lt;='Gastos Gerais'!$E$4:$E$3632),-('Gastos Gerais'!$C$4:$C$3632)))</f>
        <v>0</v>
      </c>
      <c r="W18" s="134">
        <f>IF($B18="",0,SUMPRODUCT(-('Gastos Gerais'!$F$4:$F$3632='Gastos das Atividades'!$B18),-('Gastos das Atividades'!W$3&gt;='Gastos Gerais'!$D$4:$D$3632),-('Gastos das Atividades'!W$3&lt;='Gastos Gerais'!$E$4:$E$3632),-('Gastos Gerais'!$C$4:$C$3632)))</f>
        <v>0</v>
      </c>
      <c r="X18" s="134">
        <f>IF($B18="",0,SUMPRODUCT(-('Gastos Gerais'!$F$4:$F$3632='Gastos das Atividades'!$B18),-('Gastos das Atividades'!X$3&gt;='Gastos Gerais'!$D$4:$D$3632),-('Gastos das Atividades'!X$3&lt;='Gastos Gerais'!$E$4:$E$3632),-('Gastos Gerais'!$C$4:$C$3632)))</f>
        <v>0</v>
      </c>
      <c r="Y18" s="134">
        <f>IF($B18="",0,SUMPRODUCT(-('Gastos Gerais'!$F$4:$F$3632='Gastos das Atividades'!$B18),-('Gastos das Atividades'!Y$3&gt;='Gastos Gerais'!$D$4:$D$3632),-('Gastos das Atividades'!Y$3&lt;='Gastos Gerais'!$E$4:$E$3632),-('Gastos Gerais'!$C$4:$C$3632)))</f>
        <v>0</v>
      </c>
      <c r="Z18" s="134">
        <f>IF($B18="",0,SUMPRODUCT(-('Gastos Gerais'!$F$4:$F$3632='Gastos das Atividades'!$B18),-('Gastos das Atividades'!Z$3&gt;='Gastos Gerais'!$D$4:$D$3632),-('Gastos das Atividades'!Z$3&lt;='Gastos Gerais'!$E$4:$E$3632),-('Gastos Gerais'!$C$4:$C$3632)))</f>
        <v>0</v>
      </c>
      <c r="AA18" s="134">
        <f>IF($B18="",0,SUMPRODUCT(-('Gastos Gerais'!$F$4:$F$3632='Gastos das Atividades'!$B18),-('Gastos das Atividades'!AA$3&gt;='Gastos Gerais'!$D$4:$D$3632),-('Gastos das Atividades'!AA$3&lt;='Gastos Gerais'!$E$4:$E$3632),-('Gastos Gerais'!$C$4:$C$3632)))</f>
        <v>0</v>
      </c>
      <c r="AB18" s="134">
        <f>IF($B18="",0,SUMPRODUCT(-('Gastos Gerais'!$F$4:$F$3632='Gastos das Atividades'!$B18),-('Gastos das Atividades'!AB$3&gt;='Gastos Gerais'!$D$4:$D$3632),-('Gastos das Atividades'!AB$3&lt;='Gastos Gerais'!$E$4:$E$3632),-('Gastos Gerais'!$C$4:$C$3632)))</f>
        <v>155551.97</v>
      </c>
      <c r="AC18" s="134">
        <f>IF($B18="",0,SUMPRODUCT(-('Gastos Gerais'!$F$4:$F$3632='Gastos das Atividades'!$B18),-('Gastos das Atividades'!AC$3&gt;='Gastos Gerais'!$D$4:$D$3632),-('Gastos das Atividades'!AC$3&lt;='Gastos Gerais'!$E$4:$E$3632),-('Gastos Gerais'!$C$4:$C$3632)))</f>
        <v>31533.01</v>
      </c>
      <c r="AD18" s="134">
        <f>IF($B18="",0,SUMPRODUCT(-('Gastos Gerais'!$F$4:$F$3632='Gastos das Atividades'!$B18),-('Gastos das Atividades'!AD$3&gt;='Gastos Gerais'!$D$4:$D$3632),-('Gastos das Atividades'!AD$3&lt;='Gastos Gerais'!$E$4:$E$3632),-('Gastos Gerais'!$C$4:$C$3632)))</f>
        <v>187090.97999999998</v>
      </c>
      <c r="AE18" s="134">
        <f>IF($B18="",0,SUMPRODUCT(-('Gastos Gerais'!$F$4:$F$3632='Gastos das Atividades'!$B18),-('Gastos das Atividades'!AE$3&gt;='Gastos Gerais'!$D$4:$D$3632),-('Gastos das Atividades'!AE$3&lt;='Gastos Gerais'!$E$4:$E$3632),-('Gastos Gerais'!$C$4:$C$3632)))</f>
        <v>168486.97999999998</v>
      </c>
      <c r="AF18" s="134">
        <f>IF($B18="",0,SUMPRODUCT(-('Gastos Gerais'!$F$4:$F$3632='Gastos das Atividades'!$B18),-('Gastos das Atividades'!AF$3&gt;='Gastos Gerais'!$D$4:$D$3632),-('Gastos das Atividades'!AF$3&lt;='Gastos Gerais'!$E$4:$E$3632),-('Gastos Gerais'!$C$4:$C$3632)))</f>
        <v>167152.27999999997</v>
      </c>
      <c r="AG18" s="134">
        <f>IF($B18="",0,SUMPRODUCT(-('Gastos Gerais'!$F$4:$F$3632='Gastos das Atividades'!$B18),-('Gastos das Atividades'!AG$3&gt;='Gastos Gerais'!$D$4:$D$3632),-('Gastos das Atividades'!AG$3&lt;='Gastos Gerais'!$E$4:$E$3632),-('Gastos Gerais'!$C$4:$C$3632)))</f>
        <v>167152.27999999997</v>
      </c>
      <c r="AH18" s="134">
        <f>IF($B18="",0,SUMPRODUCT(-('Gastos Gerais'!$F$4:$F$3632='Gastos das Atividades'!$B18),-('Gastos das Atividades'!AH$3&gt;='Gastos Gerais'!$D$4:$D$3632),-('Gastos das Atividades'!AH$3&lt;='Gastos Gerais'!$E$4:$E$3632),-('Gastos Gerais'!$C$4:$C$3632)))</f>
        <v>167152.27999999997</v>
      </c>
      <c r="AI18" s="134">
        <f>IF($B18="",0,SUMPRODUCT(-('Gastos Gerais'!$F$4:$F$3632='Gastos das Atividades'!$B18),-('Gastos das Atividades'!AI$3&gt;='Gastos Gerais'!$D$4:$D$3632),-('Gastos das Atividades'!AI$3&lt;='Gastos Gerais'!$E$4:$E$3632),-('Gastos Gerais'!$C$4:$C$3632)))</f>
        <v>167152.27999999997</v>
      </c>
      <c r="AJ18" s="134">
        <f>IF($B18="",0,SUMPRODUCT(-('Gastos Gerais'!$F$4:$F$3632='Gastos das Atividades'!$B18),-('Gastos das Atividades'!AJ$3&gt;='Gastos Gerais'!$D$4:$D$3632),-('Gastos das Atividades'!AJ$3&lt;='Gastos Gerais'!$E$4:$E$3632),-('Gastos Gerais'!$C$4:$C$3632)))</f>
        <v>167152.27999999997</v>
      </c>
      <c r="AK18" s="134">
        <f>IF($B18="",0,SUMPRODUCT(-('Gastos Gerais'!$F$4:$F$3632='Gastos das Atividades'!$B18),-('Gastos das Atividades'!AK$3&gt;='Gastos Gerais'!$D$4:$D$3632),-('Gastos das Atividades'!AK$3&lt;='Gastos Gerais'!$E$4:$E$3632),-('Gastos Gerais'!$C$4:$C$3632)))</f>
        <v>166306.27999999997</v>
      </c>
      <c r="AL18" s="134">
        <f>IF($B18="",0,SUMPRODUCT(-('Gastos Gerais'!$F$4:$F$3632='Gastos das Atividades'!$B18),-('Gastos das Atividades'!AL$3&gt;='Gastos Gerais'!$D$4:$D$3632),-('Gastos das Atividades'!AL$3&lt;='Gastos Gerais'!$E$4:$E$3632),-('Gastos Gerais'!$C$4:$C$3632)))</f>
        <v>166306.27999999997</v>
      </c>
      <c r="AM18" s="134">
        <f>IF($B18="",0,SUMPRODUCT(-('Gastos Gerais'!$F$4:$F$3632='Gastos das Atividades'!$B18),-('Gastos das Atividades'!AM$3&gt;='Gastos Gerais'!$D$4:$D$3632),-('Gastos das Atividades'!AM$3&lt;='Gastos Gerais'!$E$4:$E$3632),-('Gastos Gerais'!$C$4:$C$3632)))</f>
        <v>167998.27999999997</v>
      </c>
      <c r="AN18" s="134">
        <f>IF($B18="",0,SUMPRODUCT(-('Gastos Gerais'!$F$4:$F$3632='Gastos das Atividades'!$B18),-('Gastos das Atividades'!AN$3&gt;='Gastos Gerais'!$D$4:$D$3632),-('Gastos das Atividades'!AN$3&lt;='Gastos Gerais'!$E$4:$E$3632),-('Gastos Gerais'!$C$4:$C$3632)))</f>
        <v>167998.27999999997</v>
      </c>
      <c r="AO18" s="134">
        <f>IF($B18="",0,SUMPRODUCT(-('Gastos Gerais'!$F$4:$F$3632='Gastos das Atividades'!$B18),-('Gastos das Atividades'!AO$3&gt;='Gastos Gerais'!$D$4:$D$3632),-('Gastos das Atividades'!AO$3&lt;='Gastos Gerais'!$E$4:$E$3632),-('Gastos Gerais'!$C$4:$C$3632)))</f>
        <v>109882.48000000001</v>
      </c>
      <c r="AP18" s="134">
        <f>IF($B18="",0,SUMPRODUCT(-('Gastos Gerais'!$F$4:$F$3632='Gastos das Atividades'!$B18),-('Gastos das Atividades'!AP$3&gt;='Gastos Gerais'!$D$4:$D$3632),-('Gastos das Atividades'!AP$3&lt;='Gastos Gerais'!$E$4:$E$3632),-('Gastos Gerais'!$C$4:$C$3632)))</f>
        <v>106062.24</v>
      </c>
      <c r="AQ18" s="134">
        <f>IF($B18="",0,SUMPRODUCT(-('Gastos Gerais'!$F$4:$F$3632='Gastos das Atividades'!$B18),-('Gastos das Atividades'!AQ$3&gt;='Gastos Gerais'!$D$4:$D$3632),-('Gastos das Atividades'!AQ$3&lt;='Gastos Gerais'!$E$4:$E$3632),-('Gastos Gerais'!$C$4:$C$3632)))</f>
        <v>104370.24000000001</v>
      </c>
      <c r="AR18" s="134">
        <f>IF($B18="",0,SUMPRODUCT(-('Gastos Gerais'!$F$4:$F$3632='Gastos das Atividades'!$B18),-('Gastos das Atividades'!AR$3&gt;='Gastos Gerais'!$D$4:$D$3632),-('Gastos das Atividades'!AR$3&lt;='Gastos Gerais'!$E$4:$E$3632),-('Gastos Gerais'!$C$4:$C$3632)))</f>
        <v>102062.19</v>
      </c>
      <c r="AS18" s="134">
        <f>IF($B18="",0,SUMPRODUCT(-('Gastos Gerais'!$F$4:$F$3632='Gastos das Atividades'!$B18),-('Gastos das Atividades'!AS$3&gt;='Gastos Gerais'!$D$4:$D$3632),-('Gastos das Atividades'!AS$3&lt;='Gastos Gerais'!$E$4:$E$3632),-('Gastos Gerais'!$C$4:$C$3632)))</f>
        <v>102062.19</v>
      </c>
      <c r="AT18" s="134">
        <f>IF($B18="",0,SUMPRODUCT(-('Gastos Gerais'!$F$4:$F$3632='Gastos das Atividades'!$B18),-('Gastos das Atividades'!AT$3&gt;='Gastos Gerais'!$D$4:$D$3632),-('Gastos das Atividades'!AT$3&lt;='Gastos Gerais'!$E$4:$E$3632),-('Gastos Gerais'!$C$4:$C$3632)))</f>
        <v>102062.19</v>
      </c>
      <c r="AU18" s="134">
        <f>IF($B18="",0,SUMPRODUCT(-('Gastos Gerais'!$F$4:$F$3632='Gastos das Atividades'!$B18),-('Gastos das Atividades'!AU$3&gt;='Gastos Gerais'!$D$4:$D$3632),-('Gastos das Atividades'!AU$3&lt;='Gastos Gerais'!$E$4:$E$3632),-('Gastos Gerais'!$C$4:$C$3632)))</f>
        <v>102062.19</v>
      </c>
      <c r="AV18" s="134">
        <f>IF($B18="",0,SUMPRODUCT(-('Gastos Gerais'!$F$4:$F$3632='Gastos das Atividades'!$B18),-('Gastos das Atividades'!AV$3&gt;='Gastos Gerais'!$D$4:$D$3632),-('Gastos das Atividades'!AV$3&lt;='Gastos Gerais'!$E$4:$E$3632),-('Gastos Gerais'!$C$4:$C$3632)))</f>
        <v>102062.19</v>
      </c>
      <c r="AW18" s="134">
        <f>IF($B18="",0,SUMPRODUCT(-('Gastos Gerais'!$F$4:$F$3632='Gastos das Atividades'!$B18),-('Gastos das Atividades'!AW$3&gt;='Gastos Gerais'!$D$4:$D$3632),-('Gastos das Atividades'!AW$3&lt;='Gastos Gerais'!$E$4:$E$3632),-('Gastos Gerais'!$C$4:$C$3632)))</f>
        <v>102062.19</v>
      </c>
      <c r="AX18" s="134">
        <f>IF($B18="",0,SUMPRODUCT(-('Gastos Gerais'!$F$4:$F$3632='Gastos das Atividades'!$B18),-('Gastos das Atividades'!AX$3&gt;='Gastos Gerais'!$D$4:$D$3632),-('Gastos das Atividades'!AX$3&lt;='Gastos Gerais'!$E$4:$E$3632),-('Gastos Gerais'!$C$4:$C$3632)))</f>
        <v>102062.19</v>
      </c>
      <c r="AY18" s="134">
        <f>IF($B18="",0,SUMPRODUCT(-('Gastos Gerais'!$F$4:$F$3632='Gastos das Atividades'!$B18),-('Gastos das Atividades'!AY$3&gt;='Gastos Gerais'!$D$4:$D$3632),-('Gastos das Atividades'!AY$3&lt;='Gastos Gerais'!$E$4:$E$3632),-('Gastos Gerais'!$C$4:$C$3632)))</f>
        <v>102908.19</v>
      </c>
      <c r="AZ18" s="134">
        <f>IF($B18="",0,SUMPRODUCT(-('Gastos Gerais'!$F$4:$F$3632='Gastos das Atividades'!$B18),-('Gastos das Atividades'!AZ$3&gt;='Gastos Gerais'!$D$4:$D$3632),-('Gastos das Atividades'!AZ$3&lt;='Gastos Gerais'!$E$4:$E$3632),-('Gastos Gerais'!$C$4:$C$3632)))</f>
        <v>102908.19</v>
      </c>
      <c r="BA18" s="134">
        <f>IF($B18="",0,SUMPRODUCT(-('Gastos Gerais'!$F$4:$F$3632='Gastos das Atividades'!$B18),-('Gastos das Atividades'!BA$3&gt;='Gastos Gerais'!$D$4:$D$3632),-('Gastos das Atividades'!BA$3&lt;='Gastos Gerais'!$E$4:$E$3632),-('Gastos Gerais'!$C$4:$C$3632)))</f>
        <v>114628.01</v>
      </c>
      <c r="BB18" s="134">
        <f>IF($B18="",0,SUMPRODUCT(-('Gastos Gerais'!$F$4:$F$3632='Gastos das Atividades'!$B18),-('Gastos das Atividades'!BB$3&gt;='Gastos Gerais'!$D$4:$D$3632),-('Gastos das Atividades'!BB$3&lt;='Gastos Gerais'!$E$4:$E$3632),-('Gastos Gerais'!$C$4:$C$3632)))</f>
        <v>120578.56</v>
      </c>
      <c r="BC18" s="134">
        <f>IF($B18="",0,SUMPRODUCT(-('Gastos Gerais'!$F$4:$F$3632='Gastos das Atividades'!$B18),-('Gastos das Atividades'!BC$3&gt;='Gastos Gerais'!$D$4:$D$3632),-('Gastos das Atividades'!BC$3&lt;='Gastos Gerais'!$E$4:$E$3632),-('Gastos Gerais'!$C$4:$C$3632)))</f>
        <v>109732.56</v>
      </c>
      <c r="BD18" s="134">
        <f>IF($B18="",0,SUMPRODUCT(-('Gastos Gerais'!$F$4:$F$3632='Gastos das Atividades'!$B18),-('Gastos das Atividades'!BD$3&gt;='Gastos Gerais'!$D$4:$D$3632),-('Gastos das Atividades'!BD$3&lt;='Gastos Gerais'!$E$4:$E$3632),-('Gastos Gerais'!$C$4:$C$3632)))</f>
        <v>107289.72</v>
      </c>
      <c r="BE18" s="134">
        <f>IF($B18="",0,SUMPRODUCT(-('Gastos Gerais'!$F$4:$F$3632='Gastos das Atividades'!$B18),-('Gastos das Atividades'!BE$3&gt;='Gastos Gerais'!$D$4:$D$3632),-('Gastos das Atividades'!BE$3&lt;='Gastos Gerais'!$E$4:$E$3632),-('Gastos Gerais'!$C$4:$C$3632)))</f>
        <v>107289.72</v>
      </c>
      <c r="BF18" s="134">
        <f>IF($B18="",0,SUMPRODUCT(-('Gastos Gerais'!$F$4:$F$3632='Gastos das Atividades'!$B18),-('Gastos das Atividades'!BF$3&gt;='Gastos Gerais'!$D$4:$D$3632),-('Gastos das Atividades'!BF$3&lt;='Gastos Gerais'!$E$4:$E$3632),-('Gastos Gerais'!$C$4:$C$3632)))</f>
        <v>107289.72</v>
      </c>
      <c r="BG18" s="134">
        <f>IF($B18="",0,SUMPRODUCT(-('Gastos Gerais'!$F$4:$F$3632='Gastos das Atividades'!$B18),-('Gastos das Atividades'!BG$3&gt;='Gastos Gerais'!$D$4:$D$3632),-('Gastos das Atividades'!BG$3&lt;='Gastos Gerais'!$E$4:$E$3632),-('Gastos Gerais'!$C$4:$C$3632)))</f>
        <v>107289.72</v>
      </c>
      <c r="BH18" s="134">
        <f>IF($B18="",0,SUMPRODUCT(-('Gastos Gerais'!$F$4:$F$3632='Gastos das Atividades'!$B18),-('Gastos das Atividades'!BH$3&gt;='Gastos Gerais'!$D$4:$D$3632),-('Gastos das Atividades'!BH$3&lt;='Gastos Gerais'!$E$4:$E$3632),-('Gastos Gerais'!$C$4:$C$3632)))</f>
        <v>107289.72</v>
      </c>
      <c r="BI18" s="134">
        <f>IF($B18="",0,SUMPRODUCT(-('Gastos Gerais'!$F$4:$F$3632='Gastos das Atividades'!$B18),-('Gastos das Atividades'!BI$3&gt;='Gastos Gerais'!$D$4:$D$3632),-('Gastos das Atividades'!BI$3&lt;='Gastos Gerais'!$E$4:$E$3632),-('Gastos Gerais'!$C$4:$C$3632)))</f>
        <v>107289.72</v>
      </c>
      <c r="BJ18" s="134">
        <f>IF($B18="",0,SUMPRODUCT(-('Gastos Gerais'!$F$4:$F$3632='Gastos das Atividades'!$B18),-('Gastos das Atividades'!BJ$3&gt;='Gastos Gerais'!$D$4:$D$3632),-('Gastos das Atividades'!BJ$3&lt;='Gastos Gerais'!$E$4:$E$3632),-('Gastos Gerais'!$C$4:$C$3632)))</f>
        <v>107289.72</v>
      </c>
      <c r="BK18" s="134">
        <f>IF($B18="",0,SUMPRODUCT(-('Gastos Gerais'!$F$4:$F$3632='Gastos das Atividades'!$B18),-('Gastos das Atividades'!BK$3&gt;='Gastos Gerais'!$D$4:$D$3632),-('Gastos das Atividades'!BK$3&lt;='Gastos Gerais'!$E$4:$E$3632),-('Gastos Gerais'!$C$4:$C$3632)))</f>
        <v>108135.72</v>
      </c>
      <c r="BL18" s="134">
        <f>IF($B18="",0,SUMPRODUCT(-('Gastos Gerais'!$F$4:$F$3632='Gastos das Atividades'!$B18),-('Gastos das Atividades'!BL$3&gt;='Gastos Gerais'!$D$4:$D$3632),-('Gastos das Atividades'!BL$3&lt;='Gastos Gerais'!$E$4:$E$3632),-('Gastos Gerais'!$C$4:$C$3632)))</f>
        <v>108135.72</v>
      </c>
      <c r="BM18" s="134">
        <f>IF($B18="",0,SUMPRODUCT(-('Gastos Gerais'!$F$4:$F$3632='Gastos das Atividades'!$B18),-('Gastos das Atividades'!BM$3&gt;='Gastos Gerais'!$D$4:$D$3632),-('Gastos das Atividades'!BM$3&lt;='Gastos Gerais'!$E$4:$E$3632),-('Gastos Gerais'!$C$4:$C$3632)))</f>
        <v>120470.59000000001</v>
      </c>
      <c r="BN18" s="134">
        <f>IF($B18="",0,SUMPRODUCT(-('Gastos Gerais'!$F$4:$F$3632='Gastos das Atividades'!$B18),-('Gastos das Atividades'!BN$3&gt;='Gastos Gerais'!$D$4:$D$3632),-('Gastos das Atividades'!BN$3&lt;='Gastos Gerais'!$E$4:$E$3632),-('Gastos Gerais'!$C$4:$C$3632)))</f>
        <v>116178.17000000001</v>
      </c>
      <c r="BO18" s="134">
        <f>IF($B18="",0,SUMPRODUCT(-('Gastos Gerais'!$F$4:$F$3632='Gastos das Atividades'!$B18),-('Gastos das Atividades'!BO$3&gt;='Gastos Gerais'!$D$4:$D$3632),-('Gastos das Atividades'!BO$3&lt;='Gastos Gerais'!$E$4:$E$3632),-('Gastos Gerais'!$C$4:$C$3632)))</f>
        <v>115332.17000000001</v>
      </c>
      <c r="BP18" s="134">
        <f>IF($B18="",0,SUMPRODUCT(-('Gastos Gerais'!$F$4:$F$3632='Gastos das Atividades'!$B18),-('Gastos das Atividades'!BP$3&gt;='Gastos Gerais'!$D$4:$D$3632),-('Gastos das Atividades'!BP$3&lt;='Gastos Gerais'!$E$4:$E$3632),-('Gastos Gerais'!$C$4:$C$3632)))</f>
        <v>112746.67000000001</v>
      </c>
      <c r="BQ18" s="134">
        <f>IF($B18="",0,SUMPRODUCT(-('Gastos Gerais'!$F$4:$F$3632='Gastos das Atividades'!$B18),-('Gastos das Atividades'!BQ$3&gt;='Gastos Gerais'!$D$4:$D$3632),-('Gastos das Atividades'!BQ$3&lt;='Gastos Gerais'!$E$4:$E$3632),-('Gastos Gerais'!$C$4:$C$3632)))</f>
        <v>112746.67000000001</v>
      </c>
      <c r="BR18" s="134">
        <f>IF($B18="",0,SUMPRODUCT(-('Gastos Gerais'!$F$4:$F$3632='Gastos das Atividades'!$B18),-('Gastos das Atividades'!BR$3&gt;='Gastos Gerais'!$D$4:$D$3632),-('Gastos das Atividades'!BR$3&lt;='Gastos Gerais'!$E$4:$E$3632),-('Gastos Gerais'!$C$4:$C$3632)))</f>
        <v>112746.67000000001</v>
      </c>
      <c r="BS18" s="134">
        <f>IF($B18="",0,SUMPRODUCT(-('Gastos Gerais'!$F$4:$F$3632='Gastos das Atividades'!$B18),-('Gastos das Atividades'!BS$3&gt;='Gastos Gerais'!$D$4:$D$3632),-('Gastos das Atividades'!BS$3&lt;='Gastos Gerais'!$E$4:$E$3632),-('Gastos Gerais'!$C$4:$C$3632)))</f>
        <v>112746.67000000001</v>
      </c>
      <c r="BT18" s="134">
        <f>IF($B18="",0,SUMPRODUCT(-('Gastos Gerais'!$F$4:$F$3632='Gastos das Atividades'!$B18),-('Gastos das Atividades'!BT$3&gt;='Gastos Gerais'!$D$4:$D$3632),-('Gastos das Atividades'!BT$3&lt;='Gastos Gerais'!$E$4:$E$3632),-('Gastos Gerais'!$C$4:$C$3632)))</f>
        <v>112746.67000000001</v>
      </c>
      <c r="BU18" s="134">
        <f>IF($B18="",0,SUMPRODUCT(-('Gastos Gerais'!$F$4:$F$3632='Gastos das Atividades'!$B18),-('Gastos das Atividades'!BU$3&gt;='Gastos Gerais'!$D$4:$D$3632),-('Gastos das Atividades'!BU$3&lt;='Gastos Gerais'!$E$4:$E$3632),-('Gastos Gerais'!$C$4:$C$3632)))</f>
        <v>112746.67000000001</v>
      </c>
      <c r="BV18" s="134">
        <f>IF($B18="",0,SUMPRODUCT(-('Gastos Gerais'!$F$4:$F$3632='Gastos das Atividades'!$B18),-('Gastos das Atividades'!BV$3&gt;='Gastos Gerais'!$D$4:$D$3632),-('Gastos das Atividades'!BV$3&lt;='Gastos Gerais'!$E$4:$E$3632),-('Gastos Gerais'!$C$4:$C$3632)))</f>
        <v>112746.67000000001</v>
      </c>
      <c r="BW18" s="134">
        <f>IF($B18="",0,SUMPRODUCT(-('Gastos Gerais'!$F$4:$F$3632='Gastos das Atividades'!$B18),-('Gastos das Atividades'!BW$3&gt;='Gastos Gerais'!$D$4:$D$3632),-('Gastos das Atividades'!BW$3&lt;='Gastos Gerais'!$E$4:$E$3632),-('Gastos Gerais'!$C$4:$C$3632)))</f>
        <v>112746.67000000001</v>
      </c>
    </row>
    <row r="19" spans="1:75">
      <c r="A19" s="138">
        <v>16</v>
      </c>
      <c r="B19" s="139" t="s">
        <v>643</v>
      </c>
      <c r="C19" s="132">
        <v>0</v>
      </c>
      <c r="D19" s="133">
        <f t="shared" si="0"/>
        <v>0</v>
      </c>
      <c r="E19" s="134">
        <f t="shared" si="1"/>
        <v>1082226.8500000001</v>
      </c>
      <c r="F19" s="134">
        <f t="shared" si="1"/>
        <v>1085145.3499999999</v>
      </c>
      <c r="G19" s="134">
        <f t="shared" si="1"/>
        <v>1158518.22</v>
      </c>
      <c r="H19" s="134">
        <f t="shared" si="1"/>
        <v>1207149.6299999999</v>
      </c>
      <c r="I19" s="135">
        <f t="shared" si="2"/>
        <v>5700522.200000003</v>
      </c>
      <c r="J19" s="136">
        <f t="shared" si="3"/>
        <v>0</v>
      </c>
      <c r="K19" s="136">
        <f t="shared" si="4"/>
        <v>8.7494653296824165E-3</v>
      </c>
      <c r="L19" s="136">
        <f t="shared" si="5"/>
        <v>8.7730604886499426E-3</v>
      </c>
      <c r="M19" s="136">
        <f t="shared" si="6"/>
        <v>9.3662571758364559E-3</v>
      </c>
      <c r="N19" s="136">
        <f t="shared" si="7"/>
        <v>9.7594269033557564E-3</v>
      </c>
      <c r="O19" s="137">
        <f t="shared" si="8"/>
        <v>4.6086937641572054E-2</v>
      </c>
      <c r="P19" s="134">
        <f>IF($B19="",0,SUMPRODUCT(-('Gastos Gerais'!$F$4:$F$3632='Gastos das Atividades'!$B19),-('Gastos das Atividades'!P$3&gt;='Gastos Gerais'!$D$4:$D$3632),-('Gastos das Atividades'!P$3&lt;='Gastos Gerais'!$E$4:$E$3632),-('Gastos Gerais'!$C$4:$C$3632)))</f>
        <v>0</v>
      </c>
      <c r="Q19" s="134">
        <f>IF($B19="",0,SUMPRODUCT(-('Gastos Gerais'!$F$4:$F$3632='Gastos das Atividades'!$B19),-('Gastos das Atividades'!Q$3&gt;='Gastos Gerais'!$D$4:$D$3632),-('Gastos das Atividades'!Q$3&lt;='Gastos Gerais'!$E$4:$E$3632),-('Gastos Gerais'!$C$4:$C$3632)))</f>
        <v>155106.51999999999</v>
      </c>
      <c r="R19" s="134">
        <f>IF($B19="",0,SUMPRODUCT(-('Gastos Gerais'!$F$4:$F$3632='Gastos das Atividades'!$B19),-('Gastos das Atividades'!R$3&gt;='Gastos Gerais'!$D$4:$D$3632),-('Gastos das Atividades'!R$3&lt;='Gastos Gerais'!$E$4:$E$3632),-('Gastos Gerais'!$C$4:$C$3632)))</f>
        <v>97071.78</v>
      </c>
      <c r="S19" s="134">
        <f>IF($B19="",0,SUMPRODUCT(-('Gastos Gerais'!$F$4:$F$3632='Gastos das Atividades'!$B19),-('Gastos das Atividades'!S$3&gt;='Gastos Gerais'!$D$4:$D$3632),-('Gastos das Atividades'!S$3&lt;='Gastos Gerais'!$E$4:$E$3632),-('Gastos Gerais'!$C$4:$C$3632)))</f>
        <v>87141.78</v>
      </c>
      <c r="T19" s="134">
        <f>IF($B19="",0,SUMPRODUCT(-('Gastos Gerais'!$F$4:$F$3632='Gastos das Atividades'!$B19),-('Gastos das Atividades'!T$3&gt;='Gastos Gerais'!$D$4:$D$3632),-('Gastos das Atividades'!T$3&lt;='Gastos Gerais'!$E$4:$E$3632),-('Gastos Gerais'!$C$4:$C$3632)))</f>
        <v>85324.53</v>
      </c>
      <c r="U19" s="134">
        <f>IF($B19="",0,SUMPRODUCT(-('Gastos Gerais'!$F$4:$F$3632='Gastos das Atividades'!$B19),-('Gastos das Atividades'!U$3&gt;='Gastos Gerais'!$D$4:$D$3632),-('Gastos das Atividades'!U$3&lt;='Gastos Gerais'!$E$4:$E$3632),-('Gastos Gerais'!$C$4:$C$3632)))</f>
        <v>83282.28</v>
      </c>
      <c r="V19" s="134">
        <f>IF($B19="",0,SUMPRODUCT(-('Gastos Gerais'!$F$4:$F$3632='Gastos das Atividades'!$B19),-('Gastos das Atividades'!V$3&gt;='Gastos Gerais'!$D$4:$D$3632),-('Gastos das Atividades'!V$3&lt;='Gastos Gerais'!$E$4:$E$3632),-('Gastos Gerais'!$C$4:$C$3632)))</f>
        <v>83282.28</v>
      </c>
      <c r="W19" s="134">
        <f>IF($B19="",0,SUMPRODUCT(-('Gastos Gerais'!$F$4:$F$3632='Gastos das Atividades'!$B19),-('Gastos das Atividades'!W$3&gt;='Gastos Gerais'!$D$4:$D$3632),-('Gastos das Atividades'!W$3&lt;='Gastos Gerais'!$E$4:$E$3632),-('Gastos Gerais'!$C$4:$C$3632)))</f>
        <v>81836.28</v>
      </c>
      <c r="X19" s="134">
        <f>IF($B19="",0,SUMPRODUCT(-('Gastos Gerais'!$F$4:$F$3632='Gastos das Atividades'!$B19),-('Gastos das Atividades'!X$3&gt;='Gastos Gerais'!$D$4:$D$3632),-('Gastos das Atividades'!X$3&lt;='Gastos Gerais'!$E$4:$E$3632),-('Gastos Gerais'!$C$4:$C$3632)))</f>
        <v>81836.28</v>
      </c>
      <c r="Y19" s="134">
        <f>IF($B19="",0,SUMPRODUCT(-('Gastos Gerais'!$F$4:$F$3632='Gastos das Atividades'!$B19),-('Gastos das Atividades'!Y$3&gt;='Gastos Gerais'!$D$4:$D$3632),-('Gastos das Atividades'!Y$3&lt;='Gastos Gerais'!$E$4:$E$3632),-('Gastos Gerais'!$C$4:$C$3632)))</f>
        <v>81836.28</v>
      </c>
      <c r="Z19" s="134">
        <f>IF($B19="",0,SUMPRODUCT(-('Gastos Gerais'!$F$4:$F$3632='Gastos das Atividades'!$B19),-('Gastos das Atividades'!Z$3&gt;='Gastos Gerais'!$D$4:$D$3632),-('Gastos das Atividades'!Z$3&lt;='Gastos Gerais'!$E$4:$E$3632),-('Gastos Gerais'!$C$4:$C$3632)))</f>
        <v>81836.28</v>
      </c>
      <c r="AA19" s="134">
        <f>IF($B19="",0,SUMPRODUCT(-('Gastos Gerais'!$F$4:$F$3632='Gastos das Atividades'!$B19),-('Gastos das Atividades'!AA$3&gt;='Gastos Gerais'!$D$4:$D$3632),-('Gastos das Atividades'!AA$3&lt;='Gastos Gerais'!$E$4:$E$3632),-('Gastos Gerais'!$C$4:$C$3632)))</f>
        <v>81836.28</v>
      </c>
      <c r="AB19" s="134">
        <f>IF($B19="",0,SUMPRODUCT(-('Gastos Gerais'!$F$4:$F$3632='Gastos das Atividades'!$B19),-('Gastos das Atividades'!AB$3&gt;='Gastos Gerais'!$D$4:$D$3632),-('Gastos das Atividades'!AB$3&lt;='Gastos Gerais'!$E$4:$E$3632),-('Gastos Gerais'!$C$4:$C$3632)))</f>
        <v>81836.28</v>
      </c>
      <c r="AC19" s="134">
        <f>IF($B19="",0,SUMPRODUCT(-('Gastos Gerais'!$F$4:$F$3632='Gastos das Atividades'!$B19),-('Gastos das Atividades'!AC$3&gt;='Gastos Gerais'!$D$4:$D$3632),-('Gastos das Atividades'!AC$3&lt;='Gastos Gerais'!$E$4:$E$3632),-('Gastos Gerais'!$C$4:$C$3632)))</f>
        <v>96139.089999999982</v>
      </c>
      <c r="AD19" s="134">
        <f>IF($B19="",0,SUMPRODUCT(-('Gastos Gerais'!$F$4:$F$3632='Gastos das Atividades'!$B19),-('Gastos das Atividades'!AD$3&gt;='Gastos Gerais'!$D$4:$D$3632),-('Gastos das Atividades'!AD$3&lt;='Gastos Gerais'!$E$4:$E$3632),-('Gastos Gerais'!$C$4:$C$3632)))</f>
        <v>94106.969999999987</v>
      </c>
      <c r="AE19" s="134">
        <f>IF($B19="",0,SUMPRODUCT(-('Gastos Gerais'!$F$4:$F$3632='Gastos das Atividades'!$B19),-('Gastos das Atividades'!AE$3&gt;='Gastos Gerais'!$D$4:$D$3632),-('Gastos das Atividades'!AE$3&lt;='Gastos Gerais'!$E$4:$E$3632),-('Gastos Gerais'!$C$4:$C$3632)))</f>
        <v>94106.969999999987</v>
      </c>
      <c r="AF19" s="134">
        <f>IF($B19="",0,SUMPRODUCT(-('Gastos Gerais'!$F$4:$F$3632='Gastos das Atividades'!$B19),-('Gastos das Atividades'!AF$3&gt;='Gastos Gerais'!$D$4:$D$3632),-('Gastos das Atividades'!AF$3&lt;='Gastos Gerais'!$E$4:$E$3632),-('Gastos Gerais'!$C$4:$C$3632)))</f>
        <v>92183.6</v>
      </c>
      <c r="AG19" s="134">
        <f>IF($B19="",0,SUMPRODUCT(-('Gastos Gerais'!$F$4:$F$3632='Gastos das Atividades'!$B19),-('Gastos das Atividades'!AG$3&gt;='Gastos Gerais'!$D$4:$D$3632),-('Gastos das Atividades'!AG$3&lt;='Gastos Gerais'!$E$4:$E$3632),-('Gastos Gerais'!$C$4:$C$3632)))</f>
        <v>89176.09</v>
      </c>
      <c r="AH19" s="134">
        <f>IF($B19="",0,SUMPRODUCT(-('Gastos Gerais'!$F$4:$F$3632='Gastos das Atividades'!$B19),-('Gastos das Atividades'!AH$3&gt;='Gastos Gerais'!$D$4:$D$3632),-('Gastos das Atividades'!AH$3&lt;='Gastos Gerais'!$E$4:$E$3632),-('Gastos Gerais'!$C$4:$C$3632)))</f>
        <v>89176.09</v>
      </c>
      <c r="AI19" s="134">
        <f>IF($B19="",0,SUMPRODUCT(-('Gastos Gerais'!$F$4:$F$3632='Gastos das Atividades'!$B19),-('Gastos das Atividades'!AI$3&gt;='Gastos Gerais'!$D$4:$D$3632),-('Gastos das Atividades'!AI$3&lt;='Gastos Gerais'!$E$4:$E$3632),-('Gastos Gerais'!$C$4:$C$3632)))</f>
        <v>88376.09</v>
      </c>
      <c r="AJ19" s="134">
        <f>IF($B19="",0,SUMPRODUCT(-('Gastos Gerais'!$F$4:$F$3632='Gastos das Atividades'!$B19),-('Gastos das Atividades'!AJ$3&gt;='Gastos Gerais'!$D$4:$D$3632),-('Gastos das Atividades'!AJ$3&lt;='Gastos Gerais'!$E$4:$E$3632),-('Gastos Gerais'!$C$4:$C$3632)))</f>
        <v>88376.09</v>
      </c>
      <c r="AK19" s="134">
        <f>IF($B19="",0,SUMPRODUCT(-('Gastos Gerais'!$F$4:$F$3632='Gastos das Atividades'!$B19),-('Gastos das Atividades'!AK$3&gt;='Gastos Gerais'!$D$4:$D$3632),-('Gastos das Atividades'!AK$3&lt;='Gastos Gerais'!$E$4:$E$3632),-('Gastos Gerais'!$C$4:$C$3632)))</f>
        <v>88376.09</v>
      </c>
      <c r="AL19" s="134">
        <f>IF($B19="",0,SUMPRODUCT(-('Gastos Gerais'!$F$4:$F$3632='Gastos das Atividades'!$B19),-('Gastos das Atividades'!AL$3&gt;='Gastos Gerais'!$D$4:$D$3632),-('Gastos das Atividades'!AL$3&lt;='Gastos Gerais'!$E$4:$E$3632),-('Gastos Gerais'!$C$4:$C$3632)))</f>
        <v>88376.09</v>
      </c>
      <c r="AM19" s="134">
        <f>IF($B19="",0,SUMPRODUCT(-('Gastos Gerais'!$F$4:$F$3632='Gastos das Atividades'!$B19),-('Gastos das Atividades'!AM$3&gt;='Gastos Gerais'!$D$4:$D$3632),-('Gastos das Atividades'!AM$3&lt;='Gastos Gerais'!$E$4:$E$3632),-('Gastos Gerais'!$C$4:$C$3632)))</f>
        <v>88376.09</v>
      </c>
      <c r="AN19" s="134">
        <f>IF($B19="",0,SUMPRODUCT(-('Gastos Gerais'!$F$4:$F$3632='Gastos das Atividades'!$B19),-('Gastos das Atividades'!AN$3&gt;='Gastos Gerais'!$D$4:$D$3632),-('Gastos das Atividades'!AN$3&lt;='Gastos Gerais'!$E$4:$E$3632),-('Gastos Gerais'!$C$4:$C$3632)))</f>
        <v>88376.09</v>
      </c>
      <c r="AO19" s="134">
        <f>IF($B19="",0,SUMPRODUCT(-('Gastos Gerais'!$F$4:$F$3632='Gastos das Atividades'!$B19),-('Gastos das Atividades'!AO$3&gt;='Gastos Gerais'!$D$4:$D$3632),-('Gastos das Atividades'!AO$3&lt;='Gastos Gerais'!$E$4:$E$3632),-('Gastos Gerais'!$C$4:$C$3632)))</f>
        <v>111697.35999999999</v>
      </c>
      <c r="AP19" s="134">
        <f>IF($B19="",0,SUMPRODUCT(-('Gastos Gerais'!$F$4:$F$3632='Gastos das Atividades'!$B19),-('Gastos das Atividades'!AP$3&gt;='Gastos Gerais'!$D$4:$D$3632),-('Gastos das Atividades'!AP$3&lt;='Gastos Gerais'!$E$4:$E$3632),-('Gastos Gerais'!$C$4:$C$3632)))</f>
        <v>99546.559999999983</v>
      </c>
      <c r="AQ19" s="134">
        <f>IF($B19="",0,SUMPRODUCT(-('Gastos Gerais'!$F$4:$F$3632='Gastos das Atividades'!$B19),-('Gastos das Atividades'!AQ$3&gt;='Gastos Gerais'!$D$4:$D$3632),-('Gastos das Atividades'!AQ$3&lt;='Gastos Gerais'!$E$4:$E$3632),-('Gastos Gerais'!$C$4:$C$3632)))</f>
        <v>99546.559999999983</v>
      </c>
      <c r="AR19" s="134">
        <f>IF($B19="",0,SUMPRODUCT(-('Gastos Gerais'!$F$4:$F$3632='Gastos das Atividades'!$B19),-('Gastos das Atividades'!AR$3&gt;='Gastos Gerais'!$D$4:$D$3632),-('Gastos das Atividades'!AR$3&lt;='Gastos Gerais'!$E$4:$E$3632),-('Gastos Gerais'!$C$4:$C$3632)))</f>
        <v>97510.859999999986</v>
      </c>
      <c r="AS19" s="134">
        <f>IF($B19="",0,SUMPRODUCT(-('Gastos Gerais'!$F$4:$F$3632='Gastos das Atividades'!$B19),-('Gastos das Atividades'!AS$3&gt;='Gastos Gerais'!$D$4:$D$3632),-('Gastos das Atividades'!AS$3&lt;='Gastos Gerais'!$E$4:$E$3632),-('Gastos Gerais'!$C$4:$C$3632)))</f>
        <v>94377.11</v>
      </c>
      <c r="AT19" s="134">
        <f>IF($B19="",0,SUMPRODUCT(-('Gastos Gerais'!$F$4:$F$3632='Gastos das Atividades'!$B19),-('Gastos das Atividades'!AT$3&gt;='Gastos Gerais'!$D$4:$D$3632),-('Gastos das Atividades'!AT$3&lt;='Gastos Gerais'!$E$4:$E$3632),-('Gastos Gerais'!$C$4:$C$3632)))</f>
        <v>94377.11</v>
      </c>
      <c r="AU19" s="134">
        <f>IF($B19="",0,SUMPRODUCT(-('Gastos Gerais'!$F$4:$F$3632='Gastos das Atividades'!$B19),-('Gastos das Atividades'!AU$3&gt;='Gastos Gerais'!$D$4:$D$3632),-('Gastos das Atividades'!AU$3&lt;='Gastos Gerais'!$E$4:$E$3632),-('Gastos Gerais'!$C$4:$C$3632)))</f>
        <v>93577.11</v>
      </c>
      <c r="AV19" s="134">
        <f>IF($B19="",0,SUMPRODUCT(-('Gastos Gerais'!$F$4:$F$3632='Gastos das Atividades'!$B19),-('Gastos das Atividades'!AV$3&gt;='Gastos Gerais'!$D$4:$D$3632),-('Gastos das Atividades'!AV$3&lt;='Gastos Gerais'!$E$4:$E$3632),-('Gastos Gerais'!$C$4:$C$3632)))</f>
        <v>93577.11</v>
      </c>
      <c r="AW19" s="134">
        <f>IF($B19="",0,SUMPRODUCT(-('Gastos Gerais'!$F$4:$F$3632='Gastos das Atividades'!$B19),-('Gastos das Atividades'!AW$3&gt;='Gastos Gerais'!$D$4:$D$3632),-('Gastos das Atividades'!AW$3&lt;='Gastos Gerais'!$E$4:$E$3632),-('Gastos Gerais'!$C$4:$C$3632)))</f>
        <v>93577.11</v>
      </c>
      <c r="AX19" s="134">
        <f>IF($B19="",0,SUMPRODUCT(-('Gastos Gerais'!$F$4:$F$3632='Gastos das Atividades'!$B19),-('Gastos das Atividades'!AX$3&gt;='Gastos Gerais'!$D$4:$D$3632),-('Gastos das Atividades'!AX$3&lt;='Gastos Gerais'!$E$4:$E$3632),-('Gastos Gerais'!$C$4:$C$3632)))</f>
        <v>93577.11</v>
      </c>
      <c r="AY19" s="134">
        <f>IF($B19="",0,SUMPRODUCT(-('Gastos Gerais'!$F$4:$F$3632='Gastos das Atividades'!$B19),-('Gastos das Atividades'!AY$3&gt;='Gastos Gerais'!$D$4:$D$3632),-('Gastos das Atividades'!AY$3&lt;='Gastos Gerais'!$E$4:$E$3632),-('Gastos Gerais'!$C$4:$C$3632)))</f>
        <v>93577.11</v>
      </c>
      <c r="AZ19" s="134">
        <f>IF($B19="",0,SUMPRODUCT(-('Gastos Gerais'!$F$4:$F$3632='Gastos das Atividades'!$B19),-('Gastos das Atividades'!AZ$3&gt;='Gastos Gerais'!$D$4:$D$3632),-('Gastos das Atividades'!AZ$3&lt;='Gastos Gerais'!$E$4:$E$3632),-('Gastos Gerais'!$C$4:$C$3632)))</f>
        <v>93577.11</v>
      </c>
      <c r="BA19" s="134">
        <f>IF($B19="",0,SUMPRODUCT(-('Gastos Gerais'!$F$4:$F$3632='Gastos das Atividades'!$B19),-('Gastos das Atividades'!BA$3&gt;='Gastos Gerais'!$D$4:$D$3632),-('Gastos das Atividades'!BA$3&lt;='Gastos Gerais'!$E$4:$E$3632),-('Gastos Gerais'!$C$4:$C$3632)))</f>
        <v>106876.68</v>
      </c>
      <c r="BB19" s="134">
        <f>IF($B19="",0,SUMPRODUCT(-('Gastos Gerais'!$F$4:$F$3632='Gastos das Atividades'!$B19),-('Gastos das Atividades'!BB$3&gt;='Gastos Gerais'!$D$4:$D$3632),-('Gastos das Atividades'!BB$3&lt;='Gastos Gerais'!$E$4:$E$3632),-('Gastos Gerais'!$C$4:$C$3632)))</f>
        <v>104600.26999999999</v>
      </c>
      <c r="BC19" s="134">
        <f>IF($B19="",0,SUMPRODUCT(-('Gastos Gerais'!$F$4:$F$3632='Gastos das Atividades'!$B19),-('Gastos das Atividades'!BC$3&gt;='Gastos Gerais'!$D$4:$D$3632),-('Gastos das Atividades'!BC$3&lt;='Gastos Gerais'!$E$4:$E$3632),-('Gastos Gerais'!$C$4:$C$3632)))</f>
        <v>104600.26999999999</v>
      </c>
      <c r="BD19" s="134">
        <f>IF($B19="",0,SUMPRODUCT(-('Gastos Gerais'!$F$4:$F$3632='Gastos das Atividades'!$B19),-('Gastos das Atividades'!BD$3&gt;='Gastos Gerais'!$D$4:$D$3632),-('Gastos das Atividades'!BD$3&lt;='Gastos Gerais'!$E$4:$E$3632),-('Gastos Gerais'!$C$4:$C$3632)))</f>
        <v>102445.69</v>
      </c>
      <c r="BE19" s="134">
        <f>IF($B19="",0,SUMPRODUCT(-('Gastos Gerais'!$F$4:$F$3632='Gastos das Atividades'!$B19),-('Gastos das Atividades'!BE$3&gt;='Gastos Gerais'!$D$4:$D$3632),-('Gastos das Atividades'!BE$3&lt;='Gastos Gerais'!$E$4:$E$3632),-('Gastos Gerais'!$C$4:$C$3632)))</f>
        <v>99178.34</v>
      </c>
      <c r="BF19" s="134">
        <f>IF($B19="",0,SUMPRODUCT(-('Gastos Gerais'!$F$4:$F$3632='Gastos das Atividades'!$B19),-('Gastos das Atividades'!BF$3&gt;='Gastos Gerais'!$D$4:$D$3632),-('Gastos das Atividades'!BF$3&lt;='Gastos Gerais'!$E$4:$E$3632),-('Gastos Gerais'!$C$4:$C$3632)))</f>
        <v>99178.34</v>
      </c>
      <c r="BG19" s="134">
        <f>IF($B19="",0,SUMPRODUCT(-('Gastos Gerais'!$F$4:$F$3632='Gastos das Atividades'!$B19),-('Gastos das Atividades'!BG$3&gt;='Gastos Gerais'!$D$4:$D$3632),-('Gastos das Atividades'!BG$3&lt;='Gastos Gerais'!$E$4:$E$3632),-('Gastos Gerais'!$C$4:$C$3632)))</f>
        <v>98378.34</v>
      </c>
      <c r="BH19" s="134">
        <f>IF($B19="",0,SUMPRODUCT(-('Gastos Gerais'!$F$4:$F$3632='Gastos das Atividades'!$B19),-('Gastos das Atividades'!BH$3&gt;='Gastos Gerais'!$D$4:$D$3632),-('Gastos das Atividades'!BH$3&lt;='Gastos Gerais'!$E$4:$E$3632),-('Gastos Gerais'!$C$4:$C$3632)))</f>
        <v>98378.34</v>
      </c>
      <c r="BI19" s="134">
        <f>IF($B19="",0,SUMPRODUCT(-('Gastos Gerais'!$F$4:$F$3632='Gastos das Atividades'!$B19),-('Gastos das Atividades'!BI$3&gt;='Gastos Gerais'!$D$4:$D$3632),-('Gastos das Atividades'!BI$3&lt;='Gastos Gerais'!$E$4:$E$3632),-('Gastos Gerais'!$C$4:$C$3632)))</f>
        <v>98378.34</v>
      </c>
      <c r="BJ19" s="134">
        <f>IF($B19="",0,SUMPRODUCT(-('Gastos Gerais'!$F$4:$F$3632='Gastos das Atividades'!$B19),-('Gastos das Atividades'!BJ$3&gt;='Gastos Gerais'!$D$4:$D$3632),-('Gastos das Atividades'!BJ$3&lt;='Gastos Gerais'!$E$4:$E$3632),-('Gastos Gerais'!$C$4:$C$3632)))</f>
        <v>98378.34</v>
      </c>
      <c r="BK19" s="134">
        <f>IF($B19="",0,SUMPRODUCT(-('Gastos Gerais'!$F$4:$F$3632='Gastos das Atividades'!$B19),-('Gastos das Atividades'!BK$3&gt;='Gastos Gerais'!$D$4:$D$3632),-('Gastos das Atividades'!BK$3&lt;='Gastos Gerais'!$E$4:$E$3632),-('Gastos Gerais'!$C$4:$C$3632)))</f>
        <v>98378.34</v>
      </c>
      <c r="BL19" s="134">
        <f>IF($B19="",0,SUMPRODUCT(-('Gastos Gerais'!$F$4:$F$3632='Gastos das Atividades'!$B19),-('Gastos das Atividades'!BL$3&gt;='Gastos Gerais'!$D$4:$D$3632),-('Gastos das Atividades'!BL$3&lt;='Gastos Gerais'!$E$4:$E$3632),-('Gastos Gerais'!$C$4:$C$3632)))</f>
        <v>98378.34</v>
      </c>
      <c r="BM19" s="134">
        <f>IF($B19="",0,SUMPRODUCT(-('Gastos Gerais'!$F$4:$F$3632='Gastos das Atividades'!$B19),-('Gastos das Atividades'!BM$3&gt;='Gastos Gerais'!$D$4:$D$3632),-('Gastos das Atividades'!BM$3&lt;='Gastos Gerais'!$E$4:$E$3632),-('Gastos Gerais'!$C$4:$C$3632)))</f>
        <v>112602.75000000001</v>
      </c>
      <c r="BN19" s="134">
        <f>IF($B19="",0,SUMPRODUCT(-('Gastos Gerais'!$F$4:$F$3632='Gastos das Atividades'!$B19),-('Gastos das Atividades'!BN$3&gt;='Gastos Gerais'!$D$4:$D$3632),-('Gastos das Atividades'!BN$3&lt;='Gastos Gerais'!$E$4:$E$3632),-('Gastos Gerais'!$C$4:$C$3632)))</f>
        <v>110103.40000000001</v>
      </c>
      <c r="BO19" s="134">
        <f>IF($B19="",0,SUMPRODUCT(-('Gastos Gerais'!$F$4:$F$3632='Gastos das Atividades'!$B19),-('Gastos das Atividades'!BO$3&gt;='Gastos Gerais'!$D$4:$D$3632),-('Gastos das Atividades'!BO$3&lt;='Gastos Gerais'!$E$4:$E$3632),-('Gastos Gerais'!$C$4:$C$3632)))</f>
        <v>110103.40000000001</v>
      </c>
      <c r="BP19" s="134">
        <f>IF($B19="",0,SUMPRODUCT(-('Gastos Gerais'!$F$4:$F$3632='Gastos das Atividades'!$B19),-('Gastos das Atividades'!BP$3&gt;='Gastos Gerais'!$D$4:$D$3632),-('Gastos das Atividades'!BP$3&lt;='Gastos Gerais'!$E$4:$E$3632),-('Gastos Gerais'!$C$4:$C$3632)))</f>
        <v>107822.99</v>
      </c>
      <c r="BQ19" s="134">
        <f>IF($B19="",0,SUMPRODUCT(-('Gastos Gerais'!$F$4:$F$3632='Gastos das Atividades'!$B19),-('Gastos das Atividades'!BQ$3&gt;='Gastos Gerais'!$D$4:$D$3632),-('Gastos das Atividades'!BQ$3&lt;='Gastos Gerais'!$E$4:$E$3632),-('Gastos Gerais'!$C$4:$C$3632)))</f>
        <v>104414.23</v>
      </c>
      <c r="BR19" s="134">
        <f>IF($B19="",0,SUMPRODUCT(-('Gastos Gerais'!$F$4:$F$3632='Gastos das Atividades'!$B19),-('Gastos das Atividades'!BR$3&gt;='Gastos Gerais'!$D$4:$D$3632),-('Gastos das Atividades'!BR$3&lt;='Gastos Gerais'!$E$4:$E$3632),-('Gastos Gerais'!$C$4:$C$3632)))</f>
        <v>104414.23</v>
      </c>
      <c r="BS19" s="134">
        <f>IF($B19="",0,SUMPRODUCT(-('Gastos Gerais'!$F$4:$F$3632='Gastos das Atividades'!$B19),-('Gastos das Atividades'!BS$3&gt;='Gastos Gerais'!$D$4:$D$3632),-('Gastos das Atividades'!BS$3&lt;='Gastos Gerais'!$E$4:$E$3632),-('Gastos Gerais'!$C$4:$C$3632)))</f>
        <v>103604.23</v>
      </c>
      <c r="BT19" s="134">
        <f>IF($B19="",0,SUMPRODUCT(-('Gastos Gerais'!$F$4:$F$3632='Gastos das Atividades'!$B19),-('Gastos das Atividades'!BT$3&gt;='Gastos Gerais'!$D$4:$D$3632),-('Gastos das Atividades'!BT$3&lt;='Gastos Gerais'!$E$4:$E$3632),-('Gastos Gerais'!$C$4:$C$3632)))</f>
        <v>103604.23</v>
      </c>
      <c r="BU19" s="134">
        <f>IF($B19="",0,SUMPRODUCT(-('Gastos Gerais'!$F$4:$F$3632='Gastos das Atividades'!$B19),-('Gastos das Atividades'!BU$3&gt;='Gastos Gerais'!$D$4:$D$3632),-('Gastos das Atividades'!BU$3&lt;='Gastos Gerais'!$E$4:$E$3632),-('Gastos Gerais'!$C$4:$C$3632)))</f>
        <v>103604.23</v>
      </c>
      <c r="BV19" s="134">
        <f>IF($B19="",0,SUMPRODUCT(-('Gastos Gerais'!$F$4:$F$3632='Gastos das Atividades'!$B19),-('Gastos das Atividades'!BV$3&gt;='Gastos Gerais'!$D$4:$D$3632),-('Gastos das Atividades'!BV$3&lt;='Gastos Gerais'!$E$4:$E$3632),-('Gastos Gerais'!$C$4:$C$3632)))</f>
        <v>103604.23</v>
      </c>
      <c r="BW19" s="134">
        <f>IF($B19="",0,SUMPRODUCT(-('Gastos Gerais'!$F$4:$F$3632='Gastos das Atividades'!$B19),-('Gastos das Atividades'!BW$3&gt;='Gastos Gerais'!$D$4:$D$3632),-('Gastos das Atividades'!BW$3&lt;='Gastos Gerais'!$E$4:$E$3632),-('Gastos Gerais'!$C$4:$C$3632)))</f>
        <v>103604.23</v>
      </c>
    </row>
    <row r="20" spans="1:75">
      <c r="A20" s="138">
        <v>17</v>
      </c>
      <c r="B20" s="139" t="s">
        <v>644</v>
      </c>
      <c r="C20" s="132">
        <v>0</v>
      </c>
      <c r="D20" s="133">
        <f t="shared" si="0"/>
        <v>60105.399999999994</v>
      </c>
      <c r="E20" s="134">
        <f t="shared" si="1"/>
        <v>1034593.1199999998</v>
      </c>
      <c r="F20" s="134">
        <f t="shared" si="1"/>
        <v>1204926.75</v>
      </c>
      <c r="G20" s="134">
        <f t="shared" si="1"/>
        <v>1164764.96</v>
      </c>
      <c r="H20" s="134">
        <f t="shared" si="1"/>
        <v>1214288.77</v>
      </c>
      <c r="I20" s="135">
        <f t="shared" si="2"/>
        <v>5861330.6899999976</v>
      </c>
      <c r="J20" s="136">
        <f t="shared" si="3"/>
        <v>4.8593334514542252E-4</v>
      </c>
      <c r="K20" s="136">
        <f t="shared" si="4"/>
        <v>8.3643615326749257E-3</v>
      </c>
      <c r="L20" s="136">
        <f t="shared" si="5"/>
        <v>9.7414556143491648E-3</v>
      </c>
      <c r="M20" s="136">
        <f t="shared" si="6"/>
        <v>9.4167601134170012E-3</v>
      </c>
      <c r="N20" s="136">
        <f t="shared" si="7"/>
        <v>9.8171446156022687E-3</v>
      </c>
      <c r="O20" s="137">
        <f t="shared" si="8"/>
        <v>4.7387023947852047E-2</v>
      </c>
      <c r="P20" s="134">
        <f>IF($B20="",0,SUMPRODUCT(-('Gastos Gerais'!$F$4:$F$3632='Gastos das Atividades'!$B20),-('Gastos das Atividades'!P$3&gt;='Gastos Gerais'!$D$4:$D$3632),-('Gastos das Atividades'!P$3&lt;='Gastos Gerais'!$E$4:$E$3632),-('Gastos Gerais'!$C$4:$C$3632)))</f>
        <v>60105.399999999994</v>
      </c>
      <c r="Q20" s="134">
        <f>IF($B20="",0,SUMPRODUCT(-('Gastos Gerais'!$F$4:$F$3632='Gastos das Atividades'!$B20),-('Gastos das Atividades'!Q$3&gt;='Gastos Gerais'!$D$4:$D$3632),-('Gastos das Atividades'!Q$3&lt;='Gastos Gerais'!$E$4:$E$3632),-('Gastos Gerais'!$C$4:$C$3632)))</f>
        <v>87615.1</v>
      </c>
      <c r="R20" s="134">
        <f>IF($B20="",0,SUMPRODUCT(-('Gastos Gerais'!$F$4:$F$3632='Gastos das Atividades'!$B20),-('Gastos das Atividades'!R$3&gt;='Gastos Gerais'!$D$4:$D$3632),-('Gastos das Atividades'!R$3&lt;='Gastos Gerais'!$E$4:$E$3632),-('Gastos Gerais'!$C$4:$C$3632)))</f>
        <v>104535.1</v>
      </c>
      <c r="S20" s="134">
        <f>IF($B20="",0,SUMPRODUCT(-('Gastos Gerais'!$F$4:$F$3632='Gastos das Atividades'!$B20),-('Gastos das Atividades'!S$3&gt;='Gastos Gerais'!$D$4:$D$3632),-('Gastos das Atividades'!S$3&lt;='Gastos Gerais'!$E$4:$E$3632),-('Gastos Gerais'!$C$4:$C$3632)))</f>
        <v>87685.1</v>
      </c>
      <c r="T20" s="134">
        <f>IF($B20="",0,SUMPRODUCT(-('Gastos Gerais'!$F$4:$F$3632='Gastos das Atividades'!$B20),-('Gastos das Atividades'!T$3&gt;='Gastos Gerais'!$D$4:$D$3632),-('Gastos das Atividades'!T$3&lt;='Gastos Gerais'!$E$4:$E$3632),-('Gastos Gerais'!$C$4:$C$3632)))</f>
        <v>87685.1</v>
      </c>
      <c r="U20" s="134">
        <f>IF($B20="",0,SUMPRODUCT(-('Gastos Gerais'!$F$4:$F$3632='Gastos das Atividades'!$B20),-('Gastos das Atividades'!U$3&gt;='Gastos Gerais'!$D$4:$D$3632),-('Gastos das Atividades'!U$3&lt;='Gastos Gerais'!$E$4:$E$3632),-('Gastos Gerais'!$C$4:$C$3632)))</f>
        <v>84018.59</v>
      </c>
      <c r="V20" s="134">
        <f>IF($B20="",0,SUMPRODUCT(-('Gastos Gerais'!$F$4:$F$3632='Gastos das Atividades'!$B20),-('Gastos das Atividades'!V$3&gt;='Gastos Gerais'!$D$4:$D$3632),-('Gastos das Atividades'!V$3&lt;='Gastos Gerais'!$E$4:$E$3632),-('Gastos Gerais'!$C$4:$C$3632)))</f>
        <v>84018.59</v>
      </c>
      <c r="W20" s="134">
        <f>IF($B20="",0,SUMPRODUCT(-('Gastos Gerais'!$F$4:$F$3632='Gastos das Atividades'!$B20),-('Gastos das Atividades'!W$3&gt;='Gastos Gerais'!$D$4:$D$3632),-('Gastos das Atividades'!W$3&lt;='Gastos Gerais'!$E$4:$E$3632),-('Gastos Gerais'!$C$4:$C$3632)))</f>
        <v>83172.59</v>
      </c>
      <c r="X20" s="134">
        <f>IF($B20="",0,SUMPRODUCT(-('Gastos Gerais'!$F$4:$F$3632='Gastos das Atividades'!$B20),-('Gastos das Atividades'!X$3&gt;='Gastos Gerais'!$D$4:$D$3632),-('Gastos das Atividades'!X$3&lt;='Gastos Gerais'!$E$4:$E$3632),-('Gastos Gerais'!$C$4:$C$3632)))</f>
        <v>83172.59</v>
      </c>
      <c r="Y20" s="134">
        <f>IF($B20="",0,SUMPRODUCT(-('Gastos Gerais'!$F$4:$F$3632='Gastos das Atividades'!$B20),-('Gastos das Atividades'!Y$3&gt;='Gastos Gerais'!$D$4:$D$3632),-('Gastos das Atividades'!Y$3&lt;='Gastos Gerais'!$E$4:$E$3632),-('Gastos Gerais'!$C$4:$C$3632)))</f>
        <v>83172.59</v>
      </c>
      <c r="Z20" s="134">
        <f>IF($B20="",0,SUMPRODUCT(-('Gastos Gerais'!$F$4:$F$3632='Gastos das Atividades'!$B20),-('Gastos das Atividades'!Z$3&gt;='Gastos Gerais'!$D$4:$D$3632),-('Gastos das Atividades'!Z$3&lt;='Gastos Gerais'!$E$4:$E$3632),-('Gastos Gerais'!$C$4:$C$3632)))</f>
        <v>83172.59</v>
      </c>
      <c r="AA20" s="134">
        <f>IF($B20="",0,SUMPRODUCT(-('Gastos Gerais'!$F$4:$F$3632='Gastos das Atividades'!$B20),-('Gastos das Atividades'!AA$3&gt;='Gastos Gerais'!$D$4:$D$3632),-('Gastos das Atividades'!AA$3&lt;='Gastos Gerais'!$E$4:$E$3632),-('Gastos Gerais'!$C$4:$C$3632)))</f>
        <v>83172.59</v>
      </c>
      <c r="AB20" s="134">
        <f>IF($B20="",0,SUMPRODUCT(-('Gastos Gerais'!$F$4:$F$3632='Gastos das Atividades'!$B20),-('Gastos das Atividades'!AB$3&gt;='Gastos Gerais'!$D$4:$D$3632),-('Gastos das Atividades'!AB$3&lt;='Gastos Gerais'!$E$4:$E$3632),-('Gastos Gerais'!$C$4:$C$3632)))</f>
        <v>83172.59</v>
      </c>
      <c r="AC20" s="134">
        <f>IF($B20="",0,SUMPRODUCT(-('Gastos Gerais'!$F$4:$F$3632='Gastos das Atividades'!$B20),-('Gastos das Atividades'!AC$3&gt;='Gastos Gerais'!$D$4:$D$3632),-('Gastos das Atividades'!AC$3&lt;='Gastos Gerais'!$E$4:$E$3632),-('Gastos Gerais'!$C$4:$C$3632)))</f>
        <v>96682.09</v>
      </c>
      <c r="AD20" s="134">
        <f>IF($B20="",0,SUMPRODUCT(-('Gastos Gerais'!$F$4:$F$3632='Gastos das Atividades'!$B20),-('Gastos das Atividades'!AD$3&gt;='Gastos Gerais'!$D$4:$D$3632),-('Gastos das Atividades'!AD$3&lt;='Gastos Gerais'!$E$4:$E$3632),-('Gastos Gerais'!$C$4:$C$3632)))</f>
        <v>94649.97</v>
      </c>
      <c r="AE20" s="134">
        <f>IF($B20="",0,SUMPRODUCT(-('Gastos Gerais'!$F$4:$F$3632='Gastos das Atividades'!$B20),-('Gastos das Atividades'!AE$3&gt;='Gastos Gerais'!$D$4:$D$3632),-('Gastos das Atividades'!AE$3&lt;='Gastos Gerais'!$E$4:$E$3632),-('Gastos Gerais'!$C$4:$C$3632)))</f>
        <v>94649.97</v>
      </c>
      <c r="AF20" s="134">
        <f>IF($B20="",0,SUMPRODUCT(-('Gastos Gerais'!$F$4:$F$3632='Gastos das Atividades'!$B20),-('Gastos das Atividades'!AF$3&gt;='Gastos Gerais'!$D$4:$D$3632),-('Gastos das Atividades'!AF$3&lt;='Gastos Gerais'!$E$4:$E$3632),-('Gastos Gerais'!$C$4:$C$3632)))</f>
        <v>164299.97</v>
      </c>
      <c r="AG20" s="134">
        <f>IF($B20="",0,SUMPRODUCT(-('Gastos Gerais'!$F$4:$F$3632='Gastos das Atividades'!$B20),-('Gastos das Atividades'!AG$3&gt;='Gastos Gerais'!$D$4:$D$3632),-('Gastos das Atividades'!AG$3&lt;='Gastos Gerais'!$E$4:$E$3632),-('Gastos Gerais'!$C$4:$C$3632)))</f>
        <v>94965.09375</v>
      </c>
      <c r="AH20" s="134">
        <f>IF($B20="",0,SUMPRODUCT(-('Gastos Gerais'!$F$4:$F$3632='Gastos das Atividades'!$B20),-('Gastos das Atividades'!AH$3&gt;='Gastos Gerais'!$D$4:$D$3632),-('Gastos das Atividades'!AH$3&lt;='Gastos Gerais'!$E$4:$E$3632),-('Gastos Gerais'!$C$4:$C$3632)))</f>
        <v>94965.09375</v>
      </c>
      <c r="AI20" s="134">
        <f>IF($B20="",0,SUMPRODUCT(-('Gastos Gerais'!$F$4:$F$3632='Gastos das Atividades'!$B20),-('Gastos das Atividades'!AI$3&gt;='Gastos Gerais'!$D$4:$D$3632),-('Gastos das Atividades'!AI$3&lt;='Gastos Gerais'!$E$4:$E$3632),-('Gastos Gerais'!$C$4:$C$3632)))</f>
        <v>94119.09375</v>
      </c>
      <c r="AJ20" s="134">
        <f>IF($B20="",0,SUMPRODUCT(-('Gastos Gerais'!$F$4:$F$3632='Gastos das Atividades'!$B20),-('Gastos das Atividades'!AJ$3&gt;='Gastos Gerais'!$D$4:$D$3632),-('Gastos das Atividades'!AJ$3&lt;='Gastos Gerais'!$E$4:$E$3632),-('Gastos Gerais'!$C$4:$C$3632)))</f>
        <v>94119.09375</v>
      </c>
      <c r="AK20" s="134">
        <f>IF($B20="",0,SUMPRODUCT(-('Gastos Gerais'!$F$4:$F$3632='Gastos das Atividades'!$B20),-('Gastos das Atividades'!AK$3&gt;='Gastos Gerais'!$D$4:$D$3632),-('Gastos das Atividades'!AK$3&lt;='Gastos Gerais'!$E$4:$E$3632),-('Gastos Gerais'!$C$4:$C$3632)))</f>
        <v>94119.09375</v>
      </c>
      <c r="AL20" s="134">
        <f>IF($B20="",0,SUMPRODUCT(-('Gastos Gerais'!$F$4:$F$3632='Gastos das Atividades'!$B20),-('Gastos das Atividades'!AL$3&gt;='Gastos Gerais'!$D$4:$D$3632),-('Gastos das Atividades'!AL$3&lt;='Gastos Gerais'!$E$4:$E$3632),-('Gastos Gerais'!$C$4:$C$3632)))</f>
        <v>94119.09375</v>
      </c>
      <c r="AM20" s="134">
        <f>IF($B20="",0,SUMPRODUCT(-('Gastos Gerais'!$F$4:$F$3632='Gastos das Atividades'!$B20),-('Gastos das Atividades'!AM$3&gt;='Gastos Gerais'!$D$4:$D$3632),-('Gastos das Atividades'!AM$3&lt;='Gastos Gerais'!$E$4:$E$3632),-('Gastos Gerais'!$C$4:$C$3632)))</f>
        <v>94119.09375</v>
      </c>
      <c r="AN20" s="134">
        <f>IF($B20="",0,SUMPRODUCT(-('Gastos Gerais'!$F$4:$F$3632='Gastos das Atividades'!$B20),-('Gastos das Atividades'!AN$3&gt;='Gastos Gerais'!$D$4:$D$3632),-('Gastos das Atividades'!AN$3&lt;='Gastos Gerais'!$E$4:$E$3632),-('Gastos Gerais'!$C$4:$C$3632)))</f>
        <v>94119.09375</v>
      </c>
      <c r="AO20" s="134">
        <f>IF($B20="",0,SUMPRODUCT(-('Gastos Gerais'!$F$4:$F$3632='Gastos das Atividades'!$B20),-('Gastos das Atividades'!AO$3&gt;='Gastos Gerais'!$D$4:$D$3632),-('Gastos das Atividades'!AO$3&lt;='Gastos Gerais'!$E$4:$E$3632),-('Gastos Gerais'!$C$4:$C$3632)))</f>
        <v>111813.15999999999</v>
      </c>
      <c r="AP20" s="134">
        <f>IF($B20="",0,SUMPRODUCT(-('Gastos Gerais'!$F$4:$F$3632='Gastos das Atividades'!$B20),-('Gastos das Atividades'!AP$3&gt;='Gastos Gerais'!$D$4:$D$3632),-('Gastos das Atividades'!AP$3&lt;='Gastos Gerais'!$E$4:$E$3632),-('Gastos Gerais'!$C$4:$C$3632)))</f>
        <v>99662.359999999986</v>
      </c>
      <c r="AQ20" s="134">
        <f>IF($B20="",0,SUMPRODUCT(-('Gastos Gerais'!$F$4:$F$3632='Gastos das Atividades'!$B20),-('Gastos das Atividades'!AQ$3&gt;='Gastos Gerais'!$D$4:$D$3632),-('Gastos das Atividades'!AQ$3&lt;='Gastos Gerais'!$E$4:$E$3632),-('Gastos Gerais'!$C$4:$C$3632)))</f>
        <v>99662.359999999986</v>
      </c>
      <c r="AR20" s="134">
        <f>IF($B20="",0,SUMPRODUCT(-('Gastos Gerais'!$F$4:$F$3632='Gastos das Atividades'!$B20),-('Gastos das Atividades'!AR$3&gt;='Gastos Gerais'!$D$4:$D$3632),-('Gastos das Atividades'!AR$3&lt;='Gastos Gerais'!$E$4:$E$3632),-('Gastos Gerais'!$C$4:$C$3632)))</f>
        <v>99062.359999999986</v>
      </c>
      <c r="AS20" s="134">
        <f>IF($B20="",0,SUMPRODUCT(-('Gastos Gerais'!$F$4:$F$3632='Gastos das Atividades'!$B20),-('Gastos das Atividades'!AS$3&gt;='Gastos Gerais'!$D$4:$D$3632),-('Gastos das Atividades'!AS$3&lt;='Gastos Gerais'!$E$4:$E$3632),-('Gastos Gerais'!$C$4:$C$3632)))</f>
        <v>94955.09</v>
      </c>
      <c r="AT20" s="134">
        <f>IF($B20="",0,SUMPRODUCT(-('Gastos Gerais'!$F$4:$F$3632='Gastos das Atividades'!$B20),-('Gastos das Atividades'!AT$3&gt;='Gastos Gerais'!$D$4:$D$3632),-('Gastos das Atividades'!AT$3&lt;='Gastos Gerais'!$E$4:$E$3632),-('Gastos Gerais'!$C$4:$C$3632)))</f>
        <v>94955.09</v>
      </c>
      <c r="AU20" s="134">
        <f>IF($B20="",0,SUMPRODUCT(-('Gastos Gerais'!$F$4:$F$3632='Gastos das Atividades'!$B20),-('Gastos das Atividades'!AU$3&gt;='Gastos Gerais'!$D$4:$D$3632),-('Gastos das Atividades'!AU$3&lt;='Gastos Gerais'!$E$4:$E$3632),-('Gastos Gerais'!$C$4:$C$3632)))</f>
        <v>94109.09</v>
      </c>
      <c r="AV20" s="134">
        <f>IF($B20="",0,SUMPRODUCT(-('Gastos Gerais'!$F$4:$F$3632='Gastos das Atividades'!$B20),-('Gastos das Atividades'!AV$3&gt;='Gastos Gerais'!$D$4:$D$3632),-('Gastos das Atividades'!AV$3&lt;='Gastos Gerais'!$E$4:$E$3632),-('Gastos Gerais'!$C$4:$C$3632)))</f>
        <v>94109.09</v>
      </c>
      <c r="AW20" s="134">
        <f>IF($B20="",0,SUMPRODUCT(-('Gastos Gerais'!$F$4:$F$3632='Gastos das Atividades'!$B20),-('Gastos das Atividades'!AW$3&gt;='Gastos Gerais'!$D$4:$D$3632),-('Gastos das Atividades'!AW$3&lt;='Gastos Gerais'!$E$4:$E$3632),-('Gastos Gerais'!$C$4:$C$3632)))</f>
        <v>94109.09</v>
      </c>
      <c r="AX20" s="134">
        <f>IF($B20="",0,SUMPRODUCT(-('Gastos Gerais'!$F$4:$F$3632='Gastos das Atividades'!$B20),-('Gastos das Atividades'!AX$3&gt;='Gastos Gerais'!$D$4:$D$3632),-('Gastos das Atividades'!AX$3&lt;='Gastos Gerais'!$E$4:$E$3632),-('Gastos Gerais'!$C$4:$C$3632)))</f>
        <v>94109.09</v>
      </c>
      <c r="AY20" s="134">
        <f>IF($B20="",0,SUMPRODUCT(-('Gastos Gerais'!$F$4:$F$3632='Gastos das Atividades'!$B20),-('Gastos das Atividades'!AY$3&gt;='Gastos Gerais'!$D$4:$D$3632),-('Gastos das Atividades'!AY$3&lt;='Gastos Gerais'!$E$4:$E$3632),-('Gastos Gerais'!$C$4:$C$3632)))</f>
        <v>94109.09</v>
      </c>
      <c r="AZ20" s="134">
        <f>IF($B20="",0,SUMPRODUCT(-('Gastos Gerais'!$F$4:$F$3632='Gastos das Atividades'!$B20),-('Gastos das Atividades'!AZ$3&gt;='Gastos Gerais'!$D$4:$D$3632),-('Gastos das Atividades'!AZ$3&lt;='Gastos Gerais'!$E$4:$E$3632),-('Gastos Gerais'!$C$4:$C$3632)))</f>
        <v>94109.09</v>
      </c>
      <c r="BA20" s="134">
        <f>IF($B20="",0,SUMPRODUCT(-('Gastos Gerais'!$F$4:$F$3632='Gastos das Atividades'!$B20),-('Gastos das Atividades'!BA$3&gt;='Gastos Gerais'!$D$4:$D$3632),-('Gastos das Atividades'!BA$3&lt;='Gastos Gerais'!$E$4:$E$3632),-('Gastos Gerais'!$C$4:$C$3632)))</f>
        <v>107048.54000000001</v>
      </c>
      <c r="BB20" s="134">
        <f>IF($B20="",0,SUMPRODUCT(-('Gastos Gerais'!$F$4:$F$3632='Gastos das Atividades'!$B20),-('Gastos das Atividades'!BB$3&gt;='Gastos Gerais'!$D$4:$D$3632),-('Gastos das Atividades'!BB$3&lt;='Gastos Gerais'!$E$4:$E$3632),-('Gastos Gerais'!$C$4:$C$3632)))</f>
        <v>104772.13</v>
      </c>
      <c r="BC20" s="134">
        <f>IF($B20="",0,SUMPRODUCT(-('Gastos Gerais'!$F$4:$F$3632='Gastos das Atividades'!$B20),-('Gastos das Atividades'!BC$3&gt;='Gastos Gerais'!$D$4:$D$3632),-('Gastos das Atividades'!BC$3&lt;='Gastos Gerais'!$E$4:$E$3632),-('Gastos Gerais'!$C$4:$C$3632)))</f>
        <v>104772.13</v>
      </c>
      <c r="BD20" s="134">
        <f>IF($B20="",0,SUMPRODUCT(-('Gastos Gerais'!$F$4:$F$3632='Gastos das Atividades'!$B20),-('Gastos das Atividades'!BD$3&gt;='Gastos Gerais'!$D$4:$D$3632),-('Gastos das Atividades'!BD$3&lt;='Gastos Gerais'!$E$4:$E$3632),-('Gastos Gerais'!$C$4:$C$3632)))</f>
        <v>104172.13</v>
      </c>
      <c r="BE20" s="134">
        <f>IF($B20="",0,SUMPRODUCT(-('Gastos Gerais'!$F$4:$F$3632='Gastos das Atividades'!$B20),-('Gastos das Atividades'!BE$3&gt;='Gastos Gerais'!$D$4:$D$3632),-('Gastos das Atividades'!BE$3&lt;='Gastos Gerais'!$E$4:$E$3632),-('Gastos Gerais'!$C$4:$C$3632)))</f>
        <v>99824.98000000001</v>
      </c>
      <c r="BF20" s="134">
        <f>IF($B20="",0,SUMPRODUCT(-('Gastos Gerais'!$F$4:$F$3632='Gastos das Atividades'!$B20),-('Gastos das Atividades'!BF$3&gt;='Gastos Gerais'!$D$4:$D$3632),-('Gastos das Atividades'!BF$3&lt;='Gastos Gerais'!$E$4:$E$3632),-('Gastos Gerais'!$C$4:$C$3632)))</f>
        <v>99824.98000000001</v>
      </c>
      <c r="BG20" s="134">
        <f>IF($B20="",0,SUMPRODUCT(-('Gastos Gerais'!$F$4:$F$3632='Gastos das Atividades'!$B20),-('Gastos das Atividades'!BG$3&gt;='Gastos Gerais'!$D$4:$D$3632),-('Gastos das Atividades'!BG$3&lt;='Gastos Gerais'!$E$4:$E$3632),-('Gastos Gerais'!$C$4:$C$3632)))</f>
        <v>98978.98</v>
      </c>
      <c r="BH20" s="134">
        <f>IF($B20="",0,SUMPRODUCT(-('Gastos Gerais'!$F$4:$F$3632='Gastos das Atividades'!$B20),-('Gastos das Atividades'!BH$3&gt;='Gastos Gerais'!$D$4:$D$3632),-('Gastos das Atividades'!BH$3&lt;='Gastos Gerais'!$E$4:$E$3632),-('Gastos Gerais'!$C$4:$C$3632)))</f>
        <v>98978.98</v>
      </c>
      <c r="BI20" s="134">
        <f>IF($B20="",0,SUMPRODUCT(-('Gastos Gerais'!$F$4:$F$3632='Gastos das Atividades'!$B20),-('Gastos das Atividades'!BI$3&gt;='Gastos Gerais'!$D$4:$D$3632),-('Gastos das Atividades'!BI$3&lt;='Gastos Gerais'!$E$4:$E$3632),-('Gastos Gerais'!$C$4:$C$3632)))</f>
        <v>98978.98</v>
      </c>
      <c r="BJ20" s="134">
        <f>IF($B20="",0,SUMPRODUCT(-('Gastos Gerais'!$F$4:$F$3632='Gastos das Atividades'!$B20),-('Gastos das Atividades'!BJ$3&gt;='Gastos Gerais'!$D$4:$D$3632),-('Gastos das Atividades'!BJ$3&lt;='Gastos Gerais'!$E$4:$E$3632),-('Gastos Gerais'!$C$4:$C$3632)))</f>
        <v>98978.98</v>
      </c>
      <c r="BK20" s="134">
        <f>IF($B20="",0,SUMPRODUCT(-('Gastos Gerais'!$F$4:$F$3632='Gastos das Atividades'!$B20),-('Gastos das Atividades'!BK$3&gt;='Gastos Gerais'!$D$4:$D$3632),-('Gastos das Atividades'!BK$3&lt;='Gastos Gerais'!$E$4:$E$3632),-('Gastos Gerais'!$C$4:$C$3632)))</f>
        <v>98978.98</v>
      </c>
      <c r="BL20" s="134">
        <f>IF($B20="",0,SUMPRODUCT(-('Gastos Gerais'!$F$4:$F$3632='Gastos das Atividades'!$B20),-('Gastos das Atividades'!BL$3&gt;='Gastos Gerais'!$D$4:$D$3632),-('Gastos das Atividades'!BL$3&lt;='Gastos Gerais'!$E$4:$E$3632),-('Gastos Gerais'!$C$4:$C$3632)))</f>
        <v>98978.98</v>
      </c>
      <c r="BM20" s="134">
        <f>IF($B20="",0,SUMPRODUCT(-('Gastos Gerais'!$F$4:$F$3632='Gastos das Atividades'!$B20),-('Gastos das Atividades'!BM$3&gt;='Gastos Gerais'!$D$4:$D$3632),-('Gastos das Atividades'!BM$3&lt;='Gastos Gerais'!$E$4:$E$3632),-('Gastos Gerais'!$C$4:$C$3632)))</f>
        <v>122625.66000000002</v>
      </c>
      <c r="BN20" s="134">
        <f>IF($B20="",0,SUMPRODUCT(-('Gastos Gerais'!$F$4:$F$3632='Gastos das Atividades'!$B20),-('Gastos das Atividades'!BN$3&gt;='Gastos Gerais'!$D$4:$D$3632),-('Gastos das Atividades'!BN$3&lt;='Gastos Gerais'!$E$4:$E$3632),-('Gastos Gerais'!$C$4:$C$3632)))</f>
        <v>110126.31000000001</v>
      </c>
      <c r="BO20" s="134">
        <f>IF($B20="",0,SUMPRODUCT(-('Gastos Gerais'!$F$4:$F$3632='Gastos das Atividades'!$B20),-('Gastos das Atividades'!BO$3&gt;='Gastos Gerais'!$D$4:$D$3632),-('Gastos das Atividades'!BO$3&lt;='Gastos Gerais'!$E$4:$E$3632),-('Gastos Gerais'!$C$4:$C$3632)))</f>
        <v>110126.31000000001</v>
      </c>
      <c r="BP20" s="134">
        <f>IF($B20="",0,SUMPRODUCT(-('Gastos Gerais'!$F$4:$F$3632='Gastos das Atividades'!$B20),-('Gastos das Atividades'!BP$3&gt;='Gastos Gerais'!$D$4:$D$3632),-('Gastos das Atividades'!BP$3&lt;='Gastos Gerais'!$E$4:$E$3632),-('Gastos Gerais'!$C$4:$C$3632)))</f>
        <v>109526.31000000001</v>
      </c>
      <c r="BQ20" s="134">
        <f>IF($B20="",0,SUMPRODUCT(-('Gastos Gerais'!$F$4:$F$3632='Gastos das Atividades'!$B20),-('Gastos das Atividades'!BQ$3&gt;='Gastos Gerais'!$D$4:$D$3632),-('Gastos das Atividades'!BQ$3&lt;='Gastos Gerais'!$E$4:$E$3632),-('Gastos Gerais'!$C$4:$C$3632)))</f>
        <v>104925.30000000002</v>
      </c>
      <c r="BR20" s="134">
        <f>IF($B20="",0,SUMPRODUCT(-('Gastos Gerais'!$F$4:$F$3632='Gastos das Atividades'!$B20),-('Gastos das Atividades'!BR$3&gt;='Gastos Gerais'!$D$4:$D$3632),-('Gastos das Atividades'!BR$3&lt;='Gastos Gerais'!$E$4:$E$3632),-('Gastos Gerais'!$C$4:$C$3632)))</f>
        <v>104925.30000000002</v>
      </c>
      <c r="BS20" s="134">
        <f>IF($B20="",0,SUMPRODUCT(-('Gastos Gerais'!$F$4:$F$3632='Gastos das Atividades'!$B20),-('Gastos das Atividades'!BS$3&gt;='Gastos Gerais'!$D$4:$D$3632),-('Gastos das Atividades'!BS$3&lt;='Gastos Gerais'!$E$4:$E$3632),-('Gastos Gerais'!$C$4:$C$3632)))</f>
        <v>104079.30000000002</v>
      </c>
      <c r="BT20" s="134">
        <f>IF($B20="",0,SUMPRODUCT(-('Gastos Gerais'!$F$4:$F$3632='Gastos das Atividades'!$B20),-('Gastos das Atividades'!BT$3&gt;='Gastos Gerais'!$D$4:$D$3632),-('Gastos das Atividades'!BT$3&lt;='Gastos Gerais'!$E$4:$E$3632),-('Gastos Gerais'!$C$4:$C$3632)))</f>
        <v>104079.30000000002</v>
      </c>
      <c r="BU20" s="134">
        <f>IF($B20="",0,SUMPRODUCT(-('Gastos Gerais'!$F$4:$F$3632='Gastos das Atividades'!$B20),-('Gastos das Atividades'!BU$3&gt;='Gastos Gerais'!$D$4:$D$3632),-('Gastos das Atividades'!BU$3&lt;='Gastos Gerais'!$E$4:$E$3632),-('Gastos Gerais'!$C$4:$C$3632)))</f>
        <v>104079.30000000002</v>
      </c>
      <c r="BV20" s="134">
        <f>IF($B20="",0,SUMPRODUCT(-('Gastos Gerais'!$F$4:$F$3632='Gastos das Atividades'!$B20),-('Gastos das Atividades'!BV$3&gt;='Gastos Gerais'!$D$4:$D$3632),-('Gastos das Atividades'!BV$3&lt;='Gastos Gerais'!$E$4:$E$3632),-('Gastos Gerais'!$C$4:$C$3632)))</f>
        <v>104079.30000000002</v>
      </c>
      <c r="BW20" s="134">
        <f>IF($B20="",0,SUMPRODUCT(-('Gastos Gerais'!$F$4:$F$3632='Gastos das Atividades'!$B20),-('Gastos das Atividades'!BW$3&gt;='Gastos Gerais'!$D$4:$D$3632),-('Gastos das Atividades'!BW$3&lt;='Gastos Gerais'!$E$4:$E$3632),-('Gastos Gerais'!$C$4:$C$3632)))</f>
        <v>104079.30000000002</v>
      </c>
    </row>
    <row r="21" spans="1:75">
      <c r="A21" s="138">
        <v>18</v>
      </c>
      <c r="B21" s="139" t="s">
        <v>645</v>
      </c>
      <c r="C21" s="132">
        <v>0</v>
      </c>
      <c r="D21" s="133">
        <f t="shared" si="0"/>
        <v>53904.100000000006</v>
      </c>
      <c r="E21" s="134">
        <f t="shared" si="1"/>
        <v>961956.87000000011</v>
      </c>
      <c r="F21" s="134">
        <f t="shared" si="1"/>
        <v>1143724.02</v>
      </c>
      <c r="G21" s="134">
        <f t="shared" si="1"/>
        <v>1099968.3600000003</v>
      </c>
      <c r="H21" s="134">
        <f t="shared" si="1"/>
        <v>1145430.3199999998</v>
      </c>
      <c r="I21" s="135">
        <f t="shared" si="2"/>
        <v>5520174.9499999993</v>
      </c>
      <c r="J21" s="136">
        <f t="shared" si="3"/>
        <v>4.3579777574150367E-4</v>
      </c>
      <c r="K21" s="136">
        <f t="shared" si="4"/>
        <v>7.7771201876157617E-3</v>
      </c>
      <c r="L21" s="136">
        <f t="shared" si="5"/>
        <v>9.246650699633813E-3</v>
      </c>
      <c r="M21" s="136">
        <f t="shared" si="6"/>
        <v>8.892899884684646E-3</v>
      </c>
      <c r="N21" s="136">
        <f t="shared" si="7"/>
        <v>9.2604456010373735E-3</v>
      </c>
      <c r="O21" s="137">
        <f t="shared" si="8"/>
        <v>4.4628886576604854E-2</v>
      </c>
      <c r="P21" s="134">
        <f>IF($B21="",0,SUMPRODUCT(-('Gastos Gerais'!$F$4:$F$3632='Gastos das Atividades'!$B21),-('Gastos das Atividades'!P$3&gt;='Gastos Gerais'!$D$4:$D$3632),-('Gastos das Atividades'!P$3&lt;='Gastos Gerais'!$E$4:$E$3632),-('Gastos Gerais'!$C$4:$C$3632)))</f>
        <v>53904.100000000006</v>
      </c>
      <c r="Q21" s="134">
        <f>IF($B21="",0,SUMPRODUCT(-('Gastos Gerais'!$F$4:$F$3632='Gastos das Atividades'!$B21),-('Gastos das Atividades'!Q$3&gt;='Gastos Gerais'!$D$4:$D$3632),-('Gastos das Atividades'!Q$3&lt;='Gastos Gerais'!$E$4:$E$3632),-('Gastos Gerais'!$C$4:$C$3632)))</f>
        <v>79940.009999999995</v>
      </c>
      <c r="R21" s="134">
        <f>IF($B21="",0,SUMPRODUCT(-('Gastos Gerais'!$F$4:$F$3632='Gastos das Atividades'!$B21),-('Gastos das Atividades'!R$3&gt;='Gastos Gerais'!$D$4:$D$3632),-('Gastos das Atividades'!R$3&lt;='Gastos Gerais'!$E$4:$E$3632),-('Gastos Gerais'!$C$4:$C$3632)))</f>
        <v>95414.01</v>
      </c>
      <c r="S21" s="134">
        <f>IF($B21="",0,SUMPRODUCT(-('Gastos Gerais'!$F$4:$F$3632='Gastos das Atividades'!$B21),-('Gastos das Atividades'!S$3&gt;='Gastos Gerais'!$D$4:$D$3632),-('Gastos das Atividades'!S$3&lt;='Gastos Gerais'!$E$4:$E$3632),-('Gastos Gerais'!$C$4:$C$3632)))</f>
        <v>81386.009999999995</v>
      </c>
      <c r="T21" s="134">
        <f>IF($B21="",0,SUMPRODUCT(-('Gastos Gerais'!$F$4:$F$3632='Gastos das Atividades'!$B21),-('Gastos das Atividades'!T$3&gt;='Gastos Gerais'!$D$4:$D$3632),-('Gastos das Atividades'!T$3&lt;='Gastos Gerais'!$E$4:$E$3632),-('Gastos Gerais'!$C$4:$C$3632)))</f>
        <v>80386.51999999999</v>
      </c>
      <c r="U21" s="134">
        <f>IF($B21="",0,SUMPRODUCT(-('Gastos Gerais'!$F$4:$F$3632='Gastos das Atividades'!$B21),-('Gastos das Atividades'!U$3&gt;='Gastos Gerais'!$D$4:$D$3632),-('Gastos das Atividades'!U$3&lt;='Gastos Gerais'!$E$4:$E$3632),-('Gastos Gerais'!$C$4:$C$3632)))</f>
        <v>79263.289999999994</v>
      </c>
      <c r="V21" s="134">
        <f>IF($B21="",0,SUMPRODUCT(-('Gastos Gerais'!$F$4:$F$3632='Gastos das Atividades'!$B21),-('Gastos das Atividades'!V$3&gt;='Gastos Gerais'!$D$4:$D$3632),-('Gastos das Atividades'!V$3&lt;='Gastos Gerais'!$E$4:$E$3632),-('Gastos Gerais'!$C$4:$C$3632)))</f>
        <v>78663.289999999994</v>
      </c>
      <c r="W21" s="134">
        <f>IF($B21="",0,SUMPRODUCT(-('Gastos Gerais'!$F$4:$F$3632='Gastos das Atividades'!$B21),-('Gastos das Atividades'!W$3&gt;='Gastos Gerais'!$D$4:$D$3632),-('Gastos das Atividades'!W$3&lt;='Gastos Gerais'!$E$4:$E$3632),-('Gastos Gerais'!$C$4:$C$3632)))</f>
        <v>77817.289999999994</v>
      </c>
      <c r="X21" s="134">
        <f>IF($B21="",0,SUMPRODUCT(-('Gastos Gerais'!$F$4:$F$3632='Gastos das Atividades'!$B21),-('Gastos das Atividades'!X$3&gt;='Gastos Gerais'!$D$4:$D$3632),-('Gastos das Atividades'!X$3&lt;='Gastos Gerais'!$E$4:$E$3632),-('Gastos Gerais'!$C$4:$C$3632)))</f>
        <v>77817.289999999994</v>
      </c>
      <c r="Y21" s="134">
        <f>IF($B21="",0,SUMPRODUCT(-('Gastos Gerais'!$F$4:$F$3632='Gastos das Atividades'!$B21),-('Gastos das Atividades'!Y$3&gt;='Gastos Gerais'!$D$4:$D$3632),-('Gastos das Atividades'!Y$3&lt;='Gastos Gerais'!$E$4:$E$3632),-('Gastos Gerais'!$C$4:$C$3632)))</f>
        <v>77817.289999999994</v>
      </c>
      <c r="Z21" s="134">
        <f>IF($B21="",0,SUMPRODUCT(-('Gastos Gerais'!$F$4:$F$3632='Gastos das Atividades'!$B21),-('Gastos das Atividades'!Z$3&gt;='Gastos Gerais'!$D$4:$D$3632),-('Gastos das Atividades'!Z$3&lt;='Gastos Gerais'!$E$4:$E$3632),-('Gastos Gerais'!$C$4:$C$3632)))</f>
        <v>77817.289999999994</v>
      </c>
      <c r="AA21" s="134">
        <f>IF($B21="",0,SUMPRODUCT(-('Gastos Gerais'!$F$4:$F$3632='Gastos das Atividades'!$B21),-('Gastos das Atividades'!AA$3&gt;='Gastos Gerais'!$D$4:$D$3632),-('Gastos das Atividades'!AA$3&lt;='Gastos Gerais'!$E$4:$E$3632),-('Gastos Gerais'!$C$4:$C$3632)))</f>
        <v>77817.289999999994</v>
      </c>
      <c r="AB21" s="134">
        <f>IF($B21="",0,SUMPRODUCT(-('Gastos Gerais'!$F$4:$F$3632='Gastos das Atividades'!$B21),-('Gastos das Atividades'!AB$3&gt;='Gastos Gerais'!$D$4:$D$3632),-('Gastos das Atividades'!AB$3&lt;='Gastos Gerais'!$E$4:$E$3632),-('Gastos Gerais'!$C$4:$C$3632)))</f>
        <v>77817.289999999994</v>
      </c>
      <c r="AC21" s="134">
        <f>IF($B21="",0,SUMPRODUCT(-('Gastos Gerais'!$F$4:$F$3632='Gastos das Atividades'!$B21),-('Gastos das Atividades'!AC$3&gt;='Gastos Gerais'!$D$4:$D$3632),-('Gastos das Atividades'!AC$3&lt;='Gastos Gerais'!$E$4:$E$3632),-('Gastos Gerais'!$C$4:$C$3632)))</f>
        <v>92410.26</v>
      </c>
      <c r="AD21" s="134">
        <f>IF($B21="",0,SUMPRODUCT(-('Gastos Gerais'!$F$4:$F$3632='Gastos das Atividades'!$B21),-('Gastos das Atividades'!AD$3&gt;='Gastos Gerais'!$D$4:$D$3632),-('Gastos das Atividades'!AD$3&lt;='Gastos Gerais'!$E$4:$E$3632),-('Gastos Gerais'!$C$4:$C$3632)))</f>
        <v>88382.26</v>
      </c>
      <c r="AE21" s="134">
        <f>IF($B21="",0,SUMPRODUCT(-('Gastos Gerais'!$F$4:$F$3632='Gastos das Atividades'!$B21),-('Gastos das Atividades'!AE$3&gt;='Gastos Gerais'!$D$4:$D$3632),-('Gastos das Atividades'!AE$3&lt;='Gastos Gerais'!$E$4:$E$3632),-('Gastos Gerais'!$C$4:$C$3632)))</f>
        <v>88382.26</v>
      </c>
      <c r="AF21" s="134">
        <f>IF($B21="",0,SUMPRODUCT(-('Gastos Gerais'!$F$4:$F$3632='Gastos das Atividades'!$B21),-('Gastos das Atividades'!AF$3&gt;='Gastos Gerais'!$D$4:$D$3632),-('Gastos das Atividades'!AF$3&lt;='Gastos Gerais'!$E$4:$E$3632),-('Gastos Gerais'!$C$4:$C$3632)))</f>
        <v>156974.41</v>
      </c>
      <c r="AG21" s="134">
        <f>IF($B21="",0,SUMPRODUCT(-('Gastos Gerais'!$F$4:$F$3632='Gastos das Atividades'!$B21),-('Gastos das Atividades'!AG$3&gt;='Gastos Gerais'!$D$4:$D$3632),-('Gastos das Atividades'!AG$3&lt;='Gastos Gerais'!$E$4:$E$3632),-('Gastos Gerais'!$C$4:$C$3632)))</f>
        <v>90331.353750000009</v>
      </c>
      <c r="AH21" s="134">
        <f>IF($B21="",0,SUMPRODUCT(-('Gastos Gerais'!$F$4:$F$3632='Gastos das Atividades'!$B21),-('Gastos das Atividades'!AH$3&gt;='Gastos Gerais'!$D$4:$D$3632),-('Gastos das Atividades'!AH$3&lt;='Gastos Gerais'!$E$4:$E$3632),-('Gastos Gerais'!$C$4:$C$3632)))</f>
        <v>90331.353750000009</v>
      </c>
      <c r="AI21" s="134">
        <f>IF($B21="",0,SUMPRODUCT(-('Gastos Gerais'!$F$4:$F$3632='Gastos das Atividades'!$B21),-('Gastos das Atividades'!AI$3&gt;='Gastos Gerais'!$D$4:$D$3632),-('Gastos das Atividades'!AI$3&lt;='Gastos Gerais'!$E$4:$E$3632),-('Gastos Gerais'!$C$4:$C$3632)))</f>
        <v>89485.353750000009</v>
      </c>
      <c r="AJ21" s="134">
        <f>IF($B21="",0,SUMPRODUCT(-('Gastos Gerais'!$F$4:$F$3632='Gastos das Atividades'!$B21),-('Gastos das Atividades'!AJ$3&gt;='Gastos Gerais'!$D$4:$D$3632),-('Gastos das Atividades'!AJ$3&lt;='Gastos Gerais'!$E$4:$E$3632),-('Gastos Gerais'!$C$4:$C$3632)))</f>
        <v>89485.353750000009</v>
      </c>
      <c r="AK21" s="134">
        <f>IF($B21="",0,SUMPRODUCT(-('Gastos Gerais'!$F$4:$F$3632='Gastos das Atividades'!$B21),-('Gastos das Atividades'!AK$3&gt;='Gastos Gerais'!$D$4:$D$3632),-('Gastos das Atividades'!AK$3&lt;='Gastos Gerais'!$E$4:$E$3632),-('Gastos Gerais'!$C$4:$C$3632)))</f>
        <v>89485.353750000009</v>
      </c>
      <c r="AL21" s="134">
        <f>IF($B21="",0,SUMPRODUCT(-('Gastos Gerais'!$F$4:$F$3632='Gastos das Atividades'!$B21),-('Gastos das Atividades'!AL$3&gt;='Gastos Gerais'!$D$4:$D$3632),-('Gastos das Atividades'!AL$3&lt;='Gastos Gerais'!$E$4:$E$3632),-('Gastos Gerais'!$C$4:$C$3632)))</f>
        <v>89485.353750000009</v>
      </c>
      <c r="AM21" s="134">
        <f>IF($B21="",0,SUMPRODUCT(-('Gastos Gerais'!$F$4:$F$3632='Gastos das Atividades'!$B21),-('Gastos das Atividades'!AM$3&gt;='Gastos Gerais'!$D$4:$D$3632),-('Gastos das Atividades'!AM$3&lt;='Gastos Gerais'!$E$4:$E$3632),-('Gastos Gerais'!$C$4:$C$3632)))</f>
        <v>89485.353750000009</v>
      </c>
      <c r="AN21" s="134">
        <f>IF($B21="",0,SUMPRODUCT(-('Gastos Gerais'!$F$4:$F$3632='Gastos das Atividades'!$B21),-('Gastos das Atividades'!AN$3&gt;='Gastos Gerais'!$D$4:$D$3632),-('Gastos das Atividades'!AN$3&lt;='Gastos Gerais'!$E$4:$E$3632),-('Gastos Gerais'!$C$4:$C$3632)))</f>
        <v>89485.353750000009</v>
      </c>
      <c r="AO21" s="134">
        <f>IF($B21="",0,SUMPRODUCT(-('Gastos Gerais'!$F$4:$F$3632='Gastos das Atividades'!$B21),-('Gastos das Atividades'!AO$3&gt;='Gastos Gerais'!$D$4:$D$3632),-('Gastos das Atividades'!AO$3&lt;='Gastos Gerais'!$E$4:$E$3632),-('Gastos Gerais'!$C$4:$C$3632)))</f>
        <v>107296.13999999998</v>
      </c>
      <c r="AP21" s="134">
        <f>IF($B21="",0,SUMPRODUCT(-('Gastos Gerais'!$F$4:$F$3632='Gastos das Atividades'!$B21),-('Gastos das Atividades'!AP$3&gt;='Gastos Gerais'!$D$4:$D$3632),-('Gastos das Atividades'!AP$3&lt;='Gastos Gerais'!$E$4:$E$3632),-('Gastos Gerais'!$C$4:$C$3632)))</f>
        <v>93026.459999999992</v>
      </c>
      <c r="AQ21" s="134">
        <f>IF($B21="",0,SUMPRODUCT(-('Gastos Gerais'!$F$4:$F$3632='Gastos das Atividades'!$B21),-('Gastos das Atividades'!AQ$3&gt;='Gastos Gerais'!$D$4:$D$3632),-('Gastos das Atividades'!AQ$3&lt;='Gastos Gerais'!$E$4:$E$3632),-('Gastos Gerais'!$C$4:$C$3632)))</f>
        <v>93026.459999999992</v>
      </c>
      <c r="AR21" s="134">
        <f>IF($B21="",0,SUMPRODUCT(-('Gastos Gerais'!$F$4:$F$3632='Gastos das Atividades'!$B21),-('Gastos das Atividades'!AR$3&gt;='Gastos Gerais'!$D$4:$D$3632),-('Gastos das Atividades'!AR$3&lt;='Gastos Gerais'!$E$4:$E$3632),-('Gastos Gerais'!$C$4:$C$3632)))</f>
        <v>91306.819999999992</v>
      </c>
      <c r="AS21" s="134">
        <f>IF($B21="",0,SUMPRODUCT(-('Gastos Gerais'!$F$4:$F$3632='Gastos das Atividades'!$B21),-('Gastos das Atividades'!AS$3&gt;='Gastos Gerais'!$D$4:$D$3632),-('Gastos das Atividades'!AS$3&lt;='Gastos Gerais'!$E$4:$E$3632),-('Gastos Gerais'!$C$4:$C$3632)))</f>
        <v>90048.56</v>
      </c>
      <c r="AT21" s="134">
        <f>IF($B21="",0,SUMPRODUCT(-('Gastos Gerais'!$F$4:$F$3632='Gastos das Atividades'!$B21),-('Gastos das Atividades'!AT$3&gt;='Gastos Gerais'!$D$4:$D$3632),-('Gastos das Atividades'!AT$3&lt;='Gastos Gerais'!$E$4:$E$3632),-('Gastos Gerais'!$C$4:$C$3632)))</f>
        <v>90048.56</v>
      </c>
      <c r="AU21" s="134">
        <f>IF($B21="",0,SUMPRODUCT(-('Gastos Gerais'!$F$4:$F$3632='Gastos das Atividades'!$B21),-('Gastos das Atividades'!AU$3&gt;='Gastos Gerais'!$D$4:$D$3632),-('Gastos das Atividades'!AU$3&lt;='Gastos Gerais'!$E$4:$E$3632),-('Gastos Gerais'!$C$4:$C$3632)))</f>
        <v>89202.559999999998</v>
      </c>
      <c r="AV21" s="134">
        <f>IF($B21="",0,SUMPRODUCT(-('Gastos Gerais'!$F$4:$F$3632='Gastos das Atividades'!$B21),-('Gastos das Atividades'!AV$3&gt;='Gastos Gerais'!$D$4:$D$3632),-('Gastos das Atividades'!AV$3&lt;='Gastos Gerais'!$E$4:$E$3632),-('Gastos Gerais'!$C$4:$C$3632)))</f>
        <v>89202.559999999998</v>
      </c>
      <c r="AW21" s="134">
        <f>IF($B21="",0,SUMPRODUCT(-('Gastos Gerais'!$F$4:$F$3632='Gastos das Atividades'!$B21),-('Gastos das Atividades'!AW$3&gt;='Gastos Gerais'!$D$4:$D$3632),-('Gastos das Atividades'!AW$3&lt;='Gastos Gerais'!$E$4:$E$3632),-('Gastos Gerais'!$C$4:$C$3632)))</f>
        <v>89202.559999999998</v>
      </c>
      <c r="AX21" s="134">
        <f>IF($B21="",0,SUMPRODUCT(-('Gastos Gerais'!$F$4:$F$3632='Gastos das Atividades'!$B21),-('Gastos das Atividades'!AX$3&gt;='Gastos Gerais'!$D$4:$D$3632),-('Gastos das Atividades'!AX$3&lt;='Gastos Gerais'!$E$4:$E$3632),-('Gastos Gerais'!$C$4:$C$3632)))</f>
        <v>89202.559999999998</v>
      </c>
      <c r="AY21" s="134">
        <f>IF($B21="",0,SUMPRODUCT(-('Gastos Gerais'!$F$4:$F$3632='Gastos das Atividades'!$B21),-('Gastos das Atividades'!AY$3&gt;='Gastos Gerais'!$D$4:$D$3632),-('Gastos das Atividades'!AY$3&lt;='Gastos Gerais'!$E$4:$E$3632),-('Gastos Gerais'!$C$4:$C$3632)))</f>
        <v>89202.559999999998</v>
      </c>
      <c r="AZ21" s="134">
        <f>IF($B21="",0,SUMPRODUCT(-('Gastos Gerais'!$F$4:$F$3632='Gastos das Atividades'!$B21),-('Gastos das Atividades'!AZ$3&gt;='Gastos Gerais'!$D$4:$D$3632),-('Gastos das Atividades'!AZ$3&lt;='Gastos Gerais'!$E$4:$E$3632),-('Gastos Gerais'!$C$4:$C$3632)))</f>
        <v>89202.559999999998</v>
      </c>
      <c r="BA21" s="134">
        <f>IF($B21="",0,SUMPRODUCT(-('Gastos Gerais'!$F$4:$F$3632='Gastos das Atividades'!$B21),-('Gastos das Atividades'!BA$3&gt;='Gastos Gerais'!$D$4:$D$3632),-('Gastos das Atividades'!BA$3&lt;='Gastos Gerais'!$E$4:$E$3632),-('Gastos Gerais'!$C$4:$C$3632)))</f>
        <v>102250.83000000002</v>
      </c>
      <c r="BB21" s="134">
        <f>IF($B21="",0,SUMPRODUCT(-('Gastos Gerais'!$F$4:$F$3632='Gastos das Atividades'!$B21),-('Gastos das Atividades'!BB$3&gt;='Gastos Gerais'!$D$4:$D$3632),-('Gastos das Atividades'!BB$3&lt;='Gastos Gerais'!$E$4:$E$3632),-('Gastos Gerais'!$C$4:$C$3632)))</f>
        <v>97724.970000000016</v>
      </c>
      <c r="BC21" s="134">
        <f>IF($B21="",0,SUMPRODUCT(-('Gastos Gerais'!$F$4:$F$3632='Gastos das Atividades'!$B21),-('Gastos das Atividades'!BC$3&gt;='Gastos Gerais'!$D$4:$D$3632),-('Gastos das Atividades'!BC$3&lt;='Gastos Gerais'!$E$4:$E$3632),-('Gastos Gerais'!$C$4:$C$3632)))</f>
        <v>97724.970000000016</v>
      </c>
      <c r="BD21" s="134">
        <f>IF($B21="",0,SUMPRODUCT(-('Gastos Gerais'!$F$4:$F$3632='Gastos das Atividades'!$B21),-('Gastos das Atividades'!BD$3&gt;='Gastos Gerais'!$D$4:$D$3632),-('Gastos das Atividades'!BD$3&lt;='Gastos Gerais'!$E$4:$E$3632),-('Gastos Gerais'!$C$4:$C$3632)))</f>
        <v>95939.950000000012</v>
      </c>
      <c r="BE21" s="134">
        <f>IF($B21="",0,SUMPRODUCT(-('Gastos Gerais'!$F$4:$F$3632='Gastos das Atividades'!$B21),-('Gastos das Atividades'!BE$3&gt;='Gastos Gerais'!$D$4:$D$3632),-('Gastos das Atividades'!BE$3&lt;='Gastos Gerais'!$E$4:$E$3632),-('Gastos Gerais'!$C$4:$C$3632)))</f>
        <v>94608.200000000012</v>
      </c>
      <c r="BF21" s="134">
        <f>IF($B21="",0,SUMPRODUCT(-('Gastos Gerais'!$F$4:$F$3632='Gastos das Atividades'!$B21),-('Gastos das Atividades'!BF$3&gt;='Gastos Gerais'!$D$4:$D$3632),-('Gastos das Atividades'!BF$3&lt;='Gastos Gerais'!$E$4:$E$3632),-('Gastos Gerais'!$C$4:$C$3632)))</f>
        <v>94608.200000000012</v>
      </c>
      <c r="BG21" s="134">
        <f>IF($B21="",0,SUMPRODUCT(-('Gastos Gerais'!$F$4:$F$3632='Gastos das Atividades'!$B21),-('Gastos das Atividades'!BG$3&gt;='Gastos Gerais'!$D$4:$D$3632),-('Gastos das Atividades'!BG$3&lt;='Gastos Gerais'!$E$4:$E$3632),-('Gastos Gerais'!$C$4:$C$3632)))</f>
        <v>93762.200000000012</v>
      </c>
      <c r="BH21" s="134">
        <f>IF($B21="",0,SUMPRODUCT(-('Gastos Gerais'!$F$4:$F$3632='Gastos das Atividades'!$B21),-('Gastos das Atividades'!BH$3&gt;='Gastos Gerais'!$D$4:$D$3632),-('Gastos das Atividades'!BH$3&lt;='Gastos Gerais'!$E$4:$E$3632),-('Gastos Gerais'!$C$4:$C$3632)))</f>
        <v>93762.200000000012</v>
      </c>
      <c r="BI21" s="134">
        <f>IF($B21="",0,SUMPRODUCT(-('Gastos Gerais'!$F$4:$F$3632='Gastos das Atividades'!$B21),-('Gastos das Atividades'!BI$3&gt;='Gastos Gerais'!$D$4:$D$3632),-('Gastos das Atividades'!BI$3&lt;='Gastos Gerais'!$E$4:$E$3632),-('Gastos Gerais'!$C$4:$C$3632)))</f>
        <v>93762.200000000012</v>
      </c>
      <c r="BJ21" s="134">
        <f>IF($B21="",0,SUMPRODUCT(-('Gastos Gerais'!$F$4:$F$3632='Gastos das Atividades'!$B21),-('Gastos das Atividades'!BJ$3&gt;='Gastos Gerais'!$D$4:$D$3632),-('Gastos das Atividades'!BJ$3&lt;='Gastos Gerais'!$E$4:$E$3632),-('Gastos Gerais'!$C$4:$C$3632)))</f>
        <v>93762.200000000012</v>
      </c>
      <c r="BK21" s="134">
        <f>IF($B21="",0,SUMPRODUCT(-('Gastos Gerais'!$F$4:$F$3632='Gastos das Atividades'!$B21),-('Gastos das Atividades'!BK$3&gt;='Gastos Gerais'!$D$4:$D$3632),-('Gastos das Atividades'!BK$3&lt;='Gastos Gerais'!$E$4:$E$3632),-('Gastos Gerais'!$C$4:$C$3632)))</f>
        <v>93762.200000000012</v>
      </c>
      <c r="BL21" s="134">
        <f>IF($B21="",0,SUMPRODUCT(-('Gastos Gerais'!$F$4:$F$3632='Gastos das Atividades'!$B21),-('Gastos das Atividades'!BL$3&gt;='Gastos Gerais'!$D$4:$D$3632),-('Gastos das Atividades'!BL$3&lt;='Gastos Gerais'!$E$4:$E$3632),-('Gastos Gerais'!$C$4:$C$3632)))</f>
        <v>93762.200000000012</v>
      </c>
      <c r="BM21" s="134">
        <f>IF($B21="",0,SUMPRODUCT(-('Gastos Gerais'!$F$4:$F$3632='Gastos das Atividades'!$B21),-('Gastos das Atividades'!BM$3&gt;='Gastos Gerais'!$D$4:$D$3632),-('Gastos das Atividades'!BM$3&lt;='Gastos Gerais'!$E$4:$E$3632),-('Gastos Gerais'!$C$4:$C$3632)))</f>
        <v>117463.26000000002</v>
      </c>
      <c r="BN21" s="134">
        <f>IF($B21="",0,SUMPRODUCT(-('Gastos Gerais'!$F$4:$F$3632='Gastos das Atividades'!$B21),-('Gastos das Atividades'!BN$3&gt;='Gastos Gerais'!$D$4:$D$3632),-('Gastos das Atividades'!BN$3&lt;='Gastos Gerais'!$E$4:$E$3632),-('Gastos Gerais'!$C$4:$C$3632)))</f>
        <v>102665.85000000002</v>
      </c>
      <c r="BO21" s="134">
        <f>IF($B21="",0,SUMPRODUCT(-('Gastos Gerais'!$F$4:$F$3632='Gastos das Atividades'!$B21),-('Gastos das Atividades'!BO$3&gt;='Gastos Gerais'!$D$4:$D$3632),-('Gastos das Atividades'!BO$3&lt;='Gastos Gerais'!$E$4:$E$3632),-('Gastos Gerais'!$C$4:$C$3632)))</f>
        <v>102665.85000000002</v>
      </c>
      <c r="BP21" s="134">
        <f>IF($B21="",0,SUMPRODUCT(-('Gastos Gerais'!$F$4:$F$3632='Gastos das Atividades'!$B21),-('Gastos das Atividades'!BP$3&gt;='Gastos Gerais'!$D$4:$D$3632),-('Gastos das Atividades'!BP$3&lt;='Gastos Gerais'!$E$4:$E$3632),-('Gastos Gerais'!$C$4:$C$3632)))</f>
        <v>100811.62000000001</v>
      </c>
      <c r="BQ21" s="134">
        <f>IF($B21="",0,SUMPRODUCT(-('Gastos Gerais'!$F$4:$F$3632='Gastos das Atividades'!$B21),-('Gastos das Atividades'!BQ$3&gt;='Gastos Gerais'!$D$4:$D$3632),-('Gastos das Atividades'!BQ$3&lt;='Gastos Gerais'!$E$4:$E$3632),-('Gastos Gerais'!$C$4:$C$3632)))</f>
        <v>99402.10000000002</v>
      </c>
      <c r="BR21" s="134">
        <f>IF($B21="",0,SUMPRODUCT(-('Gastos Gerais'!$F$4:$F$3632='Gastos das Atividades'!$B21),-('Gastos das Atividades'!BR$3&gt;='Gastos Gerais'!$D$4:$D$3632),-('Gastos das Atividades'!BR$3&lt;='Gastos Gerais'!$E$4:$E$3632),-('Gastos Gerais'!$C$4:$C$3632)))</f>
        <v>99402.10000000002</v>
      </c>
      <c r="BS21" s="134">
        <f>IF($B21="",0,SUMPRODUCT(-('Gastos Gerais'!$F$4:$F$3632='Gastos das Atividades'!$B21),-('Gastos das Atividades'!BS$3&gt;='Gastos Gerais'!$D$4:$D$3632),-('Gastos das Atividades'!BS$3&lt;='Gastos Gerais'!$E$4:$E$3632),-('Gastos Gerais'!$C$4:$C$3632)))</f>
        <v>98556.1</v>
      </c>
      <c r="BT21" s="134">
        <f>IF($B21="",0,SUMPRODUCT(-('Gastos Gerais'!$F$4:$F$3632='Gastos das Atividades'!$B21),-('Gastos das Atividades'!BT$3&gt;='Gastos Gerais'!$D$4:$D$3632),-('Gastos das Atividades'!BT$3&lt;='Gastos Gerais'!$E$4:$E$3632),-('Gastos Gerais'!$C$4:$C$3632)))</f>
        <v>98556.1</v>
      </c>
      <c r="BU21" s="134">
        <f>IF($B21="",0,SUMPRODUCT(-('Gastos Gerais'!$F$4:$F$3632='Gastos das Atividades'!$B21),-('Gastos das Atividades'!BU$3&gt;='Gastos Gerais'!$D$4:$D$3632),-('Gastos das Atividades'!BU$3&lt;='Gastos Gerais'!$E$4:$E$3632),-('Gastos Gerais'!$C$4:$C$3632)))</f>
        <v>98556.1</v>
      </c>
      <c r="BV21" s="134">
        <f>IF($B21="",0,SUMPRODUCT(-('Gastos Gerais'!$F$4:$F$3632='Gastos das Atividades'!$B21),-('Gastos das Atividades'!BV$3&gt;='Gastos Gerais'!$D$4:$D$3632),-('Gastos das Atividades'!BV$3&lt;='Gastos Gerais'!$E$4:$E$3632),-('Gastos Gerais'!$C$4:$C$3632)))</f>
        <v>98556.1</v>
      </c>
      <c r="BW21" s="134">
        <f>IF($B21="",0,SUMPRODUCT(-('Gastos Gerais'!$F$4:$F$3632='Gastos das Atividades'!$B21),-('Gastos das Atividades'!BW$3&gt;='Gastos Gerais'!$D$4:$D$3632),-('Gastos das Atividades'!BW$3&lt;='Gastos Gerais'!$E$4:$E$3632),-('Gastos Gerais'!$C$4:$C$3632)))</f>
        <v>98556.1</v>
      </c>
    </row>
    <row r="22" spans="1:75">
      <c r="A22" s="138">
        <v>19</v>
      </c>
      <c r="B22" s="139" t="s">
        <v>646</v>
      </c>
      <c r="C22" s="132">
        <v>0</v>
      </c>
      <c r="D22" s="133">
        <f t="shared" si="0"/>
        <v>60321.029999999992</v>
      </c>
      <c r="E22" s="134">
        <f t="shared" si="1"/>
        <v>1276387.4099999999</v>
      </c>
      <c r="F22" s="134">
        <f t="shared" si="1"/>
        <v>1199709.5499999998</v>
      </c>
      <c r="G22" s="134">
        <f t="shared" si="1"/>
        <v>1159207.93</v>
      </c>
      <c r="H22" s="134">
        <f t="shared" si="1"/>
        <v>1587949.86</v>
      </c>
      <c r="I22" s="135">
        <f t="shared" si="2"/>
        <v>6460760.8199999994</v>
      </c>
      <c r="J22" s="136">
        <f t="shared" si="3"/>
        <v>4.8767664620013147E-4</v>
      </c>
      <c r="K22" s="136">
        <f t="shared" si="4"/>
        <v>1.0319192682234905E-2</v>
      </c>
      <c r="L22" s="136">
        <f t="shared" si="5"/>
        <v>9.6992761854077913E-3</v>
      </c>
      <c r="M22" s="136">
        <f t="shared" si="6"/>
        <v>9.371833265297308E-3</v>
      </c>
      <c r="N22" s="136">
        <f t="shared" si="7"/>
        <v>1.2838077566957469E-2</v>
      </c>
      <c r="O22" s="137">
        <f t="shared" si="8"/>
        <v>5.2233228918650954E-2</v>
      </c>
      <c r="P22" s="134">
        <f>IF($B22="",0,SUMPRODUCT(-('Gastos Gerais'!$F$4:$F$3632='Gastos das Atividades'!$B22),-('Gastos das Atividades'!P$3&gt;='Gastos Gerais'!$D$4:$D$3632),-('Gastos das Atividades'!P$3&lt;='Gastos Gerais'!$E$4:$E$3632),-('Gastos Gerais'!$C$4:$C$3632)))</f>
        <v>60321.029999999992</v>
      </c>
      <c r="Q22" s="134">
        <f>IF($B22="",0,SUMPRODUCT(-('Gastos Gerais'!$F$4:$F$3632='Gastos das Atividades'!$B22),-('Gastos das Atividades'!Q$3&gt;='Gastos Gerais'!$D$4:$D$3632),-('Gastos das Atividades'!Q$3&lt;='Gastos Gerais'!$E$4:$E$3632),-('Gastos Gerais'!$C$4:$C$3632)))</f>
        <v>88637.76999999999</v>
      </c>
      <c r="R22" s="134">
        <f>IF($B22="",0,SUMPRODUCT(-('Gastos Gerais'!$F$4:$F$3632='Gastos das Atividades'!$B22),-('Gastos das Atividades'!R$3&gt;='Gastos Gerais'!$D$4:$D$3632),-('Gastos das Atividades'!R$3&lt;='Gastos Gerais'!$E$4:$E$3632),-('Gastos Gerais'!$C$4:$C$3632)))</f>
        <v>335757.77</v>
      </c>
      <c r="S22" s="134">
        <f>IF($B22="",0,SUMPRODUCT(-('Gastos Gerais'!$F$4:$F$3632='Gastos das Atividades'!$B22),-('Gastos das Atividades'!S$3&gt;='Gastos Gerais'!$D$4:$D$3632),-('Gastos das Atividades'!S$3&lt;='Gastos Gerais'!$E$4:$E$3632),-('Gastos Gerais'!$C$4:$C$3632)))</f>
        <v>88637.76999999999</v>
      </c>
      <c r="T22" s="134">
        <f>IF($B22="",0,SUMPRODUCT(-('Gastos Gerais'!$F$4:$F$3632='Gastos das Atividades'!$B22),-('Gastos das Atividades'!T$3&gt;='Gastos Gerais'!$D$4:$D$3632),-('Gastos das Atividades'!T$3&lt;='Gastos Gerais'!$E$4:$E$3632),-('Gastos Gerais'!$C$4:$C$3632)))</f>
        <v>86402.25</v>
      </c>
      <c r="U22" s="134">
        <f>IF($B22="",0,SUMPRODUCT(-('Gastos Gerais'!$F$4:$F$3632='Gastos das Atividades'!$B22),-('Gastos das Atividades'!U$3&gt;='Gastos Gerais'!$D$4:$D$3632),-('Gastos das Atividades'!U$3&lt;='Gastos Gerais'!$E$4:$E$3632),-('Gastos Gerais'!$C$4:$C$3632)))</f>
        <v>86402.25</v>
      </c>
      <c r="V22" s="134">
        <f>IF($B22="",0,SUMPRODUCT(-('Gastos Gerais'!$F$4:$F$3632='Gastos das Atividades'!$B22),-('Gastos das Atividades'!V$3&gt;='Gastos Gerais'!$D$4:$D$3632),-('Gastos das Atividades'!V$3&lt;='Gastos Gerais'!$E$4:$E$3632),-('Gastos Gerais'!$C$4:$C$3632)))</f>
        <v>86402.25</v>
      </c>
      <c r="W22" s="134">
        <f>IF($B22="",0,SUMPRODUCT(-('Gastos Gerais'!$F$4:$F$3632='Gastos das Atividades'!$B22),-('Gastos das Atividades'!W$3&gt;='Gastos Gerais'!$D$4:$D$3632),-('Gastos das Atividades'!W$3&lt;='Gastos Gerais'!$E$4:$E$3632),-('Gastos Gerais'!$C$4:$C$3632)))</f>
        <v>85556.25</v>
      </c>
      <c r="X22" s="134">
        <f>IF($B22="",0,SUMPRODUCT(-('Gastos Gerais'!$F$4:$F$3632='Gastos das Atividades'!$B22),-('Gastos das Atividades'!X$3&gt;='Gastos Gerais'!$D$4:$D$3632),-('Gastos das Atividades'!X$3&lt;='Gastos Gerais'!$E$4:$E$3632),-('Gastos Gerais'!$C$4:$C$3632)))</f>
        <v>83718.22</v>
      </c>
      <c r="Y22" s="134">
        <f>IF($B22="",0,SUMPRODUCT(-('Gastos Gerais'!$F$4:$F$3632='Gastos das Atividades'!$B22),-('Gastos das Atividades'!Y$3&gt;='Gastos Gerais'!$D$4:$D$3632),-('Gastos das Atividades'!Y$3&lt;='Gastos Gerais'!$E$4:$E$3632),-('Gastos Gerais'!$C$4:$C$3632)))</f>
        <v>83718.22</v>
      </c>
      <c r="Z22" s="134">
        <f>IF($B22="",0,SUMPRODUCT(-('Gastos Gerais'!$F$4:$F$3632='Gastos das Atividades'!$B22),-('Gastos das Atividades'!Z$3&gt;='Gastos Gerais'!$D$4:$D$3632),-('Gastos das Atividades'!Z$3&lt;='Gastos Gerais'!$E$4:$E$3632),-('Gastos Gerais'!$C$4:$C$3632)))</f>
        <v>83718.22</v>
      </c>
      <c r="AA22" s="134">
        <f>IF($B22="",0,SUMPRODUCT(-('Gastos Gerais'!$F$4:$F$3632='Gastos das Atividades'!$B22),-('Gastos das Atividades'!AA$3&gt;='Gastos Gerais'!$D$4:$D$3632),-('Gastos das Atividades'!AA$3&lt;='Gastos Gerais'!$E$4:$E$3632),-('Gastos Gerais'!$C$4:$C$3632)))</f>
        <v>83718.22</v>
      </c>
      <c r="AB22" s="134">
        <f>IF($B22="",0,SUMPRODUCT(-('Gastos Gerais'!$F$4:$F$3632='Gastos das Atividades'!$B22),-('Gastos das Atividades'!AB$3&gt;='Gastos Gerais'!$D$4:$D$3632),-('Gastos das Atividades'!AB$3&lt;='Gastos Gerais'!$E$4:$E$3632),-('Gastos Gerais'!$C$4:$C$3632)))</f>
        <v>83718.22</v>
      </c>
      <c r="AC22" s="134">
        <f>IF($B22="",0,SUMPRODUCT(-('Gastos Gerais'!$F$4:$F$3632='Gastos das Atividades'!$B22),-('Gastos das Atividades'!AC$3&gt;='Gastos Gerais'!$D$4:$D$3632),-('Gastos das Atividades'!AC$3&lt;='Gastos Gerais'!$E$4:$E$3632),-('Gastos Gerais'!$C$4:$C$3632)))</f>
        <v>95913.11</v>
      </c>
      <c r="AD22" s="134">
        <f>IF($B22="",0,SUMPRODUCT(-('Gastos Gerais'!$F$4:$F$3632='Gastos das Atividades'!$B22),-('Gastos das Atividades'!AD$3&gt;='Gastos Gerais'!$D$4:$D$3632),-('Gastos das Atividades'!AD$3&lt;='Gastos Gerais'!$E$4:$E$3632),-('Gastos Gerais'!$C$4:$C$3632)))</f>
        <v>93669.31</v>
      </c>
      <c r="AE22" s="134">
        <f>IF($B22="",0,SUMPRODUCT(-('Gastos Gerais'!$F$4:$F$3632='Gastos das Atividades'!$B22),-('Gastos das Atividades'!AE$3&gt;='Gastos Gerais'!$D$4:$D$3632),-('Gastos das Atividades'!AE$3&lt;='Gastos Gerais'!$E$4:$E$3632),-('Gastos Gerais'!$C$4:$C$3632)))</f>
        <v>93669.31</v>
      </c>
      <c r="AF22" s="134">
        <f>IF($B22="",0,SUMPRODUCT(-('Gastos Gerais'!$F$4:$F$3632='Gastos das Atividades'!$B22),-('Gastos das Atividades'!AF$3&gt;='Gastos Gerais'!$D$4:$D$3632),-('Gastos das Atividades'!AF$3&lt;='Gastos Gerais'!$E$4:$E$3632),-('Gastos Gerais'!$C$4:$C$3632)))</f>
        <v>162188.27000000002</v>
      </c>
      <c r="AG22" s="134">
        <f>IF($B22="",0,SUMPRODUCT(-('Gastos Gerais'!$F$4:$F$3632='Gastos das Atividades'!$B22),-('Gastos das Atividades'!AG$3&gt;='Gastos Gerais'!$D$4:$D$3632),-('Gastos das Atividades'!AG$3&lt;='Gastos Gerais'!$E$4:$E$3632),-('Gastos Gerais'!$C$4:$C$3632)))</f>
        <v>96134.043750000012</v>
      </c>
      <c r="AH22" s="134">
        <f>IF($B22="",0,SUMPRODUCT(-('Gastos Gerais'!$F$4:$F$3632='Gastos das Atividades'!$B22),-('Gastos das Atividades'!AH$3&gt;='Gastos Gerais'!$D$4:$D$3632),-('Gastos das Atividades'!AH$3&lt;='Gastos Gerais'!$E$4:$E$3632),-('Gastos Gerais'!$C$4:$C$3632)))</f>
        <v>96134.043750000012</v>
      </c>
      <c r="AI22" s="134">
        <f>IF($B22="",0,SUMPRODUCT(-('Gastos Gerais'!$F$4:$F$3632='Gastos das Atividades'!$B22),-('Gastos das Atividades'!AI$3&gt;='Gastos Gerais'!$D$4:$D$3632),-('Gastos das Atividades'!AI$3&lt;='Gastos Gerais'!$E$4:$E$3632),-('Gastos Gerais'!$C$4:$C$3632)))</f>
        <v>95288.043750000012</v>
      </c>
      <c r="AJ22" s="134">
        <f>IF($B22="",0,SUMPRODUCT(-('Gastos Gerais'!$F$4:$F$3632='Gastos das Atividades'!$B22),-('Gastos das Atividades'!AJ$3&gt;='Gastos Gerais'!$D$4:$D$3632),-('Gastos das Atividades'!AJ$3&lt;='Gastos Gerais'!$E$4:$E$3632),-('Gastos Gerais'!$C$4:$C$3632)))</f>
        <v>93342.683749999997</v>
      </c>
      <c r="AK22" s="134">
        <f>IF($B22="",0,SUMPRODUCT(-('Gastos Gerais'!$F$4:$F$3632='Gastos das Atividades'!$B22),-('Gastos das Atividades'!AK$3&gt;='Gastos Gerais'!$D$4:$D$3632),-('Gastos das Atividades'!AK$3&lt;='Gastos Gerais'!$E$4:$E$3632),-('Gastos Gerais'!$C$4:$C$3632)))</f>
        <v>93342.683749999997</v>
      </c>
      <c r="AL22" s="134">
        <f>IF($B22="",0,SUMPRODUCT(-('Gastos Gerais'!$F$4:$F$3632='Gastos das Atividades'!$B22),-('Gastos das Atividades'!AL$3&gt;='Gastos Gerais'!$D$4:$D$3632),-('Gastos das Atividades'!AL$3&lt;='Gastos Gerais'!$E$4:$E$3632),-('Gastos Gerais'!$C$4:$C$3632)))</f>
        <v>93342.683749999997</v>
      </c>
      <c r="AM22" s="134">
        <f>IF($B22="",0,SUMPRODUCT(-('Gastos Gerais'!$F$4:$F$3632='Gastos das Atividades'!$B22),-('Gastos das Atividades'!AM$3&gt;='Gastos Gerais'!$D$4:$D$3632),-('Gastos das Atividades'!AM$3&lt;='Gastos Gerais'!$E$4:$E$3632),-('Gastos Gerais'!$C$4:$C$3632)))</f>
        <v>93342.683749999997</v>
      </c>
      <c r="AN22" s="134">
        <f>IF($B22="",0,SUMPRODUCT(-('Gastos Gerais'!$F$4:$F$3632='Gastos das Atividades'!$B22),-('Gastos das Atividades'!AN$3&gt;='Gastos Gerais'!$D$4:$D$3632),-('Gastos das Atividades'!AN$3&lt;='Gastos Gerais'!$E$4:$E$3632),-('Gastos Gerais'!$C$4:$C$3632)))</f>
        <v>93342.683749999997</v>
      </c>
      <c r="AO22" s="134">
        <f>IF($B22="",0,SUMPRODUCT(-('Gastos Gerais'!$F$4:$F$3632='Gastos das Atividades'!$B22),-('Gastos das Atividades'!AO$3&gt;='Gastos Gerais'!$D$4:$D$3632),-('Gastos das Atividades'!AO$3&lt;='Gastos Gerais'!$E$4:$E$3632),-('Gastos Gerais'!$C$4:$C$3632)))</f>
        <v>110999.26999999997</v>
      </c>
      <c r="AP22" s="134">
        <f>IF($B22="",0,SUMPRODUCT(-('Gastos Gerais'!$F$4:$F$3632='Gastos das Atividades'!$B22),-('Gastos das Atividades'!AP$3&gt;='Gastos Gerais'!$D$4:$D$3632),-('Gastos das Atividades'!AP$3&lt;='Gastos Gerais'!$E$4:$E$3632),-('Gastos Gerais'!$C$4:$C$3632)))</f>
        <v>98624.429999999978</v>
      </c>
      <c r="AQ22" s="134">
        <f>IF($B22="",0,SUMPRODUCT(-('Gastos Gerais'!$F$4:$F$3632='Gastos das Atividades'!$B22),-('Gastos das Atividades'!AQ$3&gt;='Gastos Gerais'!$D$4:$D$3632),-('Gastos das Atividades'!AQ$3&lt;='Gastos Gerais'!$E$4:$E$3632),-('Gastos Gerais'!$C$4:$C$3632)))</f>
        <v>98624.429999999978</v>
      </c>
      <c r="AR22" s="134">
        <f>IF($B22="",0,SUMPRODUCT(-('Gastos Gerais'!$F$4:$F$3632='Gastos das Atividades'!$B22),-('Gastos das Atividades'!AR$3&gt;='Gastos Gerais'!$D$4:$D$3632),-('Gastos das Atividades'!AR$3&lt;='Gastos Gerais'!$E$4:$E$3632),-('Gastos Gerais'!$C$4:$C$3632)))</f>
        <v>96792.3</v>
      </c>
      <c r="AS22" s="134">
        <f>IF($B22="",0,SUMPRODUCT(-('Gastos Gerais'!$F$4:$F$3632='Gastos das Atividades'!$B22),-('Gastos das Atividades'!AS$3&gt;='Gastos Gerais'!$D$4:$D$3632),-('Gastos das Atividades'!AS$3&lt;='Gastos Gerais'!$E$4:$E$3632),-('Gastos Gerais'!$C$4:$C$3632)))</f>
        <v>96192.3</v>
      </c>
      <c r="AT22" s="134">
        <f>IF($B22="",0,SUMPRODUCT(-('Gastos Gerais'!$F$4:$F$3632='Gastos das Atividades'!$B22),-('Gastos das Atividades'!AT$3&gt;='Gastos Gerais'!$D$4:$D$3632),-('Gastos das Atividades'!AT$3&lt;='Gastos Gerais'!$E$4:$E$3632),-('Gastos Gerais'!$C$4:$C$3632)))</f>
        <v>96192.3</v>
      </c>
      <c r="AU22" s="134">
        <f>IF($B22="",0,SUMPRODUCT(-('Gastos Gerais'!$F$4:$F$3632='Gastos das Atividades'!$B22),-('Gastos das Atividades'!AU$3&gt;='Gastos Gerais'!$D$4:$D$3632),-('Gastos das Atividades'!AU$3&lt;='Gastos Gerais'!$E$4:$E$3632),-('Gastos Gerais'!$C$4:$C$3632)))</f>
        <v>95346.3</v>
      </c>
      <c r="AV22" s="134">
        <f>IF($B22="",0,SUMPRODUCT(-('Gastos Gerais'!$F$4:$F$3632='Gastos das Atividades'!$B22),-('Gastos das Atividades'!AV$3&gt;='Gastos Gerais'!$D$4:$D$3632),-('Gastos das Atividades'!AV$3&lt;='Gastos Gerais'!$E$4:$E$3632),-('Gastos Gerais'!$C$4:$C$3632)))</f>
        <v>93287.319999999992</v>
      </c>
      <c r="AW22" s="134">
        <f>IF($B22="",0,SUMPRODUCT(-('Gastos Gerais'!$F$4:$F$3632='Gastos das Atividades'!$B22),-('Gastos das Atividades'!AW$3&gt;='Gastos Gerais'!$D$4:$D$3632),-('Gastos das Atividades'!AW$3&lt;='Gastos Gerais'!$E$4:$E$3632),-('Gastos Gerais'!$C$4:$C$3632)))</f>
        <v>93287.319999999992</v>
      </c>
      <c r="AX22" s="134">
        <f>IF($B22="",0,SUMPRODUCT(-('Gastos Gerais'!$F$4:$F$3632='Gastos das Atividades'!$B22),-('Gastos das Atividades'!AX$3&gt;='Gastos Gerais'!$D$4:$D$3632),-('Gastos das Atividades'!AX$3&lt;='Gastos Gerais'!$E$4:$E$3632),-('Gastos Gerais'!$C$4:$C$3632)))</f>
        <v>93287.319999999992</v>
      </c>
      <c r="AY22" s="134">
        <f>IF($B22="",0,SUMPRODUCT(-('Gastos Gerais'!$F$4:$F$3632='Gastos das Atividades'!$B22),-('Gastos das Atividades'!AY$3&gt;='Gastos Gerais'!$D$4:$D$3632),-('Gastos das Atividades'!AY$3&lt;='Gastos Gerais'!$E$4:$E$3632),-('Gastos Gerais'!$C$4:$C$3632)))</f>
        <v>93287.319999999992</v>
      </c>
      <c r="AZ22" s="134">
        <f>IF($B22="",0,SUMPRODUCT(-('Gastos Gerais'!$F$4:$F$3632='Gastos das Atividades'!$B22),-('Gastos das Atividades'!AZ$3&gt;='Gastos Gerais'!$D$4:$D$3632),-('Gastos das Atividades'!AZ$3&lt;='Gastos Gerais'!$E$4:$E$3632),-('Gastos Gerais'!$C$4:$C$3632)))</f>
        <v>93287.319999999992</v>
      </c>
      <c r="BA22" s="134">
        <f>IF($B22="",0,SUMPRODUCT(-('Gastos Gerais'!$F$4:$F$3632='Gastos das Atividades'!$B22),-('Gastos das Atividades'!BA$3&gt;='Gastos Gerais'!$D$4:$D$3632),-('Gastos das Atividades'!BA$3&lt;='Gastos Gerais'!$E$4:$E$3632),-('Gastos Gerais'!$C$4:$C$3632)))</f>
        <v>137818.58000000005</v>
      </c>
      <c r="BB22" s="134">
        <f>IF($B22="",0,SUMPRODUCT(-('Gastos Gerais'!$F$4:$F$3632='Gastos das Atividades'!$B22),-('Gastos das Atividades'!BB$3&gt;='Gastos Gerais'!$D$4:$D$3632),-('Gastos das Atividades'!BB$3&lt;='Gastos Gerais'!$E$4:$E$3632),-('Gastos Gerais'!$C$4:$C$3632)))</f>
        <v>135305.05000000005</v>
      </c>
      <c r="BC22" s="134">
        <f>IF($B22="",0,SUMPRODUCT(-('Gastos Gerais'!$F$4:$F$3632='Gastos das Atividades'!$B22),-('Gastos das Atividades'!BC$3&gt;='Gastos Gerais'!$D$4:$D$3632),-('Gastos das Atividades'!BC$3&lt;='Gastos Gerais'!$E$4:$E$3632),-('Gastos Gerais'!$C$4:$C$3632)))</f>
        <v>135305.05000000005</v>
      </c>
      <c r="BD22" s="134">
        <f>IF($B22="",0,SUMPRODUCT(-('Gastos Gerais'!$F$4:$F$3632='Gastos das Atividades'!$B22),-('Gastos das Atividades'!BD$3&gt;='Gastos Gerais'!$D$4:$D$3632),-('Gastos das Atividades'!BD$3&lt;='Gastos Gerais'!$E$4:$E$3632),-('Gastos Gerais'!$C$4:$C$3632)))</f>
        <v>133365.92000000004</v>
      </c>
      <c r="BE22" s="134">
        <f>IF($B22="",0,SUMPRODUCT(-('Gastos Gerais'!$F$4:$F$3632='Gastos das Atividades'!$B22),-('Gastos das Atividades'!BE$3&gt;='Gastos Gerais'!$D$4:$D$3632),-('Gastos das Atividades'!BE$3&lt;='Gastos Gerais'!$E$4:$E$3632),-('Gastos Gerais'!$C$4:$C$3632)))</f>
        <v>132765.92000000004</v>
      </c>
      <c r="BF22" s="134">
        <f>IF($B22="",0,SUMPRODUCT(-('Gastos Gerais'!$F$4:$F$3632='Gastos das Atividades'!$B22),-('Gastos das Atividades'!BF$3&gt;='Gastos Gerais'!$D$4:$D$3632),-('Gastos das Atividades'!BF$3&lt;='Gastos Gerais'!$E$4:$E$3632),-('Gastos Gerais'!$C$4:$C$3632)))</f>
        <v>132765.92000000004</v>
      </c>
      <c r="BG22" s="134">
        <f>IF($B22="",0,SUMPRODUCT(-('Gastos Gerais'!$F$4:$F$3632='Gastos das Atividades'!$B22),-('Gastos das Atividades'!BG$3&gt;='Gastos Gerais'!$D$4:$D$3632),-('Gastos das Atividades'!BG$3&lt;='Gastos Gerais'!$E$4:$E$3632),-('Gastos Gerais'!$C$4:$C$3632)))</f>
        <v>131919.92000000004</v>
      </c>
      <c r="BH22" s="134">
        <f>IF($B22="",0,SUMPRODUCT(-('Gastos Gerais'!$F$4:$F$3632='Gastos das Atividades'!$B22),-('Gastos das Atividades'!BH$3&gt;='Gastos Gerais'!$D$4:$D$3632),-('Gastos das Atividades'!BH$3&lt;='Gastos Gerais'!$E$4:$E$3632),-('Gastos Gerais'!$C$4:$C$3632)))</f>
        <v>129740.70000000001</v>
      </c>
      <c r="BI22" s="134">
        <f>IF($B22="",0,SUMPRODUCT(-('Gastos Gerais'!$F$4:$F$3632='Gastos das Atividades'!$B22),-('Gastos das Atividades'!BI$3&gt;='Gastos Gerais'!$D$4:$D$3632),-('Gastos das Atividades'!BI$3&lt;='Gastos Gerais'!$E$4:$E$3632),-('Gastos Gerais'!$C$4:$C$3632)))</f>
        <v>129740.70000000001</v>
      </c>
      <c r="BJ22" s="134">
        <f>IF($B22="",0,SUMPRODUCT(-('Gastos Gerais'!$F$4:$F$3632='Gastos das Atividades'!$B22),-('Gastos das Atividades'!BJ$3&gt;='Gastos Gerais'!$D$4:$D$3632),-('Gastos das Atividades'!BJ$3&lt;='Gastos Gerais'!$E$4:$E$3632),-('Gastos Gerais'!$C$4:$C$3632)))</f>
        <v>129740.70000000001</v>
      </c>
      <c r="BK22" s="134">
        <f>IF($B22="",0,SUMPRODUCT(-('Gastos Gerais'!$F$4:$F$3632='Gastos das Atividades'!$B22),-('Gastos das Atividades'!BK$3&gt;='Gastos Gerais'!$D$4:$D$3632),-('Gastos das Atividades'!BK$3&lt;='Gastos Gerais'!$E$4:$E$3632),-('Gastos Gerais'!$C$4:$C$3632)))</f>
        <v>129740.70000000001</v>
      </c>
      <c r="BL22" s="134">
        <f>IF($B22="",0,SUMPRODUCT(-('Gastos Gerais'!$F$4:$F$3632='Gastos das Atividades'!$B22),-('Gastos das Atividades'!BL$3&gt;='Gastos Gerais'!$D$4:$D$3632),-('Gastos das Atividades'!BL$3&lt;='Gastos Gerais'!$E$4:$E$3632),-('Gastos Gerais'!$C$4:$C$3632)))</f>
        <v>129740.70000000001</v>
      </c>
      <c r="BM22" s="134">
        <f>IF($B22="",0,SUMPRODUCT(-('Gastos Gerais'!$F$4:$F$3632='Gastos das Atividades'!$B22),-('Gastos das Atividades'!BM$3&gt;='Gastos Gerais'!$D$4:$D$3632),-('Gastos das Atividades'!BM$3&lt;='Gastos Gerais'!$E$4:$E$3632),-('Gastos Gerais'!$C$4:$C$3632)))</f>
        <v>121623.92000000003</v>
      </c>
      <c r="BN22" s="134">
        <f>IF($B22="",0,SUMPRODUCT(-('Gastos Gerais'!$F$4:$F$3632='Gastos das Atividades'!$B22),-('Gastos das Atividades'!BN$3&gt;='Gastos Gerais'!$D$4:$D$3632),-('Gastos das Atividades'!BN$3&lt;='Gastos Gerais'!$E$4:$E$3632),-('Gastos Gerais'!$C$4:$C$3632)))</f>
        <v>108963.60000000002</v>
      </c>
      <c r="BO22" s="134">
        <f>IF($B22="",0,SUMPRODUCT(-('Gastos Gerais'!$F$4:$F$3632='Gastos das Atividades'!$B22),-('Gastos das Atividades'!BO$3&gt;='Gastos Gerais'!$D$4:$D$3632),-('Gastos das Atividades'!BO$3&lt;='Gastos Gerais'!$E$4:$E$3632),-('Gastos Gerais'!$C$4:$C$3632)))</f>
        <v>108963.60000000002</v>
      </c>
      <c r="BP22" s="134">
        <f>IF($B22="",0,SUMPRODUCT(-('Gastos Gerais'!$F$4:$F$3632='Gastos das Atividades'!$B22),-('Gastos das Atividades'!BP$3&gt;='Gastos Gerais'!$D$4:$D$3632),-('Gastos das Atividades'!BP$3&lt;='Gastos Gerais'!$E$4:$E$3632),-('Gastos Gerais'!$C$4:$C$3632)))</f>
        <v>106911.23000000001</v>
      </c>
      <c r="BQ22" s="134">
        <f>IF($B22="",0,SUMPRODUCT(-('Gastos Gerais'!$F$4:$F$3632='Gastos das Atividades'!$B22),-('Gastos das Atividades'!BQ$3&gt;='Gastos Gerais'!$D$4:$D$3632),-('Gastos das Atividades'!BQ$3&lt;='Gastos Gerais'!$E$4:$E$3632),-('Gastos Gerais'!$C$4:$C$3632)))</f>
        <v>106311.23000000001</v>
      </c>
      <c r="BR22" s="134">
        <f>IF($B22="",0,SUMPRODUCT(-('Gastos Gerais'!$F$4:$F$3632='Gastos das Atividades'!$B22),-('Gastos das Atividades'!BR$3&gt;='Gastos Gerais'!$D$4:$D$3632),-('Gastos das Atividades'!BR$3&lt;='Gastos Gerais'!$E$4:$E$3632),-('Gastos Gerais'!$C$4:$C$3632)))</f>
        <v>106311.23000000001</v>
      </c>
      <c r="BS22" s="134">
        <f>IF($B22="",0,SUMPRODUCT(-('Gastos Gerais'!$F$4:$F$3632='Gastos das Atividades'!$B22),-('Gastos das Atividades'!BS$3&gt;='Gastos Gerais'!$D$4:$D$3632),-('Gastos das Atividades'!BS$3&lt;='Gastos Gerais'!$E$4:$E$3632),-('Gastos Gerais'!$C$4:$C$3632)))</f>
        <v>105465.23000000001</v>
      </c>
      <c r="BT22" s="134">
        <f>IF($B22="",0,SUMPRODUCT(-('Gastos Gerais'!$F$4:$F$3632='Gastos das Atividades'!$B22),-('Gastos das Atividades'!BT$3&gt;='Gastos Gerais'!$D$4:$D$3632),-('Gastos das Atividades'!BT$3&lt;='Gastos Gerais'!$E$4:$E$3632),-('Gastos Gerais'!$C$4:$C$3632)))</f>
        <v>103158.75000000001</v>
      </c>
      <c r="BU22" s="134">
        <f>IF($B22="",0,SUMPRODUCT(-('Gastos Gerais'!$F$4:$F$3632='Gastos das Atividades'!$B22),-('Gastos das Atividades'!BU$3&gt;='Gastos Gerais'!$D$4:$D$3632),-('Gastos das Atividades'!BU$3&lt;='Gastos Gerais'!$E$4:$E$3632),-('Gastos Gerais'!$C$4:$C$3632)))</f>
        <v>103158.75000000001</v>
      </c>
      <c r="BV22" s="134">
        <f>IF($B22="",0,SUMPRODUCT(-('Gastos Gerais'!$F$4:$F$3632='Gastos das Atividades'!$B22),-('Gastos das Atividades'!BV$3&gt;='Gastos Gerais'!$D$4:$D$3632),-('Gastos das Atividades'!BV$3&lt;='Gastos Gerais'!$E$4:$E$3632),-('Gastos Gerais'!$C$4:$C$3632)))</f>
        <v>103158.75000000001</v>
      </c>
      <c r="BW22" s="134">
        <f>IF($B22="",0,SUMPRODUCT(-('Gastos Gerais'!$F$4:$F$3632='Gastos das Atividades'!$B22),-('Gastos das Atividades'!BW$3&gt;='Gastos Gerais'!$D$4:$D$3632),-('Gastos das Atividades'!BW$3&lt;='Gastos Gerais'!$E$4:$E$3632),-('Gastos Gerais'!$C$4:$C$3632)))</f>
        <v>103158.75000000001</v>
      </c>
    </row>
    <row r="23" spans="1:75">
      <c r="A23" s="138">
        <v>20</v>
      </c>
      <c r="B23" s="139" t="s">
        <v>647</v>
      </c>
      <c r="C23" s="132">
        <v>0</v>
      </c>
      <c r="D23" s="133">
        <f t="shared" si="0"/>
        <v>55991.03</v>
      </c>
      <c r="E23" s="134">
        <f t="shared" si="1"/>
        <v>964863.04999999981</v>
      </c>
      <c r="F23" s="134">
        <f t="shared" si="1"/>
        <v>1137064.5400000003</v>
      </c>
      <c r="G23" s="134">
        <f t="shared" si="1"/>
        <v>1093440.7499999998</v>
      </c>
      <c r="H23" s="134">
        <f t="shared" si="1"/>
        <v>1138065.4000000004</v>
      </c>
      <c r="I23" s="135">
        <f t="shared" si="2"/>
        <v>5500922.3800000018</v>
      </c>
      <c r="J23" s="136">
        <f t="shared" si="3"/>
        <v>4.5266995155240143E-4</v>
      </c>
      <c r="K23" s="136">
        <f t="shared" si="4"/>
        <v>7.8006157432396256E-3</v>
      </c>
      <c r="L23" s="136">
        <f t="shared" si="5"/>
        <v>9.1928108883468258E-3</v>
      </c>
      <c r="M23" s="136">
        <f t="shared" si="6"/>
        <v>8.8401262010704452E-3</v>
      </c>
      <c r="N23" s="136">
        <f t="shared" si="7"/>
        <v>9.2009025281632531E-3</v>
      </c>
      <c r="O23" s="137">
        <f t="shared" si="8"/>
        <v>4.4473235574486153E-2</v>
      </c>
      <c r="P23" s="134">
        <f>IF($B23="",0,SUMPRODUCT(-('Gastos Gerais'!$F$4:$F$3632='Gastos das Atividades'!$B23),-('Gastos das Atividades'!P$3&gt;='Gastos Gerais'!$D$4:$D$3632),-('Gastos das Atividades'!P$3&lt;='Gastos Gerais'!$E$4:$E$3632),-('Gastos Gerais'!$C$4:$C$3632)))</f>
        <v>55991.03</v>
      </c>
      <c r="Q23" s="134">
        <f>IF($B23="",0,SUMPRODUCT(-('Gastos Gerais'!$F$4:$F$3632='Gastos das Atividades'!$B23),-('Gastos das Atividades'!Q$3&gt;='Gastos Gerais'!$D$4:$D$3632),-('Gastos das Atividades'!Q$3&lt;='Gastos Gerais'!$E$4:$E$3632),-('Gastos Gerais'!$C$4:$C$3632)))</f>
        <v>80263.98</v>
      </c>
      <c r="R23" s="134">
        <f>IF($B23="",0,SUMPRODUCT(-('Gastos Gerais'!$F$4:$F$3632='Gastos das Atividades'!$B23),-('Gastos das Atividades'!R$3&gt;='Gastos Gerais'!$D$4:$D$3632),-('Gastos das Atividades'!R$3&lt;='Gastos Gerais'!$E$4:$E$3632),-('Gastos Gerais'!$C$4:$C$3632)))</f>
        <v>93229.98</v>
      </c>
      <c r="S23" s="134">
        <f>IF($B23="",0,SUMPRODUCT(-('Gastos Gerais'!$F$4:$F$3632='Gastos das Atividades'!$B23),-('Gastos das Atividades'!S$3&gt;='Gastos Gerais'!$D$4:$D$3632),-('Gastos das Atividades'!S$3&lt;='Gastos Gerais'!$E$4:$E$3632),-('Gastos Gerais'!$C$4:$C$3632)))</f>
        <v>81109.98</v>
      </c>
      <c r="T23" s="134">
        <f>IF($B23="",0,SUMPRODUCT(-('Gastos Gerais'!$F$4:$F$3632='Gastos das Atividades'!$B23),-('Gastos das Atividades'!T$3&gt;='Gastos Gerais'!$D$4:$D$3632),-('Gastos das Atividades'!T$3&lt;='Gastos Gerais'!$E$4:$E$3632),-('Gastos Gerais'!$C$4:$C$3632)))</f>
        <v>80201.350000000006</v>
      </c>
      <c r="U23" s="134">
        <f>IF($B23="",0,SUMPRODUCT(-('Gastos Gerais'!$F$4:$F$3632='Gastos das Atividades'!$B23),-('Gastos das Atividades'!U$3&gt;='Gastos Gerais'!$D$4:$D$3632),-('Gastos das Atividades'!U$3&lt;='Gastos Gerais'!$E$4:$E$3632),-('Gastos Gerais'!$C$4:$C$3632)))</f>
        <v>79180.22</v>
      </c>
      <c r="V23" s="134">
        <f>IF($B23="",0,SUMPRODUCT(-('Gastos Gerais'!$F$4:$F$3632='Gastos das Atividades'!$B23),-('Gastos das Atividades'!V$3&gt;='Gastos Gerais'!$D$4:$D$3632),-('Gastos das Atividades'!V$3&lt;='Gastos Gerais'!$E$4:$E$3632),-('Gastos Gerais'!$C$4:$C$3632)))</f>
        <v>79180.22</v>
      </c>
      <c r="W23" s="134">
        <f>IF($B23="",0,SUMPRODUCT(-('Gastos Gerais'!$F$4:$F$3632='Gastos das Atividades'!$B23),-('Gastos das Atividades'!W$3&gt;='Gastos Gerais'!$D$4:$D$3632),-('Gastos das Atividades'!W$3&lt;='Gastos Gerais'!$E$4:$E$3632),-('Gastos Gerais'!$C$4:$C$3632)))</f>
        <v>78334.22</v>
      </c>
      <c r="X23" s="134">
        <f>IF($B23="",0,SUMPRODUCT(-('Gastos Gerais'!$F$4:$F$3632='Gastos das Atividades'!$B23),-('Gastos das Atividades'!X$3&gt;='Gastos Gerais'!$D$4:$D$3632),-('Gastos das Atividades'!X$3&lt;='Gastos Gerais'!$E$4:$E$3632),-('Gastos Gerais'!$C$4:$C$3632)))</f>
        <v>78334.22</v>
      </c>
      <c r="Y23" s="134">
        <f>IF($B23="",0,SUMPRODUCT(-('Gastos Gerais'!$F$4:$F$3632='Gastos das Atividades'!$B23),-('Gastos das Atividades'!Y$3&gt;='Gastos Gerais'!$D$4:$D$3632),-('Gastos das Atividades'!Y$3&lt;='Gastos Gerais'!$E$4:$E$3632),-('Gastos Gerais'!$C$4:$C$3632)))</f>
        <v>78334.22</v>
      </c>
      <c r="Z23" s="134">
        <f>IF($B23="",0,SUMPRODUCT(-('Gastos Gerais'!$F$4:$F$3632='Gastos das Atividades'!$B23),-('Gastos das Atividades'!Z$3&gt;='Gastos Gerais'!$D$4:$D$3632),-('Gastos das Atividades'!Z$3&lt;='Gastos Gerais'!$E$4:$E$3632),-('Gastos Gerais'!$C$4:$C$3632)))</f>
        <v>78334.22</v>
      </c>
      <c r="AA23" s="134">
        <f>IF($B23="",0,SUMPRODUCT(-('Gastos Gerais'!$F$4:$F$3632='Gastos das Atividades'!$B23),-('Gastos das Atividades'!AA$3&gt;='Gastos Gerais'!$D$4:$D$3632),-('Gastos das Atividades'!AA$3&lt;='Gastos Gerais'!$E$4:$E$3632),-('Gastos Gerais'!$C$4:$C$3632)))</f>
        <v>79180.22</v>
      </c>
      <c r="AB23" s="134">
        <f>IF($B23="",0,SUMPRODUCT(-('Gastos Gerais'!$F$4:$F$3632='Gastos das Atividades'!$B23),-('Gastos das Atividades'!AB$3&gt;='Gastos Gerais'!$D$4:$D$3632),-('Gastos das Atividades'!AB$3&lt;='Gastos Gerais'!$E$4:$E$3632),-('Gastos Gerais'!$C$4:$C$3632)))</f>
        <v>79180.22</v>
      </c>
      <c r="AC23" s="134">
        <f>IF($B23="",0,SUMPRODUCT(-('Gastos Gerais'!$F$4:$F$3632='Gastos das Atividades'!$B23),-('Gastos das Atividades'!AC$3&gt;='Gastos Gerais'!$D$4:$D$3632),-('Gastos das Atividades'!AC$3&lt;='Gastos Gerais'!$E$4:$E$3632),-('Gastos Gerais'!$C$4:$C$3632)))</f>
        <v>89934.62</v>
      </c>
      <c r="AD23" s="134">
        <f>IF($B23="",0,SUMPRODUCT(-('Gastos Gerais'!$F$4:$F$3632='Gastos das Atividades'!$B23),-('Gastos das Atividades'!AD$3&gt;='Gastos Gerais'!$D$4:$D$3632),-('Gastos das Atividades'!AD$3&lt;='Gastos Gerais'!$E$4:$E$3632),-('Gastos Gerais'!$C$4:$C$3632)))</f>
        <v>87690.819999999992</v>
      </c>
      <c r="AE23" s="134">
        <f>IF($B23="",0,SUMPRODUCT(-('Gastos Gerais'!$F$4:$F$3632='Gastos das Atividades'!$B23),-('Gastos das Atividades'!AE$3&gt;='Gastos Gerais'!$D$4:$D$3632),-('Gastos das Atividades'!AE$3&lt;='Gastos Gerais'!$E$4:$E$3632),-('Gastos Gerais'!$C$4:$C$3632)))</f>
        <v>87690.819999999992</v>
      </c>
      <c r="AF23" s="134">
        <f>IF($B23="",0,SUMPRODUCT(-('Gastos Gerais'!$F$4:$F$3632='Gastos das Atividades'!$B23),-('Gastos das Atividades'!AF$3&gt;='Gastos Gerais'!$D$4:$D$3632),-('Gastos das Atividades'!AF$3&lt;='Gastos Gerais'!$E$4:$E$3632),-('Gastos Gerais'!$C$4:$C$3632)))</f>
        <v>156379.13</v>
      </c>
      <c r="AG23" s="134">
        <f>IF($B23="",0,SUMPRODUCT(-('Gastos Gerais'!$F$4:$F$3632='Gastos das Atividades'!$B23),-('Gastos das Atividades'!AG$3&gt;='Gastos Gerais'!$D$4:$D$3632),-('Gastos das Atividades'!AG$3&lt;='Gastos Gerais'!$E$4:$E$3632),-('Gastos Gerais'!$C$4:$C$3632)))</f>
        <v>89844.143750000017</v>
      </c>
      <c r="AH23" s="134">
        <f>IF($B23="",0,SUMPRODUCT(-('Gastos Gerais'!$F$4:$F$3632='Gastos das Atividades'!$B23),-('Gastos das Atividades'!AH$3&gt;='Gastos Gerais'!$D$4:$D$3632),-('Gastos das Atividades'!AH$3&lt;='Gastos Gerais'!$E$4:$E$3632),-('Gastos Gerais'!$C$4:$C$3632)))</f>
        <v>89844.143750000017</v>
      </c>
      <c r="AI23" s="134">
        <f>IF($B23="",0,SUMPRODUCT(-('Gastos Gerais'!$F$4:$F$3632='Gastos das Atividades'!$B23),-('Gastos das Atividades'!AI$3&gt;='Gastos Gerais'!$D$4:$D$3632),-('Gastos das Atividades'!AI$3&lt;='Gastos Gerais'!$E$4:$E$3632),-('Gastos Gerais'!$C$4:$C$3632)))</f>
        <v>88998.143750000017</v>
      </c>
      <c r="AJ23" s="134">
        <f>IF($B23="",0,SUMPRODUCT(-('Gastos Gerais'!$F$4:$F$3632='Gastos das Atividades'!$B23),-('Gastos das Atividades'!AJ$3&gt;='Gastos Gerais'!$D$4:$D$3632),-('Gastos das Atividades'!AJ$3&lt;='Gastos Gerais'!$E$4:$E$3632),-('Gastos Gerais'!$C$4:$C$3632)))</f>
        <v>88998.143750000017</v>
      </c>
      <c r="AK23" s="134">
        <f>IF($B23="",0,SUMPRODUCT(-('Gastos Gerais'!$F$4:$F$3632='Gastos das Atividades'!$B23),-('Gastos das Atividades'!AK$3&gt;='Gastos Gerais'!$D$4:$D$3632),-('Gastos das Atividades'!AK$3&lt;='Gastos Gerais'!$E$4:$E$3632),-('Gastos Gerais'!$C$4:$C$3632)))</f>
        <v>88998.143750000017</v>
      </c>
      <c r="AL23" s="134">
        <f>IF($B23="",0,SUMPRODUCT(-('Gastos Gerais'!$F$4:$F$3632='Gastos das Atividades'!$B23),-('Gastos das Atividades'!AL$3&gt;='Gastos Gerais'!$D$4:$D$3632),-('Gastos das Atividades'!AL$3&lt;='Gastos Gerais'!$E$4:$E$3632),-('Gastos Gerais'!$C$4:$C$3632)))</f>
        <v>88998.143750000017</v>
      </c>
      <c r="AM23" s="134">
        <f>IF($B23="",0,SUMPRODUCT(-('Gastos Gerais'!$F$4:$F$3632='Gastos das Atividades'!$B23),-('Gastos das Atividades'!AM$3&gt;='Gastos Gerais'!$D$4:$D$3632),-('Gastos das Atividades'!AM$3&lt;='Gastos Gerais'!$E$4:$E$3632),-('Gastos Gerais'!$C$4:$C$3632)))</f>
        <v>89844.143750000017</v>
      </c>
      <c r="AN23" s="134">
        <f>IF($B23="",0,SUMPRODUCT(-('Gastos Gerais'!$F$4:$F$3632='Gastos das Atividades'!$B23),-('Gastos das Atividades'!AN$3&gt;='Gastos Gerais'!$D$4:$D$3632),-('Gastos das Atividades'!AN$3&lt;='Gastos Gerais'!$E$4:$E$3632),-('Gastos Gerais'!$C$4:$C$3632)))</f>
        <v>89844.143750000017</v>
      </c>
      <c r="AO23" s="134">
        <f>IF($B23="",0,SUMPRODUCT(-('Gastos Gerais'!$F$4:$F$3632='Gastos das Atividades'!$B23),-('Gastos das Atividades'!AO$3&gt;='Gastos Gerais'!$D$4:$D$3632),-('Gastos das Atividades'!AO$3&lt;='Gastos Gerais'!$E$4:$E$3632),-('Gastos Gerais'!$C$4:$C$3632)))</f>
        <v>104721.64</v>
      </c>
      <c r="AP23" s="134">
        <f>IF($B23="",0,SUMPRODUCT(-('Gastos Gerais'!$F$4:$F$3632='Gastos das Atividades'!$B23),-('Gastos das Atividades'!AP$3&gt;='Gastos Gerais'!$D$4:$D$3632),-('Gastos das Atividades'!AP$3&lt;='Gastos Gerais'!$E$4:$E$3632),-('Gastos Gerais'!$C$4:$C$3632)))</f>
        <v>92346.8</v>
      </c>
      <c r="AQ23" s="134">
        <f>IF($B23="",0,SUMPRODUCT(-('Gastos Gerais'!$F$4:$F$3632='Gastos das Atividades'!$B23),-('Gastos das Atividades'!AQ$3&gt;='Gastos Gerais'!$D$4:$D$3632),-('Gastos das Atividades'!AQ$3&lt;='Gastos Gerais'!$E$4:$E$3632),-('Gastos Gerais'!$C$4:$C$3632)))</f>
        <v>92346.8</v>
      </c>
      <c r="AR23" s="134">
        <f>IF($B23="",0,SUMPRODUCT(-('Gastos Gerais'!$F$4:$F$3632='Gastos das Atividades'!$B23),-('Gastos das Atividades'!AR$3&gt;='Gastos Gerais'!$D$4:$D$3632),-('Gastos das Atividades'!AR$3&lt;='Gastos Gerais'!$E$4:$E$3632),-('Gastos Gerais'!$C$4:$C$3632)))</f>
        <v>90728.95</v>
      </c>
      <c r="AS23" s="134">
        <f>IF($B23="",0,SUMPRODUCT(-('Gastos Gerais'!$F$4:$F$3632='Gastos das Atividades'!$B23),-('Gastos das Atividades'!AS$3&gt;='Gastos Gerais'!$D$4:$D$3632),-('Gastos das Atividades'!AS$3&lt;='Gastos Gerais'!$E$4:$E$3632),-('Gastos Gerais'!$C$4:$C$3632)))</f>
        <v>89585.069999999992</v>
      </c>
      <c r="AT23" s="134">
        <f>IF($B23="",0,SUMPRODUCT(-('Gastos Gerais'!$F$4:$F$3632='Gastos das Atividades'!$B23),-('Gastos das Atividades'!AT$3&gt;='Gastos Gerais'!$D$4:$D$3632),-('Gastos das Atividades'!AT$3&lt;='Gastos Gerais'!$E$4:$E$3632),-('Gastos Gerais'!$C$4:$C$3632)))</f>
        <v>89585.069999999992</v>
      </c>
      <c r="AU23" s="134">
        <f>IF($B23="",0,SUMPRODUCT(-('Gastos Gerais'!$F$4:$F$3632='Gastos das Atividades'!$B23),-('Gastos das Atividades'!AU$3&gt;='Gastos Gerais'!$D$4:$D$3632),-('Gastos das Atividades'!AU$3&lt;='Gastos Gerais'!$E$4:$E$3632),-('Gastos Gerais'!$C$4:$C$3632)))</f>
        <v>88739.069999999992</v>
      </c>
      <c r="AV23" s="134">
        <f>IF($B23="",0,SUMPRODUCT(-('Gastos Gerais'!$F$4:$F$3632='Gastos das Atividades'!$B23),-('Gastos das Atividades'!AV$3&gt;='Gastos Gerais'!$D$4:$D$3632),-('Gastos das Atividades'!AV$3&lt;='Gastos Gerais'!$E$4:$E$3632),-('Gastos Gerais'!$C$4:$C$3632)))</f>
        <v>88739.069999999992</v>
      </c>
      <c r="AW23" s="134">
        <f>IF($B23="",0,SUMPRODUCT(-('Gastos Gerais'!$F$4:$F$3632='Gastos das Atividades'!$B23),-('Gastos das Atividades'!AW$3&gt;='Gastos Gerais'!$D$4:$D$3632),-('Gastos das Atividades'!AW$3&lt;='Gastos Gerais'!$E$4:$E$3632),-('Gastos Gerais'!$C$4:$C$3632)))</f>
        <v>88739.069999999992</v>
      </c>
      <c r="AX23" s="134">
        <f>IF($B23="",0,SUMPRODUCT(-('Gastos Gerais'!$F$4:$F$3632='Gastos das Atividades'!$B23),-('Gastos das Atividades'!AX$3&gt;='Gastos Gerais'!$D$4:$D$3632),-('Gastos das Atividades'!AX$3&lt;='Gastos Gerais'!$E$4:$E$3632),-('Gastos Gerais'!$C$4:$C$3632)))</f>
        <v>88739.069999999992</v>
      </c>
      <c r="AY23" s="134">
        <f>IF($B23="",0,SUMPRODUCT(-('Gastos Gerais'!$F$4:$F$3632='Gastos das Atividades'!$B23),-('Gastos das Atividades'!AY$3&gt;='Gastos Gerais'!$D$4:$D$3632),-('Gastos das Atividades'!AY$3&lt;='Gastos Gerais'!$E$4:$E$3632),-('Gastos Gerais'!$C$4:$C$3632)))</f>
        <v>89585.069999999992</v>
      </c>
      <c r="AZ23" s="134">
        <f>IF($B23="",0,SUMPRODUCT(-('Gastos Gerais'!$F$4:$F$3632='Gastos das Atividades'!$B23),-('Gastos das Atividades'!AZ$3&gt;='Gastos Gerais'!$D$4:$D$3632),-('Gastos das Atividades'!AZ$3&lt;='Gastos Gerais'!$E$4:$E$3632),-('Gastos Gerais'!$C$4:$C$3632)))</f>
        <v>89585.069999999992</v>
      </c>
      <c r="BA23" s="134">
        <f>IF($B23="",0,SUMPRODUCT(-('Gastos Gerais'!$F$4:$F$3632='Gastos das Atividades'!$B23),-('Gastos das Atividades'!BA$3&gt;='Gastos Gerais'!$D$4:$D$3632),-('Gastos das Atividades'!BA$3&lt;='Gastos Gerais'!$E$4:$E$3632),-('Gastos Gerais'!$C$4:$C$3632)))</f>
        <v>99489.94</v>
      </c>
      <c r="BB23" s="134">
        <f>IF($B23="",0,SUMPRODUCT(-('Gastos Gerais'!$F$4:$F$3632='Gastos das Atividades'!$B23),-('Gastos das Atividades'!BB$3&gt;='Gastos Gerais'!$D$4:$D$3632),-('Gastos das Atividades'!BB$3&lt;='Gastos Gerais'!$E$4:$E$3632),-('Gastos Gerais'!$C$4:$C$3632)))</f>
        <v>96976.41</v>
      </c>
      <c r="BC23" s="134">
        <f>IF($B23="",0,SUMPRODUCT(-('Gastos Gerais'!$F$4:$F$3632='Gastos das Atividades'!$B23),-('Gastos das Atividades'!BC$3&gt;='Gastos Gerais'!$D$4:$D$3632),-('Gastos das Atividades'!BC$3&lt;='Gastos Gerais'!$E$4:$E$3632),-('Gastos Gerais'!$C$4:$C$3632)))</f>
        <v>96976.41</v>
      </c>
      <c r="BD23" s="134">
        <f>IF($B23="",0,SUMPRODUCT(-('Gastos Gerais'!$F$4:$F$3632='Gastos das Atividades'!$B23),-('Gastos das Atividades'!BD$3&gt;='Gastos Gerais'!$D$4:$D$3632),-('Gastos das Atividades'!BD$3&lt;='Gastos Gerais'!$E$4:$E$3632),-('Gastos Gerais'!$C$4:$C$3632)))</f>
        <v>95299.12000000001</v>
      </c>
      <c r="BE23" s="134">
        <f>IF($B23="",0,SUMPRODUCT(-('Gastos Gerais'!$F$4:$F$3632='Gastos das Atividades'!$B23),-('Gastos das Atividades'!BE$3&gt;='Gastos Gerais'!$D$4:$D$3632),-('Gastos das Atividades'!BE$3&lt;='Gastos Gerais'!$E$4:$E$3632),-('Gastos Gerais'!$C$4:$C$3632)))</f>
        <v>94088.440000000017</v>
      </c>
      <c r="BF23" s="134">
        <f>IF($B23="",0,SUMPRODUCT(-('Gastos Gerais'!$F$4:$F$3632='Gastos das Atividades'!$B23),-('Gastos das Atividades'!BF$3&gt;='Gastos Gerais'!$D$4:$D$3632),-('Gastos das Atividades'!BF$3&lt;='Gastos Gerais'!$E$4:$E$3632),-('Gastos Gerais'!$C$4:$C$3632)))</f>
        <v>94088.440000000017</v>
      </c>
      <c r="BG23" s="134">
        <f>IF($B23="",0,SUMPRODUCT(-('Gastos Gerais'!$F$4:$F$3632='Gastos das Atividades'!$B23),-('Gastos das Atividades'!BG$3&gt;='Gastos Gerais'!$D$4:$D$3632),-('Gastos das Atividades'!BG$3&lt;='Gastos Gerais'!$E$4:$E$3632),-('Gastos Gerais'!$C$4:$C$3632)))</f>
        <v>93242.440000000017</v>
      </c>
      <c r="BH23" s="134">
        <f>IF($B23="",0,SUMPRODUCT(-('Gastos Gerais'!$F$4:$F$3632='Gastos das Atividades'!$B23),-('Gastos das Atividades'!BH$3&gt;='Gastos Gerais'!$D$4:$D$3632),-('Gastos das Atividades'!BH$3&lt;='Gastos Gerais'!$E$4:$E$3632),-('Gastos Gerais'!$C$4:$C$3632)))</f>
        <v>93242.440000000017</v>
      </c>
      <c r="BI23" s="134">
        <f>IF($B23="",0,SUMPRODUCT(-('Gastos Gerais'!$F$4:$F$3632='Gastos das Atividades'!$B23),-('Gastos das Atividades'!BI$3&gt;='Gastos Gerais'!$D$4:$D$3632),-('Gastos das Atividades'!BI$3&lt;='Gastos Gerais'!$E$4:$E$3632),-('Gastos Gerais'!$C$4:$C$3632)))</f>
        <v>93242.440000000017</v>
      </c>
      <c r="BJ23" s="134">
        <f>IF($B23="",0,SUMPRODUCT(-('Gastos Gerais'!$F$4:$F$3632='Gastos das Atividades'!$B23),-('Gastos das Atividades'!BJ$3&gt;='Gastos Gerais'!$D$4:$D$3632),-('Gastos das Atividades'!BJ$3&lt;='Gastos Gerais'!$E$4:$E$3632),-('Gastos Gerais'!$C$4:$C$3632)))</f>
        <v>93242.440000000017</v>
      </c>
      <c r="BK23" s="134">
        <f>IF($B23="",0,SUMPRODUCT(-('Gastos Gerais'!$F$4:$F$3632='Gastos das Atividades'!$B23),-('Gastos das Atividades'!BK$3&gt;='Gastos Gerais'!$D$4:$D$3632),-('Gastos das Atividades'!BK$3&lt;='Gastos Gerais'!$E$4:$E$3632),-('Gastos Gerais'!$C$4:$C$3632)))</f>
        <v>94088.440000000017</v>
      </c>
      <c r="BL23" s="134">
        <f>IF($B23="",0,SUMPRODUCT(-('Gastos Gerais'!$F$4:$F$3632='Gastos das Atividades'!$B23),-('Gastos das Atividades'!BL$3&gt;='Gastos Gerais'!$D$4:$D$3632),-('Gastos das Atividades'!BL$3&lt;='Gastos Gerais'!$E$4:$E$3632),-('Gastos Gerais'!$C$4:$C$3632)))</f>
        <v>94088.440000000017</v>
      </c>
      <c r="BM23" s="134">
        <f>IF($B23="",0,SUMPRODUCT(-('Gastos Gerais'!$F$4:$F$3632='Gastos das Atividades'!$B23),-('Gastos das Atividades'!BM$3&gt;='Gastos Gerais'!$D$4:$D$3632),-('Gastos das Atividades'!BM$3&lt;='Gastos Gerais'!$E$4:$E$3632),-('Gastos Gerais'!$C$4:$C$3632)))</f>
        <v>119565.65000000002</v>
      </c>
      <c r="BN23" s="134">
        <f>IF($B23="",0,SUMPRODUCT(-('Gastos Gerais'!$F$4:$F$3632='Gastos das Atividades'!$B23),-('Gastos das Atividades'!BN$3&gt;='Gastos Gerais'!$D$4:$D$3632),-('Gastos das Atividades'!BN$3&lt;='Gastos Gerais'!$E$4:$E$3632),-('Gastos Gerais'!$C$4:$C$3632)))</f>
        <v>101905.33000000002</v>
      </c>
      <c r="BO23" s="134">
        <f>IF($B23="",0,SUMPRODUCT(-('Gastos Gerais'!$F$4:$F$3632='Gastos das Atividades'!$B23),-('Gastos das Atividades'!BO$3&gt;='Gastos Gerais'!$D$4:$D$3632),-('Gastos das Atividades'!BO$3&lt;='Gastos Gerais'!$E$4:$E$3632),-('Gastos Gerais'!$C$4:$C$3632)))</f>
        <v>101905.33000000002</v>
      </c>
      <c r="BP23" s="134">
        <f>IF($B23="",0,SUMPRODUCT(-('Gastos Gerais'!$F$4:$F$3632='Gastos das Atividades'!$B23),-('Gastos das Atividades'!BP$3&gt;='Gastos Gerais'!$D$4:$D$3632),-('Gastos das Atividades'!BP$3&lt;='Gastos Gerais'!$E$4:$E$3632),-('Gastos Gerais'!$C$4:$C$3632)))</f>
        <v>100165.12000000001</v>
      </c>
      <c r="BQ23" s="134">
        <f>IF($B23="",0,SUMPRODUCT(-('Gastos Gerais'!$F$4:$F$3632='Gastos das Atividades'!$B23),-('Gastos das Atividades'!BQ$3&gt;='Gastos Gerais'!$D$4:$D$3632),-('Gastos das Atividades'!BQ$3&lt;='Gastos Gerais'!$E$4:$E$3632),-('Gastos Gerais'!$C$4:$C$3632)))</f>
        <v>98883.74</v>
      </c>
      <c r="BR23" s="134">
        <f>IF($B23="",0,SUMPRODUCT(-('Gastos Gerais'!$F$4:$F$3632='Gastos das Atividades'!$B23),-('Gastos das Atividades'!BR$3&gt;='Gastos Gerais'!$D$4:$D$3632),-('Gastos das Atividades'!BR$3&lt;='Gastos Gerais'!$E$4:$E$3632),-('Gastos Gerais'!$C$4:$C$3632)))</f>
        <v>98883.74</v>
      </c>
      <c r="BS23" s="134">
        <f>IF($B23="",0,SUMPRODUCT(-('Gastos Gerais'!$F$4:$F$3632='Gastos das Atividades'!$B23),-('Gastos das Atividades'!BS$3&gt;='Gastos Gerais'!$D$4:$D$3632),-('Gastos das Atividades'!BS$3&lt;='Gastos Gerais'!$E$4:$E$3632),-('Gastos Gerais'!$C$4:$C$3632)))</f>
        <v>98037.74</v>
      </c>
      <c r="BT23" s="134">
        <f>IF($B23="",0,SUMPRODUCT(-('Gastos Gerais'!$F$4:$F$3632='Gastos das Atividades'!$B23),-('Gastos das Atividades'!BT$3&gt;='Gastos Gerais'!$D$4:$D$3632),-('Gastos das Atividades'!BT$3&lt;='Gastos Gerais'!$E$4:$E$3632),-('Gastos Gerais'!$C$4:$C$3632)))</f>
        <v>98037.74</v>
      </c>
      <c r="BU23" s="134">
        <f>IF($B23="",0,SUMPRODUCT(-('Gastos Gerais'!$F$4:$F$3632='Gastos das Atividades'!$B23),-('Gastos das Atividades'!BU$3&gt;='Gastos Gerais'!$D$4:$D$3632),-('Gastos das Atividades'!BU$3&lt;='Gastos Gerais'!$E$4:$E$3632),-('Gastos Gerais'!$C$4:$C$3632)))</f>
        <v>98037.74</v>
      </c>
      <c r="BV23" s="134">
        <f>IF($B23="",0,SUMPRODUCT(-('Gastos Gerais'!$F$4:$F$3632='Gastos das Atividades'!$B23),-('Gastos das Atividades'!BV$3&gt;='Gastos Gerais'!$D$4:$D$3632),-('Gastos das Atividades'!BV$3&lt;='Gastos Gerais'!$E$4:$E$3632),-('Gastos Gerais'!$C$4:$C$3632)))</f>
        <v>98037.74</v>
      </c>
      <c r="BW23" s="134">
        <f>IF($B23="",0,SUMPRODUCT(-('Gastos Gerais'!$F$4:$F$3632='Gastos das Atividades'!$B23),-('Gastos das Atividades'!BW$3&gt;='Gastos Gerais'!$D$4:$D$3632),-('Gastos das Atividades'!BW$3&lt;='Gastos Gerais'!$E$4:$E$3632),-('Gastos Gerais'!$C$4:$C$3632)))</f>
        <v>98037.74</v>
      </c>
    </row>
    <row r="24" spans="1:75">
      <c r="A24" s="138">
        <v>21</v>
      </c>
      <c r="B24" s="139"/>
      <c r="C24" s="132">
        <v>0</v>
      </c>
      <c r="D24" s="133">
        <f t="shared" si="0"/>
        <v>0</v>
      </c>
      <c r="E24" s="134">
        <f t="shared" si="1"/>
        <v>0</v>
      </c>
      <c r="F24" s="134">
        <f t="shared" si="1"/>
        <v>0</v>
      </c>
      <c r="G24" s="134">
        <f t="shared" si="1"/>
        <v>0</v>
      </c>
      <c r="H24" s="134">
        <f t="shared" si="1"/>
        <v>0</v>
      </c>
      <c r="I24" s="135">
        <f t="shared" si="2"/>
        <v>0</v>
      </c>
      <c r="J24" s="136">
        <f t="shared" si="3"/>
        <v>0</v>
      </c>
      <c r="K24" s="136">
        <f t="shared" si="4"/>
        <v>0</v>
      </c>
      <c r="L24" s="136">
        <f t="shared" si="5"/>
        <v>0</v>
      </c>
      <c r="M24" s="136">
        <f t="shared" si="6"/>
        <v>0</v>
      </c>
      <c r="N24" s="136">
        <f t="shared" si="7"/>
        <v>0</v>
      </c>
      <c r="O24" s="137">
        <f t="shared" si="8"/>
        <v>0</v>
      </c>
      <c r="P24" s="134">
        <f>IF($B24="",0,SUMPRODUCT(-('Gastos Gerais'!$F$4:$F$3632='Gastos das Atividades'!$B24),-('Gastos das Atividades'!P$3&gt;='Gastos Gerais'!$D$4:$D$3632),-('Gastos das Atividades'!P$3&lt;='Gastos Gerais'!$E$4:$E$3632),-('Gastos Gerais'!$C$4:$C$3632)))</f>
        <v>0</v>
      </c>
      <c r="Q24" s="134">
        <f>IF($B24="",0,SUMPRODUCT(-('Gastos Gerais'!$F$4:$F$3632='Gastos das Atividades'!$B24),-('Gastos das Atividades'!Q$3&gt;='Gastos Gerais'!$D$4:$D$3632),-('Gastos das Atividades'!Q$3&lt;='Gastos Gerais'!$E$4:$E$3632),-('Gastos Gerais'!$C$4:$C$3632)))</f>
        <v>0</v>
      </c>
      <c r="R24" s="134">
        <f>IF($B24="",0,SUMPRODUCT(-('Gastos Gerais'!$F$4:$F$3632='Gastos das Atividades'!$B24),-('Gastos das Atividades'!R$3&gt;='Gastos Gerais'!$D$4:$D$3632),-('Gastos das Atividades'!R$3&lt;='Gastos Gerais'!$E$4:$E$3632),-('Gastos Gerais'!$C$4:$C$3632)))</f>
        <v>0</v>
      </c>
      <c r="S24" s="134">
        <f>IF($B24="",0,SUMPRODUCT(-('Gastos Gerais'!$F$4:$F$3632='Gastos das Atividades'!$B24),-('Gastos das Atividades'!S$3&gt;='Gastos Gerais'!$D$4:$D$3632),-('Gastos das Atividades'!S$3&lt;='Gastos Gerais'!$E$4:$E$3632),-('Gastos Gerais'!$C$4:$C$3632)))</f>
        <v>0</v>
      </c>
      <c r="T24" s="134">
        <f>IF($B24="",0,SUMPRODUCT(-('Gastos Gerais'!$F$4:$F$3632='Gastos das Atividades'!$B24),-('Gastos das Atividades'!T$3&gt;='Gastos Gerais'!$D$4:$D$3632),-('Gastos das Atividades'!T$3&lt;='Gastos Gerais'!$E$4:$E$3632),-('Gastos Gerais'!$C$4:$C$3632)))</f>
        <v>0</v>
      </c>
      <c r="U24" s="134">
        <f>IF($B24="",0,SUMPRODUCT(-('Gastos Gerais'!$F$4:$F$3632='Gastos das Atividades'!$B24),-('Gastos das Atividades'!U$3&gt;='Gastos Gerais'!$D$4:$D$3632),-('Gastos das Atividades'!U$3&lt;='Gastos Gerais'!$E$4:$E$3632),-('Gastos Gerais'!$C$4:$C$3632)))</f>
        <v>0</v>
      </c>
      <c r="V24" s="134">
        <f>IF($B24="",0,SUMPRODUCT(-('Gastos Gerais'!$F$4:$F$3632='Gastos das Atividades'!$B24),-('Gastos das Atividades'!V$3&gt;='Gastos Gerais'!$D$4:$D$3632),-('Gastos das Atividades'!V$3&lt;='Gastos Gerais'!$E$4:$E$3632),-('Gastos Gerais'!$C$4:$C$3632)))</f>
        <v>0</v>
      </c>
      <c r="W24" s="134">
        <f>IF($B24="",0,SUMPRODUCT(-('Gastos Gerais'!$F$4:$F$3632='Gastos das Atividades'!$B24),-('Gastos das Atividades'!W$3&gt;='Gastos Gerais'!$D$4:$D$3632),-('Gastos das Atividades'!W$3&lt;='Gastos Gerais'!$E$4:$E$3632),-('Gastos Gerais'!$C$4:$C$3632)))</f>
        <v>0</v>
      </c>
      <c r="X24" s="134">
        <f>IF($B24="",0,SUMPRODUCT(-('Gastos Gerais'!$F$4:$F$3632='Gastos das Atividades'!$B24),-('Gastos das Atividades'!X$3&gt;='Gastos Gerais'!$D$4:$D$3632),-('Gastos das Atividades'!X$3&lt;='Gastos Gerais'!$E$4:$E$3632),-('Gastos Gerais'!$C$4:$C$3632)))</f>
        <v>0</v>
      </c>
      <c r="Y24" s="134">
        <f>IF($B24="",0,SUMPRODUCT(-('Gastos Gerais'!$F$4:$F$3632='Gastos das Atividades'!$B24),-('Gastos das Atividades'!Y$3&gt;='Gastos Gerais'!$D$4:$D$3632),-('Gastos das Atividades'!Y$3&lt;='Gastos Gerais'!$E$4:$E$3632),-('Gastos Gerais'!$C$4:$C$3632)))</f>
        <v>0</v>
      </c>
      <c r="Z24" s="134">
        <f>IF($B24="",0,SUMPRODUCT(-('Gastos Gerais'!$F$4:$F$3632='Gastos das Atividades'!$B24),-('Gastos das Atividades'!Z$3&gt;='Gastos Gerais'!$D$4:$D$3632),-('Gastos das Atividades'!Z$3&lt;='Gastos Gerais'!$E$4:$E$3632),-('Gastos Gerais'!$C$4:$C$3632)))</f>
        <v>0</v>
      </c>
      <c r="AA24" s="134">
        <f>IF($B24="",0,SUMPRODUCT(-('Gastos Gerais'!$F$4:$F$3632='Gastos das Atividades'!$B24),-('Gastos das Atividades'!AA$3&gt;='Gastos Gerais'!$D$4:$D$3632),-('Gastos das Atividades'!AA$3&lt;='Gastos Gerais'!$E$4:$E$3632),-('Gastos Gerais'!$C$4:$C$3632)))</f>
        <v>0</v>
      </c>
      <c r="AB24" s="134">
        <f>IF($B24="",0,SUMPRODUCT(-('Gastos Gerais'!$F$4:$F$3632='Gastos das Atividades'!$B24),-('Gastos das Atividades'!AB$3&gt;='Gastos Gerais'!$D$4:$D$3632),-('Gastos das Atividades'!AB$3&lt;='Gastos Gerais'!$E$4:$E$3632),-('Gastos Gerais'!$C$4:$C$3632)))</f>
        <v>0</v>
      </c>
      <c r="AC24" s="134">
        <f>IF($B24="",0,SUMPRODUCT(-('Gastos Gerais'!$F$4:$F$3632='Gastos das Atividades'!$B24),-('Gastos das Atividades'!AC$3&gt;='Gastos Gerais'!$D$4:$D$3632),-('Gastos das Atividades'!AC$3&lt;='Gastos Gerais'!$E$4:$E$3632),-('Gastos Gerais'!$C$4:$C$3632)))</f>
        <v>0</v>
      </c>
      <c r="AD24" s="134">
        <f>IF($B24="",0,SUMPRODUCT(-('Gastos Gerais'!$F$4:$F$3632='Gastos das Atividades'!$B24),-('Gastos das Atividades'!AD$3&gt;='Gastos Gerais'!$D$4:$D$3632),-('Gastos das Atividades'!AD$3&lt;='Gastos Gerais'!$E$4:$E$3632),-('Gastos Gerais'!$C$4:$C$3632)))</f>
        <v>0</v>
      </c>
      <c r="AE24" s="134">
        <f>IF($B24="",0,SUMPRODUCT(-('Gastos Gerais'!$F$4:$F$3632='Gastos das Atividades'!$B24),-('Gastos das Atividades'!AE$3&gt;='Gastos Gerais'!$D$4:$D$3632),-('Gastos das Atividades'!AE$3&lt;='Gastos Gerais'!$E$4:$E$3632),-('Gastos Gerais'!$C$4:$C$3632)))</f>
        <v>0</v>
      </c>
      <c r="AF24" s="134">
        <f>IF($B24="",0,SUMPRODUCT(-('Gastos Gerais'!$F$4:$F$3632='Gastos das Atividades'!$B24),-('Gastos das Atividades'!AF$3&gt;='Gastos Gerais'!$D$4:$D$3632),-('Gastos das Atividades'!AF$3&lt;='Gastos Gerais'!$E$4:$E$3632),-('Gastos Gerais'!$C$4:$C$3632)))</f>
        <v>0</v>
      </c>
      <c r="AG24" s="134">
        <f>IF($B24="",0,SUMPRODUCT(-('Gastos Gerais'!$F$4:$F$3632='Gastos das Atividades'!$B24),-('Gastos das Atividades'!AG$3&gt;='Gastos Gerais'!$D$4:$D$3632),-('Gastos das Atividades'!AG$3&lt;='Gastos Gerais'!$E$4:$E$3632),-('Gastos Gerais'!$C$4:$C$3632)))</f>
        <v>0</v>
      </c>
      <c r="AH24" s="134">
        <f>IF($B24="",0,SUMPRODUCT(-('Gastos Gerais'!$F$4:$F$3632='Gastos das Atividades'!$B24),-('Gastos das Atividades'!AH$3&gt;='Gastos Gerais'!$D$4:$D$3632),-('Gastos das Atividades'!AH$3&lt;='Gastos Gerais'!$E$4:$E$3632),-('Gastos Gerais'!$C$4:$C$3632)))</f>
        <v>0</v>
      </c>
      <c r="AI24" s="134">
        <f>IF($B24="",0,SUMPRODUCT(-('Gastos Gerais'!$F$4:$F$3632='Gastos das Atividades'!$B24),-('Gastos das Atividades'!AI$3&gt;='Gastos Gerais'!$D$4:$D$3632),-('Gastos das Atividades'!AI$3&lt;='Gastos Gerais'!$E$4:$E$3632),-('Gastos Gerais'!$C$4:$C$3632)))</f>
        <v>0</v>
      </c>
      <c r="AJ24" s="134">
        <f>IF($B24="",0,SUMPRODUCT(-('Gastos Gerais'!$F$4:$F$3632='Gastos das Atividades'!$B24),-('Gastos das Atividades'!AJ$3&gt;='Gastos Gerais'!$D$4:$D$3632),-('Gastos das Atividades'!AJ$3&lt;='Gastos Gerais'!$E$4:$E$3632),-('Gastos Gerais'!$C$4:$C$3632)))</f>
        <v>0</v>
      </c>
      <c r="AK24" s="134">
        <f>IF($B24="",0,SUMPRODUCT(-('Gastos Gerais'!$F$4:$F$3632='Gastos das Atividades'!$B24),-('Gastos das Atividades'!AK$3&gt;='Gastos Gerais'!$D$4:$D$3632),-('Gastos das Atividades'!AK$3&lt;='Gastos Gerais'!$E$4:$E$3632),-('Gastos Gerais'!$C$4:$C$3632)))</f>
        <v>0</v>
      </c>
      <c r="AL24" s="134">
        <f>IF($B24="",0,SUMPRODUCT(-('Gastos Gerais'!$F$4:$F$3632='Gastos das Atividades'!$B24),-('Gastos das Atividades'!AL$3&gt;='Gastos Gerais'!$D$4:$D$3632),-('Gastos das Atividades'!AL$3&lt;='Gastos Gerais'!$E$4:$E$3632),-('Gastos Gerais'!$C$4:$C$3632)))</f>
        <v>0</v>
      </c>
      <c r="AM24" s="134">
        <f>IF($B24="",0,SUMPRODUCT(-('Gastos Gerais'!$F$4:$F$3632='Gastos das Atividades'!$B24),-('Gastos das Atividades'!AM$3&gt;='Gastos Gerais'!$D$4:$D$3632),-('Gastos das Atividades'!AM$3&lt;='Gastos Gerais'!$E$4:$E$3632),-('Gastos Gerais'!$C$4:$C$3632)))</f>
        <v>0</v>
      </c>
      <c r="AN24" s="134">
        <f>IF($B24="",0,SUMPRODUCT(-('Gastos Gerais'!$F$4:$F$3632='Gastos das Atividades'!$B24),-('Gastos das Atividades'!AN$3&gt;='Gastos Gerais'!$D$4:$D$3632),-('Gastos das Atividades'!AN$3&lt;='Gastos Gerais'!$E$4:$E$3632),-('Gastos Gerais'!$C$4:$C$3632)))</f>
        <v>0</v>
      </c>
      <c r="AO24" s="134">
        <f>IF($B24="",0,SUMPRODUCT(-('Gastos Gerais'!$F$4:$F$3632='Gastos das Atividades'!$B24),-('Gastos das Atividades'!AO$3&gt;='Gastos Gerais'!$D$4:$D$3632),-('Gastos das Atividades'!AO$3&lt;='Gastos Gerais'!$E$4:$E$3632),-('Gastos Gerais'!$C$4:$C$3632)))</f>
        <v>0</v>
      </c>
      <c r="AP24" s="134">
        <f>IF($B24="",0,SUMPRODUCT(-('Gastos Gerais'!$F$4:$F$3632='Gastos das Atividades'!$B24),-('Gastos das Atividades'!AP$3&gt;='Gastos Gerais'!$D$4:$D$3632),-('Gastos das Atividades'!AP$3&lt;='Gastos Gerais'!$E$4:$E$3632),-('Gastos Gerais'!$C$4:$C$3632)))</f>
        <v>0</v>
      </c>
      <c r="AQ24" s="134">
        <f>IF($B24="",0,SUMPRODUCT(-('Gastos Gerais'!$F$4:$F$3632='Gastos das Atividades'!$B24),-('Gastos das Atividades'!AQ$3&gt;='Gastos Gerais'!$D$4:$D$3632),-('Gastos das Atividades'!AQ$3&lt;='Gastos Gerais'!$E$4:$E$3632),-('Gastos Gerais'!$C$4:$C$3632)))</f>
        <v>0</v>
      </c>
      <c r="AR24" s="134">
        <f>IF($B24="",0,SUMPRODUCT(-('Gastos Gerais'!$F$4:$F$3632='Gastos das Atividades'!$B24),-('Gastos das Atividades'!AR$3&gt;='Gastos Gerais'!$D$4:$D$3632),-('Gastos das Atividades'!AR$3&lt;='Gastos Gerais'!$E$4:$E$3632),-('Gastos Gerais'!$C$4:$C$3632)))</f>
        <v>0</v>
      </c>
      <c r="AS24" s="134">
        <f>IF($B24="",0,SUMPRODUCT(-('Gastos Gerais'!$F$4:$F$3632='Gastos das Atividades'!$B24),-('Gastos das Atividades'!AS$3&gt;='Gastos Gerais'!$D$4:$D$3632),-('Gastos das Atividades'!AS$3&lt;='Gastos Gerais'!$E$4:$E$3632),-('Gastos Gerais'!$C$4:$C$3632)))</f>
        <v>0</v>
      </c>
      <c r="AT24" s="134">
        <f>IF($B24="",0,SUMPRODUCT(-('Gastos Gerais'!$F$4:$F$3632='Gastos das Atividades'!$B24),-('Gastos das Atividades'!AT$3&gt;='Gastos Gerais'!$D$4:$D$3632),-('Gastos das Atividades'!AT$3&lt;='Gastos Gerais'!$E$4:$E$3632),-('Gastos Gerais'!$C$4:$C$3632)))</f>
        <v>0</v>
      </c>
      <c r="AU24" s="134">
        <f>IF($B24="",0,SUMPRODUCT(-('Gastos Gerais'!$F$4:$F$3632='Gastos das Atividades'!$B24),-('Gastos das Atividades'!AU$3&gt;='Gastos Gerais'!$D$4:$D$3632),-('Gastos das Atividades'!AU$3&lt;='Gastos Gerais'!$E$4:$E$3632),-('Gastos Gerais'!$C$4:$C$3632)))</f>
        <v>0</v>
      </c>
      <c r="AV24" s="134">
        <f>IF($B24="",0,SUMPRODUCT(-('Gastos Gerais'!$F$4:$F$3632='Gastos das Atividades'!$B24),-('Gastos das Atividades'!AV$3&gt;='Gastos Gerais'!$D$4:$D$3632),-('Gastos das Atividades'!AV$3&lt;='Gastos Gerais'!$E$4:$E$3632),-('Gastos Gerais'!$C$4:$C$3632)))</f>
        <v>0</v>
      </c>
      <c r="AW24" s="134">
        <f>IF($B24="",0,SUMPRODUCT(-('Gastos Gerais'!$F$4:$F$3632='Gastos das Atividades'!$B24),-('Gastos das Atividades'!AW$3&gt;='Gastos Gerais'!$D$4:$D$3632),-('Gastos das Atividades'!AW$3&lt;='Gastos Gerais'!$E$4:$E$3632),-('Gastos Gerais'!$C$4:$C$3632)))</f>
        <v>0</v>
      </c>
      <c r="AX24" s="134">
        <f>IF($B24="",0,SUMPRODUCT(-('Gastos Gerais'!$F$4:$F$3632='Gastos das Atividades'!$B24),-('Gastos das Atividades'!AX$3&gt;='Gastos Gerais'!$D$4:$D$3632),-('Gastos das Atividades'!AX$3&lt;='Gastos Gerais'!$E$4:$E$3632),-('Gastos Gerais'!$C$4:$C$3632)))</f>
        <v>0</v>
      </c>
      <c r="AY24" s="134">
        <f>IF($B24="",0,SUMPRODUCT(-('Gastos Gerais'!$F$4:$F$3632='Gastos das Atividades'!$B24),-('Gastos das Atividades'!AY$3&gt;='Gastos Gerais'!$D$4:$D$3632),-('Gastos das Atividades'!AY$3&lt;='Gastos Gerais'!$E$4:$E$3632),-('Gastos Gerais'!$C$4:$C$3632)))</f>
        <v>0</v>
      </c>
      <c r="AZ24" s="134">
        <f>IF($B24="",0,SUMPRODUCT(-('Gastos Gerais'!$F$4:$F$3632='Gastos das Atividades'!$B24),-('Gastos das Atividades'!AZ$3&gt;='Gastos Gerais'!$D$4:$D$3632),-('Gastos das Atividades'!AZ$3&lt;='Gastos Gerais'!$E$4:$E$3632),-('Gastos Gerais'!$C$4:$C$3632)))</f>
        <v>0</v>
      </c>
      <c r="BA24" s="134">
        <f>IF($B24="",0,SUMPRODUCT(-('Gastos Gerais'!$F$4:$F$3632='Gastos das Atividades'!$B24),-('Gastos das Atividades'!BA$3&gt;='Gastos Gerais'!$D$4:$D$3632),-('Gastos das Atividades'!BA$3&lt;='Gastos Gerais'!$E$4:$E$3632),-('Gastos Gerais'!$C$4:$C$3632)))</f>
        <v>0</v>
      </c>
      <c r="BB24" s="134">
        <f>IF($B24="",0,SUMPRODUCT(-('Gastos Gerais'!$F$4:$F$3632='Gastos das Atividades'!$B24),-('Gastos das Atividades'!BB$3&gt;='Gastos Gerais'!$D$4:$D$3632),-('Gastos das Atividades'!BB$3&lt;='Gastos Gerais'!$E$4:$E$3632),-('Gastos Gerais'!$C$4:$C$3632)))</f>
        <v>0</v>
      </c>
      <c r="BC24" s="134">
        <f>IF($B24="",0,SUMPRODUCT(-('Gastos Gerais'!$F$4:$F$3632='Gastos das Atividades'!$B24),-('Gastos das Atividades'!BC$3&gt;='Gastos Gerais'!$D$4:$D$3632),-('Gastos das Atividades'!BC$3&lt;='Gastos Gerais'!$E$4:$E$3632),-('Gastos Gerais'!$C$4:$C$3632)))</f>
        <v>0</v>
      </c>
      <c r="BD24" s="134">
        <f>IF($B24="",0,SUMPRODUCT(-('Gastos Gerais'!$F$4:$F$3632='Gastos das Atividades'!$B24),-('Gastos das Atividades'!BD$3&gt;='Gastos Gerais'!$D$4:$D$3632),-('Gastos das Atividades'!BD$3&lt;='Gastos Gerais'!$E$4:$E$3632),-('Gastos Gerais'!$C$4:$C$3632)))</f>
        <v>0</v>
      </c>
      <c r="BE24" s="134">
        <f>IF($B24="",0,SUMPRODUCT(-('Gastos Gerais'!$F$4:$F$3632='Gastos das Atividades'!$B24),-('Gastos das Atividades'!BE$3&gt;='Gastos Gerais'!$D$4:$D$3632),-('Gastos das Atividades'!BE$3&lt;='Gastos Gerais'!$E$4:$E$3632),-('Gastos Gerais'!$C$4:$C$3632)))</f>
        <v>0</v>
      </c>
      <c r="BF24" s="134">
        <f>IF($B24="",0,SUMPRODUCT(-('Gastos Gerais'!$F$4:$F$3632='Gastos das Atividades'!$B24),-('Gastos das Atividades'!BF$3&gt;='Gastos Gerais'!$D$4:$D$3632),-('Gastos das Atividades'!BF$3&lt;='Gastos Gerais'!$E$4:$E$3632),-('Gastos Gerais'!$C$4:$C$3632)))</f>
        <v>0</v>
      </c>
      <c r="BG24" s="134">
        <f>IF($B24="",0,SUMPRODUCT(-('Gastos Gerais'!$F$4:$F$3632='Gastos das Atividades'!$B24),-('Gastos das Atividades'!BG$3&gt;='Gastos Gerais'!$D$4:$D$3632),-('Gastos das Atividades'!BG$3&lt;='Gastos Gerais'!$E$4:$E$3632),-('Gastos Gerais'!$C$4:$C$3632)))</f>
        <v>0</v>
      </c>
      <c r="BH24" s="134">
        <f>IF($B24="",0,SUMPRODUCT(-('Gastos Gerais'!$F$4:$F$3632='Gastos das Atividades'!$B24),-('Gastos das Atividades'!BH$3&gt;='Gastos Gerais'!$D$4:$D$3632),-('Gastos das Atividades'!BH$3&lt;='Gastos Gerais'!$E$4:$E$3632),-('Gastos Gerais'!$C$4:$C$3632)))</f>
        <v>0</v>
      </c>
      <c r="BI24" s="134">
        <f>IF($B24="",0,SUMPRODUCT(-('Gastos Gerais'!$F$4:$F$3632='Gastos das Atividades'!$B24),-('Gastos das Atividades'!BI$3&gt;='Gastos Gerais'!$D$4:$D$3632),-('Gastos das Atividades'!BI$3&lt;='Gastos Gerais'!$E$4:$E$3632),-('Gastos Gerais'!$C$4:$C$3632)))</f>
        <v>0</v>
      </c>
      <c r="BJ24" s="134">
        <f>IF($B24="",0,SUMPRODUCT(-('Gastos Gerais'!$F$4:$F$3632='Gastos das Atividades'!$B24),-('Gastos das Atividades'!BJ$3&gt;='Gastos Gerais'!$D$4:$D$3632),-('Gastos das Atividades'!BJ$3&lt;='Gastos Gerais'!$E$4:$E$3632),-('Gastos Gerais'!$C$4:$C$3632)))</f>
        <v>0</v>
      </c>
      <c r="BK24" s="134">
        <f>IF($B24="",0,SUMPRODUCT(-('Gastos Gerais'!$F$4:$F$3632='Gastos das Atividades'!$B24),-('Gastos das Atividades'!BK$3&gt;='Gastos Gerais'!$D$4:$D$3632),-('Gastos das Atividades'!BK$3&lt;='Gastos Gerais'!$E$4:$E$3632),-('Gastos Gerais'!$C$4:$C$3632)))</f>
        <v>0</v>
      </c>
      <c r="BL24" s="134">
        <f>IF($B24="",0,SUMPRODUCT(-('Gastos Gerais'!$F$4:$F$3632='Gastos das Atividades'!$B24),-('Gastos das Atividades'!BL$3&gt;='Gastos Gerais'!$D$4:$D$3632),-('Gastos das Atividades'!BL$3&lt;='Gastos Gerais'!$E$4:$E$3632),-('Gastos Gerais'!$C$4:$C$3632)))</f>
        <v>0</v>
      </c>
      <c r="BM24" s="134">
        <f>IF($B24="",0,SUMPRODUCT(-('Gastos Gerais'!$F$4:$F$3632='Gastos das Atividades'!$B24),-('Gastos das Atividades'!BM$3&gt;='Gastos Gerais'!$D$4:$D$3632),-('Gastos das Atividades'!BM$3&lt;='Gastos Gerais'!$E$4:$E$3632),-('Gastos Gerais'!$C$4:$C$3632)))</f>
        <v>0</v>
      </c>
      <c r="BN24" s="134">
        <f>IF($B24="",0,SUMPRODUCT(-('Gastos Gerais'!$F$4:$F$3632='Gastos das Atividades'!$B24),-('Gastos das Atividades'!BN$3&gt;='Gastos Gerais'!$D$4:$D$3632),-('Gastos das Atividades'!BN$3&lt;='Gastos Gerais'!$E$4:$E$3632),-('Gastos Gerais'!$C$4:$C$3632)))</f>
        <v>0</v>
      </c>
      <c r="BO24" s="134">
        <f>IF($B24="",0,SUMPRODUCT(-('Gastos Gerais'!$F$4:$F$3632='Gastos das Atividades'!$B24),-('Gastos das Atividades'!BO$3&gt;='Gastos Gerais'!$D$4:$D$3632),-('Gastos das Atividades'!BO$3&lt;='Gastos Gerais'!$E$4:$E$3632),-('Gastos Gerais'!$C$4:$C$3632)))</f>
        <v>0</v>
      </c>
      <c r="BP24" s="134">
        <f>IF($B24="",0,SUMPRODUCT(-('Gastos Gerais'!$F$4:$F$3632='Gastos das Atividades'!$B24),-('Gastos das Atividades'!BP$3&gt;='Gastos Gerais'!$D$4:$D$3632),-('Gastos das Atividades'!BP$3&lt;='Gastos Gerais'!$E$4:$E$3632),-('Gastos Gerais'!$C$4:$C$3632)))</f>
        <v>0</v>
      </c>
      <c r="BQ24" s="134">
        <f>IF($B24="",0,SUMPRODUCT(-('Gastos Gerais'!$F$4:$F$3632='Gastos das Atividades'!$B24),-('Gastos das Atividades'!BQ$3&gt;='Gastos Gerais'!$D$4:$D$3632),-('Gastos das Atividades'!BQ$3&lt;='Gastos Gerais'!$E$4:$E$3632),-('Gastos Gerais'!$C$4:$C$3632)))</f>
        <v>0</v>
      </c>
      <c r="BR24" s="134">
        <f>IF($B24="",0,SUMPRODUCT(-('Gastos Gerais'!$F$4:$F$3632='Gastos das Atividades'!$B24),-('Gastos das Atividades'!BR$3&gt;='Gastos Gerais'!$D$4:$D$3632),-('Gastos das Atividades'!BR$3&lt;='Gastos Gerais'!$E$4:$E$3632),-('Gastos Gerais'!$C$4:$C$3632)))</f>
        <v>0</v>
      </c>
      <c r="BS24" s="134">
        <f>IF($B24="",0,SUMPRODUCT(-('Gastos Gerais'!$F$4:$F$3632='Gastos das Atividades'!$B24),-('Gastos das Atividades'!BS$3&gt;='Gastos Gerais'!$D$4:$D$3632),-('Gastos das Atividades'!BS$3&lt;='Gastos Gerais'!$E$4:$E$3632),-('Gastos Gerais'!$C$4:$C$3632)))</f>
        <v>0</v>
      </c>
      <c r="BT24" s="134">
        <f>IF($B24="",0,SUMPRODUCT(-('Gastos Gerais'!$F$4:$F$3632='Gastos das Atividades'!$B24),-('Gastos das Atividades'!BT$3&gt;='Gastos Gerais'!$D$4:$D$3632),-('Gastos das Atividades'!BT$3&lt;='Gastos Gerais'!$E$4:$E$3632),-('Gastos Gerais'!$C$4:$C$3632)))</f>
        <v>0</v>
      </c>
      <c r="BU24" s="134">
        <f>IF($B24="",0,SUMPRODUCT(-('Gastos Gerais'!$F$4:$F$3632='Gastos das Atividades'!$B24),-('Gastos das Atividades'!BU$3&gt;='Gastos Gerais'!$D$4:$D$3632),-('Gastos das Atividades'!BU$3&lt;='Gastos Gerais'!$E$4:$E$3632),-('Gastos Gerais'!$C$4:$C$3632)))</f>
        <v>0</v>
      </c>
      <c r="BV24" s="134">
        <f>IF($B24="",0,SUMPRODUCT(-('Gastos Gerais'!$F$4:$F$3632='Gastos das Atividades'!$B24),-('Gastos das Atividades'!BV$3&gt;='Gastos Gerais'!$D$4:$D$3632),-('Gastos das Atividades'!BV$3&lt;='Gastos Gerais'!$E$4:$E$3632),-('Gastos Gerais'!$C$4:$C$3632)))</f>
        <v>0</v>
      </c>
      <c r="BW24" s="134">
        <f>IF($B24="",0,SUMPRODUCT(-('Gastos Gerais'!$F$4:$F$3632='Gastos das Atividades'!$B24),-('Gastos das Atividades'!BW$3&gt;='Gastos Gerais'!$D$4:$D$3632),-('Gastos das Atividades'!BW$3&lt;='Gastos Gerais'!$E$4:$E$3632),-('Gastos Gerais'!$C$4:$C$3632)))</f>
        <v>0</v>
      </c>
    </row>
    <row r="25" spans="1:75">
      <c r="A25" s="138">
        <v>22</v>
      </c>
      <c r="B25" s="139"/>
      <c r="C25" s="132">
        <v>0</v>
      </c>
      <c r="D25" s="133">
        <f t="shared" si="0"/>
        <v>0</v>
      </c>
      <c r="E25" s="134">
        <f t="shared" si="1"/>
        <v>0</v>
      </c>
      <c r="F25" s="134">
        <f t="shared" si="1"/>
        <v>0</v>
      </c>
      <c r="G25" s="134">
        <f t="shared" si="1"/>
        <v>0</v>
      </c>
      <c r="H25" s="134">
        <f t="shared" si="1"/>
        <v>0</v>
      </c>
      <c r="I25" s="135">
        <f t="shared" si="2"/>
        <v>0</v>
      </c>
      <c r="J25" s="136">
        <f t="shared" si="3"/>
        <v>0</v>
      </c>
      <c r="K25" s="136">
        <f t="shared" si="4"/>
        <v>0</v>
      </c>
      <c r="L25" s="136">
        <f t="shared" si="5"/>
        <v>0</v>
      </c>
      <c r="M25" s="136">
        <f t="shared" si="6"/>
        <v>0</v>
      </c>
      <c r="N25" s="136">
        <f t="shared" si="7"/>
        <v>0</v>
      </c>
      <c r="O25" s="137">
        <f t="shared" si="8"/>
        <v>0</v>
      </c>
      <c r="P25" s="134">
        <f>IF($B25="",0,SUMPRODUCT(-('Gastos Gerais'!$F$4:$F$3632='Gastos das Atividades'!$B25),-('Gastos das Atividades'!P$3&gt;='Gastos Gerais'!$D$4:$D$3632),-('Gastos das Atividades'!P$3&lt;='Gastos Gerais'!$E$4:$E$3632),-('Gastos Gerais'!$C$4:$C$3632)))</f>
        <v>0</v>
      </c>
      <c r="Q25" s="134">
        <f>IF($B25="",0,SUMPRODUCT(-('Gastos Gerais'!$F$4:$F$3632='Gastos das Atividades'!$B25),-('Gastos das Atividades'!Q$3&gt;='Gastos Gerais'!$D$4:$D$3632),-('Gastos das Atividades'!Q$3&lt;='Gastos Gerais'!$E$4:$E$3632),-('Gastos Gerais'!$C$4:$C$3632)))</f>
        <v>0</v>
      </c>
      <c r="R25" s="134">
        <f>IF($B25="",0,SUMPRODUCT(-('Gastos Gerais'!$F$4:$F$3632='Gastos das Atividades'!$B25),-('Gastos das Atividades'!R$3&gt;='Gastos Gerais'!$D$4:$D$3632),-('Gastos das Atividades'!R$3&lt;='Gastos Gerais'!$E$4:$E$3632),-('Gastos Gerais'!$C$4:$C$3632)))</f>
        <v>0</v>
      </c>
      <c r="S25" s="134">
        <f>IF($B25="",0,SUMPRODUCT(-('Gastos Gerais'!$F$4:$F$3632='Gastos das Atividades'!$B25),-('Gastos das Atividades'!S$3&gt;='Gastos Gerais'!$D$4:$D$3632),-('Gastos das Atividades'!S$3&lt;='Gastos Gerais'!$E$4:$E$3632),-('Gastos Gerais'!$C$4:$C$3632)))</f>
        <v>0</v>
      </c>
      <c r="T25" s="134">
        <f>IF($B25="",0,SUMPRODUCT(-('Gastos Gerais'!$F$4:$F$3632='Gastos das Atividades'!$B25),-('Gastos das Atividades'!T$3&gt;='Gastos Gerais'!$D$4:$D$3632),-('Gastos das Atividades'!T$3&lt;='Gastos Gerais'!$E$4:$E$3632),-('Gastos Gerais'!$C$4:$C$3632)))</f>
        <v>0</v>
      </c>
      <c r="U25" s="134">
        <f>IF($B25="",0,SUMPRODUCT(-('Gastos Gerais'!$F$4:$F$3632='Gastos das Atividades'!$B25),-('Gastos das Atividades'!U$3&gt;='Gastos Gerais'!$D$4:$D$3632),-('Gastos das Atividades'!U$3&lt;='Gastos Gerais'!$E$4:$E$3632),-('Gastos Gerais'!$C$4:$C$3632)))</f>
        <v>0</v>
      </c>
      <c r="V25" s="134">
        <f>IF($B25="",0,SUMPRODUCT(-('Gastos Gerais'!$F$4:$F$3632='Gastos das Atividades'!$B25),-('Gastos das Atividades'!V$3&gt;='Gastos Gerais'!$D$4:$D$3632),-('Gastos das Atividades'!V$3&lt;='Gastos Gerais'!$E$4:$E$3632),-('Gastos Gerais'!$C$4:$C$3632)))</f>
        <v>0</v>
      </c>
      <c r="W25" s="134">
        <f>IF($B25="",0,SUMPRODUCT(-('Gastos Gerais'!$F$4:$F$3632='Gastos das Atividades'!$B25),-('Gastos das Atividades'!W$3&gt;='Gastos Gerais'!$D$4:$D$3632),-('Gastos das Atividades'!W$3&lt;='Gastos Gerais'!$E$4:$E$3632),-('Gastos Gerais'!$C$4:$C$3632)))</f>
        <v>0</v>
      </c>
      <c r="X25" s="134">
        <f>IF($B25="",0,SUMPRODUCT(-('Gastos Gerais'!$F$4:$F$3632='Gastos das Atividades'!$B25),-('Gastos das Atividades'!X$3&gt;='Gastos Gerais'!$D$4:$D$3632),-('Gastos das Atividades'!X$3&lt;='Gastos Gerais'!$E$4:$E$3632),-('Gastos Gerais'!$C$4:$C$3632)))</f>
        <v>0</v>
      </c>
      <c r="Y25" s="134">
        <f>IF($B25="",0,SUMPRODUCT(-('Gastos Gerais'!$F$4:$F$3632='Gastos das Atividades'!$B25),-('Gastos das Atividades'!Y$3&gt;='Gastos Gerais'!$D$4:$D$3632),-('Gastos das Atividades'!Y$3&lt;='Gastos Gerais'!$E$4:$E$3632),-('Gastos Gerais'!$C$4:$C$3632)))</f>
        <v>0</v>
      </c>
      <c r="Z25" s="134">
        <f>IF($B25="",0,SUMPRODUCT(-('Gastos Gerais'!$F$4:$F$3632='Gastos das Atividades'!$B25),-('Gastos das Atividades'!Z$3&gt;='Gastos Gerais'!$D$4:$D$3632),-('Gastos das Atividades'!Z$3&lt;='Gastos Gerais'!$E$4:$E$3632),-('Gastos Gerais'!$C$4:$C$3632)))</f>
        <v>0</v>
      </c>
      <c r="AA25" s="134">
        <f>IF($B25="",0,SUMPRODUCT(-('Gastos Gerais'!$F$4:$F$3632='Gastos das Atividades'!$B25),-('Gastos das Atividades'!AA$3&gt;='Gastos Gerais'!$D$4:$D$3632),-('Gastos das Atividades'!AA$3&lt;='Gastos Gerais'!$E$4:$E$3632),-('Gastos Gerais'!$C$4:$C$3632)))</f>
        <v>0</v>
      </c>
      <c r="AB25" s="134">
        <f>IF($B25="",0,SUMPRODUCT(-('Gastos Gerais'!$F$4:$F$3632='Gastos das Atividades'!$B25),-('Gastos das Atividades'!AB$3&gt;='Gastos Gerais'!$D$4:$D$3632),-('Gastos das Atividades'!AB$3&lt;='Gastos Gerais'!$E$4:$E$3632),-('Gastos Gerais'!$C$4:$C$3632)))</f>
        <v>0</v>
      </c>
      <c r="AC25" s="134">
        <f>IF($B25="",0,SUMPRODUCT(-('Gastos Gerais'!$F$4:$F$3632='Gastos das Atividades'!$B25),-('Gastos das Atividades'!AC$3&gt;='Gastos Gerais'!$D$4:$D$3632),-('Gastos das Atividades'!AC$3&lt;='Gastos Gerais'!$E$4:$E$3632),-('Gastos Gerais'!$C$4:$C$3632)))</f>
        <v>0</v>
      </c>
      <c r="AD25" s="134">
        <f>IF($B25="",0,SUMPRODUCT(-('Gastos Gerais'!$F$4:$F$3632='Gastos das Atividades'!$B25),-('Gastos das Atividades'!AD$3&gt;='Gastos Gerais'!$D$4:$D$3632),-('Gastos das Atividades'!AD$3&lt;='Gastos Gerais'!$E$4:$E$3632),-('Gastos Gerais'!$C$4:$C$3632)))</f>
        <v>0</v>
      </c>
      <c r="AE25" s="134">
        <f>IF($B25="",0,SUMPRODUCT(-('Gastos Gerais'!$F$4:$F$3632='Gastos das Atividades'!$B25),-('Gastos das Atividades'!AE$3&gt;='Gastos Gerais'!$D$4:$D$3632),-('Gastos das Atividades'!AE$3&lt;='Gastos Gerais'!$E$4:$E$3632),-('Gastos Gerais'!$C$4:$C$3632)))</f>
        <v>0</v>
      </c>
      <c r="AF25" s="134">
        <f>IF($B25="",0,SUMPRODUCT(-('Gastos Gerais'!$F$4:$F$3632='Gastos das Atividades'!$B25),-('Gastos das Atividades'!AF$3&gt;='Gastos Gerais'!$D$4:$D$3632),-('Gastos das Atividades'!AF$3&lt;='Gastos Gerais'!$E$4:$E$3632),-('Gastos Gerais'!$C$4:$C$3632)))</f>
        <v>0</v>
      </c>
      <c r="AG25" s="134">
        <f>IF($B25="",0,SUMPRODUCT(-('Gastos Gerais'!$F$4:$F$3632='Gastos das Atividades'!$B25),-('Gastos das Atividades'!AG$3&gt;='Gastos Gerais'!$D$4:$D$3632),-('Gastos das Atividades'!AG$3&lt;='Gastos Gerais'!$E$4:$E$3632),-('Gastos Gerais'!$C$4:$C$3632)))</f>
        <v>0</v>
      </c>
      <c r="AH25" s="134">
        <f>IF($B25="",0,SUMPRODUCT(-('Gastos Gerais'!$F$4:$F$3632='Gastos das Atividades'!$B25),-('Gastos das Atividades'!AH$3&gt;='Gastos Gerais'!$D$4:$D$3632),-('Gastos das Atividades'!AH$3&lt;='Gastos Gerais'!$E$4:$E$3632),-('Gastos Gerais'!$C$4:$C$3632)))</f>
        <v>0</v>
      </c>
      <c r="AI25" s="134">
        <f>IF($B25="",0,SUMPRODUCT(-('Gastos Gerais'!$F$4:$F$3632='Gastos das Atividades'!$B25),-('Gastos das Atividades'!AI$3&gt;='Gastos Gerais'!$D$4:$D$3632),-('Gastos das Atividades'!AI$3&lt;='Gastos Gerais'!$E$4:$E$3632),-('Gastos Gerais'!$C$4:$C$3632)))</f>
        <v>0</v>
      </c>
      <c r="AJ25" s="134">
        <f>IF($B25="",0,SUMPRODUCT(-('Gastos Gerais'!$F$4:$F$3632='Gastos das Atividades'!$B25),-('Gastos das Atividades'!AJ$3&gt;='Gastos Gerais'!$D$4:$D$3632),-('Gastos das Atividades'!AJ$3&lt;='Gastos Gerais'!$E$4:$E$3632),-('Gastos Gerais'!$C$4:$C$3632)))</f>
        <v>0</v>
      </c>
      <c r="AK25" s="134">
        <f>IF($B25="",0,SUMPRODUCT(-('Gastos Gerais'!$F$4:$F$3632='Gastos das Atividades'!$B25),-('Gastos das Atividades'!AK$3&gt;='Gastos Gerais'!$D$4:$D$3632),-('Gastos das Atividades'!AK$3&lt;='Gastos Gerais'!$E$4:$E$3632),-('Gastos Gerais'!$C$4:$C$3632)))</f>
        <v>0</v>
      </c>
      <c r="AL25" s="134">
        <f>IF($B25="",0,SUMPRODUCT(-('Gastos Gerais'!$F$4:$F$3632='Gastos das Atividades'!$B25),-('Gastos das Atividades'!AL$3&gt;='Gastos Gerais'!$D$4:$D$3632),-('Gastos das Atividades'!AL$3&lt;='Gastos Gerais'!$E$4:$E$3632),-('Gastos Gerais'!$C$4:$C$3632)))</f>
        <v>0</v>
      </c>
      <c r="AM25" s="134">
        <f>IF($B25="",0,SUMPRODUCT(-('Gastos Gerais'!$F$4:$F$3632='Gastos das Atividades'!$B25),-('Gastos das Atividades'!AM$3&gt;='Gastos Gerais'!$D$4:$D$3632),-('Gastos das Atividades'!AM$3&lt;='Gastos Gerais'!$E$4:$E$3632),-('Gastos Gerais'!$C$4:$C$3632)))</f>
        <v>0</v>
      </c>
      <c r="AN25" s="134">
        <f>IF($B25="",0,SUMPRODUCT(-('Gastos Gerais'!$F$4:$F$3632='Gastos das Atividades'!$B25),-('Gastos das Atividades'!AN$3&gt;='Gastos Gerais'!$D$4:$D$3632),-('Gastos das Atividades'!AN$3&lt;='Gastos Gerais'!$E$4:$E$3632),-('Gastos Gerais'!$C$4:$C$3632)))</f>
        <v>0</v>
      </c>
      <c r="AO25" s="134">
        <f>IF($B25="",0,SUMPRODUCT(-('Gastos Gerais'!$F$4:$F$3632='Gastos das Atividades'!$B25),-('Gastos das Atividades'!AO$3&gt;='Gastos Gerais'!$D$4:$D$3632),-('Gastos das Atividades'!AO$3&lt;='Gastos Gerais'!$E$4:$E$3632),-('Gastos Gerais'!$C$4:$C$3632)))</f>
        <v>0</v>
      </c>
      <c r="AP25" s="134">
        <f>IF($B25="",0,SUMPRODUCT(-('Gastos Gerais'!$F$4:$F$3632='Gastos das Atividades'!$B25),-('Gastos das Atividades'!AP$3&gt;='Gastos Gerais'!$D$4:$D$3632),-('Gastos das Atividades'!AP$3&lt;='Gastos Gerais'!$E$4:$E$3632),-('Gastos Gerais'!$C$4:$C$3632)))</f>
        <v>0</v>
      </c>
      <c r="AQ25" s="134">
        <f>IF($B25="",0,SUMPRODUCT(-('Gastos Gerais'!$F$4:$F$3632='Gastos das Atividades'!$B25),-('Gastos das Atividades'!AQ$3&gt;='Gastos Gerais'!$D$4:$D$3632),-('Gastos das Atividades'!AQ$3&lt;='Gastos Gerais'!$E$4:$E$3632),-('Gastos Gerais'!$C$4:$C$3632)))</f>
        <v>0</v>
      </c>
      <c r="AR25" s="134">
        <f>IF($B25="",0,SUMPRODUCT(-('Gastos Gerais'!$F$4:$F$3632='Gastos das Atividades'!$B25),-('Gastos das Atividades'!AR$3&gt;='Gastos Gerais'!$D$4:$D$3632),-('Gastos das Atividades'!AR$3&lt;='Gastos Gerais'!$E$4:$E$3632),-('Gastos Gerais'!$C$4:$C$3632)))</f>
        <v>0</v>
      </c>
      <c r="AS25" s="134">
        <f>IF($B25="",0,SUMPRODUCT(-('Gastos Gerais'!$F$4:$F$3632='Gastos das Atividades'!$B25),-('Gastos das Atividades'!AS$3&gt;='Gastos Gerais'!$D$4:$D$3632),-('Gastos das Atividades'!AS$3&lt;='Gastos Gerais'!$E$4:$E$3632),-('Gastos Gerais'!$C$4:$C$3632)))</f>
        <v>0</v>
      </c>
      <c r="AT25" s="134">
        <f>IF($B25="",0,SUMPRODUCT(-('Gastos Gerais'!$F$4:$F$3632='Gastos das Atividades'!$B25),-('Gastos das Atividades'!AT$3&gt;='Gastos Gerais'!$D$4:$D$3632),-('Gastos das Atividades'!AT$3&lt;='Gastos Gerais'!$E$4:$E$3632),-('Gastos Gerais'!$C$4:$C$3632)))</f>
        <v>0</v>
      </c>
      <c r="AU25" s="134">
        <f>IF($B25="",0,SUMPRODUCT(-('Gastos Gerais'!$F$4:$F$3632='Gastos das Atividades'!$B25),-('Gastos das Atividades'!AU$3&gt;='Gastos Gerais'!$D$4:$D$3632),-('Gastos das Atividades'!AU$3&lt;='Gastos Gerais'!$E$4:$E$3632),-('Gastos Gerais'!$C$4:$C$3632)))</f>
        <v>0</v>
      </c>
      <c r="AV25" s="134">
        <f>IF($B25="",0,SUMPRODUCT(-('Gastos Gerais'!$F$4:$F$3632='Gastos das Atividades'!$B25),-('Gastos das Atividades'!AV$3&gt;='Gastos Gerais'!$D$4:$D$3632),-('Gastos das Atividades'!AV$3&lt;='Gastos Gerais'!$E$4:$E$3632),-('Gastos Gerais'!$C$4:$C$3632)))</f>
        <v>0</v>
      </c>
      <c r="AW25" s="134">
        <f>IF($B25="",0,SUMPRODUCT(-('Gastos Gerais'!$F$4:$F$3632='Gastos das Atividades'!$B25),-('Gastos das Atividades'!AW$3&gt;='Gastos Gerais'!$D$4:$D$3632),-('Gastos das Atividades'!AW$3&lt;='Gastos Gerais'!$E$4:$E$3632),-('Gastos Gerais'!$C$4:$C$3632)))</f>
        <v>0</v>
      </c>
      <c r="AX25" s="134">
        <f>IF($B25="",0,SUMPRODUCT(-('Gastos Gerais'!$F$4:$F$3632='Gastos das Atividades'!$B25),-('Gastos das Atividades'!AX$3&gt;='Gastos Gerais'!$D$4:$D$3632),-('Gastos das Atividades'!AX$3&lt;='Gastos Gerais'!$E$4:$E$3632),-('Gastos Gerais'!$C$4:$C$3632)))</f>
        <v>0</v>
      </c>
      <c r="AY25" s="134">
        <f>IF($B25="",0,SUMPRODUCT(-('Gastos Gerais'!$F$4:$F$3632='Gastos das Atividades'!$B25),-('Gastos das Atividades'!AY$3&gt;='Gastos Gerais'!$D$4:$D$3632),-('Gastos das Atividades'!AY$3&lt;='Gastos Gerais'!$E$4:$E$3632),-('Gastos Gerais'!$C$4:$C$3632)))</f>
        <v>0</v>
      </c>
      <c r="AZ25" s="134">
        <f>IF($B25="",0,SUMPRODUCT(-('Gastos Gerais'!$F$4:$F$3632='Gastos das Atividades'!$B25),-('Gastos das Atividades'!AZ$3&gt;='Gastos Gerais'!$D$4:$D$3632),-('Gastos das Atividades'!AZ$3&lt;='Gastos Gerais'!$E$4:$E$3632),-('Gastos Gerais'!$C$4:$C$3632)))</f>
        <v>0</v>
      </c>
      <c r="BA25" s="134">
        <f>IF($B25="",0,SUMPRODUCT(-('Gastos Gerais'!$F$4:$F$3632='Gastos das Atividades'!$B25),-('Gastos das Atividades'!BA$3&gt;='Gastos Gerais'!$D$4:$D$3632),-('Gastos das Atividades'!BA$3&lt;='Gastos Gerais'!$E$4:$E$3632),-('Gastos Gerais'!$C$4:$C$3632)))</f>
        <v>0</v>
      </c>
      <c r="BB25" s="134">
        <f>IF($B25="",0,SUMPRODUCT(-('Gastos Gerais'!$F$4:$F$3632='Gastos das Atividades'!$B25),-('Gastos das Atividades'!BB$3&gt;='Gastos Gerais'!$D$4:$D$3632),-('Gastos das Atividades'!BB$3&lt;='Gastos Gerais'!$E$4:$E$3632),-('Gastos Gerais'!$C$4:$C$3632)))</f>
        <v>0</v>
      </c>
      <c r="BC25" s="134">
        <f>IF($B25="",0,SUMPRODUCT(-('Gastos Gerais'!$F$4:$F$3632='Gastos das Atividades'!$B25),-('Gastos das Atividades'!BC$3&gt;='Gastos Gerais'!$D$4:$D$3632),-('Gastos das Atividades'!BC$3&lt;='Gastos Gerais'!$E$4:$E$3632),-('Gastos Gerais'!$C$4:$C$3632)))</f>
        <v>0</v>
      </c>
      <c r="BD25" s="134">
        <f>IF($B25="",0,SUMPRODUCT(-('Gastos Gerais'!$F$4:$F$3632='Gastos das Atividades'!$B25),-('Gastos das Atividades'!BD$3&gt;='Gastos Gerais'!$D$4:$D$3632),-('Gastos das Atividades'!BD$3&lt;='Gastos Gerais'!$E$4:$E$3632),-('Gastos Gerais'!$C$4:$C$3632)))</f>
        <v>0</v>
      </c>
      <c r="BE25" s="134">
        <f>IF($B25="",0,SUMPRODUCT(-('Gastos Gerais'!$F$4:$F$3632='Gastos das Atividades'!$B25),-('Gastos das Atividades'!BE$3&gt;='Gastos Gerais'!$D$4:$D$3632),-('Gastos das Atividades'!BE$3&lt;='Gastos Gerais'!$E$4:$E$3632),-('Gastos Gerais'!$C$4:$C$3632)))</f>
        <v>0</v>
      </c>
      <c r="BF25" s="134">
        <f>IF($B25="",0,SUMPRODUCT(-('Gastos Gerais'!$F$4:$F$3632='Gastos das Atividades'!$B25),-('Gastos das Atividades'!BF$3&gt;='Gastos Gerais'!$D$4:$D$3632),-('Gastos das Atividades'!BF$3&lt;='Gastos Gerais'!$E$4:$E$3632),-('Gastos Gerais'!$C$4:$C$3632)))</f>
        <v>0</v>
      </c>
      <c r="BG25" s="134">
        <f>IF($B25="",0,SUMPRODUCT(-('Gastos Gerais'!$F$4:$F$3632='Gastos das Atividades'!$B25),-('Gastos das Atividades'!BG$3&gt;='Gastos Gerais'!$D$4:$D$3632),-('Gastos das Atividades'!BG$3&lt;='Gastos Gerais'!$E$4:$E$3632),-('Gastos Gerais'!$C$4:$C$3632)))</f>
        <v>0</v>
      </c>
      <c r="BH25" s="134">
        <f>IF($B25="",0,SUMPRODUCT(-('Gastos Gerais'!$F$4:$F$3632='Gastos das Atividades'!$B25),-('Gastos das Atividades'!BH$3&gt;='Gastos Gerais'!$D$4:$D$3632),-('Gastos das Atividades'!BH$3&lt;='Gastos Gerais'!$E$4:$E$3632),-('Gastos Gerais'!$C$4:$C$3632)))</f>
        <v>0</v>
      </c>
      <c r="BI25" s="134">
        <f>IF($B25="",0,SUMPRODUCT(-('Gastos Gerais'!$F$4:$F$3632='Gastos das Atividades'!$B25),-('Gastos das Atividades'!BI$3&gt;='Gastos Gerais'!$D$4:$D$3632),-('Gastos das Atividades'!BI$3&lt;='Gastos Gerais'!$E$4:$E$3632),-('Gastos Gerais'!$C$4:$C$3632)))</f>
        <v>0</v>
      </c>
      <c r="BJ25" s="134">
        <f>IF($B25="",0,SUMPRODUCT(-('Gastos Gerais'!$F$4:$F$3632='Gastos das Atividades'!$B25),-('Gastos das Atividades'!BJ$3&gt;='Gastos Gerais'!$D$4:$D$3632),-('Gastos das Atividades'!BJ$3&lt;='Gastos Gerais'!$E$4:$E$3632),-('Gastos Gerais'!$C$4:$C$3632)))</f>
        <v>0</v>
      </c>
      <c r="BK25" s="134">
        <f>IF($B25="",0,SUMPRODUCT(-('Gastos Gerais'!$F$4:$F$3632='Gastos das Atividades'!$B25),-('Gastos das Atividades'!BK$3&gt;='Gastos Gerais'!$D$4:$D$3632),-('Gastos das Atividades'!BK$3&lt;='Gastos Gerais'!$E$4:$E$3632),-('Gastos Gerais'!$C$4:$C$3632)))</f>
        <v>0</v>
      </c>
      <c r="BL25" s="134">
        <f>IF($B25="",0,SUMPRODUCT(-('Gastos Gerais'!$F$4:$F$3632='Gastos das Atividades'!$B25),-('Gastos das Atividades'!BL$3&gt;='Gastos Gerais'!$D$4:$D$3632),-('Gastos das Atividades'!BL$3&lt;='Gastos Gerais'!$E$4:$E$3632),-('Gastos Gerais'!$C$4:$C$3632)))</f>
        <v>0</v>
      </c>
      <c r="BM25" s="134">
        <f>IF($B25="",0,SUMPRODUCT(-('Gastos Gerais'!$F$4:$F$3632='Gastos das Atividades'!$B25),-('Gastos das Atividades'!BM$3&gt;='Gastos Gerais'!$D$4:$D$3632),-('Gastos das Atividades'!BM$3&lt;='Gastos Gerais'!$E$4:$E$3632),-('Gastos Gerais'!$C$4:$C$3632)))</f>
        <v>0</v>
      </c>
      <c r="BN25" s="134">
        <f>IF($B25="",0,SUMPRODUCT(-('Gastos Gerais'!$F$4:$F$3632='Gastos das Atividades'!$B25),-('Gastos das Atividades'!BN$3&gt;='Gastos Gerais'!$D$4:$D$3632),-('Gastos das Atividades'!BN$3&lt;='Gastos Gerais'!$E$4:$E$3632),-('Gastos Gerais'!$C$4:$C$3632)))</f>
        <v>0</v>
      </c>
      <c r="BO25" s="134">
        <f>IF($B25="",0,SUMPRODUCT(-('Gastos Gerais'!$F$4:$F$3632='Gastos das Atividades'!$B25),-('Gastos das Atividades'!BO$3&gt;='Gastos Gerais'!$D$4:$D$3632),-('Gastos das Atividades'!BO$3&lt;='Gastos Gerais'!$E$4:$E$3632),-('Gastos Gerais'!$C$4:$C$3632)))</f>
        <v>0</v>
      </c>
      <c r="BP25" s="134">
        <f>IF($B25="",0,SUMPRODUCT(-('Gastos Gerais'!$F$4:$F$3632='Gastos das Atividades'!$B25),-('Gastos das Atividades'!BP$3&gt;='Gastos Gerais'!$D$4:$D$3632),-('Gastos das Atividades'!BP$3&lt;='Gastos Gerais'!$E$4:$E$3632),-('Gastos Gerais'!$C$4:$C$3632)))</f>
        <v>0</v>
      </c>
      <c r="BQ25" s="134">
        <f>IF($B25="",0,SUMPRODUCT(-('Gastos Gerais'!$F$4:$F$3632='Gastos das Atividades'!$B25),-('Gastos das Atividades'!BQ$3&gt;='Gastos Gerais'!$D$4:$D$3632),-('Gastos das Atividades'!BQ$3&lt;='Gastos Gerais'!$E$4:$E$3632),-('Gastos Gerais'!$C$4:$C$3632)))</f>
        <v>0</v>
      </c>
      <c r="BR25" s="134">
        <f>IF($B25="",0,SUMPRODUCT(-('Gastos Gerais'!$F$4:$F$3632='Gastos das Atividades'!$B25),-('Gastos das Atividades'!BR$3&gt;='Gastos Gerais'!$D$4:$D$3632),-('Gastos das Atividades'!BR$3&lt;='Gastos Gerais'!$E$4:$E$3632),-('Gastos Gerais'!$C$4:$C$3632)))</f>
        <v>0</v>
      </c>
      <c r="BS25" s="134">
        <f>IF($B25="",0,SUMPRODUCT(-('Gastos Gerais'!$F$4:$F$3632='Gastos das Atividades'!$B25),-('Gastos das Atividades'!BS$3&gt;='Gastos Gerais'!$D$4:$D$3632),-('Gastos das Atividades'!BS$3&lt;='Gastos Gerais'!$E$4:$E$3632),-('Gastos Gerais'!$C$4:$C$3632)))</f>
        <v>0</v>
      </c>
      <c r="BT25" s="134">
        <f>IF($B25="",0,SUMPRODUCT(-('Gastos Gerais'!$F$4:$F$3632='Gastos das Atividades'!$B25),-('Gastos das Atividades'!BT$3&gt;='Gastos Gerais'!$D$4:$D$3632),-('Gastos das Atividades'!BT$3&lt;='Gastos Gerais'!$E$4:$E$3632),-('Gastos Gerais'!$C$4:$C$3632)))</f>
        <v>0</v>
      </c>
      <c r="BU25" s="134">
        <f>IF($B25="",0,SUMPRODUCT(-('Gastos Gerais'!$F$4:$F$3632='Gastos das Atividades'!$B25),-('Gastos das Atividades'!BU$3&gt;='Gastos Gerais'!$D$4:$D$3632),-('Gastos das Atividades'!BU$3&lt;='Gastos Gerais'!$E$4:$E$3632),-('Gastos Gerais'!$C$4:$C$3632)))</f>
        <v>0</v>
      </c>
      <c r="BV25" s="134">
        <f>IF($B25="",0,SUMPRODUCT(-('Gastos Gerais'!$F$4:$F$3632='Gastos das Atividades'!$B25),-('Gastos das Atividades'!BV$3&gt;='Gastos Gerais'!$D$4:$D$3632),-('Gastos das Atividades'!BV$3&lt;='Gastos Gerais'!$E$4:$E$3632),-('Gastos Gerais'!$C$4:$C$3632)))</f>
        <v>0</v>
      </c>
      <c r="BW25" s="134">
        <f>IF($B25="",0,SUMPRODUCT(-('Gastos Gerais'!$F$4:$F$3632='Gastos das Atividades'!$B25),-('Gastos das Atividades'!BW$3&gt;='Gastos Gerais'!$D$4:$D$3632),-('Gastos das Atividades'!BW$3&lt;='Gastos Gerais'!$E$4:$E$3632),-('Gastos Gerais'!$C$4:$C$3632)))</f>
        <v>0</v>
      </c>
    </row>
    <row r="26" spans="1:75">
      <c r="A26" s="138">
        <v>23</v>
      </c>
      <c r="B26" s="139"/>
      <c r="C26" s="132">
        <v>0</v>
      </c>
      <c r="D26" s="133">
        <f t="shared" si="0"/>
        <v>0</v>
      </c>
      <c r="E26" s="134">
        <f t="shared" si="1"/>
        <v>0</v>
      </c>
      <c r="F26" s="134">
        <f t="shared" si="1"/>
        <v>0</v>
      </c>
      <c r="G26" s="134">
        <f t="shared" si="1"/>
        <v>0</v>
      </c>
      <c r="H26" s="134">
        <f t="shared" si="1"/>
        <v>0</v>
      </c>
      <c r="I26" s="135">
        <f t="shared" si="2"/>
        <v>0</v>
      </c>
      <c r="J26" s="136">
        <f t="shared" si="3"/>
        <v>0</v>
      </c>
      <c r="K26" s="136">
        <f t="shared" si="4"/>
        <v>0</v>
      </c>
      <c r="L26" s="136">
        <f t="shared" si="5"/>
        <v>0</v>
      </c>
      <c r="M26" s="136">
        <f t="shared" si="6"/>
        <v>0</v>
      </c>
      <c r="N26" s="136">
        <f t="shared" si="7"/>
        <v>0</v>
      </c>
      <c r="O26" s="137">
        <f t="shared" si="8"/>
        <v>0</v>
      </c>
      <c r="P26" s="134">
        <f>IF($B26="",0,SUMPRODUCT(-('Gastos Gerais'!$F$4:$F$3632='Gastos das Atividades'!$B26),-('Gastos das Atividades'!P$3&gt;='Gastos Gerais'!$D$4:$D$3632),-('Gastos das Atividades'!P$3&lt;='Gastos Gerais'!$E$4:$E$3632),-('Gastos Gerais'!$C$4:$C$3632)))</f>
        <v>0</v>
      </c>
      <c r="Q26" s="134">
        <f>IF($B26="",0,SUMPRODUCT(-('Gastos Gerais'!$F$4:$F$3632='Gastos das Atividades'!$B26),-('Gastos das Atividades'!Q$3&gt;='Gastos Gerais'!$D$4:$D$3632),-('Gastos das Atividades'!Q$3&lt;='Gastos Gerais'!$E$4:$E$3632),-('Gastos Gerais'!$C$4:$C$3632)))</f>
        <v>0</v>
      </c>
      <c r="R26" s="134">
        <f>IF($B26="",0,SUMPRODUCT(-('Gastos Gerais'!$F$4:$F$3632='Gastos das Atividades'!$B26),-('Gastos das Atividades'!R$3&gt;='Gastos Gerais'!$D$4:$D$3632),-('Gastos das Atividades'!R$3&lt;='Gastos Gerais'!$E$4:$E$3632),-('Gastos Gerais'!$C$4:$C$3632)))</f>
        <v>0</v>
      </c>
      <c r="S26" s="134">
        <f>IF($B26="",0,SUMPRODUCT(-('Gastos Gerais'!$F$4:$F$3632='Gastos das Atividades'!$B26),-('Gastos das Atividades'!S$3&gt;='Gastos Gerais'!$D$4:$D$3632),-('Gastos das Atividades'!S$3&lt;='Gastos Gerais'!$E$4:$E$3632),-('Gastos Gerais'!$C$4:$C$3632)))</f>
        <v>0</v>
      </c>
      <c r="T26" s="134">
        <f>IF($B26="",0,SUMPRODUCT(-('Gastos Gerais'!$F$4:$F$3632='Gastos das Atividades'!$B26),-('Gastos das Atividades'!T$3&gt;='Gastos Gerais'!$D$4:$D$3632),-('Gastos das Atividades'!T$3&lt;='Gastos Gerais'!$E$4:$E$3632),-('Gastos Gerais'!$C$4:$C$3632)))</f>
        <v>0</v>
      </c>
      <c r="U26" s="134">
        <f>IF($B26="",0,SUMPRODUCT(-('Gastos Gerais'!$F$4:$F$3632='Gastos das Atividades'!$B26),-('Gastos das Atividades'!U$3&gt;='Gastos Gerais'!$D$4:$D$3632),-('Gastos das Atividades'!U$3&lt;='Gastos Gerais'!$E$4:$E$3632),-('Gastos Gerais'!$C$4:$C$3632)))</f>
        <v>0</v>
      </c>
      <c r="V26" s="134">
        <f>IF($B26="",0,SUMPRODUCT(-('Gastos Gerais'!$F$4:$F$3632='Gastos das Atividades'!$B26),-('Gastos das Atividades'!V$3&gt;='Gastos Gerais'!$D$4:$D$3632),-('Gastos das Atividades'!V$3&lt;='Gastos Gerais'!$E$4:$E$3632),-('Gastos Gerais'!$C$4:$C$3632)))</f>
        <v>0</v>
      </c>
      <c r="W26" s="134">
        <f>IF($B26="",0,SUMPRODUCT(-('Gastos Gerais'!$F$4:$F$3632='Gastos das Atividades'!$B26),-('Gastos das Atividades'!W$3&gt;='Gastos Gerais'!$D$4:$D$3632),-('Gastos das Atividades'!W$3&lt;='Gastos Gerais'!$E$4:$E$3632),-('Gastos Gerais'!$C$4:$C$3632)))</f>
        <v>0</v>
      </c>
      <c r="X26" s="134">
        <f>IF($B26="",0,SUMPRODUCT(-('Gastos Gerais'!$F$4:$F$3632='Gastos das Atividades'!$B26),-('Gastos das Atividades'!X$3&gt;='Gastos Gerais'!$D$4:$D$3632),-('Gastos das Atividades'!X$3&lt;='Gastos Gerais'!$E$4:$E$3632),-('Gastos Gerais'!$C$4:$C$3632)))</f>
        <v>0</v>
      </c>
      <c r="Y26" s="134">
        <f>IF($B26="",0,SUMPRODUCT(-('Gastos Gerais'!$F$4:$F$3632='Gastos das Atividades'!$B26),-('Gastos das Atividades'!Y$3&gt;='Gastos Gerais'!$D$4:$D$3632),-('Gastos das Atividades'!Y$3&lt;='Gastos Gerais'!$E$4:$E$3632),-('Gastos Gerais'!$C$4:$C$3632)))</f>
        <v>0</v>
      </c>
      <c r="Z26" s="134">
        <f>IF($B26="",0,SUMPRODUCT(-('Gastos Gerais'!$F$4:$F$3632='Gastos das Atividades'!$B26),-('Gastos das Atividades'!Z$3&gt;='Gastos Gerais'!$D$4:$D$3632),-('Gastos das Atividades'!Z$3&lt;='Gastos Gerais'!$E$4:$E$3632),-('Gastos Gerais'!$C$4:$C$3632)))</f>
        <v>0</v>
      </c>
      <c r="AA26" s="134">
        <f>IF($B26="",0,SUMPRODUCT(-('Gastos Gerais'!$F$4:$F$3632='Gastos das Atividades'!$B26),-('Gastos das Atividades'!AA$3&gt;='Gastos Gerais'!$D$4:$D$3632),-('Gastos das Atividades'!AA$3&lt;='Gastos Gerais'!$E$4:$E$3632),-('Gastos Gerais'!$C$4:$C$3632)))</f>
        <v>0</v>
      </c>
      <c r="AB26" s="134">
        <f>IF($B26="",0,SUMPRODUCT(-('Gastos Gerais'!$F$4:$F$3632='Gastos das Atividades'!$B26),-('Gastos das Atividades'!AB$3&gt;='Gastos Gerais'!$D$4:$D$3632),-('Gastos das Atividades'!AB$3&lt;='Gastos Gerais'!$E$4:$E$3632),-('Gastos Gerais'!$C$4:$C$3632)))</f>
        <v>0</v>
      </c>
      <c r="AC26" s="134">
        <f>IF($B26="",0,SUMPRODUCT(-('Gastos Gerais'!$F$4:$F$3632='Gastos das Atividades'!$B26),-('Gastos das Atividades'!AC$3&gt;='Gastos Gerais'!$D$4:$D$3632),-('Gastos das Atividades'!AC$3&lt;='Gastos Gerais'!$E$4:$E$3632),-('Gastos Gerais'!$C$4:$C$3632)))</f>
        <v>0</v>
      </c>
      <c r="AD26" s="134">
        <f>IF($B26="",0,SUMPRODUCT(-('Gastos Gerais'!$F$4:$F$3632='Gastos das Atividades'!$B26),-('Gastos das Atividades'!AD$3&gt;='Gastos Gerais'!$D$4:$D$3632),-('Gastos das Atividades'!AD$3&lt;='Gastos Gerais'!$E$4:$E$3632),-('Gastos Gerais'!$C$4:$C$3632)))</f>
        <v>0</v>
      </c>
      <c r="AE26" s="134">
        <f>IF($B26="",0,SUMPRODUCT(-('Gastos Gerais'!$F$4:$F$3632='Gastos das Atividades'!$B26),-('Gastos das Atividades'!AE$3&gt;='Gastos Gerais'!$D$4:$D$3632),-('Gastos das Atividades'!AE$3&lt;='Gastos Gerais'!$E$4:$E$3632),-('Gastos Gerais'!$C$4:$C$3632)))</f>
        <v>0</v>
      </c>
      <c r="AF26" s="134">
        <f>IF($B26="",0,SUMPRODUCT(-('Gastos Gerais'!$F$4:$F$3632='Gastos das Atividades'!$B26),-('Gastos das Atividades'!AF$3&gt;='Gastos Gerais'!$D$4:$D$3632),-('Gastos das Atividades'!AF$3&lt;='Gastos Gerais'!$E$4:$E$3632),-('Gastos Gerais'!$C$4:$C$3632)))</f>
        <v>0</v>
      </c>
      <c r="AG26" s="134">
        <f>IF($B26="",0,SUMPRODUCT(-('Gastos Gerais'!$F$4:$F$3632='Gastos das Atividades'!$B26),-('Gastos das Atividades'!AG$3&gt;='Gastos Gerais'!$D$4:$D$3632),-('Gastos das Atividades'!AG$3&lt;='Gastos Gerais'!$E$4:$E$3632),-('Gastos Gerais'!$C$4:$C$3632)))</f>
        <v>0</v>
      </c>
      <c r="AH26" s="134">
        <f>IF($B26="",0,SUMPRODUCT(-('Gastos Gerais'!$F$4:$F$3632='Gastos das Atividades'!$B26),-('Gastos das Atividades'!AH$3&gt;='Gastos Gerais'!$D$4:$D$3632),-('Gastos das Atividades'!AH$3&lt;='Gastos Gerais'!$E$4:$E$3632),-('Gastos Gerais'!$C$4:$C$3632)))</f>
        <v>0</v>
      </c>
      <c r="AI26" s="134">
        <f>IF($B26="",0,SUMPRODUCT(-('Gastos Gerais'!$F$4:$F$3632='Gastos das Atividades'!$B26),-('Gastos das Atividades'!AI$3&gt;='Gastos Gerais'!$D$4:$D$3632),-('Gastos das Atividades'!AI$3&lt;='Gastos Gerais'!$E$4:$E$3632),-('Gastos Gerais'!$C$4:$C$3632)))</f>
        <v>0</v>
      </c>
      <c r="AJ26" s="134">
        <f>IF($B26="",0,SUMPRODUCT(-('Gastos Gerais'!$F$4:$F$3632='Gastos das Atividades'!$B26),-('Gastos das Atividades'!AJ$3&gt;='Gastos Gerais'!$D$4:$D$3632),-('Gastos das Atividades'!AJ$3&lt;='Gastos Gerais'!$E$4:$E$3632),-('Gastos Gerais'!$C$4:$C$3632)))</f>
        <v>0</v>
      </c>
      <c r="AK26" s="134">
        <f>IF($B26="",0,SUMPRODUCT(-('Gastos Gerais'!$F$4:$F$3632='Gastos das Atividades'!$B26),-('Gastos das Atividades'!AK$3&gt;='Gastos Gerais'!$D$4:$D$3632),-('Gastos das Atividades'!AK$3&lt;='Gastos Gerais'!$E$4:$E$3632),-('Gastos Gerais'!$C$4:$C$3632)))</f>
        <v>0</v>
      </c>
      <c r="AL26" s="134">
        <f>IF($B26="",0,SUMPRODUCT(-('Gastos Gerais'!$F$4:$F$3632='Gastos das Atividades'!$B26),-('Gastos das Atividades'!AL$3&gt;='Gastos Gerais'!$D$4:$D$3632),-('Gastos das Atividades'!AL$3&lt;='Gastos Gerais'!$E$4:$E$3632),-('Gastos Gerais'!$C$4:$C$3632)))</f>
        <v>0</v>
      </c>
      <c r="AM26" s="134">
        <f>IF($B26="",0,SUMPRODUCT(-('Gastos Gerais'!$F$4:$F$3632='Gastos das Atividades'!$B26),-('Gastos das Atividades'!AM$3&gt;='Gastos Gerais'!$D$4:$D$3632),-('Gastos das Atividades'!AM$3&lt;='Gastos Gerais'!$E$4:$E$3632),-('Gastos Gerais'!$C$4:$C$3632)))</f>
        <v>0</v>
      </c>
      <c r="AN26" s="134">
        <f>IF($B26="",0,SUMPRODUCT(-('Gastos Gerais'!$F$4:$F$3632='Gastos das Atividades'!$B26),-('Gastos das Atividades'!AN$3&gt;='Gastos Gerais'!$D$4:$D$3632),-('Gastos das Atividades'!AN$3&lt;='Gastos Gerais'!$E$4:$E$3632),-('Gastos Gerais'!$C$4:$C$3632)))</f>
        <v>0</v>
      </c>
      <c r="AO26" s="134">
        <f>IF($B26="",0,SUMPRODUCT(-('Gastos Gerais'!$F$4:$F$3632='Gastos das Atividades'!$B26),-('Gastos das Atividades'!AO$3&gt;='Gastos Gerais'!$D$4:$D$3632),-('Gastos das Atividades'!AO$3&lt;='Gastos Gerais'!$E$4:$E$3632),-('Gastos Gerais'!$C$4:$C$3632)))</f>
        <v>0</v>
      </c>
      <c r="AP26" s="134">
        <f>IF($B26="",0,SUMPRODUCT(-('Gastos Gerais'!$F$4:$F$3632='Gastos das Atividades'!$B26),-('Gastos das Atividades'!AP$3&gt;='Gastos Gerais'!$D$4:$D$3632),-('Gastos das Atividades'!AP$3&lt;='Gastos Gerais'!$E$4:$E$3632),-('Gastos Gerais'!$C$4:$C$3632)))</f>
        <v>0</v>
      </c>
      <c r="AQ26" s="134">
        <f>IF($B26="",0,SUMPRODUCT(-('Gastos Gerais'!$F$4:$F$3632='Gastos das Atividades'!$B26),-('Gastos das Atividades'!AQ$3&gt;='Gastos Gerais'!$D$4:$D$3632),-('Gastos das Atividades'!AQ$3&lt;='Gastos Gerais'!$E$4:$E$3632),-('Gastos Gerais'!$C$4:$C$3632)))</f>
        <v>0</v>
      </c>
      <c r="AR26" s="134">
        <f>IF($B26="",0,SUMPRODUCT(-('Gastos Gerais'!$F$4:$F$3632='Gastos das Atividades'!$B26),-('Gastos das Atividades'!AR$3&gt;='Gastos Gerais'!$D$4:$D$3632),-('Gastos das Atividades'!AR$3&lt;='Gastos Gerais'!$E$4:$E$3632),-('Gastos Gerais'!$C$4:$C$3632)))</f>
        <v>0</v>
      </c>
      <c r="AS26" s="134">
        <f>IF($B26="",0,SUMPRODUCT(-('Gastos Gerais'!$F$4:$F$3632='Gastos das Atividades'!$B26),-('Gastos das Atividades'!AS$3&gt;='Gastos Gerais'!$D$4:$D$3632),-('Gastos das Atividades'!AS$3&lt;='Gastos Gerais'!$E$4:$E$3632),-('Gastos Gerais'!$C$4:$C$3632)))</f>
        <v>0</v>
      </c>
      <c r="AT26" s="134">
        <f>IF($B26="",0,SUMPRODUCT(-('Gastos Gerais'!$F$4:$F$3632='Gastos das Atividades'!$B26),-('Gastos das Atividades'!AT$3&gt;='Gastos Gerais'!$D$4:$D$3632),-('Gastos das Atividades'!AT$3&lt;='Gastos Gerais'!$E$4:$E$3632),-('Gastos Gerais'!$C$4:$C$3632)))</f>
        <v>0</v>
      </c>
      <c r="AU26" s="134">
        <f>IF($B26="",0,SUMPRODUCT(-('Gastos Gerais'!$F$4:$F$3632='Gastos das Atividades'!$B26),-('Gastos das Atividades'!AU$3&gt;='Gastos Gerais'!$D$4:$D$3632),-('Gastos das Atividades'!AU$3&lt;='Gastos Gerais'!$E$4:$E$3632),-('Gastos Gerais'!$C$4:$C$3632)))</f>
        <v>0</v>
      </c>
      <c r="AV26" s="134">
        <f>IF($B26="",0,SUMPRODUCT(-('Gastos Gerais'!$F$4:$F$3632='Gastos das Atividades'!$B26),-('Gastos das Atividades'!AV$3&gt;='Gastos Gerais'!$D$4:$D$3632),-('Gastos das Atividades'!AV$3&lt;='Gastos Gerais'!$E$4:$E$3632),-('Gastos Gerais'!$C$4:$C$3632)))</f>
        <v>0</v>
      </c>
      <c r="AW26" s="134">
        <f>IF($B26="",0,SUMPRODUCT(-('Gastos Gerais'!$F$4:$F$3632='Gastos das Atividades'!$B26),-('Gastos das Atividades'!AW$3&gt;='Gastos Gerais'!$D$4:$D$3632),-('Gastos das Atividades'!AW$3&lt;='Gastos Gerais'!$E$4:$E$3632),-('Gastos Gerais'!$C$4:$C$3632)))</f>
        <v>0</v>
      </c>
      <c r="AX26" s="134">
        <f>IF($B26="",0,SUMPRODUCT(-('Gastos Gerais'!$F$4:$F$3632='Gastos das Atividades'!$B26),-('Gastos das Atividades'!AX$3&gt;='Gastos Gerais'!$D$4:$D$3632),-('Gastos das Atividades'!AX$3&lt;='Gastos Gerais'!$E$4:$E$3632),-('Gastos Gerais'!$C$4:$C$3632)))</f>
        <v>0</v>
      </c>
      <c r="AY26" s="134">
        <f>IF($B26="",0,SUMPRODUCT(-('Gastos Gerais'!$F$4:$F$3632='Gastos das Atividades'!$B26),-('Gastos das Atividades'!AY$3&gt;='Gastos Gerais'!$D$4:$D$3632),-('Gastos das Atividades'!AY$3&lt;='Gastos Gerais'!$E$4:$E$3632),-('Gastos Gerais'!$C$4:$C$3632)))</f>
        <v>0</v>
      </c>
      <c r="AZ26" s="134">
        <f>IF($B26="",0,SUMPRODUCT(-('Gastos Gerais'!$F$4:$F$3632='Gastos das Atividades'!$B26),-('Gastos das Atividades'!AZ$3&gt;='Gastos Gerais'!$D$4:$D$3632),-('Gastos das Atividades'!AZ$3&lt;='Gastos Gerais'!$E$4:$E$3632),-('Gastos Gerais'!$C$4:$C$3632)))</f>
        <v>0</v>
      </c>
      <c r="BA26" s="134">
        <f>IF($B26="",0,SUMPRODUCT(-('Gastos Gerais'!$F$4:$F$3632='Gastos das Atividades'!$B26),-('Gastos das Atividades'!BA$3&gt;='Gastos Gerais'!$D$4:$D$3632),-('Gastos das Atividades'!BA$3&lt;='Gastos Gerais'!$E$4:$E$3632),-('Gastos Gerais'!$C$4:$C$3632)))</f>
        <v>0</v>
      </c>
      <c r="BB26" s="134">
        <f>IF($B26="",0,SUMPRODUCT(-('Gastos Gerais'!$F$4:$F$3632='Gastos das Atividades'!$B26),-('Gastos das Atividades'!BB$3&gt;='Gastos Gerais'!$D$4:$D$3632),-('Gastos das Atividades'!BB$3&lt;='Gastos Gerais'!$E$4:$E$3632),-('Gastos Gerais'!$C$4:$C$3632)))</f>
        <v>0</v>
      </c>
      <c r="BC26" s="134">
        <f>IF($B26="",0,SUMPRODUCT(-('Gastos Gerais'!$F$4:$F$3632='Gastos das Atividades'!$B26),-('Gastos das Atividades'!BC$3&gt;='Gastos Gerais'!$D$4:$D$3632),-('Gastos das Atividades'!BC$3&lt;='Gastos Gerais'!$E$4:$E$3632),-('Gastos Gerais'!$C$4:$C$3632)))</f>
        <v>0</v>
      </c>
      <c r="BD26" s="134">
        <f>IF($B26="",0,SUMPRODUCT(-('Gastos Gerais'!$F$4:$F$3632='Gastos das Atividades'!$B26),-('Gastos das Atividades'!BD$3&gt;='Gastos Gerais'!$D$4:$D$3632),-('Gastos das Atividades'!BD$3&lt;='Gastos Gerais'!$E$4:$E$3632),-('Gastos Gerais'!$C$4:$C$3632)))</f>
        <v>0</v>
      </c>
      <c r="BE26" s="134">
        <f>IF($B26="",0,SUMPRODUCT(-('Gastos Gerais'!$F$4:$F$3632='Gastos das Atividades'!$B26),-('Gastos das Atividades'!BE$3&gt;='Gastos Gerais'!$D$4:$D$3632),-('Gastos das Atividades'!BE$3&lt;='Gastos Gerais'!$E$4:$E$3632),-('Gastos Gerais'!$C$4:$C$3632)))</f>
        <v>0</v>
      </c>
      <c r="BF26" s="134">
        <f>IF($B26="",0,SUMPRODUCT(-('Gastos Gerais'!$F$4:$F$3632='Gastos das Atividades'!$B26),-('Gastos das Atividades'!BF$3&gt;='Gastos Gerais'!$D$4:$D$3632),-('Gastos das Atividades'!BF$3&lt;='Gastos Gerais'!$E$4:$E$3632),-('Gastos Gerais'!$C$4:$C$3632)))</f>
        <v>0</v>
      </c>
      <c r="BG26" s="134">
        <f>IF($B26="",0,SUMPRODUCT(-('Gastos Gerais'!$F$4:$F$3632='Gastos das Atividades'!$B26),-('Gastos das Atividades'!BG$3&gt;='Gastos Gerais'!$D$4:$D$3632),-('Gastos das Atividades'!BG$3&lt;='Gastos Gerais'!$E$4:$E$3632),-('Gastos Gerais'!$C$4:$C$3632)))</f>
        <v>0</v>
      </c>
      <c r="BH26" s="134">
        <f>IF($B26="",0,SUMPRODUCT(-('Gastos Gerais'!$F$4:$F$3632='Gastos das Atividades'!$B26),-('Gastos das Atividades'!BH$3&gt;='Gastos Gerais'!$D$4:$D$3632),-('Gastos das Atividades'!BH$3&lt;='Gastos Gerais'!$E$4:$E$3632),-('Gastos Gerais'!$C$4:$C$3632)))</f>
        <v>0</v>
      </c>
      <c r="BI26" s="134">
        <f>IF($B26="",0,SUMPRODUCT(-('Gastos Gerais'!$F$4:$F$3632='Gastos das Atividades'!$B26),-('Gastos das Atividades'!BI$3&gt;='Gastos Gerais'!$D$4:$D$3632),-('Gastos das Atividades'!BI$3&lt;='Gastos Gerais'!$E$4:$E$3632),-('Gastos Gerais'!$C$4:$C$3632)))</f>
        <v>0</v>
      </c>
      <c r="BJ26" s="134">
        <f>IF($B26="",0,SUMPRODUCT(-('Gastos Gerais'!$F$4:$F$3632='Gastos das Atividades'!$B26),-('Gastos das Atividades'!BJ$3&gt;='Gastos Gerais'!$D$4:$D$3632),-('Gastos das Atividades'!BJ$3&lt;='Gastos Gerais'!$E$4:$E$3632),-('Gastos Gerais'!$C$4:$C$3632)))</f>
        <v>0</v>
      </c>
      <c r="BK26" s="134">
        <f>IF($B26="",0,SUMPRODUCT(-('Gastos Gerais'!$F$4:$F$3632='Gastos das Atividades'!$B26),-('Gastos das Atividades'!BK$3&gt;='Gastos Gerais'!$D$4:$D$3632),-('Gastos das Atividades'!BK$3&lt;='Gastos Gerais'!$E$4:$E$3632),-('Gastos Gerais'!$C$4:$C$3632)))</f>
        <v>0</v>
      </c>
      <c r="BL26" s="134">
        <f>IF($B26="",0,SUMPRODUCT(-('Gastos Gerais'!$F$4:$F$3632='Gastos das Atividades'!$B26),-('Gastos das Atividades'!BL$3&gt;='Gastos Gerais'!$D$4:$D$3632),-('Gastos das Atividades'!BL$3&lt;='Gastos Gerais'!$E$4:$E$3632),-('Gastos Gerais'!$C$4:$C$3632)))</f>
        <v>0</v>
      </c>
      <c r="BM26" s="134">
        <f>IF($B26="",0,SUMPRODUCT(-('Gastos Gerais'!$F$4:$F$3632='Gastos das Atividades'!$B26),-('Gastos das Atividades'!BM$3&gt;='Gastos Gerais'!$D$4:$D$3632),-('Gastos das Atividades'!BM$3&lt;='Gastos Gerais'!$E$4:$E$3632),-('Gastos Gerais'!$C$4:$C$3632)))</f>
        <v>0</v>
      </c>
      <c r="BN26" s="134">
        <f>IF($B26="",0,SUMPRODUCT(-('Gastos Gerais'!$F$4:$F$3632='Gastos das Atividades'!$B26),-('Gastos das Atividades'!BN$3&gt;='Gastos Gerais'!$D$4:$D$3632),-('Gastos das Atividades'!BN$3&lt;='Gastos Gerais'!$E$4:$E$3632),-('Gastos Gerais'!$C$4:$C$3632)))</f>
        <v>0</v>
      </c>
      <c r="BO26" s="134">
        <f>IF($B26="",0,SUMPRODUCT(-('Gastos Gerais'!$F$4:$F$3632='Gastos das Atividades'!$B26),-('Gastos das Atividades'!BO$3&gt;='Gastos Gerais'!$D$4:$D$3632),-('Gastos das Atividades'!BO$3&lt;='Gastos Gerais'!$E$4:$E$3632),-('Gastos Gerais'!$C$4:$C$3632)))</f>
        <v>0</v>
      </c>
      <c r="BP26" s="134">
        <f>IF($B26="",0,SUMPRODUCT(-('Gastos Gerais'!$F$4:$F$3632='Gastos das Atividades'!$B26),-('Gastos das Atividades'!BP$3&gt;='Gastos Gerais'!$D$4:$D$3632),-('Gastos das Atividades'!BP$3&lt;='Gastos Gerais'!$E$4:$E$3632),-('Gastos Gerais'!$C$4:$C$3632)))</f>
        <v>0</v>
      </c>
      <c r="BQ26" s="134">
        <f>IF($B26="",0,SUMPRODUCT(-('Gastos Gerais'!$F$4:$F$3632='Gastos das Atividades'!$B26),-('Gastos das Atividades'!BQ$3&gt;='Gastos Gerais'!$D$4:$D$3632),-('Gastos das Atividades'!BQ$3&lt;='Gastos Gerais'!$E$4:$E$3632),-('Gastos Gerais'!$C$4:$C$3632)))</f>
        <v>0</v>
      </c>
      <c r="BR26" s="134">
        <f>IF($B26="",0,SUMPRODUCT(-('Gastos Gerais'!$F$4:$F$3632='Gastos das Atividades'!$B26),-('Gastos das Atividades'!BR$3&gt;='Gastos Gerais'!$D$4:$D$3632),-('Gastos das Atividades'!BR$3&lt;='Gastos Gerais'!$E$4:$E$3632),-('Gastos Gerais'!$C$4:$C$3632)))</f>
        <v>0</v>
      </c>
      <c r="BS26" s="134">
        <f>IF($B26="",0,SUMPRODUCT(-('Gastos Gerais'!$F$4:$F$3632='Gastos das Atividades'!$B26),-('Gastos das Atividades'!BS$3&gt;='Gastos Gerais'!$D$4:$D$3632),-('Gastos das Atividades'!BS$3&lt;='Gastos Gerais'!$E$4:$E$3632),-('Gastos Gerais'!$C$4:$C$3632)))</f>
        <v>0</v>
      </c>
      <c r="BT26" s="134">
        <f>IF($B26="",0,SUMPRODUCT(-('Gastos Gerais'!$F$4:$F$3632='Gastos das Atividades'!$B26),-('Gastos das Atividades'!BT$3&gt;='Gastos Gerais'!$D$4:$D$3632),-('Gastos das Atividades'!BT$3&lt;='Gastos Gerais'!$E$4:$E$3632),-('Gastos Gerais'!$C$4:$C$3632)))</f>
        <v>0</v>
      </c>
      <c r="BU26" s="134">
        <f>IF($B26="",0,SUMPRODUCT(-('Gastos Gerais'!$F$4:$F$3632='Gastos das Atividades'!$B26),-('Gastos das Atividades'!BU$3&gt;='Gastos Gerais'!$D$4:$D$3632),-('Gastos das Atividades'!BU$3&lt;='Gastos Gerais'!$E$4:$E$3632),-('Gastos Gerais'!$C$4:$C$3632)))</f>
        <v>0</v>
      </c>
      <c r="BV26" s="134">
        <f>IF($B26="",0,SUMPRODUCT(-('Gastos Gerais'!$F$4:$F$3632='Gastos das Atividades'!$B26),-('Gastos das Atividades'!BV$3&gt;='Gastos Gerais'!$D$4:$D$3632),-('Gastos das Atividades'!BV$3&lt;='Gastos Gerais'!$E$4:$E$3632),-('Gastos Gerais'!$C$4:$C$3632)))</f>
        <v>0</v>
      </c>
      <c r="BW26" s="134">
        <f>IF($B26="",0,SUMPRODUCT(-('Gastos Gerais'!$F$4:$F$3632='Gastos das Atividades'!$B26),-('Gastos das Atividades'!BW$3&gt;='Gastos Gerais'!$D$4:$D$3632),-('Gastos das Atividades'!BW$3&lt;='Gastos Gerais'!$E$4:$E$3632),-('Gastos Gerais'!$C$4:$C$3632)))</f>
        <v>0</v>
      </c>
    </row>
    <row r="27" spans="1:75">
      <c r="A27" s="138">
        <v>24</v>
      </c>
      <c r="B27" s="139"/>
      <c r="C27" s="132">
        <v>0</v>
      </c>
      <c r="D27" s="133">
        <f t="shared" si="0"/>
        <v>0</v>
      </c>
      <c r="E27" s="134">
        <f t="shared" si="1"/>
        <v>0</v>
      </c>
      <c r="F27" s="134">
        <f t="shared" si="1"/>
        <v>0</v>
      </c>
      <c r="G27" s="134">
        <f t="shared" si="1"/>
        <v>0</v>
      </c>
      <c r="H27" s="134">
        <f t="shared" si="1"/>
        <v>0</v>
      </c>
      <c r="I27" s="135">
        <f t="shared" si="2"/>
        <v>0</v>
      </c>
      <c r="J27" s="136">
        <f t="shared" si="3"/>
        <v>0</v>
      </c>
      <c r="K27" s="136">
        <f t="shared" si="4"/>
        <v>0</v>
      </c>
      <c r="L27" s="136">
        <f t="shared" si="5"/>
        <v>0</v>
      </c>
      <c r="M27" s="136">
        <f t="shared" si="6"/>
        <v>0</v>
      </c>
      <c r="N27" s="136">
        <f t="shared" si="7"/>
        <v>0</v>
      </c>
      <c r="O27" s="137">
        <f t="shared" si="8"/>
        <v>0</v>
      </c>
      <c r="P27" s="134">
        <f>IF($B27="",0,SUMPRODUCT(-('Gastos Gerais'!$F$4:$F$3632='Gastos das Atividades'!$B27),-('Gastos das Atividades'!P$3&gt;='Gastos Gerais'!$D$4:$D$3632),-('Gastos das Atividades'!P$3&lt;='Gastos Gerais'!$E$4:$E$3632),-('Gastos Gerais'!$C$4:$C$3632)))</f>
        <v>0</v>
      </c>
      <c r="Q27" s="134">
        <f>IF($B27="",0,SUMPRODUCT(-('Gastos Gerais'!$F$4:$F$3632='Gastos das Atividades'!$B27),-('Gastos das Atividades'!Q$3&gt;='Gastos Gerais'!$D$4:$D$3632),-('Gastos das Atividades'!Q$3&lt;='Gastos Gerais'!$E$4:$E$3632),-('Gastos Gerais'!$C$4:$C$3632)))</f>
        <v>0</v>
      </c>
      <c r="R27" s="134">
        <f>IF($B27="",0,SUMPRODUCT(-('Gastos Gerais'!$F$4:$F$3632='Gastos das Atividades'!$B27),-('Gastos das Atividades'!R$3&gt;='Gastos Gerais'!$D$4:$D$3632),-('Gastos das Atividades'!R$3&lt;='Gastos Gerais'!$E$4:$E$3632),-('Gastos Gerais'!$C$4:$C$3632)))</f>
        <v>0</v>
      </c>
      <c r="S27" s="134">
        <f>IF($B27="",0,SUMPRODUCT(-('Gastos Gerais'!$F$4:$F$3632='Gastos das Atividades'!$B27),-('Gastos das Atividades'!S$3&gt;='Gastos Gerais'!$D$4:$D$3632),-('Gastos das Atividades'!S$3&lt;='Gastos Gerais'!$E$4:$E$3632),-('Gastos Gerais'!$C$4:$C$3632)))</f>
        <v>0</v>
      </c>
      <c r="T27" s="134">
        <f>IF($B27="",0,SUMPRODUCT(-('Gastos Gerais'!$F$4:$F$3632='Gastos das Atividades'!$B27),-('Gastos das Atividades'!T$3&gt;='Gastos Gerais'!$D$4:$D$3632),-('Gastos das Atividades'!T$3&lt;='Gastos Gerais'!$E$4:$E$3632),-('Gastos Gerais'!$C$4:$C$3632)))</f>
        <v>0</v>
      </c>
      <c r="U27" s="134">
        <f>IF($B27="",0,SUMPRODUCT(-('Gastos Gerais'!$F$4:$F$3632='Gastos das Atividades'!$B27),-('Gastos das Atividades'!U$3&gt;='Gastos Gerais'!$D$4:$D$3632),-('Gastos das Atividades'!U$3&lt;='Gastos Gerais'!$E$4:$E$3632),-('Gastos Gerais'!$C$4:$C$3632)))</f>
        <v>0</v>
      </c>
      <c r="V27" s="134">
        <f>IF($B27="",0,SUMPRODUCT(-('Gastos Gerais'!$F$4:$F$3632='Gastos das Atividades'!$B27),-('Gastos das Atividades'!V$3&gt;='Gastos Gerais'!$D$4:$D$3632),-('Gastos das Atividades'!V$3&lt;='Gastos Gerais'!$E$4:$E$3632),-('Gastos Gerais'!$C$4:$C$3632)))</f>
        <v>0</v>
      </c>
      <c r="W27" s="134">
        <f>IF($B27="",0,SUMPRODUCT(-('Gastos Gerais'!$F$4:$F$3632='Gastos das Atividades'!$B27),-('Gastos das Atividades'!W$3&gt;='Gastos Gerais'!$D$4:$D$3632),-('Gastos das Atividades'!W$3&lt;='Gastos Gerais'!$E$4:$E$3632),-('Gastos Gerais'!$C$4:$C$3632)))</f>
        <v>0</v>
      </c>
      <c r="X27" s="134">
        <f>IF($B27="",0,SUMPRODUCT(-('Gastos Gerais'!$F$4:$F$3632='Gastos das Atividades'!$B27),-('Gastos das Atividades'!X$3&gt;='Gastos Gerais'!$D$4:$D$3632),-('Gastos das Atividades'!X$3&lt;='Gastos Gerais'!$E$4:$E$3632),-('Gastos Gerais'!$C$4:$C$3632)))</f>
        <v>0</v>
      </c>
      <c r="Y27" s="134">
        <f>IF($B27="",0,SUMPRODUCT(-('Gastos Gerais'!$F$4:$F$3632='Gastos das Atividades'!$B27),-('Gastos das Atividades'!Y$3&gt;='Gastos Gerais'!$D$4:$D$3632),-('Gastos das Atividades'!Y$3&lt;='Gastos Gerais'!$E$4:$E$3632),-('Gastos Gerais'!$C$4:$C$3632)))</f>
        <v>0</v>
      </c>
      <c r="Z27" s="134">
        <f>IF($B27="",0,SUMPRODUCT(-('Gastos Gerais'!$F$4:$F$3632='Gastos das Atividades'!$B27),-('Gastos das Atividades'!Z$3&gt;='Gastos Gerais'!$D$4:$D$3632),-('Gastos das Atividades'!Z$3&lt;='Gastos Gerais'!$E$4:$E$3632),-('Gastos Gerais'!$C$4:$C$3632)))</f>
        <v>0</v>
      </c>
      <c r="AA27" s="134">
        <f>IF($B27="",0,SUMPRODUCT(-('Gastos Gerais'!$F$4:$F$3632='Gastos das Atividades'!$B27),-('Gastos das Atividades'!AA$3&gt;='Gastos Gerais'!$D$4:$D$3632),-('Gastos das Atividades'!AA$3&lt;='Gastos Gerais'!$E$4:$E$3632),-('Gastos Gerais'!$C$4:$C$3632)))</f>
        <v>0</v>
      </c>
      <c r="AB27" s="134">
        <f>IF($B27="",0,SUMPRODUCT(-('Gastos Gerais'!$F$4:$F$3632='Gastos das Atividades'!$B27),-('Gastos das Atividades'!AB$3&gt;='Gastos Gerais'!$D$4:$D$3632),-('Gastos das Atividades'!AB$3&lt;='Gastos Gerais'!$E$4:$E$3632),-('Gastos Gerais'!$C$4:$C$3632)))</f>
        <v>0</v>
      </c>
      <c r="AC27" s="134">
        <f>IF($B27="",0,SUMPRODUCT(-('Gastos Gerais'!$F$4:$F$3632='Gastos das Atividades'!$B27),-('Gastos das Atividades'!AC$3&gt;='Gastos Gerais'!$D$4:$D$3632),-('Gastos das Atividades'!AC$3&lt;='Gastos Gerais'!$E$4:$E$3632),-('Gastos Gerais'!$C$4:$C$3632)))</f>
        <v>0</v>
      </c>
      <c r="AD27" s="134">
        <f>IF($B27="",0,SUMPRODUCT(-('Gastos Gerais'!$F$4:$F$3632='Gastos das Atividades'!$B27),-('Gastos das Atividades'!AD$3&gt;='Gastos Gerais'!$D$4:$D$3632),-('Gastos das Atividades'!AD$3&lt;='Gastos Gerais'!$E$4:$E$3632),-('Gastos Gerais'!$C$4:$C$3632)))</f>
        <v>0</v>
      </c>
      <c r="AE27" s="134">
        <f>IF($B27="",0,SUMPRODUCT(-('Gastos Gerais'!$F$4:$F$3632='Gastos das Atividades'!$B27),-('Gastos das Atividades'!AE$3&gt;='Gastos Gerais'!$D$4:$D$3632),-('Gastos das Atividades'!AE$3&lt;='Gastos Gerais'!$E$4:$E$3632),-('Gastos Gerais'!$C$4:$C$3632)))</f>
        <v>0</v>
      </c>
      <c r="AF27" s="134">
        <f>IF($B27="",0,SUMPRODUCT(-('Gastos Gerais'!$F$4:$F$3632='Gastos das Atividades'!$B27),-('Gastos das Atividades'!AF$3&gt;='Gastos Gerais'!$D$4:$D$3632),-('Gastos das Atividades'!AF$3&lt;='Gastos Gerais'!$E$4:$E$3632),-('Gastos Gerais'!$C$4:$C$3632)))</f>
        <v>0</v>
      </c>
      <c r="AG27" s="134">
        <f>IF($B27="",0,SUMPRODUCT(-('Gastos Gerais'!$F$4:$F$3632='Gastos das Atividades'!$B27),-('Gastos das Atividades'!AG$3&gt;='Gastos Gerais'!$D$4:$D$3632),-('Gastos das Atividades'!AG$3&lt;='Gastos Gerais'!$E$4:$E$3632),-('Gastos Gerais'!$C$4:$C$3632)))</f>
        <v>0</v>
      </c>
      <c r="AH27" s="134">
        <f>IF($B27="",0,SUMPRODUCT(-('Gastos Gerais'!$F$4:$F$3632='Gastos das Atividades'!$B27),-('Gastos das Atividades'!AH$3&gt;='Gastos Gerais'!$D$4:$D$3632),-('Gastos das Atividades'!AH$3&lt;='Gastos Gerais'!$E$4:$E$3632),-('Gastos Gerais'!$C$4:$C$3632)))</f>
        <v>0</v>
      </c>
      <c r="AI27" s="134">
        <f>IF($B27="",0,SUMPRODUCT(-('Gastos Gerais'!$F$4:$F$3632='Gastos das Atividades'!$B27),-('Gastos das Atividades'!AI$3&gt;='Gastos Gerais'!$D$4:$D$3632),-('Gastos das Atividades'!AI$3&lt;='Gastos Gerais'!$E$4:$E$3632),-('Gastos Gerais'!$C$4:$C$3632)))</f>
        <v>0</v>
      </c>
      <c r="AJ27" s="134">
        <f>IF($B27="",0,SUMPRODUCT(-('Gastos Gerais'!$F$4:$F$3632='Gastos das Atividades'!$B27),-('Gastos das Atividades'!AJ$3&gt;='Gastos Gerais'!$D$4:$D$3632),-('Gastos das Atividades'!AJ$3&lt;='Gastos Gerais'!$E$4:$E$3632),-('Gastos Gerais'!$C$4:$C$3632)))</f>
        <v>0</v>
      </c>
      <c r="AK27" s="134">
        <f>IF($B27="",0,SUMPRODUCT(-('Gastos Gerais'!$F$4:$F$3632='Gastos das Atividades'!$B27),-('Gastos das Atividades'!AK$3&gt;='Gastos Gerais'!$D$4:$D$3632),-('Gastos das Atividades'!AK$3&lt;='Gastos Gerais'!$E$4:$E$3632),-('Gastos Gerais'!$C$4:$C$3632)))</f>
        <v>0</v>
      </c>
      <c r="AL27" s="134">
        <f>IF($B27="",0,SUMPRODUCT(-('Gastos Gerais'!$F$4:$F$3632='Gastos das Atividades'!$B27),-('Gastos das Atividades'!AL$3&gt;='Gastos Gerais'!$D$4:$D$3632),-('Gastos das Atividades'!AL$3&lt;='Gastos Gerais'!$E$4:$E$3632),-('Gastos Gerais'!$C$4:$C$3632)))</f>
        <v>0</v>
      </c>
      <c r="AM27" s="134">
        <f>IF($B27="",0,SUMPRODUCT(-('Gastos Gerais'!$F$4:$F$3632='Gastos das Atividades'!$B27),-('Gastos das Atividades'!AM$3&gt;='Gastos Gerais'!$D$4:$D$3632),-('Gastos das Atividades'!AM$3&lt;='Gastos Gerais'!$E$4:$E$3632),-('Gastos Gerais'!$C$4:$C$3632)))</f>
        <v>0</v>
      </c>
      <c r="AN27" s="134">
        <f>IF($B27="",0,SUMPRODUCT(-('Gastos Gerais'!$F$4:$F$3632='Gastos das Atividades'!$B27),-('Gastos das Atividades'!AN$3&gt;='Gastos Gerais'!$D$4:$D$3632),-('Gastos das Atividades'!AN$3&lt;='Gastos Gerais'!$E$4:$E$3632),-('Gastos Gerais'!$C$4:$C$3632)))</f>
        <v>0</v>
      </c>
      <c r="AO27" s="134">
        <f>IF($B27="",0,SUMPRODUCT(-('Gastos Gerais'!$F$4:$F$3632='Gastos das Atividades'!$B27),-('Gastos das Atividades'!AO$3&gt;='Gastos Gerais'!$D$4:$D$3632),-('Gastos das Atividades'!AO$3&lt;='Gastos Gerais'!$E$4:$E$3632),-('Gastos Gerais'!$C$4:$C$3632)))</f>
        <v>0</v>
      </c>
      <c r="AP27" s="134">
        <f>IF($B27="",0,SUMPRODUCT(-('Gastos Gerais'!$F$4:$F$3632='Gastos das Atividades'!$B27),-('Gastos das Atividades'!AP$3&gt;='Gastos Gerais'!$D$4:$D$3632),-('Gastos das Atividades'!AP$3&lt;='Gastos Gerais'!$E$4:$E$3632),-('Gastos Gerais'!$C$4:$C$3632)))</f>
        <v>0</v>
      </c>
      <c r="AQ27" s="134">
        <f>IF($B27="",0,SUMPRODUCT(-('Gastos Gerais'!$F$4:$F$3632='Gastos das Atividades'!$B27),-('Gastos das Atividades'!AQ$3&gt;='Gastos Gerais'!$D$4:$D$3632),-('Gastos das Atividades'!AQ$3&lt;='Gastos Gerais'!$E$4:$E$3632),-('Gastos Gerais'!$C$4:$C$3632)))</f>
        <v>0</v>
      </c>
      <c r="AR27" s="134">
        <f>IF($B27="",0,SUMPRODUCT(-('Gastos Gerais'!$F$4:$F$3632='Gastos das Atividades'!$B27),-('Gastos das Atividades'!AR$3&gt;='Gastos Gerais'!$D$4:$D$3632),-('Gastos das Atividades'!AR$3&lt;='Gastos Gerais'!$E$4:$E$3632),-('Gastos Gerais'!$C$4:$C$3632)))</f>
        <v>0</v>
      </c>
      <c r="AS27" s="134">
        <f>IF($B27="",0,SUMPRODUCT(-('Gastos Gerais'!$F$4:$F$3632='Gastos das Atividades'!$B27),-('Gastos das Atividades'!AS$3&gt;='Gastos Gerais'!$D$4:$D$3632),-('Gastos das Atividades'!AS$3&lt;='Gastos Gerais'!$E$4:$E$3632),-('Gastos Gerais'!$C$4:$C$3632)))</f>
        <v>0</v>
      </c>
      <c r="AT27" s="134">
        <f>IF($B27="",0,SUMPRODUCT(-('Gastos Gerais'!$F$4:$F$3632='Gastos das Atividades'!$B27),-('Gastos das Atividades'!AT$3&gt;='Gastos Gerais'!$D$4:$D$3632),-('Gastos das Atividades'!AT$3&lt;='Gastos Gerais'!$E$4:$E$3632),-('Gastos Gerais'!$C$4:$C$3632)))</f>
        <v>0</v>
      </c>
      <c r="AU27" s="134">
        <f>IF($B27="",0,SUMPRODUCT(-('Gastos Gerais'!$F$4:$F$3632='Gastos das Atividades'!$B27),-('Gastos das Atividades'!AU$3&gt;='Gastos Gerais'!$D$4:$D$3632),-('Gastos das Atividades'!AU$3&lt;='Gastos Gerais'!$E$4:$E$3632),-('Gastos Gerais'!$C$4:$C$3632)))</f>
        <v>0</v>
      </c>
      <c r="AV27" s="134">
        <f>IF($B27="",0,SUMPRODUCT(-('Gastos Gerais'!$F$4:$F$3632='Gastos das Atividades'!$B27),-('Gastos das Atividades'!AV$3&gt;='Gastos Gerais'!$D$4:$D$3632),-('Gastos das Atividades'!AV$3&lt;='Gastos Gerais'!$E$4:$E$3632),-('Gastos Gerais'!$C$4:$C$3632)))</f>
        <v>0</v>
      </c>
      <c r="AW27" s="134">
        <f>IF($B27="",0,SUMPRODUCT(-('Gastos Gerais'!$F$4:$F$3632='Gastos das Atividades'!$B27),-('Gastos das Atividades'!AW$3&gt;='Gastos Gerais'!$D$4:$D$3632),-('Gastos das Atividades'!AW$3&lt;='Gastos Gerais'!$E$4:$E$3632),-('Gastos Gerais'!$C$4:$C$3632)))</f>
        <v>0</v>
      </c>
      <c r="AX27" s="134">
        <f>IF($B27="",0,SUMPRODUCT(-('Gastos Gerais'!$F$4:$F$3632='Gastos das Atividades'!$B27),-('Gastos das Atividades'!AX$3&gt;='Gastos Gerais'!$D$4:$D$3632),-('Gastos das Atividades'!AX$3&lt;='Gastos Gerais'!$E$4:$E$3632),-('Gastos Gerais'!$C$4:$C$3632)))</f>
        <v>0</v>
      </c>
      <c r="AY27" s="134">
        <f>IF($B27="",0,SUMPRODUCT(-('Gastos Gerais'!$F$4:$F$3632='Gastos das Atividades'!$B27),-('Gastos das Atividades'!AY$3&gt;='Gastos Gerais'!$D$4:$D$3632),-('Gastos das Atividades'!AY$3&lt;='Gastos Gerais'!$E$4:$E$3632),-('Gastos Gerais'!$C$4:$C$3632)))</f>
        <v>0</v>
      </c>
      <c r="AZ27" s="134">
        <f>IF($B27="",0,SUMPRODUCT(-('Gastos Gerais'!$F$4:$F$3632='Gastos das Atividades'!$B27),-('Gastos das Atividades'!AZ$3&gt;='Gastos Gerais'!$D$4:$D$3632),-('Gastos das Atividades'!AZ$3&lt;='Gastos Gerais'!$E$4:$E$3632),-('Gastos Gerais'!$C$4:$C$3632)))</f>
        <v>0</v>
      </c>
      <c r="BA27" s="134">
        <f>IF($B27="",0,SUMPRODUCT(-('Gastos Gerais'!$F$4:$F$3632='Gastos das Atividades'!$B27),-('Gastos das Atividades'!BA$3&gt;='Gastos Gerais'!$D$4:$D$3632),-('Gastos das Atividades'!BA$3&lt;='Gastos Gerais'!$E$4:$E$3632),-('Gastos Gerais'!$C$4:$C$3632)))</f>
        <v>0</v>
      </c>
      <c r="BB27" s="134">
        <f>IF($B27="",0,SUMPRODUCT(-('Gastos Gerais'!$F$4:$F$3632='Gastos das Atividades'!$B27),-('Gastos das Atividades'!BB$3&gt;='Gastos Gerais'!$D$4:$D$3632),-('Gastos das Atividades'!BB$3&lt;='Gastos Gerais'!$E$4:$E$3632),-('Gastos Gerais'!$C$4:$C$3632)))</f>
        <v>0</v>
      </c>
      <c r="BC27" s="134">
        <f>IF($B27="",0,SUMPRODUCT(-('Gastos Gerais'!$F$4:$F$3632='Gastos das Atividades'!$B27),-('Gastos das Atividades'!BC$3&gt;='Gastos Gerais'!$D$4:$D$3632),-('Gastos das Atividades'!BC$3&lt;='Gastos Gerais'!$E$4:$E$3632),-('Gastos Gerais'!$C$4:$C$3632)))</f>
        <v>0</v>
      </c>
      <c r="BD27" s="134">
        <f>IF($B27="",0,SUMPRODUCT(-('Gastos Gerais'!$F$4:$F$3632='Gastos das Atividades'!$B27),-('Gastos das Atividades'!BD$3&gt;='Gastos Gerais'!$D$4:$D$3632),-('Gastos das Atividades'!BD$3&lt;='Gastos Gerais'!$E$4:$E$3632),-('Gastos Gerais'!$C$4:$C$3632)))</f>
        <v>0</v>
      </c>
      <c r="BE27" s="134">
        <f>IF($B27="",0,SUMPRODUCT(-('Gastos Gerais'!$F$4:$F$3632='Gastos das Atividades'!$B27),-('Gastos das Atividades'!BE$3&gt;='Gastos Gerais'!$D$4:$D$3632),-('Gastos das Atividades'!BE$3&lt;='Gastos Gerais'!$E$4:$E$3632),-('Gastos Gerais'!$C$4:$C$3632)))</f>
        <v>0</v>
      </c>
      <c r="BF27" s="134">
        <f>IF($B27="",0,SUMPRODUCT(-('Gastos Gerais'!$F$4:$F$3632='Gastos das Atividades'!$B27),-('Gastos das Atividades'!BF$3&gt;='Gastos Gerais'!$D$4:$D$3632),-('Gastos das Atividades'!BF$3&lt;='Gastos Gerais'!$E$4:$E$3632),-('Gastos Gerais'!$C$4:$C$3632)))</f>
        <v>0</v>
      </c>
      <c r="BG27" s="134">
        <f>IF($B27="",0,SUMPRODUCT(-('Gastos Gerais'!$F$4:$F$3632='Gastos das Atividades'!$B27),-('Gastos das Atividades'!BG$3&gt;='Gastos Gerais'!$D$4:$D$3632),-('Gastos das Atividades'!BG$3&lt;='Gastos Gerais'!$E$4:$E$3632),-('Gastos Gerais'!$C$4:$C$3632)))</f>
        <v>0</v>
      </c>
      <c r="BH27" s="134">
        <f>IF($B27="",0,SUMPRODUCT(-('Gastos Gerais'!$F$4:$F$3632='Gastos das Atividades'!$B27),-('Gastos das Atividades'!BH$3&gt;='Gastos Gerais'!$D$4:$D$3632),-('Gastos das Atividades'!BH$3&lt;='Gastos Gerais'!$E$4:$E$3632),-('Gastos Gerais'!$C$4:$C$3632)))</f>
        <v>0</v>
      </c>
      <c r="BI27" s="134">
        <f>IF($B27="",0,SUMPRODUCT(-('Gastos Gerais'!$F$4:$F$3632='Gastos das Atividades'!$B27),-('Gastos das Atividades'!BI$3&gt;='Gastos Gerais'!$D$4:$D$3632),-('Gastos das Atividades'!BI$3&lt;='Gastos Gerais'!$E$4:$E$3632),-('Gastos Gerais'!$C$4:$C$3632)))</f>
        <v>0</v>
      </c>
      <c r="BJ27" s="134">
        <f>IF($B27="",0,SUMPRODUCT(-('Gastos Gerais'!$F$4:$F$3632='Gastos das Atividades'!$B27),-('Gastos das Atividades'!BJ$3&gt;='Gastos Gerais'!$D$4:$D$3632),-('Gastos das Atividades'!BJ$3&lt;='Gastos Gerais'!$E$4:$E$3632),-('Gastos Gerais'!$C$4:$C$3632)))</f>
        <v>0</v>
      </c>
      <c r="BK27" s="134">
        <f>IF($B27="",0,SUMPRODUCT(-('Gastos Gerais'!$F$4:$F$3632='Gastos das Atividades'!$B27),-('Gastos das Atividades'!BK$3&gt;='Gastos Gerais'!$D$4:$D$3632),-('Gastos das Atividades'!BK$3&lt;='Gastos Gerais'!$E$4:$E$3632),-('Gastos Gerais'!$C$4:$C$3632)))</f>
        <v>0</v>
      </c>
      <c r="BL27" s="134">
        <f>IF($B27="",0,SUMPRODUCT(-('Gastos Gerais'!$F$4:$F$3632='Gastos das Atividades'!$B27),-('Gastos das Atividades'!BL$3&gt;='Gastos Gerais'!$D$4:$D$3632),-('Gastos das Atividades'!BL$3&lt;='Gastos Gerais'!$E$4:$E$3632),-('Gastos Gerais'!$C$4:$C$3632)))</f>
        <v>0</v>
      </c>
      <c r="BM27" s="134">
        <f>IF($B27="",0,SUMPRODUCT(-('Gastos Gerais'!$F$4:$F$3632='Gastos das Atividades'!$B27),-('Gastos das Atividades'!BM$3&gt;='Gastos Gerais'!$D$4:$D$3632),-('Gastos das Atividades'!BM$3&lt;='Gastos Gerais'!$E$4:$E$3632),-('Gastos Gerais'!$C$4:$C$3632)))</f>
        <v>0</v>
      </c>
      <c r="BN27" s="134">
        <f>IF($B27="",0,SUMPRODUCT(-('Gastos Gerais'!$F$4:$F$3632='Gastos das Atividades'!$B27),-('Gastos das Atividades'!BN$3&gt;='Gastos Gerais'!$D$4:$D$3632),-('Gastos das Atividades'!BN$3&lt;='Gastos Gerais'!$E$4:$E$3632),-('Gastos Gerais'!$C$4:$C$3632)))</f>
        <v>0</v>
      </c>
      <c r="BO27" s="134">
        <f>IF($B27="",0,SUMPRODUCT(-('Gastos Gerais'!$F$4:$F$3632='Gastos das Atividades'!$B27),-('Gastos das Atividades'!BO$3&gt;='Gastos Gerais'!$D$4:$D$3632),-('Gastos das Atividades'!BO$3&lt;='Gastos Gerais'!$E$4:$E$3632),-('Gastos Gerais'!$C$4:$C$3632)))</f>
        <v>0</v>
      </c>
      <c r="BP27" s="134">
        <f>IF($B27="",0,SUMPRODUCT(-('Gastos Gerais'!$F$4:$F$3632='Gastos das Atividades'!$B27),-('Gastos das Atividades'!BP$3&gt;='Gastos Gerais'!$D$4:$D$3632),-('Gastos das Atividades'!BP$3&lt;='Gastos Gerais'!$E$4:$E$3632),-('Gastos Gerais'!$C$4:$C$3632)))</f>
        <v>0</v>
      </c>
      <c r="BQ27" s="134">
        <f>IF($B27="",0,SUMPRODUCT(-('Gastos Gerais'!$F$4:$F$3632='Gastos das Atividades'!$B27),-('Gastos das Atividades'!BQ$3&gt;='Gastos Gerais'!$D$4:$D$3632),-('Gastos das Atividades'!BQ$3&lt;='Gastos Gerais'!$E$4:$E$3632),-('Gastos Gerais'!$C$4:$C$3632)))</f>
        <v>0</v>
      </c>
      <c r="BR27" s="134">
        <f>IF($B27="",0,SUMPRODUCT(-('Gastos Gerais'!$F$4:$F$3632='Gastos das Atividades'!$B27),-('Gastos das Atividades'!BR$3&gt;='Gastos Gerais'!$D$4:$D$3632),-('Gastos das Atividades'!BR$3&lt;='Gastos Gerais'!$E$4:$E$3632),-('Gastos Gerais'!$C$4:$C$3632)))</f>
        <v>0</v>
      </c>
      <c r="BS27" s="134">
        <f>IF($B27="",0,SUMPRODUCT(-('Gastos Gerais'!$F$4:$F$3632='Gastos das Atividades'!$B27),-('Gastos das Atividades'!BS$3&gt;='Gastos Gerais'!$D$4:$D$3632),-('Gastos das Atividades'!BS$3&lt;='Gastos Gerais'!$E$4:$E$3632),-('Gastos Gerais'!$C$4:$C$3632)))</f>
        <v>0</v>
      </c>
      <c r="BT27" s="134">
        <f>IF($B27="",0,SUMPRODUCT(-('Gastos Gerais'!$F$4:$F$3632='Gastos das Atividades'!$B27),-('Gastos das Atividades'!BT$3&gt;='Gastos Gerais'!$D$4:$D$3632),-('Gastos das Atividades'!BT$3&lt;='Gastos Gerais'!$E$4:$E$3632),-('Gastos Gerais'!$C$4:$C$3632)))</f>
        <v>0</v>
      </c>
      <c r="BU27" s="134">
        <f>IF($B27="",0,SUMPRODUCT(-('Gastos Gerais'!$F$4:$F$3632='Gastos das Atividades'!$B27),-('Gastos das Atividades'!BU$3&gt;='Gastos Gerais'!$D$4:$D$3632),-('Gastos das Atividades'!BU$3&lt;='Gastos Gerais'!$E$4:$E$3632),-('Gastos Gerais'!$C$4:$C$3632)))</f>
        <v>0</v>
      </c>
      <c r="BV27" s="134">
        <f>IF($B27="",0,SUMPRODUCT(-('Gastos Gerais'!$F$4:$F$3632='Gastos das Atividades'!$B27),-('Gastos das Atividades'!BV$3&gt;='Gastos Gerais'!$D$4:$D$3632),-('Gastos das Atividades'!BV$3&lt;='Gastos Gerais'!$E$4:$E$3632),-('Gastos Gerais'!$C$4:$C$3632)))</f>
        <v>0</v>
      </c>
      <c r="BW27" s="134">
        <f>IF($B27="",0,SUMPRODUCT(-('Gastos Gerais'!$F$4:$F$3632='Gastos das Atividades'!$B27),-('Gastos das Atividades'!BW$3&gt;='Gastos Gerais'!$D$4:$D$3632),-('Gastos das Atividades'!BW$3&lt;='Gastos Gerais'!$E$4:$E$3632),-('Gastos Gerais'!$C$4:$C$3632)))</f>
        <v>0</v>
      </c>
    </row>
    <row r="28" spans="1:75">
      <c r="A28" s="138">
        <v>25</v>
      </c>
      <c r="B28" s="139"/>
      <c r="C28" s="132">
        <v>0</v>
      </c>
      <c r="D28" s="133">
        <f t="shared" si="0"/>
        <v>0</v>
      </c>
      <c r="E28" s="134">
        <f t="shared" si="1"/>
        <v>0</v>
      </c>
      <c r="F28" s="134">
        <f t="shared" si="1"/>
        <v>0</v>
      </c>
      <c r="G28" s="134">
        <f t="shared" si="1"/>
        <v>0</v>
      </c>
      <c r="H28" s="134">
        <f t="shared" si="1"/>
        <v>0</v>
      </c>
      <c r="I28" s="135">
        <f t="shared" si="2"/>
        <v>0</v>
      </c>
      <c r="J28" s="136">
        <f t="shared" si="3"/>
        <v>0</v>
      </c>
      <c r="K28" s="136">
        <f t="shared" si="4"/>
        <v>0</v>
      </c>
      <c r="L28" s="136">
        <f t="shared" si="5"/>
        <v>0</v>
      </c>
      <c r="M28" s="136">
        <f t="shared" si="6"/>
        <v>0</v>
      </c>
      <c r="N28" s="136">
        <f t="shared" si="7"/>
        <v>0</v>
      </c>
      <c r="O28" s="137">
        <f t="shared" si="8"/>
        <v>0</v>
      </c>
      <c r="P28" s="134">
        <f>IF($B28="",0,SUMPRODUCT(-('Gastos Gerais'!$F$4:$F$3632='Gastos das Atividades'!$B28),-('Gastos das Atividades'!P$3&gt;='Gastos Gerais'!$D$4:$D$3632),-('Gastos das Atividades'!P$3&lt;='Gastos Gerais'!$E$4:$E$3632),-('Gastos Gerais'!$C$4:$C$3632)))</f>
        <v>0</v>
      </c>
      <c r="Q28" s="134">
        <f>IF($B28="",0,SUMPRODUCT(-('Gastos Gerais'!$F$4:$F$3632='Gastos das Atividades'!$B28),-('Gastos das Atividades'!Q$3&gt;='Gastos Gerais'!$D$4:$D$3632),-('Gastos das Atividades'!Q$3&lt;='Gastos Gerais'!$E$4:$E$3632),-('Gastos Gerais'!$C$4:$C$3632)))</f>
        <v>0</v>
      </c>
      <c r="R28" s="134">
        <f>IF($B28="",0,SUMPRODUCT(-('Gastos Gerais'!$F$4:$F$3632='Gastos das Atividades'!$B28),-('Gastos das Atividades'!R$3&gt;='Gastos Gerais'!$D$4:$D$3632),-('Gastos das Atividades'!R$3&lt;='Gastos Gerais'!$E$4:$E$3632),-('Gastos Gerais'!$C$4:$C$3632)))</f>
        <v>0</v>
      </c>
      <c r="S28" s="134">
        <f>IF($B28="",0,SUMPRODUCT(-('Gastos Gerais'!$F$4:$F$3632='Gastos das Atividades'!$B28),-('Gastos das Atividades'!S$3&gt;='Gastos Gerais'!$D$4:$D$3632),-('Gastos das Atividades'!S$3&lt;='Gastos Gerais'!$E$4:$E$3632),-('Gastos Gerais'!$C$4:$C$3632)))</f>
        <v>0</v>
      </c>
      <c r="T28" s="134">
        <f>IF($B28="",0,SUMPRODUCT(-('Gastos Gerais'!$F$4:$F$3632='Gastos das Atividades'!$B28),-('Gastos das Atividades'!T$3&gt;='Gastos Gerais'!$D$4:$D$3632),-('Gastos das Atividades'!T$3&lt;='Gastos Gerais'!$E$4:$E$3632),-('Gastos Gerais'!$C$4:$C$3632)))</f>
        <v>0</v>
      </c>
      <c r="U28" s="134">
        <f>IF($B28="",0,SUMPRODUCT(-('Gastos Gerais'!$F$4:$F$3632='Gastos das Atividades'!$B28),-('Gastos das Atividades'!U$3&gt;='Gastos Gerais'!$D$4:$D$3632),-('Gastos das Atividades'!U$3&lt;='Gastos Gerais'!$E$4:$E$3632),-('Gastos Gerais'!$C$4:$C$3632)))</f>
        <v>0</v>
      </c>
      <c r="V28" s="134">
        <f>IF($B28="",0,SUMPRODUCT(-('Gastos Gerais'!$F$4:$F$3632='Gastos das Atividades'!$B28),-('Gastos das Atividades'!V$3&gt;='Gastos Gerais'!$D$4:$D$3632),-('Gastos das Atividades'!V$3&lt;='Gastos Gerais'!$E$4:$E$3632),-('Gastos Gerais'!$C$4:$C$3632)))</f>
        <v>0</v>
      </c>
      <c r="W28" s="134">
        <f>IF($B28="",0,SUMPRODUCT(-('Gastos Gerais'!$F$4:$F$3632='Gastos das Atividades'!$B28),-('Gastos das Atividades'!W$3&gt;='Gastos Gerais'!$D$4:$D$3632),-('Gastos das Atividades'!W$3&lt;='Gastos Gerais'!$E$4:$E$3632),-('Gastos Gerais'!$C$4:$C$3632)))</f>
        <v>0</v>
      </c>
      <c r="X28" s="134">
        <f>IF($B28="",0,SUMPRODUCT(-('Gastos Gerais'!$F$4:$F$3632='Gastos das Atividades'!$B28),-('Gastos das Atividades'!X$3&gt;='Gastos Gerais'!$D$4:$D$3632),-('Gastos das Atividades'!X$3&lt;='Gastos Gerais'!$E$4:$E$3632),-('Gastos Gerais'!$C$4:$C$3632)))</f>
        <v>0</v>
      </c>
      <c r="Y28" s="134">
        <f>IF($B28="",0,SUMPRODUCT(-('Gastos Gerais'!$F$4:$F$3632='Gastos das Atividades'!$B28),-('Gastos das Atividades'!Y$3&gt;='Gastos Gerais'!$D$4:$D$3632),-('Gastos das Atividades'!Y$3&lt;='Gastos Gerais'!$E$4:$E$3632),-('Gastos Gerais'!$C$4:$C$3632)))</f>
        <v>0</v>
      </c>
      <c r="Z28" s="134">
        <f>IF($B28="",0,SUMPRODUCT(-('Gastos Gerais'!$F$4:$F$3632='Gastos das Atividades'!$B28),-('Gastos das Atividades'!Z$3&gt;='Gastos Gerais'!$D$4:$D$3632),-('Gastos das Atividades'!Z$3&lt;='Gastos Gerais'!$E$4:$E$3632),-('Gastos Gerais'!$C$4:$C$3632)))</f>
        <v>0</v>
      </c>
      <c r="AA28" s="134">
        <f>IF($B28="",0,SUMPRODUCT(-('Gastos Gerais'!$F$4:$F$3632='Gastos das Atividades'!$B28),-('Gastos das Atividades'!AA$3&gt;='Gastos Gerais'!$D$4:$D$3632),-('Gastos das Atividades'!AA$3&lt;='Gastos Gerais'!$E$4:$E$3632),-('Gastos Gerais'!$C$4:$C$3632)))</f>
        <v>0</v>
      </c>
      <c r="AB28" s="134">
        <f>IF($B28="",0,SUMPRODUCT(-('Gastos Gerais'!$F$4:$F$3632='Gastos das Atividades'!$B28),-('Gastos das Atividades'!AB$3&gt;='Gastos Gerais'!$D$4:$D$3632),-('Gastos das Atividades'!AB$3&lt;='Gastos Gerais'!$E$4:$E$3632),-('Gastos Gerais'!$C$4:$C$3632)))</f>
        <v>0</v>
      </c>
      <c r="AC28" s="134">
        <f>IF($B28="",0,SUMPRODUCT(-('Gastos Gerais'!$F$4:$F$3632='Gastos das Atividades'!$B28),-('Gastos das Atividades'!AC$3&gt;='Gastos Gerais'!$D$4:$D$3632),-('Gastos das Atividades'!AC$3&lt;='Gastos Gerais'!$E$4:$E$3632),-('Gastos Gerais'!$C$4:$C$3632)))</f>
        <v>0</v>
      </c>
      <c r="AD28" s="134">
        <f>IF($B28="",0,SUMPRODUCT(-('Gastos Gerais'!$F$4:$F$3632='Gastos das Atividades'!$B28),-('Gastos das Atividades'!AD$3&gt;='Gastos Gerais'!$D$4:$D$3632),-('Gastos das Atividades'!AD$3&lt;='Gastos Gerais'!$E$4:$E$3632),-('Gastos Gerais'!$C$4:$C$3632)))</f>
        <v>0</v>
      </c>
      <c r="AE28" s="134">
        <f>IF($B28="",0,SUMPRODUCT(-('Gastos Gerais'!$F$4:$F$3632='Gastos das Atividades'!$B28),-('Gastos das Atividades'!AE$3&gt;='Gastos Gerais'!$D$4:$D$3632),-('Gastos das Atividades'!AE$3&lt;='Gastos Gerais'!$E$4:$E$3632),-('Gastos Gerais'!$C$4:$C$3632)))</f>
        <v>0</v>
      </c>
      <c r="AF28" s="134">
        <f>IF($B28="",0,SUMPRODUCT(-('Gastos Gerais'!$F$4:$F$3632='Gastos das Atividades'!$B28),-('Gastos das Atividades'!AF$3&gt;='Gastos Gerais'!$D$4:$D$3632),-('Gastos das Atividades'!AF$3&lt;='Gastos Gerais'!$E$4:$E$3632),-('Gastos Gerais'!$C$4:$C$3632)))</f>
        <v>0</v>
      </c>
      <c r="AG28" s="134">
        <f>IF($B28="",0,SUMPRODUCT(-('Gastos Gerais'!$F$4:$F$3632='Gastos das Atividades'!$B28),-('Gastos das Atividades'!AG$3&gt;='Gastos Gerais'!$D$4:$D$3632),-('Gastos das Atividades'!AG$3&lt;='Gastos Gerais'!$E$4:$E$3632),-('Gastos Gerais'!$C$4:$C$3632)))</f>
        <v>0</v>
      </c>
      <c r="AH28" s="134">
        <f>IF($B28="",0,SUMPRODUCT(-('Gastos Gerais'!$F$4:$F$3632='Gastos das Atividades'!$B28),-('Gastos das Atividades'!AH$3&gt;='Gastos Gerais'!$D$4:$D$3632),-('Gastos das Atividades'!AH$3&lt;='Gastos Gerais'!$E$4:$E$3632),-('Gastos Gerais'!$C$4:$C$3632)))</f>
        <v>0</v>
      </c>
      <c r="AI28" s="134">
        <f>IF($B28="",0,SUMPRODUCT(-('Gastos Gerais'!$F$4:$F$3632='Gastos das Atividades'!$B28),-('Gastos das Atividades'!AI$3&gt;='Gastos Gerais'!$D$4:$D$3632),-('Gastos das Atividades'!AI$3&lt;='Gastos Gerais'!$E$4:$E$3632),-('Gastos Gerais'!$C$4:$C$3632)))</f>
        <v>0</v>
      </c>
      <c r="AJ28" s="134">
        <f>IF($B28="",0,SUMPRODUCT(-('Gastos Gerais'!$F$4:$F$3632='Gastos das Atividades'!$B28),-('Gastos das Atividades'!AJ$3&gt;='Gastos Gerais'!$D$4:$D$3632),-('Gastos das Atividades'!AJ$3&lt;='Gastos Gerais'!$E$4:$E$3632),-('Gastos Gerais'!$C$4:$C$3632)))</f>
        <v>0</v>
      </c>
      <c r="AK28" s="134">
        <f>IF($B28="",0,SUMPRODUCT(-('Gastos Gerais'!$F$4:$F$3632='Gastos das Atividades'!$B28),-('Gastos das Atividades'!AK$3&gt;='Gastos Gerais'!$D$4:$D$3632),-('Gastos das Atividades'!AK$3&lt;='Gastos Gerais'!$E$4:$E$3632),-('Gastos Gerais'!$C$4:$C$3632)))</f>
        <v>0</v>
      </c>
      <c r="AL28" s="134">
        <f>IF($B28="",0,SUMPRODUCT(-('Gastos Gerais'!$F$4:$F$3632='Gastos das Atividades'!$B28),-('Gastos das Atividades'!AL$3&gt;='Gastos Gerais'!$D$4:$D$3632),-('Gastos das Atividades'!AL$3&lt;='Gastos Gerais'!$E$4:$E$3632),-('Gastos Gerais'!$C$4:$C$3632)))</f>
        <v>0</v>
      </c>
      <c r="AM28" s="134">
        <f>IF($B28="",0,SUMPRODUCT(-('Gastos Gerais'!$F$4:$F$3632='Gastos das Atividades'!$B28),-('Gastos das Atividades'!AM$3&gt;='Gastos Gerais'!$D$4:$D$3632),-('Gastos das Atividades'!AM$3&lt;='Gastos Gerais'!$E$4:$E$3632),-('Gastos Gerais'!$C$4:$C$3632)))</f>
        <v>0</v>
      </c>
      <c r="AN28" s="134">
        <f>IF($B28="",0,SUMPRODUCT(-('Gastos Gerais'!$F$4:$F$3632='Gastos das Atividades'!$B28),-('Gastos das Atividades'!AN$3&gt;='Gastos Gerais'!$D$4:$D$3632),-('Gastos das Atividades'!AN$3&lt;='Gastos Gerais'!$E$4:$E$3632),-('Gastos Gerais'!$C$4:$C$3632)))</f>
        <v>0</v>
      </c>
      <c r="AO28" s="134">
        <f>IF($B28="",0,SUMPRODUCT(-('Gastos Gerais'!$F$4:$F$3632='Gastos das Atividades'!$B28),-('Gastos das Atividades'!AO$3&gt;='Gastos Gerais'!$D$4:$D$3632),-('Gastos das Atividades'!AO$3&lt;='Gastos Gerais'!$E$4:$E$3632),-('Gastos Gerais'!$C$4:$C$3632)))</f>
        <v>0</v>
      </c>
      <c r="AP28" s="134">
        <f>IF($B28="",0,SUMPRODUCT(-('Gastos Gerais'!$F$4:$F$3632='Gastos das Atividades'!$B28),-('Gastos das Atividades'!AP$3&gt;='Gastos Gerais'!$D$4:$D$3632),-('Gastos das Atividades'!AP$3&lt;='Gastos Gerais'!$E$4:$E$3632),-('Gastos Gerais'!$C$4:$C$3632)))</f>
        <v>0</v>
      </c>
      <c r="AQ28" s="134">
        <f>IF($B28="",0,SUMPRODUCT(-('Gastos Gerais'!$F$4:$F$3632='Gastos das Atividades'!$B28),-('Gastos das Atividades'!AQ$3&gt;='Gastos Gerais'!$D$4:$D$3632),-('Gastos das Atividades'!AQ$3&lt;='Gastos Gerais'!$E$4:$E$3632),-('Gastos Gerais'!$C$4:$C$3632)))</f>
        <v>0</v>
      </c>
      <c r="AR28" s="134">
        <f>IF($B28="",0,SUMPRODUCT(-('Gastos Gerais'!$F$4:$F$3632='Gastos das Atividades'!$B28),-('Gastos das Atividades'!AR$3&gt;='Gastos Gerais'!$D$4:$D$3632),-('Gastos das Atividades'!AR$3&lt;='Gastos Gerais'!$E$4:$E$3632),-('Gastos Gerais'!$C$4:$C$3632)))</f>
        <v>0</v>
      </c>
      <c r="AS28" s="134">
        <f>IF($B28="",0,SUMPRODUCT(-('Gastos Gerais'!$F$4:$F$3632='Gastos das Atividades'!$B28),-('Gastos das Atividades'!AS$3&gt;='Gastos Gerais'!$D$4:$D$3632),-('Gastos das Atividades'!AS$3&lt;='Gastos Gerais'!$E$4:$E$3632),-('Gastos Gerais'!$C$4:$C$3632)))</f>
        <v>0</v>
      </c>
      <c r="AT28" s="134">
        <f>IF($B28="",0,SUMPRODUCT(-('Gastos Gerais'!$F$4:$F$3632='Gastos das Atividades'!$B28),-('Gastos das Atividades'!AT$3&gt;='Gastos Gerais'!$D$4:$D$3632),-('Gastos das Atividades'!AT$3&lt;='Gastos Gerais'!$E$4:$E$3632),-('Gastos Gerais'!$C$4:$C$3632)))</f>
        <v>0</v>
      </c>
      <c r="AU28" s="134">
        <f>IF($B28="",0,SUMPRODUCT(-('Gastos Gerais'!$F$4:$F$3632='Gastos das Atividades'!$B28),-('Gastos das Atividades'!AU$3&gt;='Gastos Gerais'!$D$4:$D$3632),-('Gastos das Atividades'!AU$3&lt;='Gastos Gerais'!$E$4:$E$3632),-('Gastos Gerais'!$C$4:$C$3632)))</f>
        <v>0</v>
      </c>
      <c r="AV28" s="134">
        <f>IF($B28="",0,SUMPRODUCT(-('Gastos Gerais'!$F$4:$F$3632='Gastos das Atividades'!$B28),-('Gastos das Atividades'!AV$3&gt;='Gastos Gerais'!$D$4:$D$3632),-('Gastos das Atividades'!AV$3&lt;='Gastos Gerais'!$E$4:$E$3632),-('Gastos Gerais'!$C$4:$C$3632)))</f>
        <v>0</v>
      </c>
      <c r="AW28" s="134">
        <f>IF($B28="",0,SUMPRODUCT(-('Gastos Gerais'!$F$4:$F$3632='Gastos das Atividades'!$B28),-('Gastos das Atividades'!AW$3&gt;='Gastos Gerais'!$D$4:$D$3632),-('Gastos das Atividades'!AW$3&lt;='Gastos Gerais'!$E$4:$E$3632),-('Gastos Gerais'!$C$4:$C$3632)))</f>
        <v>0</v>
      </c>
      <c r="AX28" s="134">
        <f>IF($B28="",0,SUMPRODUCT(-('Gastos Gerais'!$F$4:$F$3632='Gastos das Atividades'!$B28),-('Gastos das Atividades'!AX$3&gt;='Gastos Gerais'!$D$4:$D$3632),-('Gastos das Atividades'!AX$3&lt;='Gastos Gerais'!$E$4:$E$3632),-('Gastos Gerais'!$C$4:$C$3632)))</f>
        <v>0</v>
      </c>
      <c r="AY28" s="134">
        <f>IF($B28="",0,SUMPRODUCT(-('Gastos Gerais'!$F$4:$F$3632='Gastos das Atividades'!$B28),-('Gastos das Atividades'!AY$3&gt;='Gastos Gerais'!$D$4:$D$3632),-('Gastos das Atividades'!AY$3&lt;='Gastos Gerais'!$E$4:$E$3632),-('Gastos Gerais'!$C$4:$C$3632)))</f>
        <v>0</v>
      </c>
      <c r="AZ28" s="134">
        <f>IF($B28="",0,SUMPRODUCT(-('Gastos Gerais'!$F$4:$F$3632='Gastos das Atividades'!$B28),-('Gastos das Atividades'!AZ$3&gt;='Gastos Gerais'!$D$4:$D$3632),-('Gastos das Atividades'!AZ$3&lt;='Gastos Gerais'!$E$4:$E$3632),-('Gastos Gerais'!$C$4:$C$3632)))</f>
        <v>0</v>
      </c>
      <c r="BA28" s="134">
        <f>IF($B28="",0,SUMPRODUCT(-('Gastos Gerais'!$F$4:$F$3632='Gastos das Atividades'!$B28),-('Gastos das Atividades'!BA$3&gt;='Gastos Gerais'!$D$4:$D$3632),-('Gastos das Atividades'!BA$3&lt;='Gastos Gerais'!$E$4:$E$3632),-('Gastos Gerais'!$C$4:$C$3632)))</f>
        <v>0</v>
      </c>
      <c r="BB28" s="134">
        <f>IF($B28="",0,SUMPRODUCT(-('Gastos Gerais'!$F$4:$F$3632='Gastos das Atividades'!$B28),-('Gastos das Atividades'!BB$3&gt;='Gastos Gerais'!$D$4:$D$3632),-('Gastos das Atividades'!BB$3&lt;='Gastos Gerais'!$E$4:$E$3632),-('Gastos Gerais'!$C$4:$C$3632)))</f>
        <v>0</v>
      </c>
      <c r="BC28" s="134">
        <f>IF($B28="",0,SUMPRODUCT(-('Gastos Gerais'!$F$4:$F$3632='Gastos das Atividades'!$B28),-('Gastos das Atividades'!BC$3&gt;='Gastos Gerais'!$D$4:$D$3632),-('Gastos das Atividades'!BC$3&lt;='Gastos Gerais'!$E$4:$E$3632),-('Gastos Gerais'!$C$4:$C$3632)))</f>
        <v>0</v>
      </c>
      <c r="BD28" s="134">
        <f>IF($B28="",0,SUMPRODUCT(-('Gastos Gerais'!$F$4:$F$3632='Gastos das Atividades'!$B28),-('Gastos das Atividades'!BD$3&gt;='Gastos Gerais'!$D$4:$D$3632),-('Gastos das Atividades'!BD$3&lt;='Gastos Gerais'!$E$4:$E$3632),-('Gastos Gerais'!$C$4:$C$3632)))</f>
        <v>0</v>
      </c>
      <c r="BE28" s="134">
        <f>IF($B28="",0,SUMPRODUCT(-('Gastos Gerais'!$F$4:$F$3632='Gastos das Atividades'!$B28),-('Gastos das Atividades'!BE$3&gt;='Gastos Gerais'!$D$4:$D$3632),-('Gastos das Atividades'!BE$3&lt;='Gastos Gerais'!$E$4:$E$3632),-('Gastos Gerais'!$C$4:$C$3632)))</f>
        <v>0</v>
      </c>
      <c r="BF28" s="134">
        <f>IF($B28="",0,SUMPRODUCT(-('Gastos Gerais'!$F$4:$F$3632='Gastos das Atividades'!$B28),-('Gastos das Atividades'!BF$3&gt;='Gastos Gerais'!$D$4:$D$3632),-('Gastos das Atividades'!BF$3&lt;='Gastos Gerais'!$E$4:$E$3632),-('Gastos Gerais'!$C$4:$C$3632)))</f>
        <v>0</v>
      </c>
      <c r="BG28" s="134">
        <f>IF($B28="",0,SUMPRODUCT(-('Gastos Gerais'!$F$4:$F$3632='Gastos das Atividades'!$B28),-('Gastos das Atividades'!BG$3&gt;='Gastos Gerais'!$D$4:$D$3632),-('Gastos das Atividades'!BG$3&lt;='Gastos Gerais'!$E$4:$E$3632),-('Gastos Gerais'!$C$4:$C$3632)))</f>
        <v>0</v>
      </c>
      <c r="BH28" s="134">
        <f>IF($B28="",0,SUMPRODUCT(-('Gastos Gerais'!$F$4:$F$3632='Gastos das Atividades'!$B28),-('Gastos das Atividades'!BH$3&gt;='Gastos Gerais'!$D$4:$D$3632),-('Gastos das Atividades'!BH$3&lt;='Gastos Gerais'!$E$4:$E$3632),-('Gastos Gerais'!$C$4:$C$3632)))</f>
        <v>0</v>
      </c>
      <c r="BI28" s="134">
        <f>IF($B28="",0,SUMPRODUCT(-('Gastos Gerais'!$F$4:$F$3632='Gastos das Atividades'!$B28),-('Gastos das Atividades'!BI$3&gt;='Gastos Gerais'!$D$4:$D$3632),-('Gastos das Atividades'!BI$3&lt;='Gastos Gerais'!$E$4:$E$3632),-('Gastos Gerais'!$C$4:$C$3632)))</f>
        <v>0</v>
      </c>
      <c r="BJ28" s="134">
        <f>IF($B28="",0,SUMPRODUCT(-('Gastos Gerais'!$F$4:$F$3632='Gastos das Atividades'!$B28),-('Gastos das Atividades'!BJ$3&gt;='Gastos Gerais'!$D$4:$D$3632),-('Gastos das Atividades'!BJ$3&lt;='Gastos Gerais'!$E$4:$E$3632),-('Gastos Gerais'!$C$4:$C$3632)))</f>
        <v>0</v>
      </c>
      <c r="BK28" s="134">
        <f>IF($B28="",0,SUMPRODUCT(-('Gastos Gerais'!$F$4:$F$3632='Gastos das Atividades'!$B28),-('Gastos das Atividades'!BK$3&gt;='Gastos Gerais'!$D$4:$D$3632),-('Gastos das Atividades'!BK$3&lt;='Gastos Gerais'!$E$4:$E$3632),-('Gastos Gerais'!$C$4:$C$3632)))</f>
        <v>0</v>
      </c>
      <c r="BL28" s="134">
        <f>IF($B28="",0,SUMPRODUCT(-('Gastos Gerais'!$F$4:$F$3632='Gastos das Atividades'!$B28),-('Gastos das Atividades'!BL$3&gt;='Gastos Gerais'!$D$4:$D$3632),-('Gastos das Atividades'!BL$3&lt;='Gastos Gerais'!$E$4:$E$3632),-('Gastos Gerais'!$C$4:$C$3632)))</f>
        <v>0</v>
      </c>
      <c r="BM28" s="134">
        <f>IF($B28="",0,SUMPRODUCT(-('Gastos Gerais'!$F$4:$F$3632='Gastos das Atividades'!$B28),-('Gastos das Atividades'!BM$3&gt;='Gastos Gerais'!$D$4:$D$3632),-('Gastos das Atividades'!BM$3&lt;='Gastos Gerais'!$E$4:$E$3632),-('Gastos Gerais'!$C$4:$C$3632)))</f>
        <v>0</v>
      </c>
      <c r="BN28" s="134">
        <f>IF($B28="",0,SUMPRODUCT(-('Gastos Gerais'!$F$4:$F$3632='Gastos das Atividades'!$B28),-('Gastos das Atividades'!BN$3&gt;='Gastos Gerais'!$D$4:$D$3632),-('Gastos das Atividades'!BN$3&lt;='Gastos Gerais'!$E$4:$E$3632),-('Gastos Gerais'!$C$4:$C$3632)))</f>
        <v>0</v>
      </c>
      <c r="BO28" s="134">
        <f>IF($B28="",0,SUMPRODUCT(-('Gastos Gerais'!$F$4:$F$3632='Gastos das Atividades'!$B28),-('Gastos das Atividades'!BO$3&gt;='Gastos Gerais'!$D$4:$D$3632),-('Gastos das Atividades'!BO$3&lt;='Gastos Gerais'!$E$4:$E$3632),-('Gastos Gerais'!$C$4:$C$3632)))</f>
        <v>0</v>
      </c>
      <c r="BP28" s="134">
        <f>IF($B28="",0,SUMPRODUCT(-('Gastos Gerais'!$F$4:$F$3632='Gastos das Atividades'!$B28),-('Gastos das Atividades'!BP$3&gt;='Gastos Gerais'!$D$4:$D$3632),-('Gastos das Atividades'!BP$3&lt;='Gastos Gerais'!$E$4:$E$3632),-('Gastos Gerais'!$C$4:$C$3632)))</f>
        <v>0</v>
      </c>
      <c r="BQ28" s="134">
        <f>IF($B28="",0,SUMPRODUCT(-('Gastos Gerais'!$F$4:$F$3632='Gastos das Atividades'!$B28),-('Gastos das Atividades'!BQ$3&gt;='Gastos Gerais'!$D$4:$D$3632),-('Gastos das Atividades'!BQ$3&lt;='Gastos Gerais'!$E$4:$E$3632),-('Gastos Gerais'!$C$4:$C$3632)))</f>
        <v>0</v>
      </c>
      <c r="BR28" s="134">
        <f>IF($B28="",0,SUMPRODUCT(-('Gastos Gerais'!$F$4:$F$3632='Gastos das Atividades'!$B28),-('Gastos das Atividades'!BR$3&gt;='Gastos Gerais'!$D$4:$D$3632),-('Gastos das Atividades'!BR$3&lt;='Gastos Gerais'!$E$4:$E$3632),-('Gastos Gerais'!$C$4:$C$3632)))</f>
        <v>0</v>
      </c>
      <c r="BS28" s="134">
        <f>IF($B28="",0,SUMPRODUCT(-('Gastos Gerais'!$F$4:$F$3632='Gastos das Atividades'!$B28),-('Gastos das Atividades'!BS$3&gt;='Gastos Gerais'!$D$4:$D$3632),-('Gastos das Atividades'!BS$3&lt;='Gastos Gerais'!$E$4:$E$3632),-('Gastos Gerais'!$C$4:$C$3632)))</f>
        <v>0</v>
      </c>
      <c r="BT28" s="134">
        <f>IF($B28="",0,SUMPRODUCT(-('Gastos Gerais'!$F$4:$F$3632='Gastos das Atividades'!$B28),-('Gastos das Atividades'!BT$3&gt;='Gastos Gerais'!$D$4:$D$3632),-('Gastos das Atividades'!BT$3&lt;='Gastos Gerais'!$E$4:$E$3632),-('Gastos Gerais'!$C$4:$C$3632)))</f>
        <v>0</v>
      </c>
      <c r="BU28" s="134">
        <f>IF($B28="",0,SUMPRODUCT(-('Gastos Gerais'!$F$4:$F$3632='Gastos das Atividades'!$B28),-('Gastos das Atividades'!BU$3&gt;='Gastos Gerais'!$D$4:$D$3632),-('Gastos das Atividades'!BU$3&lt;='Gastos Gerais'!$E$4:$E$3632),-('Gastos Gerais'!$C$4:$C$3632)))</f>
        <v>0</v>
      </c>
      <c r="BV28" s="134">
        <f>IF($B28="",0,SUMPRODUCT(-('Gastos Gerais'!$F$4:$F$3632='Gastos das Atividades'!$B28),-('Gastos das Atividades'!BV$3&gt;='Gastos Gerais'!$D$4:$D$3632),-('Gastos das Atividades'!BV$3&lt;='Gastos Gerais'!$E$4:$E$3632),-('Gastos Gerais'!$C$4:$C$3632)))</f>
        <v>0</v>
      </c>
      <c r="BW28" s="134">
        <f>IF($B28="",0,SUMPRODUCT(-('Gastos Gerais'!$F$4:$F$3632='Gastos das Atividades'!$B28),-('Gastos das Atividades'!BW$3&gt;='Gastos Gerais'!$D$4:$D$3632),-('Gastos das Atividades'!BW$3&lt;='Gastos Gerais'!$E$4:$E$3632),-('Gastos Gerais'!$C$4:$C$3632)))</f>
        <v>0</v>
      </c>
    </row>
    <row r="29" spans="1:75">
      <c r="A29" s="138">
        <v>26</v>
      </c>
      <c r="B29" s="139"/>
      <c r="C29" s="132">
        <v>0</v>
      </c>
      <c r="D29" s="133">
        <f t="shared" si="0"/>
        <v>0</v>
      </c>
      <c r="E29" s="134">
        <f t="shared" si="1"/>
        <v>0</v>
      </c>
      <c r="F29" s="134">
        <f t="shared" si="1"/>
        <v>0</v>
      </c>
      <c r="G29" s="134">
        <f t="shared" si="1"/>
        <v>0</v>
      </c>
      <c r="H29" s="134">
        <f t="shared" si="1"/>
        <v>0</v>
      </c>
      <c r="I29" s="135">
        <f t="shared" si="2"/>
        <v>0</v>
      </c>
      <c r="J29" s="136">
        <f t="shared" si="3"/>
        <v>0</v>
      </c>
      <c r="K29" s="136">
        <f t="shared" si="4"/>
        <v>0</v>
      </c>
      <c r="L29" s="136">
        <f t="shared" si="5"/>
        <v>0</v>
      </c>
      <c r="M29" s="136">
        <f t="shared" si="6"/>
        <v>0</v>
      </c>
      <c r="N29" s="136">
        <f t="shared" si="7"/>
        <v>0</v>
      </c>
      <c r="O29" s="137">
        <f t="shared" si="8"/>
        <v>0</v>
      </c>
      <c r="P29" s="134">
        <f>IF($B29="",0,SUMPRODUCT(-('Gastos Gerais'!$F$4:$F$3632='Gastos das Atividades'!$B29),-('Gastos das Atividades'!P$3&gt;='Gastos Gerais'!$D$4:$D$3632),-('Gastos das Atividades'!P$3&lt;='Gastos Gerais'!$E$4:$E$3632),-('Gastos Gerais'!$C$4:$C$3632)))</f>
        <v>0</v>
      </c>
      <c r="Q29" s="134">
        <f>IF($B29="",0,SUMPRODUCT(-('Gastos Gerais'!$F$4:$F$3632='Gastos das Atividades'!$B29),-('Gastos das Atividades'!Q$3&gt;='Gastos Gerais'!$D$4:$D$3632),-('Gastos das Atividades'!Q$3&lt;='Gastos Gerais'!$E$4:$E$3632),-('Gastos Gerais'!$C$4:$C$3632)))</f>
        <v>0</v>
      </c>
      <c r="R29" s="134">
        <f>IF($B29="",0,SUMPRODUCT(-('Gastos Gerais'!$F$4:$F$3632='Gastos das Atividades'!$B29),-('Gastos das Atividades'!R$3&gt;='Gastos Gerais'!$D$4:$D$3632),-('Gastos das Atividades'!R$3&lt;='Gastos Gerais'!$E$4:$E$3632),-('Gastos Gerais'!$C$4:$C$3632)))</f>
        <v>0</v>
      </c>
      <c r="S29" s="134">
        <f>IF($B29="",0,SUMPRODUCT(-('Gastos Gerais'!$F$4:$F$3632='Gastos das Atividades'!$B29),-('Gastos das Atividades'!S$3&gt;='Gastos Gerais'!$D$4:$D$3632),-('Gastos das Atividades'!S$3&lt;='Gastos Gerais'!$E$4:$E$3632),-('Gastos Gerais'!$C$4:$C$3632)))</f>
        <v>0</v>
      </c>
      <c r="T29" s="134">
        <f>IF($B29="",0,SUMPRODUCT(-('Gastos Gerais'!$F$4:$F$3632='Gastos das Atividades'!$B29),-('Gastos das Atividades'!T$3&gt;='Gastos Gerais'!$D$4:$D$3632),-('Gastos das Atividades'!T$3&lt;='Gastos Gerais'!$E$4:$E$3632),-('Gastos Gerais'!$C$4:$C$3632)))</f>
        <v>0</v>
      </c>
      <c r="U29" s="134">
        <f>IF($B29="",0,SUMPRODUCT(-('Gastos Gerais'!$F$4:$F$3632='Gastos das Atividades'!$B29),-('Gastos das Atividades'!U$3&gt;='Gastos Gerais'!$D$4:$D$3632),-('Gastos das Atividades'!U$3&lt;='Gastos Gerais'!$E$4:$E$3632),-('Gastos Gerais'!$C$4:$C$3632)))</f>
        <v>0</v>
      </c>
      <c r="V29" s="134">
        <f>IF($B29="",0,SUMPRODUCT(-('Gastos Gerais'!$F$4:$F$3632='Gastos das Atividades'!$B29),-('Gastos das Atividades'!V$3&gt;='Gastos Gerais'!$D$4:$D$3632),-('Gastos das Atividades'!V$3&lt;='Gastos Gerais'!$E$4:$E$3632),-('Gastos Gerais'!$C$4:$C$3632)))</f>
        <v>0</v>
      </c>
      <c r="W29" s="134">
        <f>IF($B29="",0,SUMPRODUCT(-('Gastos Gerais'!$F$4:$F$3632='Gastos das Atividades'!$B29),-('Gastos das Atividades'!W$3&gt;='Gastos Gerais'!$D$4:$D$3632),-('Gastos das Atividades'!W$3&lt;='Gastos Gerais'!$E$4:$E$3632),-('Gastos Gerais'!$C$4:$C$3632)))</f>
        <v>0</v>
      </c>
      <c r="X29" s="134">
        <f>IF($B29="",0,SUMPRODUCT(-('Gastos Gerais'!$F$4:$F$3632='Gastos das Atividades'!$B29),-('Gastos das Atividades'!X$3&gt;='Gastos Gerais'!$D$4:$D$3632),-('Gastos das Atividades'!X$3&lt;='Gastos Gerais'!$E$4:$E$3632),-('Gastos Gerais'!$C$4:$C$3632)))</f>
        <v>0</v>
      </c>
      <c r="Y29" s="134">
        <f>IF($B29="",0,SUMPRODUCT(-('Gastos Gerais'!$F$4:$F$3632='Gastos das Atividades'!$B29),-('Gastos das Atividades'!Y$3&gt;='Gastos Gerais'!$D$4:$D$3632),-('Gastos das Atividades'!Y$3&lt;='Gastos Gerais'!$E$4:$E$3632),-('Gastos Gerais'!$C$4:$C$3632)))</f>
        <v>0</v>
      </c>
      <c r="Z29" s="134">
        <f>IF($B29="",0,SUMPRODUCT(-('Gastos Gerais'!$F$4:$F$3632='Gastos das Atividades'!$B29),-('Gastos das Atividades'!Z$3&gt;='Gastos Gerais'!$D$4:$D$3632),-('Gastos das Atividades'!Z$3&lt;='Gastos Gerais'!$E$4:$E$3632),-('Gastos Gerais'!$C$4:$C$3632)))</f>
        <v>0</v>
      </c>
      <c r="AA29" s="134">
        <f>IF($B29="",0,SUMPRODUCT(-('Gastos Gerais'!$F$4:$F$3632='Gastos das Atividades'!$B29),-('Gastos das Atividades'!AA$3&gt;='Gastos Gerais'!$D$4:$D$3632),-('Gastos das Atividades'!AA$3&lt;='Gastos Gerais'!$E$4:$E$3632),-('Gastos Gerais'!$C$4:$C$3632)))</f>
        <v>0</v>
      </c>
      <c r="AB29" s="134">
        <f>IF($B29="",0,SUMPRODUCT(-('Gastos Gerais'!$F$4:$F$3632='Gastos das Atividades'!$B29),-('Gastos das Atividades'!AB$3&gt;='Gastos Gerais'!$D$4:$D$3632),-('Gastos das Atividades'!AB$3&lt;='Gastos Gerais'!$E$4:$E$3632),-('Gastos Gerais'!$C$4:$C$3632)))</f>
        <v>0</v>
      </c>
      <c r="AC29" s="134">
        <f>IF($B29="",0,SUMPRODUCT(-('Gastos Gerais'!$F$4:$F$3632='Gastos das Atividades'!$B29),-('Gastos das Atividades'!AC$3&gt;='Gastos Gerais'!$D$4:$D$3632),-('Gastos das Atividades'!AC$3&lt;='Gastos Gerais'!$E$4:$E$3632),-('Gastos Gerais'!$C$4:$C$3632)))</f>
        <v>0</v>
      </c>
      <c r="AD29" s="134">
        <f>IF($B29="",0,SUMPRODUCT(-('Gastos Gerais'!$F$4:$F$3632='Gastos das Atividades'!$B29),-('Gastos das Atividades'!AD$3&gt;='Gastos Gerais'!$D$4:$D$3632),-('Gastos das Atividades'!AD$3&lt;='Gastos Gerais'!$E$4:$E$3632),-('Gastos Gerais'!$C$4:$C$3632)))</f>
        <v>0</v>
      </c>
      <c r="AE29" s="134">
        <f>IF($B29="",0,SUMPRODUCT(-('Gastos Gerais'!$F$4:$F$3632='Gastos das Atividades'!$B29),-('Gastos das Atividades'!AE$3&gt;='Gastos Gerais'!$D$4:$D$3632),-('Gastos das Atividades'!AE$3&lt;='Gastos Gerais'!$E$4:$E$3632),-('Gastos Gerais'!$C$4:$C$3632)))</f>
        <v>0</v>
      </c>
      <c r="AF29" s="134">
        <f>IF($B29="",0,SUMPRODUCT(-('Gastos Gerais'!$F$4:$F$3632='Gastos das Atividades'!$B29),-('Gastos das Atividades'!AF$3&gt;='Gastos Gerais'!$D$4:$D$3632),-('Gastos das Atividades'!AF$3&lt;='Gastos Gerais'!$E$4:$E$3632),-('Gastos Gerais'!$C$4:$C$3632)))</f>
        <v>0</v>
      </c>
      <c r="AG29" s="134">
        <f>IF($B29="",0,SUMPRODUCT(-('Gastos Gerais'!$F$4:$F$3632='Gastos das Atividades'!$B29),-('Gastos das Atividades'!AG$3&gt;='Gastos Gerais'!$D$4:$D$3632),-('Gastos das Atividades'!AG$3&lt;='Gastos Gerais'!$E$4:$E$3632),-('Gastos Gerais'!$C$4:$C$3632)))</f>
        <v>0</v>
      </c>
      <c r="AH29" s="134">
        <f>IF($B29="",0,SUMPRODUCT(-('Gastos Gerais'!$F$4:$F$3632='Gastos das Atividades'!$B29),-('Gastos das Atividades'!AH$3&gt;='Gastos Gerais'!$D$4:$D$3632),-('Gastos das Atividades'!AH$3&lt;='Gastos Gerais'!$E$4:$E$3632),-('Gastos Gerais'!$C$4:$C$3632)))</f>
        <v>0</v>
      </c>
      <c r="AI29" s="134">
        <f>IF($B29="",0,SUMPRODUCT(-('Gastos Gerais'!$F$4:$F$3632='Gastos das Atividades'!$B29),-('Gastos das Atividades'!AI$3&gt;='Gastos Gerais'!$D$4:$D$3632),-('Gastos das Atividades'!AI$3&lt;='Gastos Gerais'!$E$4:$E$3632),-('Gastos Gerais'!$C$4:$C$3632)))</f>
        <v>0</v>
      </c>
      <c r="AJ29" s="134">
        <f>IF($B29="",0,SUMPRODUCT(-('Gastos Gerais'!$F$4:$F$3632='Gastos das Atividades'!$B29),-('Gastos das Atividades'!AJ$3&gt;='Gastos Gerais'!$D$4:$D$3632),-('Gastos das Atividades'!AJ$3&lt;='Gastos Gerais'!$E$4:$E$3632),-('Gastos Gerais'!$C$4:$C$3632)))</f>
        <v>0</v>
      </c>
      <c r="AK29" s="134">
        <f>IF($B29="",0,SUMPRODUCT(-('Gastos Gerais'!$F$4:$F$3632='Gastos das Atividades'!$B29),-('Gastos das Atividades'!AK$3&gt;='Gastos Gerais'!$D$4:$D$3632),-('Gastos das Atividades'!AK$3&lt;='Gastos Gerais'!$E$4:$E$3632),-('Gastos Gerais'!$C$4:$C$3632)))</f>
        <v>0</v>
      </c>
      <c r="AL29" s="134">
        <f>IF($B29="",0,SUMPRODUCT(-('Gastos Gerais'!$F$4:$F$3632='Gastos das Atividades'!$B29),-('Gastos das Atividades'!AL$3&gt;='Gastos Gerais'!$D$4:$D$3632),-('Gastos das Atividades'!AL$3&lt;='Gastos Gerais'!$E$4:$E$3632),-('Gastos Gerais'!$C$4:$C$3632)))</f>
        <v>0</v>
      </c>
      <c r="AM29" s="134">
        <f>IF($B29="",0,SUMPRODUCT(-('Gastos Gerais'!$F$4:$F$3632='Gastos das Atividades'!$B29),-('Gastos das Atividades'!AM$3&gt;='Gastos Gerais'!$D$4:$D$3632),-('Gastos das Atividades'!AM$3&lt;='Gastos Gerais'!$E$4:$E$3632),-('Gastos Gerais'!$C$4:$C$3632)))</f>
        <v>0</v>
      </c>
      <c r="AN29" s="134">
        <f>IF($B29="",0,SUMPRODUCT(-('Gastos Gerais'!$F$4:$F$3632='Gastos das Atividades'!$B29),-('Gastos das Atividades'!AN$3&gt;='Gastos Gerais'!$D$4:$D$3632),-('Gastos das Atividades'!AN$3&lt;='Gastos Gerais'!$E$4:$E$3632),-('Gastos Gerais'!$C$4:$C$3632)))</f>
        <v>0</v>
      </c>
      <c r="AO29" s="134">
        <f>IF($B29="",0,SUMPRODUCT(-('Gastos Gerais'!$F$4:$F$3632='Gastos das Atividades'!$B29),-('Gastos das Atividades'!AO$3&gt;='Gastos Gerais'!$D$4:$D$3632),-('Gastos das Atividades'!AO$3&lt;='Gastos Gerais'!$E$4:$E$3632),-('Gastos Gerais'!$C$4:$C$3632)))</f>
        <v>0</v>
      </c>
      <c r="AP29" s="134">
        <f>IF($B29="",0,SUMPRODUCT(-('Gastos Gerais'!$F$4:$F$3632='Gastos das Atividades'!$B29),-('Gastos das Atividades'!AP$3&gt;='Gastos Gerais'!$D$4:$D$3632),-('Gastos das Atividades'!AP$3&lt;='Gastos Gerais'!$E$4:$E$3632),-('Gastos Gerais'!$C$4:$C$3632)))</f>
        <v>0</v>
      </c>
      <c r="AQ29" s="134">
        <f>IF($B29="",0,SUMPRODUCT(-('Gastos Gerais'!$F$4:$F$3632='Gastos das Atividades'!$B29),-('Gastos das Atividades'!AQ$3&gt;='Gastos Gerais'!$D$4:$D$3632),-('Gastos das Atividades'!AQ$3&lt;='Gastos Gerais'!$E$4:$E$3632),-('Gastos Gerais'!$C$4:$C$3632)))</f>
        <v>0</v>
      </c>
      <c r="AR29" s="134">
        <f>IF($B29="",0,SUMPRODUCT(-('Gastos Gerais'!$F$4:$F$3632='Gastos das Atividades'!$B29),-('Gastos das Atividades'!AR$3&gt;='Gastos Gerais'!$D$4:$D$3632),-('Gastos das Atividades'!AR$3&lt;='Gastos Gerais'!$E$4:$E$3632),-('Gastos Gerais'!$C$4:$C$3632)))</f>
        <v>0</v>
      </c>
      <c r="AS29" s="134">
        <f>IF($B29="",0,SUMPRODUCT(-('Gastos Gerais'!$F$4:$F$3632='Gastos das Atividades'!$B29),-('Gastos das Atividades'!AS$3&gt;='Gastos Gerais'!$D$4:$D$3632),-('Gastos das Atividades'!AS$3&lt;='Gastos Gerais'!$E$4:$E$3632),-('Gastos Gerais'!$C$4:$C$3632)))</f>
        <v>0</v>
      </c>
      <c r="AT29" s="134">
        <f>IF($B29="",0,SUMPRODUCT(-('Gastos Gerais'!$F$4:$F$3632='Gastos das Atividades'!$B29),-('Gastos das Atividades'!AT$3&gt;='Gastos Gerais'!$D$4:$D$3632),-('Gastos das Atividades'!AT$3&lt;='Gastos Gerais'!$E$4:$E$3632),-('Gastos Gerais'!$C$4:$C$3632)))</f>
        <v>0</v>
      </c>
      <c r="AU29" s="134">
        <f>IF($B29="",0,SUMPRODUCT(-('Gastos Gerais'!$F$4:$F$3632='Gastos das Atividades'!$B29),-('Gastos das Atividades'!AU$3&gt;='Gastos Gerais'!$D$4:$D$3632),-('Gastos das Atividades'!AU$3&lt;='Gastos Gerais'!$E$4:$E$3632),-('Gastos Gerais'!$C$4:$C$3632)))</f>
        <v>0</v>
      </c>
      <c r="AV29" s="134">
        <f>IF($B29="",0,SUMPRODUCT(-('Gastos Gerais'!$F$4:$F$3632='Gastos das Atividades'!$B29),-('Gastos das Atividades'!AV$3&gt;='Gastos Gerais'!$D$4:$D$3632),-('Gastos das Atividades'!AV$3&lt;='Gastos Gerais'!$E$4:$E$3632),-('Gastos Gerais'!$C$4:$C$3632)))</f>
        <v>0</v>
      </c>
      <c r="AW29" s="134">
        <f>IF($B29="",0,SUMPRODUCT(-('Gastos Gerais'!$F$4:$F$3632='Gastos das Atividades'!$B29),-('Gastos das Atividades'!AW$3&gt;='Gastos Gerais'!$D$4:$D$3632),-('Gastos das Atividades'!AW$3&lt;='Gastos Gerais'!$E$4:$E$3632),-('Gastos Gerais'!$C$4:$C$3632)))</f>
        <v>0</v>
      </c>
      <c r="AX29" s="134">
        <f>IF($B29="",0,SUMPRODUCT(-('Gastos Gerais'!$F$4:$F$3632='Gastos das Atividades'!$B29),-('Gastos das Atividades'!AX$3&gt;='Gastos Gerais'!$D$4:$D$3632),-('Gastos das Atividades'!AX$3&lt;='Gastos Gerais'!$E$4:$E$3632),-('Gastos Gerais'!$C$4:$C$3632)))</f>
        <v>0</v>
      </c>
      <c r="AY29" s="134">
        <f>IF($B29="",0,SUMPRODUCT(-('Gastos Gerais'!$F$4:$F$3632='Gastos das Atividades'!$B29),-('Gastos das Atividades'!AY$3&gt;='Gastos Gerais'!$D$4:$D$3632),-('Gastos das Atividades'!AY$3&lt;='Gastos Gerais'!$E$4:$E$3632),-('Gastos Gerais'!$C$4:$C$3632)))</f>
        <v>0</v>
      </c>
      <c r="AZ29" s="134">
        <f>IF($B29="",0,SUMPRODUCT(-('Gastos Gerais'!$F$4:$F$3632='Gastos das Atividades'!$B29),-('Gastos das Atividades'!AZ$3&gt;='Gastos Gerais'!$D$4:$D$3632),-('Gastos das Atividades'!AZ$3&lt;='Gastos Gerais'!$E$4:$E$3632),-('Gastos Gerais'!$C$4:$C$3632)))</f>
        <v>0</v>
      </c>
      <c r="BA29" s="134">
        <f>IF($B29="",0,SUMPRODUCT(-('Gastos Gerais'!$F$4:$F$3632='Gastos das Atividades'!$B29),-('Gastos das Atividades'!BA$3&gt;='Gastos Gerais'!$D$4:$D$3632),-('Gastos das Atividades'!BA$3&lt;='Gastos Gerais'!$E$4:$E$3632),-('Gastos Gerais'!$C$4:$C$3632)))</f>
        <v>0</v>
      </c>
      <c r="BB29" s="134">
        <f>IF($B29="",0,SUMPRODUCT(-('Gastos Gerais'!$F$4:$F$3632='Gastos das Atividades'!$B29),-('Gastos das Atividades'!BB$3&gt;='Gastos Gerais'!$D$4:$D$3632),-('Gastos das Atividades'!BB$3&lt;='Gastos Gerais'!$E$4:$E$3632),-('Gastos Gerais'!$C$4:$C$3632)))</f>
        <v>0</v>
      </c>
      <c r="BC29" s="134">
        <f>IF($B29="",0,SUMPRODUCT(-('Gastos Gerais'!$F$4:$F$3632='Gastos das Atividades'!$B29),-('Gastos das Atividades'!BC$3&gt;='Gastos Gerais'!$D$4:$D$3632),-('Gastos das Atividades'!BC$3&lt;='Gastos Gerais'!$E$4:$E$3632),-('Gastos Gerais'!$C$4:$C$3632)))</f>
        <v>0</v>
      </c>
      <c r="BD29" s="134">
        <f>IF($B29="",0,SUMPRODUCT(-('Gastos Gerais'!$F$4:$F$3632='Gastos das Atividades'!$B29),-('Gastos das Atividades'!BD$3&gt;='Gastos Gerais'!$D$4:$D$3632),-('Gastos das Atividades'!BD$3&lt;='Gastos Gerais'!$E$4:$E$3632),-('Gastos Gerais'!$C$4:$C$3632)))</f>
        <v>0</v>
      </c>
      <c r="BE29" s="134">
        <f>IF($B29="",0,SUMPRODUCT(-('Gastos Gerais'!$F$4:$F$3632='Gastos das Atividades'!$B29),-('Gastos das Atividades'!BE$3&gt;='Gastos Gerais'!$D$4:$D$3632),-('Gastos das Atividades'!BE$3&lt;='Gastos Gerais'!$E$4:$E$3632),-('Gastos Gerais'!$C$4:$C$3632)))</f>
        <v>0</v>
      </c>
      <c r="BF29" s="134">
        <f>IF($B29="",0,SUMPRODUCT(-('Gastos Gerais'!$F$4:$F$3632='Gastos das Atividades'!$B29),-('Gastos das Atividades'!BF$3&gt;='Gastos Gerais'!$D$4:$D$3632),-('Gastos das Atividades'!BF$3&lt;='Gastos Gerais'!$E$4:$E$3632),-('Gastos Gerais'!$C$4:$C$3632)))</f>
        <v>0</v>
      </c>
      <c r="BG29" s="134">
        <f>IF($B29="",0,SUMPRODUCT(-('Gastos Gerais'!$F$4:$F$3632='Gastos das Atividades'!$B29),-('Gastos das Atividades'!BG$3&gt;='Gastos Gerais'!$D$4:$D$3632),-('Gastos das Atividades'!BG$3&lt;='Gastos Gerais'!$E$4:$E$3632),-('Gastos Gerais'!$C$4:$C$3632)))</f>
        <v>0</v>
      </c>
      <c r="BH29" s="134">
        <f>IF($B29="",0,SUMPRODUCT(-('Gastos Gerais'!$F$4:$F$3632='Gastos das Atividades'!$B29),-('Gastos das Atividades'!BH$3&gt;='Gastos Gerais'!$D$4:$D$3632),-('Gastos das Atividades'!BH$3&lt;='Gastos Gerais'!$E$4:$E$3632),-('Gastos Gerais'!$C$4:$C$3632)))</f>
        <v>0</v>
      </c>
      <c r="BI29" s="134">
        <f>IF($B29="",0,SUMPRODUCT(-('Gastos Gerais'!$F$4:$F$3632='Gastos das Atividades'!$B29),-('Gastos das Atividades'!BI$3&gt;='Gastos Gerais'!$D$4:$D$3632),-('Gastos das Atividades'!BI$3&lt;='Gastos Gerais'!$E$4:$E$3632),-('Gastos Gerais'!$C$4:$C$3632)))</f>
        <v>0</v>
      </c>
      <c r="BJ29" s="134">
        <f>IF($B29="",0,SUMPRODUCT(-('Gastos Gerais'!$F$4:$F$3632='Gastos das Atividades'!$B29),-('Gastos das Atividades'!BJ$3&gt;='Gastos Gerais'!$D$4:$D$3632),-('Gastos das Atividades'!BJ$3&lt;='Gastos Gerais'!$E$4:$E$3632),-('Gastos Gerais'!$C$4:$C$3632)))</f>
        <v>0</v>
      </c>
      <c r="BK29" s="134">
        <f>IF($B29="",0,SUMPRODUCT(-('Gastos Gerais'!$F$4:$F$3632='Gastos das Atividades'!$B29),-('Gastos das Atividades'!BK$3&gt;='Gastos Gerais'!$D$4:$D$3632),-('Gastos das Atividades'!BK$3&lt;='Gastos Gerais'!$E$4:$E$3632),-('Gastos Gerais'!$C$4:$C$3632)))</f>
        <v>0</v>
      </c>
      <c r="BL29" s="134">
        <f>IF($B29="",0,SUMPRODUCT(-('Gastos Gerais'!$F$4:$F$3632='Gastos das Atividades'!$B29),-('Gastos das Atividades'!BL$3&gt;='Gastos Gerais'!$D$4:$D$3632),-('Gastos das Atividades'!BL$3&lt;='Gastos Gerais'!$E$4:$E$3632),-('Gastos Gerais'!$C$4:$C$3632)))</f>
        <v>0</v>
      </c>
      <c r="BM29" s="134">
        <f>IF($B29="",0,SUMPRODUCT(-('Gastos Gerais'!$F$4:$F$3632='Gastos das Atividades'!$B29),-('Gastos das Atividades'!BM$3&gt;='Gastos Gerais'!$D$4:$D$3632),-('Gastos das Atividades'!BM$3&lt;='Gastos Gerais'!$E$4:$E$3632),-('Gastos Gerais'!$C$4:$C$3632)))</f>
        <v>0</v>
      </c>
      <c r="BN29" s="134">
        <f>IF($B29="",0,SUMPRODUCT(-('Gastos Gerais'!$F$4:$F$3632='Gastos das Atividades'!$B29),-('Gastos das Atividades'!BN$3&gt;='Gastos Gerais'!$D$4:$D$3632),-('Gastos das Atividades'!BN$3&lt;='Gastos Gerais'!$E$4:$E$3632),-('Gastos Gerais'!$C$4:$C$3632)))</f>
        <v>0</v>
      </c>
      <c r="BO29" s="134">
        <f>IF($B29="",0,SUMPRODUCT(-('Gastos Gerais'!$F$4:$F$3632='Gastos das Atividades'!$B29),-('Gastos das Atividades'!BO$3&gt;='Gastos Gerais'!$D$4:$D$3632),-('Gastos das Atividades'!BO$3&lt;='Gastos Gerais'!$E$4:$E$3632),-('Gastos Gerais'!$C$4:$C$3632)))</f>
        <v>0</v>
      </c>
      <c r="BP29" s="134">
        <f>IF($B29="",0,SUMPRODUCT(-('Gastos Gerais'!$F$4:$F$3632='Gastos das Atividades'!$B29),-('Gastos das Atividades'!BP$3&gt;='Gastos Gerais'!$D$4:$D$3632),-('Gastos das Atividades'!BP$3&lt;='Gastos Gerais'!$E$4:$E$3632),-('Gastos Gerais'!$C$4:$C$3632)))</f>
        <v>0</v>
      </c>
      <c r="BQ29" s="134">
        <f>IF($B29="",0,SUMPRODUCT(-('Gastos Gerais'!$F$4:$F$3632='Gastos das Atividades'!$B29),-('Gastos das Atividades'!BQ$3&gt;='Gastos Gerais'!$D$4:$D$3632),-('Gastos das Atividades'!BQ$3&lt;='Gastos Gerais'!$E$4:$E$3632),-('Gastos Gerais'!$C$4:$C$3632)))</f>
        <v>0</v>
      </c>
      <c r="BR29" s="134">
        <f>IF($B29="",0,SUMPRODUCT(-('Gastos Gerais'!$F$4:$F$3632='Gastos das Atividades'!$B29),-('Gastos das Atividades'!BR$3&gt;='Gastos Gerais'!$D$4:$D$3632),-('Gastos das Atividades'!BR$3&lt;='Gastos Gerais'!$E$4:$E$3632),-('Gastos Gerais'!$C$4:$C$3632)))</f>
        <v>0</v>
      </c>
      <c r="BS29" s="134">
        <f>IF($B29="",0,SUMPRODUCT(-('Gastos Gerais'!$F$4:$F$3632='Gastos das Atividades'!$B29),-('Gastos das Atividades'!BS$3&gt;='Gastos Gerais'!$D$4:$D$3632),-('Gastos das Atividades'!BS$3&lt;='Gastos Gerais'!$E$4:$E$3632),-('Gastos Gerais'!$C$4:$C$3632)))</f>
        <v>0</v>
      </c>
      <c r="BT29" s="134">
        <f>IF($B29="",0,SUMPRODUCT(-('Gastos Gerais'!$F$4:$F$3632='Gastos das Atividades'!$B29),-('Gastos das Atividades'!BT$3&gt;='Gastos Gerais'!$D$4:$D$3632),-('Gastos das Atividades'!BT$3&lt;='Gastos Gerais'!$E$4:$E$3632),-('Gastos Gerais'!$C$4:$C$3632)))</f>
        <v>0</v>
      </c>
      <c r="BU29" s="134">
        <f>IF($B29="",0,SUMPRODUCT(-('Gastos Gerais'!$F$4:$F$3632='Gastos das Atividades'!$B29),-('Gastos das Atividades'!BU$3&gt;='Gastos Gerais'!$D$4:$D$3632),-('Gastos das Atividades'!BU$3&lt;='Gastos Gerais'!$E$4:$E$3632),-('Gastos Gerais'!$C$4:$C$3632)))</f>
        <v>0</v>
      </c>
      <c r="BV29" s="134">
        <f>IF($B29="",0,SUMPRODUCT(-('Gastos Gerais'!$F$4:$F$3632='Gastos das Atividades'!$B29),-('Gastos das Atividades'!BV$3&gt;='Gastos Gerais'!$D$4:$D$3632),-('Gastos das Atividades'!BV$3&lt;='Gastos Gerais'!$E$4:$E$3632),-('Gastos Gerais'!$C$4:$C$3632)))</f>
        <v>0</v>
      </c>
      <c r="BW29" s="134">
        <f>IF($B29="",0,SUMPRODUCT(-('Gastos Gerais'!$F$4:$F$3632='Gastos das Atividades'!$B29),-('Gastos das Atividades'!BW$3&gt;='Gastos Gerais'!$D$4:$D$3632),-('Gastos das Atividades'!BW$3&lt;='Gastos Gerais'!$E$4:$E$3632),-('Gastos Gerais'!$C$4:$C$3632)))</f>
        <v>0</v>
      </c>
    </row>
    <row r="30" spans="1:75">
      <c r="A30" s="138">
        <v>27</v>
      </c>
      <c r="B30" s="139"/>
      <c r="C30" s="132">
        <v>0</v>
      </c>
      <c r="D30" s="133">
        <f t="shared" si="0"/>
        <v>0</v>
      </c>
      <c r="E30" s="134">
        <f t="shared" si="1"/>
        <v>0</v>
      </c>
      <c r="F30" s="134">
        <f t="shared" si="1"/>
        <v>0</v>
      </c>
      <c r="G30" s="134">
        <f t="shared" si="1"/>
        <v>0</v>
      </c>
      <c r="H30" s="134">
        <f t="shared" si="1"/>
        <v>0</v>
      </c>
      <c r="I30" s="135">
        <f t="shared" si="2"/>
        <v>0</v>
      </c>
      <c r="J30" s="136">
        <f t="shared" si="3"/>
        <v>0</v>
      </c>
      <c r="K30" s="136">
        <f t="shared" si="4"/>
        <v>0</v>
      </c>
      <c r="L30" s="136">
        <f t="shared" si="5"/>
        <v>0</v>
      </c>
      <c r="M30" s="136">
        <f t="shared" si="6"/>
        <v>0</v>
      </c>
      <c r="N30" s="136">
        <f t="shared" si="7"/>
        <v>0</v>
      </c>
      <c r="O30" s="137">
        <f t="shared" si="8"/>
        <v>0</v>
      </c>
      <c r="P30" s="134">
        <f>IF($B30="",0,SUMPRODUCT(-('Gastos Gerais'!$F$4:$F$3632='Gastos das Atividades'!$B30),-('Gastos das Atividades'!P$3&gt;='Gastos Gerais'!$D$4:$D$3632),-('Gastos das Atividades'!P$3&lt;='Gastos Gerais'!$E$4:$E$3632),-('Gastos Gerais'!$C$4:$C$3632)))</f>
        <v>0</v>
      </c>
      <c r="Q30" s="134">
        <f>IF($B30="",0,SUMPRODUCT(-('Gastos Gerais'!$F$4:$F$3632='Gastos das Atividades'!$B30),-('Gastos das Atividades'!Q$3&gt;='Gastos Gerais'!$D$4:$D$3632),-('Gastos das Atividades'!Q$3&lt;='Gastos Gerais'!$E$4:$E$3632),-('Gastos Gerais'!$C$4:$C$3632)))</f>
        <v>0</v>
      </c>
      <c r="R30" s="134">
        <f>IF($B30="",0,SUMPRODUCT(-('Gastos Gerais'!$F$4:$F$3632='Gastos das Atividades'!$B30),-('Gastos das Atividades'!R$3&gt;='Gastos Gerais'!$D$4:$D$3632),-('Gastos das Atividades'!R$3&lt;='Gastos Gerais'!$E$4:$E$3632),-('Gastos Gerais'!$C$4:$C$3632)))</f>
        <v>0</v>
      </c>
      <c r="S30" s="134">
        <f>IF($B30="",0,SUMPRODUCT(-('Gastos Gerais'!$F$4:$F$3632='Gastos das Atividades'!$B30),-('Gastos das Atividades'!S$3&gt;='Gastos Gerais'!$D$4:$D$3632),-('Gastos das Atividades'!S$3&lt;='Gastos Gerais'!$E$4:$E$3632),-('Gastos Gerais'!$C$4:$C$3632)))</f>
        <v>0</v>
      </c>
      <c r="T30" s="134">
        <f>IF($B30="",0,SUMPRODUCT(-('Gastos Gerais'!$F$4:$F$3632='Gastos das Atividades'!$B30),-('Gastos das Atividades'!T$3&gt;='Gastos Gerais'!$D$4:$D$3632),-('Gastos das Atividades'!T$3&lt;='Gastos Gerais'!$E$4:$E$3632),-('Gastos Gerais'!$C$4:$C$3632)))</f>
        <v>0</v>
      </c>
      <c r="U30" s="134">
        <f>IF($B30="",0,SUMPRODUCT(-('Gastos Gerais'!$F$4:$F$3632='Gastos das Atividades'!$B30),-('Gastos das Atividades'!U$3&gt;='Gastos Gerais'!$D$4:$D$3632),-('Gastos das Atividades'!U$3&lt;='Gastos Gerais'!$E$4:$E$3632),-('Gastos Gerais'!$C$4:$C$3632)))</f>
        <v>0</v>
      </c>
      <c r="V30" s="134">
        <f>IF($B30="",0,SUMPRODUCT(-('Gastos Gerais'!$F$4:$F$3632='Gastos das Atividades'!$B30),-('Gastos das Atividades'!V$3&gt;='Gastos Gerais'!$D$4:$D$3632),-('Gastos das Atividades'!V$3&lt;='Gastos Gerais'!$E$4:$E$3632),-('Gastos Gerais'!$C$4:$C$3632)))</f>
        <v>0</v>
      </c>
      <c r="W30" s="134">
        <f>IF($B30="",0,SUMPRODUCT(-('Gastos Gerais'!$F$4:$F$3632='Gastos das Atividades'!$B30),-('Gastos das Atividades'!W$3&gt;='Gastos Gerais'!$D$4:$D$3632),-('Gastos das Atividades'!W$3&lt;='Gastos Gerais'!$E$4:$E$3632),-('Gastos Gerais'!$C$4:$C$3632)))</f>
        <v>0</v>
      </c>
      <c r="X30" s="134">
        <f>IF($B30="",0,SUMPRODUCT(-('Gastos Gerais'!$F$4:$F$3632='Gastos das Atividades'!$B30),-('Gastos das Atividades'!X$3&gt;='Gastos Gerais'!$D$4:$D$3632),-('Gastos das Atividades'!X$3&lt;='Gastos Gerais'!$E$4:$E$3632),-('Gastos Gerais'!$C$4:$C$3632)))</f>
        <v>0</v>
      </c>
      <c r="Y30" s="134">
        <f>IF($B30="",0,SUMPRODUCT(-('Gastos Gerais'!$F$4:$F$3632='Gastos das Atividades'!$B30),-('Gastos das Atividades'!Y$3&gt;='Gastos Gerais'!$D$4:$D$3632),-('Gastos das Atividades'!Y$3&lt;='Gastos Gerais'!$E$4:$E$3632),-('Gastos Gerais'!$C$4:$C$3632)))</f>
        <v>0</v>
      </c>
      <c r="Z30" s="134">
        <f>IF($B30="",0,SUMPRODUCT(-('Gastos Gerais'!$F$4:$F$3632='Gastos das Atividades'!$B30),-('Gastos das Atividades'!Z$3&gt;='Gastos Gerais'!$D$4:$D$3632),-('Gastos das Atividades'!Z$3&lt;='Gastos Gerais'!$E$4:$E$3632),-('Gastos Gerais'!$C$4:$C$3632)))</f>
        <v>0</v>
      </c>
      <c r="AA30" s="134">
        <f>IF($B30="",0,SUMPRODUCT(-('Gastos Gerais'!$F$4:$F$3632='Gastos das Atividades'!$B30),-('Gastos das Atividades'!AA$3&gt;='Gastos Gerais'!$D$4:$D$3632),-('Gastos das Atividades'!AA$3&lt;='Gastos Gerais'!$E$4:$E$3632),-('Gastos Gerais'!$C$4:$C$3632)))</f>
        <v>0</v>
      </c>
      <c r="AB30" s="134">
        <f>IF($B30="",0,SUMPRODUCT(-('Gastos Gerais'!$F$4:$F$3632='Gastos das Atividades'!$B30),-('Gastos das Atividades'!AB$3&gt;='Gastos Gerais'!$D$4:$D$3632),-('Gastos das Atividades'!AB$3&lt;='Gastos Gerais'!$E$4:$E$3632),-('Gastos Gerais'!$C$4:$C$3632)))</f>
        <v>0</v>
      </c>
      <c r="AC30" s="134">
        <f>IF($B30="",0,SUMPRODUCT(-('Gastos Gerais'!$F$4:$F$3632='Gastos das Atividades'!$B30),-('Gastos das Atividades'!AC$3&gt;='Gastos Gerais'!$D$4:$D$3632),-('Gastos das Atividades'!AC$3&lt;='Gastos Gerais'!$E$4:$E$3632),-('Gastos Gerais'!$C$4:$C$3632)))</f>
        <v>0</v>
      </c>
      <c r="AD30" s="134">
        <f>IF($B30="",0,SUMPRODUCT(-('Gastos Gerais'!$F$4:$F$3632='Gastos das Atividades'!$B30),-('Gastos das Atividades'!AD$3&gt;='Gastos Gerais'!$D$4:$D$3632),-('Gastos das Atividades'!AD$3&lt;='Gastos Gerais'!$E$4:$E$3632),-('Gastos Gerais'!$C$4:$C$3632)))</f>
        <v>0</v>
      </c>
      <c r="AE30" s="134">
        <f>IF($B30="",0,SUMPRODUCT(-('Gastos Gerais'!$F$4:$F$3632='Gastos das Atividades'!$B30),-('Gastos das Atividades'!AE$3&gt;='Gastos Gerais'!$D$4:$D$3632),-('Gastos das Atividades'!AE$3&lt;='Gastos Gerais'!$E$4:$E$3632),-('Gastos Gerais'!$C$4:$C$3632)))</f>
        <v>0</v>
      </c>
      <c r="AF30" s="134">
        <f>IF($B30="",0,SUMPRODUCT(-('Gastos Gerais'!$F$4:$F$3632='Gastos das Atividades'!$B30),-('Gastos das Atividades'!AF$3&gt;='Gastos Gerais'!$D$4:$D$3632),-('Gastos das Atividades'!AF$3&lt;='Gastos Gerais'!$E$4:$E$3632),-('Gastos Gerais'!$C$4:$C$3632)))</f>
        <v>0</v>
      </c>
      <c r="AG30" s="134">
        <f>IF($B30="",0,SUMPRODUCT(-('Gastos Gerais'!$F$4:$F$3632='Gastos das Atividades'!$B30),-('Gastos das Atividades'!AG$3&gt;='Gastos Gerais'!$D$4:$D$3632),-('Gastos das Atividades'!AG$3&lt;='Gastos Gerais'!$E$4:$E$3632),-('Gastos Gerais'!$C$4:$C$3632)))</f>
        <v>0</v>
      </c>
      <c r="AH30" s="134">
        <f>IF($B30="",0,SUMPRODUCT(-('Gastos Gerais'!$F$4:$F$3632='Gastos das Atividades'!$B30),-('Gastos das Atividades'!AH$3&gt;='Gastos Gerais'!$D$4:$D$3632),-('Gastos das Atividades'!AH$3&lt;='Gastos Gerais'!$E$4:$E$3632),-('Gastos Gerais'!$C$4:$C$3632)))</f>
        <v>0</v>
      </c>
      <c r="AI30" s="134">
        <f>IF($B30="",0,SUMPRODUCT(-('Gastos Gerais'!$F$4:$F$3632='Gastos das Atividades'!$B30),-('Gastos das Atividades'!AI$3&gt;='Gastos Gerais'!$D$4:$D$3632),-('Gastos das Atividades'!AI$3&lt;='Gastos Gerais'!$E$4:$E$3632),-('Gastos Gerais'!$C$4:$C$3632)))</f>
        <v>0</v>
      </c>
      <c r="AJ30" s="134">
        <f>IF($B30="",0,SUMPRODUCT(-('Gastos Gerais'!$F$4:$F$3632='Gastos das Atividades'!$B30),-('Gastos das Atividades'!AJ$3&gt;='Gastos Gerais'!$D$4:$D$3632),-('Gastos das Atividades'!AJ$3&lt;='Gastos Gerais'!$E$4:$E$3632),-('Gastos Gerais'!$C$4:$C$3632)))</f>
        <v>0</v>
      </c>
      <c r="AK30" s="134">
        <f>IF($B30="",0,SUMPRODUCT(-('Gastos Gerais'!$F$4:$F$3632='Gastos das Atividades'!$B30),-('Gastos das Atividades'!AK$3&gt;='Gastos Gerais'!$D$4:$D$3632),-('Gastos das Atividades'!AK$3&lt;='Gastos Gerais'!$E$4:$E$3632),-('Gastos Gerais'!$C$4:$C$3632)))</f>
        <v>0</v>
      </c>
      <c r="AL30" s="134">
        <f>IF($B30="",0,SUMPRODUCT(-('Gastos Gerais'!$F$4:$F$3632='Gastos das Atividades'!$B30),-('Gastos das Atividades'!AL$3&gt;='Gastos Gerais'!$D$4:$D$3632),-('Gastos das Atividades'!AL$3&lt;='Gastos Gerais'!$E$4:$E$3632),-('Gastos Gerais'!$C$4:$C$3632)))</f>
        <v>0</v>
      </c>
      <c r="AM30" s="134">
        <f>IF($B30="",0,SUMPRODUCT(-('Gastos Gerais'!$F$4:$F$3632='Gastos das Atividades'!$B30),-('Gastos das Atividades'!AM$3&gt;='Gastos Gerais'!$D$4:$D$3632),-('Gastos das Atividades'!AM$3&lt;='Gastos Gerais'!$E$4:$E$3632),-('Gastos Gerais'!$C$4:$C$3632)))</f>
        <v>0</v>
      </c>
      <c r="AN30" s="134">
        <f>IF($B30="",0,SUMPRODUCT(-('Gastos Gerais'!$F$4:$F$3632='Gastos das Atividades'!$B30),-('Gastos das Atividades'!AN$3&gt;='Gastos Gerais'!$D$4:$D$3632),-('Gastos das Atividades'!AN$3&lt;='Gastos Gerais'!$E$4:$E$3632),-('Gastos Gerais'!$C$4:$C$3632)))</f>
        <v>0</v>
      </c>
      <c r="AO30" s="134">
        <f>IF($B30="",0,SUMPRODUCT(-('Gastos Gerais'!$F$4:$F$3632='Gastos das Atividades'!$B30),-('Gastos das Atividades'!AO$3&gt;='Gastos Gerais'!$D$4:$D$3632),-('Gastos das Atividades'!AO$3&lt;='Gastos Gerais'!$E$4:$E$3632),-('Gastos Gerais'!$C$4:$C$3632)))</f>
        <v>0</v>
      </c>
      <c r="AP30" s="134">
        <f>IF($B30="",0,SUMPRODUCT(-('Gastos Gerais'!$F$4:$F$3632='Gastos das Atividades'!$B30),-('Gastos das Atividades'!AP$3&gt;='Gastos Gerais'!$D$4:$D$3632),-('Gastos das Atividades'!AP$3&lt;='Gastos Gerais'!$E$4:$E$3632),-('Gastos Gerais'!$C$4:$C$3632)))</f>
        <v>0</v>
      </c>
      <c r="AQ30" s="134">
        <f>IF($B30="",0,SUMPRODUCT(-('Gastos Gerais'!$F$4:$F$3632='Gastos das Atividades'!$B30),-('Gastos das Atividades'!AQ$3&gt;='Gastos Gerais'!$D$4:$D$3632),-('Gastos das Atividades'!AQ$3&lt;='Gastos Gerais'!$E$4:$E$3632),-('Gastos Gerais'!$C$4:$C$3632)))</f>
        <v>0</v>
      </c>
      <c r="AR30" s="134">
        <f>IF($B30="",0,SUMPRODUCT(-('Gastos Gerais'!$F$4:$F$3632='Gastos das Atividades'!$B30),-('Gastos das Atividades'!AR$3&gt;='Gastos Gerais'!$D$4:$D$3632),-('Gastos das Atividades'!AR$3&lt;='Gastos Gerais'!$E$4:$E$3632),-('Gastos Gerais'!$C$4:$C$3632)))</f>
        <v>0</v>
      </c>
      <c r="AS30" s="134">
        <f>IF($B30="",0,SUMPRODUCT(-('Gastos Gerais'!$F$4:$F$3632='Gastos das Atividades'!$B30),-('Gastos das Atividades'!AS$3&gt;='Gastos Gerais'!$D$4:$D$3632),-('Gastos das Atividades'!AS$3&lt;='Gastos Gerais'!$E$4:$E$3632),-('Gastos Gerais'!$C$4:$C$3632)))</f>
        <v>0</v>
      </c>
      <c r="AT30" s="134">
        <f>IF($B30="",0,SUMPRODUCT(-('Gastos Gerais'!$F$4:$F$3632='Gastos das Atividades'!$B30),-('Gastos das Atividades'!AT$3&gt;='Gastos Gerais'!$D$4:$D$3632),-('Gastos das Atividades'!AT$3&lt;='Gastos Gerais'!$E$4:$E$3632),-('Gastos Gerais'!$C$4:$C$3632)))</f>
        <v>0</v>
      </c>
      <c r="AU30" s="134">
        <f>IF($B30="",0,SUMPRODUCT(-('Gastos Gerais'!$F$4:$F$3632='Gastos das Atividades'!$B30),-('Gastos das Atividades'!AU$3&gt;='Gastos Gerais'!$D$4:$D$3632),-('Gastos das Atividades'!AU$3&lt;='Gastos Gerais'!$E$4:$E$3632),-('Gastos Gerais'!$C$4:$C$3632)))</f>
        <v>0</v>
      </c>
      <c r="AV30" s="134">
        <f>IF($B30="",0,SUMPRODUCT(-('Gastos Gerais'!$F$4:$F$3632='Gastos das Atividades'!$B30),-('Gastos das Atividades'!AV$3&gt;='Gastos Gerais'!$D$4:$D$3632),-('Gastos das Atividades'!AV$3&lt;='Gastos Gerais'!$E$4:$E$3632),-('Gastos Gerais'!$C$4:$C$3632)))</f>
        <v>0</v>
      </c>
      <c r="AW30" s="134">
        <f>IF($B30="",0,SUMPRODUCT(-('Gastos Gerais'!$F$4:$F$3632='Gastos das Atividades'!$B30),-('Gastos das Atividades'!AW$3&gt;='Gastos Gerais'!$D$4:$D$3632),-('Gastos das Atividades'!AW$3&lt;='Gastos Gerais'!$E$4:$E$3632),-('Gastos Gerais'!$C$4:$C$3632)))</f>
        <v>0</v>
      </c>
      <c r="AX30" s="134">
        <f>IF($B30="",0,SUMPRODUCT(-('Gastos Gerais'!$F$4:$F$3632='Gastos das Atividades'!$B30),-('Gastos das Atividades'!AX$3&gt;='Gastos Gerais'!$D$4:$D$3632),-('Gastos das Atividades'!AX$3&lt;='Gastos Gerais'!$E$4:$E$3632),-('Gastos Gerais'!$C$4:$C$3632)))</f>
        <v>0</v>
      </c>
      <c r="AY30" s="134">
        <f>IF($B30="",0,SUMPRODUCT(-('Gastos Gerais'!$F$4:$F$3632='Gastos das Atividades'!$B30),-('Gastos das Atividades'!AY$3&gt;='Gastos Gerais'!$D$4:$D$3632),-('Gastos das Atividades'!AY$3&lt;='Gastos Gerais'!$E$4:$E$3632),-('Gastos Gerais'!$C$4:$C$3632)))</f>
        <v>0</v>
      </c>
      <c r="AZ30" s="134">
        <f>IF($B30="",0,SUMPRODUCT(-('Gastos Gerais'!$F$4:$F$3632='Gastos das Atividades'!$B30),-('Gastos das Atividades'!AZ$3&gt;='Gastos Gerais'!$D$4:$D$3632),-('Gastos das Atividades'!AZ$3&lt;='Gastos Gerais'!$E$4:$E$3632),-('Gastos Gerais'!$C$4:$C$3632)))</f>
        <v>0</v>
      </c>
      <c r="BA30" s="134">
        <f>IF($B30="",0,SUMPRODUCT(-('Gastos Gerais'!$F$4:$F$3632='Gastos das Atividades'!$B30),-('Gastos das Atividades'!BA$3&gt;='Gastos Gerais'!$D$4:$D$3632),-('Gastos das Atividades'!BA$3&lt;='Gastos Gerais'!$E$4:$E$3632),-('Gastos Gerais'!$C$4:$C$3632)))</f>
        <v>0</v>
      </c>
      <c r="BB30" s="134">
        <f>IF($B30="",0,SUMPRODUCT(-('Gastos Gerais'!$F$4:$F$3632='Gastos das Atividades'!$B30),-('Gastos das Atividades'!BB$3&gt;='Gastos Gerais'!$D$4:$D$3632),-('Gastos das Atividades'!BB$3&lt;='Gastos Gerais'!$E$4:$E$3632),-('Gastos Gerais'!$C$4:$C$3632)))</f>
        <v>0</v>
      </c>
      <c r="BC30" s="134">
        <f>IF($B30="",0,SUMPRODUCT(-('Gastos Gerais'!$F$4:$F$3632='Gastos das Atividades'!$B30),-('Gastos das Atividades'!BC$3&gt;='Gastos Gerais'!$D$4:$D$3632),-('Gastos das Atividades'!BC$3&lt;='Gastos Gerais'!$E$4:$E$3632),-('Gastos Gerais'!$C$4:$C$3632)))</f>
        <v>0</v>
      </c>
      <c r="BD30" s="134">
        <f>IF($B30="",0,SUMPRODUCT(-('Gastos Gerais'!$F$4:$F$3632='Gastos das Atividades'!$B30),-('Gastos das Atividades'!BD$3&gt;='Gastos Gerais'!$D$4:$D$3632),-('Gastos das Atividades'!BD$3&lt;='Gastos Gerais'!$E$4:$E$3632),-('Gastos Gerais'!$C$4:$C$3632)))</f>
        <v>0</v>
      </c>
      <c r="BE30" s="134">
        <f>IF($B30="",0,SUMPRODUCT(-('Gastos Gerais'!$F$4:$F$3632='Gastos das Atividades'!$B30),-('Gastos das Atividades'!BE$3&gt;='Gastos Gerais'!$D$4:$D$3632),-('Gastos das Atividades'!BE$3&lt;='Gastos Gerais'!$E$4:$E$3632),-('Gastos Gerais'!$C$4:$C$3632)))</f>
        <v>0</v>
      </c>
      <c r="BF30" s="134">
        <f>IF($B30="",0,SUMPRODUCT(-('Gastos Gerais'!$F$4:$F$3632='Gastos das Atividades'!$B30),-('Gastos das Atividades'!BF$3&gt;='Gastos Gerais'!$D$4:$D$3632),-('Gastos das Atividades'!BF$3&lt;='Gastos Gerais'!$E$4:$E$3632),-('Gastos Gerais'!$C$4:$C$3632)))</f>
        <v>0</v>
      </c>
      <c r="BG30" s="134">
        <f>IF($B30="",0,SUMPRODUCT(-('Gastos Gerais'!$F$4:$F$3632='Gastos das Atividades'!$B30),-('Gastos das Atividades'!BG$3&gt;='Gastos Gerais'!$D$4:$D$3632),-('Gastos das Atividades'!BG$3&lt;='Gastos Gerais'!$E$4:$E$3632),-('Gastos Gerais'!$C$4:$C$3632)))</f>
        <v>0</v>
      </c>
      <c r="BH30" s="134">
        <f>IF($B30="",0,SUMPRODUCT(-('Gastos Gerais'!$F$4:$F$3632='Gastos das Atividades'!$B30),-('Gastos das Atividades'!BH$3&gt;='Gastos Gerais'!$D$4:$D$3632),-('Gastos das Atividades'!BH$3&lt;='Gastos Gerais'!$E$4:$E$3632),-('Gastos Gerais'!$C$4:$C$3632)))</f>
        <v>0</v>
      </c>
      <c r="BI30" s="134">
        <f>IF($B30="",0,SUMPRODUCT(-('Gastos Gerais'!$F$4:$F$3632='Gastos das Atividades'!$B30),-('Gastos das Atividades'!BI$3&gt;='Gastos Gerais'!$D$4:$D$3632),-('Gastos das Atividades'!BI$3&lt;='Gastos Gerais'!$E$4:$E$3632),-('Gastos Gerais'!$C$4:$C$3632)))</f>
        <v>0</v>
      </c>
      <c r="BJ30" s="134">
        <f>IF($B30="",0,SUMPRODUCT(-('Gastos Gerais'!$F$4:$F$3632='Gastos das Atividades'!$B30),-('Gastos das Atividades'!BJ$3&gt;='Gastos Gerais'!$D$4:$D$3632),-('Gastos das Atividades'!BJ$3&lt;='Gastos Gerais'!$E$4:$E$3632),-('Gastos Gerais'!$C$4:$C$3632)))</f>
        <v>0</v>
      </c>
      <c r="BK30" s="134">
        <f>IF($B30="",0,SUMPRODUCT(-('Gastos Gerais'!$F$4:$F$3632='Gastos das Atividades'!$B30),-('Gastos das Atividades'!BK$3&gt;='Gastos Gerais'!$D$4:$D$3632),-('Gastos das Atividades'!BK$3&lt;='Gastos Gerais'!$E$4:$E$3632),-('Gastos Gerais'!$C$4:$C$3632)))</f>
        <v>0</v>
      </c>
      <c r="BL30" s="134">
        <f>IF($B30="",0,SUMPRODUCT(-('Gastos Gerais'!$F$4:$F$3632='Gastos das Atividades'!$B30),-('Gastos das Atividades'!BL$3&gt;='Gastos Gerais'!$D$4:$D$3632),-('Gastos das Atividades'!BL$3&lt;='Gastos Gerais'!$E$4:$E$3632),-('Gastos Gerais'!$C$4:$C$3632)))</f>
        <v>0</v>
      </c>
      <c r="BM30" s="134">
        <f>IF($B30="",0,SUMPRODUCT(-('Gastos Gerais'!$F$4:$F$3632='Gastos das Atividades'!$B30),-('Gastos das Atividades'!BM$3&gt;='Gastos Gerais'!$D$4:$D$3632),-('Gastos das Atividades'!BM$3&lt;='Gastos Gerais'!$E$4:$E$3632),-('Gastos Gerais'!$C$4:$C$3632)))</f>
        <v>0</v>
      </c>
      <c r="BN30" s="134">
        <f>IF($B30="",0,SUMPRODUCT(-('Gastos Gerais'!$F$4:$F$3632='Gastos das Atividades'!$B30),-('Gastos das Atividades'!BN$3&gt;='Gastos Gerais'!$D$4:$D$3632),-('Gastos das Atividades'!BN$3&lt;='Gastos Gerais'!$E$4:$E$3632),-('Gastos Gerais'!$C$4:$C$3632)))</f>
        <v>0</v>
      </c>
      <c r="BO30" s="134">
        <f>IF($B30="",0,SUMPRODUCT(-('Gastos Gerais'!$F$4:$F$3632='Gastos das Atividades'!$B30),-('Gastos das Atividades'!BO$3&gt;='Gastos Gerais'!$D$4:$D$3632),-('Gastos das Atividades'!BO$3&lt;='Gastos Gerais'!$E$4:$E$3632),-('Gastos Gerais'!$C$4:$C$3632)))</f>
        <v>0</v>
      </c>
      <c r="BP30" s="134">
        <f>IF($B30="",0,SUMPRODUCT(-('Gastos Gerais'!$F$4:$F$3632='Gastos das Atividades'!$B30),-('Gastos das Atividades'!BP$3&gt;='Gastos Gerais'!$D$4:$D$3632),-('Gastos das Atividades'!BP$3&lt;='Gastos Gerais'!$E$4:$E$3632),-('Gastos Gerais'!$C$4:$C$3632)))</f>
        <v>0</v>
      </c>
      <c r="BQ30" s="134">
        <f>IF($B30="",0,SUMPRODUCT(-('Gastos Gerais'!$F$4:$F$3632='Gastos das Atividades'!$B30),-('Gastos das Atividades'!BQ$3&gt;='Gastos Gerais'!$D$4:$D$3632),-('Gastos das Atividades'!BQ$3&lt;='Gastos Gerais'!$E$4:$E$3632),-('Gastos Gerais'!$C$4:$C$3632)))</f>
        <v>0</v>
      </c>
      <c r="BR30" s="134">
        <f>IF($B30="",0,SUMPRODUCT(-('Gastos Gerais'!$F$4:$F$3632='Gastos das Atividades'!$B30),-('Gastos das Atividades'!BR$3&gt;='Gastos Gerais'!$D$4:$D$3632),-('Gastos das Atividades'!BR$3&lt;='Gastos Gerais'!$E$4:$E$3632),-('Gastos Gerais'!$C$4:$C$3632)))</f>
        <v>0</v>
      </c>
      <c r="BS30" s="134">
        <f>IF($B30="",0,SUMPRODUCT(-('Gastos Gerais'!$F$4:$F$3632='Gastos das Atividades'!$B30),-('Gastos das Atividades'!BS$3&gt;='Gastos Gerais'!$D$4:$D$3632),-('Gastos das Atividades'!BS$3&lt;='Gastos Gerais'!$E$4:$E$3632),-('Gastos Gerais'!$C$4:$C$3632)))</f>
        <v>0</v>
      </c>
      <c r="BT30" s="134">
        <f>IF($B30="",0,SUMPRODUCT(-('Gastos Gerais'!$F$4:$F$3632='Gastos das Atividades'!$B30),-('Gastos das Atividades'!BT$3&gt;='Gastos Gerais'!$D$4:$D$3632),-('Gastos das Atividades'!BT$3&lt;='Gastos Gerais'!$E$4:$E$3632),-('Gastos Gerais'!$C$4:$C$3632)))</f>
        <v>0</v>
      </c>
      <c r="BU30" s="134">
        <f>IF($B30="",0,SUMPRODUCT(-('Gastos Gerais'!$F$4:$F$3632='Gastos das Atividades'!$B30),-('Gastos das Atividades'!BU$3&gt;='Gastos Gerais'!$D$4:$D$3632),-('Gastos das Atividades'!BU$3&lt;='Gastos Gerais'!$E$4:$E$3632),-('Gastos Gerais'!$C$4:$C$3632)))</f>
        <v>0</v>
      </c>
      <c r="BV30" s="134">
        <f>IF($B30="",0,SUMPRODUCT(-('Gastos Gerais'!$F$4:$F$3632='Gastos das Atividades'!$B30),-('Gastos das Atividades'!BV$3&gt;='Gastos Gerais'!$D$4:$D$3632),-('Gastos das Atividades'!BV$3&lt;='Gastos Gerais'!$E$4:$E$3632),-('Gastos Gerais'!$C$4:$C$3632)))</f>
        <v>0</v>
      </c>
      <c r="BW30" s="134">
        <f>IF($B30="",0,SUMPRODUCT(-('Gastos Gerais'!$F$4:$F$3632='Gastos das Atividades'!$B30),-('Gastos das Atividades'!BW$3&gt;='Gastos Gerais'!$D$4:$D$3632),-('Gastos das Atividades'!BW$3&lt;='Gastos Gerais'!$E$4:$E$3632),-('Gastos Gerais'!$C$4:$C$3632)))</f>
        <v>0</v>
      </c>
    </row>
    <row r="31" spans="1:75">
      <c r="A31" s="138">
        <v>28</v>
      </c>
      <c r="B31" s="139"/>
      <c r="C31" s="132">
        <v>0</v>
      </c>
      <c r="D31" s="133">
        <f t="shared" si="0"/>
        <v>0</v>
      </c>
      <c r="E31" s="134">
        <f t="shared" si="1"/>
        <v>0</v>
      </c>
      <c r="F31" s="134">
        <f t="shared" si="1"/>
        <v>0</v>
      </c>
      <c r="G31" s="134">
        <f t="shared" si="1"/>
        <v>0</v>
      </c>
      <c r="H31" s="134">
        <f t="shared" si="1"/>
        <v>0</v>
      </c>
      <c r="I31" s="135">
        <f t="shared" si="2"/>
        <v>0</v>
      </c>
      <c r="J31" s="136">
        <f t="shared" si="3"/>
        <v>0</v>
      </c>
      <c r="K31" s="136">
        <f t="shared" si="4"/>
        <v>0</v>
      </c>
      <c r="L31" s="136">
        <f t="shared" si="5"/>
        <v>0</v>
      </c>
      <c r="M31" s="136">
        <f t="shared" si="6"/>
        <v>0</v>
      </c>
      <c r="N31" s="136">
        <f t="shared" si="7"/>
        <v>0</v>
      </c>
      <c r="O31" s="137">
        <f t="shared" si="8"/>
        <v>0</v>
      </c>
      <c r="P31" s="134">
        <f>IF($B31="",0,SUMPRODUCT(-('Gastos Gerais'!$F$4:$F$3632='Gastos das Atividades'!$B31),-('Gastos das Atividades'!P$3&gt;='Gastos Gerais'!$D$4:$D$3632),-('Gastos das Atividades'!P$3&lt;='Gastos Gerais'!$E$4:$E$3632),-('Gastos Gerais'!$C$4:$C$3632)))</f>
        <v>0</v>
      </c>
      <c r="Q31" s="134">
        <f>IF($B31="",0,SUMPRODUCT(-('Gastos Gerais'!$F$4:$F$3632='Gastos das Atividades'!$B31),-('Gastos das Atividades'!Q$3&gt;='Gastos Gerais'!$D$4:$D$3632),-('Gastos das Atividades'!Q$3&lt;='Gastos Gerais'!$E$4:$E$3632),-('Gastos Gerais'!$C$4:$C$3632)))</f>
        <v>0</v>
      </c>
      <c r="R31" s="134">
        <f>IF($B31="",0,SUMPRODUCT(-('Gastos Gerais'!$F$4:$F$3632='Gastos das Atividades'!$B31),-('Gastos das Atividades'!R$3&gt;='Gastos Gerais'!$D$4:$D$3632),-('Gastos das Atividades'!R$3&lt;='Gastos Gerais'!$E$4:$E$3632),-('Gastos Gerais'!$C$4:$C$3632)))</f>
        <v>0</v>
      </c>
      <c r="S31" s="134">
        <f>IF($B31="",0,SUMPRODUCT(-('Gastos Gerais'!$F$4:$F$3632='Gastos das Atividades'!$B31),-('Gastos das Atividades'!S$3&gt;='Gastos Gerais'!$D$4:$D$3632),-('Gastos das Atividades'!S$3&lt;='Gastos Gerais'!$E$4:$E$3632),-('Gastos Gerais'!$C$4:$C$3632)))</f>
        <v>0</v>
      </c>
      <c r="T31" s="134">
        <f>IF($B31="",0,SUMPRODUCT(-('Gastos Gerais'!$F$4:$F$3632='Gastos das Atividades'!$B31),-('Gastos das Atividades'!T$3&gt;='Gastos Gerais'!$D$4:$D$3632),-('Gastos das Atividades'!T$3&lt;='Gastos Gerais'!$E$4:$E$3632),-('Gastos Gerais'!$C$4:$C$3632)))</f>
        <v>0</v>
      </c>
      <c r="U31" s="134">
        <f>IF($B31="",0,SUMPRODUCT(-('Gastos Gerais'!$F$4:$F$3632='Gastos das Atividades'!$B31),-('Gastos das Atividades'!U$3&gt;='Gastos Gerais'!$D$4:$D$3632),-('Gastos das Atividades'!U$3&lt;='Gastos Gerais'!$E$4:$E$3632),-('Gastos Gerais'!$C$4:$C$3632)))</f>
        <v>0</v>
      </c>
      <c r="V31" s="134">
        <f>IF($B31="",0,SUMPRODUCT(-('Gastos Gerais'!$F$4:$F$3632='Gastos das Atividades'!$B31),-('Gastos das Atividades'!V$3&gt;='Gastos Gerais'!$D$4:$D$3632),-('Gastos das Atividades'!V$3&lt;='Gastos Gerais'!$E$4:$E$3632),-('Gastos Gerais'!$C$4:$C$3632)))</f>
        <v>0</v>
      </c>
      <c r="W31" s="134">
        <f>IF($B31="",0,SUMPRODUCT(-('Gastos Gerais'!$F$4:$F$3632='Gastos das Atividades'!$B31),-('Gastos das Atividades'!W$3&gt;='Gastos Gerais'!$D$4:$D$3632),-('Gastos das Atividades'!W$3&lt;='Gastos Gerais'!$E$4:$E$3632),-('Gastos Gerais'!$C$4:$C$3632)))</f>
        <v>0</v>
      </c>
      <c r="X31" s="134">
        <f>IF($B31="",0,SUMPRODUCT(-('Gastos Gerais'!$F$4:$F$3632='Gastos das Atividades'!$B31),-('Gastos das Atividades'!X$3&gt;='Gastos Gerais'!$D$4:$D$3632),-('Gastos das Atividades'!X$3&lt;='Gastos Gerais'!$E$4:$E$3632),-('Gastos Gerais'!$C$4:$C$3632)))</f>
        <v>0</v>
      </c>
      <c r="Y31" s="134">
        <f>IF($B31="",0,SUMPRODUCT(-('Gastos Gerais'!$F$4:$F$3632='Gastos das Atividades'!$B31),-('Gastos das Atividades'!Y$3&gt;='Gastos Gerais'!$D$4:$D$3632),-('Gastos das Atividades'!Y$3&lt;='Gastos Gerais'!$E$4:$E$3632),-('Gastos Gerais'!$C$4:$C$3632)))</f>
        <v>0</v>
      </c>
      <c r="Z31" s="134">
        <f>IF($B31="",0,SUMPRODUCT(-('Gastos Gerais'!$F$4:$F$3632='Gastos das Atividades'!$B31),-('Gastos das Atividades'!Z$3&gt;='Gastos Gerais'!$D$4:$D$3632),-('Gastos das Atividades'!Z$3&lt;='Gastos Gerais'!$E$4:$E$3632),-('Gastos Gerais'!$C$4:$C$3632)))</f>
        <v>0</v>
      </c>
      <c r="AA31" s="134">
        <f>IF($B31="",0,SUMPRODUCT(-('Gastos Gerais'!$F$4:$F$3632='Gastos das Atividades'!$B31),-('Gastos das Atividades'!AA$3&gt;='Gastos Gerais'!$D$4:$D$3632),-('Gastos das Atividades'!AA$3&lt;='Gastos Gerais'!$E$4:$E$3632),-('Gastos Gerais'!$C$4:$C$3632)))</f>
        <v>0</v>
      </c>
      <c r="AB31" s="134">
        <f>IF($B31="",0,SUMPRODUCT(-('Gastos Gerais'!$F$4:$F$3632='Gastos das Atividades'!$B31),-('Gastos das Atividades'!AB$3&gt;='Gastos Gerais'!$D$4:$D$3632),-('Gastos das Atividades'!AB$3&lt;='Gastos Gerais'!$E$4:$E$3632),-('Gastos Gerais'!$C$4:$C$3632)))</f>
        <v>0</v>
      </c>
      <c r="AC31" s="134">
        <f>IF($B31="",0,SUMPRODUCT(-('Gastos Gerais'!$F$4:$F$3632='Gastos das Atividades'!$B31),-('Gastos das Atividades'!AC$3&gt;='Gastos Gerais'!$D$4:$D$3632),-('Gastos das Atividades'!AC$3&lt;='Gastos Gerais'!$E$4:$E$3632),-('Gastos Gerais'!$C$4:$C$3632)))</f>
        <v>0</v>
      </c>
      <c r="AD31" s="134">
        <f>IF($B31="",0,SUMPRODUCT(-('Gastos Gerais'!$F$4:$F$3632='Gastos das Atividades'!$B31),-('Gastos das Atividades'!AD$3&gt;='Gastos Gerais'!$D$4:$D$3632),-('Gastos das Atividades'!AD$3&lt;='Gastos Gerais'!$E$4:$E$3632),-('Gastos Gerais'!$C$4:$C$3632)))</f>
        <v>0</v>
      </c>
      <c r="AE31" s="134">
        <f>IF($B31="",0,SUMPRODUCT(-('Gastos Gerais'!$F$4:$F$3632='Gastos das Atividades'!$B31),-('Gastos das Atividades'!AE$3&gt;='Gastos Gerais'!$D$4:$D$3632),-('Gastos das Atividades'!AE$3&lt;='Gastos Gerais'!$E$4:$E$3632),-('Gastos Gerais'!$C$4:$C$3632)))</f>
        <v>0</v>
      </c>
      <c r="AF31" s="134">
        <f>IF($B31="",0,SUMPRODUCT(-('Gastos Gerais'!$F$4:$F$3632='Gastos das Atividades'!$B31),-('Gastos das Atividades'!AF$3&gt;='Gastos Gerais'!$D$4:$D$3632),-('Gastos das Atividades'!AF$3&lt;='Gastos Gerais'!$E$4:$E$3632),-('Gastos Gerais'!$C$4:$C$3632)))</f>
        <v>0</v>
      </c>
      <c r="AG31" s="134">
        <f>IF($B31="",0,SUMPRODUCT(-('Gastos Gerais'!$F$4:$F$3632='Gastos das Atividades'!$B31),-('Gastos das Atividades'!AG$3&gt;='Gastos Gerais'!$D$4:$D$3632),-('Gastos das Atividades'!AG$3&lt;='Gastos Gerais'!$E$4:$E$3632),-('Gastos Gerais'!$C$4:$C$3632)))</f>
        <v>0</v>
      </c>
      <c r="AH31" s="134">
        <f>IF($B31="",0,SUMPRODUCT(-('Gastos Gerais'!$F$4:$F$3632='Gastos das Atividades'!$B31),-('Gastos das Atividades'!AH$3&gt;='Gastos Gerais'!$D$4:$D$3632),-('Gastos das Atividades'!AH$3&lt;='Gastos Gerais'!$E$4:$E$3632),-('Gastos Gerais'!$C$4:$C$3632)))</f>
        <v>0</v>
      </c>
      <c r="AI31" s="134">
        <f>IF($B31="",0,SUMPRODUCT(-('Gastos Gerais'!$F$4:$F$3632='Gastos das Atividades'!$B31),-('Gastos das Atividades'!AI$3&gt;='Gastos Gerais'!$D$4:$D$3632),-('Gastos das Atividades'!AI$3&lt;='Gastos Gerais'!$E$4:$E$3632),-('Gastos Gerais'!$C$4:$C$3632)))</f>
        <v>0</v>
      </c>
      <c r="AJ31" s="134">
        <f>IF($B31="",0,SUMPRODUCT(-('Gastos Gerais'!$F$4:$F$3632='Gastos das Atividades'!$B31),-('Gastos das Atividades'!AJ$3&gt;='Gastos Gerais'!$D$4:$D$3632),-('Gastos das Atividades'!AJ$3&lt;='Gastos Gerais'!$E$4:$E$3632),-('Gastos Gerais'!$C$4:$C$3632)))</f>
        <v>0</v>
      </c>
      <c r="AK31" s="134">
        <f>IF($B31="",0,SUMPRODUCT(-('Gastos Gerais'!$F$4:$F$3632='Gastos das Atividades'!$B31),-('Gastos das Atividades'!AK$3&gt;='Gastos Gerais'!$D$4:$D$3632),-('Gastos das Atividades'!AK$3&lt;='Gastos Gerais'!$E$4:$E$3632),-('Gastos Gerais'!$C$4:$C$3632)))</f>
        <v>0</v>
      </c>
      <c r="AL31" s="134">
        <f>IF($B31="",0,SUMPRODUCT(-('Gastos Gerais'!$F$4:$F$3632='Gastos das Atividades'!$B31),-('Gastos das Atividades'!AL$3&gt;='Gastos Gerais'!$D$4:$D$3632),-('Gastos das Atividades'!AL$3&lt;='Gastos Gerais'!$E$4:$E$3632),-('Gastos Gerais'!$C$4:$C$3632)))</f>
        <v>0</v>
      </c>
      <c r="AM31" s="134">
        <f>IF($B31="",0,SUMPRODUCT(-('Gastos Gerais'!$F$4:$F$3632='Gastos das Atividades'!$B31),-('Gastos das Atividades'!AM$3&gt;='Gastos Gerais'!$D$4:$D$3632),-('Gastos das Atividades'!AM$3&lt;='Gastos Gerais'!$E$4:$E$3632),-('Gastos Gerais'!$C$4:$C$3632)))</f>
        <v>0</v>
      </c>
      <c r="AN31" s="134">
        <f>IF($B31="",0,SUMPRODUCT(-('Gastos Gerais'!$F$4:$F$3632='Gastos das Atividades'!$B31),-('Gastos das Atividades'!AN$3&gt;='Gastos Gerais'!$D$4:$D$3632),-('Gastos das Atividades'!AN$3&lt;='Gastos Gerais'!$E$4:$E$3632),-('Gastos Gerais'!$C$4:$C$3632)))</f>
        <v>0</v>
      </c>
      <c r="AO31" s="134">
        <f>IF($B31="",0,SUMPRODUCT(-('Gastos Gerais'!$F$4:$F$3632='Gastos das Atividades'!$B31),-('Gastos das Atividades'!AO$3&gt;='Gastos Gerais'!$D$4:$D$3632),-('Gastos das Atividades'!AO$3&lt;='Gastos Gerais'!$E$4:$E$3632),-('Gastos Gerais'!$C$4:$C$3632)))</f>
        <v>0</v>
      </c>
      <c r="AP31" s="134">
        <f>IF($B31="",0,SUMPRODUCT(-('Gastos Gerais'!$F$4:$F$3632='Gastos das Atividades'!$B31),-('Gastos das Atividades'!AP$3&gt;='Gastos Gerais'!$D$4:$D$3632),-('Gastos das Atividades'!AP$3&lt;='Gastos Gerais'!$E$4:$E$3632),-('Gastos Gerais'!$C$4:$C$3632)))</f>
        <v>0</v>
      </c>
      <c r="AQ31" s="134">
        <f>IF($B31="",0,SUMPRODUCT(-('Gastos Gerais'!$F$4:$F$3632='Gastos das Atividades'!$B31),-('Gastos das Atividades'!AQ$3&gt;='Gastos Gerais'!$D$4:$D$3632),-('Gastos das Atividades'!AQ$3&lt;='Gastos Gerais'!$E$4:$E$3632),-('Gastos Gerais'!$C$4:$C$3632)))</f>
        <v>0</v>
      </c>
      <c r="AR31" s="134">
        <f>IF($B31="",0,SUMPRODUCT(-('Gastos Gerais'!$F$4:$F$3632='Gastos das Atividades'!$B31),-('Gastos das Atividades'!AR$3&gt;='Gastos Gerais'!$D$4:$D$3632),-('Gastos das Atividades'!AR$3&lt;='Gastos Gerais'!$E$4:$E$3632),-('Gastos Gerais'!$C$4:$C$3632)))</f>
        <v>0</v>
      </c>
      <c r="AS31" s="134">
        <f>IF($B31="",0,SUMPRODUCT(-('Gastos Gerais'!$F$4:$F$3632='Gastos das Atividades'!$B31),-('Gastos das Atividades'!AS$3&gt;='Gastos Gerais'!$D$4:$D$3632),-('Gastos das Atividades'!AS$3&lt;='Gastos Gerais'!$E$4:$E$3632),-('Gastos Gerais'!$C$4:$C$3632)))</f>
        <v>0</v>
      </c>
      <c r="AT31" s="134">
        <f>IF($B31="",0,SUMPRODUCT(-('Gastos Gerais'!$F$4:$F$3632='Gastos das Atividades'!$B31),-('Gastos das Atividades'!AT$3&gt;='Gastos Gerais'!$D$4:$D$3632),-('Gastos das Atividades'!AT$3&lt;='Gastos Gerais'!$E$4:$E$3632),-('Gastos Gerais'!$C$4:$C$3632)))</f>
        <v>0</v>
      </c>
      <c r="AU31" s="134">
        <f>IF($B31="",0,SUMPRODUCT(-('Gastos Gerais'!$F$4:$F$3632='Gastos das Atividades'!$B31),-('Gastos das Atividades'!AU$3&gt;='Gastos Gerais'!$D$4:$D$3632),-('Gastos das Atividades'!AU$3&lt;='Gastos Gerais'!$E$4:$E$3632),-('Gastos Gerais'!$C$4:$C$3632)))</f>
        <v>0</v>
      </c>
      <c r="AV31" s="134">
        <f>IF($B31="",0,SUMPRODUCT(-('Gastos Gerais'!$F$4:$F$3632='Gastos das Atividades'!$B31),-('Gastos das Atividades'!AV$3&gt;='Gastos Gerais'!$D$4:$D$3632),-('Gastos das Atividades'!AV$3&lt;='Gastos Gerais'!$E$4:$E$3632),-('Gastos Gerais'!$C$4:$C$3632)))</f>
        <v>0</v>
      </c>
      <c r="AW31" s="134">
        <f>IF($B31="",0,SUMPRODUCT(-('Gastos Gerais'!$F$4:$F$3632='Gastos das Atividades'!$B31),-('Gastos das Atividades'!AW$3&gt;='Gastos Gerais'!$D$4:$D$3632),-('Gastos das Atividades'!AW$3&lt;='Gastos Gerais'!$E$4:$E$3632),-('Gastos Gerais'!$C$4:$C$3632)))</f>
        <v>0</v>
      </c>
      <c r="AX31" s="134">
        <f>IF($B31="",0,SUMPRODUCT(-('Gastos Gerais'!$F$4:$F$3632='Gastos das Atividades'!$B31),-('Gastos das Atividades'!AX$3&gt;='Gastos Gerais'!$D$4:$D$3632),-('Gastos das Atividades'!AX$3&lt;='Gastos Gerais'!$E$4:$E$3632),-('Gastos Gerais'!$C$4:$C$3632)))</f>
        <v>0</v>
      </c>
      <c r="AY31" s="134">
        <f>IF($B31="",0,SUMPRODUCT(-('Gastos Gerais'!$F$4:$F$3632='Gastos das Atividades'!$B31),-('Gastos das Atividades'!AY$3&gt;='Gastos Gerais'!$D$4:$D$3632),-('Gastos das Atividades'!AY$3&lt;='Gastos Gerais'!$E$4:$E$3632),-('Gastos Gerais'!$C$4:$C$3632)))</f>
        <v>0</v>
      </c>
      <c r="AZ31" s="134">
        <f>IF($B31="",0,SUMPRODUCT(-('Gastos Gerais'!$F$4:$F$3632='Gastos das Atividades'!$B31),-('Gastos das Atividades'!AZ$3&gt;='Gastos Gerais'!$D$4:$D$3632),-('Gastos das Atividades'!AZ$3&lt;='Gastos Gerais'!$E$4:$E$3632),-('Gastos Gerais'!$C$4:$C$3632)))</f>
        <v>0</v>
      </c>
      <c r="BA31" s="134">
        <f>IF($B31="",0,SUMPRODUCT(-('Gastos Gerais'!$F$4:$F$3632='Gastos das Atividades'!$B31),-('Gastos das Atividades'!BA$3&gt;='Gastos Gerais'!$D$4:$D$3632),-('Gastos das Atividades'!BA$3&lt;='Gastos Gerais'!$E$4:$E$3632),-('Gastos Gerais'!$C$4:$C$3632)))</f>
        <v>0</v>
      </c>
      <c r="BB31" s="134">
        <f>IF($B31="",0,SUMPRODUCT(-('Gastos Gerais'!$F$4:$F$3632='Gastos das Atividades'!$B31),-('Gastos das Atividades'!BB$3&gt;='Gastos Gerais'!$D$4:$D$3632),-('Gastos das Atividades'!BB$3&lt;='Gastos Gerais'!$E$4:$E$3632),-('Gastos Gerais'!$C$4:$C$3632)))</f>
        <v>0</v>
      </c>
      <c r="BC31" s="134">
        <f>IF($B31="",0,SUMPRODUCT(-('Gastos Gerais'!$F$4:$F$3632='Gastos das Atividades'!$B31),-('Gastos das Atividades'!BC$3&gt;='Gastos Gerais'!$D$4:$D$3632),-('Gastos das Atividades'!BC$3&lt;='Gastos Gerais'!$E$4:$E$3632),-('Gastos Gerais'!$C$4:$C$3632)))</f>
        <v>0</v>
      </c>
      <c r="BD31" s="134">
        <f>IF($B31="",0,SUMPRODUCT(-('Gastos Gerais'!$F$4:$F$3632='Gastos das Atividades'!$B31),-('Gastos das Atividades'!BD$3&gt;='Gastos Gerais'!$D$4:$D$3632),-('Gastos das Atividades'!BD$3&lt;='Gastos Gerais'!$E$4:$E$3632),-('Gastos Gerais'!$C$4:$C$3632)))</f>
        <v>0</v>
      </c>
      <c r="BE31" s="134">
        <f>IF($B31="",0,SUMPRODUCT(-('Gastos Gerais'!$F$4:$F$3632='Gastos das Atividades'!$B31),-('Gastos das Atividades'!BE$3&gt;='Gastos Gerais'!$D$4:$D$3632),-('Gastos das Atividades'!BE$3&lt;='Gastos Gerais'!$E$4:$E$3632),-('Gastos Gerais'!$C$4:$C$3632)))</f>
        <v>0</v>
      </c>
      <c r="BF31" s="134">
        <f>IF($B31="",0,SUMPRODUCT(-('Gastos Gerais'!$F$4:$F$3632='Gastos das Atividades'!$B31),-('Gastos das Atividades'!BF$3&gt;='Gastos Gerais'!$D$4:$D$3632),-('Gastos das Atividades'!BF$3&lt;='Gastos Gerais'!$E$4:$E$3632),-('Gastos Gerais'!$C$4:$C$3632)))</f>
        <v>0</v>
      </c>
      <c r="BG31" s="134">
        <f>IF($B31="",0,SUMPRODUCT(-('Gastos Gerais'!$F$4:$F$3632='Gastos das Atividades'!$B31),-('Gastos das Atividades'!BG$3&gt;='Gastos Gerais'!$D$4:$D$3632),-('Gastos das Atividades'!BG$3&lt;='Gastos Gerais'!$E$4:$E$3632),-('Gastos Gerais'!$C$4:$C$3632)))</f>
        <v>0</v>
      </c>
      <c r="BH31" s="134">
        <f>IF($B31="",0,SUMPRODUCT(-('Gastos Gerais'!$F$4:$F$3632='Gastos das Atividades'!$B31),-('Gastos das Atividades'!BH$3&gt;='Gastos Gerais'!$D$4:$D$3632),-('Gastos das Atividades'!BH$3&lt;='Gastos Gerais'!$E$4:$E$3632),-('Gastos Gerais'!$C$4:$C$3632)))</f>
        <v>0</v>
      </c>
      <c r="BI31" s="134">
        <f>IF($B31="",0,SUMPRODUCT(-('Gastos Gerais'!$F$4:$F$3632='Gastos das Atividades'!$B31),-('Gastos das Atividades'!BI$3&gt;='Gastos Gerais'!$D$4:$D$3632),-('Gastos das Atividades'!BI$3&lt;='Gastos Gerais'!$E$4:$E$3632),-('Gastos Gerais'!$C$4:$C$3632)))</f>
        <v>0</v>
      </c>
      <c r="BJ31" s="134">
        <f>IF($B31="",0,SUMPRODUCT(-('Gastos Gerais'!$F$4:$F$3632='Gastos das Atividades'!$B31),-('Gastos das Atividades'!BJ$3&gt;='Gastos Gerais'!$D$4:$D$3632),-('Gastos das Atividades'!BJ$3&lt;='Gastos Gerais'!$E$4:$E$3632),-('Gastos Gerais'!$C$4:$C$3632)))</f>
        <v>0</v>
      </c>
      <c r="BK31" s="134">
        <f>IF($B31="",0,SUMPRODUCT(-('Gastos Gerais'!$F$4:$F$3632='Gastos das Atividades'!$B31),-('Gastos das Atividades'!BK$3&gt;='Gastos Gerais'!$D$4:$D$3632),-('Gastos das Atividades'!BK$3&lt;='Gastos Gerais'!$E$4:$E$3632),-('Gastos Gerais'!$C$4:$C$3632)))</f>
        <v>0</v>
      </c>
      <c r="BL31" s="134">
        <f>IF($B31="",0,SUMPRODUCT(-('Gastos Gerais'!$F$4:$F$3632='Gastos das Atividades'!$B31),-('Gastos das Atividades'!BL$3&gt;='Gastos Gerais'!$D$4:$D$3632),-('Gastos das Atividades'!BL$3&lt;='Gastos Gerais'!$E$4:$E$3632),-('Gastos Gerais'!$C$4:$C$3632)))</f>
        <v>0</v>
      </c>
      <c r="BM31" s="134">
        <f>IF($B31="",0,SUMPRODUCT(-('Gastos Gerais'!$F$4:$F$3632='Gastos das Atividades'!$B31),-('Gastos das Atividades'!BM$3&gt;='Gastos Gerais'!$D$4:$D$3632),-('Gastos das Atividades'!BM$3&lt;='Gastos Gerais'!$E$4:$E$3632),-('Gastos Gerais'!$C$4:$C$3632)))</f>
        <v>0</v>
      </c>
      <c r="BN31" s="134">
        <f>IF($B31="",0,SUMPRODUCT(-('Gastos Gerais'!$F$4:$F$3632='Gastos das Atividades'!$B31),-('Gastos das Atividades'!BN$3&gt;='Gastos Gerais'!$D$4:$D$3632),-('Gastos das Atividades'!BN$3&lt;='Gastos Gerais'!$E$4:$E$3632),-('Gastos Gerais'!$C$4:$C$3632)))</f>
        <v>0</v>
      </c>
      <c r="BO31" s="134">
        <f>IF($B31="",0,SUMPRODUCT(-('Gastos Gerais'!$F$4:$F$3632='Gastos das Atividades'!$B31),-('Gastos das Atividades'!BO$3&gt;='Gastos Gerais'!$D$4:$D$3632),-('Gastos das Atividades'!BO$3&lt;='Gastos Gerais'!$E$4:$E$3632),-('Gastos Gerais'!$C$4:$C$3632)))</f>
        <v>0</v>
      </c>
      <c r="BP31" s="134">
        <f>IF($B31="",0,SUMPRODUCT(-('Gastos Gerais'!$F$4:$F$3632='Gastos das Atividades'!$B31),-('Gastos das Atividades'!BP$3&gt;='Gastos Gerais'!$D$4:$D$3632),-('Gastos das Atividades'!BP$3&lt;='Gastos Gerais'!$E$4:$E$3632),-('Gastos Gerais'!$C$4:$C$3632)))</f>
        <v>0</v>
      </c>
      <c r="BQ31" s="134">
        <f>IF($B31="",0,SUMPRODUCT(-('Gastos Gerais'!$F$4:$F$3632='Gastos das Atividades'!$B31),-('Gastos das Atividades'!BQ$3&gt;='Gastos Gerais'!$D$4:$D$3632),-('Gastos das Atividades'!BQ$3&lt;='Gastos Gerais'!$E$4:$E$3632),-('Gastos Gerais'!$C$4:$C$3632)))</f>
        <v>0</v>
      </c>
      <c r="BR31" s="134">
        <f>IF($B31="",0,SUMPRODUCT(-('Gastos Gerais'!$F$4:$F$3632='Gastos das Atividades'!$B31),-('Gastos das Atividades'!BR$3&gt;='Gastos Gerais'!$D$4:$D$3632),-('Gastos das Atividades'!BR$3&lt;='Gastos Gerais'!$E$4:$E$3632),-('Gastos Gerais'!$C$4:$C$3632)))</f>
        <v>0</v>
      </c>
      <c r="BS31" s="134">
        <f>IF($B31="",0,SUMPRODUCT(-('Gastos Gerais'!$F$4:$F$3632='Gastos das Atividades'!$B31),-('Gastos das Atividades'!BS$3&gt;='Gastos Gerais'!$D$4:$D$3632),-('Gastos das Atividades'!BS$3&lt;='Gastos Gerais'!$E$4:$E$3632),-('Gastos Gerais'!$C$4:$C$3632)))</f>
        <v>0</v>
      </c>
      <c r="BT31" s="134">
        <f>IF($B31="",0,SUMPRODUCT(-('Gastos Gerais'!$F$4:$F$3632='Gastos das Atividades'!$B31),-('Gastos das Atividades'!BT$3&gt;='Gastos Gerais'!$D$4:$D$3632),-('Gastos das Atividades'!BT$3&lt;='Gastos Gerais'!$E$4:$E$3632),-('Gastos Gerais'!$C$4:$C$3632)))</f>
        <v>0</v>
      </c>
      <c r="BU31" s="134">
        <f>IF($B31="",0,SUMPRODUCT(-('Gastos Gerais'!$F$4:$F$3632='Gastos das Atividades'!$B31),-('Gastos das Atividades'!BU$3&gt;='Gastos Gerais'!$D$4:$D$3632),-('Gastos das Atividades'!BU$3&lt;='Gastos Gerais'!$E$4:$E$3632),-('Gastos Gerais'!$C$4:$C$3632)))</f>
        <v>0</v>
      </c>
      <c r="BV31" s="134">
        <f>IF($B31="",0,SUMPRODUCT(-('Gastos Gerais'!$F$4:$F$3632='Gastos das Atividades'!$B31),-('Gastos das Atividades'!BV$3&gt;='Gastos Gerais'!$D$4:$D$3632),-('Gastos das Atividades'!BV$3&lt;='Gastos Gerais'!$E$4:$E$3632),-('Gastos Gerais'!$C$4:$C$3632)))</f>
        <v>0</v>
      </c>
      <c r="BW31" s="134">
        <f>IF($B31="",0,SUMPRODUCT(-('Gastos Gerais'!$F$4:$F$3632='Gastos das Atividades'!$B31),-('Gastos das Atividades'!BW$3&gt;='Gastos Gerais'!$D$4:$D$3632),-('Gastos das Atividades'!BW$3&lt;='Gastos Gerais'!$E$4:$E$3632),-('Gastos Gerais'!$C$4:$C$3632)))</f>
        <v>0</v>
      </c>
    </row>
    <row r="32" spans="1:75">
      <c r="A32" s="138">
        <v>29</v>
      </c>
      <c r="B32" s="139"/>
      <c r="C32" s="132">
        <v>0</v>
      </c>
      <c r="D32" s="133">
        <f t="shared" si="0"/>
        <v>0</v>
      </c>
      <c r="E32" s="134">
        <f t="shared" si="1"/>
        <v>0</v>
      </c>
      <c r="F32" s="134">
        <f t="shared" si="1"/>
        <v>0</v>
      </c>
      <c r="G32" s="134">
        <f t="shared" si="1"/>
        <v>0</v>
      </c>
      <c r="H32" s="134">
        <f t="shared" si="1"/>
        <v>0</v>
      </c>
      <c r="I32" s="135">
        <f t="shared" si="2"/>
        <v>0</v>
      </c>
      <c r="J32" s="136">
        <f t="shared" si="3"/>
        <v>0</v>
      </c>
      <c r="K32" s="136">
        <f t="shared" si="4"/>
        <v>0</v>
      </c>
      <c r="L32" s="136">
        <f t="shared" si="5"/>
        <v>0</v>
      </c>
      <c r="M32" s="136">
        <f t="shared" si="6"/>
        <v>0</v>
      </c>
      <c r="N32" s="136">
        <f t="shared" si="7"/>
        <v>0</v>
      </c>
      <c r="O32" s="137">
        <f t="shared" si="8"/>
        <v>0</v>
      </c>
      <c r="P32" s="134">
        <f>IF($B32="",0,SUMPRODUCT(-('Gastos Gerais'!$F$4:$F$3632='Gastos das Atividades'!$B32),-('Gastos das Atividades'!P$3&gt;='Gastos Gerais'!$D$4:$D$3632),-('Gastos das Atividades'!P$3&lt;='Gastos Gerais'!$E$4:$E$3632),-('Gastos Gerais'!$C$4:$C$3632)))</f>
        <v>0</v>
      </c>
      <c r="Q32" s="134">
        <f>IF($B32="",0,SUMPRODUCT(-('Gastos Gerais'!$F$4:$F$3632='Gastos das Atividades'!$B32),-('Gastos das Atividades'!Q$3&gt;='Gastos Gerais'!$D$4:$D$3632),-('Gastos das Atividades'!Q$3&lt;='Gastos Gerais'!$E$4:$E$3632),-('Gastos Gerais'!$C$4:$C$3632)))</f>
        <v>0</v>
      </c>
      <c r="R32" s="134">
        <f>IF($B32="",0,SUMPRODUCT(-('Gastos Gerais'!$F$4:$F$3632='Gastos das Atividades'!$B32),-('Gastos das Atividades'!R$3&gt;='Gastos Gerais'!$D$4:$D$3632),-('Gastos das Atividades'!R$3&lt;='Gastos Gerais'!$E$4:$E$3632),-('Gastos Gerais'!$C$4:$C$3632)))</f>
        <v>0</v>
      </c>
      <c r="S32" s="134">
        <f>IF($B32="",0,SUMPRODUCT(-('Gastos Gerais'!$F$4:$F$3632='Gastos das Atividades'!$B32),-('Gastos das Atividades'!S$3&gt;='Gastos Gerais'!$D$4:$D$3632),-('Gastos das Atividades'!S$3&lt;='Gastos Gerais'!$E$4:$E$3632),-('Gastos Gerais'!$C$4:$C$3632)))</f>
        <v>0</v>
      </c>
      <c r="T32" s="134">
        <f>IF($B32="",0,SUMPRODUCT(-('Gastos Gerais'!$F$4:$F$3632='Gastos das Atividades'!$B32),-('Gastos das Atividades'!T$3&gt;='Gastos Gerais'!$D$4:$D$3632),-('Gastos das Atividades'!T$3&lt;='Gastos Gerais'!$E$4:$E$3632),-('Gastos Gerais'!$C$4:$C$3632)))</f>
        <v>0</v>
      </c>
      <c r="U32" s="134">
        <f>IF($B32="",0,SUMPRODUCT(-('Gastos Gerais'!$F$4:$F$3632='Gastos das Atividades'!$B32),-('Gastos das Atividades'!U$3&gt;='Gastos Gerais'!$D$4:$D$3632),-('Gastos das Atividades'!U$3&lt;='Gastos Gerais'!$E$4:$E$3632),-('Gastos Gerais'!$C$4:$C$3632)))</f>
        <v>0</v>
      </c>
      <c r="V32" s="134">
        <f>IF($B32="",0,SUMPRODUCT(-('Gastos Gerais'!$F$4:$F$3632='Gastos das Atividades'!$B32),-('Gastos das Atividades'!V$3&gt;='Gastos Gerais'!$D$4:$D$3632),-('Gastos das Atividades'!V$3&lt;='Gastos Gerais'!$E$4:$E$3632),-('Gastos Gerais'!$C$4:$C$3632)))</f>
        <v>0</v>
      </c>
      <c r="W32" s="134">
        <f>IF($B32="",0,SUMPRODUCT(-('Gastos Gerais'!$F$4:$F$3632='Gastos das Atividades'!$B32),-('Gastos das Atividades'!W$3&gt;='Gastos Gerais'!$D$4:$D$3632),-('Gastos das Atividades'!W$3&lt;='Gastos Gerais'!$E$4:$E$3632),-('Gastos Gerais'!$C$4:$C$3632)))</f>
        <v>0</v>
      </c>
      <c r="X32" s="134">
        <f>IF($B32="",0,SUMPRODUCT(-('Gastos Gerais'!$F$4:$F$3632='Gastos das Atividades'!$B32),-('Gastos das Atividades'!X$3&gt;='Gastos Gerais'!$D$4:$D$3632),-('Gastos das Atividades'!X$3&lt;='Gastos Gerais'!$E$4:$E$3632),-('Gastos Gerais'!$C$4:$C$3632)))</f>
        <v>0</v>
      </c>
      <c r="Y32" s="134">
        <f>IF($B32="",0,SUMPRODUCT(-('Gastos Gerais'!$F$4:$F$3632='Gastos das Atividades'!$B32),-('Gastos das Atividades'!Y$3&gt;='Gastos Gerais'!$D$4:$D$3632),-('Gastos das Atividades'!Y$3&lt;='Gastos Gerais'!$E$4:$E$3632),-('Gastos Gerais'!$C$4:$C$3632)))</f>
        <v>0</v>
      </c>
      <c r="Z32" s="134">
        <f>IF($B32="",0,SUMPRODUCT(-('Gastos Gerais'!$F$4:$F$3632='Gastos das Atividades'!$B32),-('Gastos das Atividades'!Z$3&gt;='Gastos Gerais'!$D$4:$D$3632),-('Gastos das Atividades'!Z$3&lt;='Gastos Gerais'!$E$4:$E$3632),-('Gastos Gerais'!$C$4:$C$3632)))</f>
        <v>0</v>
      </c>
      <c r="AA32" s="134">
        <f>IF($B32="",0,SUMPRODUCT(-('Gastos Gerais'!$F$4:$F$3632='Gastos das Atividades'!$B32),-('Gastos das Atividades'!AA$3&gt;='Gastos Gerais'!$D$4:$D$3632),-('Gastos das Atividades'!AA$3&lt;='Gastos Gerais'!$E$4:$E$3632),-('Gastos Gerais'!$C$4:$C$3632)))</f>
        <v>0</v>
      </c>
      <c r="AB32" s="134">
        <f>IF($B32="",0,SUMPRODUCT(-('Gastos Gerais'!$F$4:$F$3632='Gastos das Atividades'!$B32),-('Gastos das Atividades'!AB$3&gt;='Gastos Gerais'!$D$4:$D$3632),-('Gastos das Atividades'!AB$3&lt;='Gastos Gerais'!$E$4:$E$3632),-('Gastos Gerais'!$C$4:$C$3632)))</f>
        <v>0</v>
      </c>
      <c r="AC32" s="134">
        <f>IF($B32="",0,SUMPRODUCT(-('Gastos Gerais'!$F$4:$F$3632='Gastos das Atividades'!$B32),-('Gastos das Atividades'!AC$3&gt;='Gastos Gerais'!$D$4:$D$3632),-('Gastos das Atividades'!AC$3&lt;='Gastos Gerais'!$E$4:$E$3632),-('Gastos Gerais'!$C$4:$C$3632)))</f>
        <v>0</v>
      </c>
      <c r="AD32" s="134">
        <f>IF($B32="",0,SUMPRODUCT(-('Gastos Gerais'!$F$4:$F$3632='Gastos das Atividades'!$B32),-('Gastos das Atividades'!AD$3&gt;='Gastos Gerais'!$D$4:$D$3632),-('Gastos das Atividades'!AD$3&lt;='Gastos Gerais'!$E$4:$E$3632),-('Gastos Gerais'!$C$4:$C$3632)))</f>
        <v>0</v>
      </c>
      <c r="AE32" s="134">
        <f>IF($B32="",0,SUMPRODUCT(-('Gastos Gerais'!$F$4:$F$3632='Gastos das Atividades'!$B32),-('Gastos das Atividades'!AE$3&gt;='Gastos Gerais'!$D$4:$D$3632),-('Gastos das Atividades'!AE$3&lt;='Gastos Gerais'!$E$4:$E$3632),-('Gastos Gerais'!$C$4:$C$3632)))</f>
        <v>0</v>
      </c>
      <c r="AF32" s="134">
        <f>IF($B32="",0,SUMPRODUCT(-('Gastos Gerais'!$F$4:$F$3632='Gastos das Atividades'!$B32),-('Gastos das Atividades'!AF$3&gt;='Gastos Gerais'!$D$4:$D$3632),-('Gastos das Atividades'!AF$3&lt;='Gastos Gerais'!$E$4:$E$3632),-('Gastos Gerais'!$C$4:$C$3632)))</f>
        <v>0</v>
      </c>
      <c r="AG32" s="134">
        <f>IF($B32="",0,SUMPRODUCT(-('Gastos Gerais'!$F$4:$F$3632='Gastos das Atividades'!$B32),-('Gastos das Atividades'!AG$3&gt;='Gastos Gerais'!$D$4:$D$3632),-('Gastos das Atividades'!AG$3&lt;='Gastos Gerais'!$E$4:$E$3632),-('Gastos Gerais'!$C$4:$C$3632)))</f>
        <v>0</v>
      </c>
      <c r="AH32" s="134">
        <f>IF($B32="",0,SUMPRODUCT(-('Gastos Gerais'!$F$4:$F$3632='Gastos das Atividades'!$B32),-('Gastos das Atividades'!AH$3&gt;='Gastos Gerais'!$D$4:$D$3632),-('Gastos das Atividades'!AH$3&lt;='Gastos Gerais'!$E$4:$E$3632),-('Gastos Gerais'!$C$4:$C$3632)))</f>
        <v>0</v>
      </c>
      <c r="AI32" s="134">
        <f>IF($B32="",0,SUMPRODUCT(-('Gastos Gerais'!$F$4:$F$3632='Gastos das Atividades'!$B32),-('Gastos das Atividades'!AI$3&gt;='Gastos Gerais'!$D$4:$D$3632),-('Gastos das Atividades'!AI$3&lt;='Gastos Gerais'!$E$4:$E$3632),-('Gastos Gerais'!$C$4:$C$3632)))</f>
        <v>0</v>
      </c>
      <c r="AJ32" s="134">
        <f>IF($B32="",0,SUMPRODUCT(-('Gastos Gerais'!$F$4:$F$3632='Gastos das Atividades'!$B32),-('Gastos das Atividades'!AJ$3&gt;='Gastos Gerais'!$D$4:$D$3632),-('Gastos das Atividades'!AJ$3&lt;='Gastos Gerais'!$E$4:$E$3632),-('Gastos Gerais'!$C$4:$C$3632)))</f>
        <v>0</v>
      </c>
      <c r="AK32" s="134">
        <f>IF($B32="",0,SUMPRODUCT(-('Gastos Gerais'!$F$4:$F$3632='Gastos das Atividades'!$B32),-('Gastos das Atividades'!AK$3&gt;='Gastos Gerais'!$D$4:$D$3632),-('Gastos das Atividades'!AK$3&lt;='Gastos Gerais'!$E$4:$E$3632),-('Gastos Gerais'!$C$4:$C$3632)))</f>
        <v>0</v>
      </c>
      <c r="AL32" s="134">
        <f>IF($B32="",0,SUMPRODUCT(-('Gastos Gerais'!$F$4:$F$3632='Gastos das Atividades'!$B32),-('Gastos das Atividades'!AL$3&gt;='Gastos Gerais'!$D$4:$D$3632),-('Gastos das Atividades'!AL$3&lt;='Gastos Gerais'!$E$4:$E$3632),-('Gastos Gerais'!$C$4:$C$3632)))</f>
        <v>0</v>
      </c>
      <c r="AM32" s="134">
        <f>IF($B32="",0,SUMPRODUCT(-('Gastos Gerais'!$F$4:$F$3632='Gastos das Atividades'!$B32),-('Gastos das Atividades'!AM$3&gt;='Gastos Gerais'!$D$4:$D$3632),-('Gastos das Atividades'!AM$3&lt;='Gastos Gerais'!$E$4:$E$3632),-('Gastos Gerais'!$C$4:$C$3632)))</f>
        <v>0</v>
      </c>
      <c r="AN32" s="134">
        <f>IF($B32="",0,SUMPRODUCT(-('Gastos Gerais'!$F$4:$F$3632='Gastos das Atividades'!$B32),-('Gastos das Atividades'!AN$3&gt;='Gastos Gerais'!$D$4:$D$3632),-('Gastos das Atividades'!AN$3&lt;='Gastos Gerais'!$E$4:$E$3632),-('Gastos Gerais'!$C$4:$C$3632)))</f>
        <v>0</v>
      </c>
      <c r="AO32" s="134">
        <f>IF($B32="",0,SUMPRODUCT(-('Gastos Gerais'!$F$4:$F$3632='Gastos das Atividades'!$B32),-('Gastos das Atividades'!AO$3&gt;='Gastos Gerais'!$D$4:$D$3632),-('Gastos das Atividades'!AO$3&lt;='Gastos Gerais'!$E$4:$E$3632),-('Gastos Gerais'!$C$4:$C$3632)))</f>
        <v>0</v>
      </c>
      <c r="AP32" s="134">
        <f>IF($B32="",0,SUMPRODUCT(-('Gastos Gerais'!$F$4:$F$3632='Gastos das Atividades'!$B32),-('Gastos das Atividades'!AP$3&gt;='Gastos Gerais'!$D$4:$D$3632),-('Gastos das Atividades'!AP$3&lt;='Gastos Gerais'!$E$4:$E$3632),-('Gastos Gerais'!$C$4:$C$3632)))</f>
        <v>0</v>
      </c>
      <c r="AQ32" s="134">
        <f>IF($B32="",0,SUMPRODUCT(-('Gastos Gerais'!$F$4:$F$3632='Gastos das Atividades'!$B32),-('Gastos das Atividades'!AQ$3&gt;='Gastos Gerais'!$D$4:$D$3632),-('Gastos das Atividades'!AQ$3&lt;='Gastos Gerais'!$E$4:$E$3632),-('Gastos Gerais'!$C$4:$C$3632)))</f>
        <v>0</v>
      </c>
      <c r="AR32" s="134">
        <f>IF($B32="",0,SUMPRODUCT(-('Gastos Gerais'!$F$4:$F$3632='Gastos das Atividades'!$B32),-('Gastos das Atividades'!AR$3&gt;='Gastos Gerais'!$D$4:$D$3632),-('Gastos das Atividades'!AR$3&lt;='Gastos Gerais'!$E$4:$E$3632),-('Gastos Gerais'!$C$4:$C$3632)))</f>
        <v>0</v>
      </c>
      <c r="AS32" s="134">
        <f>IF($B32="",0,SUMPRODUCT(-('Gastos Gerais'!$F$4:$F$3632='Gastos das Atividades'!$B32),-('Gastos das Atividades'!AS$3&gt;='Gastos Gerais'!$D$4:$D$3632),-('Gastos das Atividades'!AS$3&lt;='Gastos Gerais'!$E$4:$E$3632),-('Gastos Gerais'!$C$4:$C$3632)))</f>
        <v>0</v>
      </c>
      <c r="AT32" s="134">
        <f>IF($B32="",0,SUMPRODUCT(-('Gastos Gerais'!$F$4:$F$3632='Gastos das Atividades'!$B32),-('Gastos das Atividades'!AT$3&gt;='Gastos Gerais'!$D$4:$D$3632),-('Gastos das Atividades'!AT$3&lt;='Gastos Gerais'!$E$4:$E$3632),-('Gastos Gerais'!$C$4:$C$3632)))</f>
        <v>0</v>
      </c>
      <c r="AU32" s="134">
        <f>IF($B32="",0,SUMPRODUCT(-('Gastos Gerais'!$F$4:$F$3632='Gastos das Atividades'!$B32),-('Gastos das Atividades'!AU$3&gt;='Gastos Gerais'!$D$4:$D$3632),-('Gastos das Atividades'!AU$3&lt;='Gastos Gerais'!$E$4:$E$3632),-('Gastos Gerais'!$C$4:$C$3632)))</f>
        <v>0</v>
      </c>
      <c r="AV32" s="134">
        <f>IF($B32="",0,SUMPRODUCT(-('Gastos Gerais'!$F$4:$F$3632='Gastos das Atividades'!$B32),-('Gastos das Atividades'!AV$3&gt;='Gastos Gerais'!$D$4:$D$3632),-('Gastos das Atividades'!AV$3&lt;='Gastos Gerais'!$E$4:$E$3632),-('Gastos Gerais'!$C$4:$C$3632)))</f>
        <v>0</v>
      </c>
      <c r="AW32" s="134">
        <f>IF($B32="",0,SUMPRODUCT(-('Gastos Gerais'!$F$4:$F$3632='Gastos das Atividades'!$B32),-('Gastos das Atividades'!AW$3&gt;='Gastos Gerais'!$D$4:$D$3632),-('Gastos das Atividades'!AW$3&lt;='Gastos Gerais'!$E$4:$E$3632),-('Gastos Gerais'!$C$4:$C$3632)))</f>
        <v>0</v>
      </c>
      <c r="AX32" s="134">
        <f>IF($B32="",0,SUMPRODUCT(-('Gastos Gerais'!$F$4:$F$3632='Gastos das Atividades'!$B32),-('Gastos das Atividades'!AX$3&gt;='Gastos Gerais'!$D$4:$D$3632),-('Gastos das Atividades'!AX$3&lt;='Gastos Gerais'!$E$4:$E$3632),-('Gastos Gerais'!$C$4:$C$3632)))</f>
        <v>0</v>
      </c>
      <c r="AY32" s="134">
        <f>IF($B32="",0,SUMPRODUCT(-('Gastos Gerais'!$F$4:$F$3632='Gastos das Atividades'!$B32),-('Gastos das Atividades'!AY$3&gt;='Gastos Gerais'!$D$4:$D$3632),-('Gastos das Atividades'!AY$3&lt;='Gastos Gerais'!$E$4:$E$3632),-('Gastos Gerais'!$C$4:$C$3632)))</f>
        <v>0</v>
      </c>
      <c r="AZ32" s="134">
        <f>IF($B32="",0,SUMPRODUCT(-('Gastos Gerais'!$F$4:$F$3632='Gastos das Atividades'!$B32),-('Gastos das Atividades'!AZ$3&gt;='Gastos Gerais'!$D$4:$D$3632),-('Gastos das Atividades'!AZ$3&lt;='Gastos Gerais'!$E$4:$E$3632),-('Gastos Gerais'!$C$4:$C$3632)))</f>
        <v>0</v>
      </c>
      <c r="BA32" s="134">
        <f>IF($B32="",0,SUMPRODUCT(-('Gastos Gerais'!$F$4:$F$3632='Gastos das Atividades'!$B32),-('Gastos das Atividades'!BA$3&gt;='Gastos Gerais'!$D$4:$D$3632),-('Gastos das Atividades'!BA$3&lt;='Gastos Gerais'!$E$4:$E$3632),-('Gastos Gerais'!$C$4:$C$3632)))</f>
        <v>0</v>
      </c>
      <c r="BB32" s="134">
        <f>IF($B32="",0,SUMPRODUCT(-('Gastos Gerais'!$F$4:$F$3632='Gastos das Atividades'!$B32),-('Gastos das Atividades'!BB$3&gt;='Gastos Gerais'!$D$4:$D$3632),-('Gastos das Atividades'!BB$3&lt;='Gastos Gerais'!$E$4:$E$3632),-('Gastos Gerais'!$C$4:$C$3632)))</f>
        <v>0</v>
      </c>
      <c r="BC32" s="134">
        <f>IF($B32="",0,SUMPRODUCT(-('Gastos Gerais'!$F$4:$F$3632='Gastos das Atividades'!$B32),-('Gastos das Atividades'!BC$3&gt;='Gastos Gerais'!$D$4:$D$3632),-('Gastos das Atividades'!BC$3&lt;='Gastos Gerais'!$E$4:$E$3632),-('Gastos Gerais'!$C$4:$C$3632)))</f>
        <v>0</v>
      </c>
      <c r="BD32" s="134">
        <f>IF($B32="",0,SUMPRODUCT(-('Gastos Gerais'!$F$4:$F$3632='Gastos das Atividades'!$B32),-('Gastos das Atividades'!BD$3&gt;='Gastos Gerais'!$D$4:$D$3632),-('Gastos das Atividades'!BD$3&lt;='Gastos Gerais'!$E$4:$E$3632),-('Gastos Gerais'!$C$4:$C$3632)))</f>
        <v>0</v>
      </c>
      <c r="BE32" s="134">
        <f>IF($B32="",0,SUMPRODUCT(-('Gastos Gerais'!$F$4:$F$3632='Gastos das Atividades'!$B32),-('Gastos das Atividades'!BE$3&gt;='Gastos Gerais'!$D$4:$D$3632),-('Gastos das Atividades'!BE$3&lt;='Gastos Gerais'!$E$4:$E$3632),-('Gastos Gerais'!$C$4:$C$3632)))</f>
        <v>0</v>
      </c>
      <c r="BF32" s="134">
        <f>IF($B32="",0,SUMPRODUCT(-('Gastos Gerais'!$F$4:$F$3632='Gastos das Atividades'!$B32),-('Gastos das Atividades'!BF$3&gt;='Gastos Gerais'!$D$4:$D$3632),-('Gastos das Atividades'!BF$3&lt;='Gastos Gerais'!$E$4:$E$3632),-('Gastos Gerais'!$C$4:$C$3632)))</f>
        <v>0</v>
      </c>
      <c r="BG32" s="134">
        <f>IF($B32="",0,SUMPRODUCT(-('Gastos Gerais'!$F$4:$F$3632='Gastos das Atividades'!$B32),-('Gastos das Atividades'!BG$3&gt;='Gastos Gerais'!$D$4:$D$3632),-('Gastos das Atividades'!BG$3&lt;='Gastos Gerais'!$E$4:$E$3632),-('Gastos Gerais'!$C$4:$C$3632)))</f>
        <v>0</v>
      </c>
      <c r="BH32" s="134">
        <f>IF($B32="",0,SUMPRODUCT(-('Gastos Gerais'!$F$4:$F$3632='Gastos das Atividades'!$B32),-('Gastos das Atividades'!BH$3&gt;='Gastos Gerais'!$D$4:$D$3632),-('Gastos das Atividades'!BH$3&lt;='Gastos Gerais'!$E$4:$E$3632),-('Gastos Gerais'!$C$4:$C$3632)))</f>
        <v>0</v>
      </c>
      <c r="BI32" s="134">
        <f>IF($B32="",0,SUMPRODUCT(-('Gastos Gerais'!$F$4:$F$3632='Gastos das Atividades'!$B32),-('Gastos das Atividades'!BI$3&gt;='Gastos Gerais'!$D$4:$D$3632),-('Gastos das Atividades'!BI$3&lt;='Gastos Gerais'!$E$4:$E$3632),-('Gastos Gerais'!$C$4:$C$3632)))</f>
        <v>0</v>
      </c>
      <c r="BJ32" s="134">
        <f>IF($B32="",0,SUMPRODUCT(-('Gastos Gerais'!$F$4:$F$3632='Gastos das Atividades'!$B32),-('Gastos das Atividades'!BJ$3&gt;='Gastos Gerais'!$D$4:$D$3632),-('Gastos das Atividades'!BJ$3&lt;='Gastos Gerais'!$E$4:$E$3632),-('Gastos Gerais'!$C$4:$C$3632)))</f>
        <v>0</v>
      </c>
      <c r="BK32" s="134">
        <f>IF($B32="",0,SUMPRODUCT(-('Gastos Gerais'!$F$4:$F$3632='Gastos das Atividades'!$B32),-('Gastos das Atividades'!BK$3&gt;='Gastos Gerais'!$D$4:$D$3632),-('Gastos das Atividades'!BK$3&lt;='Gastos Gerais'!$E$4:$E$3632),-('Gastos Gerais'!$C$4:$C$3632)))</f>
        <v>0</v>
      </c>
      <c r="BL32" s="134">
        <f>IF($B32="",0,SUMPRODUCT(-('Gastos Gerais'!$F$4:$F$3632='Gastos das Atividades'!$B32),-('Gastos das Atividades'!BL$3&gt;='Gastos Gerais'!$D$4:$D$3632),-('Gastos das Atividades'!BL$3&lt;='Gastos Gerais'!$E$4:$E$3632),-('Gastos Gerais'!$C$4:$C$3632)))</f>
        <v>0</v>
      </c>
      <c r="BM32" s="134">
        <f>IF($B32="",0,SUMPRODUCT(-('Gastos Gerais'!$F$4:$F$3632='Gastos das Atividades'!$B32),-('Gastos das Atividades'!BM$3&gt;='Gastos Gerais'!$D$4:$D$3632),-('Gastos das Atividades'!BM$3&lt;='Gastos Gerais'!$E$4:$E$3632),-('Gastos Gerais'!$C$4:$C$3632)))</f>
        <v>0</v>
      </c>
      <c r="BN32" s="134">
        <f>IF($B32="",0,SUMPRODUCT(-('Gastos Gerais'!$F$4:$F$3632='Gastos das Atividades'!$B32),-('Gastos das Atividades'!BN$3&gt;='Gastos Gerais'!$D$4:$D$3632),-('Gastos das Atividades'!BN$3&lt;='Gastos Gerais'!$E$4:$E$3632),-('Gastos Gerais'!$C$4:$C$3632)))</f>
        <v>0</v>
      </c>
      <c r="BO32" s="134">
        <f>IF($B32="",0,SUMPRODUCT(-('Gastos Gerais'!$F$4:$F$3632='Gastos das Atividades'!$B32),-('Gastos das Atividades'!BO$3&gt;='Gastos Gerais'!$D$4:$D$3632),-('Gastos das Atividades'!BO$3&lt;='Gastos Gerais'!$E$4:$E$3632),-('Gastos Gerais'!$C$4:$C$3632)))</f>
        <v>0</v>
      </c>
      <c r="BP32" s="134">
        <f>IF($B32="",0,SUMPRODUCT(-('Gastos Gerais'!$F$4:$F$3632='Gastos das Atividades'!$B32),-('Gastos das Atividades'!BP$3&gt;='Gastos Gerais'!$D$4:$D$3632),-('Gastos das Atividades'!BP$3&lt;='Gastos Gerais'!$E$4:$E$3632),-('Gastos Gerais'!$C$4:$C$3632)))</f>
        <v>0</v>
      </c>
      <c r="BQ32" s="134">
        <f>IF($B32="",0,SUMPRODUCT(-('Gastos Gerais'!$F$4:$F$3632='Gastos das Atividades'!$B32),-('Gastos das Atividades'!BQ$3&gt;='Gastos Gerais'!$D$4:$D$3632),-('Gastos das Atividades'!BQ$3&lt;='Gastos Gerais'!$E$4:$E$3632),-('Gastos Gerais'!$C$4:$C$3632)))</f>
        <v>0</v>
      </c>
      <c r="BR32" s="134">
        <f>IF($B32="",0,SUMPRODUCT(-('Gastos Gerais'!$F$4:$F$3632='Gastos das Atividades'!$B32),-('Gastos das Atividades'!BR$3&gt;='Gastos Gerais'!$D$4:$D$3632),-('Gastos das Atividades'!BR$3&lt;='Gastos Gerais'!$E$4:$E$3632),-('Gastos Gerais'!$C$4:$C$3632)))</f>
        <v>0</v>
      </c>
      <c r="BS32" s="134">
        <f>IF($B32="",0,SUMPRODUCT(-('Gastos Gerais'!$F$4:$F$3632='Gastos das Atividades'!$B32),-('Gastos das Atividades'!BS$3&gt;='Gastos Gerais'!$D$4:$D$3632),-('Gastos das Atividades'!BS$3&lt;='Gastos Gerais'!$E$4:$E$3632),-('Gastos Gerais'!$C$4:$C$3632)))</f>
        <v>0</v>
      </c>
      <c r="BT32" s="134">
        <f>IF($B32="",0,SUMPRODUCT(-('Gastos Gerais'!$F$4:$F$3632='Gastos das Atividades'!$B32),-('Gastos das Atividades'!BT$3&gt;='Gastos Gerais'!$D$4:$D$3632),-('Gastos das Atividades'!BT$3&lt;='Gastos Gerais'!$E$4:$E$3632),-('Gastos Gerais'!$C$4:$C$3632)))</f>
        <v>0</v>
      </c>
      <c r="BU32" s="134">
        <f>IF($B32="",0,SUMPRODUCT(-('Gastos Gerais'!$F$4:$F$3632='Gastos das Atividades'!$B32),-('Gastos das Atividades'!BU$3&gt;='Gastos Gerais'!$D$4:$D$3632),-('Gastos das Atividades'!BU$3&lt;='Gastos Gerais'!$E$4:$E$3632),-('Gastos Gerais'!$C$4:$C$3632)))</f>
        <v>0</v>
      </c>
      <c r="BV32" s="134">
        <f>IF($B32="",0,SUMPRODUCT(-('Gastos Gerais'!$F$4:$F$3632='Gastos das Atividades'!$B32),-('Gastos das Atividades'!BV$3&gt;='Gastos Gerais'!$D$4:$D$3632),-('Gastos das Atividades'!BV$3&lt;='Gastos Gerais'!$E$4:$E$3632),-('Gastos Gerais'!$C$4:$C$3632)))</f>
        <v>0</v>
      </c>
      <c r="BW32" s="134">
        <f>IF($B32="",0,SUMPRODUCT(-('Gastos Gerais'!$F$4:$F$3632='Gastos das Atividades'!$B32),-('Gastos das Atividades'!BW$3&gt;='Gastos Gerais'!$D$4:$D$3632),-('Gastos das Atividades'!BW$3&lt;='Gastos Gerais'!$E$4:$E$3632),-('Gastos Gerais'!$C$4:$C$3632)))</f>
        <v>0</v>
      </c>
    </row>
    <row r="33" spans="1:75">
      <c r="A33" s="138">
        <v>30</v>
      </c>
      <c r="B33" s="139"/>
      <c r="C33" s="132">
        <v>0</v>
      </c>
      <c r="D33" s="133">
        <f t="shared" si="0"/>
        <v>0</v>
      </c>
      <c r="E33" s="134">
        <f t="shared" si="1"/>
        <v>0</v>
      </c>
      <c r="F33" s="134">
        <f t="shared" si="1"/>
        <v>0</v>
      </c>
      <c r="G33" s="134">
        <f t="shared" si="1"/>
        <v>0</v>
      </c>
      <c r="H33" s="134">
        <f t="shared" si="1"/>
        <v>0</v>
      </c>
      <c r="I33" s="135">
        <f t="shared" si="2"/>
        <v>0</v>
      </c>
      <c r="J33" s="136">
        <f t="shared" si="3"/>
        <v>0</v>
      </c>
      <c r="K33" s="136">
        <f t="shared" si="4"/>
        <v>0</v>
      </c>
      <c r="L33" s="136">
        <f t="shared" si="5"/>
        <v>0</v>
      </c>
      <c r="M33" s="136">
        <f t="shared" si="6"/>
        <v>0</v>
      </c>
      <c r="N33" s="136">
        <f t="shared" si="7"/>
        <v>0</v>
      </c>
      <c r="O33" s="137">
        <f t="shared" si="8"/>
        <v>0</v>
      </c>
      <c r="P33" s="134">
        <f>IF($B33="",0,SUMPRODUCT(-('Gastos Gerais'!$F$4:$F$3632='Gastos das Atividades'!$B33),-('Gastos das Atividades'!P$3&gt;='Gastos Gerais'!$D$4:$D$3632),-('Gastos das Atividades'!P$3&lt;='Gastos Gerais'!$E$4:$E$3632),-('Gastos Gerais'!$C$4:$C$3632)))</f>
        <v>0</v>
      </c>
      <c r="Q33" s="134">
        <f>IF($B33="",0,SUMPRODUCT(-('Gastos Gerais'!$F$4:$F$3632='Gastos das Atividades'!$B33),-('Gastos das Atividades'!Q$3&gt;='Gastos Gerais'!$D$4:$D$3632),-('Gastos das Atividades'!Q$3&lt;='Gastos Gerais'!$E$4:$E$3632),-('Gastos Gerais'!$C$4:$C$3632)))</f>
        <v>0</v>
      </c>
      <c r="R33" s="134">
        <f>IF($B33="",0,SUMPRODUCT(-('Gastos Gerais'!$F$4:$F$3632='Gastos das Atividades'!$B33),-('Gastos das Atividades'!R$3&gt;='Gastos Gerais'!$D$4:$D$3632),-('Gastos das Atividades'!R$3&lt;='Gastos Gerais'!$E$4:$E$3632),-('Gastos Gerais'!$C$4:$C$3632)))</f>
        <v>0</v>
      </c>
      <c r="S33" s="134">
        <f>IF($B33="",0,SUMPRODUCT(-('Gastos Gerais'!$F$4:$F$3632='Gastos das Atividades'!$B33),-('Gastos das Atividades'!S$3&gt;='Gastos Gerais'!$D$4:$D$3632),-('Gastos das Atividades'!S$3&lt;='Gastos Gerais'!$E$4:$E$3632),-('Gastos Gerais'!$C$4:$C$3632)))</f>
        <v>0</v>
      </c>
      <c r="T33" s="134">
        <f>IF($B33="",0,SUMPRODUCT(-('Gastos Gerais'!$F$4:$F$3632='Gastos das Atividades'!$B33),-('Gastos das Atividades'!T$3&gt;='Gastos Gerais'!$D$4:$D$3632),-('Gastos das Atividades'!T$3&lt;='Gastos Gerais'!$E$4:$E$3632),-('Gastos Gerais'!$C$4:$C$3632)))</f>
        <v>0</v>
      </c>
      <c r="U33" s="134">
        <f>IF($B33="",0,SUMPRODUCT(-('Gastos Gerais'!$F$4:$F$3632='Gastos das Atividades'!$B33),-('Gastos das Atividades'!U$3&gt;='Gastos Gerais'!$D$4:$D$3632),-('Gastos das Atividades'!U$3&lt;='Gastos Gerais'!$E$4:$E$3632),-('Gastos Gerais'!$C$4:$C$3632)))</f>
        <v>0</v>
      </c>
      <c r="V33" s="134">
        <f>IF($B33="",0,SUMPRODUCT(-('Gastos Gerais'!$F$4:$F$3632='Gastos das Atividades'!$B33),-('Gastos das Atividades'!V$3&gt;='Gastos Gerais'!$D$4:$D$3632),-('Gastos das Atividades'!V$3&lt;='Gastos Gerais'!$E$4:$E$3632),-('Gastos Gerais'!$C$4:$C$3632)))</f>
        <v>0</v>
      </c>
      <c r="W33" s="134">
        <f>IF($B33="",0,SUMPRODUCT(-('Gastos Gerais'!$F$4:$F$3632='Gastos das Atividades'!$B33),-('Gastos das Atividades'!W$3&gt;='Gastos Gerais'!$D$4:$D$3632),-('Gastos das Atividades'!W$3&lt;='Gastos Gerais'!$E$4:$E$3632),-('Gastos Gerais'!$C$4:$C$3632)))</f>
        <v>0</v>
      </c>
      <c r="X33" s="134">
        <f>IF($B33="",0,SUMPRODUCT(-('Gastos Gerais'!$F$4:$F$3632='Gastos das Atividades'!$B33),-('Gastos das Atividades'!X$3&gt;='Gastos Gerais'!$D$4:$D$3632),-('Gastos das Atividades'!X$3&lt;='Gastos Gerais'!$E$4:$E$3632),-('Gastos Gerais'!$C$4:$C$3632)))</f>
        <v>0</v>
      </c>
      <c r="Y33" s="134">
        <f>IF($B33="",0,SUMPRODUCT(-('Gastos Gerais'!$F$4:$F$3632='Gastos das Atividades'!$B33),-('Gastos das Atividades'!Y$3&gt;='Gastos Gerais'!$D$4:$D$3632),-('Gastos das Atividades'!Y$3&lt;='Gastos Gerais'!$E$4:$E$3632),-('Gastos Gerais'!$C$4:$C$3632)))</f>
        <v>0</v>
      </c>
      <c r="Z33" s="134">
        <f>IF($B33="",0,SUMPRODUCT(-('Gastos Gerais'!$F$4:$F$3632='Gastos das Atividades'!$B33),-('Gastos das Atividades'!Z$3&gt;='Gastos Gerais'!$D$4:$D$3632),-('Gastos das Atividades'!Z$3&lt;='Gastos Gerais'!$E$4:$E$3632),-('Gastos Gerais'!$C$4:$C$3632)))</f>
        <v>0</v>
      </c>
      <c r="AA33" s="134">
        <f>IF($B33="",0,SUMPRODUCT(-('Gastos Gerais'!$F$4:$F$3632='Gastos das Atividades'!$B33),-('Gastos das Atividades'!AA$3&gt;='Gastos Gerais'!$D$4:$D$3632),-('Gastos das Atividades'!AA$3&lt;='Gastos Gerais'!$E$4:$E$3632),-('Gastos Gerais'!$C$4:$C$3632)))</f>
        <v>0</v>
      </c>
      <c r="AB33" s="134">
        <f>IF($B33="",0,SUMPRODUCT(-('Gastos Gerais'!$F$4:$F$3632='Gastos das Atividades'!$B33),-('Gastos das Atividades'!AB$3&gt;='Gastos Gerais'!$D$4:$D$3632),-('Gastos das Atividades'!AB$3&lt;='Gastos Gerais'!$E$4:$E$3632),-('Gastos Gerais'!$C$4:$C$3632)))</f>
        <v>0</v>
      </c>
      <c r="AC33" s="134">
        <f>IF($B33="",0,SUMPRODUCT(-('Gastos Gerais'!$F$4:$F$3632='Gastos das Atividades'!$B33),-('Gastos das Atividades'!AC$3&gt;='Gastos Gerais'!$D$4:$D$3632),-('Gastos das Atividades'!AC$3&lt;='Gastos Gerais'!$E$4:$E$3632),-('Gastos Gerais'!$C$4:$C$3632)))</f>
        <v>0</v>
      </c>
      <c r="AD33" s="134">
        <f>IF($B33="",0,SUMPRODUCT(-('Gastos Gerais'!$F$4:$F$3632='Gastos das Atividades'!$B33),-('Gastos das Atividades'!AD$3&gt;='Gastos Gerais'!$D$4:$D$3632),-('Gastos das Atividades'!AD$3&lt;='Gastos Gerais'!$E$4:$E$3632),-('Gastos Gerais'!$C$4:$C$3632)))</f>
        <v>0</v>
      </c>
      <c r="AE33" s="134">
        <f>IF($B33="",0,SUMPRODUCT(-('Gastos Gerais'!$F$4:$F$3632='Gastos das Atividades'!$B33),-('Gastos das Atividades'!AE$3&gt;='Gastos Gerais'!$D$4:$D$3632),-('Gastos das Atividades'!AE$3&lt;='Gastos Gerais'!$E$4:$E$3632),-('Gastos Gerais'!$C$4:$C$3632)))</f>
        <v>0</v>
      </c>
      <c r="AF33" s="134">
        <f>IF($B33="",0,SUMPRODUCT(-('Gastos Gerais'!$F$4:$F$3632='Gastos das Atividades'!$B33),-('Gastos das Atividades'!AF$3&gt;='Gastos Gerais'!$D$4:$D$3632),-('Gastos das Atividades'!AF$3&lt;='Gastos Gerais'!$E$4:$E$3632),-('Gastos Gerais'!$C$4:$C$3632)))</f>
        <v>0</v>
      </c>
      <c r="AG33" s="134">
        <f>IF($B33="",0,SUMPRODUCT(-('Gastos Gerais'!$F$4:$F$3632='Gastos das Atividades'!$B33),-('Gastos das Atividades'!AG$3&gt;='Gastos Gerais'!$D$4:$D$3632),-('Gastos das Atividades'!AG$3&lt;='Gastos Gerais'!$E$4:$E$3632),-('Gastos Gerais'!$C$4:$C$3632)))</f>
        <v>0</v>
      </c>
      <c r="AH33" s="134">
        <f>IF($B33="",0,SUMPRODUCT(-('Gastos Gerais'!$F$4:$F$3632='Gastos das Atividades'!$B33),-('Gastos das Atividades'!AH$3&gt;='Gastos Gerais'!$D$4:$D$3632),-('Gastos das Atividades'!AH$3&lt;='Gastos Gerais'!$E$4:$E$3632),-('Gastos Gerais'!$C$4:$C$3632)))</f>
        <v>0</v>
      </c>
      <c r="AI33" s="134">
        <f>IF($B33="",0,SUMPRODUCT(-('Gastos Gerais'!$F$4:$F$3632='Gastos das Atividades'!$B33),-('Gastos das Atividades'!AI$3&gt;='Gastos Gerais'!$D$4:$D$3632),-('Gastos das Atividades'!AI$3&lt;='Gastos Gerais'!$E$4:$E$3632),-('Gastos Gerais'!$C$4:$C$3632)))</f>
        <v>0</v>
      </c>
      <c r="AJ33" s="134">
        <f>IF($B33="",0,SUMPRODUCT(-('Gastos Gerais'!$F$4:$F$3632='Gastos das Atividades'!$B33),-('Gastos das Atividades'!AJ$3&gt;='Gastos Gerais'!$D$4:$D$3632),-('Gastos das Atividades'!AJ$3&lt;='Gastos Gerais'!$E$4:$E$3632),-('Gastos Gerais'!$C$4:$C$3632)))</f>
        <v>0</v>
      </c>
      <c r="AK33" s="134">
        <f>IF($B33="",0,SUMPRODUCT(-('Gastos Gerais'!$F$4:$F$3632='Gastos das Atividades'!$B33),-('Gastos das Atividades'!AK$3&gt;='Gastos Gerais'!$D$4:$D$3632),-('Gastos das Atividades'!AK$3&lt;='Gastos Gerais'!$E$4:$E$3632),-('Gastos Gerais'!$C$4:$C$3632)))</f>
        <v>0</v>
      </c>
      <c r="AL33" s="134">
        <f>IF($B33="",0,SUMPRODUCT(-('Gastos Gerais'!$F$4:$F$3632='Gastos das Atividades'!$B33),-('Gastos das Atividades'!AL$3&gt;='Gastos Gerais'!$D$4:$D$3632),-('Gastos das Atividades'!AL$3&lt;='Gastos Gerais'!$E$4:$E$3632),-('Gastos Gerais'!$C$4:$C$3632)))</f>
        <v>0</v>
      </c>
      <c r="AM33" s="134">
        <f>IF($B33="",0,SUMPRODUCT(-('Gastos Gerais'!$F$4:$F$3632='Gastos das Atividades'!$B33),-('Gastos das Atividades'!AM$3&gt;='Gastos Gerais'!$D$4:$D$3632),-('Gastos das Atividades'!AM$3&lt;='Gastos Gerais'!$E$4:$E$3632),-('Gastos Gerais'!$C$4:$C$3632)))</f>
        <v>0</v>
      </c>
      <c r="AN33" s="134">
        <f>IF($B33="",0,SUMPRODUCT(-('Gastos Gerais'!$F$4:$F$3632='Gastos das Atividades'!$B33),-('Gastos das Atividades'!AN$3&gt;='Gastos Gerais'!$D$4:$D$3632),-('Gastos das Atividades'!AN$3&lt;='Gastos Gerais'!$E$4:$E$3632),-('Gastos Gerais'!$C$4:$C$3632)))</f>
        <v>0</v>
      </c>
      <c r="AO33" s="134">
        <f>IF($B33="",0,SUMPRODUCT(-('Gastos Gerais'!$F$4:$F$3632='Gastos das Atividades'!$B33),-('Gastos das Atividades'!AO$3&gt;='Gastos Gerais'!$D$4:$D$3632),-('Gastos das Atividades'!AO$3&lt;='Gastos Gerais'!$E$4:$E$3632),-('Gastos Gerais'!$C$4:$C$3632)))</f>
        <v>0</v>
      </c>
      <c r="AP33" s="134">
        <f>IF($B33="",0,SUMPRODUCT(-('Gastos Gerais'!$F$4:$F$3632='Gastos das Atividades'!$B33),-('Gastos das Atividades'!AP$3&gt;='Gastos Gerais'!$D$4:$D$3632),-('Gastos das Atividades'!AP$3&lt;='Gastos Gerais'!$E$4:$E$3632),-('Gastos Gerais'!$C$4:$C$3632)))</f>
        <v>0</v>
      </c>
      <c r="AQ33" s="134">
        <f>IF($B33="",0,SUMPRODUCT(-('Gastos Gerais'!$F$4:$F$3632='Gastos das Atividades'!$B33),-('Gastos das Atividades'!AQ$3&gt;='Gastos Gerais'!$D$4:$D$3632),-('Gastos das Atividades'!AQ$3&lt;='Gastos Gerais'!$E$4:$E$3632),-('Gastos Gerais'!$C$4:$C$3632)))</f>
        <v>0</v>
      </c>
      <c r="AR33" s="134">
        <f>IF($B33="",0,SUMPRODUCT(-('Gastos Gerais'!$F$4:$F$3632='Gastos das Atividades'!$B33),-('Gastos das Atividades'!AR$3&gt;='Gastos Gerais'!$D$4:$D$3632),-('Gastos das Atividades'!AR$3&lt;='Gastos Gerais'!$E$4:$E$3632),-('Gastos Gerais'!$C$4:$C$3632)))</f>
        <v>0</v>
      </c>
      <c r="AS33" s="134">
        <f>IF($B33="",0,SUMPRODUCT(-('Gastos Gerais'!$F$4:$F$3632='Gastos das Atividades'!$B33),-('Gastos das Atividades'!AS$3&gt;='Gastos Gerais'!$D$4:$D$3632),-('Gastos das Atividades'!AS$3&lt;='Gastos Gerais'!$E$4:$E$3632),-('Gastos Gerais'!$C$4:$C$3632)))</f>
        <v>0</v>
      </c>
      <c r="AT33" s="134">
        <f>IF($B33="",0,SUMPRODUCT(-('Gastos Gerais'!$F$4:$F$3632='Gastos das Atividades'!$B33),-('Gastos das Atividades'!AT$3&gt;='Gastos Gerais'!$D$4:$D$3632),-('Gastos das Atividades'!AT$3&lt;='Gastos Gerais'!$E$4:$E$3632),-('Gastos Gerais'!$C$4:$C$3632)))</f>
        <v>0</v>
      </c>
      <c r="AU33" s="134">
        <f>IF($B33="",0,SUMPRODUCT(-('Gastos Gerais'!$F$4:$F$3632='Gastos das Atividades'!$B33),-('Gastos das Atividades'!AU$3&gt;='Gastos Gerais'!$D$4:$D$3632),-('Gastos das Atividades'!AU$3&lt;='Gastos Gerais'!$E$4:$E$3632),-('Gastos Gerais'!$C$4:$C$3632)))</f>
        <v>0</v>
      </c>
      <c r="AV33" s="134">
        <f>IF($B33="",0,SUMPRODUCT(-('Gastos Gerais'!$F$4:$F$3632='Gastos das Atividades'!$B33),-('Gastos das Atividades'!AV$3&gt;='Gastos Gerais'!$D$4:$D$3632),-('Gastos das Atividades'!AV$3&lt;='Gastos Gerais'!$E$4:$E$3632),-('Gastos Gerais'!$C$4:$C$3632)))</f>
        <v>0</v>
      </c>
      <c r="AW33" s="134">
        <f>IF($B33="",0,SUMPRODUCT(-('Gastos Gerais'!$F$4:$F$3632='Gastos das Atividades'!$B33),-('Gastos das Atividades'!AW$3&gt;='Gastos Gerais'!$D$4:$D$3632),-('Gastos das Atividades'!AW$3&lt;='Gastos Gerais'!$E$4:$E$3632),-('Gastos Gerais'!$C$4:$C$3632)))</f>
        <v>0</v>
      </c>
      <c r="AX33" s="134">
        <f>IF($B33="",0,SUMPRODUCT(-('Gastos Gerais'!$F$4:$F$3632='Gastos das Atividades'!$B33),-('Gastos das Atividades'!AX$3&gt;='Gastos Gerais'!$D$4:$D$3632),-('Gastos das Atividades'!AX$3&lt;='Gastos Gerais'!$E$4:$E$3632),-('Gastos Gerais'!$C$4:$C$3632)))</f>
        <v>0</v>
      </c>
      <c r="AY33" s="134">
        <f>IF($B33="",0,SUMPRODUCT(-('Gastos Gerais'!$F$4:$F$3632='Gastos das Atividades'!$B33),-('Gastos das Atividades'!AY$3&gt;='Gastos Gerais'!$D$4:$D$3632),-('Gastos das Atividades'!AY$3&lt;='Gastos Gerais'!$E$4:$E$3632),-('Gastos Gerais'!$C$4:$C$3632)))</f>
        <v>0</v>
      </c>
      <c r="AZ33" s="134">
        <f>IF($B33="",0,SUMPRODUCT(-('Gastos Gerais'!$F$4:$F$3632='Gastos das Atividades'!$B33),-('Gastos das Atividades'!AZ$3&gt;='Gastos Gerais'!$D$4:$D$3632),-('Gastos das Atividades'!AZ$3&lt;='Gastos Gerais'!$E$4:$E$3632),-('Gastos Gerais'!$C$4:$C$3632)))</f>
        <v>0</v>
      </c>
      <c r="BA33" s="134">
        <f>IF($B33="",0,SUMPRODUCT(-('Gastos Gerais'!$F$4:$F$3632='Gastos das Atividades'!$B33),-('Gastos das Atividades'!BA$3&gt;='Gastos Gerais'!$D$4:$D$3632),-('Gastos das Atividades'!BA$3&lt;='Gastos Gerais'!$E$4:$E$3632),-('Gastos Gerais'!$C$4:$C$3632)))</f>
        <v>0</v>
      </c>
      <c r="BB33" s="134">
        <f>IF($B33="",0,SUMPRODUCT(-('Gastos Gerais'!$F$4:$F$3632='Gastos das Atividades'!$B33),-('Gastos das Atividades'!BB$3&gt;='Gastos Gerais'!$D$4:$D$3632),-('Gastos das Atividades'!BB$3&lt;='Gastos Gerais'!$E$4:$E$3632),-('Gastos Gerais'!$C$4:$C$3632)))</f>
        <v>0</v>
      </c>
      <c r="BC33" s="134">
        <f>IF($B33="",0,SUMPRODUCT(-('Gastos Gerais'!$F$4:$F$3632='Gastos das Atividades'!$B33),-('Gastos das Atividades'!BC$3&gt;='Gastos Gerais'!$D$4:$D$3632),-('Gastos das Atividades'!BC$3&lt;='Gastos Gerais'!$E$4:$E$3632),-('Gastos Gerais'!$C$4:$C$3632)))</f>
        <v>0</v>
      </c>
      <c r="BD33" s="134">
        <f>IF($B33="",0,SUMPRODUCT(-('Gastos Gerais'!$F$4:$F$3632='Gastos das Atividades'!$B33),-('Gastos das Atividades'!BD$3&gt;='Gastos Gerais'!$D$4:$D$3632),-('Gastos das Atividades'!BD$3&lt;='Gastos Gerais'!$E$4:$E$3632),-('Gastos Gerais'!$C$4:$C$3632)))</f>
        <v>0</v>
      </c>
      <c r="BE33" s="134">
        <f>IF($B33="",0,SUMPRODUCT(-('Gastos Gerais'!$F$4:$F$3632='Gastos das Atividades'!$B33),-('Gastos das Atividades'!BE$3&gt;='Gastos Gerais'!$D$4:$D$3632),-('Gastos das Atividades'!BE$3&lt;='Gastos Gerais'!$E$4:$E$3632),-('Gastos Gerais'!$C$4:$C$3632)))</f>
        <v>0</v>
      </c>
      <c r="BF33" s="134">
        <f>IF($B33="",0,SUMPRODUCT(-('Gastos Gerais'!$F$4:$F$3632='Gastos das Atividades'!$B33),-('Gastos das Atividades'!BF$3&gt;='Gastos Gerais'!$D$4:$D$3632),-('Gastos das Atividades'!BF$3&lt;='Gastos Gerais'!$E$4:$E$3632),-('Gastos Gerais'!$C$4:$C$3632)))</f>
        <v>0</v>
      </c>
      <c r="BG33" s="134">
        <f>IF($B33="",0,SUMPRODUCT(-('Gastos Gerais'!$F$4:$F$3632='Gastos das Atividades'!$B33),-('Gastos das Atividades'!BG$3&gt;='Gastos Gerais'!$D$4:$D$3632),-('Gastos das Atividades'!BG$3&lt;='Gastos Gerais'!$E$4:$E$3632),-('Gastos Gerais'!$C$4:$C$3632)))</f>
        <v>0</v>
      </c>
      <c r="BH33" s="134">
        <f>IF($B33="",0,SUMPRODUCT(-('Gastos Gerais'!$F$4:$F$3632='Gastos das Atividades'!$B33),-('Gastos das Atividades'!BH$3&gt;='Gastos Gerais'!$D$4:$D$3632),-('Gastos das Atividades'!BH$3&lt;='Gastos Gerais'!$E$4:$E$3632),-('Gastos Gerais'!$C$4:$C$3632)))</f>
        <v>0</v>
      </c>
      <c r="BI33" s="134">
        <f>IF($B33="",0,SUMPRODUCT(-('Gastos Gerais'!$F$4:$F$3632='Gastos das Atividades'!$B33),-('Gastos das Atividades'!BI$3&gt;='Gastos Gerais'!$D$4:$D$3632),-('Gastos das Atividades'!BI$3&lt;='Gastos Gerais'!$E$4:$E$3632),-('Gastos Gerais'!$C$4:$C$3632)))</f>
        <v>0</v>
      </c>
      <c r="BJ33" s="134">
        <f>IF($B33="",0,SUMPRODUCT(-('Gastos Gerais'!$F$4:$F$3632='Gastos das Atividades'!$B33),-('Gastos das Atividades'!BJ$3&gt;='Gastos Gerais'!$D$4:$D$3632),-('Gastos das Atividades'!BJ$3&lt;='Gastos Gerais'!$E$4:$E$3632),-('Gastos Gerais'!$C$4:$C$3632)))</f>
        <v>0</v>
      </c>
      <c r="BK33" s="134">
        <f>IF($B33="",0,SUMPRODUCT(-('Gastos Gerais'!$F$4:$F$3632='Gastos das Atividades'!$B33),-('Gastos das Atividades'!BK$3&gt;='Gastos Gerais'!$D$4:$D$3632),-('Gastos das Atividades'!BK$3&lt;='Gastos Gerais'!$E$4:$E$3632),-('Gastos Gerais'!$C$4:$C$3632)))</f>
        <v>0</v>
      </c>
      <c r="BL33" s="134">
        <f>IF($B33="",0,SUMPRODUCT(-('Gastos Gerais'!$F$4:$F$3632='Gastos das Atividades'!$B33),-('Gastos das Atividades'!BL$3&gt;='Gastos Gerais'!$D$4:$D$3632),-('Gastos das Atividades'!BL$3&lt;='Gastos Gerais'!$E$4:$E$3632),-('Gastos Gerais'!$C$4:$C$3632)))</f>
        <v>0</v>
      </c>
      <c r="BM33" s="134">
        <f>IF($B33="",0,SUMPRODUCT(-('Gastos Gerais'!$F$4:$F$3632='Gastos das Atividades'!$B33),-('Gastos das Atividades'!BM$3&gt;='Gastos Gerais'!$D$4:$D$3632),-('Gastos das Atividades'!BM$3&lt;='Gastos Gerais'!$E$4:$E$3632),-('Gastos Gerais'!$C$4:$C$3632)))</f>
        <v>0</v>
      </c>
      <c r="BN33" s="134">
        <f>IF($B33="",0,SUMPRODUCT(-('Gastos Gerais'!$F$4:$F$3632='Gastos das Atividades'!$B33),-('Gastos das Atividades'!BN$3&gt;='Gastos Gerais'!$D$4:$D$3632),-('Gastos das Atividades'!BN$3&lt;='Gastos Gerais'!$E$4:$E$3632),-('Gastos Gerais'!$C$4:$C$3632)))</f>
        <v>0</v>
      </c>
      <c r="BO33" s="134">
        <f>IF($B33="",0,SUMPRODUCT(-('Gastos Gerais'!$F$4:$F$3632='Gastos das Atividades'!$B33),-('Gastos das Atividades'!BO$3&gt;='Gastos Gerais'!$D$4:$D$3632),-('Gastos das Atividades'!BO$3&lt;='Gastos Gerais'!$E$4:$E$3632),-('Gastos Gerais'!$C$4:$C$3632)))</f>
        <v>0</v>
      </c>
      <c r="BP33" s="134">
        <f>IF($B33="",0,SUMPRODUCT(-('Gastos Gerais'!$F$4:$F$3632='Gastos das Atividades'!$B33),-('Gastos das Atividades'!BP$3&gt;='Gastos Gerais'!$D$4:$D$3632),-('Gastos das Atividades'!BP$3&lt;='Gastos Gerais'!$E$4:$E$3632),-('Gastos Gerais'!$C$4:$C$3632)))</f>
        <v>0</v>
      </c>
      <c r="BQ33" s="134">
        <f>IF($B33="",0,SUMPRODUCT(-('Gastos Gerais'!$F$4:$F$3632='Gastos das Atividades'!$B33),-('Gastos das Atividades'!BQ$3&gt;='Gastos Gerais'!$D$4:$D$3632),-('Gastos das Atividades'!BQ$3&lt;='Gastos Gerais'!$E$4:$E$3632),-('Gastos Gerais'!$C$4:$C$3632)))</f>
        <v>0</v>
      </c>
      <c r="BR33" s="134">
        <f>IF($B33="",0,SUMPRODUCT(-('Gastos Gerais'!$F$4:$F$3632='Gastos das Atividades'!$B33),-('Gastos das Atividades'!BR$3&gt;='Gastos Gerais'!$D$4:$D$3632),-('Gastos das Atividades'!BR$3&lt;='Gastos Gerais'!$E$4:$E$3632),-('Gastos Gerais'!$C$4:$C$3632)))</f>
        <v>0</v>
      </c>
      <c r="BS33" s="134">
        <f>IF($B33="",0,SUMPRODUCT(-('Gastos Gerais'!$F$4:$F$3632='Gastos das Atividades'!$B33),-('Gastos das Atividades'!BS$3&gt;='Gastos Gerais'!$D$4:$D$3632),-('Gastos das Atividades'!BS$3&lt;='Gastos Gerais'!$E$4:$E$3632),-('Gastos Gerais'!$C$4:$C$3632)))</f>
        <v>0</v>
      </c>
      <c r="BT33" s="134">
        <f>IF($B33="",0,SUMPRODUCT(-('Gastos Gerais'!$F$4:$F$3632='Gastos das Atividades'!$B33),-('Gastos das Atividades'!BT$3&gt;='Gastos Gerais'!$D$4:$D$3632),-('Gastos das Atividades'!BT$3&lt;='Gastos Gerais'!$E$4:$E$3632),-('Gastos Gerais'!$C$4:$C$3632)))</f>
        <v>0</v>
      </c>
      <c r="BU33" s="134">
        <f>IF($B33="",0,SUMPRODUCT(-('Gastos Gerais'!$F$4:$F$3632='Gastos das Atividades'!$B33),-('Gastos das Atividades'!BU$3&gt;='Gastos Gerais'!$D$4:$D$3632),-('Gastos das Atividades'!BU$3&lt;='Gastos Gerais'!$E$4:$E$3632),-('Gastos Gerais'!$C$4:$C$3632)))</f>
        <v>0</v>
      </c>
      <c r="BV33" s="134">
        <f>IF($B33="",0,SUMPRODUCT(-('Gastos Gerais'!$F$4:$F$3632='Gastos das Atividades'!$B33),-('Gastos das Atividades'!BV$3&gt;='Gastos Gerais'!$D$4:$D$3632),-('Gastos das Atividades'!BV$3&lt;='Gastos Gerais'!$E$4:$E$3632),-('Gastos Gerais'!$C$4:$C$3632)))</f>
        <v>0</v>
      </c>
      <c r="BW33" s="134">
        <f>IF($B33="",0,SUMPRODUCT(-('Gastos Gerais'!$F$4:$F$3632='Gastos das Atividades'!$B33),-('Gastos das Atividades'!BW$3&gt;='Gastos Gerais'!$D$4:$D$3632),-('Gastos das Atividades'!BW$3&lt;='Gastos Gerais'!$E$4:$E$3632),-('Gastos Gerais'!$C$4:$C$3632)))</f>
        <v>0</v>
      </c>
    </row>
    <row r="34" spans="1:75" ht="23.25" customHeight="1">
      <c r="A34" s="140"/>
      <c r="B34" s="141" t="s">
        <v>60</v>
      </c>
      <c r="C34" s="142">
        <f t="shared" ref="C34:N34" si="9">SUM(C4:C33)</f>
        <v>0</v>
      </c>
      <c r="D34" s="142">
        <f t="shared" si="9"/>
        <v>1132270.8203333297</v>
      </c>
      <c r="E34" s="143">
        <f t="shared" si="9"/>
        <v>21071691.973999966</v>
      </c>
      <c r="F34" s="143">
        <f t="shared" si="9"/>
        <v>25851291.759999961</v>
      </c>
      <c r="G34" s="143">
        <f t="shared" si="9"/>
        <v>24434371.869999956</v>
      </c>
      <c r="H34" s="143">
        <f t="shared" si="9"/>
        <v>26311109.609999962</v>
      </c>
      <c r="I34" s="144">
        <f t="shared" si="9"/>
        <v>123690626.70933314</v>
      </c>
      <c r="J34" s="145">
        <f t="shared" si="9"/>
        <v>9.1540551653449907E-3</v>
      </c>
      <c r="K34" s="145">
        <f t="shared" si="9"/>
        <v>0.17035803386716919</v>
      </c>
      <c r="L34" s="145">
        <f t="shared" si="9"/>
        <v>0.20899960205351067</v>
      </c>
      <c r="M34" s="145">
        <f t="shared" si="9"/>
        <v>0.19754424825916292</v>
      </c>
      <c r="N34" s="145">
        <f t="shared" si="9"/>
        <v>0.21271708544116091</v>
      </c>
      <c r="O34" s="146">
        <f>IF($I$34=0,0,I34/$I$34)</f>
        <v>1</v>
      </c>
      <c r="P34" s="147">
        <f t="shared" ref="P34:AU34" si="10">SUBTOTAL(109,P4:P33)</f>
        <v>1132270.8203333297</v>
      </c>
      <c r="Q34" s="147">
        <f t="shared" si="10"/>
        <v>2026247.6203333305</v>
      </c>
      <c r="R34" s="147">
        <f t="shared" si="10"/>
        <v>2058466.3003333304</v>
      </c>
      <c r="S34" s="147">
        <f t="shared" si="10"/>
        <v>1907608.3003333304</v>
      </c>
      <c r="T34" s="147">
        <f t="shared" si="10"/>
        <v>1628714.4303333301</v>
      </c>
      <c r="U34" s="147">
        <f t="shared" si="10"/>
        <v>1658078.8603333302</v>
      </c>
      <c r="V34" s="147">
        <f t="shared" si="10"/>
        <v>1647700.8603333302</v>
      </c>
      <c r="W34" s="147">
        <f t="shared" si="10"/>
        <v>1620436.2603333301</v>
      </c>
      <c r="X34" s="147">
        <f t="shared" si="10"/>
        <v>1616093.0603333302</v>
      </c>
      <c r="Y34" s="147">
        <f t="shared" si="10"/>
        <v>1616093.0603333302</v>
      </c>
      <c r="Z34" s="147">
        <f t="shared" si="10"/>
        <v>1763860.6703333301</v>
      </c>
      <c r="AA34" s="147">
        <f t="shared" si="10"/>
        <v>1664124.1303333302</v>
      </c>
      <c r="AB34" s="147">
        <f t="shared" si="10"/>
        <v>1864268.4203333303</v>
      </c>
      <c r="AC34" s="147">
        <f t="shared" si="10"/>
        <v>1973372.7349999971</v>
      </c>
      <c r="AD34" s="147">
        <f t="shared" si="10"/>
        <v>2132072.1549999965</v>
      </c>
      <c r="AE34" s="147">
        <f t="shared" si="10"/>
        <v>2060078.8649999967</v>
      </c>
      <c r="AF34" s="147">
        <f t="shared" si="10"/>
        <v>2973340.9049999965</v>
      </c>
      <c r="AG34" s="147">
        <f t="shared" si="10"/>
        <v>2103879.7562499964</v>
      </c>
      <c r="AH34" s="147">
        <f t="shared" si="10"/>
        <v>2102830.4762499966</v>
      </c>
      <c r="AI34" s="147">
        <f t="shared" si="10"/>
        <v>2088370.0362499969</v>
      </c>
      <c r="AJ34" s="147">
        <f t="shared" si="10"/>
        <v>2081335.906249997</v>
      </c>
      <c r="AK34" s="147">
        <f t="shared" si="10"/>
        <v>2080489.906249997</v>
      </c>
      <c r="AL34" s="147">
        <f t="shared" si="10"/>
        <v>2079643.906249997</v>
      </c>
      <c r="AM34" s="147">
        <f t="shared" si="10"/>
        <v>2087220.5262499966</v>
      </c>
      <c r="AN34" s="147">
        <f t="shared" si="10"/>
        <v>2088656.5862499967</v>
      </c>
      <c r="AO34" s="147">
        <f t="shared" si="10"/>
        <v>2153857.7249999964</v>
      </c>
      <c r="AP34" s="147">
        <f t="shared" si="10"/>
        <v>2035782.4149999968</v>
      </c>
      <c r="AQ34" s="147">
        <f t="shared" si="10"/>
        <v>2075499.3349999967</v>
      </c>
      <c r="AR34" s="147">
        <f t="shared" si="10"/>
        <v>2055843.2049999966</v>
      </c>
      <c r="AS34" s="147">
        <f t="shared" si="10"/>
        <v>2027084.5249999969</v>
      </c>
      <c r="AT34" s="147">
        <f t="shared" si="10"/>
        <v>2027306.5249999969</v>
      </c>
      <c r="AU34" s="147">
        <f t="shared" si="10"/>
        <v>2012824.454999997</v>
      </c>
      <c r="AV34" s="147">
        <f t="shared" ref="AV34:BW34" si="11">SUBTOTAL(109,AV4:AV33)</f>
        <v>2005414.5749999967</v>
      </c>
      <c r="AW34" s="147">
        <f t="shared" si="11"/>
        <v>2005764.5749999967</v>
      </c>
      <c r="AX34" s="147">
        <f t="shared" si="11"/>
        <v>2005764.5749999967</v>
      </c>
      <c r="AY34" s="147">
        <f t="shared" si="11"/>
        <v>2014437.1349999967</v>
      </c>
      <c r="AZ34" s="147">
        <f t="shared" si="11"/>
        <v>2014792.8249999967</v>
      </c>
      <c r="BA34" s="147">
        <f t="shared" si="11"/>
        <v>2243205.7949999967</v>
      </c>
      <c r="BB34" s="147">
        <f t="shared" si="11"/>
        <v>2329125.2349999966</v>
      </c>
      <c r="BC34" s="147">
        <f t="shared" si="11"/>
        <v>2227780.1249999967</v>
      </c>
      <c r="BD34" s="147">
        <f t="shared" si="11"/>
        <v>2207127.5549999974</v>
      </c>
      <c r="BE34" s="147">
        <f t="shared" si="11"/>
        <v>2176893.4149999968</v>
      </c>
      <c r="BF34" s="147">
        <f t="shared" si="11"/>
        <v>2177115.4149999968</v>
      </c>
      <c r="BG34" s="147">
        <f t="shared" si="11"/>
        <v>2162610.4449999966</v>
      </c>
      <c r="BH34" s="147">
        <f t="shared" si="11"/>
        <v>2154802.864999997</v>
      </c>
      <c r="BI34" s="147">
        <f t="shared" si="11"/>
        <v>2154802.864999997</v>
      </c>
      <c r="BJ34" s="147">
        <f t="shared" si="11"/>
        <v>2154802.864999997</v>
      </c>
      <c r="BK34" s="147">
        <f t="shared" si="11"/>
        <v>2161233.2849999969</v>
      </c>
      <c r="BL34" s="147">
        <f t="shared" si="11"/>
        <v>2161609.7449999969</v>
      </c>
      <c r="BM34" s="147">
        <f t="shared" si="11"/>
        <v>2369532.1149999965</v>
      </c>
      <c r="BN34" s="147">
        <f t="shared" si="11"/>
        <v>2250745.0849999972</v>
      </c>
      <c r="BO34" s="147">
        <f t="shared" si="11"/>
        <v>2307677.904999997</v>
      </c>
      <c r="BP34" s="147">
        <f t="shared" si="11"/>
        <v>2285973.6349999974</v>
      </c>
      <c r="BQ34" s="147">
        <f t="shared" si="11"/>
        <v>2254178.3649999974</v>
      </c>
      <c r="BR34" s="147">
        <f t="shared" si="11"/>
        <v>2254400.3649999974</v>
      </c>
      <c r="BS34" s="147">
        <f t="shared" si="11"/>
        <v>2239861.1549999975</v>
      </c>
      <c r="BT34" s="147">
        <f t="shared" si="11"/>
        <v>2232632.654999997</v>
      </c>
      <c r="BU34" s="147">
        <f t="shared" si="11"/>
        <v>2232632.654999997</v>
      </c>
      <c r="BV34" s="147">
        <f t="shared" si="11"/>
        <v>2233031.0949999974</v>
      </c>
      <c r="BW34" s="147">
        <f t="shared" si="11"/>
        <v>2229225.6449999972</v>
      </c>
    </row>
    <row r="35" spans="1:75">
      <c r="A35" s="43"/>
      <c r="B35" s="148"/>
      <c r="P35" s="38"/>
      <c r="Q35" s="38"/>
      <c r="R35" s="38"/>
    </row>
    <row r="37" spans="1:75" ht="15">
      <c r="B37" s="390" t="s">
        <v>121</v>
      </c>
      <c r="C37" s="390"/>
      <c r="D37" s="38"/>
    </row>
    <row r="38" spans="1:75">
      <c r="B38" s="149" t="s">
        <v>122</v>
      </c>
      <c r="C38" s="150" t="s">
        <v>123</v>
      </c>
      <c r="D38" s="150" t="s">
        <v>124</v>
      </c>
    </row>
    <row r="39" spans="1:75">
      <c r="B39" s="151" t="s">
        <v>101</v>
      </c>
      <c r="C39" s="152">
        <f>IFERROR(SUMIF('Gastos com Pessoal'!$AR$7:$AR$506,'Gastos das Atividades'!$B$4,'Gastos com Pessoal'!$AN$7:$AN$506)/'Gastos com Pessoal'!$AN$507,0)</f>
        <v>2.2692167227547206E-2</v>
      </c>
      <c r="D39" s="153">
        <f ca="1">Sintético!$BK$23*C39</f>
        <v>4666308.3967437968</v>
      </c>
    </row>
    <row r="40" spans="1:75">
      <c r="B40" s="154" t="s">
        <v>125</v>
      </c>
      <c r="C40" s="155">
        <f>IF(C39=0,0,1-C39)</f>
        <v>0.97730783277245281</v>
      </c>
      <c r="D40" s="156">
        <f ca="1">Sintético!$BK$23*C40</f>
        <v>200968893.8275339</v>
      </c>
    </row>
    <row r="41" spans="1:75">
      <c r="B41" s="38"/>
      <c r="C41" s="38"/>
      <c r="D41" s="38"/>
    </row>
    <row r="42" spans="1:75" ht="15">
      <c r="B42" s="390" t="s">
        <v>126</v>
      </c>
      <c r="C42" s="390"/>
      <c r="D42" s="38"/>
    </row>
    <row r="43" spans="1:75">
      <c r="B43" s="149" t="s">
        <v>122</v>
      </c>
      <c r="C43" s="150" t="s">
        <v>124</v>
      </c>
      <c r="D43" s="38"/>
    </row>
    <row r="44" spans="1:75">
      <c r="B44" s="151" t="s">
        <v>101</v>
      </c>
      <c r="C44" s="153">
        <f ca="1">D39+I34</f>
        <v>128356935.10607693</v>
      </c>
      <c r="D44" s="38"/>
    </row>
    <row r="45" spans="1:75">
      <c r="B45" s="154" t="s">
        <v>125</v>
      </c>
      <c r="C45" s="156">
        <f ca="1">D40+SUM(I5:I33)</f>
        <v>312357489.15753388</v>
      </c>
      <c r="D45" s="38"/>
    </row>
    <row r="48" spans="1:75" hidden="1">
      <c r="B48" s="157" t="str">
        <f>B4</f>
        <v>Área Meio</v>
      </c>
    </row>
    <row r="49" spans="2:2" hidden="1">
      <c r="B49" s="120" t="s">
        <v>125</v>
      </c>
    </row>
    <row r="50" spans="2:2" hidden="1">
      <c r="B50" s="157" t="str">
        <f t="shared" ref="B50:B78" si="12">B5</f>
        <v>Caminheiros de Jesus</v>
      </c>
    </row>
    <row r="51" spans="2:2" hidden="1">
      <c r="B51" s="157" t="str">
        <f t="shared" si="12"/>
        <v>Betânia</v>
      </c>
    </row>
    <row r="52" spans="2:2" hidden="1">
      <c r="B52" s="157" t="str">
        <f t="shared" si="12"/>
        <v>Muriaé</v>
      </c>
    </row>
    <row r="53" spans="2:2" hidden="1">
      <c r="B53" s="157" t="str">
        <f t="shared" si="12"/>
        <v>Governador Valadares</v>
      </c>
    </row>
    <row r="54" spans="2:2" hidden="1">
      <c r="B54" s="157" t="str">
        <f t="shared" si="12"/>
        <v>Ipatinga</v>
      </c>
    </row>
    <row r="55" spans="2:2" hidden="1">
      <c r="B55" s="157" t="str">
        <f t="shared" si="12"/>
        <v>Teófilo Otoni</v>
      </c>
    </row>
    <row r="56" spans="2:2" hidden="1">
      <c r="B56" s="157" t="str">
        <f t="shared" si="12"/>
        <v>Santa Amélia</v>
      </c>
    </row>
    <row r="57" spans="2:2" hidden="1">
      <c r="B57" s="157" t="str">
        <f t="shared" si="12"/>
        <v>Ipiranga</v>
      </c>
    </row>
    <row r="58" spans="2:2" hidden="1">
      <c r="B58" s="157" t="str">
        <f t="shared" si="12"/>
        <v>Letícia</v>
      </c>
    </row>
    <row r="59" spans="2:2" hidden="1">
      <c r="B59" s="157" t="str">
        <f t="shared" si="12"/>
        <v>São Luís</v>
      </c>
    </row>
    <row r="60" spans="2:2" hidden="1">
      <c r="B60" s="157" t="str">
        <f t="shared" si="12"/>
        <v>Venda Nova</v>
      </c>
    </row>
    <row r="61" spans="2:2" hidden="1">
      <c r="B61" s="157" t="str">
        <f t="shared" si="12"/>
        <v>Contagem</v>
      </c>
    </row>
    <row r="62" spans="2:2" hidden="1">
      <c r="B62" s="157" t="str">
        <f t="shared" si="12"/>
        <v>Ribeirão das Neves</v>
      </c>
    </row>
    <row r="63" spans="2:2" hidden="1">
      <c r="B63" s="157" t="str">
        <f t="shared" si="12"/>
        <v>Sete Lagoas</v>
      </c>
    </row>
    <row r="64" spans="2:2" hidden="1">
      <c r="B64" s="157" t="str">
        <f t="shared" si="12"/>
        <v>Feminina Uberlândia</v>
      </c>
    </row>
    <row r="65" spans="2:2" hidden="1">
      <c r="B65" s="157" t="str">
        <f t="shared" si="12"/>
        <v>Uberlândia</v>
      </c>
    </row>
    <row r="66" spans="2:2" hidden="1">
      <c r="B66" s="157" t="str">
        <f t="shared" si="12"/>
        <v>Patrocínio</v>
      </c>
    </row>
    <row r="67" spans="2:2" hidden="1">
      <c r="B67" s="157" t="str">
        <f t="shared" si="12"/>
        <v>Uberaba</v>
      </c>
    </row>
    <row r="68" spans="2:2" hidden="1">
      <c r="B68" s="157" t="str">
        <f t="shared" si="12"/>
        <v>Patos de Minas</v>
      </c>
    </row>
    <row r="69" spans="2:2" hidden="1">
      <c r="B69" s="157">
        <f t="shared" si="12"/>
        <v>0</v>
      </c>
    </row>
    <row r="70" spans="2:2" hidden="1">
      <c r="B70" s="157">
        <f t="shared" si="12"/>
        <v>0</v>
      </c>
    </row>
    <row r="71" spans="2:2" hidden="1">
      <c r="B71" s="157">
        <f t="shared" si="12"/>
        <v>0</v>
      </c>
    </row>
    <row r="72" spans="2:2" hidden="1">
      <c r="B72" s="157">
        <f t="shared" si="12"/>
        <v>0</v>
      </c>
    </row>
    <row r="73" spans="2:2" hidden="1">
      <c r="B73" s="157">
        <f t="shared" si="12"/>
        <v>0</v>
      </c>
    </row>
    <row r="74" spans="2:2" hidden="1">
      <c r="B74" s="157">
        <f t="shared" si="12"/>
        <v>0</v>
      </c>
    </row>
    <row r="75" spans="2:2" hidden="1">
      <c r="B75" s="157">
        <f t="shared" si="12"/>
        <v>0</v>
      </c>
    </row>
    <row r="76" spans="2:2" hidden="1">
      <c r="B76" s="157">
        <f t="shared" si="12"/>
        <v>0</v>
      </c>
    </row>
    <row r="77" spans="2:2" hidden="1">
      <c r="B77" s="157">
        <f t="shared" si="12"/>
        <v>0</v>
      </c>
    </row>
    <row r="78" spans="2:2" hidden="1">
      <c r="B78" s="157">
        <f t="shared" si="12"/>
        <v>0</v>
      </c>
    </row>
    <row r="79" spans="2:2">
      <c r="B79" s="157"/>
    </row>
    <row r="80" spans="2:2">
      <c r="B80" s="157"/>
    </row>
    <row r="81" spans="2:2">
      <c r="B81" s="157"/>
    </row>
    <row r="82" spans="2:2">
      <c r="B82" s="157"/>
    </row>
    <row r="83" spans="2:2">
      <c r="B83" s="157"/>
    </row>
    <row r="84" spans="2:2">
      <c r="B84" s="157"/>
    </row>
    <row r="85" spans="2:2">
      <c r="B85" s="157"/>
    </row>
    <row r="86" spans="2:2">
      <c r="B86" s="157"/>
    </row>
    <row r="87" spans="2:2">
      <c r="B87" s="157"/>
    </row>
    <row r="88" spans="2:2">
      <c r="B88" s="157"/>
    </row>
    <row r="89" spans="2:2">
      <c r="B89" s="157"/>
    </row>
    <row r="90" spans="2:2">
      <c r="B90" s="157"/>
    </row>
    <row r="91" spans="2:2">
      <c r="B91" s="157"/>
    </row>
    <row r="92" spans="2:2">
      <c r="B92" s="157"/>
    </row>
    <row r="93" spans="2:2">
      <c r="B93" s="157"/>
    </row>
    <row r="94" spans="2:2">
      <c r="B94" s="157"/>
    </row>
    <row r="95" spans="2:2">
      <c r="B95" s="157"/>
    </row>
    <row r="96" spans="2:2">
      <c r="B96" s="157"/>
    </row>
    <row r="97" spans="2:2">
      <c r="B97" s="157"/>
    </row>
    <row r="98" spans="2:2">
      <c r="B98" s="157"/>
    </row>
    <row r="99" spans="2:2">
      <c r="B99" s="157"/>
    </row>
    <row r="100" spans="2:2">
      <c r="B100" s="157"/>
    </row>
    <row r="101" spans="2:2">
      <c r="B101" s="157"/>
    </row>
    <row r="102" spans="2:2">
      <c r="B102" s="157"/>
    </row>
    <row r="103" spans="2:2">
      <c r="B103" s="157"/>
    </row>
    <row r="104" spans="2:2">
      <c r="B104" s="157"/>
    </row>
    <row r="105" spans="2:2">
      <c r="B105" s="157"/>
    </row>
    <row r="106" spans="2:2">
      <c r="B106" s="157"/>
    </row>
    <row r="107" spans="2:2">
      <c r="B107" s="157"/>
    </row>
    <row r="108" spans="2:2">
      <c r="B108" s="157"/>
    </row>
    <row r="109" spans="2:2">
      <c r="B109" s="157"/>
    </row>
    <row r="110" spans="2:2">
      <c r="B110" s="157"/>
    </row>
    <row r="111" spans="2:2">
      <c r="B111" s="157"/>
    </row>
    <row r="112" spans="2:2">
      <c r="B112" s="157"/>
    </row>
    <row r="113" spans="2:2">
      <c r="B113" s="157"/>
    </row>
    <row r="114" spans="2:2">
      <c r="B114" s="157"/>
    </row>
    <row r="115" spans="2:2">
      <c r="B115" s="157"/>
    </row>
    <row r="116" spans="2:2">
      <c r="B116" s="157"/>
    </row>
    <row r="117" spans="2:2">
      <c r="B117" s="157"/>
    </row>
    <row r="118" spans="2:2">
      <c r="B118" s="157"/>
    </row>
    <row r="119" spans="2:2">
      <c r="B119" s="157"/>
    </row>
    <row r="120" spans="2:2">
      <c r="B120" s="157"/>
    </row>
    <row r="121" spans="2:2">
      <c r="B121" s="157"/>
    </row>
    <row r="122" spans="2:2">
      <c r="B122" s="157"/>
    </row>
    <row r="123" spans="2:2">
      <c r="B123" s="157"/>
    </row>
    <row r="124" spans="2:2">
      <c r="B124" s="157"/>
    </row>
    <row r="125" spans="2:2">
      <c r="B125" s="157"/>
    </row>
    <row r="126" spans="2:2">
      <c r="B126" s="157"/>
    </row>
  </sheetData>
  <sheetProtection algorithmName="SHA-512" hashValue="sfZ+cvFvnq3CBad2vxVLaL/pPsEeWTMnSR2VFFYwnMfZRhhJLtN7ge5ERSl1aiMeppgnX2nfRxsZ6toL5nG7Lw==" saltValue="pwsxWA/myLv1N1S9cA0ChQ==" spinCount="100000" sheet="1" objects="1" scenarios="1" formatRows="0" insertRows="0" deleteColumns="0" deleteRows="0"/>
  <mergeCells count="4">
    <mergeCell ref="A1:O1"/>
    <mergeCell ref="A2:O2"/>
    <mergeCell ref="B37:C37"/>
    <mergeCell ref="B42:C42"/>
  </mergeCells>
  <pageMargins left="0.196527777777778" right="0.196527777777778" top="0.59027777777777801" bottom="0.59027777777777801" header="0.51180555555555496" footer="0"/>
  <pageSetup paperSize="9" scale="68" firstPageNumber="0" fitToHeight="0" orientation="landscape" horizontalDpi="300" verticalDpi="300" r:id="rId1"/>
  <headerFooter>
    <oddFooter>&amp;CPágina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9"/>
  <sheetViews>
    <sheetView showGridLines="0" zoomScaleNormal="100" workbookViewId="0">
      <pane xSplit="2" ySplit="3" topLeftCell="BH146" activePane="bottomRight" state="frozen"/>
      <selection pane="topRight" activeCell="C1" sqref="C1"/>
      <selection pane="bottomLeft" activeCell="A4" sqref="A4"/>
      <selection pane="bottomRight" activeCell="BK149" sqref="BK149"/>
    </sheetView>
  </sheetViews>
  <sheetFormatPr defaultColWidth="9.140625" defaultRowHeight="12.75"/>
  <cols>
    <col min="1" max="1" width="6" style="158" customWidth="1"/>
    <col min="2" max="2" width="26.28515625" style="158" customWidth="1"/>
    <col min="3" max="4" width="14.42578125" style="158" customWidth="1"/>
    <col min="5" max="5" width="12.5703125" style="158" customWidth="1"/>
    <col min="6" max="62" width="13.85546875" style="158" customWidth="1"/>
    <col min="63" max="63" width="15.5703125" style="158" customWidth="1"/>
    <col min="64" max="64" width="10.42578125" style="159" customWidth="1"/>
    <col min="65" max="65" width="9.140625" style="158"/>
    <col min="66" max="66" width="16.42578125" style="158" customWidth="1"/>
    <col min="67" max="1025" width="9.140625" style="158"/>
  </cols>
  <sheetData>
    <row r="1" spans="1:69" s="160" customFormat="1" ht="42" customHeight="1">
      <c r="B1" s="161"/>
      <c r="C1" s="384" t="str">
        <f>Capa!A1</f>
        <v>Memória de Cálculo
Contrato de Gestão nº 10/2023 celebrado entre a Secretaria de Estado de Justiça e Segurança Pública - SEJUSP e  o Pólo de Evolução de Medidas Socioeducativas</v>
      </c>
      <c r="D1" s="384"/>
      <c r="E1" s="384"/>
      <c r="F1" s="384"/>
      <c r="G1" s="384"/>
      <c r="H1" s="384"/>
      <c r="I1" s="384"/>
      <c r="J1" s="384"/>
      <c r="K1" s="384"/>
      <c r="L1" s="384"/>
      <c r="M1" s="384"/>
      <c r="N1" s="384"/>
      <c r="O1" s="384"/>
      <c r="P1" s="384"/>
      <c r="Q1" s="384"/>
      <c r="R1" s="384"/>
      <c r="S1" s="384"/>
      <c r="T1" s="384"/>
      <c r="U1" s="384"/>
      <c r="V1" s="384"/>
      <c r="W1" s="384"/>
      <c r="X1" s="384"/>
      <c r="Y1" s="384"/>
      <c r="Z1" s="384"/>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3"/>
      <c r="BN1" s="163"/>
      <c r="BO1" s="163"/>
      <c r="BP1" s="163"/>
      <c r="BQ1" s="163"/>
    </row>
    <row r="2" spans="1:69" s="160" customFormat="1" ht="21" customHeight="1" thickBot="1">
      <c r="A2" s="56"/>
      <c r="B2" s="164"/>
      <c r="C2" s="385" t="s">
        <v>127</v>
      </c>
      <c r="D2" s="385"/>
      <c r="E2" s="385"/>
      <c r="F2" s="385"/>
      <c r="G2" s="385"/>
      <c r="H2" s="385"/>
      <c r="I2" s="385"/>
      <c r="J2" s="385"/>
      <c r="K2" s="385"/>
      <c r="L2" s="385"/>
      <c r="M2" s="385"/>
      <c r="N2" s="385"/>
      <c r="O2" s="385" t="s">
        <v>127</v>
      </c>
      <c r="P2" s="385"/>
      <c r="Q2" s="385"/>
      <c r="R2" s="385"/>
      <c r="S2" s="385"/>
      <c r="T2" s="385"/>
      <c r="U2" s="385"/>
      <c r="V2" s="385"/>
      <c r="W2" s="385"/>
      <c r="X2" s="385"/>
      <c r="Y2" s="385"/>
      <c r="Z2" s="385"/>
      <c r="AA2" s="385" t="s">
        <v>127</v>
      </c>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164"/>
      <c r="BL2" s="164"/>
      <c r="BM2" s="163"/>
      <c r="BN2" s="163"/>
      <c r="BO2" s="163"/>
      <c r="BP2" s="163"/>
      <c r="BQ2" s="163"/>
    </row>
    <row r="3" spans="1:69" s="160" customFormat="1" ht="24" customHeight="1" thickBot="1">
      <c r="A3" s="165"/>
      <c r="B3" s="165"/>
      <c r="C3" s="166">
        <f>Capa!A36</f>
        <v>45261</v>
      </c>
      <c r="D3" s="166">
        <f t="shared" ref="D3:AI3" si="0">EDATE(C3,1)</f>
        <v>45292</v>
      </c>
      <c r="E3" s="166">
        <f t="shared" si="0"/>
        <v>45323</v>
      </c>
      <c r="F3" s="166">
        <f t="shared" si="0"/>
        <v>45352</v>
      </c>
      <c r="G3" s="166">
        <f t="shared" si="0"/>
        <v>45383</v>
      </c>
      <c r="H3" s="166">
        <f t="shared" si="0"/>
        <v>45413</v>
      </c>
      <c r="I3" s="166">
        <f t="shared" si="0"/>
        <v>45444</v>
      </c>
      <c r="J3" s="166">
        <f t="shared" si="0"/>
        <v>45474</v>
      </c>
      <c r="K3" s="166">
        <f t="shared" si="0"/>
        <v>45505</v>
      </c>
      <c r="L3" s="166">
        <f t="shared" si="0"/>
        <v>45536</v>
      </c>
      <c r="M3" s="166">
        <f t="shared" si="0"/>
        <v>45566</v>
      </c>
      <c r="N3" s="166">
        <f t="shared" si="0"/>
        <v>45597</v>
      </c>
      <c r="O3" s="166">
        <f t="shared" si="0"/>
        <v>45627</v>
      </c>
      <c r="P3" s="166">
        <f t="shared" si="0"/>
        <v>45658</v>
      </c>
      <c r="Q3" s="166">
        <f t="shared" si="0"/>
        <v>45689</v>
      </c>
      <c r="R3" s="166">
        <f t="shared" si="0"/>
        <v>45717</v>
      </c>
      <c r="S3" s="166">
        <f t="shared" si="0"/>
        <v>45748</v>
      </c>
      <c r="T3" s="166">
        <f t="shared" si="0"/>
        <v>45778</v>
      </c>
      <c r="U3" s="166">
        <f t="shared" si="0"/>
        <v>45809</v>
      </c>
      <c r="V3" s="166">
        <f t="shared" si="0"/>
        <v>45839</v>
      </c>
      <c r="W3" s="166">
        <f t="shared" si="0"/>
        <v>45870</v>
      </c>
      <c r="X3" s="166">
        <f t="shared" si="0"/>
        <v>45901</v>
      </c>
      <c r="Y3" s="166">
        <f t="shared" si="0"/>
        <v>45931</v>
      </c>
      <c r="Z3" s="166">
        <f t="shared" si="0"/>
        <v>45962</v>
      </c>
      <c r="AA3" s="166">
        <f t="shared" si="0"/>
        <v>45992</v>
      </c>
      <c r="AB3" s="166">
        <f t="shared" si="0"/>
        <v>46023</v>
      </c>
      <c r="AC3" s="166">
        <f t="shared" si="0"/>
        <v>46054</v>
      </c>
      <c r="AD3" s="166">
        <f t="shared" si="0"/>
        <v>46082</v>
      </c>
      <c r="AE3" s="166">
        <f t="shared" si="0"/>
        <v>46113</v>
      </c>
      <c r="AF3" s="166">
        <f t="shared" si="0"/>
        <v>46143</v>
      </c>
      <c r="AG3" s="166">
        <f t="shared" si="0"/>
        <v>46174</v>
      </c>
      <c r="AH3" s="166">
        <f t="shared" si="0"/>
        <v>46204</v>
      </c>
      <c r="AI3" s="166">
        <f t="shared" si="0"/>
        <v>46235</v>
      </c>
      <c r="AJ3" s="166">
        <f t="shared" ref="AJ3:BJ3" si="1">EDATE(AI3,1)</f>
        <v>46266</v>
      </c>
      <c r="AK3" s="166">
        <f t="shared" si="1"/>
        <v>46296</v>
      </c>
      <c r="AL3" s="166">
        <f t="shared" si="1"/>
        <v>46327</v>
      </c>
      <c r="AM3" s="166">
        <f t="shared" si="1"/>
        <v>46357</v>
      </c>
      <c r="AN3" s="166">
        <f t="shared" si="1"/>
        <v>46388</v>
      </c>
      <c r="AO3" s="166">
        <f t="shared" si="1"/>
        <v>46419</v>
      </c>
      <c r="AP3" s="166">
        <f t="shared" si="1"/>
        <v>46447</v>
      </c>
      <c r="AQ3" s="166">
        <f t="shared" si="1"/>
        <v>46478</v>
      </c>
      <c r="AR3" s="166">
        <f t="shared" si="1"/>
        <v>46508</v>
      </c>
      <c r="AS3" s="166">
        <f t="shared" si="1"/>
        <v>46539</v>
      </c>
      <c r="AT3" s="166">
        <f t="shared" si="1"/>
        <v>46569</v>
      </c>
      <c r="AU3" s="166">
        <f t="shared" si="1"/>
        <v>46600</v>
      </c>
      <c r="AV3" s="166">
        <f t="shared" si="1"/>
        <v>46631</v>
      </c>
      <c r="AW3" s="166">
        <f t="shared" si="1"/>
        <v>46661</v>
      </c>
      <c r="AX3" s="166">
        <f t="shared" si="1"/>
        <v>46692</v>
      </c>
      <c r="AY3" s="166">
        <f t="shared" si="1"/>
        <v>46722</v>
      </c>
      <c r="AZ3" s="166">
        <f t="shared" si="1"/>
        <v>46753</v>
      </c>
      <c r="BA3" s="166">
        <f t="shared" si="1"/>
        <v>46784</v>
      </c>
      <c r="BB3" s="166">
        <f t="shared" si="1"/>
        <v>46813</v>
      </c>
      <c r="BC3" s="166">
        <f t="shared" si="1"/>
        <v>46844</v>
      </c>
      <c r="BD3" s="166">
        <f t="shared" si="1"/>
        <v>46874</v>
      </c>
      <c r="BE3" s="166">
        <f t="shared" si="1"/>
        <v>46905</v>
      </c>
      <c r="BF3" s="166">
        <f t="shared" si="1"/>
        <v>46935</v>
      </c>
      <c r="BG3" s="166">
        <f t="shared" si="1"/>
        <v>46966</v>
      </c>
      <c r="BH3" s="166">
        <f t="shared" si="1"/>
        <v>46997</v>
      </c>
      <c r="BI3" s="166">
        <f t="shared" si="1"/>
        <v>47027</v>
      </c>
      <c r="BJ3" s="166">
        <f t="shared" si="1"/>
        <v>47058</v>
      </c>
      <c r="BK3" s="167" t="s">
        <v>60</v>
      </c>
      <c r="BL3" s="168" t="s">
        <v>61</v>
      </c>
      <c r="BM3" s="163"/>
      <c r="BN3" s="166">
        <f>Capa!A5</f>
        <v>45261</v>
      </c>
      <c r="BO3" s="163"/>
      <c r="BP3" s="163"/>
      <c r="BQ3" s="163"/>
    </row>
    <row r="4" spans="1:69" s="160" customFormat="1" ht="23.25" customHeight="1" thickBot="1">
      <c r="A4" s="169" t="s">
        <v>62</v>
      </c>
      <c r="B4" s="169" t="s">
        <v>63</v>
      </c>
      <c r="C4" s="170">
        <v>0</v>
      </c>
      <c r="D4" s="170">
        <v>0</v>
      </c>
      <c r="E4" s="170">
        <v>0</v>
      </c>
      <c r="F4" s="170">
        <v>0</v>
      </c>
      <c r="G4" s="170">
        <v>0</v>
      </c>
      <c r="H4" s="170">
        <v>0</v>
      </c>
      <c r="I4" s="170">
        <v>0</v>
      </c>
      <c r="J4" s="170">
        <v>0</v>
      </c>
      <c r="K4" s="170">
        <v>0</v>
      </c>
      <c r="L4" s="170">
        <v>0</v>
      </c>
      <c r="M4" s="170">
        <v>0</v>
      </c>
      <c r="N4" s="170">
        <v>0</v>
      </c>
      <c r="O4" s="170">
        <v>0</v>
      </c>
      <c r="P4" s="170">
        <v>0</v>
      </c>
      <c r="Q4" s="170">
        <v>0</v>
      </c>
      <c r="R4" s="170">
        <v>0</v>
      </c>
      <c r="S4" s="170">
        <v>0</v>
      </c>
      <c r="T4" s="170">
        <v>0</v>
      </c>
      <c r="U4" s="170">
        <v>0</v>
      </c>
      <c r="V4" s="170">
        <v>0</v>
      </c>
      <c r="W4" s="170">
        <v>0</v>
      </c>
      <c r="X4" s="170">
        <v>0</v>
      </c>
      <c r="Y4" s="170">
        <v>0</v>
      </c>
      <c r="Z4" s="170">
        <v>0</v>
      </c>
      <c r="AA4" s="170">
        <v>0</v>
      </c>
      <c r="AB4" s="170">
        <v>0</v>
      </c>
      <c r="AC4" s="170">
        <v>0</v>
      </c>
      <c r="AD4" s="170">
        <v>0</v>
      </c>
      <c r="AE4" s="170">
        <v>0</v>
      </c>
      <c r="AF4" s="170">
        <v>0</v>
      </c>
      <c r="AG4" s="170">
        <v>0</v>
      </c>
      <c r="AH4" s="170">
        <v>0</v>
      </c>
      <c r="AI4" s="170">
        <v>0</v>
      </c>
      <c r="AJ4" s="170">
        <v>0</v>
      </c>
      <c r="AK4" s="170">
        <v>0</v>
      </c>
      <c r="AL4" s="170">
        <v>0</v>
      </c>
      <c r="AM4" s="170">
        <v>0</v>
      </c>
      <c r="AN4" s="170">
        <v>0</v>
      </c>
      <c r="AO4" s="170">
        <v>0</v>
      </c>
      <c r="AP4" s="170">
        <v>0</v>
      </c>
      <c r="AQ4" s="170">
        <v>0</v>
      </c>
      <c r="AR4" s="170">
        <v>0</v>
      </c>
      <c r="AS4" s="170">
        <v>0</v>
      </c>
      <c r="AT4" s="170">
        <v>0</v>
      </c>
      <c r="AU4" s="170">
        <v>0</v>
      </c>
      <c r="AV4" s="170">
        <v>0</v>
      </c>
      <c r="AW4" s="170">
        <v>0</v>
      </c>
      <c r="AX4" s="170">
        <v>0</v>
      </c>
      <c r="AY4" s="170">
        <v>0</v>
      </c>
      <c r="AZ4" s="170">
        <v>0</v>
      </c>
      <c r="BA4" s="170">
        <v>0</v>
      </c>
      <c r="BB4" s="170">
        <v>0</v>
      </c>
      <c r="BC4" s="170">
        <v>0</v>
      </c>
      <c r="BD4" s="170">
        <v>0</v>
      </c>
      <c r="BE4" s="170">
        <v>0</v>
      </c>
      <c r="BF4" s="170">
        <v>0</v>
      </c>
      <c r="BG4" s="170">
        <v>0</v>
      </c>
      <c r="BH4" s="170">
        <v>0</v>
      </c>
      <c r="BI4" s="170">
        <v>0</v>
      </c>
      <c r="BJ4" s="170">
        <v>0</v>
      </c>
      <c r="BK4" s="147">
        <f>SUM(C4:BJ4)</f>
        <v>0</v>
      </c>
      <c r="BL4" s="171">
        <f ca="1">IF($BK$15=0,0,BK4/$BK$15)</f>
        <v>0</v>
      </c>
      <c r="BN4" s="170">
        <v>0</v>
      </c>
    </row>
    <row r="5" spans="1:69" s="160" customFormat="1" ht="23.25" customHeight="1" thickBot="1">
      <c r="A5" s="172"/>
      <c r="B5" s="173"/>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5"/>
      <c r="BN5" s="174"/>
    </row>
    <row r="6" spans="1:69" s="160" customFormat="1" ht="23.25" customHeight="1" thickBot="1">
      <c r="A6" s="176">
        <v>1</v>
      </c>
      <c r="B6" s="176" t="s">
        <v>64</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8"/>
      <c r="BN6" s="177"/>
    </row>
    <row r="7" spans="1:69" s="160" customFormat="1" ht="23.25" customHeight="1" thickBot="1">
      <c r="A7" s="179" t="s">
        <v>65</v>
      </c>
      <c r="B7" s="179" t="s">
        <v>36</v>
      </c>
      <c r="C7" s="180">
        <f ca="1">IFERROR(OFFSET(Cronogramas!$AB$6,MATCH(Analítico!C3,Cronogramas!$B$7:$B$66,0),),0)</f>
        <v>11565545.86127962</v>
      </c>
      <c r="D7" s="180">
        <f ca="1">IFERROR(OFFSET(Cronogramas!$AB$6,MATCH(Analítico!D3,Cronogramas!$B$7:$B$66,0),),0)</f>
        <v>0</v>
      </c>
      <c r="E7" s="180">
        <f ca="1">IFERROR(OFFSET(Cronogramas!$AB$6,MATCH(Analítico!E3,Cronogramas!$B$7:$B$66,0),),0)</f>
        <v>15842413.075141767</v>
      </c>
      <c r="F7" s="180">
        <f ca="1">IFERROR(OFFSET(Cronogramas!$AB$6,MATCH(Analítico!F3,Cronogramas!$B$7:$B$66,0),),0)</f>
        <v>0</v>
      </c>
      <c r="G7" s="180">
        <f ca="1">IFERROR(OFFSET(Cronogramas!$AB$6,MATCH(Analítico!G3,Cronogramas!$B$7:$B$66,0),),0)</f>
        <v>0</v>
      </c>
      <c r="H7" s="180">
        <f ca="1">IFERROR(OFFSET(Cronogramas!$AB$6,MATCH(Analítico!H3,Cronogramas!$B$7:$B$66,0),),0)</f>
        <v>15118070.831598662</v>
      </c>
      <c r="I7" s="180">
        <f ca="1">IFERROR(OFFSET(Cronogramas!$AB$6,MATCH(Analítico!I3,Cronogramas!$B$7:$B$66,0),),0)</f>
        <v>0</v>
      </c>
      <c r="J7" s="180">
        <f ca="1">IFERROR(OFFSET(Cronogramas!$AB$6,MATCH(Analítico!J3,Cronogramas!$B$7:$B$66,0),),0)</f>
        <v>0</v>
      </c>
      <c r="K7" s="180">
        <f ca="1">IFERROR(OFFSET(Cronogramas!$AB$6,MATCH(Analítico!K3,Cronogramas!$B$7:$B$66,0),),0)</f>
        <v>15549785.411804855</v>
      </c>
      <c r="L7" s="180">
        <f ca="1">IFERROR(OFFSET(Cronogramas!$AB$6,MATCH(Analítico!L3,Cronogramas!$B$7:$B$66,0),),0)</f>
        <v>0</v>
      </c>
      <c r="M7" s="180">
        <f ca="1">IFERROR(OFFSET(Cronogramas!$AB$6,MATCH(Analítico!M3,Cronogramas!$B$7:$B$66,0),),0)</f>
        <v>0</v>
      </c>
      <c r="N7" s="180">
        <f ca="1">IFERROR(OFFSET(Cronogramas!$AB$6,MATCH(Analítico!N3,Cronogramas!$B$7:$B$66,0),),0)</f>
        <v>16273681.175769405</v>
      </c>
      <c r="O7" s="180">
        <f ca="1">IFERROR(OFFSET(Cronogramas!$AB$6,MATCH(Analítico!O3,Cronogramas!$B$7:$B$66,0),),0)</f>
        <v>0</v>
      </c>
      <c r="P7" s="180">
        <f ca="1">IFERROR(OFFSET(Cronogramas!$AB$6,MATCH(Analítico!P3,Cronogramas!$B$7:$B$66,0),),0)</f>
        <v>0</v>
      </c>
      <c r="Q7" s="180">
        <f ca="1">IFERROR(OFFSET(Cronogramas!$AB$6,MATCH(Analítico!Q3,Cronogramas!$B$7:$B$66,0),),0)</f>
        <v>17710014.566190328</v>
      </c>
      <c r="R7" s="180">
        <f ca="1">IFERROR(OFFSET(Cronogramas!$AB$6,MATCH(Analítico!R3,Cronogramas!$B$7:$B$66,0),),0)</f>
        <v>0</v>
      </c>
      <c r="S7" s="180">
        <f ca="1">IFERROR(OFFSET(Cronogramas!$AB$6,MATCH(Analítico!S3,Cronogramas!$B$7:$B$66,0),),0)</f>
        <v>0</v>
      </c>
      <c r="T7" s="180">
        <f ca="1">IFERROR(OFFSET(Cronogramas!$AB$6,MATCH(Analítico!T3,Cronogramas!$B$7:$B$66,0),),0)</f>
        <v>16587248.297416795</v>
      </c>
      <c r="U7" s="180">
        <f ca="1">IFERROR(OFFSET(Cronogramas!$AB$6,MATCH(Analítico!U3,Cronogramas!$B$7:$B$66,0),),0)</f>
        <v>0</v>
      </c>
      <c r="V7" s="180">
        <f ca="1">IFERROR(OFFSET(Cronogramas!$AB$6,MATCH(Analítico!V3,Cronogramas!$B$7:$B$66,0),),0)</f>
        <v>0</v>
      </c>
      <c r="W7" s="180">
        <f ca="1">IFERROR(OFFSET(Cronogramas!$AB$6,MATCH(Analítico!W3,Cronogramas!$B$7:$B$66,0),),0)</f>
        <v>16115700.437416796</v>
      </c>
      <c r="X7" s="180">
        <f ca="1">IFERROR(OFFSET(Cronogramas!$AB$6,MATCH(Analítico!X3,Cronogramas!$B$7:$B$66,0),),0)</f>
        <v>0</v>
      </c>
      <c r="Y7" s="180">
        <f ca="1">IFERROR(OFFSET(Cronogramas!$AB$6,MATCH(Analítico!Y3,Cronogramas!$B$7:$B$66,0),),0)</f>
        <v>0</v>
      </c>
      <c r="Z7" s="180">
        <f ca="1">IFERROR(OFFSET(Cronogramas!$AB$6,MATCH(Analítico!Z3,Cronogramas!$B$7:$B$66,0),),0)</f>
        <v>16412477.598708186</v>
      </c>
      <c r="AA7" s="180">
        <f ca="1">IFERROR(OFFSET(Cronogramas!$AB$6,MATCH(Analítico!AA3,Cronogramas!$B$7:$B$66,0),),0)</f>
        <v>0</v>
      </c>
      <c r="AB7" s="180">
        <f ca="1">IFERROR(OFFSET(Cronogramas!$AB$6,MATCH(Analítico!AB3,Cronogramas!$B$7:$B$66,0),),0)</f>
        <v>0</v>
      </c>
      <c r="AC7" s="180">
        <f ca="1">IFERROR(OFFSET(Cronogramas!$AB$6,MATCH(Analítico!AC3,Cronogramas!$B$7:$B$66,0),),0)</f>
        <v>16204004.472656842</v>
      </c>
      <c r="AD7" s="180">
        <f ca="1">IFERROR(OFFSET(Cronogramas!$AB$6,MATCH(Analítico!AD3,Cronogramas!$B$7:$B$66,0),),0)</f>
        <v>0</v>
      </c>
      <c r="AE7" s="180">
        <f ca="1">IFERROR(OFFSET(Cronogramas!$AB$6,MATCH(Analítico!AE3,Cronogramas!$B$7:$B$66,0),),0)</f>
        <v>0</v>
      </c>
      <c r="AF7" s="180">
        <f ca="1">IFERROR(OFFSET(Cronogramas!$AB$6,MATCH(Analítico!AF3,Cronogramas!$B$7:$B$66,0),),0)</f>
        <v>16613463.320636939</v>
      </c>
      <c r="AG7" s="180">
        <f ca="1">IFERROR(OFFSET(Cronogramas!$AB$6,MATCH(Analítico!AG3,Cronogramas!$B$7:$B$66,0),),0)</f>
        <v>0</v>
      </c>
      <c r="AH7" s="180">
        <f ca="1">IFERROR(OFFSET(Cronogramas!$AB$6,MATCH(Analítico!AH3,Cronogramas!$B$7:$B$66,0),),0)</f>
        <v>0</v>
      </c>
      <c r="AI7" s="180">
        <f ca="1">IFERROR(OFFSET(Cronogramas!$AB$6,MATCH(Analítico!AI3,Cronogramas!$B$7:$B$66,0),),0)</f>
        <v>16465002.450636938</v>
      </c>
      <c r="AJ7" s="180">
        <f ca="1">IFERROR(OFFSET(Cronogramas!$AB$6,MATCH(Analítico!AJ3,Cronogramas!$B$7:$B$66,0),),0)</f>
        <v>0</v>
      </c>
      <c r="AK7" s="180">
        <f ca="1">IFERROR(OFFSET(Cronogramas!$AB$6,MATCH(Analítico!AK3,Cronogramas!$B$7:$B$66,0),),0)</f>
        <v>0</v>
      </c>
      <c r="AL7" s="180">
        <f ca="1">IFERROR(OFFSET(Cronogramas!$AB$6,MATCH(Analítico!AL3,Cronogramas!$B$7:$B$66,0),),0)</f>
        <v>17160186.583105743</v>
      </c>
      <c r="AM7" s="180">
        <f ca="1">IFERROR(OFFSET(Cronogramas!$AB$6,MATCH(Analítico!AM3,Cronogramas!$B$7:$B$66,0),),0)</f>
        <v>0</v>
      </c>
      <c r="AN7" s="180">
        <f ca="1">IFERROR(OFFSET(Cronogramas!$AB$6,MATCH(Analítico!AN3,Cronogramas!$B$7:$B$66,0),),0)</f>
        <v>0</v>
      </c>
      <c r="AO7" s="180">
        <f ca="1">IFERROR(OFFSET(Cronogramas!$AB$6,MATCH(Analítico!AO3,Cronogramas!$B$7:$B$66,0),),0)</f>
        <v>17269416.781711999</v>
      </c>
      <c r="AP7" s="180">
        <f ca="1">IFERROR(OFFSET(Cronogramas!$AB$6,MATCH(Analítico!AP3,Cronogramas!$B$7:$B$66,0),),0)</f>
        <v>0</v>
      </c>
      <c r="AQ7" s="180">
        <f ca="1">IFERROR(OFFSET(Cronogramas!$AB$6,MATCH(Analítico!AQ3,Cronogramas!$B$7:$B$66,0),),0)</f>
        <v>0</v>
      </c>
      <c r="AR7" s="180">
        <f ca="1">IFERROR(OFFSET(Cronogramas!$AB$6,MATCH(Analítico!AR3,Cronogramas!$B$7:$B$66,0),),0)</f>
        <v>17642611.953862131</v>
      </c>
      <c r="AS7" s="180">
        <f ca="1">IFERROR(OFFSET(Cronogramas!$AB$6,MATCH(Analítico!AS3,Cronogramas!$B$7:$B$66,0),),0)</f>
        <v>0</v>
      </c>
      <c r="AT7" s="180">
        <f ca="1">IFERROR(OFFSET(Cronogramas!$AB$6,MATCH(Analítico!AT3,Cronogramas!$B$7:$B$66,0),),0)</f>
        <v>0</v>
      </c>
      <c r="AU7" s="180">
        <f ca="1">IFERROR(OFFSET(Cronogramas!$AB$6,MATCH(Analítico!AU3,Cronogramas!$B$7:$B$66,0),),0)</f>
        <v>17488607.573862132</v>
      </c>
      <c r="AV7" s="180">
        <f ca="1">IFERROR(OFFSET(Cronogramas!$AB$6,MATCH(Analítico!AV3,Cronogramas!$B$7:$B$66,0),),0)</f>
        <v>0</v>
      </c>
      <c r="AW7" s="180">
        <f ca="1">IFERROR(OFFSET(Cronogramas!$AB$6,MATCH(Analítico!AW3,Cronogramas!$B$7:$B$66,0),),0)</f>
        <v>0</v>
      </c>
      <c r="AX7" s="180">
        <f ca="1">IFERROR(OFFSET(Cronogramas!$AB$6,MATCH(Analítico!AX3,Cronogramas!$B$7:$B$66,0),),0)</f>
        <v>17948735.515779123</v>
      </c>
      <c r="AY7" s="180">
        <f ca="1">IFERROR(OFFSET(Cronogramas!$AB$6,MATCH(Analítico!AY3,Cronogramas!$B$7:$B$66,0),),0)</f>
        <v>0</v>
      </c>
      <c r="AZ7" s="180">
        <f ca="1">IFERROR(OFFSET(Cronogramas!$AB$6,MATCH(Analítico!AZ3,Cronogramas!$B$7:$B$66,0),),0)</f>
        <v>0</v>
      </c>
      <c r="BA7" s="180">
        <f ca="1">IFERROR(OFFSET(Cronogramas!$AB$6,MATCH(Analítico!BA3,Cronogramas!$B$7:$B$66,0),),0)</f>
        <v>18135850.032463986</v>
      </c>
      <c r="BB7" s="180">
        <f ca="1">IFERROR(OFFSET(Cronogramas!$AB$6,MATCH(Analítico!BB3,Cronogramas!$B$7:$B$66,0),),0)</f>
        <v>0</v>
      </c>
      <c r="BC7" s="180">
        <f ca="1">IFERROR(OFFSET(Cronogramas!$AB$6,MATCH(Analítico!BC3,Cronogramas!$B$7:$B$66,0),),0)</f>
        <v>0</v>
      </c>
      <c r="BD7" s="180">
        <f ca="1">IFERROR(OFFSET(Cronogramas!$AB$6,MATCH(Analítico!BD3,Cronogramas!$B$7:$B$66,0),),0)</f>
        <v>18371573.679667689</v>
      </c>
      <c r="BE7" s="180">
        <f ca="1">IFERROR(OFFSET(Cronogramas!$AB$6,MATCH(Analítico!BE3,Cronogramas!$B$7:$B$66,0),),0)</f>
        <v>0</v>
      </c>
      <c r="BF7" s="180">
        <f ca="1">IFERROR(OFFSET(Cronogramas!$AB$6,MATCH(Analítico!BF3,Cronogramas!$B$7:$B$66,0),),0)</f>
        <v>0</v>
      </c>
      <c r="BG7" s="180">
        <f ca="1">IFERROR(OFFSET(Cronogramas!$AB$6,MATCH(Analítico!BG3,Cronogramas!$B$7:$B$66,0),),0)</f>
        <v>18332705.199667688</v>
      </c>
      <c r="BH7" s="180">
        <f ca="1">IFERROR(OFFSET(Cronogramas!$AB$6,MATCH(Analítico!BH3,Cronogramas!$B$7:$B$66,0),),0)</f>
        <v>0</v>
      </c>
      <c r="BI7" s="180">
        <f ca="1">IFERROR(OFFSET(Cronogramas!$AB$6,MATCH(Analítico!BI3,Cronogramas!$B$7:$B$66,0),),0)</f>
        <v>0</v>
      </c>
      <c r="BJ7" s="180">
        <f ca="1">IFERROR(OFFSET(Cronogramas!$AB$6,MATCH(Analítico!BJ3,Cronogramas!$B$7:$B$66,0),),0)</f>
        <v>0</v>
      </c>
      <c r="BK7" s="181">
        <f ca="1">SUM(C7:BJ7)</f>
        <v>332807094.81937766</v>
      </c>
      <c r="BL7" s="182">
        <f ca="1">IF($BK$15=0,0,BK7/$BK$15)</f>
        <v>1</v>
      </c>
      <c r="BN7" s="180">
        <f ca="1">IFERROR(OFFSET(Cronogramas!$AB$6,MATCH(Analítico!BN3,Cronogramas!$B$7:$B$66,0),),0)</f>
        <v>11565545.86127962</v>
      </c>
    </row>
    <row r="8" spans="1:69" s="160" customFormat="1" ht="23.25" customHeight="1" thickBot="1">
      <c r="A8" s="183" t="s">
        <v>66</v>
      </c>
      <c r="B8" s="179" t="s">
        <v>67</v>
      </c>
      <c r="C8" s="180">
        <v>0</v>
      </c>
      <c r="D8" s="180">
        <v>0</v>
      </c>
      <c r="E8" s="180">
        <v>0</v>
      </c>
      <c r="F8" s="180">
        <v>0</v>
      </c>
      <c r="G8" s="180">
        <v>0</v>
      </c>
      <c r="H8" s="180">
        <v>0</v>
      </c>
      <c r="I8" s="180">
        <v>0</v>
      </c>
      <c r="J8" s="180">
        <v>0</v>
      </c>
      <c r="K8" s="180">
        <v>0</v>
      </c>
      <c r="L8" s="180">
        <v>0</v>
      </c>
      <c r="M8" s="180">
        <v>0</v>
      </c>
      <c r="N8" s="180">
        <v>0</v>
      </c>
      <c r="O8" s="180">
        <v>0</v>
      </c>
      <c r="P8" s="180">
        <v>0</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181">
        <f>SUM(C8:BJ8)</f>
        <v>0</v>
      </c>
      <c r="BL8" s="182">
        <f ca="1">IF($BK$15=0,0,BK8/$BK$15)</f>
        <v>0</v>
      </c>
      <c r="BN8" s="180">
        <v>0</v>
      </c>
    </row>
    <row r="9" spans="1:69" s="160" customFormat="1" ht="23.25" customHeight="1">
      <c r="A9" s="184" t="s">
        <v>68</v>
      </c>
      <c r="B9" s="184" t="s">
        <v>37</v>
      </c>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6"/>
      <c r="BL9" s="187"/>
      <c r="BN9" s="185"/>
    </row>
    <row r="10" spans="1:69" s="160" customFormat="1" ht="23.25" customHeight="1">
      <c r="A10" s="80" t="s">
        <v>69</v>
      </c>
      <c r="B10" s="81" t="s">
        <v>70</v>
      </c>
      <c r="C10" s="188">
        <v>0</v>
      </c>
      <c r="D10" s="188">
        <v>0</v>
      </c>
      <c r="E10" s="188">
        <v>0</v>
      </c>
      <c r="F10" s="188">
        <v>0</v>
      </c>
      <c r="G10" s="188">
        <v>0</v>
      </c>
      <c r="H10" s="188">
        <v>0</v>
      </c>
      <c r="I10" s="188">
        <v>0</v>
      </c>
      <c r="J10" s="188">
        <v>0</v>
      </c>
      <c r="K10" s="188">
        <v>0</v>
      </c>
      <c r="L10" s="188">
        <v>0</v>
      </c>
      <c r="M10" s="188">
        <v>0</v>
      </c>
      <c r="N10" s="188">
        <v>0</v>
      </c>
      <c r="O10" s="188">
        <v>0</v>
      </c>
      <c r="P10" s="188">
        <v>0</v>
      </c>
      <c r="Q10" s="188">
        <v>0</v>
      </c>
      <c r="R10" s="188">
        <v>0</v>
      </c>
      <c r="S10" s="188">
        <v>0</v>
      </c>
      <c r="T10" s="188">
        <v>0</v>
      </c>
      <c r="U10" s="188">
        <v>0</v>
      </c>
      <c r="V10" s="188">
        <v>0</v>
      </c>
      <c r="W10" s="188">
        <v>0</v>
      </c>
      <c r="X10" s="188">
        <v>0</v>
      </c>
      <c r="Y10" s="188">
        <v>0</v>
      </c>
      <c r="Z10" s="188">
        <v>0</v>
      </c>
      <c r="AA10" s="188">
        <v>0</v>
      </c>
      <c r="AB10" s="188">
        <v>0</v>
      </c>
      <c r="AC10" s="188">
        <v>0</v>
      </c>
      <c r="AD10" s="188">
        <v>0</v>
      </c>
      <c r="AE10" s="188">
        <v>0</v>
      </c>
      <c r="AF10" s="188">
        <v>0</v>
      </c>
      <c r="AG10" s="188">
        <v>0</v>
      </c>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0</v>
      </c>
      <c r="BC10" s="188">
        <v>0</v>
      </c>
      <c r="BD10" s="188">
        <v>0</v>
      </c>
      <c r="BE10" s="188">
        <v>0</v>
      </c>
      <c r="BF10" s="188">
        <v>0</v>
      </c>
      <c r="BG10" s="188">
        <v>0</v>
      </c>
      <c r="BH10" s="188">
        <v>0</v>
      </c>
      <c r="BI10" s="188">
        <v>0</v>
      </c>
      <c r="BJ10" s="188">
        <v>0</v>
      </c>
      <c r="BK10" s="189">
        <f>SUM(C10:BJ10)</f>
        <v>0</v>
      </c>
      <c r="BL10" s="136">
        <f ca="1">IF($BK$15=0,0,BK10/$BK$15)</f>
        <v>0</v>
      </c>
      <c r="BN10" s="188">
        <v>0</v>
      </c>
    </row>
    <row r="11" spans="1:69" s="160" customFormat="1" ht="23.25" customHeight="1">
      <c r="A11" s="80" t="s">
        <v>71</v>
      </c>
      <c r="B11" s="81" t="s">
        <v>72</v>
      </c>
      <c r="C11" s="188">
        <v>0</v>
      </c>
      <c r="D11" s="188">
        <v>0</v>
      </c>
      <c r="E11" s="188">
        <v>0</v>
      </c>
      <c r="F11" s="188">
        <v>0</v>
      </c>
      <c r="G11" s="188">
        <v>0</v>
      </c>
      <c r="H11" s="188">
        <v>0</v>
      </c>
      <c r="I11" s="188">
        <v>0</v>
      </c>
      <c r="J11" s="188">
        <v>0</v>
      </c>
      <c r="K11" s="188">
        <v>0</v>
      </c>
      <c r="L11" s="188">
        <v>0</v>
      </c>
      <c r="M11" s="188">
        <v>0</v>
      </c>
      <c r="N11" s="188">
        <v>0</v>
      </c>
      <c r="O11" s="188">
        <v>0</v>
      </c>
      <c r="P11" s="188">
        <v>0</v>
      </c>
      <c r="Q11" s="188">
        <v>0</v>
      </c>
      <c r="R11" s="188">
        <v>0</v>
      </c>
      <c r="S11" s="188">
        <v>0</v>
      </c>
      <c r="T11" s="188">
        <v>0</v>
      </c>
      <c r="U11" s="188">
        <v>0</v>
      </c>
      <c r="V11" s="188">
        <v>0</v>
      </c>
      <c r="W11" s="188">
        <v>0</v>
      </c>
      <c r="X11" s="188">
        <v>0</v>
      </c>
      <c r="Y11" s="188">
        <v>0</v>
      </c>
      <c r="Z11" s="188">
        <v>0</v>
      </c>
      <c r="AA11" s="188">
        <v>0</v>
      </c>
      <c r="AB11" s="188">
        <v>0</v>
      </c>
      <c r="AC11" s="188">
        <v>0</v>
      </c>
      <c r="AD11" s="188">
        <v>0</v>
      </c>
      <c r="AE11" s="188">
        <v>0</v>
      </c>
      <c r="AF11" s="188">
        <v>0</v>
      </c>
      <c r="AG11" s="188">
        <v>0</v>
      </c>
      <c r="AH11" s="188">
        <v>0</v>
      </c>
      <c r="AI11" s="188">
        <v>0</v>
      </c>
      <c r="AJ11" s="188">
        <v>0</v>
      </c>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0</v>
      </c>
      <c r="BG11" s="188">
        <v>0</v>
      </c>
      <c r="BH11" s="188">
        <v>0</v>
      </c>
      <c r="BI11" s="188">
        <v>0</v>
      </c>
      <c r="BJ11" s="188">
        <v>0</v>
      </c>
      <c r="BK11" s="189">
        <f>SUM(C11:BJ11)</f>
        <v>0</v>
      </c>
      <c r="BL11" s="136">
        <f ca="1">IF($BK$15=0,0,BK11/$BK$15)</f>
        <v>0</v>
      </c>
      <c r="BN11" s="188">
        <v>0</v>
      </c>
    </row>
    <row r="12" spans="1:69" s="160" customFormat="1" ht="23.25" customHeight="1">
      <c r="A12" s="80" t="s">
        <v>73</v>
      </c>
      <c r="B12" s="81" t="s">
        <v>74</v>
      </c>
      <c r="C12" s="188">
        <v>0</v>
      </c>
      <c r="D12" s="188">
        <v>0</v>
      </c>
      <c r="E12" s="188">
        <v>0</v>
      </c>
      <c r="F12" s="188">
        <v>0</v>
      </c>
      <c r="G12" s="188">
        <v>0</v>
      </c>
      <c r="H12" s="188">
        <v>0</v>
      </c>
      <c r="I12" s="188">
        <v>0</v>
      </c>
      <c r="J12" s="188">
        <v>0</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v>0</v>
      </c>
      <c r="AD12" s="188">
        <v>0</v>
      </c>
      <c r="AE12" s="188">
        <v>0</v>
      </c>
      <c r="AF12" s="188">
        <v>0</v>
      </c>
      <c r="AG12" s="188">
        <v>0</v>
      </c>
      <c r="AH12" s="188">
        <v>0</v>
      </c>
      <c r="AI12" s="188">
        <v>0</v>
      </c>
      <c r="AJ12" s="188">
        <v>0</v>
      </c>
      <c r="AK12" s="188">
        <v>0</v>
      </c>
      <c r="AL12" s="188">
        <v>0</v>
      </c>
      <c r="AM12" s="188">
        <v>0</v>
      </c>
      <c r="AN12" s="188">
        <v>0</v>
      </c>
      <c r="AO12" s="188">
        <v>0</v>
      </c>
      <c r="AP12" s="188">
        <v>0</v>
      </c>
      <c r="AQ12" s="188">
        <v>0</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0</v>
      </c>
      <c r="BG12" s="188">
        <v>0</v>
      </c>
      <c r="BH12" s="188">
        <v>0</v>
      </c>
      <c r="BI12" s="188">
        <v>0</v>
      </c>
      <c r="BJ12" s="188">
        <v>0</v>
      </c>
      <c r="BK12" s="189">
        <f>SUM(C12:BJ12)</f>
        <v>0</v>
      </c>
      <c r="BL12" s="136">
        <f ca="1">IF($BK$15=0,0,BK12/$BK$15)</f>
        <v>0</v>
      </c>
      <c r="BN12" s="188">
        <v>0</v>
      </c>
      <c r="BO12" s="160" t="s">
        <v>716</v>
      </c>
    </row>
    <row r="13" spans="1:69" s="160" customFormat="1" ht="23.25" customHeight="1" thickBot="1">
      <c r="A13" s="190"/>
      <c r="B13" s="191" t="s">
        <v>128</v>
      </c>
      <c r="C13" s="192">
        <f t="shared" ref="C13:AH13" si="2">SUBTOTAL(109,C10:C12)</f>
        <v>0</v>
      </c>
      <c r="D13" s="192">
        <f t="shared" si="2"/>
        <v>0</v>
      </c>
      <c r="E13" s="192">
        <f t="shared" si="2"/>
        <v>0</v>
      </c>
      <c r="F13" s="192">
        <f t="shared" si="2"/>
        <v>0</v>
      </c>
      <c r="G13" s="192">
        <f t="shared" si="2"/>
        <v>0</v>
      </c>
      <c r="H13" s="192">
        <f t="shared" si="2"/>
        <v>0</v>
      </c>
      <c r="I13" s="192">
        <f t="shared" si="2"/>
        <v>0</v>
      </c>
      <c r="J13" s="192">
        <f t="shared" si="2"/>
        <v>0</v>
      </c>
      <c r="K13" s="192">
        <f t="shared" si="2"/>
        <v>0</v>
      </c>
      <c r="L13" s="192">
        <f t="shared" si="2"/>
        <v>0</v>
      </c>
      <c r="M13" s="192">
        <f t="shared" si="2"/>
        <v>0</v>
      </c>
      <c r="N13" s="192">
        <f t="shared" si="2"/>
        <v>0</v>
      </c>
      <c r="O13" s="192">
        <f t="shared" si="2"/>
        <v>0</v>
      </c>
      <c r="P13" s="192">
        <f t="shared" si="2"/>
        <v>0</v>
      </c>
      <c r="Q13" s="192">
        <f t="shared" si="2"/>
        <v>0</v>
      </c>
      <c r="R13" s="192">
        <f t="shared" si="2"/>
        <v>0</v>
      </c>
      <c r="S13" s="192">
        <f t="shared" si="2"/>
        <v>0</v>
      </c>
      <c r="T13" s="192">
        <f t="shared" si="2"/>
        <v>0</v>
      </c>
      <c r="U13" s="192">
        <f t="shared" si="2"/>
        <v>0</v>
      </c>
      <c r="V13" s="192">
        <f t="shared" si="2"/>
        <v>0</v>
      </c>
      <c r="W13" s="192">
        <f t="shared" si="2"/>
        <v>0</v>
      </c>
      <c r="X13" s="192">
        <f t="shared" si="2"/>
        <v>0</v>
      </c>
      <c r="Y13" s="192">
        <f t="shared" si="2"/>
        <v>0</v>
      </c>
      <c r="Z13" s="192">
        <f t="shared" si="2"/>
        <v>0</v>
      </c>
      <c r="AA13" s="192">
        <f t="shared" si="2"/>
        <v>0</v>
      </c>
      <c r="AB13" s="192">
        <f t="shared" si="2"/>
        <v>0</v>
      </c>
      <c r="AC13" s="192">
        <f t="shared" si="2"/>
        <v>0</v>
      </c>
      <c r="AD13" s="192">
        <f t="shared" si="2"/>
        <v>0</v>
      </c>
      <c r="AE13" s="192">
        <f t="shared" si="2"/>
        <v>0</v>
      </c>
      <c r="AF13" s="192">
        <f t="shared" si="2"/>
        <v>0</v>
      </c>
      <c r="AG13" s="192">
        <f t="shared" si="2"/>
        <v>0</v>
      </c>
      <c r="AH13" s="192">
        <f t="shared" si="2"/>
        <v>0</v>
      </c>
      <c r="AI13" s="192">
        <f t="shared" ref="AI13:BJ13" si="3">SUBTOTAL(109,AI10:AI12)</f>
        <v>0</v>
      </c>
      <c r="AJ13" s="192">
        <f t="shared" si="3"/>
        <v>0</v>
      </c>
      <c r="AK13" s="192">
        <f t="shared" si="3"/>
        <v>0</v>
      </c>
      <c r="AL13" s="192">
        <f t="shared" si="3"/>
        <v>0</v>
      </c>
      <c r="AM13" s="192">
        <f t="shared" si="3"/>
        <v>0</v>
      </c>
      <c r="AN13" s="192">
        <f t="shared" si="3"/>
        <v>0</v>
      </c>
      <c r="AO13" s="192">
        <f t="shared" si="3"/>
        <v>0</v>
      </c>
      <c r="AP13" s="192">
        <f t="shared" si="3"/>
        <v>0</v>
      </c>
      <c r="AQ13" s="192">
        <f t="shared" si="3"/>
        <v>0</v>
      </c>
      <c r="AR13" s="192">
        <f t="shared" si="3"/>
        <v>0</v>
      </c>
      <c r="AS13" s="192">
        <f t="shared" si="3"/>
        <v>0</v>
      </c>
      <c r="AT13" s="192">
        <f t="shared" si="3"/>
        <v>0</v>
      </c>
      <c r="AU13" s="192">
        <f t="shared" si="3"/>
        <v>0</v>
      </c>
      <c r="AV13" s="192">
        <f t="shared" si="3"/>
        <v>0</v>
      </c>
      <c r="AW13" s="192">
        <f t="shared" si="3"/>
        <v>0</v>
      </c>
      <c r="AX13" s="192">
        <f t="shared" si="3"/>
        <v>0</v>
      </c>
      <c r="AY13" s="192">
        <f t="shared" si="3"/>
        <v>0</v>
      </c>
      <c r="AZ13" s="192">
        <f t="shared" si="3"/>
        <v>0</v>
      </c>
      <c r="BA13" s="192">
        <f t="shared" si="3"/>
        <v>0</v>
      </c>
      <c r="BB13" s="192">
        <f t="shared" si="3"/>
        <v>0</v>
      </c>
      <c r="BC13" s="192">
        <f t="shared" si="3"/>
        <v>0</v>
      </c>
      <c r="BD13" s="192">
        <f t="shared" si="3"/>
        <v>0</v>
      </c>
      <c r="BE13" s="192">
        <f t="shared" si="3"/>
        <v>0</v>
      </c>
      <c r="BF13" s="192">
        <f t="shared" si="3"/>
        <v>0</v>
      </c>
      <c r="BG13" s="192">
        <f t="shared" si="3"/>
        <v>0</v>
      </c>
      <c r="BH13" s="192">
        <f t="shared" si="3"/>
        <v>0</v>
      </c>
      <c r="BI13" s="192">
        <f t="shared" si="3"/>
        <v>0</v>
      </c>
      <c r="BJ13" s="192">
        <f t="shared" si="3"/>
        <v>0</v>
      </c>
      <c r="BK13" s="192">
        <f>SUBTOTAL(109,BK10:BK10)</f>
        <v>0</v>
      </c>
      <c r="BL13" s="193">
        <f ca="1">IF($BK$152=0,0,BK13/$BK$152)</f>
        <v>0</v>
      </c>
      <c r="BN13" s="192">
        <f t="shared" ref="BN13" si="4">SUBTOTAL(109,BN10:BN12)</f>
        <v>0</v>
      </c>
    </row>
    <row r="14" spans="1:69" s="160" customFormat="1" ht="23.25" customHeight="1" thickBot="1">
      <c r="A14" s="194" t="s">
        <v>129</v>
      </c>
      <c r="B14" s="195"/>
      <c r="C14" s="143">
        <f t="shared" ref="C14:AH14" ca="1" si="5">SUBTOTAL(109,C7:C13)</f>
        <v>11565545.86127962</v>
      </c>
      <c r="D14" s="143">
        <f t="shared" ca="1" si="5"/>
        <v>0</v>
      </c>
      <c r="E14" s="143">
        <f t="shared" ca="1" si="5"/>
        <v>15842413.075141767</v>
      </c>
      <c r="F14" s="143">
        <f t="shared" ca="1" si="5"/>
        <v>0</v>
      </c>
      <c r="G14" s="143">
        <f t="shared" ca="1" si="5"/>
        <v>0</v>
      </c>
      <c r="H14" s="143">
        <f t="shared" ca="1" si="5"/>
        <v>15118070.831598662</v>
      </c>
      <c r="I14" s="143">
        <f t="shared" ca="1" si="5"/>
        <v>0</v>
      </c>
      <c r="J14" s="143">
        <f t="shared" ca="1" si="5"/>
        <v>0</v>
      </c>
      <c r="K14" s="143">
        <f t="shared" ca="1" si="5"/>
        <v>15549785.411804855</v>
      </c>
      <c r="L14" s="143">
        <f t="shared" ca="1" si="5"/>
        <v>0</v>
      </c>
      <c r="M14" s="143">
        <f t="shared" ca="1" si="5"/>
        <v>0</v>
      </c>
      <c r="N14" s="143">
        <f t="shared" ca="1" si="5"/>
        <v>16273681.175769405</v>
      </c>
      <c r="O14" s="143">
        <f t="shared" ca="1" si="5"/>
        <v>0</v>
      </c>
      <c r="P14" s="143">
        <f t="shared" ca="1" si="5"/>
        <v>0</v>
      </c>
      <c r="Q14" s="143">
        <f t="shared" ca="1" si="5"/>
        <v>17710014.566190328</v>
      </c>
      <c r="R14" s="143">
        <f t="shared" ca="1" si="5"/>
        <v>0</v>
      </c>
      <c r="S14" s="143">
        <f t="shared" ca="1" si="5"/>
        <v>0</v>
      </c>
      <c r="T14" s="143">
        <f t="shared" ca="1" si="5"/>
        <v>16587248.297416795</v>
      </c>
      <c r="U14" s="143">
        <f t="shared" ca="1" si="5"/>
        <v>0</v>
      </c>
      <c r="V14" s="143">
        <f t="shared" ca="1" si="5"/>
        <v>0</v>
      </c>
      <c r="W14" s="143">
        <f t="shared" ca="1" si="5"/>
        <v>16115700.437416796</v>
      </c>
      <c r="X14" s="143">
        <f t="shared" ca="1" si="5"/>
        <v>0</v>
      </c>
      <c r="Y14" s="143">
        <f t="shared" ca="1" si="5"/>
        <v>0</v>
      </c>
      <c r="Z14" s="143">
        <f t="shared" ca="1" si="5"/>
        <v>16412477.598708186</v>
      </c>
      <c r="AA14" s="143">
        <f t="shared" ca="1" si="5"/>
        <v>0</v>
      </c>
      <c r="AB14" s="143">
        <f t="shared" ca="1" si="5"/>
        <v>0</v>
      </c>
      <c r="AC14" s="143">
        <f t="shared" ca="1" si="5"/>
        <v>16204004.472656842</v>
      </c>
      <c r="AD14" s="143">
        <f t="shared" ca="1" si="5"/>
        <v>0</v>
      </c>
      <c r="AE14" s="143">
        <f t="shared" ca="1" si="5"/>
        <v>0</v>
      </c>
      <c r="AF14" s="143">
        <f t="shared" ca="1" si="5"/>
        <v>16613463.320636939</v>
      </c>
      <c r="AG14" s="143">
        <f t="shared" ca="1" si="5"/>
        <v>0</v>
      </c>
      <c r="AH14" s="143">
        <f t="shared" ca="1" si="5"/>
        <v>0</v>
      </c>
      <c r="AI14" s="143">
        <f t="shared" ref="AI14:BJ14" ca="1" si="6">SUBTOTAL(109,AI7:AI13)</f>
        <v>16465002.450636938</v>
      </c>
      <c r="AJ14" s="143">
        <f t="shared" ca="1" si="6"/>
        <v>0</v>
      </c>
      <c r="AK14" s="143">
        <f t="shared" ca="1" si="6"/>
        <v>0</v>
      </c>
      <c r="AL14" s="143">
        <f t="shared" ca="1" si="6"/>
        <v>17160186.583105743</v>
      </c>
      <c r="AM14" s="143">
        <f t="shared" ca="1" si="6"/>
        <v>0</v>
      </c>
      <c r="AN14" s="143">
        <f t="shared" ca="1" si="6"/>
        <v>0</v>
      </c>
      <c r="AO14" s="143">
        <f t="shared" ca="1" si="6"/>
        <v>17269416.781711999</v>
      </c>
      <c r="AP14" s="143">
        <f t="shared" ca="1" si="6"/>
        <v>0</v>
      </c>
      <c r="AQ14" s="143">
        <f t="shared" ca="1" si="6"/>
        <v>0</v>
      </c>
      <c r="AR14" s="143">
        <f t="shared" ca="1" si="6"/>
        <v>17642611.953862131</v>
      </c>
      <c r="AS14" s="143">
        <f t="shared" ca="1" si="6"/>
        <v>0</v>
      </c>
      <c r="AT14" s="143">
        <f t="shared" ca="1" si="6"/>
        <v>0</v>
      </c>
      <c r="AU14" s="143">
        <f t="shared" ca="1" si="6"/>
        <v>17488607.573862132</v>
      </c>
      <c r="AV14" s="143">
        <f t="shared" ca="1" si="6"/>
        <v>0</v>
      </c>
      <c r="AW14" s="143">
        <f t="shared" ca="1" si="6"/>
        <v>0</v>
      </c>
      <c r="AX14" s="143">
        <f t="shared" ca="1" si="6"/>
        <v>17948735.515779123</v>
      </c>
      <c r="AY14" s="143">
        <f t="shared" ca="1" si="6"/>
        <v>0</v>
      </c>
      <c r="AZ14" s="143">
        <f t="shared" ca="1" si="6"/>
        <v>0</v>
      </c>
      <c r="BA14" s="143">
        <f t="shared" ca="1" si="6"/>
        <v>18135850.032463986</v>
      </c>
      <c r="BB14" s="143">
        <f t="shared" ca="1" si="6"/>
        <v>0</v>
      </c>
      <c r="BC14" s="143">
        <f t="shared" ca="1" si="6"/>
        <v>0</v>
      </c>
      <c r="BD14" s="143">
        <f t="shared" ca="1" si="6"/>
        <v>18371573.679667689</v>
      </c>
      <c r="BE14" s="143">
        <f t="shared" ca="1" si="6"/>
        <v>0</v>
      </c>
      <c r="BF14" s="143">
        <f t="shared" ca="1" si="6"/>
        <v>0</v>
      </c>
      <c r="BG14" s="143">
        <f t="shared" ca="1" si="6"/>
        <v>18332705.199667688</v>
      </c>
      <c r="BH14" s="143">
        <f t="shared" ca="1" si="6"/>
        <v>0</v>
      </c>
      <c r="BI14" s="143">
        <f t="shared" ca="1" si="6"/>
        <v>0</v>
      </c>
      <c r="BJ14" s="143">
        <f t="shared" ca="1" si="6"/>
        <v>0</v>
      </c>
      <c r="BK14" s="143">
        <f ca="1">SUM(C14:BJ14)</f>
        <v>332807094.81937766</v>
      </c>
      <c r="BL14" s="145">
        <f ca="1">IF($BK$15=0,0,BK14/$BK$15)</f>
        <v>1</v>
      </c>
      <c r="BN14" s="143">
        <f t="shared" ref="BN14" ca="1" si="7">SUBTOTAL(109,BN7:BN13)</f>
        <v>11565545.86127962</v>
      </c>
    </row>
    <row r="15" spans="1:69" s="160" customFormat="1" ht="23.25" customHeight="1" thickBot="1">
      <c r="A15" s="196" t="s">
        <v>130</v>
      </c>
      <c r="B15" s="197"/>
      <c r="C15" s="143">
        <f t="shared" ref="C15:AH15" ca="1" si="8">SUBTOTAL(109,C4:C14)</f>
        <v>11565545.86127962</v>
      </c>
      <c r="D15" s="143">
        <f t="shared" ca="1" si="8"/>
        <v>0</v>
      </c>
      <c r="E15" s="143">
        <f t="shared" ca="1" si="8"/>
        <v>15842413.075141767</v>
      </c>
      <c r="F15" s="143">
        <f t="shared" ca="1" si="8"/>
        <v>0</v>
      </c>
      <c r="G15" s="143">
        <f t="shared" ca="1" si="8"/>
        <v>0</v>
      </c>
      <c r="H15" s="143">
        <f t="shared" ca="1" si="8"/>
        <v>15118070.831598662</v>
      </c>
      <c r="I15" s="143">
        <f t="shared" ca="1" si="8"/>
        <v>0</v>
      </c>
      <c r="J15" s="143">
        <f t="shared" ca="1" si="8"/>
        <v>0</v>
      </c>
      <c r="K15" s="143">
        <f t="shared" ca="1" si="8"/>
        <v>15549785.411804855</v>
      </c>
      <c r="L15" s="143">
        <f t="shared" ca="1" si="8"/>
        <v>0</v>
      </c>
      <c r="M15" s="143">
        <f t="shared" ca="1" si="8"/>
        <v>0</v>
      </c>
      <c r="N15" s="143">
        <f t="shared" ca="1" si="8"/>
        <v>16273681.175769405</v>
      </c>
      <c r="O15" s="143">
        <f t="shared" ca="1" si="8"/>
        <v>0</v>
      </c>
      <c r="P15" s="143">
        <f t="shared" ca="1" si="8"/>
        <v>0</v>
      </c>
      <c r="Q15" s="143">
        <f t="shared" ca="1" si="8"/>
        <v>17710014.566190328</v>
      </c>
      <c r="R15" s="143">
        <f t="shared" ca="1" si="8"/>
        <v>0</v>
      </c>
      <c r="S15" s="143">
        <f t="shared" ca="1" si="8"/>
        <v>0</v>
      </c>
      <c r="T15" s="143">
        <f t="shared" ca="1" si="8"/>
        <v>16587248.297416795</v>
      </c>
      <c r="U15" s="143">
        <f t="shared" ca="1" si="8"/>
        <v>0</v>
      </c>
      <c r="V15" s="143">
        <f t="shared" ca="1" si="8"/>
        <v>0</v>
      </c>
      <c r="W15" s="143">
        <f t="shared" ca="1" si="8"/>
        <v>16115700.437416796</v>
      </c>
      <c r="X15" s="143">
        <f t="shared" ca="1" si="8"/>
        <v>0</v>
      </c>
      <c r="Y15" s="143">
        <f t="shared" ca="1" si="8"/>
        <v>0</v>
      </c>
      <c r="Z15" s="143">
        <f t="shared" ca="1" si="8"/>
        <v>16412477.598708186</v>
      </c>
      <c r="AA15" s="143">
        <f t="shared" ca="1" si="8"/>
        <v>0</v>
      </c>
      <c r="AB15" s="143">
        <f t="shared" ca="1" si="8"/>
        <v>0</v>
      </c>
      <c r="AC15" s="143">
        <f t="shared" ca="1" si="8"/>
        <v>16204004.472656842</v>
      </c>
      <c r="AD15" s="143">
        <f t="shared" ca="1" si="8"/>
        <v>0</v>
      </c>
      <c r="AE15" s="143">
        <f t="shared" ca="1" si="8"/>
        <v>0</v>
      </c>
      <c r="AF15" s="143">
        <f t="shared" ca="1" si="8"/>
        <v>16613463.320636939</v>
      </c>
      <c r="AG15" s="143">
        <f t="shared" ca="1" si="8"/>
        <v>0</v>
      </c>
      <c r="AH15" s="143">
        <f t="shared" ca="1" si="8"/>
        <v>0</v>
      </c>
      <c r="AI15" s="143">
        <f t="shared" ref="AI15:BJ15" ca="1" si="9">SUBTOTAL(109,AI4:AI14)</f>
        <v>16465002.450636938</v>
      </c>
      <c r="AJ15" s="143">
        <f t="shared" ca="1" si="9"/>
        <v>0</v>
      </c>
      <c r="AK15" s="143">
        <f t="shared" ca="1" si="9"/>
        <v>0</v>
      </c>
      <c r="AL15" s="143">
        <f t="shared" ca="1" si="9"/>
        <v>17160186.583105743</v>
      </c>
      <c r="AM15" s="143">
        <f t="shared" ca="1" si="9"/>
        <v>0</v>
      </c>
      <c r="AN15" s="143">
        <f t="shared" ca="1" si="9"/>
        <v>0</v>
      </c>
      <c r="AO15" s="143">
        <f t="shared" ca="1" si="9"/>
        <v>17269416.781711999</v>
      </c>
      <c r="AP15" s="143">
        <f t="shared" ca="1" si="9"/>
        <v>0</v>
      </c>
      <c r="AQ15" s="143">
        <f t="shared" ca="1" si="9"/>
        <v>0</v>
      </c>
      <c r="AR15" s="143">
        <f t="shared" ca="1" si="9"/>
        <v>17642611.953862131</v>
      </c>
      <c r="AS15" s="143">
        <f t="shared" ca="1" si="9"/>
        <v>0</v>
      </c>
      <c r="AT15" s="143">
        <f t="shared" ca="1" si="9"/>
        <v>0</v>
      </c>
      <c r="AU15" s="143">
        <f t="shared" ca="1" si="9"/>
        <v>17488607.573862132</v>
      </c>
      <c r="AV15" s="143">
        <f t="shared" ca="1" si="9"/>
        <v>0</v>
      </c>
      <c r="AW15" s="143">
        <f t="shared" ca="1" si="9"/>
        <v>0</v>
      </c>
      <c r="AX15" s="143">
        <f t="shared" ca="1" si="9"/>
        <v>17948735.515779123</v>
      </c>
      <c r="AY15" s="143">
        <f t="shared" ca="1" si="9"/>
        <v>0</v>
      </c>
      <c r="AZ15" s="143">
        <f t="shared" ca="1" si="9"/>
        <v>0</v>
      </c>
      <c r="BA15" s="143">
        <f t="shared" ca="1" si="9"/>
        <v>18135850.032463986</v>
      </c>
      <c r="BB15" s="143">
        <f t="shared" ca="1" si="9"/>
        <v>0</v>
      </c>
      <c r="BC15" s="143">
        <f t="shared" ca="1" si="9"/>
        <v>0</v>
      </c>
      <c r="BD15" s="143">
        <f t="shared" ca="1" si="9"/>
        <v>18371573.679667689</v>
      </c>
      <c r="BE15" s="143">
        <f t="shared" ca="1" si="9"/>
        <v>0</v>
      </c>
      <c r="BF15" s="143">
        <f t="shared" ca="1" si="9"/>
        <v>0</v>
      </c>
      <c r="BG15" s="143">
        <f t="shared" ca="1" si="9"/>
        <v>18332705.199667688</v>
      </c>
      <c r="BH15" s="143">
        <f t="shared" ca="1" si="9"/>
        <v>0</v>
      </c>
      <c r="BI15" s="143">
        <f t="shared" ca="1" si="9"/>
        <v>0</v>
      </c>
      <c r="BJ15" s="143">
        <f t="shared" ca="1" si="9"/>
        <v>0</v>
      </c>
      <c r="BK15" s="143">
        <f ca="1">SUM(C15:BJ15)</f>
        <v>332807094.81937766</v>
      </c>
      <c r="BL15" s="145">
        <f ca="1">IF($BK$15=0,0,BK15/$BK$15)</f>
        <v>1</v>
      </c>
      <c r="BN15" s="143">
        <f t="shared" ref="BN15" ca="1" si="10">SUBTOTAL(109,BN4:BN14)</f>
        <v>11565545.86127962</v>
      </c>
    </row>
    <row r="16" spans="1:69" s="160" customFormat="1" ht="23.25" customHeight="1" thickBot="1">
      <c r="A16" s="198"/>
      <c r="B16" s="199"/>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1"/>
      <c r="BN16" s="200"/>
    </row>
    <row r="17" spans="1:66" s="160" customFormat="1" ht="23.25" customHeight="1" thickBot="1">
      <c r="A17" s="194">
        <v>2</v>
      </c>
      <c r="B17" s="58" t="s">
        <v>78</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45"/>
      <c r="BN17" s="167"/>
    </row>
    <row r="18" spans="1:66" s="160" customFormat="1" ht="23.25" customHeight="1">
      <c r="A18" s="184" t="s">
        <v>79</v>
      </c>
      <c r="B18" s="202" t="s">
        <v>80</v>
      </c>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4"/>
      <c r="BN18" s="203"/>
    </row>
    <row r="19" spans="1:66" s="160" customFormat="1" ht="23.25" customHeight="1">
      <c r="A19" s="205" t="s">
        <v>81</v>
      </c>
      <c r="B19" s="206" t="s">
        <v>131</v>
      </c>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8"/>
      <c r="BN19" s="207"/>
    </row>
    <row r="20" spans="1:66" s="160" customFormat="1" ht="23.25" customHeight="1">
      <c r="A20" s="198" t="s">
        <v>132</v>
      </c>
      <c r="B20" s="81" t="s">
        <v>82</v>
      </c>
      <c r="C20" s="188">
        <f ca="1">BN20*9/30</f>
        <v>325213.45499999996</v>
      </c>
      <c r="D20" s="188">
        <f t="array" aca="1" ref="D20" ca="1">_xlfn.IFNA(SUM((D$3&gt;='Gastos com Pessoal'!$E$7:$E$506)*(D$3&lt;='Gastos com Pessoal'!$F$7:$F$506)*OFFSET('Encargos e Benefícios'!$D$5,1,MATCH($B20,'Encargos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1165621.4399999997</v>
      </c>
      <c r="E20" s="188">
        <f t="array" aca="1" ref="E20" ca="1">_xlfn.IFNA(SUM((E$3&gt;='Gastos com Pessoal'!$E$7:$E$506)*(E$3&lt;='Gastos com Pessoal'!$F$7:$F$506)*OFFSET('Encargos e Benefícios'!$D$5,1,MATCH($B20,'Encargos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1226650.8299999998</v>
      </c>
      <c r="F20" s="188">
        <f t="array" aca="1" ref="F20" ca="1">_xlfn.IFNA(SUM((F$3&gt;='Gastos com Pessoal'!$E$7:$E$506)*(F$3&lt;='Gastos com Pessoal'!$F$7:$F$506)*OFFSET('Encargos e Benefícios'!$D$5,1,MATCH($B20,'Encargos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1226650.8299999998</v>
      </c>
      <c r="G20" s="188">
        <f t="array" aca="1" ref="G20" ca="1">_xlfn.IFNA(SUM((G$3&gt;='Gastos com Pessoal'!$E$7:$E$506)*(G$3&lt;='Gastos com Pessoal'!$F$7:$F$506)*OFFSET('Encargos e Benefícios'!$D$5,1,MATCH($B20,'Encargos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1226650.8299999998</v>
      </c>
      <c r="H20" s="188">
        <f t="array" aca="1" ref="H20" ca="1">_xlfn.IFNA(SUM((H$3&gt;='Gastos com Pessoal'!$E$7:$E$506)*(H$3&lt;='Gastos com Pessoal'!$F$7:$F$506)*OFFSET('Encargos e Benefícios'!$D$5,1,MATCH($B20,'Encargos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1298287.2384719998</v>
      </c>
      <c r="I20" s="188">
        <f t="array" aca="1" ref="I20" ca="1">_xlfn.IFNA(SUM((I$3&gt;='Gastos com Pessoal'!$E$7:$E$506)*(I$3&lt;='Gastos com Pessoal'!$F$7:$F$506)*OFFSET('Encargos e Benefícios'!$D$5,1,MATCH($B20,'Encargos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1298287.2384719998</v>
      </c>
      <c r="J20" s="188">
        <f t="array" aca="1" ref="J20" ca="1">_xlfn.IFNA(SUM((J$3&gt;='Gastos com Pessoal'!$E$7:$E$506)*(J$3&lt;='Gastos com Pessoal'!$F$7:$F$506)*OFFSET('Encargos e Benefícios'!$D$5,1,MATCH($B20,'Encargos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1298287.2384719998</v>
      </c>
      <c r="K20" s="188">
        <f t="array" aca="1" ref="K20" ca="1">_xlfn.IFNA(SUM((K$3&gt;='Gastos com Pessoal'!$E$7:$E$506)*(K$3&lt;='Gastos com Pessoal'!$F$7:$F$506)*OFFSET('Encargos e Benefícios'!$D$5,1,MATCH($B20,'Encargos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1298287.2384719998</v>
      </c>
      <c r="L20" s="188">
        <f t="array" aca="1" ref="L20" ca="1">_xlfn.IFNA(SUM((L$3&gt;='Gastos com Pessoal'!$E$7:$E$506)*(L$3&lt;='Gastos com Pessoal'!$F$7:$F$506)*OFFSET('Encargos e Benefícios'!$D$5,1,MATCH($B20,'Encargos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1298287.2384719998</v>
      </c>
      <c r="M20" s="188">
        <f t="array" aca="1" ref="M20" ca="1">_xlfn.IFNA(SUM((M$3&gt;='Gastos com Pessoal'!$E$7:$E$506)*(M$3&lt;='Gastos com Pessoal'!$F$7:$F$506)*OFFSET('Encargos e Benefícios'!$D$5,1,MATCH($B20,'Encargos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1309160.8167119997</v>
      </c>
      <c r="N20" s="188">
        <f t="array" aca="1" ref="N20" ca="1">_xlfn.IFNA(SUM((N$3&gt;='Gastos com Pessoal'!$E$7:$E$506)*(N$3&lt;='Gastos com Pessoal'!$F$7:$F$506)*OFFSET('Encargos e Benefícios'!$D$5,1,MATCH($B20,'Encargos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1373754.3230879998</v>
      </c>
      <c r="O20" s="188">
        <f t="array" aca="1" ref="O20" ca="1">_xlfn.IFNA(SUM((O$3&gt;='Gastos com Pessoal'!$E$7:$E$506)*(O$3&lt;='Gastos com Pessoal'!$F$7:$F$506)*OFFSET('Encargos e Benefícios'!$D$5,1,MATCH($B20,'Encargos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1373754.3230879998</v>
      </c>
      <c r="P20" s="188">
        <f t="array" aca="1" ref="P20" ca="1">_xlfn.IFNA(SUM((P$3&gt;='Gastos com Pessoal'!$E$7:$E$506)*(P$3&lt;='Gastos com Pessoal'!$F$7:$F$506)*OFFSET('Encargos e Benefícios'!$D$5,1,MATCH($B20,'Encargos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1384627.9013279998</v>
      </c>
      <c r="Q20" s="188">
        <f t="array" aca="1" ref="Q20" ca="1">_xlfn.IFNA(SUM((Q$3&gt;='Gastos com Pessoal'!$E$7:$E$506)*(Q$3&lt;='Gastos com Pessoal'!$F$7:$F$506)*OFFSET('Encargos e Benefícios'!$D$5,1,MATCH($B20,'Encargos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1449221.4077039999</v>
      </c>
      <c r="R20" s="188">
        <f t="array" aca="1" ref="R20" ca="1">_xlfn.IFNA(SUM((R$3&gt;='Gastos com Pessoal'!$E$7:$E$506)*(R$3&lt;='Gastos com Pessoal'!$F$7:$F$506)*OFFSET('Encargos e Benefícios'!$D$5,1,MATCH($B20,'Encargos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1449221.4077039999</v>
      </c>
      <c r="S20" s="188">
        <f t="array" aca="1" ref="S20" ca="1">_xlfn.IFNA(SUM((S$3&gt;='Gastos com Pessoal'!$E$7:$E$506)*(S$3&lt;='Gastos com Pessoal'!$F$7:$F$506)*OFFSET('Encargos e Benefícios'!$D$5,1,MATCH($B20,'Encargos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1449221.4077039999</v>
      </c>
      <c r="T20" s="188">
        <f t="array" aca="1" ref="T20" ca="1">_xlfn.IFNA(SUM((T$3&gt;='Gastos com Pessoal'!$E$7:$E$506)*(T$3&lt;='Gastos com Pessoal'!$F$7:$F$506)*OFFSET('Encargos e Benefícios'!$D$5,1,MATCH($B20,'Encargos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1533855.9379139135</v>
      </c>
      <c r="U20" s="188">
        <f t="array" aca="1" ref="U20" ca="1">_xlfn.IFNA(SUM((U$3&gt;='Gastos com Pessoal'!$E$7:$E$506)*(U$3&lt;='Gastos com Pessoal'!$F$7:$F$506)*OFFSET('Encargos e Benefícios'!$D$5,1,MATCH($B20,'Encargos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1533855.9379139135</v>
      </c>
      <c r="V20" s="188">
        <f t="array" aca="1" ref="V20" ca="1">_xlfn.IFNA(SUM((V$3&gt;='Gastos com Pessoal'!$E$7:$E$506)*(V$3&lt;='Gastos com Pessoal'!$F$7:$F$506)*OFFSET('Encargos e Benefícios'!$D$5,1,MATCH($B20,'Encargos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1533855.9379139135</v>
      </c>
      <c r="W20" s="188">
        <f t="array" aca="1" ref="W20" ca="1">_xlfn.IFNA(SUM((W$3&gt;='Gastos com Pessoal'!$E$7:$E$506)*(W$3&lt;='Gastos com Pessoal'!$F$7:$F$506)*OFFSET('Encargos e Benefícios'!$D$5,1,MATCH($B20,'Encargos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1533855.9379139135</v>
      </c>
      <c r="X20" s="188">
        <f t="array" aca="1" ref="X20" ca="1">_xlfn.IFNA(SUM((X$3&gt;='Gastos com Pessoal'!$E$7:$E$506)*(X$3&lt;='Gastos com Pessoal'!$F$7:$F$506)*OFFSET('Encargos e Benefícios'!$D$5,1,MATCH($B20,'Encargos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1533855.9379139135</v>
      </c>
      <c r="Y20" s="188">
        <f t="array" aca="1" ref="Y20" ca="1">_xlfn.IFNA(SUM((Y$3&gt;='Gastos com Pessoal'!$E$7:$E$506)*(Y$3&lt;='Gastos com Pessoal'!$F$7:$F$506)*OFFSET('Encargos e Benefícios'!$D$5,1,MATCH($B20,'Encargos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1533855.9379139135</v>
      </c>
      <c r="Z20" s="188">
        <f t="array" aca="1" ref="Z20" ca="1">_xlfn.IFNA(SUM((Z$3&gt;='Gastos com Pessoal'!$E$7:$E$506)*(Z$3&lt;='Gastos com Pessoal'!$F$7:$F$506)*OFFSET('Encargos e Benefícios'!$D$5,1,MATCH($B20,'Encargos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1533855.9379139135</v>
      </c>
      <c r="AA20" s="188">
        <f t="array" aca="1" ref="AA20" ca="1">_xlfn.IFNA(SUM((AA$3&gt;='Gastos com Pessoal'!$E$7:$E$506)*(AA$3&lt;='Gastos com Pessoal'!$F$7:$F$506)*OFFSET('Encargos e Benefícios'!$D$5,1,MATCH($B20,'Encargos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1533855.9379139135</v>
      </c>
      <c r="AB20" s="188">
        <f t="array" aca="1" ref="AB20" ca="1">_xlfn.IFNA(SUM((AB$3&gt;='Gastos com Pessoal'!$E$7:$E$506)*(AB$3&lt;='Gastos com Pessoal'!$F$7:$F$506)*OFFSET('Encargos e Benefícios'!$D$5,1,MATCH($B20,'Encargos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1533855.9379139135</v>
      </c>
      <c r="AC20" s="188">
        <f t="array" aca="1" ref="AC20" ca="1">_xlfn.IFNA(SUM((AC$3&gt;='Gastos com Pessoal'!$E$7:$E$506)*(AC$3&lt;='Gastos com Pessoal'!$F$7:$F$506)*OFFSET('Encargos e Benefícios'!$D$5,1,MATCH($B20,'Encargos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1533855.9379139135</v>
      </c>
      <c r="AD20" s="188">
        <f t="array" aca="1" ref="AD20" ca="1">_xlfn.IFNA(SUM((AD$3&gt;='Gastos com Pessoal'!$E$7:$E$506)*(AD$3&lt;='Gastos com Pessoal'!$F$7:$F$506)*OFFSET('Encargos e Benefícios'!$D$5,1,MATCH($B20,'Encargos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1533855.9379139135</v>
      </c>
      <c r="AE20" s="188">
        <f t="array" aca="1" ref="AE20" ca="1">_xlfn.IFNA(SUM((AE$3&gt;='Gastos com Pessoal'!$E$7:$E$506)*(AE$3&lt;='Gastos com Pessoal'!$F$7:$F$506)*OFFSET('Encargos e Benefícios'!$D$5,1,MATCH($B20,'Encargos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1533855.9379139135</v>
      </c>
      <c r="AF20" s="188">
        <f t="array" aca="1" ref="AF20" ca="1">_xlfn.IFNA(SUM((AF$3&gt;='Gastos com Pessoal'!$E$7:$E$506)*(AF$3&lt;='Gastos com Pessoal'!$F$7:$F$506)*OFFSET('Encargos e Benefícios'!$D$5,1,MATCH($B20,'Encargos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1623433.1246880861</v>
      </c>
      <c r="AG20" s="188">
        <f t="array" aca="1" ref="AG20" ca="1">_xlfn.IFNA(SUM((AG$3&gt;='Gastos com Pessoal'!$E$7:$E$506)*(AG$3&lt;='Gastos com Pessoal'!$F$7:$F$506)*OFFSET('Encargos e Benefícios'!$D$5,1,MATCH($B20,'Encargos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1623433.1246880861</v>
      </c>
      <c r="AH20" s="188">
        <f t="array" aca="1" ref="AH20" ca="1">_xlfn.IFNA(SUM((AH$3&gt;='Gastos com Pessoal'!$E$7:$E$506)*(AH$3&lt;='Gastos com Pessoal'!$F$7:$F$506)*OFFSET('Encargos e Benefícios'!$D$5,1,MATCH($B20,'Encargos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1623433.1246880861</v>
      </c>
      <c r="AI20" s="188">
        <f t="array" aca="1" ref="AI20" ca="1">_xlfn.IFNA(SUM((AI$3&gt;='Gastos com Pessoal'!$E$7:$E$506)*(AI$3&lt;='Gastos com Pessoal'!$F$7:$F$506)*OFFSET('Encargos e Benefícios'!$D$5,1,MATCH($B20,'Encargos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1623433.1246880861</v>
      </c>
      <c r="AJ20" s="188">
        <f t="array" aca="1" ref="AJ20" ca="1">_xlfn.IFNA(SUM((AJ$3&gt;='Gastos com Pessoal'!$E$7:$E$506)*(AJ$3&lt;='Gastos com Pessoal'!$F$7:$F$506)*OFFSET('Encargos e Benefícios'!$D$5,1,MATCH($B20,'Encargos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1623433.1246880861</v>
      </c>
      <c r="AK20" s="188">
        <f t="array" aca="1" ref="AK20" ca="1">_xlfn.IFNA(SUM((AK$3&gt;='Gastos com Pessoal'!$E$7:$E$506)*(AK$3&lt;='Gastos com Pessoal'!$F$7:$F$506)*OFFSET('Encargos e Benefícios'!$D$5,1,MATCH($B20,'Encargos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1623433.1246880861</v>
      </c>
      <c r="AL20" s="188">
        <f t="array" aca="1" ref="AL20" ca="1">_xlfn.IFNA(SUM((AL$3&gt;='Gastos com Pessoal'!$E$7:$E$506)*(AL$3&lt;='Gastos com Pessoal'!$F$7:$F$506)*OFFSET('Encargos e Benefícios'!$D$5,1,MATCH($B20,'Encargos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1623433.1246880861</v>
      </c>
      <c r="AM20" s="188">
        <f t="array" aca="1" ref="AM20" ca="1">_xlfn.IFNA(SUM((AM$3&gt;='Gastos com Pessoal'!$E$7:$E$506)*(AM$3&lt;='Gastos com Pessoal'!$F$7:$F$506)*OFFSET('Encargos e Benefícios'!$D$5,1,MATCH($B20,'Encargos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1623433.1246880861</v>
      </c>
      <c r="AN20" s="188">
        <f t="array" aca="1" ref="AN20" ca="1">_xlfn.IFNA(SUM((AN$3&gt;='Gastos com Pessoal'!$E$7:$E$506)*(AN$3&lt;='Gastos com Pessoal'!$F$7:$F$506)*OFFSET('Encargos e Benefícios'!$D$5,1,MATCH($B20,'Encargos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1623433.1246880861</v>
      </c>
      <c r="AO20" s="188">
        <f t="array" aca="1" ref="AO20" ca="1">_xlfn.IFNA(SUM((AO$3&gt;='Gastos com Pessoal'!$E$7:$E$506)*(AO$3&lt;='Gastos com Pessoal'!$F$7:$F$506)*OFFSET('Encargos e Benefícios'!$D$5,1,MATCH($B20,'Encargos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1623433.1246880861</v>
      </c>
      <c r="AP20" s="188">
        <f t="array" aca="1" ref="AP20" ca="1">_xlfn.IFNA(SUM((AP$3&gt;='Gastos com Pessoal'!$E$7:$E$506)*(AP$3&lt;='Gastos com Pessoal'!$F$7:$F$506)*OFFSET('Encargos e Benefícios'!$D$5,1,MATCH($B20,'Encargos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1623433.1246880861</v>
      </c>
      <c r="AQ20" s="188">
        <f t="array" aca="1" ref="AQ20" ca="1">_xlfn.IFNA(SUM((AQ$3&gt;='Gastos com Pessoal'!$E$7:$E$506)*(AQ$3&lt;='Gastos com Pessoal'!$F$7:$F$506)*OFFSET('Encargos e Benefícios'!$D$5,1,MATCH($B20,'Encargos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1623433.1246880861</v>
      </c>
      <c r="AR20" s="188">
        <f t="array" aca="1" ref="AR20" ca="1">_xlfn.IFNA(SUM((AR$3&gt;='Gastos com Pessoal'!$E$7:$E$506)*(AR$3&lt;='Gastos com Pessoal'!$F$7:$F$506)*OFFSET('Encargos e Benefícios'!$D$5,1,MATCH($B20,'Encargos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1718241.6191698704</v>
      </c>
      <c r="AS20" s="188">
        <f t="array" aca="1" ref="AS20" ca="1">_xlfn.IFNA(SUM((AS$3&gt;='Gastos com Pessoal'!$E$7:$E$506)*(AS$3&lt;='Gastos com Pessoal'!$F$7:$F$506)*OFFSET('Encargos e Benefícios'!$D$5,1,MATCH($B20,'Encargos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1718241.6191698704</v>
      </c>
      <c r="AT20" s="188">
        <f t="array" aca="1" ref="AT20" ca="1">_xlfn.IFNA(SUM((AT$3&gt;='Gastos com Pessoal'!$E$7:$E$506)*(AT$3&lt;='Gastos com Pessoal'!$F$7:$F$506)*OFFSET('Encargos e Benefícios'!$D$5,1,MATCH($B20,'Encargos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1718241.6191698704</v>
      </c>
      <c r="AU20" s="188">
        <f t="array" aca="1" ref="AU20" ca="1">_xlfn.IFNA(SUM((AU$3&gt;='Gastos com Pessoal'!$E$7:$E$506)*(AU$3&lt;='Gastos com Pessoal'!$F$7:$F$506)*OFFSET('Encargos e Benefícios'!$D$5,1,MATCH($B20,'Encargos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1718241.6191698704</v>
      </c>
      <c r="AV20" s="188">
        <f t="array" aca="1" ref="AV20" ca="1">_xlfn.IFNA(SUM((AV$3&gt;='Gastos com Pessoal'!$E$7:$E$506)*(AV$3&lt;='Gastos com Pessoal'!$F$7:$F$506)*OFFSET('Encargos e Benefícios'!$D$5,1,MATCH($B20,'Encargos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1718241.6191698704</v>
      </c>
      <c r="AW20" s="188">
        <f t="array" aca="1" ref="AW20" ca="1">_xlfn.IFNA(SUM((AW$3&gt;='Gastos com Pessoal'!$E$7:$E$506)*(AW$3&lt;='Gastos com Pessoal'!$F$7:$F$506)*OFFSET('Encargos e Benefícios'!$D$5,1,MATCH($B20,'Encargos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1718241.6191698704</v>
      </c>
      <c r="AX20" s="188">
        <f t="array" aca="1" ref="AX20" ca="1">_xlfn.IFNA(SUM((AX$3&gt;='Gastos com Pessoal'!$E$7:$E$506)*(AX$3&lt;='Gastos com Pessoal'!$F$7:$F$506)*OFFSET('Encargos e Benefícios'!$D$5,1,MATCH($B20,'Encargos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1718241.6191698704</v>
      </c>
      <c r="AY20" s="188">
        <f t="array" aca="1" ref="AY20" ca="1">_xlfn.IFNA(SUM((AY$3&gt;='Gastos com Pessoal'!$E$7:$E$506)*(AY$3&lt;='Gastos com Pessoal'!$F$7:$F$506)*OFFSET('Encargos e Benefícios'!$D$5,1,MATCH($B20,'Encargos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1718241.6191698704</v>
      </c>
      <c r="AZ20" s="188">
        <f t="array" aca="1" ref="AZ20" ca="1">_xlfn.IFNA(SUM((AZ$3&gt;='Gastos com Pessoal'!$E$7:$E$506)*(AZ$3&lt;='Gastos com Pessoal'!$F$7:$F$506)*OFFSET('Encargos e Benefícios'!$D$5,1,MATCH($B20,'Encargos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1718241.6191698704</v>
      </c>
      <c r="BA20" s="188">
        <f t="array" aca="1" ref="BA20" ca="1">_xlfn.IFNA(SUM((BA$3&gt;='Gastos com Pessoal'!$E$7:$E$506)*(BA$3&lt;='Gastos com Pessoal'!$F$7:$F$506)*OFFSET('Encargos e Benefícios'!$D$5,1,MATCH($B20,'Encargos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1718241.6191698704</v>
      </c>
      <c r="BB20" s="188">
        <f t="array" aca="1" ref="BB20" ca="1">_xlfn.IFNA(SUM((BB$3&gt;='Gastos com Pessoal'!$E$7:$E$506)*(BB$3&lt;='Gastos com Pessoal'!$F$7:$F$506)*OFFSET('Encargos e Benefícios'!$D$5,1,MATCH($B20,'Encargos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1718241.6191698704</v>
      </c>
      <c r="BC20" s="188">
        <f t="array" aca="1" ref="BC20" ca="1">_xlfn.IFNA(SUM((BC$3&gt;='Gastos com Pessoal'!$E$7:$E$506)*(BC$3&lt;='Gastos com Pessoal'!$F$7:$F$506)*OFFSET('Encargos e Benefícios'!$D$5,1,MATCH($B20,'Encargos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1718241.6191698704</v>
      </c>
      <c r="BD20" s="188">
        <f t="array" aca="1" ref="BD20" ca="1">_xlfn.IFNA(SUM((BD$3&gt;='Gastos com Pessoal'!$E$7:$E$506)*(BD$3&lt;='Gastos com Pessoal'!$F$7:$F$506)*OFFSET('Encargos e Benefícios'!$D$5,1,MATCH($B20,'Encargos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1818586.9297293909</v>
      </c>
      <c r="BE20" s="188">
        <f t="array" aca="1" ref="BE20" ca="1">_xlfn.IFNA(SUM((BE$3&gt;='Gastos com Pessoal'!$E$7:$E$506)*(BE$3&lt;='Gastos com Pessoal'!$F$7:$F$506)*OFFSET('Encargos e Benefícios'!$D$5,1,MATCH($B20,'Encargos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1818586.9297293909</v>
      </c>
      <c r="BF20" s="188">
        <f t="array" aca="1" ref="BF20" ca="1">_xlfn.IFNA(SUM((BF$3&gt;='Gastos com Pessoal'!$E$7:$E$506)*(BF$3&lt;='Gastos com Pessoal'!$F$7:$F$506)*OFFSET('Encargos e Benefícios'!$D$5,1,MATCH($B20,'Encargos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1818586.9297293909</v>
      </c>
      <c r="BG20" s="188">
        <f t="array" aca="1" ref="BG20" ca="1">_xlfn.IFNA(SUM((BG$3&gt;='Gastos com Pessoal'!$E$7:$E$506)*(BG$3&lt;='Gastos com Pessoal'!$F$7:$F$506)*OFFSET('Encargos e Benefícios'!$D$5,1,MATCH($B20,'Encargos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1818586.9297293909</v>
      </c>
      <c r="BH20" s="188">
        <f t="array" aca="1" ref="BH20" ca="1">_xlfn.IFNA(SUM((BH$3&gt;='Gastos com Pessoal'!$E$7:$E$506)*(BH$3&lt;='Gastos com Pessoal'!$F$7:$F$506)*OFFSET('Encargos e Benefícios'!$D$5,1,MATCH($B20,'Encargos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1818586.9297293909</v>
      </c>
      <c r="BI20" s="188">
        <f t="array" aca="1" ref="BI20" ca="1">_xlfn.IFNA(SUM((BI$3&gt;='Gastos com Pessoal'!$E$7:$E$506)*(BI$3&lt;='Gastos com Pessoal'!$F$7:$F$506)*OFFSET('Encargos e Benefícios'!$D$5,1,MATCH($B20,'Encargos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1818586.9297293909</v>
      </c>
      <c r="BJ20" s="188">
        <f t="array" aca="1" ref="BJ20" ca="1">_xlfn.IFNA(SUM((BJ$3&gt;='Gastos com Pessoal'!$E$7:$E$506)*(BJ$3&lt;='Gastos com Pessoal'!$F$7:$F$506)*OFFSET('Encargos e Benefícios'!$D$5,1,MATCH($B20,'Encargos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1818586.9297293909</v>
      </c>
      <c r="BK20" s="189">
        <f t="shared" ref="BK20:BK27" ca="1" si="11">SUM(C20:BJ20)</f>
        <v>92687661.854056224</v>
      </c>
      <c r="BL20" s="136">
        <f t="shared" ref="BL20:BL28" ca="1" si="12">IF($BK$152=0,0,BK20/$BK$152)</f>
        <v>0.27702533008837876</v>
      </c>
      <c r="BN20" s="188">
        <f t="array" aca="1" ref="BN20" ca="1">_xlfn.IFNA(SUM((BN$3&gt;='Gastos com Pessoal'!$E$7:$E$506)*(BN$3&lt;='Gastos com Pessoal'!$F$7:$F$506)*OFFSET('Encargos e Benefícios'!$D$5,1,MATCH($B20,'Encargos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1084044.8499999999</v>
      </c>
    </row>
    <row r="21" spans="1:66" s="160" customFormat="1" ht="23.25" customHeight="1">
      <c r="A21" s="198" t="s">
        <v>133</v>
      </c>
      <c r="B21" s="209" t="s">
        <v>134</v>
      </c>
      <c r="C21" s="188">
        <f t="shared" ref="C21:C27" ca="1" si="13">BN21*9/30</f>
        <v>13098.057142857147</v>
      </c>
      <c r="D21" s="188">
        <f t="array" aca="1" ref="D21" ca="1">_xlfn.IFNA(SUM((D$3&gt;='Gastos com Pessoal'!$E$7:$E$506)*(D$3&lt;='Gastos com Pessoal'!$F$7:$F$506)*OFFSET('Encargos e Benefícios'!$D$5,1,MATCH($B21,'Encargos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46671.238095238121</v>
      </c>
      <c r="E21" s="188">
        <f t="array" aca="1" ref="E21" ca="1">_xlfn.IFNA(SUM((E$3&gt;='Gastos com Pessoal'!$E$7:$E$506)*(E$3&lt;='Gastos com Pessoal'!$F$7:$F$506)*OFFSET('Encargos e Benefícios'!$D$5,1,MATCH($B21,'Encargos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49682.285714285747</v>
      </c>
      <c r="F21" s="188">
        <f t="array" aca="1" ref="F21" ca="1">_xlfn.IFNA(SUM((F$3&gt;='Gastos com Pessoal'!$E$7:$E$506)*(F$3&lt;='Gastos com Pessoal'!$F$7:$F$506)*OFFSET('Encargos e Benefícios'!$D$5,1,MATCH($B21,'Encargos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49682.285714285747</v>
      </c>
      <c r="G21" s="188">
        <f t="array" aca="1" ref="G21" ca="1">_xlfn.IFNA(SUM((G$3&gt;='Gastos com Pessoal'!$E$7:$E$506)*(G$3&lt;='Gastos com Pessoal'!$F$7:$F$506)*OFFSET('Encargos e Benefícios'!$D$5,1,MATCH($B21,'Encargos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49682.285714285747</v>
      </c>
      <c r="H21" s="188">
        <f t="array" aca="1" ref="H21" ca="1">_xlfn.IFNA(SUM((H$3&gt;='Gastos com Pessoal'!$E$7:$E$506)*(H$3&lt;='Gastos com Pessoal'!$F$7:$F$506)*OFFSET('Encargos e Benefícios'!$D$5,1,MATCH($B21,'Encargos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52583.731200000031</v>
      </c>
      <c r="I21" s="188">
        <f t="array" aca="1" ref="I21" ca="1">_xlfn.IFNA(SUM((I$3&gt;='Gastos com Pessoal'!$E$7:$E$506)*(I$3&lt;='Gastos com Pessoal'!$F$7:$F$506)*OFFSET('Encargos e Benefícios'!$D$5,1,MATCH($B21,'Encargos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52583.731200000031</v>
      </c>
      <c r="J21" s="188">
        <f t="array" aca="1" ref="J21" ca="1">_xlfn.IFNA(SUM((J$3&gt;='Gastos com Pessoal'!$E$7:$E$506)*(J$3&lt;='Gastos com Pessoal'!$F$7:$F$506)*OFFSET('Encargos e Benefícios'!$D$5,1,MATCH($B21,'Encargos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52583.731200000031</v>
      </c>
      <c r="K21" s="188">
        <f t="array" aca="1" ref="K21" ca="1">_xlfn.IFNA(SUM((K$3&gt;='Gastos com Pessoal'!$E$7:$E$506)*(K$3&lt;='Gastos com Pessoal'!$F$7:$F$506)*OFFSET('Encargos e Benefícios'!$D$5,1,MATCH($B21,'Encargos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52583.731200000031</v>
      </c>
      <c r="L21" s="188">
        <f t="array" aca="1" ref="L21" ca="1">_xlfn.IFNA(SUM((L$3&gt;='Gastos com Pessoal'!$E$7:$E$506)*(L$3&lt;='Gastos com Pessoal'!$F$7:$F$506)*OFFSET('Encargos e Benefícios'!$D$5,1,MATCH($B21,'Encargos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52583.731200000031</v>
      </c>
      <c r="M21" s="188">
        <f t="array" aca="1" ref="M21" ca="1">_xlfn.IFNA(SUM((M$3&gt;='Gastos com Pessoal'!$E$7:$E$506)*(M$3&lt;='Gastos com Pessoal'!$F$7:$F$506)*OFFSET('Encargos e Benefícios'!$D$5,1,MATCH($B21,'Encargos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52583.731200000031</v>
      </c>
      <c r="N21" s="188">
        <f t="array" aca="1" ref="N21" ca="1">_xlfn.IFNA(SUM((N$3&gt;='Gastos com Pessoal'!$E$7:$E$506)*(N$3&lt;='Gastos com Pessoal'!$F$7:$F$506)*OFFSET('Encargos e Benefícios'!$D$5,1,MATCH($B21,'Encargos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55770.62400000004</v>
      </c>
      <c r="O21" s="188">
        <f t="array" aca="1" ref="O21" ca="1">_xlfn.IFNA(SUM((O$3&gt;='Gastos com Pessoal'!$E$7:$E$506)*(O$3&lt;='Gastos com Pessoal'!$F$7:$F$506)*OFFSET('Encargos e Benefícios'!$D$5,1,MATCH($B21,'Encargos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55770.62400000004</v>
      </c>
      <c r="P21" s="188">
        <f t="array" aca="1" ref="P21" ca="1">_xlfn.IFNA(SUM((P$3&gt;='Gastos com Pessoal'!$E$7:$E$506)*(P$3&lt;='Gastos com Pessoal'!$F$7:$F$506)*OFFSET('Encargos e Benefícios'!$D$5,1,MATCH($B21,'Encargos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55770.62400000004</v>
      </c>
      <c r="Q21" s="188">
        <f t="array" aca="1" ref="Q21" ca="1">_xlfn.IFNA(SUM((Q$3&gt;='Gastos com Pessoal'!$E$7:$E$506)*(Q$3&lt;='Gastos com Pessoal'!$F$7:$F$506)*OFFSET('Encargos e Benefícios'!$D$5,1,MATCH($B21,'Encargos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58957.516800000049</v>
      </c>
      <c r="R21" s="188">
        <f t="array" aca="1" ref="R21" ca="1">_xlfn.IFNA(SUM((R$3&gt;='Gastos com Pessoal'!$E$7:$E$506)*(R$3&lt;='Gastos com Pessoal'!$F$7:$F$506)*OFFSET('Encargos e Benefícios'!$D$5,1,MATCH($B21,'Encargos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58957.516800000049</v>
      </c>
      <c r="S21" s="188">
        <f t="array" aca="1" ref="S21" ca="1">_xlfn.IFNA(SUM((S$3&gt;='Gastos com Pessoal'!$E$7:$E$506)*(S$3&lt;='Gastos com Pessoal'!$F$7:$F$506)*OFFSET('Encargos e Benefícios'!$D$5,1,MATCH($B21,'Encargos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58957.516800000049</v>
      </c>
      <c r="T21" s="188">
        <f t="array" aca="1" ref="T21" ca="1">_xlfn.IFNA(SUM((T$3&gt;='Gastos com Pessoal'!$E$7:$E$506)*(T$3&lt;='Gastos com Pessoal'!$F$7:$F$506)*OFFSET('Encargos e Benefícios'!$D$5,1,MATCH($B21,'Encargos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62400.635781120051</v>
      </c>
      <c r="U21" s="188">
        <f t="array" aca="1" ref="U21" ca="1">_xlfn.IFNA(SUM((U$3&gt;='Gastos com Pessoal'!$E$7:$E$506)*(U$3&lt;='Gastos com Pessoal'!$F$7:$F$506)*OFFSET('Encargos e Benefícios'!$D$5,1,MATCH($B21,'Encargos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62400.635781120051</v>
      </c>
      <c r="V21" s="188">
        <f t="array" aca="1" ref="V21" ca="1">_xlfn.IFNA(SUM((V$3&gt;='Gastos com Pessoal'!$E$7:$E$506)*(V$3&lt;='Gastos com Pessoal'!$F$7:$F$506)*OFFSET('Encargos e Benefícios'!$D$5,1,MATCH($B21,'Encargos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62400.635781120051</v>
      </c>
      <c r="W21" s="188">
        <f t="array" aca="1" ref="W21" ca="1">_xlfn.IFNA(SUM((W$3&gt;='Gastos com Pessoal'!$E$7:$E$506)*(W$3&lt;='Gastos com Pessoal'!$F$7:$F$506)*OFFSET('Encargos e Benefícios'!$D$5,1,MATCH($B21,'Encargos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62400.635781120051</v>
      </c>
      <c r="X21" s="188">
        <f t="array" aca="1" ref="X21" ca="1">_xlfn.IFNA(SUM((X$3&gt;='Gastos com Pessoal'!$E$7:$E$506)*(X$3&lt;='Gastos com Pessoal'!$F$7:$F$506)*OFFSET('Encargos e Benefícios'!$D$5,1,MATCH($B21,'Encargos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62400.635781120051</v>
      </c>
      <c r="Y21" s="188">
        <f t="array" aca="1" ref="Y21" ca="1">_xlfn.IFNA(SUM((Y$3&gt;='Gastos com Pessoal'!$E$7:$E$506)*(Y$3&lt;='Gastos com Pessoal'!$F$7:$F$506)*OFFSET('Encargos e Benefícios'!$D$5,1,MATCH($B21,'Encargos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62400.635781120051</v>
      </c>
      <c r="Z21" s="188">
        <f t="array" aca="1" ref="Z21" ca="1">_xlfn.IFNA(SUM((Z$3&gt;='Gastos com Pessoal'!$E$7:$E$506)*(Z$3&lt;='Gastos com Pessoal'!$F$7:$F$506)*OFFSET('Encargos e Benefícios'!$D$5,1,MATCH($B21,'Encargos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62400.635781120051</v>
      </c>
      <c r="AA21" s="188">
        <f t="array" aca="1" ref="AA21" ca="1">_xlfn.IFNA(SUM((AA$3&gt;='Gastos com Pessoal'!$E$7:$E$506)*(AA$3&lt;='Gastos com Pessoal'!$F$7:$F$506)*OFFSET('Encargos e Benefícios'!$D$5,1,MATCH($B21,'Encargos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62400.635781120051</v>
      </c>
      <c r="AB21" s="188">
        <f t="array" aca="1" ref="AB21" ca="1">_xlfn.IFNA(SUM((AB$3&gt;='Gastos com Pessoal'!$E$7:$E$506)*(AB$3&lt;='Gastos com Pessoal'!$F$7:$F$506)*OFFSET('Encargos e Benefícios'!$D$5,1,MATCH($B21,'Encargos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62400.635781120051</v>
      </c>
      <c r="AC21" s="188">
        <f t="array" aca="1" ref="AC21" ca="1">_xlfn.IFNA(SUM((AC$3&gt;='Gastos com Pessoal'!$E$7:$E$506)*(AC$3&lt;='Gastos com Pessoal'!$F$7:$F$506)*OFFSET('Encargos e Benefícios'!$D$5,1,MATCH($B21,'Encargos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62400.635781120051</v>
      </c>
      <c r="AD21" s="188">
        <f t="array" aca="1" ref="AD21" ca="1">_xlfn.IFNA(SUM((AD$3&gt;='Gastos com Pessoal'!$E$7:$E$506)*(AD$3&lt;='Gastos com Pessoal'!$F$7:$F$506)*OFFSET('Encargos e Benefícios'!$D$5,1,MATCH($B21,'Encargos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62400.635781120051</v>
      </c>
      <c r="AE21" s="188">
        <f t="array" aca="1" ref="AE21" ca="1">_xlfn.IFNA(SUM((AE$3&gt;='Gastos com Pessoal'!$E$7:$E$506)*(AE$3&lt;='Gastos com Pessoal'!$F$7:$F$506)*OFFSET('Encargos e Benefícios'!$D$5,1,MATCH($B21,'Encargos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62400.635781120051</v>
      </c>
      <c r="AF21" s="188">
        <f t="array" aca="1" ref="AF21" ca="1">_xlfn.IFNA(SUM((AF$3&gt;='Gastos com Pessoal'!$E$7:$E$506)*(AF$3&lt;='Gastos com Pessoal'!$F$7:$F$506)*OFFSET('Encargos e Benefícios'!$D$5,1,MATCH($B21,'Encargos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66044.832910737459</v>
      </c>
      <c r="AG21" s="188">
        <f t="array" aca="1" ref="AG21" ca="1">_xlfn.IFNA(SUM((AG$3&gt;='Gastos com Pessoal'!$E$7:$E$506)*(AG$3&lt;='Gastos com Pessoal'!$F$7:$F$506)*OFFSET('Encargos e Benefícios'!$D$5,1,MATCH($B21,'Encargos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66044.832910737459</v>
      </c>
      <c r="AH21" s="188">
        <f t="array" aca="1" ref="AH21" ca="1">_xlfn.IFNA(SUM((AH$3&gt;='Gastos com Pessoal'!$E$7:$E$506)*(AH$3&lt;='Gastos com Pessoal'!$F$7:$F$506)*OFFSET('Encargos e Benefícios'!$D$5,1,MATCH($B21,'Encargos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66044.832910737459</v>
      </c>
      <c r="AI21" s="188">
        <f t="array" aca="1" ref="AI21" ca="1">_xlfn.IFNA(SUM((AI$3&gt;='Gastos com Pessoal'!$E$7:$E$506)*(AI$3&lt;='Gastos com Pessoal'!$F$7:$F$506)*OFFSET('Encargos e Benefícios'!$D$5,1,MATCH($B21,'Encargos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66044.832910737459</v>
      </c>
      <c r="AJ21" s="188">
        <f t="array" aca="1" ref="AJ21" ca="1">_xlfn.IFNA(SUM((AJ$3&gt;='Gastos com Pessoal'!$E$7:$E$506)*(AJ$3&lt;='Gastos com Pessoal'!$F$7:$F$506)*OFFSET('Encargos e Benefícios'!$D$5,1,MATCH($B21,'Encargos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66044.832910737459</v>
      </c>
      <c r="AK21" s="188">
        <f t="array" aca="1" ref="AK21" ca="1">_xlfn.IFNA(SUM((AK$3&gt;='Gastos com Pessoal'!$E$7:$E$506)*(AK$3&lt;='Gastos com Pessoal'!$F$7:$F$506)*OFFSET('Encargos e Benefícios'!$D$5,1,MATCH($B21,'Encargos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66044.832910737459</v>
      </c>
      <c r="AL21" s="188">
        <f t="array" aca="1" ref="AL21" ca="1">_xlfn.IFNA(SUM((AL$3&gt;='Gastos com Pessoal'!$E$7:$E$506)*(AL$3&lt;='Gastos com Pessoal'!$F$7:$F$506)*OFFSET('Encargos e Benefícios'!$D$5,1,MATCH($B21,'Encargos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66044.832910737459</v>
      </c>
      <c r="AM21" s="188">
        <f t="array" aca="1" ref="AM21" ca="1">_xlfn.IFNA(SUM((AM$3&gt;='Gastos com Pessoal'!$E$7:$E$506)*(AM$3&lt;='Gastos com Pessoal'!$F$7:$F$506)*OFFSET('Encargos e Benefícios'!$D$5,1,MATCH($B21,'Encargos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66044.832910737459</v>
      </c>
      <c r="AN21" s="188">
        <f t="array" aca="1" ref="AN21" ca="1">_xlfn.IFNA(SUM((AN$3&gt;='Gastos com Pessoal'!$E$7:$E$506)*(AN$3&lt;='Gastos com Pessoal'!$F$7:$F$506)*OFFSET('Encargos e Benefícios'!$D$5,1,MATCH($B21,'Encargos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66044.832910737459</v>
      </c>
      <c r="AO21" s="188">
        <f t="array" aca="1" ref="AO21" ca="1">_xlfn.IFNA(SUM((AO$3&gt;='Gastos com Pessoal'!$E$7:$E$506)*(AO$3&lt;='Gastos com Pessoal'!$F$7:$F$506)*OFFSET('Encargos e Benefícios'!$D$5,1,MATCH($B21,'Encargos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66044.832910737459</v>
      </c>
      <c r="AP21" s="188">
        <f t="array" aca="1" ref="AP21" ca="1">_xlfn.IFNA(SUM((AP$3&gt;='Gastos com Pessoal'!$E$7:$E$506)*(AP$3&lt;='Gastos com Pessoal'!$F$7:$F$506)*OFFSET('Encargos e Benefícios'!$D$5,1,MATCH($B21,'Encargos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66044.832910737459</v>
      </c>
      <c r="AQ21" s="188">
        <f t="array" aca="1" ref="AQ21" ca="1">_xlfn.IFNA(SUM((AQ$3&gt;='Gastos com Pessoal'!$E$7:$E$506)*(AQ$3&lt;='Gastos com Pessoal'!$F$7:$F$506)*OFFSET('Encargos e Benefícios'!$D$5,1,MATCH($B21,'Encargos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66044.832910737459</v>
      </c>
      <c r="AR21" s="188">
        <f t="array" aca="1" ref="AR21" ca="1">_xlfn.IFNA(SUM((AR$3&gt;='Gastos com Pessoal'!$E$7:$E$506)*(AR$3&lt;='Gastos com Pessoal'!$F$7:$F$506)*OFFSET('Encargos e Benefícios'!$D$5,1,MATCH($B21,'Encargos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69901.851152724528</v>
      </c>
      <c r="AS21" s="188">
        <f t="array" aca="1" ref="AS21" ca="1">_xlfn.IFNA(SUM((AS$3&gt;='Gastos com Pessoal'!$E$7:$E$506)*(AS$3&lt;='Gastos com Pessoal'!$F$7:$F$506)*OFFSET('Encargos e Benefícios'!$D$5,1,MATCH($B21,'Encargos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69901.851152724528</v>
      </c>
      <c r="AT21" s="188">
        <f t="array" aca="1" ref="AT21" ca="1">_xlfn.IFNA(SUM((AT$3&gt;='Gastos com Pessoal'!$E$7:$E$506)*(AT$3&lt;='Gastos com Pessoal'!$F$7:$F$506)*OFFSET('Encargos e Benefícios'!$D$5,1,MATCH($B21,'Encargos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69901.851152724528</v>
      </c>
      <c r="AU21" s="188">
        <f t="array" aca="1" ref="AU21" ca="1">_xlfn.IFNA(SUM((AU$3&gt;='Gastos com Pessoal'!$E$7:$E$506)*(AU$3&lt;='Gastos com Pessoal'!$F$7:$F$506)*OFFSET('Encargos e Benefícios'!$D$5,1,MATCH($B21,'Encargos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69901.851152724528</v>
      </c>
      <c r="AV21" s="188">
        <f t="array" aca="1" ref="AV21" ca="1">_xlfn.IFNA(SUM((AV$3&gt;='Gastos com Pessoal'!$E$7:$E$506)*(AV$3&lt;='Gastos com Pessoal'!$F$7:$F$506)*OFFSET('Encargos e Benefícios'!$D$5,1,MATCH($B21,'Encargos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69901.851152724528</v>
      </c>
      <c r="AW21" s="188">
        <f t="array" aca="1" ref="AW21" ca="1">_xlfn.IFNA(SUM((AW$3&gt;='Gastos com Pessoal'!$E$7:$E$506)*(AW$3&lt;='Gastos com Pessoal'!$F$7:$F$506)*OFFSET('Encargos e Benefícios'!$D$5,1,MATCH($B21,'Encargos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69901.851152724528</v>
      </c>
      <c r="AX21" s="188">
        <f t="array" aca="1" ref="AX21" ca="1">_xlfn.IFNA(SUM((AX$3&gt;='Gastos com Pessoal'!$E$7:$E$506)*(AX$3&lt;='Gastos com Pessoal'!$F$7:$F$506)*OFFSET('Encargos e Benefícios'!$D$5,1,MATCH($B21,'Encargos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69901.851152724528</v>
      </c>
      <c r="AY21" s="188">
        <f t="array" aca="1" ref="AY21" ca="1">_xlfn.IFNA(SUM((AY$3&gt;='Gastos com Pessoal'!$E$7:$E$506)*(AY$3&lt;='Gastos com Pessoal'!$F$7:$F$506)*OFFSET('Encargos e Benefícios'!$D$5,1,MATCH($B21,'Encargos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69901.851152724528</v>
      </c>
      <c r="AZ21" s="188">
        <f t="array" aca="1" ref="AZ21" ca="1">_xlfn.IFNA(SUM((AZ$3&gt;='Gastos com Pessoal'!$E$7:$E$506)*(AZ$3&lt;='Gastos com Pessoal'!$F$7:$F$506)*OFFSET('Encargos e Benefícios'!$D$5,1,MATCH($B21,'Encargos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69901.851152724528</v>
      </c>
      <c r="BA21" s="188">
        <f t="array" aca="1" ref="BA21" ca="1">_xlfn.IFNA(SUM((BA$3&gt;='Gastos com Pessoal'!$E$7:$E$506)*(BA$3&lt;='Gastos com Pessoal'!$F$7:$F$506)*OFFSET('Encargos e Benefícios'!$D$5,1,MATCH($B21,'Encargos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69901.851152724528</v>
      </c>
      <c r="BB21" s="188">
        <f t="array" aca="1" ref="BB21" ca="1">_xlfn.IFNA(SUM((BB$3&gt;='Gastos com Pessoal'!$E$7:$E$506)*(BB$3&lt;='Gastos com Pessoal'!$F$7:$F$506)*OFFSET('Encargos e Benefícios'!$D$5,1,MATCH($B21,'Encargos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69901.851152724528</v>
      </c>
      <c r="BC21" s="188">
        <f t="array" aca="1" ref="BC21" ca="1">_xlfn.IFNA(SUM((BC$3&gt;='Gastos com Pessoal'!$E$7:$E$506)*(BC$3&lt;='Gastos com Pessoal'!$F$7:$F$506)*OFFSET('Encargos e Benefícios'!$D$5,1,MATCH($B21,'Encargos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69901.851152724528</v>
      </c>
      <c r="BD21" s="188">
        <f t="array" aca="1" ref="BD21" ca="1">_xlfn.IFNA(SUM((BD$3&gt;='Gastos com Pessoal'!$E$7:$E$506)*(BD$3&lt;='Gastos com Pessoal'!$F$7:$F$506)*OFFSET('Encargos e Benefícios'!$D$5,1,MATCH($B21,'Encargos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73984.119260043648</v>
      </c>
      <c r="BE21" s="188">
        <f t="array" aca="1" ref="BE21" ca="1">_xlfn.IFNA(SUM((BE$3&gt;='Gastos com Pessoal'!$E$7:$E$506)*(BE$3&lt;='Gastos com Pessoal'!$F$7:$F$506)*OFFSET('Encargos e Benefícios'!$D$5,1,MATCH($B21,'Encargos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73984.119260043648</v>
      </c>
      <c r="BF21" s="188">
        <f t="array" aca="1" ref="BF21" ca="1">_xlfn.IFNA(SUM((BF$3&gt;='Gastos com Pessoal'!$E$7:$E$506)*(BF$3&lt;='Gastos com Pessoal'!$F$7:$F$506)*OFFSET('Encargos e Benefícios'!$D$5,1,MATCH($B21,'Encargos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73984.119260043648</v>
      </c>
      <c r="BG21" s="188">
        <f t="array" aca="1" ref="BG21" ca="1">_xlfn.IFNA(SUM((BG$3&gt;='Gastos com Pessoal'!$E$7:$E$506)*(BG$3&lt;='Gastos com Pessoal'!$F$7:$F$506)*OFFSET('Encargos e Benefícios'!$D$5,1,MATCH($B21,'Encargos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73984.119260043648</v>
      </c>
      <c r="BH21" s="188">
        <f t="array" aca="1" ref="BH21" ca="1">_xlfn.IFNA(SUM((BH$3&gt;='Gastos com Pessoal'!$E$7:$E$506)*(BH$3&lt;='Gastos com Pessoal'!$F$7:$F$506)*OFFSET('Encargos e Benefícios'!$D$5,1,MATCH($B21,'Encargos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73984.119260043648</v>
      </c>
      <c r="BI21" s="188">
        <f t="array" aca="1" ref="BI21" ca="1">_xlfn.IFNA(SUM((BI$3&gt;='Gastos com Pessoal'!$E$7:$E$506)*(BI$3&lt;='Gastos com Pessoal'!$F$7:$F$506)*OFFSET('Encargos e Benefícios'!$D$5,1,MATCH($B21,'Encargos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73984.119260043648</v>
      </c>
      <c r="BJ21" s="188">
        <f t="array" aca="1" ref="BJ21" ca="1">_xlfn.IFNA(SUM((BJ$3&gt;='Gastos com Pessoal'!$E$7:$E$506)*(BJ$3&lt;='Gastos com Pessoal'!$F$7:$F$506)*OFFSET('Encargos e Benefícios'!$D$5,1,MATCH($B21,'Encargos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73984.119260043648</v>
      </c>
      <c r="BK21" s="189">
        <f t="shared" ca="1" si="11"/>
        <v>3766559.6349362456</v>
      </c>
      <c r="BL21" s="136">
        <f t="shared" ca="1" si="12"/>
        <v>1.1257511574827949E-2</v>
      </c>
      <c r="BN21" s="188">
        <f t="array" aca="1" ref="BN21" ca="1">_xlfn.IFNA(SUM((BN$3&gt;='Gastos com Pessoal'!$E$7:$E$506)*(BN$3&lt;='Gastos com Pessoal'!$F$7:$F$506)*OFFSET('Encargos e Benefícios'!$D$5,1,MATCH($B21,'Encargos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43660.190476190495</v>
      </c>
    </row>
    <row r="22" spans="1:66" s="160" customFormat="1" ht="23.25" customHeight="1">
      <c r="A22" s="198" t="s">
        <v>135</v>
      </c>
      <c r="B22" s="209" t="s">
        <v>136</v>
      </c>
      <c r="C22" s="188">
        <f t="shared" ca="1" si="13"/>
        <v>2183.0095238095228</v>
      </c>
      <c r="D22" s="188">
        <f t="array" aca="1" ref="D22" ca="1">_xlfn.IFNA(SUM((D$3&gt;='Gastos com Pessoal'!$E$7:$E$506)*(D$3&lt;='Gastos com Pessoal'!$F$7:$F$506)*OFFSET('Encargos e Benefícios'!$D$5,1,MATCH($B22,'Encargos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7778.5396825396792</v>
      </c>
      <c r="E22" s="188">
        <f t="array" aca="1" ref="E22" ca="1">_xlfn.IFNA(SUM((E$3&gt;='Gastos com Pessoal'!$E$7:$E$506)*(E$3&lt;='Gastos com Pessoal'!$F$7:$F$506)*OFFSET('Encargos e Benefícios'!$D$5,1,MATCH($B22,'Encargos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8280.3809523809487</v>
      </c>
      <c r="F22" s="188">
        <f t="array" aca="1" ref="F22" ca="1">_xlfn.IFNA(SUM((F$3&gt;='Gastos com Pessoal'!$E$7:$E$506)*(F$3&lt;='Gastos com Pessoal'!$F$7:$F$506)*OFFSET('Encargos e Benefícios'!$D$5,1,MATCH($B22,'Encargos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8280.3809523809487</v>
      </c>
      <c r="G22" s="188">
        <f t="array" aca="1" ref="G22" ca="1">_xlfn.IFNA(SUM((G$3&gt;='Gastos com Pessoal'!$E$7:$E$506)*(G$3&lt;='Gastos com Pessoal'!$F$7:$F$506)*OFFSET('Encargos e Benefícios'!$D$5,1,MATCH($B22,'Encargos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8280.3809523809487</v>
      </c>
      <c r="H22" s="188">
        <f t="array" aca="1" ref="H22" ca="1">_xlfn.IFNA(SUM((H$3&gt;='Gastos com Pessoal'!$E$7:$E$506)*(H$3&lt;='Gastos com Pessoal'!$F$7:$F$506)*OFFSET('Encargos e Benefícios'!$D$5,1,MATCH($B22,'Encargos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8763.9551999999967</v>
      </c>
      <c r="I22" s="188">
        <f t="array" aca="1" ref="I22" ca="1">_xlfn.IFNA(SUM((I$3&gt;='Gastos com Pessoal'!$E$7:$E$506)*(I$3&lt;='Gastos com Pessoal'!$F$7:$F$506)*OFFSET('Encargos e Benefícios'!$D$5,1,MATCH($B22,'Encargos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8763.9551999999967</v>
      </c>
      <c r="J22" s="188">
        <f t="array" aca="1" ref="J22" ca="1">_xlfn.IFNA(SUM((J$3&gt;='Gastos com Pessoal'!$E$7:$E$506)*(J$3&lt;='Gastos com Pessoal'!$F$7:$F$506)*OFFSET('Encargos e Benefícios'!$D$5,1,MATCH($B22,'Encargos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8763.9551999999967</v>
      </c>
      <c r="K22" s="188">
        <f t="array" aca="1" ref="K22" ca="1">_xlfn.IFNA(SUM((K$3&gt;='Gastos com Pessoal'!$E$7:$E$506)*(K$3&lt;='Gastos com Pessoal'!$F$7:$F$506)*OFFSET('Encargos e Benefícios'!$D$5,1,MATCH($B22,'Encargos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8763.9551999999967</v>
      </c>
      <c r="L22" s="188">
        <f t="array" aca="1" ref="L22" ca="1">_xlfn.IFNA(SUM((L$3&gt;='Gastos com Pessoal'!$E$7:$E$506)*(L$3&lt;='Gastos com Pessoal'!$F$7:$F$506)*OFFSET('Encargos e Benefícios'!$D$5,1,MATCH($B22,'Encargos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8763.9551999999967</v>
      </c>
      <c r="M22" s="188">
        <f t="array" aca="1" ref="M22" ca="1">_xlfn.IFNA(SUM((M$3&gt;='Gastos com Pessoal'!$E$7:$E$506)*(M$3&lt;='Gastos com Pessoal'!$F$7:$F$506)*OFFSET('Encargos e Benefícios'!$D$5,1,MATCH($B22,'Encargos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8763.9551999999967</v>
      </c>
      <c r="N22" s="188">
        <f t="array" aca="1" ref="N22" ca="1">_xlfn.IFNA(SUM((N$3&gt;='Gastos com Pessoal'!$E$7:$E$506)*(N$3&lt;='Gastos com Pessoal'!$F$7:$F$506)*OFFSET('Encargos e Benefícios'!$D$5,1,MATCH($B22,'Encargos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9295.1039999999975</v>
      </c>
      <c r="O22" s="188">
        <f t="array" aca="1" ref="O22" ca="1">_xlfn.IFNA(SUM((O$3&gt;='Gastos com Pessoal'!$E$7:$E$506)*(O$3&lt;='Gastos com Pessoal'!$F$7:$F$506)*OFFSET('Encargos e Benefícios'!$D$5,1,MATCH($B22,'Encargos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9295.1039999999975</v>
      </c>
      <c r="P22" s="188">
        <f t="array" aca="1" ref="P22" ca="1">_xlfn.IFNA(SUM((P$3&gt;='Gastos com Pessoal'!$E$7:$E$506)*(P$3&lt;='Gastos com Pessoal'!$F$7:$F$506)*OFFSET('Encargos e Benefícios'!$D$5,1,MATCH($B22,'Encargos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9295.1039999999975</v>
      </c>
      <c r="Q22" s="188">
        <f t="array" aca="1" ref="Q22" ca="1">_xlfn.IFNA(SUM((Q$3&gt;='Gastos com Pessoal'!$E$7:$E$506)*(Q$3&lt;='Gastos com Pessoal'!$F$7:$F$506)*OFFSET('Encargos e Benefícios'!$D$5,1,MATCH($B22,'Encargos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9826.2527999999966</v>
      </c>
      <c r="R22" s="188">
        <f t="array" aca="1" ref="R22" ca="1">_xlfn.IFNA(SUM((R$3&gt;='Gastos com Pessoal'!$E$7:$E$506)*(R$3&lt;='Gastos com Pessoal'!$F$7:$F$506)*OFFSET('Encargos e Benefícios'!$D$5,1,MATCH($B22,'Encargos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9826.2527999999966</v>
      </c>
      <c r="S22" s="188">
        <f t="array" aca="1" ref="S22" ca="1">_xlfn.IFNA(SUM((S$3&gt;='Gastos com Pessoal'!$E$7:$E$506)*(S$3&lt;='Gastos com Pessoal'!$F$7:$F$506)*OFFSET('Encargos e Benefícios'!$D$5,1,MATCH($B22,'Encargos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9826.2527999999966</v>
      </c>
      <c r="T22" s="188">
        <f t="array" aca="1" ref="T22" ca="1">_xlfn.IFNA(SUM((T$3&gt;='Gastos com Pessoal'!$E$7:$E$506)*(T$3&lt;='Gastos com Pessoal'!$F$7:$F$506)*OFFSET('Encargos e Benefícios'!$D$5,1,MATCH($B22,'Encargos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10400.105963519996</v>
      </c>
      <c r="U22" s="188">
        <f t="array" aca="1" ref="U22" ca="1">_xlfn.IFNA(SUM((U$3&gt;='Gastos com Pessoal'!$E$7:$E$506)*(U$3&lt;='Gastos com Pessoal'!$F$7:$F$506)*OFFSET('Encargos e Benefícios'!$D$5,1,MATCH($B22,'Encargos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10400.105963519996</v>
      </c>
      <c r="V22" s="188">
        <f t="array" aca="1" ref="V22" ca="1">_xlfn.IFNA(SUM((V$3&gt;='Gastos com Pessoal'!$E$7:$E$506)*(V$3&lt;='Gastos com Pessoal'!$F$7:$F$506)*OFFSET('Encargos e Benefícios'!$D$5,1,MATCH($B22,'Encargos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10400.105963519996</v>
      </c>
      <c r="W22" s="188">
        <f t="array" aca="1" ref="W22" ca="1">_xlfn.IFNA(SUM((W$3&gt;='Gastos com Pessoal'!$E$7:$E$506)*(W$3&lt;='Gastos com Pessoal'!$F$7:$F$506)*OFFSET('Encargos e Benefícios'!$D$5,1,MATCH($B22,'Encargos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10400.105963519996</v>
      </c>
      <c r="X22" s="188">
        <f t="array" aca="1" ref="X22" ca="1">_xlfn.IFNA(SUM((X$3&gt;='Gastos com Pessoal'!$E$7:$E$506)*(X$3&lt;='Gastos com Pessoal'!$F$7:$F$506)*OFFSET('Encargos e Benefícios'!$D$5,1,MATCH($B22,'Encargos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10400.105963519996</v>
      </c>
      <c r="Y22" s="188">
        <f t="array" aca="1" ref="Y22" ca="1">_xlfn.IFNA(SUM((Y$3&gt;='Gastos com Pessoal'!$E$7:$E$506)*(Y$3&lt;='Gastos com Pessoal'!$F$7:$F$506)*OFFSET('Encargos e Benefícios'!$D$5,1,MATCH($B22,'Encargos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10400.105963519996</v>
      </c>
      <c r="Z22" s="188">
        <f t="array" aca="1" ref="Z22" ca="1">_xlfn.IFNA(SUM((Z$3&gt;='Gastos com Pessoal'!$E$7:$E$506)*(Z$3&lt;='Gastos com Pessoal'!$F$7:$F$506)*OFFSET('Encargos e Benefícios'!$D$5,1,MATCH($B22,'Encargos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10400.105963519996</v>
      </c>
      <c r="AA22" s="188">
        <f t="array" aca="1" ref="AA22" ca="1">_xlfn.IFNA(SUM((AA$3&gt;='Gastos com Pessoal'!$E$7:$E$506)*(AA$3&lt;='Gastos com Pessoal'!$F$7:$F$506)*OFFSET('Encargos e Benefícios'!$D$5,1,MATCH($B22,'Encargos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10400.105963519996</v>
      </c>
      <c r="AB22" s="188">
        <f t="array" aca="1" ref="AB22" ca="1">_xlfn.IFNA(SUM((AB$3&gt;='Gastos com Pessoal'!$E$7:$E$506)*(AB$3&lt;='Gastos com Pessoal'!$F$7:$F$506)*OFFSET('Encargos e Benefícios'!$D$5,1,MATCH($B22,'Encargos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10400.105963519996</v>
      </c>
      <c r="AC22" s="188">
        <f t="array" aca="1" ref="AC22" ca="1">_xlfn.IFNA(SUM((AC$3&gt;='Gastos com Pessoal'!$E$7:$E$506)*(AC$3&lt;='Gastos com Pessoal'!$F$7:$F$506)*OFFSET('Encargos e Benefícios'!$D$5,1,MATCH($B22,'Encargos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10400.105963519996</v>
      </c>
      <c r="AD22" s="188">
        <f t="array" aca="1" ref="AD22" ca="1">_xlfn.IFNA(SUM((AD$3&gt;='Gastos com Pessoal'!$E$7:$E$506)*(AD$3&lt;='Gastos com Pessoal'!$F$7:$F$506)*OFFSET('Encargos e Benefícios'!$D$5,1,MATCH($B22,'Encargos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10400.105963519996</v>
      </c>
      <c r="AE22" s="188">
        <f t="array" aca="1" ref="AE22" ca="1">_xlfn.IFNA(SUM((AE$3&gt;='Gastos com Pessoal'!$E$7:$E$506)*(AE$3&lt;='Gastos com Pessoal'!$F$7:$F$506)*OFFSET('Encargos e Benefícios'!$D$5,1,MATCH($B22,'Encargos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10400.105963519996</v>
      </c>
      <c r="AF22" s="188">
        <f t="array" aca="1" ref="AF22" ca="1">_xlfn.IFNA(SUM((AF$3&gt;='Gastos com Pessoal'!$E$7:$E$506)*(AF$3&lt;='Gastos com Pessoal'!$F$7:$F$506)*OFFSET('Encargos e Benefícios'!$D$5,1,MATCH($B22,'Encargos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11007.472151789565</v>
      </c>
      <c r="AG22" s="188">
        <f t="array" aca="1" ref="AG22" ca="1">_xlfn.IFNA(SUM((AG$3&gt;='Gastos com Pessoal'!$E$7:$E$506)*(AG$3&lt;='Gastos com Pessoal'!$F$7:$F$506)*OFFSET('Encargos e Benefícios'!$D$5,1,MATCH($B22,'Encargos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11007.472151789565</v>
      </c>
      <c r="AH22" s="188">
        <f t="array" aca="1" ref="AH22" ca="1">_xlfn.IFNA(SUM((AH$3&gt;='Gastos com Pessoal'!$E$7:$E$506)*(AH$3&lt;='Gastos com Pessoal'!$F$7:$F$506)*OFFSET('Encargos e Benefícios'!$D$5,1,MATCH($B22,'Encargos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11007.472151789565</v>
      </c>
      <c r="AI22" s="188">
        <f t="array" aca="1" ref="AI22" ca="1">_xlfn.IFNA(SUM((AI$3&gt;='Gastos com Pessoal'!$E$7:$E$506)*(AI$3&lt;='Gastos com Pessoal'!$F$7:$F$506)*OFFSET('Encargos e Benefícios'!$D$5,1,MATCH($B22,'Encargos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11007.472151789565</v>
      </c>
      <c r="AJ22" s="188">
        <f t="array" aca="1" ref="AJ22" ca="1">_xlfn.IFNA(SUM((AJ$3&gt;='Gastos com Pessoal'!$E$7:$E$506)*(AJ$3&lt;='Gastos com Pessoal'!$F$7:$F$506)*OFFSET('Encargos e Benefícios'!$D$5,1,MATCH($B22,'Encargos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11007.472151789565</v>
      </c>
      <c r="AK22" s="188">
        <f t="array" aca="1" ref="AK22" ca="1">_xlfn.IFNA(SUM((AK$3&gt;='Gastos com Pessoal'!$E$7:$E$506)*(AK$3&lt;='Gastos com Pessoal'!$F$7:$F$506)*OFFSET('Encargos e Benefícios'!$D$5,1,MATCH($B22,'Encargos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11007.472151789565</v>
      </c>
      <c r="AL22" s="188">
        <f t="array" aca="1" ref="AL22" ca="1">_xlfn.IFNA(SUM((AL$3&gt;='Gastos com Pessoal'!$E$7:$E$506)*(AL$3&lt;='Gastos com Pessoal'!$F$7:$F$506)*OFFSET('Encargos e Benefícios'!$D$5,1,MATCH($B22,'Encargos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11007.472151789565</v>
      </c>
      <c r="AM22" s="188">
        <f t="array" aca="1" ref="AM22" ca="1">_xlfn.IFNA(SUM((AM$3&gt;='Gastos com Pessoal'!$E$7:$E$506)*(AM$3&lt;='Gastos com Pessoal'!$F$7:$F$506)*OFFSET('Encargos e Benefícios'!$D$5,1,MATCH($B22,'Encargos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11007.472151789565</v>
      </c>
      <c r="AN22" s="188">
        <f t="array" aca="1" ref="AN22" ca="1">_xlfn.IFNA(SUM((AN$3&gt;='Gastos com Pessoal'!$E$7:$E$506)*(AN$3&lt;='Gastos com Pessoal'!$F$7:$F$506)*OFFSET('Encargos e Benefícios'!$D$5,1,MATCH($B22,'Encargos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11007.472151789565</v>
      </c>
      <c r="AO22" s="188">
        <f t="array" aca="1" ref="AO22" ca="1">_xlfn.IFNA(SUM((AO$3&gt;='Gastos com Pessoal'!$E$7:$E$506)*(AO$3&lt;='Gastos com Pessoal'!$F$7:$F$506)*OFFSET('Encargos e Benefícios'!$D$5,1,MATCH($B22,'Encargos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11007.472151789565</v>
      </c>
      <c r="AP22" s="188">
        <f t="array" aca="1" ref="AP22" ca="1">_xlfn.IFNA(SUM((AP$3&gt;='Gastos com Pessoal'!$E$7:$E$506)*(AP$3&lt;='Gastos com Pessoal'!$F$7:$F$506)*OFFSET('Encargos e Benefícios'!$D$5,1,MATCH($B22,'Encargos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11007.472151789565</v>
      </c>
      <c r="AQ22" s="188">
        <f t="array" aca="1" ref="AQ22" ca="1">_xlfn.IFNA(SUM((AQ$3&gt;='Gastos com Pessoal'!$E$7:$E$506)*(AQ$3&lt;='Gastos com Pessoal'!$F$7:$F$506)*OFFSET('Encargos e Benefícios'!$D$5,1,MATCH($B22,'Encargos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11007.472151789565</v>
      </c>
      <c r="AR22" s="188">
        <f t="array" aca="1" ref="AR22" ca="1">_xlfn.IFNA(SUM((AR$3&gt;='Gastos com Pessoal'!$E$7:$E$506)*(AR$3&lt;='Gastos com Pessoal'!$F$7:$F$506)*OFFSET('Encargos e Benefícios'!$D$5,1,MATCH($B22,'Encargos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11650.308525454077</v>
      </c>
      <c r="AS22" s="188">
        <f t="array" aca="1" ref="AS22" ca="1">_xlfn.IFNA(SUM((AS$3&gt;='Gastos com Pessoal'!$E$7:$E$506)*(AS$3&lt;='Gastos com Pessoal'!$F$7:$F$506)*OFFSET('Encargos e Benefícios'!$D$5,1,MATCH($B22,'Encargos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11650.308525454077</v>
      </c>
      <c r="AT22" s="188">
        <f t="array" aca="1" ref="AT22" ca="1">_xlfn.IFNA(SUM((AT$3&gt;='Gastos com Pessoal'!$E$7:$E$506)*(AT$3&lt;='Gastos com Pessoal'!$F$7:$F$506)*OFFSET('Encargos e Benefícios'!$D$5,1,MATCH($B22,'Encargos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11650.308525454077</v>
      </c>
      <c r="AU22" s="188">
        <f t="array" aca="1" ref="AU22" ca="1">_xlfn.IFNA(SUM((AU$3&gt;='Gastos com Pessoal'!$E$7:$E$506)*(AU$3&lt;='Gastos com Pessoal'!$F$7:$F$506)*OFFSET('Encargos e Benefícios'!$D$5,1,MATCH($B22,'Encargos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11650.308525454077</v>
      </c>
      <c r="AV22" s="188">
        <f t="array" aca="1" ref="AV22" ca="1">_xlfn.IFNA(SUM((AV$3&gt;='Gastos com Pessoal'!$E$7:$E$506)*(AV$3&lt;='Gastos com Pessoal'!$F$7:$F$506)*OFFSET('Encargos e Benefícios'!$D$5,1,MATCH($B22,'Encargos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11650.308525454077</v>
      </c>
      <c r="AW22" s="188">
        <f t="array" aca="1" ref="AW22" ca="1">_xlfn.IFNA(SUM((AW$3&gt;='Gastos com Pessoal'!$E$7:$E$506)*(AW$3&lt;='Gastos com Pessoal'!$F$7:$F$506)*OFFSET('Encargos e Benefícios'!$D$5,1,MATCH($B22,'Encargos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11650.308525454077</v>
      </c>
      <c r="AX22" s="188">
        <f t="array" aca="1" ref="AX22" ca="1">_xlfn.IFNA(SUM((AX$3&gt;='Gastos com Pessoal'!$E$7:$E$506)*(AX$3&lt;='Gastos com Pessoal'!$F$7:$F$506)*OFFSET('Encargos e Benefícios'!$D$5,1,MATCH($B22,'Encargos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11650.308525454077</v>
      </c>
      <c r="AY22" s="188">
        <f t="array" aca="1" ref="AY22" ca="1">_xlfn.IFNA(SUM((AY$3&gt;='Gastos com Pessoal'!$E$7:$E$506)*(AY$3&lt;='Gastos com Pessoal'!$F$7:$F$506)*OFFSET('Encargos e Benefícios'!$D$5,1,MATCH($B22,'Encargos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11650.308525454077</v>
      </c>
      <c r="AZ22" s="188">
        <f t="array" aca="1" ref="AZ22" ca="1">_xlfn.IFNA(SUM((AZ$3&gt;='Gastos com Pessoal'!$E$7:$E$506)*(AZ$3&lt;='Gastos com Pessoal'!$F$7:$F$506)*OFFSET('Encargos e Benefícios'!$D$5,1,MATCH($B22,'Encargos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11650.308525454077</v>
      </c>
      <c r="BA22" s="188">
        <f t="array" aca="1" ref="BA22" ca="1">_xlfn.IFNA(SUM((BA$3&gt;='Gastos com Pessoal'!$E$7:$E$506)*(BA$3&lt;='Gastos com Pessoal'!$F$7:$F$506)*OFFSET('Encargos e Benefícios'!$D$5,1,MATCH($B22,'Encargos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11650.308525454077</v>
      </c>
      <c r="BB22" s="188">
        <f t="array" aca="1" ref="BB22" ca="1">_xlfn.IFNA(SUM((BB$3&gt;='Gastos com Pessoal'!$E$7:$E$506)*(BB$3&lt;='Gastos com Pessoal'!$F$7:$F$506)*OFFSET('Encargos e Benefícios'!$D$5,1,MATCH($B22,'Encargos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11650.308525454077</v>
      </c>
      <c r="BC22" s="188">
        <f t="array" aca="1" ref="BC22" ca="1">_xlfn.IFNA(SUM((BC$3&gt;='Gastos com Pessoal'!$E$7:$E$506)*(BC$3&lt;='Gastos com Pessoal'!$F$7:$F$506)*OFFSET('Encargos e Benefícios'!$D$5,1,MATCH($B22,'Encargos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11650.308525454077</v>
      </c>
      <c r="BD22" s="188">
        <f t="array" aca="1" ref="BD22" ca="1">_xlfn.IFNA(SUM((BD$3&gt;='Gastos com Pessoal'!$E$7:$E$506)*(BD$3&lt;='Gastos com Pessoal'!$F$7:$F$506)*OFFSET('Encargos e Benefícios'!$D$5,1,MATCH($B22,'Encargos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12330.686543340595</v>
      </c>
      <c r="BE22" s="188">
        <f t="array" aca="1" ref="BE22" ca="1">_xlfn.IFNA(SUM((BE$3&gt;='Gastos com Pessoal'!$E$7:$E$506)*(BE$3&lt;='Gastos com Pessoal'!$F$7:$F$506)*OFFSET('Encargos e Benefícios'!$D$5,1,MATCH($B22,'Encargos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12330.686543340595</v>
      </c>
      <c r="BF22" s="188">
        <f t="array" aca="1" ref="BF22" ca="1">_xlfn.IFNA(SUM((BF$3&gt;='Gastos com Pessoal'!$E$7:$E$506)*(BF$3&lt;='Gastos com Pessoal'!$F$7:$F$506)*OFFSET('Encargos e Benefícios'!$D$5,1,MATCH($B22,'Encargos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12330.686543340595</v>
      </c>
      <c r="BG22" s="188">
        <f t="array" aca="1" ref="BG22" ca="1">_xlfn.IFNA(SUM((BG$3&gt;='Gastos com Pessoal'!$E$7:$E$506)*(BG$3&lt;='Gastos com Pessoal'!$F$7:$F$506)*OFFSET('Encargos e Benefícios'!$D$5,1,MATCH($B22,'Encargos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12330.686543340595</v>
      </c>
      <c r="BH22" s="188">
        <f t="array" aca="1" ref="BH22" ca="1">_xlfn.IFNA(SUM((BH$3&gt;='Gastos com Pessoal'!$E$7:$E$506)*(BH$3&lt;='Gastos com Pessoal'!$F$7:$F$506)*OFFSET('Encargos e Benefícios'!$D$5,1,MATCH($B22,'Encargos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12330.686543340595</v>
      </c>
      <c r="BI22" s="188">
        <f t="array" aca="1" ref="BI22" ca="1">_xlfn.IFNA(SUM((BI$3&gt;='Gastos com Pessoal'!$E$7:$E$506)*(BI$3&lt;='Gastos com Pessoal'!$F$7:$F$506)*OFFSET('Encargos e Benefícios'!$D$5,1,MATCH($B22,'Encargos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12330.686543340595</v>
      </c>
      <c r="BJ22" s="188">
        <f t="array" aca="1" ref="BJ22" ca="1">_xlfn.IFNA(SUM((BJ$3&gt;='Gastos com Pessoal'!$E$7:$E$506)*(BJ$3&lt;='Gastos com Pessoal'!$F$7:$F$506)*OFFSET('Encargos e Benefícios'!$D$5,1,MATCH($B22,'Encargos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12330.686543340595</v>
      </c>
      <c r="BK22" s="189">
        <f t="shared" ca="1" si="11"/>
        <v>627759.93915603985</v>
      </c>
      <c r="BL22" s="136">
        <f t="shared" ca="1" si="12"/>
        <v>1.8762519291379881E-3</v>
      </c>
      <c r="BN22" s="188">
        <f t="array" aca="1" ref="BN22" ca="1">_xlfn.IFNA(SUM((BN$3&gt;='Gastos com Pessoal'!$E$7:$E$506)*(BN$3&lt;='Gastos com Pessoal'!$F$7:$F$506)*OFFSET('Encargos e Benefícios'!$D$5,1,MATCH($B22,'Encargos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7276.6984126984098</v>
      </c>
    </row>
    <row r="23" spans="1:66" s="160" customFormat="1" ht="23.25" customHeight="1">
      <c r="A23" s="198" t="s">
        <v>137</v>
      </c>
      <c r="B23" s="209" t="s">
        <v>138</v>
      </c>
      <c r="C23" s="188">
        <f t="shared" ca="1" si="13"/>
        <v>3343.6929749999986</v>
      </c>
      <c r="D23" s="188">
        <f t="array" aca="1" ref="D23" ca="1">_xlfn.IFNA(SUM((D$3&gt;='Gastos com Pessoal'!$E$7:$E$506)*(D$3&lt;='Gastos com Pessoal'!$F$7:$F$506)*OFFSET('Encargos e Benefícios'!$D$5,1,MATCH($B23,'Encargos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11913.38613333333</v>
      </c>
      <c r="E23" s="188">
        <f t="array" aca="1" ref="E23" ca="1">_xlfn.IFNA(SUM((E$3&gt;='Gastos com Pessoal'!$E$7:$E$506)*(E$3&lt;='Gastos com Pessoal'!$F$7:$F$506)*OFFSET('Encargos e Benefícios'!$D$5,1,MATCH($B23,'Encargos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12681.129016666664</v>
      </c>
      <c r="F23" s="188">
        <f t="array" aca="1" ref="F23" ca="1">_xlfn.IFNA(SUM((F$3&gt;='Gastos com Pessoal'!$E$7:$E$506)*(F$3&lt;='Gastos com Pessoal'!$F$7:$F$506)*OFFSET('Encargos e Benefícios'!$D$5,1,MATCH($B23,'Encargos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12681.129016666664</v>
      </c>
      <c r="G23" s="188">
        <f t="array" aca="1" ref="G23" ca="1">_xlfn.IFNA(SUM((G$3&gt;='Gastos com Pessoal'!$E$7:$E$506)*(G$3&lt;='Gastos com Pessoal'!$F$7:$F$506)*OFFSET('Encargos e Benefícios'!$D$5,1,MATCH($B23,'Encargos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12681.129016666664</v>
      </c>
      <c r="H23" s="188">
        <f t="array" aca="1" ref="H23" ca="1">_xlfn.IFNA(SUM((H$3&gt;='Gastos com Pessoal'!$E$7:$E$506)*(H$3&lt;='Gastos com Pessoal'!$F$7:$F$506)*OFFSET('Encargos e Benefícios'!$D$5,1,MATCH($B23,'Encargos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13421.706951239998</v>
      </c>
      <c r="I23" s="188">
        <f t="array" aca="1" ref="I23" ca="1">_xlfn.IFNA(SUM((I$3&gt;='Gastos com Pessoal'!$E$7:$E$506)*(I$3&lt;='Gastos com Pessoal'!$F$7:$F$506)*OFFSET('Encargos e Benefícios'!$D$5,1,MATCH($B23,'Encargos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13421.706951239998</v>
      </c>
      <c r="J23" s="188">
        <f t="array" aca="1" ref="J23" ca="1">_xlfn.IFNA(SUM((J$3&gt;='Gastos com Pessoal'!$E$7:$E$506)*(J$3&lt;='Gastos com Pessoal'!$F$7:$F$506)*OFFSET('Encargos e Benefícios'!$D$5,1,MATCH($B23,'Encargos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13421.706951239998</v>
      </c>
      <c r="K23" s="188">
        <f t="array" aca="1" ref="K23" ca="1">_xlfn.IFNA(SUM((K$3&gt;='Gastos com Pessoal'!$E$7:$E$506)*(K$3&lt;='Gastos com Pessoal'!$F$7:$F$506)*OFFSET('Encargos e Benefícios'!$D$5,1,MATCH($B23,'Encargos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13421.706951239998</v>
      </c>
      <c r="L23" s="188">
        <f t="array" aca="1" ref="L23" ca="1">_xlfn.IFNA(SUM((L$3&gt;='Gastos com Pessoal'!$E$7:$E$506)*(L$3&lt;='Gastos com Pessoal'!$F$7:$F$506)*OFFSET('Encargos e Benefícios'!$D$5,1,MATCH($B23,'Encargos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13421.706951239998</v>
      </c>
      <c r="M23" s="188">
        <f t="array" aca="1" ref="M23" ca="1">_xlfn.IFNA(SUM((M$3&gt;='Gastos com Pessoal'!$E$7:$E$506)*(M$3&lt;='Gastos com Pessoal'!$F$7:$F$506)*OFFSET('Encargos e Benefícios'!$D$5,1,MATCH($B23,'Encargos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13421.706951239998</v>
      </c>
      <c r="N23" s="188">
        <f t="array" aca="1" ref="N23" ca="1">_xlfn.IFNA(SUM((N$3&gt;='Gastos com Pessoal'!$E$7:$E$506)*(N$3&lt;='Gastos com Pessoal'!$F$7:$F$506)*OFFSET('Encargos e Benefícios'!$D$5,1,MATCH($B23,'Encargos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14234.286018959998</v>
      </c>
      <c r="O23" s="188">
        <f t="array" aca="1" ref="O23" ca="1">_xlfn.IFNA(SUM((O$3&gt;='Gastos com Pessoal'!$E$7:$E$506)*(O$3&lt;='Gastos com Pessoal'!$F$7:$F$506)*OFFSET('Encargos e Benefícios'!$D$5,1,MATCH($B23,'Encargos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14234.286018959998</v>
      </c>
      <c r="P23" s="188">
        <f t="array" aca="1" ref="P23" ca="1">_xlfn.IFNA(SUM((P$3&gt;='Gastos com Pessoal'!$E$7:$E$506)*(P$3&lt;='Gastos com Pessoal'!$F$7:$F$506)*OFFSET('Encargos e Benefícios'!$D$5,1,MATCH($B23,'Encargos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14234.286018959998</v>
      </c>
      <c r="Q23" s="188">
        <f t="array" aca="1" ref="Q23" ca="1">_xlfn.IFNA(SUM((Q$3&gt;='Gastos com Pessoal'!$E$7:$E$506)*(Q$3&lt;='Gastos com Pessoal'!$F$7:$F$506)*OFFSET('Encargos e Benefícios'!$D$5,1,MATCH($B23,'Encargos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15046.86508668</v>
      </c>
      <c r="R23" s="188">
        <f t="array" aca="1" ref="R23" ca="1">_xlfn.IFNA(SUM((R$3&gt;='Gastos com Pessoal'!$E$7:$E$506)*(R$3&lt;='Gastos com Pessoal'!$F$7:$F$506)*OFFSET('Encargos e Benefícios'!$D$5,1,MATCH($B23,'Encargos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15046.86508668</v>
      </c>
      <c r="S23" s="188">
        <f t="array" aca="1" ref="S23" ca="1">_xlfn.IFNA(SUM((S$3&gt;='Gastos com Pessoal'!$E$7:$E$506)*(S$3&lt;='Gastos com Pessoal'!$F$7:$F$506)*OFFSET('Encargos e Benefícios'!$D$5,1,MATCH($B23,'Encargos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15046.86508668</v>
      </c>
      <c r="T23" s="188">
        <f t="array" aca="1" ref="T23" ca="1">_xlfn.IFNA(SUM((T$3&gt;='Gastos com Pessoal'!$E$7:$E$506)*(T$3&lt;='Gastos com Pessoal'!$F$7:$F$506)*OFFSET('Encargos e Benefícios'!$D$5,1,MATCH($B23,'Encargos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15925.602007742113</v>
      </c>
      <c r="U23" s="188">
        <f t="array" aca="1" ref="U23" ca="1">_xlfn.IFNA(SUM((U$3&gt;='Gastos com Pessoal'!$E$7:$E$506)*(U$3&lt;='Gastos com Pessoal'!$F$7:$F$506)*OFFSET('Encargos e Benefícios'!$D$5,1,MATCH($B23,'Encargos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15925.602007742113</v>
      </c>
      <c r="V23" s="188">
        <f t="array" aca="1" ref="V23" ca="1">_xlfn.IFNA(SUM((V$3&gt;='Gastos com Pessoal'!$E$7:$E$506)*(V$3&lt;='Gastos com Pessoal'!$F$7:$F$506)*OFFSET('Encargos e Benefícios'!$D$5,1,MATCH($B23,'Encargos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15925.602007742113</v>
      </c>
      <c r="W23" s="188">
        <f t="array" aca="1" ref="W23" ca="1">_xlfn.IFNA(SUM((W$3&gt;='Gastos com Pessoal'!$E$7:$E$506)*(W$3&lt;='Gastos com Pessoal'!$F$7:$F$506)*OFFSET('Encargos e Benefícios'!$D$5,1,MATCH($B23,'Encargos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15925.602007742113</v>
      </c>
      <c r="X23" s="188">
        <f t="array" aca="1" ref="X23" ca="1">_xlfn.IFNA(SUM((X$3&gt;='Gastos com Pessoal'!$E$7:$E$506)*(X$3&lt;='Gastos com Pessoal'!$F$7:$F$506)*OFFSET('Encargos e Benefícios'!$D$5,1,MATCH($B23,'Encargos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15925.602007742113</v>
      </c>
      <c r="Y23" s="188">
        <f t="array" aca="1" ref="Y23" ca="1">_xlfn.IFNA(SUM((Y$3&gt;='Gastos com Pessoal'!$E$7:$E$506)*(Y$3&lt;='Gastos com Pessoal'!$F$7:$F$506)*OFFSET('Encargos e Benefícios'!$D$5,1,MATCH($B23,'Encargos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15925.602007742113</v>
      </c>
      <c r="Z23" s="188">
        <f t="array" aca="1" ref="Z23" ca="1">_xlfn.IFNA(SUM((Z$3&gt;='Gastos com Pessoal'!$E$7:$E$506)*(Z$3&lt;='Gastos com Pessoal'!$F$7:$F$506)*OFFSET('Encargos e Benefícios'!$D$5,1,MATCH($B23,'Encargos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15925.602007742113</v>
      </c>
      <c r="AA23" s="188">
        <f t="array" aca="1" ref="AA23" ca="1">_xlfn.IFNA(SUM((AA$3&gt;='Gastos com Pessoal'!$E$7:$E$506)*(AA$3&lt;='Gastos com Pessoal'!$F$7:$F$506)*OFFSET('Encargos e Benefícios'!$D$5,1,MATCH($B23,'Encargos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15925.602007742113</v>
      </c>
      <c r="AB23" s="188">
        <f t="array" aca="1" ref="AB23" ca="1">_xlfn.IFNA(SUM((AB$3&gt;='Gastos com Pessoal'!$E$7:$E$506)*(AB$3&lt;='Gastos com Pessoal'!$F$7:$F$506)*OFFSET('Encargos e Benefícios'!$D$5,1,MATCH($B23,'Encargos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15925.602007742113</v>
      </c>
      <c r="AC23" s="188">
        <f t="array" aca="1" ref="AC23" ca="1">_xlfn.IFNA(SUM((AC$3&gt;='Gastos com Pessoal'!$E$7:$E$506)*(AC$3&lt;='Gastos com Pessoal'!$F$7:$F$506)*OFFSET('Encargos e Benefícios'!$D$5,1,MATCH($B23,'Encargos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15925.602007742113</v>
      </c>
      <c r="AD23" s="188">
        <f t="array" aca="1" ref="AD23" ca="1">_xlfn.IFNA(SUM((AD$3&gt;='Gastos com Pessoal'!$E$7:$E$506)*(AD$3&lt;='Gastos com Pessoal'!$F$7:$F$506)*OFFSET('Encargos e Benefícios'!$D$5,1,MATCH($B23,'Encargos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15925.602007742113</v>
      </c>
      <c r="AE23" s="188">
        <f t="array" aca="1" ref="AE23" ca="1">_xlfn.IFNA(SUM((AE$3&gt;='Gastos com Pessoal'!$E$7:$E$506)*(AE$3&lt;='Gastos com Pessoal'!$F$7:$F$506)*OFFSET('Encargos e Benefícios'!$D$5,1,MATCH($B23,'Encargos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15925.602007742113</v>
      </c>
      <c r="AF23" s="188">
        <f t="array" aca="1" ref="AF23" ca="1">_xlfn.IFNA(SUM((AF$3&gt;='Gastos com Pessoal'!$E$7:$E$506)*(AF$3&lt;='Gastos com Pessoal'!$F$7:$F$506)*OFFSET('Encargos e Benefícios'!$D$5,1,MATCH($B23,'Encargos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16855.657164994253</v>
      </c>
      <c r="AG23" s="188">
        <f t="array" aca="1" ref="AG23" ca="1">_xlfn.IFNA(SUM((AG$3&gt;='Gastos com Pessoal'!$E$7:$E$506)*(AG$3&lt;='Gastos com Pessoal'!$F$7:$F$506)*OFFSET('Encargos e Benefícios'!$D$5,1,MATCH($B23,'Encargos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16855.657164994253</v>
      </c>
      <c r="AH23" s="188">
        <f t="array" aca="1" ref="AH23" ca="1">_xlfn.IFNA(SUM((AH$3&gt;='Gastos com Pessoal'!$E$7:$E$506)*(AH$3&lt;='Gastos com Pessoal'!$F$7:$F$506)*OFFSET('Encargos e Benefícios'!$D$5,1,MATCH($B23,'Encargos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16855.657164994253</v>
      </c>
      <c r="AI23" s="188">
        <f t="array" aca="1" ref="AI23" ca="1">_xlfn.IFNA(SUM((AI$3&gt;='Gastos com Pessoal'!$E$7:$E$506)*(AI$3&lt;='Gastos com Pessoal'!$F$7:$F$506)*OFFSET('Encargos e Benefícios'!$D$5,1,MATCH($B23,'Encargos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16855.657164994253</v>
      </c>
      <c r="AJ23" s="188">
        <f t="array" aca="1" ref="AJ23" ca="1">_xlfn.IFNA(SUM((AJ$3&gt;='Gastos com Pessoal'!$E$7:$E$506)*(AJ$3&lt;='Gastos com Pessoal'!$F$7:$F$506)*OFFSET('Encargos e Benefícios'!$D$5,1,MATCH($B23,'Encargos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16855.657164994253</v>
      </c>
      <c r="AK23" s="188">
        <f t="array" aca="1" ref="AK23" ca="1">_xlfn.IFNA(SUM((AK$3&gt;='Gastos com Pessoal'!$E$7:$E$506)*(AK$3&lt;='Gastos com Pessoal'!$F$7:$F$506)*OFFSET('Encargos e Benefícios'!$D$5,1,MATCH($B23,'Encargos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16855.657164994253</v>
      </c>
      <c r="AL23" s="188">
        <f t="array" aca="1" ref="AL23" ca="1">_xlfn.IFNA(SUM((AL$3&gt;='Gastos com Pessoal'!$E$7:$E$506)*(AL$3&lt;='Gastos com Pessoal'!$F$7:$F$506)*OFFSET('Encargos e Benefícios'!$D$5,1,MATCH($B23,'Encargos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16855.657164994253</v>
      </c>
      <c r="AM23" s="188">
        <f t="array" aca="1" ref="AM23" ca="1">_xlfn.IFNA(SUM((AM$3&gt;='Gastos com Pessoal'!$E$7:$E$506)*(AM$3&lt;='Gastos com Pessoal'!$F$7:$F$506)*OFFSET('Encargos e Benefícios'!$D$5,1,MATCH($B23,'Encargos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16855.657164994253</v>
      </c>
      <c r="AN23" s="188">
        <f t="array" aca="1" ref="AN23" ca="1">_xlfn.IFNA(SUM((AN$3&gt;='Gastos com Pessoal'!$E$7:$E$506)*(AN$3&lt;='Gastos com Pessoal'!$F$7:$F$506)*OFFSET('Encargos e Benefícios'!$D$5,1,MATCH($B23,'Encargos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16855.657164994253</v>
      </c>
      <c r="AO23" s="188">
        <f t="array" aca="1" ref="AO23" ca="1">_xlfn.IFNA(SUM((AO$3&gt;='Gastos com Pessoal'!$E$7:$E$506)*(AO$3&lt;='Gastos com Pessoal'!$F$7:$F$506)*OFFSET('Encargos e Benefícios'!$D$5,1,MATCH($B23,'Encargos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16855.657164994253</v>
      </c>
      <c r="AP23" s="188">
        <f t="array" aca="1" ref="AP23" ca="1">_xlfn.IFNA(SUM((AP$3&gt;='Gastos com Pessoal'!$E$7:$E$506)*(AP$3&lt;='Gastos com Pessoal'!$F$7:$F$506)*OFFSET('Encargos e Benefícios'!$D$5,1,MATCH($B23,'Encargos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16855.657164994253</v>
      </c>
      <c r="AQ23" s="188">
        <f t="array" aca="1" ref="AQ23" ca="1">_xlfn.IFNA(SUM((AQ$3&gt;='Gastos com Pessoal'!$E$7:$E$506)*(AQ$3&lt;='Gastos com Pessoal'!$F$7:$F$506)*OFFSET('Encargos e Benefícios'!$D$5,1,MATCH($B23,'Encargos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16855.657164994253</v>
      </c>
      <c r="AR23" s="188">
        <f t="array" aca="1" ref="AR23" ca="1">_xlfn.IFNA(SUM((AR$3&gt;='Gastos com Pessoal'!$E$7:$E$506)*(AR$3&lt;='Gastos com Pessoal'!$F$7:$F$506)*OFFSET('Encargos e Benefícios'!$D$5,1,MATCH($B23,'Encargos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17840.027543429918</v>
      </c>
      <c r="AS23" s="188">
        <f t="array" aca="1" ref="AS23" ca="1">_xlfn.IFNA(SUM((AS$3&gt;='Gastos com Pessoal'!$E$7:$E$506)*(AS$3&lt;='Gastos com Pessoal'!$F$7:$F$506)*OFFSET('Encargos e Benefícios'!$D$5,1,MATCH($B23,'Encargos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17840.027543429918</v>
      </c>
      <c r="AT23" s="188">
        <f t="array" aca="1" ref="AT23" ca="1">_xlfn.IFNA(SUM((AT$3&gt;='Gastos com Pessoal'!$E$7:$E$506)*(AT$3&lt;='Gastos com Pessoal'!$F$7:$F$506)*OFFSET('Encargos e Benefícios'!$D$5,1,MATCH($B23,'Encargos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17840.027543429918</v>
      </c>
      <c r="AU23" s="188">
        <f t="array" aca="1" ref="AU23" ca="1">_xlfn.IFNA(SUM((AU$3&gt;='Gastos com Pessoal'!$E$7:$E$506)*(AU$3&lt;='Gastos com Pessoal'!$F$7:$F$506)*OFFSET('Encargos e Benefícios'!$D$5,1,MATCH($B23,'Encargos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17840.027543429918</v>
      </c>
      <c r="AV23" s="188">
        <f t="array" aca="1" ref="AV23" ca="1">_xlfn.IFNA(SUM((AV$3&gt;='Gastos com Pessoal'!$E$7:$E$506)*(AV$3&lt;='Gastos com Pessoal'!$F$7:$F$506)*OFFSET('Encargos e Benefícios'!$D$5,1,MATCH($B23,'Encargos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17840.027543429918</v>
      </c>
      <c r="AW23" s="188">
        <f t="array" aca="1" ref="AW23" ca="1">_xlfn.IFNA(SUM((AW$3&gt;='Gastos com Pessoal'!$E$7:$E$506)*(AW$3&lt;='Gastos com Pessoal'!$F$7:$F$506)*OFFSET('Encargos e Benefícios'!$D$5,1,MATCH($B23,'Encargos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17840.027543429918</v>
      </c>
      <c r="AX23" s="188">
        <f t="array" aca="1" ref="AX23" ca="1">_xlfn.IFNA(SUM((AX$3&gt;='Gastos com Pessoal'!$E$7:$E$506)*(AX$3&lt;='Gastos com Pessoal'!$F$7:$F$506)*OFFSET('Encargos e Benefícios'!$D$5,1,MATCH($B23,'Encargos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17840.027543429918</v>
      </c>
      <c r="AY23" s="188">
        <f t="array" aca="1" ref="AY23" ca="1">_xlfn.IFNA(SUM((AY$3&gt;='Gastos com Pessoal'!$E$7:$E$506)*(AY$3&lt;='Gastos com Pessoal'!$F$7:$F$506)*OFFSET('Encargos e Benefícios'!$D$5,1,MATCH($B23,'Encargos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17840.027543429918</v>
      </c>
      <c r="AZ23" s="188">
        <f t="array" aca="1" ref="AZ23" ca="1">_xlfn.IFNA(SUM((AZ$3&gt;='Gastos com Pessoal'!$E$7:$E$506)*(AZ$3&lt;='Gastos com Pessoal'!$F$7:$F$506)*OFFSET('Encargos e Benefícios'!$D$5,1,MATCH($B23,'Encargos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17840.027543429918</v>
      </c>
      <c r="BA23" s="188">
        <f t="array" aca="1" ref="BA23" ca="1">_xlfn.IFNA(SUM((BA$3&gt;='Gastos com Pessoal'!$E$7:$E$506)*(BA$3&lt;='Gastos com Pessoal'!$F$7:$F$506)*OFFSET('Encargos e Benefícios'!$D$5,1,MATCH($B23,'Encargos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17840.027543429918</v>
      </c>
      <c r="BB23" s="188">
        <f t="array" aca="1" ref="BB23" ca="1">_xlfn.IFNA(SUM((BB$3&gt;='Gastos com Pessoal'!$E$7:$E$506)*(BB$3&lt;='Gastos com Pessoal'!$F$7:$F$506)*OFFSET('Encargos e Benefícios'!$D$5,1,MATCH($B23,'Encargos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17840.027543429918</v>
      </c>
      <c r="BC23" s="188">
        <f t="array" aca="1" ref="BC23" ca="1">_xlfn.IFNA(SUM((BC$3&gt;='Gastos com Pessoal'!$E$7:$E$506)*(BC$3&lt;='Gastos com Pessoal'!$F$7:$F$506)*OFFSET('Encargos e Benefícios'!$D$5,1,MATCH($B23,'Encargos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17840.027543429918</v>
      </c>
      <c r="BD23" s="188">
        <f t="array" aca="1" ref="BD23" ca="1">_xlfn.IFNA(SUM((BD$3&gt;='Gastos com Pessoal'!$E$7:$E$506)*(BD$3&lt;='Gastos com Pessoal'!$F$7:$F$506)*OFFSET('Encargos e Benefícios'!$D$5,1,MATCH($B23,'Encargos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18881.885151966224</v>
      </c>
      <c r="BE23" s="188">
        <f t="array" aca="1" ref="BE23" ca="1">_xlfn.IFNA(SUM((BE$3&gt;='Gastos com Pessoal'!$E$7:$E$506)*(BE$3&lt;='Gastos com Pessoal'!$F$7:$F$506)*OFFSET('Encargos e Benefícios'!$D$5,1,MATCH($B23,'Encargos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18881.885151966224</v>
      </c>
      <c r="BF23" s="188">
        <f t="array" aca="1" ref="BF23" ca="1">_xlfn.IFNA(SUM((BF$3&gt;='Gastos com Pessoal'!$E$7:$E$506)*(BF$3&lt;='Gastos com Pessoal'!$F$7:$F$506)*OFFSET('Encargos e Benefícios'!$D$5,1,MATCH($B23,'Encargos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18881.885151966224</v>
      </c>
      <c r="BG23" s="188">
        <f t="array" aca="1" ref="BG23" ca="1">_xlfn.IFNA(SUM((BG$3&gt;='Gastos com Pessoal'!$E$7:$E$506)*(BG$3&lt;='Gastos com Pessoal'!$F$7:$F$506)*OFFSET('Encargos e Benefícios'!$D$5,1,MATCH($B23,'Encargos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18881.885151966224</v>
      </c>
      <c r="BH23" s="188">
        <f t="array" aca="1" ref="BH23" ca="1">_xlfn.IFNA(SUM((BH$3&gt;='Gastos com Pessoal'!$E$7:$E$506)*(BH$3&lt;='Gastos com Pessoal'!$F$7:$F$506)*OFFSET('Encargos e Benefícios'!$D$5,1,MATCH($B23,'Encargos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18881.885151966224</v>
      </c>
      <c r="BI23" s="188">
        <f t="array" aca="1" ref="BI23" ca="1">_xlfn.IFNA(SUM((BI$3&gt;='Gastos com Pessoal'!$E$7:$E$506)*(BI$3&lt;='Gastos com Pessoal'!$F$7:$F$506)*OFFSET('Encargos e Benefícios'!$D$5,1,MATCH($B23,'Encargos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18881.885151966224</v>
      </c>
      <c r="BJ23" s="188">
        <f t="array" aca="1" ref="BJ23" ca="1">_xlfn.IFNA(SUM((BJ$3&gt;='Gastos com Pessoal'!$E$7:$E$506)*(BJ$3&lt;='Gastos com Pessoal'!$F$7:$F$506)*OFFSET('Encargos e Benefícios'!$D$5,1,MATCH($B23,'Encargos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18881.885151966224</v>
      </c>
      <c r="BK23" s="189">
        <f t="shared" ca="1" si="11"/>
        <v>961302.79784045182</v>
      </c>
      <c r="BL23" s="136">
        <f t="shared" ca="1" si="12"/>
        <v>2.8731464313551357E-3</v>
      </c>
      <c r="BN23" s="188">
        <f t="array" aca="1" ref="BN23" ca="1">_xlfn.IFNA(SUM((BN$3&gt;='Gastos com Pessoal'!$E$7:$E$506)*(BN$3&lt;='Gastos com Pessoal'!$F$7:$F$506)*OFFSET('Encargos e Benefícios'!$D$5,1,MATCH($B23,'Encargos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11145.643249999996</v>
      </c>
    </row>
    <row r="24" spans="1:66" s="160" customFormat="1" ht="23.25" customHeight="1">
      <c r="A24" s="198" t="s">
        <v>139</v>
      </c>
      <c r="B24" s="209" t="s">
        <v>140</v>
      </c>
      <c r="C24" s="188">
        <f t="shared" ca="1" si="13"/>
        <v>590.93359499999963</v>
      </c>
      <c r="D24" s="188">
        <f t="array" aca="1" ref="D24" ca="1">_xlfn.IFNA(SUM((D$3&gt;='Gastos com Pessoal'!$E$7:$E$506)*(D$3&lt;='Gastos com Pessoal'!$F$7:$F$506)*OFFSET('Encargos e Benefícios'!$D$5,1,MATCH($B24,'Encargos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2105.2138933333308</v>
      </c>
      <c r="E24" s="188">
        <f t="array" aca="1" ref="E24" ca="1">_xlfn.IFNA(SUM((E$3&gt;='Gastos com Pessoal'!$E$7:$E$506)*(E$3&lt;='Gastos com Pessoal'!$F$7:$F$506)*OFFSET('Encargos e Benefícios'!$D$5,1,MATCH($B24,'Encargos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2240.6491366666637</v>
      </c>
      <c r="F24" s="188">
        <f t="array" aca="1" ref="F24" ca="1">_xlfn.IFNA(SUM((F$3&gt;='Gastos com Pessoal'!$E$7:$E$506)*(F$3&lt;='Gastos com Pessoal'!$F$7:$F$506)*OFFSET('Encargos e Benefícios'!$D$5,1,MATCH($B24,'Encargos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2240.6491366666637</v>
      </c>
      <c r="G24" s="188">
        <f t="array" aca="1" ref="G24" ca="1">_xlfn.IFNA(SUM((G$3&gt;='Gastos com Pessoal'!$E$7:$E$506)*(G$3&lt;='Gastos com Pessoal'!$F$7:$F$506)*OFFSET('Encargos e Benefícios'!$D$5,1,MATCH($B24,'Encargos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2240.6491366666637</v>
      </c>
      <c r="H24" s="188">
        <f t="array" aca="1" ref="H24" ca="1">_xlfn.IFNA(SUM((H$3&gt;='Gastos com Pessoal'!$E$7:$E$506)*(H$3&lt;='Gastos com Pessoal'!$F$7:$F$506)*OFFSET('Encargos e Benefícios'!$D$5,1,MATCH($B24,'Encargos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2371.5030462479967</v>
      </c>
      <c r="I24" s="188">
        <f t="array" aca="1" ref="I24" ca="1">_xlfn.IFNA(SUM((I$3&gt;='Gastos com Pessoal'!$E$7:$E$506)*(I$3&lt;='Gastos com Pessoal'!$F$7:$F$506)*OFFSET('Encargos e Benefícios'!$D$5,1,MATCH($B24,'Encargos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2371.5030462479967</v>
      </c>
      <c r="J24" s="188">
        <f t="array" aca="1" ref="J24" ca="1">_xlfn.IFNA(SUM((J$3&gt;='Gastos com Pessoal'!$E$7:$E$506)*(J$3&lt;='Gastos com Pessoal'!$F$7:$F$506)*OFFSET('Encargos e Benefícios'!$D$5,1,MATCH($B24,'Encargos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2371.5030462479967</v>
      </c>
      <c r="K24" s="188">
        <f t="array" aca="1" ref="K24" ca="1">_xlfn.IFNA(SUM((K$3&gt;='Gastos com Pessoal'!$E$7:$E$506)*(K$3&lt;='Gastos com Pessoal'!$F$7:$F$506)*OFFSET('Encargos e Benefícios'!$D$5,1,MATCH($B24,'Encargos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2371.5030462479967</v>
      </c>
      <c r="L24" s="188">
        <f t="array" aca="1" ref="L24" ca="1">_xlfn.IFNA(SUM((L$3&gt;='Gastos com Pessoal'!$E$7:$E$506)*(L$3&lt;='Gastos com Pessoal'!$F$7:$F$506)*OFFSET('Encargos e Benefícios'!$D$5,1,MATCH($B24,'Encargos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2371.5030462479967</v>
      </c>
      <c r="M24" s="188">
        <f t="array" aca="1" ref="M24" ca="1">_xlfn.IFNA(SUM((M$3&gt;='Gastos com Pessoal'!$E$7:$E$506)*(M$3&lt;='Gastos com Pessoal'!$F$7:$F$506)*OFFSET('Encargos e Benefícios'!$D$5,1,MATCH($B24,'Encargos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2371.5030462479967</v>
      </c>
      <c r="N24" s="188">
        <f t="array" aca="1" ref="N24" ca="1">_xlfn.IFNA(SUM((N$3&gt;='Gastos com Pessoal'!$E$7:$E$506)*(N$3&lt;='Gastos com Pessoal'!$F$7:$F$506)*OFFSET('Encargos e Benefícios'!$D$5,1,MATCH($B24,'Encargos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2514.8477077919965</v>
      </c>
      <c r="O24" s="188">
        <f t="array" aca="1" ref="O24" ca="1">_xlfn.IFNA(SUM((O$3&gt;='Gastos com Pessoal'!$E$7:$E$506)*(O$3&lt;='Gastos com Pessoal'!$F$7:$F$506)*OFFSET('Encargos e Benefícios'!$D$5,1,MATCH($B24,'Encargos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2514.8477077919965</v>
      </c>
      <c r="P24" s="188">
        <f t="array" aca="1" ref="P24" ca="1">_xlfn.IFNA(SUM((P$3&gt;='Gastos com Pessoal'!$E$7:$E$506)*(P$3&lt;='Gastos com Pessoal'!$F$7:$F$506)*OFFSET('Encargos e Benefícios'!$D$5,1,MATCH($B24,'Encargos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2514.8477077919965</v>
      </c>
      <c r="Q24" s="188">
        <f t="array" aca="1" ref="Q24" ca="1">_xlfn.IFNA(SUM((Q$3&gt;='Gastos com Pessoal'!$E$7:$E$506)*(Q$3&lt;='Gastos com Pessoal'!$F$7:$F$506)*OFFSET('Encargos e Benefícios'!$D$5,1,MATCH($B24,'Encargos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2658.1923693359959</v>
      </c>
      <c r="R24" s="188">
        <f t="array" aca="1" ref="R24" ca="1">_xlfn.IFNA(SUM((R$3&gt;='Gastos com Pessoal'!$E$7:$E$506)*(R$3&lt;='Gastos com Pessoal'!$F$7:$F$506)*OFFSET('Encargos e Benefícios'!$D$5,1,MATCH($B24,'Encargos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2658.1923693359959</v>
      </c>
      <c r="S24" s="188">
        <f t="array" aca="1" ref="S24" ca="1">_xlfn.IFNA(SUM((S$3&gt;='Gastos com Pessoal'!$E$7:$E$506)*(S$3&lt;='Gastos com Pessoal'!$F$7:$F$506)*OFFSET('Encargos e Benefícios'!$D$5,1,MATCH($B24,'Encargos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2658.1923693359959</v>
      </c>
      <c r="T24" s="188">
        <f t="array" aca="1" ref="T24" ca="1">_xlfn.IFNA(SUM((T$3&gt;='Gastos com Pessoal'!$E$7:$E$506)*(T$3&lt;='Gastos com Pessoal'!$F$7:$F$506)*OFFSET('Encargos e Benefícios'!$D$5,1,MATCH($B24,'Encargos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2813.4308037052178</v>
      </c>
      <c r="U24" s="188">
        <f t="array" aca="1" ref="U24" ca="1">_xlfn.IFNA(SUM((U$3&gt;='Gastos com Pessoal'!$E$7:$E$506)*(U$3&lt;='Gastos com Pessoal'!$F$7:$F$506)*OFFSET('Encargos e Benefícios'!$D$5,1,MATCH($B24,'Encargos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2813.4308037052178</v>
      </c>
      <c r="V24" s="188">
        <f t="array" aca="1" ref="V24" ca="1">_xlfn.IFNA(SUM((V$3&gt;='Gastos com Pessoal'!$E$7:$E$506)*(V$3&lt;='Gastos com Pessoal'!$F$7:$F$506)*OFFSET('Encargos e Benefícios'!$D$5,1,MATCH($B24,'Encargos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2813.4308037052178</v>
      </c>
      <c r="W24" s="188">
        <f t="array" aca="1" ref="W24" ca="1">_xlfn.IFNA(SUM((W$3&gt;='Gastos com Pessoal'!$E$7:$E$506)*(W$3&lt;='Gastos com Pessoal'!$F$7:$F$506)*OFFSET('Encargos e Benefícios'!$D$5,1,MATCH($B24,'Encargos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2813.4308037052178</v>
      </c>
      <c r="X24" s="188">
        <f t="array" aca="1" ref="X24" ca="1">_xlfn.IFNA(SUM((X$3&gt;='Gastos com Pessoal'!$E$7:$E$506)*(X$3&lt;='Gastos com Pessoal'!$F$7:$F$506)*OFFSET('Encargos e Benefícios'!$D$5,1,MATCH($B24,'Encargos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2813.4308037052178</v>
      </c>
      <c r="Y24" s="188">
        <f t="array" aca="1" ref="Y24" ca="1">_xlfn.IFNA(SUM((Y$3&gt;='Gastos com Pessoal'!$E$7:$E$506)*(Y$3&lt;='Gastos com Pessoal'!$F$7:$F$506)*OFFSET('Encargos e Benefícios'!$D$5,1,MATCH($B24,'Encargos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2813.4308037052178</v>
      </c>
      <c r="Z24" s="188">
        <f t="array" aca="1" ref="Z24" ca="1">_xlfn.IFNA(SUM((Z$3&gt;='Gastos com Pessoal'!$E$7:$E$506)*(Z$3&lt;='Gastos com Pessoal'!$F$7:$F$506)*OFFSET('Encargos e Benefícios'!$D$5,1,MATCH($B24,'Encargos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2813.4308037052178</v>
      </c>
      <c r="AA24" s="188">
        <f t="array" aca="1" ref="AA24" ca="1">_xlfn.IFNA(SUM((AA$3&gt;='Gastos com Pessoal'!$E$7:$E$506)*(AA$3&lt;='Gastos com Pessoal'!$F$7:$F$506)*OFFSET('Encargos e Benefícios'!$D$5,1,MATCH($B24,'Encargos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2813.4308037052178</v>
      </c>
      <c r="AB24" s="188">
        <f t="array" aca="1" ref="AB24" ca="1">_xlfn.IFNA(SUM((AB$3&gt;='Gastos com Pessoal'!$E$7:$E$506)*(AB$3&lt;='Gastos com Pessoal'!$F$7:$F$506)*OFFSET('Encargos e Benefícios'!$D$5,1,MATCH($B24,'Encargos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2813.4308037052178</v>
      </c>
      <c r="AC24" s="188">
        <f t="array" aca="1" ref="AC24" ca="1">_xlfn.IFNA(SUM((AC$3&gt;='Gastos com Pessoal'!$E$7:$E$506)*(AC$3&lt;='Gastos com Pessoal'!$F$7:$F$506)*OFFSET('Encargos e Benefícios'!$D$5,1,MATCH($B24,'Encargos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2813.4308037052178</v>
      </c>
      <c r="AD24" s="188">
        <f t="array" aca="1" ref="AD24" ca="1">_xlfn.IFNA(SUM((AD$3&gt;='Gastos com Pessoal'!$E$7:$E$506)*(AD$3&lt;='Gastos com Pessoal'!$F$7:$F$506)*OFFSET('Encargos e Benefícios'!$D$5,1,MATCH($B24,'Encargos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2813.4308037052178</v>
      </c>
      <c r="AE24" s="188">
        <f t="array" aca="1" ref="AE24" ca="1">_xlfn.IFNA(SUM((AE$3&gt;='Gastos com Pessoal'!$E$7:$E$506)*(AE$3&lt;='Gastos com Pessoal'!$F$7:$F$506)*OFFSET('Encargos e Benefícios'!$D$5,1,MATCH($B24,'Encargos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2813.4308037052178</v>
      </c>
      <c r="AF24" s="188">
        <f t="array" aca="1" ref="AF24" ca="1">_xlfn.IFNA(SUM((AF$3&gt;='Gastos com Pessoal'!$E$7:$E$506)*(AF$3&lt;='Gastos com Pessoal'!$F$7:$F$506)*OFFSET('Encargos e Benefícios'!$D$5,1,MATCH($B24,'Encargos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2977.7351626416025</v>
      </c>
      <c r="AG24" s="188">
        <f t="array" aca="1" ref="AG24" ca="1">_xlfn.IFNA(SUM((AG$3&gt;='Gastos com Pessoal'!$E$7:$E$506)*(AG$3&lt;='Gastos com Pessoal'!$F$7:$F$506)*OFFSET('Encargos e Benefícios'!$D$5,1,MATCH($B24,'Encargos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2977.7351626416025</v>
      </c>
      <c r="AH24" s="188">
        <f t="array" aca="1" ref="AH24" ca="1">_xlfn.IFNA(SUM((AH$3&gt;='Gastos com Pessoal'!$E$7:$E$506)*(AH$3&lt;='Gastos com Pessoal'!$F$7:$F$506)*OFFSET('Encargos e Benefícios'!$D$5,1,MATCH($B24,'Encargos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2977.7351626416025</v>
      </c>
      <c r="AI24" s="188">
        <f t="array" aca="1" ref="AI24" ca="1">_xlfn.IFNA(SUM((AI$3&gt;='Gastos com Pessoal'!$E$7:$E$506)*(AI$3&lt;='Gastos com Pessoal'!$F$7:$F$506)*OFFSET('Encargos e Benefícios'!$D$5,1,MATCH($B24,'Encargos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2977.7351626416025</v>
      </c>
      <c r="AJ24" s="188">
        <f t="array" aca="1" ref="AJ24" ca="1">_xlfn.IFNA(SUM((AJ$3&gt;='Gastos com Pessoal'!$E$7:$E$506)*(AJ$3&lt;='Gastos com Pessoal'!$F$7:$F$506)*OFFSET('Encargos e Benefícios'!$D$5,1,MATCH($B24,'Encargos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2977.7351626416025</v>
      </c>
      <c r="AK24" s="188">
        <f t="array" aca="1" ref="AK24" ca="1">_xlfn.IFNA(SUM((AK$3&gt;='Gastos com Pessoal'!$E$7:$E$506)*(AK$3&lt;='Gastos com Pessoal'!$F$7:$F$506)*OFFSET('Encargos e Benefícios'!$D$5,1,MATCH($B24,'Encargos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2977.7351626416025</v>
      </c>
      <c r="AL24" s="188">
        <f t="array" aca="1" ref="AL24" ca="1">_xlfn.IFNA(SUM((AL$3&gt;='Gastos com Pessoal'!$E$7:$E$506)*(AL$3&lt;='Gastos com Pessoal'!$F$7:$F$506)*OFFSET('Encargos e Benefícios'!$D$5,1,MATCH($B24,'Encargos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2977.7351626416025</v>
      </c>
      <c r="AM24" s="188">
        <f t="array" aca="1" ref="AM24" ca="1">_xlfn.IFNA(SUM((AM$3&gt;='Gastos com Pessoal'!$E$7:$E$506)*(AM$3&lt;='Gastos com Pessoal'!$F$7:$F$506)*OFFSET('Encargos e Benefícios'!$D$5,1,MATCH($B24,'Encargos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2977.7351626416025</v>
      </c>
      <c r="AN24" s="188">
        <f t="array" aca="1" ref="AN24" ca="1">_xlfn.IFNA(SUM((AN$3&gt;='Gastos com Pessoal'!$E$7:$E$506)*(AN$3&lt;='Gastos com Pessoal'!$F$7:$F$506)*OFFSET('Encargos e Benefícios'!$D$5,1,MATCH($B24,'Encargos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2977.7351626416025</v>
      </c>
      <c r="AO24" s="188">
        <f t="array" aca="1" ref="AO24" ca="1">_xlfn.IFNA(SUM((AO$3&gt;='Gastos com Pessoal'!$E$7:$E$506)*(AO$3&lt;='Gastos com Pessoal'!$F$7:$F$506)*OFFSET('Encargos e Benefícios'!$D$5,1,MATCH($B24,'Encargos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2977.7351626416025</v>
      </c>
      <c r="AP24" s="188">
        <f t="array" aca="1" ref="AP24" ca="1">_xlfn.IFNA(SUM((AP$3&gt;='Gastos com Pessoal'!$E$7:$E$506)*(AP$3&lt;='Gastos com Pessoal'!$F$7:$F$506)*OFFSET('Encargos e Benefícios'!$D$5,1,MATCH($B24,'Encargos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2977.7351626416025</v>
      </c>
      <c r="AQ24" s="188">
        <f t="array" aca="1" ref="AQ24" ca="1">_xlfn.IFNA(SUM((AQ$3&gt;='Gastos com Pessoal'!$E$7:$E$506)*(AQ$3&lt;='Gastos com Pessoal'!$F$7:$F$506)*OFFSET('Encargos e Benefícios'!$D$5,1,MATCH($B24,'Encargos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2977.7351626416025</v>
      </c>
      <c r="AR24" s="188">
        <f t="array" aca="1" ref="AR24" ca="1">_xlfn.IFNA(SUM((AR$3&gt;='Gastos com Pessoal'!$E$7:$E$506)*(AR$3&lt;='Gastos com Pessoal'!$F$7:$F$506)*OFFSET('Encargos e Benefícios'!$D$5,1,MATCH($B24,'Encargos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3151.6348961398721</v>
      </c>
      <c r="AS24" s="188">
        <f t="array" aca="1" ref="AS24" ca="1">_xlfn.IFNA(SUM((AS$3&gt;='Gastos com Pessoal'!$E$7:$E$506)*(AS$3&lt;='Gastos com Pessoal'!$F$7:$F$506)*OFFSET('Encargos e Benefícios'!$D$5,1,MATCH($B24,'Encargos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3151.6348961398721</v>
      </c>
      <c r="AT24" s="188">
        <f t="array" aca="1" ref="AT24" ca="1">_xlfn.IFNA(SUM((AT$3&gt;='Gastos com Pessoal'!$E$7:$E$506)*(AT$3&lt;='Gastos com Pessoal'!$F$7:$F$506)*OFFSET('Encargos e Benefícios'!$D$5,1,MATCH($B24,'Encargos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3151.6348961398721</v>
      </c>
      <c r="AU24" s="188">
        <f t="array" aca="1" ref="AU24" ca="1">_xlfn.IFNA(SUM((AU$3&gt;='Gastos com Pessoal'!$E$7:$E$506)*(AU$3&lt;='Gastos com Pessoal'!$F$7:$F$506)*OFFSET('Encargos e Benefícios'!$D$5,1,MATCH($B24,'Encargos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3151.6348961398721</v>
      </c>
      <c r="AV24" s="188">
        <f t="array" aca="1" ref="AV24" ca="1">_xlfn.IFNA(SUM((AV$3&gt;='Gastos com Pessoal'!$E$7:$E$506)*(AV$3&lt;='Gastos com Pessoal'!$F$7:$F$506)*OFFSET('Encargos e Benefícios'!$D$5,1,MATCH($B24,'Encargos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3151.6348961398721</v>
      </c>
      <c r="AW24" s="188">
        <f t="array" aca="1" ref="AW24" ca="1">_xlfn.IFNA(SUM((AW$3&gt;='Gastos com Pessoal'!$E$7:$E$506)*(AW$3&lt;='Gastos com Pessoal'!$F$7:$F$506)*OFFSET('Encargos e Benefícios'!$D$5,1,MATCH($B24,'Encargos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3151.6348961398721</v>
      </c>
      <c r="AX24" s="188">
        <f t="array" aca="1" ref="AX24" ca="1">_xlfn.IFNA(SUM((AX$3&gt;='Gastos com Pessoal'!$E$7:$E$506)*(AX$3&lt;='Gastos com Pessoal'!$F$7:$F$506)*OFFSET('Encargos e Benefícios'!$D$5,1,MATCH($B24,'Encargos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3151.6348961398721</v>
      </c>
      <c r="AY24" s="188">
        <f t="array" aca="1" ref="AY24" ca="1">_xlfn.IFNA(SUM((AY$3&gt;='Gastos com Pessoal'!$E$7:$E$506)*(AY$3&lt;='Gastos com Pessoal'!$F$7:$F$506)*OFFSET('Encargos e Benefícios'!$D$5,1,MATCH($B24,'Encargos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3151.6348961398721</v>
      </c>
      <c r="AZ24" s="188">
        <f t="array" aca="1" ref="AZ24" ca="1">_xlfn.IFNA(SUM((AZ$3&gt;='Gastos com Pessoal'!$E$7:$E$506)*(AZ$3&lt;='Gastos com Pessoal'!$F$7:$F$506)*OFFSET('Encargos e Benefícios'!$D$5,1,MATCH($B24,'Encargos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3151.6348961398721</v>
      </c>
      <c r="BA24" s="188">
        <f t="array" aca="1" ref="BA24" ca="1">_xlfn.IFNA(SUM((BA$3&gt;='Gastos com Pessoal'!$E$7:$E$506)*(BA$3&lt;='Gastos com Pessoal'!$F$7:$F$506)*OFFSET('Encargos e Benefícios'!$D$5,1,MATCH($B24,'Encargos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3151.6348961398721</v>
      </c>
      <c r="BB24" s="188">
        <f t="array" aca="1" ref="BB24" ca="1">_xlfn.IFNA(SUM((BB$3&gt;='Gastos com Pessoal'!$E$7:$E$506)*(BB$3&lt;='Gastos com Pessoal'!$F$7:$F$506)*OFFSET('Encargos e Benefícios'!$D$5,1,MATCH($B24,'Encargos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3151.6348961398721</v>
      </c>
      <c r="BC24" s="188">
        <f t="array" aca="1" ref="BC24" ca="1">_xlfn.IFNA(SUM((BC$3&gt;='Gastos com Pessoal'!$E$7:$E$506)*(BC$3&lt;='Gastos com Pessoal'!$F$7:$F$506)*OFFSET('Encargos e Benefícios'!$D$5,1,MATCH($B24,'Encargos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3151.6348961398721</v>
      </c>
      <c r="BD24" s="188">
        <f t="array" aca="1" ref="BD24" ca="1">_xlfn.IFNA(SUM((BD$3&gt;='Gastos com Pessoal'!$E$7:$E$506)*(BD$3&lt;='Gastos com Pessoal'!$F$7:$F$506)*OFFSET('Encargos e Benefícios'!$D$5,1,MATCH($B24,'Encargos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3335.6903740744406</v>
      </c>
      <c r="BE24" s="188">
        <f t="array" aca="1" ref="BE24" ca="1">_xlfn.IFNA(SUM((BE$3&gt;='Gastos com Pessoal'!$E$7:$E$506)*(BE$3&lt;='Gastos com Pessoal'!$F$7:$F$506)*OFFSET('Encargos e Benefícios'!$D$5,1,MATCH($B24,'Encargos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3335.6903740744406</v>
      </c>
      <c r="BF24" s="188">
        <f t="array" aca="1" ref="BF24" ca="1">_xlfn.IFNA(SUM((BF$3&gt;='Gastos com Pessoal'!$E$7:$E$506)*(BF$3&lt;='Gastos com Pessoal'!$F$7:$F$506)*OFFSET('Encargos e Benefícios'!$D$5,1,MATCH($B24,'Encargos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3335.6903740744406</v>
      </c>
      <c r="BG24" s="188">
        <f t="array" aca="1" ref="BG24" ca="1">_xlfn.IFNA(SUM((BG$3&gt;='Gastos com Pessoal'!$E$7:$E$506)*(BG$3&lt;='Gastos com Pessoal'!$F$7:$F$506)*OFFSET('Encargos e Benefícios'!$D$5,1,MATCH($B24,'Encargos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3335.6903740744406</v>
      </c>
      <c r="BH24" s="188">
        <f t="array" aca="1" ref="BH24" ca="1">_xlfn.IFNA(SUM((BH$3&gt;='Gastos com Pessoal'!$E$7:$E$506)*(BH$3&lt;='Gastos com Pessoal'!$F$7:$F$506)*OFFSET('Encargos e Benefícios'!$D$5,1,MATCH($B24,'Encargos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3335.6903740744406</v>
      </c>
      <c r="BI24" s="188">
        <f t="array" aca="1" ref="BI24" ca="1">_xlfn.IFNA(SUM((BI$3&gt;='Gastos com Pessoal'!$E$7:$E$506)*(BI$3&lt;='Gastos com Pessoal'!$F$7:$F$506)*OFFSET('Encargos e Benefícios'!$D$5,1,MATCH($B24,'Encargos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3335.6903740744406</v>
      </c>
      <c r="BJ24" s="188">
        <f t="array" aca="1" ref="BJ24" ca="1">_xlfn.IFNA(SUM((BJ$3&gt;='Gastos com Pessoal'!$E$7:$E$506)*(BJ$3&lt;='Gastos com Pessoal'!$F$7:$F$506)*OFFSET('Encargos e Benefícios'!$D$5,1,MATCH($B24,'Encargos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3335.6903740744406</v>
      </c>
      <c r="BK24" s="189">
        <f t="shared" ca="1" si="11"/>
        <v>169829.67637556678</v>
      </c>
      <c r="BL24" s="136">
        <f t="shared" ca="1" si="12"/>
        <v>5.0758775456892198E-4</v>
      </c>
      <c r="BN24" s="188">
        <f t="array" aca="1" ref="BN24" ca="1">_xlfn.IFNA(SUM((BN$3&gt;='Gastos com Pessoal'!$E$7:$E$506)*(BN$3&lt;='Gastos com Pessoal'!$F$7:$F$506)*OFFSET('Encargos e Benefícios'!$D$5,1,MATCH($B24,'Encargos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1969.7786499999984</v>
      </c>
    </row>
    <row r="25" spans="1:66" s="160" customFormat="1" ht="23.25" customHeight="1">
      <c r="A25" s="198" t="s">
        <v>141</v>
      </c>
      <c r="B25" s="209" t="s">
        <v>142</v>
      </c>
      <c r="C25" s="188">
        <f t="shared" ca="1" si="13"/>
        <v>58959.359999999986</v>
      </c>
      <c r="D25" s="188">
        <f t="array" aca="1" ref="D25" ca="1">_xlfn.IFNA(SUM((D$3&gt;='Gastos com Pessoal'!$E$7:$E$506)*(D$3&lt;='Gastos com Pessoal'!$F$7:$F$506)*OFFSET('Encargos e Benefícios'!$D$5,1,MATCH($B25,'Encargos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211335.35999999993</v>
      </c>
      <c r="E25" s="188">
        <f t="array" aca="1" ref="E25" ca="1">_xlfn.IFNA(SUM((E$3&gt;='Gastos com Pessoal'!$E$7:$E$506)*(E$3&lt;='Gastos com Pessoal'!$F$7:$F$506)*OFFSET('Encargos e Benefícios'!$D$5,1,MATCH($B25,'Encargos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223875.35999999993</v>
      </c>
      <c r="F25" s="188">
        <f t="array" aca="1" ref="F25" ca="1">_xlfn.IFNA(SUM((F$3&gt;='Gastos com Pessoal'!$E$7:$E$506)*(F$3&lt;='Gastos com Pessoal'!$F$7:$F$506)*OFFSET('Encargos e Benefícios'!$D$5,1,MATCH($B25,'Encargos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223875.35999999993</v>
      </c>
      <c r="G25" s="188">
        <f t="array" aca="1" ref="G25" ca="1">_xlfn.IFNA(SUM((G$3&gt;='Gastos com Pessoal'!$E$7:$E$506)*(G$3&lt;='Gastos com Pessoal'!$F$7:$F$506)*OFFSET('Encargos e Benefícios'!$D$5,1,MATCH($B25,'Encargos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223875.35999999993</v>
      </c>
      <c r="H25" s="188">
        <f t="array" aca="1" ref="H25" ca="1">_xlfn.IFNA(SUM((H$3&gt;='Gastos com Pessoal'!$E$7:$E$506)*(H$3&lt;='Gastos com Pessoal'!$F$7:$F$506)*OFFSET('Encargos e Benefícios'!$D$5,1,MATCH($B25,'Encargos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236949.68102399993</v>
      </c>
      <c r="I25" s="188">
        <f t="array" aca="1" ref="I25" ca="1">_xlfn.IFNA(SUM((I$3&gt;='Gastos com Pessoal'!$E$7:$E$506)*(I$3&lt;='Gastos com Pessoal'!$F$7:$F$506)*OFFSET('Encargos e Benefícios'!$D$5,1,MATCH($B25,'Encargos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236949.68102399993</v>
      </c>
      <c r="J25" s="188">
        <f t="array" aca="1" ref="J25" ca="1">_xlfn.IFNA(SUM((J$3&gt;='Gastos com Pessoal'!$E$7:$E$506)*(J$3&lt;='Gastos com Pessoal'!$F$7:$F$506)*OFFSET('Encargos e Benefícios'!$D$5,1,MATCH($B25,'Encargos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236949.68102399993</v>
      </c>
      <c r="K25" s="188">
        <f t="array" aca="1" ref="K25" ca="1">_xlfn.IFNA(SUM((K$3&gt;='Gastos com Pessoal'!$E$7:$E$506)*(K$3&lt;='Gastos com Pessoal'!$F$7:$F$506)*OFFSET('Encargos e Benefícios'!$D$5,1,MATCH($B25,'Encargos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236949.68102399993</v>
      </c>
      <c r="L25" s="188">
        <f t="array" aca="1" ref="L25" ca="1">_xlfn.IFNA(SUM((L$3&gt;='Gastos com Pessoal'!$E$7:$E$506)*(L$3&lt;='Gastos com Pessoal'!$F$7:$F$506)*OFFSET('Encargos e Benefícios'!$D$5,1,MATCH($B25,'Encargos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236949.68102399993</v>
      </c>
      <c r="M25" s="188">
        <f t="array" aca="1" ref="M25" ca="1">_xlfn.IFNA(SUM((M$3&gt;='Gastos com Pessoal'!$E$7:$E$506)*(M$3&lt;='Gastos com Pessoal'!$F$7:$F$506)*OFFSET('Encargos e Benefícios'!$D$5,1,MATCH($B25,'Encargos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238147.87449599992</v>
      </c>
      <c r="N25" s="188">
        <f t="array" aca="1" ref="N25" ca="1">_xlfn.IFNA(SUM((N$3&gt;='Gastos com Pessoal'!$E$7:$E$506)*(N$3&lt;='Gastos com Pessoal'!$F$7:$F$506)*OFFSET('Encargos e Benefícios'!$D$5,1,MATCH($B25,'Encargos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251420.2104959999</v>
      </c>
      <c r="O25" s="188">
        <f t="array" aca="1" ref="O25" ca="1">_xlfn.IFNA(SUM((O$3&gt;='Gastos com Pessoal'!$E$7:$E$506)*(O$3&lt;='Gastos com Pessoal'!$F$7:$F$506)*OFFSET('Encargos e Benefícios'!$D$5,1,MATCH($B25,'Encargos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251420.2104959999</v>
      </c>
      <c r="P25" s="188">
        <f t="array" aca="1" ref="P25" ca="1">_xlfn.IFNA(SUM((P$3&gt;='Gastos com Pessoal'!$E$7:$E$506)*(P$3&lt;='Gastos com Pessoal'!$F$7:$F$506)*OFFSET('Encargos e Benefícios'!$D$5,1,MATCH($B25,'Encargos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252618.40396799991</v>
      </c>
      <c r="Q25" s="188">
        <f t="array" aca="1" ref="Q25" ca="1">_xlfn.IFNA(SUM((Q$3&gt;='Gastos com Pessoal'!$E$7:$E$506)*(Q$3&lt;='Gastos com Pessoal'!$F$7:$F$506)*OFFSET('Encargos e Benefícios'!$D$5,1,MATCH($B25,'Encargos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265890.73996799992</v>
      </c>
      <c r="R25" s="188">
        <f t="array" aca="1" ref="R25" ca="1">_xlfn.IFNA(SUM((R$3&gt;='Gastos com Pessoal'!$E$7:$E$506)*(R$3&lt;='Gastos com Pessoal'!$F$7:$F$506)*OFFSET('Encargos e Benefícios'!$D$5,1,MATCH($B25,'Encargos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265890.73996799992</v>
      </c>
      <c r="S25" s="188">
        <f t="array" aca="1" ref="S25" ca="1">_xlfn.IFNA(SUM((S$3&gt;='Gastos com Pessoal'!$E$7:$E$506)*(S$3&lt;='Gastos com Pessoal'!$F$7:$F$506)*OFFSET('Encargos e Benefícios'!$D$5,1,MATCH($B25,'Encargos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265890.73996799992</v>
      </c>
      <c r="T25" s="188">
        <f t="array" aca="1" ref="T25" ca="1">_xlfn.IFNA(SUM((T$3&gt;='Gastos com Pessoal'!$E$7:$E$506)*(T$3&lt;='Gastos com Pessoal'!$F$7:$F$506)*OFFSET('Encargos e Benefícios'!$D$5,1,MATCH($B25,'Encargos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281418.75918213109</v>
      </c>
      <c r="U25" s="188">
        <f t="array" aca="1" ref="U25" ca="1">_xlfn.IFNA(SUM((U$3&gt;='Gastos com Pessoal'!$E$7:$E$506)*(U$3&lt;='Gastos com Pessoal'!$F$7:$F$506)*OFFSET('Encargos e Benefícios'!$D$5,1,MATCH($B25,'Encargos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281418.75918213109</v>
      </c>
      <c r="V25" s="188">
        <f t="array" aca="1" ref="V25" ca="1">_xlfn.IFNA(SUM((V$3&gt;='Gastos com Pessoal'!$E$7:$E$506)*(V$3&lt;='Gastos com Pessoal'!$F$7:$F$506)*OFFSET('Encargos e Benefícios'!$D$5,1,MATCH($B25,'Encargos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281418.75918213109</v>
      </c>
      <c r="W25" s="188">
        <f t="array" aca="1" ref="W25" ca="1">_xlfn.IFNA(SUM((W$3&gt;='Gastos com Pessoal'!$E$7:$E$506)*(W$3&lt;='Gastos com Pessoal'!$F$7:$F$506)*OFFSET('Encargos e Benefícios'!$D$5,1,MATCH($B25,'Encargos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281418.75918213109</v>
      </c>
      <c r="X25" s="188">
        <f t="array" aca="1" ref="X25" ca="1">_xlfn.IFNA(SUM((X$3&gt;='Gastos com Pessoal'!$E$7:$E$506)*(X$3&lt;='Gastos com Pessoal'!$F$7:$F$506)*OFFSET('Encargos e Benefícios'!$D$5,1,MATCH($B25,'Encargos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281418.75918213109</v>
      </c>
      <c r="Y25" s="188">
        <f t="array" aca="1" ref="Y25" ca="1">_xlfn.IFNA(SUM((Y$3&gt;='Gastos com Pessoal'!$E$7:$E$506)*(Y$3&lt;='Gastos com Pessoal'!$F$7:$F$506)*OFFSET('Encargos e Benefícios'!$D$5,1,MATCH($B25,'Encargos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281418.75918213109</v>
      </c>
      <c r="Z25" s="188">
        <f t="array" aca="1" ref="Z25" ca="1">_xlfn.IFNA(SUM((Z$3&gt;='Gastos com Pessoal'!$E$7:$E$506)*(Z$3&lt;='Gastos com Pessoal'!$F$7:$F$506)*OFFSET('Encargos e Benefícios'!$D$5,1,MATCH($B25,'Encargos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281418.75918213109</v>
      </c>
      <c r="AA25" s="188">
        <f t="array" aca="1" ref="AA25" ca="1">_xlfn.IFNA(SUM((AA$3&gt;='Gastos com Pessoal'!$E$7:$E$506)*(AA$3&lt;='Gastos com Pessoal'!$F$7:$F$506)*OFFSET('Encargos e Benefícios'!$D$5,1,MATCH($B25,'Encargos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281418.75918213109</v>
      </c>
      <c r="AB25" s="188">
        <f t="array" aca="1" ref="AB25" ca="1">_xlfn.IFNA(SUM((AB$3&gt;='Gastos com Pessoal'!$E$7:$E$506)*(AB$3&lt;='Gastos com Pessoal'!$F$7:$F$506)*OFFSET('Encargos e Benefícios'!$D$5,1,MATCH($B25,'Encargos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281418.75918213109</v>
      </c>
      <c r="AC25" s="188">
        <f t="array" aca="1" ref="AC25" ca="1">_xlfn.IFNA(SUM((AC$3&gt;='Gastos com Pessoal'!$E$7:$E$506)*(AC$3&lt;='Gastos com Pessoal'!$F$7:$F$506)*OFFSET('Encargos e Benefícios'!$D$5,1,MATCH($B25,'Encargos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281418.75918213109</v>
      </c>
      <c r="AD25" s="188">
        <f t="array" aca="1" ref="AD25" ca="1">_xlfn.IFNA(SUM((AD$3&gt;='Gastos com Pessoal'!$E$7:$E$506)*(AD$3&lt;='Gastos com Pessoal'!$F$7:$F$506)*OFFSET('Encargos e Benefícios'!$D$5,1,MATCH($B25,'Encargos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281418.75918213109</v>
      </c>
      <c r="AE25" s="188">
        <f t="array" aca="1" ref="AE25" ca="1">_xlfn.IFNA(SUM((AE$3&gt;='Gastos com Pessoal'!$E$7:$E$506)*(AE$3&lt;='Gastos com Pessoal'!$F$7:$F$506)*OFFSET('Encargos e Benefícios'!$D$5,1,MATCH($B25,'Encargos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281418.75918213109</v>
      </c>
      <c r="AF25" s="188">
        <f t="array" aca="1" ref="AF25" ca="1">_xlfn.IFNA(SUM((AF$3&gt;='Gastos com Pessoal'!$E$7:$E$506)*(AF$3&lt;='Gastos com Pessoal'!$F$7:$F$506)*OFFSET('Encargos e Benefícios'!$D$5,1,MATCH($B25,'Encargos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297853.61471836758</v>
      </c>
      <c r="AG25" s="188">
        <f t="array" aca="1" ref="AG25" ca="1">_xlfn.IFNA(SUM((AG$3&gt;='Gastos com Pessoal'!$E$7:$E$506)*(AG$3&lt;='Gastos com Pessoal'!$F$7:$F$506)*OFFSET('Encargos e Benefícios'!$D$5,1,MATCH($B25,'Encargos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297853.61471836758</v>
      </c>
      <c r="AH25" s="188">
        <f t="array" aca="1" ref="AH25" ca="1">_xlfn.IFNA(SUM((AH$3&gt;='Gastos com Pessoal'!$E$7:$E$506)*(AH$3&lt;='Gastos com Pessoal'!$F$7:$F$506)*OFFSET('Encargos e Benefícios'!$D$5,1,MATCH($B25,'Encargos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297853.61471836758</v>
      </c>
      <c r="AI25" s="188">
        <f t="array" aca="1" ref="AI25" ca="1">_xlfn.IFNA(SUM((AI$3&gt;='Gastos com Pessoal'!$E$7:$E$506)*(AI$3&lt;='Gastos com Pessoal'!$F$7:$F$506)*OFFSET('Encargos e Benefícios'!$D$5,1,MATCH($B25,'Encargos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297853.61471836758</v>
      </c>
      <c r="AJ25" s="188">
        <f t="array" aca="1" ref="AJ25" ca="1">_xlfn.IFNA(SUM((AJ$3&gt;='Gastos com Pessoal'!$E$7:$E$506)*(AJ$3&lt;='Gastos com Pessoal'!$F$7:$F$506)*OFFSET('Encargos e Benefícios'!$D$5,1,MATCH($B25,'Encargos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297853.61471836758</v>
      </c>
      <c r="AK25" s="188">
        <f t="array" aca="1" ref="AK25" ca="1">_xlfn.IFNA(SUM((AK$3&gt;='Gastos com Pessoal'!$E$7:$E$506)*(AK$3&lt;='Gastos com Pessoal'!$F$7:$F$506)*OFFSET('Encargos e Benefícios'!$D$5,1,MATCH($B25,'Encargos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297853.61471836758</v>
      </c>
      <c r="AL25" s="188">
        <f t="array" aca="1" ref="AL25" ca="1">_xlfn.IFNA(SUM((AL$3&gt;='Gastos com Pessoal'!$E$7:$E$506)*(AL$3&lt;='Gastos com Pessoal'!$F$7:$F$506)*OFFSET('Encargos e Benefícios'!$D$5,1,MATCH($B25,'Encargos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297853.61471836758</v>
      </c>
      <c r="AM25" s="188">
        <f t="array" aca="1" ref="AM25" ca="1">_xlfn.IFNA(SUM((AM$3&gt;='Gastos com Pessoal'!$E$7:$E$506)*(AM$3&lt;='Gastos com Pessoal'!$F$7:$F$506)*OFFSET('Encargos e Benefícios'!$D$5,1,MATCH($B25,'Encargos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297853.61471836758</v>
      </c>
      <c r="AN25" s="188">
        <f t="array" aca="1" ref="AN25" ca="1">_xlfn.IFNA(SUM((AN$3&gt;='Gastos com Pessoal'!$E$7:$E$506)*(AN$3&lt;='Gastos com Pessoal'!$F$7:$F$506)*OFFSET('Encargos e Benefícios'!$D$5,1,MATCH($B25,'Encargos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297853.61471836758</v>
      </c>
      <c r="AO25" s="188">
        <f t="array" aca="1" ref="AO25" ca="1">_xlfn.IFNA(SUM((AO$3&gt;='Gastos com Pessoal'!$E$7:$E$506)*(AO$3&lt;='Gastos com Pessoal'!$F$7:$F$506)*OFFSET('Encargos e Benefícios'!$D$5,1,MATCH($B25,'Encargos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297853.61471836758</v>
      </c>
      <c r="AP25" s="188">
        <f t="array" aca="1" ref="AP25" ca="1">_xlfn.IFNA(SUM((AP$3&gt;='Gastos com Pessoal'!$E$7:$E$506)*(AP$3&lt;='Gastos com Pessoal'!$F$7:$F$506)*OFFSET('Encargos e Benefícios'!$D$5,1,MATCH($B25,'Encargos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297853.61471836758</v>
      </c>
      <c r="AQ25" s="188">
        <f t="array" aca="1" ref="AQ25" ca="1">_xlfn.IFNA(SUM((AQ$3&gt;='Gastos com Pessoal'!$E$7:$E$506)*(AQ$3&lt;='Gastos com Pessoal'!$F$7:$F$506)*OFFSET('Encargos e Benefícios'!$D$5,1,MATCH($B25,'Encargos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297853.61471836758</v>
      </c>
      <c r="AR25" s="188">
        <f t="array" aca="1" ref="AR25" ca="1">_xlfn.IFNA(SUM((AR$3&gt;='Gastos com Pessoal'!$E$7:$E$506)*(AR$3&lt;='Gastos com Pessoal'!$F$7:$F$506)*OFFSET('Encargos e Benefícios'!$D$5,1,MATCH($B25,'Encargos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315248.26581792027</v>
      </c>
      <c r="AS25" s="188">
        <f t="array" aca="1" ref="AS25" ca="1">_xlfn.IFNA(SUM((AS$3&gt;='Gastos com Pessoal'!$E$7:$E$506)*(AS$3&lt;='Gastos com Pessoal'!$F$7:$F$506)*OFFSET('Encargos e Benefícios'!$D$5,1,MATCH($B25,'Encargos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315248.26581792027</v>
      </c>
      <c r="AT25" s="188">
        <f t="array" aca="1" ref="AT25" ca="1">_xlfn.IFNA(SUM((AT$3&gt;='Gastos com Pessoal'!$E$7:$E$506)*(AT$3&lt;='Gastos com Pessoal'!$F$7:$F$506)*OFFSET('Encargos e Benefícios'!$D$5,1,MATCH($B25,'Encargos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315248.26581792027</v>
      </c>
      <c r="AU25" s="188">
        <f t="array" aca="1" ref="AU25" ca="1">_xlfn.IFNA(SUM((AU$3&gt;='Gastos com Pessoal'!$E$7:$E$506)*(AU$3&lt;='Gastos com Pessoal'!$F$7:$F$506)*OFFSET('Encargos e Benefícios'!$D$5,1,MATCH($B25,'Encargos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315248.26581792027</v>
      </c>
      <c r="AV25" s="188">
        <f t="array" aca="1" ref="AV25" ca="1">_xlfn.IFNA(SUM((AV$3&gt;='Gastos com Pessoal'!$E$7:$E$506)*(AV$3&lt;='Gastos com Pessoal'!$F$7:$F$506)*OFFSET('Encargos e Benefícios'!$D$5,1,MATCH($B25,'Encargos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315248.26581792027</v>
      </c>
      <c r="AW25" s="188">
        <f t="array" aca="1" ref="AW25" ca="1">_xlfn.IFNA(SUM((AW$3&gt;='Gastos com Pessoal'!$E$7:$E$506)*(AW$3&lt;='Gastos com Pessoal'!$F$7:$F$506)*OFFSET('Encargos e Benefícios'!$D$5,1,MATCH($B25,'Encargos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315248.26581792027</v>
      </c>
      <c r="AX25" s="188">
        <f t="array" aca="1" ref="AX25" ca="1">_xlfn.IFNA(SUM((AX$3&gt;='Gastos com Pessoal'!$E$7:$E$506)*(AX$3&lt;='Gastos com Pessoal'!$F$7:$F$506)*OFFSET('Encargos e Benefícios'!$D$5,1,MATCH($B25,'Encargos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315248.26581792027</v>
      </c>
      <c r="AY25" s="188">
        <f t="array" aca="1" ref="AY25" ca="1">_xlfn.IFNA(SUM((AY$3&gt;='Gastos com Pessoal'!$E$7:$E$506)*(AY$3&lt;='Gastos com Pessoal'!$F$7:$F$506)*OFFSET('Encargos e Benefícios'!$D$5,1,MATCH($B25,'Encargos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315248.26581792027</v>
      </c>
      <c r="AZ25" s="188">
        <f t="array" aca="1" ref="AZ25" ca="1">_xlfn.IFNA(SUM((AZ$3&gt;='Gastos com Pessoal'!$E$7:$E$506)*(AZ$3&lt;='Gastos com Pessoal'!$F$7:$F$506)*OFFSET('Encargos e Benefícios'!$D$5,1,MATCH($B25,'Encargos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315248.26581792027</v>
      </c>
      <c r="BA25" s="188">
        <f t="array" aca="1" ref="BA25" ca="1">_xlfn.IFNA(SUM((BA$3&gt;='Gastos com Pessoal'!$E$7:$E$506)*(BA$3&lt;='Gastos com Pessoal'!$F$7:$F$506)*OFFSET('Encargos e Benefícios'!$D$5,1,MATCH($B25,'Encargos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315248.26581792027</v>
      </c>
      <c r="BB25" s="188">
        <f t="array" aca="1" ref="BB25" ca="1">_xlfn.IFNA(SUM((BB$3&gt;='Gastos com Pessoal'!$E$7:$E$506)*(BB$3&lt;='Gastos com Pessoal'!$F$7:$F$506)*OFFSET('Encargos e Benefícios'!$D$5,1,MATCH($B25,'Encargos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315248.26581792027</v>
      </c>
      <c r="BC25" s="188">
        <f t="array" aca="1" ref="BC25" ca="1">_xlfn.IFNA(SUM((BC$3&gt;='Gastos com Pessoal'!$E$7:$E$506)*(BC$3&lt;='Gastos com Pessoal'!$F$7:$F$506)*OFFSET('Encargos e Benefícios'!$D$5,1,MATCH($B25,'Encargos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315248.26581792027</v>
      </c>
      <c r="BD25" s="188">
        <f t="array" aca="1" ref="BD25" ca="1">_xlfn.IFNA(SUM((BD$3&gt;='Gastos com Pessoal'!$E$7:$E$506)*(BD$3&lt;='Gastos com Pessoal'!$F$7:$F$506)*OFFSET('Encargos e Benefícios'!$D$5,1,MATCH($B25,'Encargos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333658.7645416868</v>
      </c>
      <c r="BE25" s="188">
        <f t="array" aca="1" ref="BE25" ca="1">_xlfn.IFNA(SUM((BE$3&gt;='Gastos com Pessoal'!$E$7:$E$506)*(BE$3&lt;='Gastos com Pessoal'!$F$7:$F$506)*OFFSET('Encargos e Benefícios'!$D$5,1,MATCH($B25,'Encargos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333658.7645416868</v>
      </c>
      <c r="BF25" s="188">
        <f t="array" aca="1" ref="BF25" ca="1">_xlfn.IFNA(SUM((BF$3&gt;='Gastos com Pessoal'!$E$7:$E$506)*(BF$3&lt;='Gastos com Pessoal'!$F$7:$F$506)*OFFSET('Encargos e Benefícios'!$D$5,1,MATCH($B25,'Encargos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333658.7645416868</v>
      </c>
      <c r="BG25" s="188">
        <f t="array" aca="1" ref="BG25" ca="1">_xlfn.IFNA(SUM((BG$3&gt;='Gastos com Pessoal'!$E$7:$E$506)*(BG$3&lt;='Gastos com Pessoal'!$F$7:$F$506)*OFFSET('Encargos e Benefícios'!$D$5,1,MATCH($B25,'Encargos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333658.7645416868</v>
      </c>
      <c r="BH25" s="188">
        <f t="array" aca="1" ref="BH25" ca="1">_xlfn.IFNA(SUM((BH$3&gt;='Gastos com Pessoal'!$E$7:$E$506)*(BH$3&lt;='Gastos com Pessoal'!$F$7:$F$506)*OFFSET('Encargos e Benefícios'!$D$5,1,MATCH($B25,'Encargos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333658.7645416868</v>
      </c>
      <c r="BI25" s="188">
        <f t="array" aca="1" ref="BI25" ca="1">_xlfn.IFNA(SUM((BI$3&gt;='Gastos com Pessoal'!$E$7:$E$506)*(BI$3&lt;='Gastos com Pessoal'!$F$7:$F$506)*OFFSET('Encargos e Benefícios'!$D$5,1,MATCH($B25,'Encargos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333658.7645416868</v>
      </c>
      <c r="BJ25" s="188">
        <f t="array" aca="1" ref="BJ25" ca="1">_xlfn.IFNA(SUM((BJ$3&gt;='Gastos com Pessoal'!$E$7:$E$506)*(BJ$3&lt;='Gastos com Pessoal'!$F$7:$F$506)*OFFSET('Encargos e Benefícios'!$D$5,1,MATCH($B25,'Encargos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333658.7645416868</v>
      </c>
      <c r="BK25" s="189">
        <f t="shared" ca="1" si="11"/>
        <v>16987807.152892835</v>
      </c>
      <c r="BL25" s="136">
        <f t="shared" ca="1" si="12"/>
        <v>5.0773239823633673E-2</v>
      </c>
      <c r="BN25" s="188">
        <f t="array" aca="1" ref="BN25" ca="1">_xlfn.IFNA(SUM((BN$3&gt;='Gastos com Pessoal'!$E$7:$E$506)*(BN$3&lt;='Gastos com Pessoal'!$F$7:$F$506)*OFFSET('Encargos e Benefícios'!$D$5,1,MATCH($B25,'Encargos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196531.19999999995</v>
      </c>
    </row>
    <row r="26" spans="1:66" s="160" customFormat="1" ht="23.25" customHeight="1">
      <c r="A26" s="198" t="s">
        <v>143</v>
      </c>
      <c r="B26" s="209" t="s">
        <v>144</v>
      </c>
      <c r="C26" s="188">
        <f t="shared" ca="1" si="13"/>
        <v>2310</v>
      </c>
      <c r="D26" s="188">
        <f t="array" aca="1" ref="D26" ca="1">_xlfn.IFNA(SUM((D$3&gt;='Gastos com Pessoal'!$E$7:$E$506)*(D$3&lt;='Gastos com Pessoal'!$F$7:$F$506)*OFFSET('Encargos e Benefícios'!$D$5,1,MATCH($B26,'Encargos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8080</v>
      </c>
      <c r="E26" s="188">
        <f t="array" aca="1" ref="E26" ca="1">_xlfn.IFNA(SUM((E$3&gt;='Gastos com Pessoal'!$E$7:$E$506)*(E$3&lt;='Gastos com Pessoal'!$F$7:$F$506)*OFFSET('Encargos e Benefícios'!$D$5,1,MATCH($B26,'Encargos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8460</v>
      </c>
      <c r="F26" s="188">
        <f t="array" aca="1" ref="F26" ca="1">_xlfn.IFNA(SUM((F$3&gt;='Gastos com Pessoal'!$E$7:$E$506)*(F$3&lt;='Gastos com Pessoal'!$F$7:$F$506)*OFFSET('Encargos e Benefícios'!$D$5,1,MATCH($B26,'Encargos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8460</v>
      </c>
      <c r="G26" s="188">
        <f t="array" aca="1" ref="G26" ca="1">_xlfn.IFNA(SUM((G$3&gt;='Gastos com Pessoal'!$E$7:$E$506)*(G$3&lt;='Gastos com Pessoal'!$F$7:$F$506)*OFFSET('Encargos e Benefícios'!$D$5,1,MATCH($B26,'Encargos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8460</v>
      </c>
      <c r="H26" s="188">
        <f t="array" aca="1" ref="H26" ca="1">_xlfn.IFNA(SUM((H$3&gt;='Gastos com Pessoal'!$E$7:$E$506)*(H$3&lt;='Gastos com Pessoal'!$F$7:$F$506)*OFFSET('Encargos e Benefícios'!$D$5,1,MATCH($B26,'Encargos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8954.0640000000003</v>
      </c>
      <c r="I26" s="188">
        <f t="array" aca="1" ref="I26" ca="1">_xlfn.IFNA(SUM((I$3&gt;='Gastos com Pessoal'!$E$7:$E$506)*(I$3&lt;='Gastos com Pessoal'!$F$7:$F$506)*OFFSET('Encargos e Benefícios'!$D$5,1,MATCH($B26,'Encargos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8954.0640000000003</v>
      </c>
      <c r="J26" s="188">
        <f t="array" aca="1" ref="J26" ca="1">_xlfn.IFNA(SUM((J$3&gt;='Gastos com Pessoal'!$E$7:$E$506)*(J$3&lt;='Gastos com Pessoal'!$F$7:$F$506)*OFFSET('Encargos e Benefícios'!$D$5,1,MATCH($B26,'Encargos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8954.0640000000003</v>
      </c>
      <c r="K26" s="188">
        <f t="array" aca="1" ref="K26" ca="1">_xlfn.IFNA(SUM((K$3&gt;='Gastos com Pessoal'!$E$7:$E$506)*(K$3&lt;='Gastos com Pessoal'!$F$7:$F$506)*OFFSET('Encargos e Benefícios'!$D$5,1,MATCH($B26,'Encargos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8954.0640000000003</v>
      </c>
      <c r="L26" s="188">
        <f t="array" aca="1" ref="L26" ca="1">_xlfn.IFNA(SUM((L$3&gt;='Gastos com Pessoal'!$E$7:$E$506)*(L$3&lt;='Gastos com Pessoal'!$F$7:$F$506)*OFFSET('Encargos e Benefícios'!$D$5,1,MATCH($B26,'Encargos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8954.0640000000003</v>
      </c>
      <c r="M26" s="188">
        <f t="array" aca="1" ref="M26" ca="1">_xlfn.IFNA(SUM((M$3&gt;='Gastos com Pessoal'!$E$7:$E$506)*(M$3&lt;='Gastos com Pessoal'!$F$7:$F$506)*OFFSET('Encargos e Benefícios'!$D$5,1,MATCH($B26,'Encargos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8954.0640000000003</v>
      </c>
      <c r="N26" s="188">
        <f t="array" aca="1" ref="N26" ca="1">_xlfn.IFNA(SUM((N$3&gt;='Gastos com Pessoal'!$E$7:$E$506)*(N$3&lt;='Gastos com Pessoal'!$F$7:$F$506)*OFFSET('Encargos e Benefícios'!$D$5,1,MATCH($B26,'Encargos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9356.2559999999994</v>
      </c>
      <c r="O26" s="188">
        <f t="array" aca="1" ref="O26" ca="1">_xlfn.IFNA(SUM((O$3&gt;='Gastos com Pessoal'!$E$7:$E$506)*(O$3&lt;='Gastos com Pessoal'!$F$7:$F$506)*OFFSET('Encargos e Benefícios'!$D$5,1,MATCH($B26,'Encargos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9356.2559999999994</v>
      </c>
      <c r="P26" s="188">
        <f t="array" aca="1" ref="P26" ca="1">_xlfn.IFNA(SUM((P$3&gt;='Gastos com Pessoal'!$E$7:$E$506)*(P$3&lt;='Gastos com Pessoal'!$F$7:$F$506)*OFFSET('Encargos e Benefícios'!$D$5,1,MATCH($B26,'Encargos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9356.2559999999994</v>
      </c>
      <c r="Q26" s="188">
        <f t="array" aca="1" ref="Q26" ca="1">_xlfn.IFNA(SUM((Q$3&gt;='Gastos com Pessoal'!$E$7:$E$506)*(Q$3&lt;='Gastos com Pessoal'!$F$7:$F$506)*OFFSET('Encargos e Benefícios'!$D$5,1,MATCH($B26,'Encargos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9758.4480000000003</v>
      </c>
      <c r="R26" s="188">
        <f t="array" aca="1" ref="R26" ca="1">_xlfn.IFNA(SUM((R$3&gt;='Gastos com Pessoal'!$E$7:$E$506)*(R$3&lt;='Gastos com Pessoal'!$F$7:$F$506)*OFFSET('Encargos e Benefícios'!$D$5,1,MATCH($B26,'Encargos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9758.4480000000003</v>
      </c>
      <c r="S26" s="188">
        <f t="array" aca="1" ref="S26" ca="1">_xlfn.IFNA(SUM((S$3&gt;='Gastos com Pessoal'!$E$7:$E$506)*(S$3&lt;='Gastos com Pessoal'!$F$7:$F$506)*OFFSET('Encargos e Benefícios'!$D$5,1,MATCH($B26,'Encargos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9758.4480000000003</v>
      </c>
      <c r="T26" s="188">
        <f t="array" aca="1" ref="T26" ca="1">_xlfn.IFNA(SUM((T$3&gt;='Gastos com Pessoal'!$E$7:$E$506)*(T$3&lt;='Gastos com Pessoal'!$F$7:$F$506)*OFFSET('Encargos e Benefícios'!$D$5,1,MATCH($B26,'Encargos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10328.341363200001</v>
      </c>
      <c r="U26" s="188">
        <f t="array" aca="1" ref="U26" ca="1">_xlfn.IFNA(SUM((U$3&gt;='Gastos com Pessoal'!$E$7:$E$506)*(U$3&lt;='Gastos com Pessoal'!$F$7:$F$506)*OFFSET('Encargos e Benefícios'!$D$5,1,MATCH($B26,'Encargos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10328.341363200001</v>
      </c>
      <c r="V26" s="188">
        <f t="array" aca="1" ref="V26" ca="1">_xlfn.IFNA(SUM((V$3&gt;='Gastos com Pessoal'!$E$7:$E$506)*(V$3&lt;='Gastos com Pessoal'!$F$7:$F$506)*OFFSET('Encargos e Benefícios'!$D$5,1,MATCH($B26,'Encargos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10328.341363200001</v>
      </c>
      <c r="W26" s="188">
        <f t="array" aca="1" ref="W26" ca="1">_xlfn.IFNA(SUM((W$3&gt;='Gastos com Pessoal'!$E$7:$E$506)*(W$3&lt;='Gastos com Pessoal'!$F$7:$F$506)*OFFSET('Encargos e Benefícios'!$D$5,1,MATCH($B26,'Encargos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10328.341363200001</v>
      </c>
      <c r="X26" s="188">
        <f t="array" aca="1" ref="X26" ca="1">_xlfn.IFNA(SUM((X$3&gt;='Gastos com Pessoal'!$E$7:$E$506)*(X$3&lt;='Gastos com Pessoal'!$F$7:$F$506)*OFFSET('Encargos e Benefícios'!$D$5,1,MATCH($B26,'Encargos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10328.341363200001</v>
      </c>
      <c r="Y26" s="188">
        <f t="array" aca="1" ref="Y26" ca="1">_xlfn.IFNA(SUM((Y$3&gt;='Gastos com Pessoal'!$E$7:$E$506)*(Y$3&lt;='Gastos com Pessoal'!$F$7:$F$506)*OFFSET('Encargos e Benefícios'!$D$5,1,MATCH($B26,'Encargos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10328.341363200001</v>
      </c>
      <c r="Z26" s="188">
        <f t="array" aca="1" ref="Z26" ca="1">_xlfn.IFNA(SUM((Z$3&gt;='Gastos com Pessoal'!$E$7:$E$506)*(Z$3&lt;='Gastos com Pessoal'!$F$7:$F$506)*OFFSET('Encargos e Benefícios'!$D$5,1,MATCH($B26,'Encargos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10328.341363200001</v>
      </c>
      <c r="AA26" s="188">
        <f t="array" aca="1" ref="AA26" ca="1">_xlfn.IFNA(SUM((AA$3&gt;='Gastos com Pessoal'!$E$7:$E$506)*(AA$3&lt;='Gastos com Pessoal'!$F$7:$F$506)*OFFSET('Encargos e Benefícios'!$D$5,1,MATCH($B26,'Encargos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10328.341363200001</v>
      </c>
      <c r="AB26" s="188">
        <f t="array" aca="1" ref="AB26" ca="1">_xlfn.IFNA(SUM((AB$3&gt;='Gastos com Pessoal'!$E$7:$E$506)*(AB$3&lt;='Gastos com Pessoal'!$F$7:$F$506)*OFFSET('Encargos e Benefícios'!$D$5,1,MATCH($B26,'Encargos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10328.341363200001</v>
      </c>
      <c r="AC26" s="188">
        <f t="array" aca="1" ref="AC26" ca="1">_xlfn.IFNA(SUM((AC$3&gt;='Gastos com Pessoal'!$E$7:$E$506)*(AC$3&lt;='Gastos com Pessoal'!$F$7:$F$506)*OFFSET('Encargos e Benefícios'!$D$5,1,MATCH($B26,'Encargos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10328.341363200001</v>
      </c>
      <c r="AD26" s="188">
        <f t="array" aca="1" ref="AD26" ca="1">_xlfn.IFNA(SUM((AD$3&gt;='Gastos com Pessoal'!$E$7:$E$506)*(AD$3&lt;='Gastos com Pessoal'!$F$7:$F$506)*OFFSET('Encargos e Benefícios'!$D$5,1,MATCH($B26,'Encargos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10328.341363200001</v>
      </c>
      <c r="AE26" s="188">
        <f t="array" aca="1" ref="AE26" ca="1">_xlfn.IFNA(SUM((AE$3&gt;='Gastos com Pessoal'!$E$7:$E$506)*(AE$3&lt;='Gastos com Pessoal'!$F$7:$F$506)*OFFSET('Encargos e Benefícios'!$D$5,1,MATCH($B26,'Encargos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10328.341363200001</v>
      </c>
      <c r="AF26" s="188">
        <f t="array" aca="1" ref="AF26" ca="1">_xlfn.IFNA(SUM((AF$3&gt;='Gastos com Pessoal'!$E$7:$E$506)*(AF$3&lt;='Gastos com Pessoal'!$F$7:$F$506)*OFFSET('Encargos e Benefícios'!$D$5,1,MATCH($B26,'Encargos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10931.516498810881</v>
      </c>
      <c r="AG26" s="188">
        <f t="array" aca="1" ref="AG26" ca="1">_xlfn.IFNA(SUM((AG$3&gt;='Gastos com Pessoal'!$E$7:$E$506)*(AG$3&lt;='Gastos com Pessoal'!$F$7:$F$506)*OFFSET('Encargos e Benefícios'!$D$5,1,MATCH($B26,'Encargos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10931.516498810881</v>
      </c>
      <c r="AH26" s="188">
        <f t="array" aca="1" ref="AH26" ca="1">_xlfn.IFNA(SUM((AH$3&gt;='Gastos com Pessoal'!$E$7:$E$506)*(AH$3&lt;='Gastos com Pessoal'!$F$7:$F$506)*OFFSET('Encargos e Benefícios'!$D$5,1,MATCH($B26,'Encargos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10931.516498810881</v>
      </c>
      <c r="AI26" s="188">
        <f t="array" aca="1" ref="AI26" ca="1">_xlfn.IFNA(SUM((AI$3&gt;='Gastos com Pessoal'!$E$7:$E$506)*(AI$3&lt;='Gastos com Pessoal'!$F$7:$F$506)*OFFSET('Encargos e Benefícios'!$D$5,1,MATCH($B26,'Encargos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10931.516498810881</v>
      </c>
      <c r="AJ26" s="188">
        <f t="array" aca="1" ref="AJ26" ca="1">_xlfn.IFNA(SUM((AJ$3&gt;='Gastos com Pessoal'!$E$7:$E$506)*(AJ$3&lt;='Gastos com Pessoal'!$F$7:$F$506)*OFFSET('Encargos e Benefícios'!$D$5,1,MATCH($B26,'Encargos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10931.516498810881</v>
      </c>
      <c r="AK26" s="188">
        <f t="array" aca="1" ref="AK26" ca="1">_xlfn.IFNA(SUM((AK$3&gt;='Gastos com Pessoal'!$E$7:$E$506)*(AK$3&lt;='Gastos com Pessoal'!$F$7:$F$506)*OFFSET('Encargos e Benefícios'!$D$5,1,MATCH($B26,'Encargos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10931.516498810881</v>
      </c>
      <c r="AL26" s="188">
        <f t="array" aca="1" ref="AL26" ca="1">_xlfn.IFNA(SUM((AL$3&gt;='Gastos com Pessoal'!$E$7:$E$506)*(AL$3&lt;='Gastos com Pessoal'!$F$7:$F$506)*OFFSET('Encargos e Benefícios'!$D$5,1,MATCH($B26,'Encargos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10931.516498810881</v>
      </c>
      <c r="AM26" s="188">
        <f t="array" aca="1" ref="AM26" ca="1">_xlfn.IFNA(SUM((AM$3&gt;='Gastos com Pessoal'!$E$7:$E$506)*(AM$3&lt;='Gastos com Pessoal'!$F$7:$F$506)*OFFSET('Encargos e Benefícios'!$D$5,1,MATCH($B26,'Encargos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10931.516498810881</v>
      </c>
      <c r="AN26" s="188">
        <f t="array" aca="1" ref="AN26" ca="1">_xlfn.IFNA(SUM((AN$3&gt;='Gastos com Pessoal'!$E$7:$E$506)*(AN$3&lt;='Gastos com Pessoal'!$F$7:$F$506)*OFFSET('Encargos e Benefícios'!$D$5,1,MATCH($B26,'Encargos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10931.516498810881</v>
      </c>
      <c r="AO26" s="188">
        <f t="array" aca="1" ref="AO26" ca="1">_xlfn.IFNA(SUM((AO$3&gt;='Gastos com Pessoal'!$E$7:$E$506)*(AO$3&lt;='Gastos com Pessoal'!$F$7:$F$506)*OFFSET('Encargos e Benefícios'!$D$5,1,MATCH($B26,'Encargos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10931.516498810881</v>
      </c>
      <c r="AP26" s="188">
        <f t="array" aca="1" ref="AP26" ca="1">_xlfn.IFNA(SUM((AP$3&gt;='Gastos com Pessoal'!$E$7:$E$506)*(AP$3&lt;='Gastos com Pessoal'!$F$7:$F$506)*OFFSET('Encargos e Benefícios'!$D$5,1,MATCH($B26,'Encargos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10931.516498810881</v>
      </c>
      <c r="AQ26" s="188">
        <f t="array" aca="1" ref="AQ26" ca="1">_xlfn.IFNA(SUM((AQ$3&gt;='Gastos com Pessoal'!$E$7:$E$506)*(AQ$3&lt;='Gastos com Pessoal'!$F$7:$F$506)*OFFSET('Encargos e Benefícios'!$D$5,1,MATCH($B26,'Encargos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10931.516498810881</v>
      </c>
      <c r="AR26" s="188">
        <f t="array" aca="1" ref="AR26" ca="1">_xlfn.IFNA(SUM((AR$3&gt;='Gastos com Pessoal'!$E$7:$E$506)*(AR$3&lt;='Gastos com Pessoal'!$F$7:$F$506)*OFFSET('Encargos e Benefícios'!$D$5,1,MATCH($B26,'Encargos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11569.917062341436</v>
      </c>
      <c r="AS26" s="188">
        <f t="array" aca="1" ref="AS26" ca="1">_xlfn.IFNA(SUM((AS$3&gt;='Gastos com Pessoal'!$E$7:$E$506)*(AS$3&lt;='Gastos com Pessoal'!$F$7:$F$506)*OFFSET('Encargos e Benefícios'!$D$5,1,MATCH($B26,'Encargos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11569.917062341436</v>
      </c>
      <c r="AT26" s="188">
        <f t="array" aca="1" ref="AT26" ca="1">_xlfn.IFNA(SUM((AT$3&gt;='Gastos com Pessoal'!$E$7:$E$506)*(AT$3&lt;='Gastos com Pessoal'!$F$7:$F$506)*OFFSET('Encargos e Benefícios'!$D$5,1,MATCH($B26,'Encargos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11569.917062341436</v>
      </c>
      <c r="AU26" s="188">
        <f t="array" aca="1" ref="AU26" ca="1">_xlfn.IFNA(SUM((AU$3&gt;='Gastos com Pessoal'!$E$7:$E$506)*(AU$3&lt;='Gastos com Pessoal'!$F$7:$F$506)*OFFSET('Encargos e Benefícios'!$D$5,1,MATCH($B26,'Encargos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11569.917062341436</v>
      </c>
      <c r="AV26" s="188">
        <f t="array" aca="1" ref="AV26" ca="1">_xlfn.IFNA(SUM((AV$3&gt;='Gastos com Pessoal'!$E$7:$E$506)*(AV$3&lt;='Gastos com Pessoal'!$F$7:$F$506)*OFFSET('Encargos e Benefícios'!$D$5,1,MATCH($B26,'Encargos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11569.917062341436</v>
      </c>
      <c r="AW26" s="188">
        <f t="array" aca="1" ref="AW26" ca="1">_xlfn.IFNA(SUM((AW$3&gt;='Gastos com Pessoal'!$E$7:$E$506)*(AW$3&lt;='Gastos com Pessoal'!$F$7:$F$506)*OFFSET('Encargos e Benefícios'!$D$5,1,MATCH($B26,'Encargos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11569.917062341436</v>
      </c>
      <c r="AX26" s="188">
        <f t="array" aca="1" ref="AX26" ca="1">_xlfn.IFNA(SUM((AX$3&gt;='Gastos com Pessoal'!$E$7:$E$506)*(AX$3&lt;='Gastos com Pessoal'!$F$7:$F$506)*OFFSET('Encargos e Benefícios'!$D$5,1,MATCH($B26,'Encargos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11569.917062341436</v>
      </c>
      <c r="AY26" s="188">
        <f t="array" aca="1" ref="AY26" ca="1">_xlfn.IFNA(SUM((AY$3&gt;='Gastos com Pessoal'!$E$7:$E$506)*(AY$3&lt;='Gastos com Pessoal'!$F$7:$F$506)*OFFSET('Encargos e Benefícios'!$D$5,1,MATCH($B26,'Encargos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11569.917062341436</v>
      </c>
      <c r="AZ26" s="188">
        <f t="array" aca="1" ref="AZ26" ca="1">_xlfn.IFNA(SUM((AZ$3&gt;='Gastos com Pessoal'!$E$7:$E$506)*(AZ$3&lt;='Gastos com Pessoal'!$F$7:$F$506)*OFFSET('Encargos e Benefícios'!$D$5,1,MATCH($B26,'Encargos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11569.917062341436</v>
      </c>
      <c r="BA26" s="188">
        <f t="array" aca="1" ref="BA26" ca="1">_xlfn.IFNA(SUM((BA$3&gt;='Gastos com Pessoal'!$E$7:$E$506)*(BA$3&lt;='Gastos com Pessoal'!$F$7:$F$506)*OFFSET('Encargos e Benefícios'!$D$5,1,MATCH($B26,'Encargos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11569.917062341436</v>
      </c>
      <c r="BB26" s="188">
        <f t="array" aca="1" ref="BB26" ca="1">_xlfn.IFNA(SUM((BB$3&gt;='Gastos com Pessoal'!$E$7:$E$506)*(BB$3&lt;='Gastos com Pessoal'!$F$7:$F$506)*OFFSET('Encargos e Benefícios'!$D$5,1,MATCH($B26,'Encargos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11569.917062341436</v>
      </c>
      <c r="BC26" s="188">
        <f t="array" aca="1" ref="BC26" ca="1">_xlfn.IFNA(SUM((BC$3&gt;='Gastos com Pessoal'!$E$7:$E$506)*(BC$3&lt;='Gastos com Pessoal'!$F$7:$F$506)*OFFSET('Encargos e Benefícios'!$D$5,1,MATCH($B26,'Encargos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11569.917062341436</v>
      </c>
      <c r="BD26" s="188">
        <f t="array" aca="1" ref="BD26" ca="1">_xlfn.IFNA(SUM((BD$3&gt;='Gastos com Pessoal'!$E$7:$E$506)*(BD$3&lt;='Gastos com Pessoal'!$F$7:$F$506)*OFFSET('Encargos e Benefícios'!$D$5,1,MATCH($B26,'Encargos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12245.600218782176</v>
      </c>
      <c r="BE26" s="188">
        <f t="array" aca="1" ref="BE26" ca="1">_xlfn.IFNA(SUM((BE$3&gt;='Gastos com Pessoal'!$E$7:$E$506)*(BE$3&lt;='Gastos com Pessoal'!$F$7:$F$506)*OFFSET('Encargos e Benefícios'!$D$5,1,MATCH($B26,'Encargos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12245.600218782176</v>
      </c>
      <c r="BF26" s="188">
        <f t="array" aca="1" ref="BF26" ca="1">_xlfn.IFNA(SUM((BF$3&gt;='Gastos com Pessoal'!$E$7:$E$506)*(BF$3&lt;='Gastos com Pessoal'!$F$7:$F$506)*OFFSET('Encargos e Benefícios'!$D$5,1,MATCH($B26,'Encargos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12245.600218782176</v>
      </c>
      <c r="BG26" s="188">
        <f t="array" aca="1" ref="BG26" ca="1">_xlfn.IFNA(SUM((BG$3&gt;='Gastos com Pessoal'!$E$7:$E$506)*(BG$3&lt;='Gastos com Pessoal'!$F$7:$F$506)*OFFSET('Encargos e Benefícios'!$D$5,1,MATCH($B26,'Encargos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12245.600218782176</v>
      </c>
      <c r="BH26" s="188">
        <f t="array" aca="1" ref="BH26" ca="1">_xlfn.IFNA(SUM((BH$3&gt;='Gastos com Pessoal'!$E$7:$E$506)*(BH$3&lt;='Gastos com Pessoal'!$F$7:$F$506)*OFFSET('Encargos e Benefícios'!$D$5,1,MATCH($B26,'Encargos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12245.600218782176</v>
      </c>
      <c r="BI26" s="188">
        <f t="array" aca="1" ref="BI26" ca="1">_xlfn.IFNA(SUM((BI$3&gt;='Gastos com Pessoal'!$E$7:$E$506)*(BI$3&lt;='Gastos com Pessoal'!$F$7:$F$506)*OFFSET('Encargos e Benefícios'!$D$5,1,MATCH($B26,'Encargos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12245.600218782176</v>
      </c>
      <c r="BJ26" s="188">
        <f t="array" aca="1" ref="BJ26" ca="1">_xlfn.IFNA(SUM((BJ$3&gt;='Gastos com Pessoal'!$E$7:$E$506)*(BJ$3&lt;='Gastos com Pessoal'!$F$7:$F$506)*OFFSET('Encargos e Benefícios'!$D$5,1,MATCH($B26,'Encargos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12245.600218782176</v>
      </c>
      <c r="BK26" s="189">
        <f t="shared" ca="1" si="11"/>
        <v>626514.99662370305</v>
      </c>
      <c r="BL26" s="136">
        <f t="shared" ca="1" si="12"/>
        <v>1.8725310389022985E-3</v>
      </c>
      <c r="BN26" s="188">
        <f t="array" aca="1" ref="BN26" ca="1">_xlfn.IFNA(SUM((BN$3&gt;='Gastos com Pessoal'!$E$7:$E$506)*(BN$3&lt;='Gastos com Pessoal'!$F$7:$F$506)*OFFSET('Encargos e Benefícios'!$D$5,1,MATCH($B26,'Encargos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7700</v>
      </c>
    </row>
    <row r="27" spans="1:66" s="160" customFormat="1" ht="23.25" customHeight="1">
      <c r="A27" s="198" t="s">
        <v>145</v>
      </c>
      <c r="B27" s="209" t="s">
        <v>146</v>
      </c>
      <c r="C27" s="188">
        <f t="shared" si="13"/>
        <v>0</v>
      </c>
      <c r="D27" s="188">
        <v>0</v>
      </c>
      <c r="E27" s="188">
        <v>0</v>
      </c>
      <c r="F27" s="188">
        <v>0</v>
      </c>
      <c r="G27" s="188">
        <v>0</v>
      </c>
      <c r="H27" s="188">
        <v>0</v>
      </c>
      <c r="I27" s="188">
        <v>0</v>
      </c>
      <c r="J27" s="188">
        <v>0</v>
      </c>
      <c r="K27" s="188">
        <v>0</v>
      </c>
      <c r="L27" s="188">
        <v>0</v>
      </c>
      <c r="M27" s="188">
        <v>0</v>
      </c>
      <c r="N27" s="188">
        <v>0</v>
      </c>
      <c r="O27" s="188">
        <v>0</v>
      </c>
      <c r="P27" s="188">
        <v>0</v>
      </c>
      <c r="Q27" s="188">
        <v>0</v>
      </c>
      <c r="R27" s="188">
        <v>0</v>
      </c>
      <c r="S27" s="188">
        <v>0</v>
      </c>
      <c r="T27" s="188">
        <v>0</v>
      </c>
      <c r="U27" s="188">
        <v>0</v>
      </c>
      <c r="V27" s="188">
        <v>0</v>
      </c>
      <c r="W27" s="188">
        <v>0</v>
      </c>
      <c r="X27" s="188">
        <v>0</v>
      </c>
      <c r="Y27" s="188">
        <v>0</v>
      </c>
      <c r="Z27" s="188">
        <v>0</v>
      </c>
      <c r="AA27" s="188">
        <v>0</v>
      </c>
      <c r="AB27" s="188">
        <v>0</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0</v>
      </c>
      <c r="AW27" s="188">
        <v>0</v>
      </c>
      <c r="AX27" s="188">
        <v>0</v>
      </c>
      <c r="AY27" s="188">
        <v>0</v>
      </c>
      <c r="AZ27" s="188">
        <v>0</v>
      </c>
      <c r="BA27" s="188">
        <v>0</v>
      </c>
      <c r="BB27" s="188">
        <v>0</v>
      </c>
      <c r="BC27" s="188">
        <v>0</v>
      </c>
      <c r="BD27" s="188">
        <v>0</v>
      </c>
      <c r="BE27" s="188">
        <v>0</v>
      </c>
      <c r="BF27" s="188">
        <v>0</v>
      </c>
      <c r="BG27" s="188">
        <v>0</v>
      </c>
      <c r="BH27" s="188">
        <v>0</v>
      </c>
      <c r="BI27" s="188">
        <v>0</v>
      </c>
      <c r="BJ27" s="188">
        <v>0</v>
      </c>
      <c r="BK27" s="189">
        <f t="shared" si="11"/>
        <v>0</v>
      </c>
      <c r="BL27" s="136">
        <f t="shared" ca="1" si="12"/>
        <v>0</v>
      </c>
      <c r="BN27" s="188">
        <v>0</v>
      </c>
    </row>
    <row r="28" spans="1:66" s="160" customFormat="1" ht="23.25" customHeight="1">
      <c r="A28" s="190"/>
      <c r="B28" s="191" t="s">
        <v>147</v>
      </c>
      <c r="C28" s="192">
        <f t="shared" ref="C28:AH28" ca="1" si="14">SUBTOTAL(109,C20:C27)</f>
        <v>405698.50823666668</v>
      </c>
      <c r="D28" s="192">
        <f t="shared" ca="1" si="14"/>
        <v>1453505.177804444</v>
      </c>
      <c r="E28" s="192">
        <f t="shared" ca="1" si="14"/>
        <v>1531870.6348199998</v>
      </c>
      <c r="F28" s="192">
        <f t="shared" ca="1" si="14"/>
        <v>1531870.6348199998</v>
      </c>
      <c r="G28" s="192">
        <f t="shared" ca="1" si="14"/>
        <v>1531870.6348199998</v>
      </c>
      <c r="H28" s="192">
        <f t="shared" ca="1" si="14"/>
        <v>1621331.879893488</v>
      </c>
      <c r="I28" s="192">
        <f t="shared" ca="1" si="14"/>
        <v>1621331.879893488</v>
      </c>
      <c r="J28" s="192">
        <f t="shared" ca="1" si="14"/>
        <v>1621331.879893488</v>
      </c>
      <c r="K28" s="192">
        <f t="shared" ca="1" si="14"/>
        <v>1621331.879893488</v>
      </c>
      <c r="L28" s="192">
        <f t="shared" ca="1" si="14"/>
        <v>1621331.879893488</v>
      </c>
      <c r="M28" s="192">
        <f t="shared" ca="1" si="14"/>
        <v>1633403.6516054878</v>
      </c>
      <c r="N28" s="192">
        <f t="shared" ca="1" si="14"/>
        <v>1716345.6513107517</v>
      </c>
      <c r="O28" s="192">
        <f t="shared" ca="1" si="14"/>
        <v>1716345.6513107517</v>
      </c>
      <c r="P28" s="192">
        <f t="shared" ca="1" si="14"/>
        <v>1728417.4230227517</v>
      </c>
      <c r="Q28" s="192">
        <f t="shared" ca="1" si="14"/>
        <v>1811359.422728016</v>
      </c>
      <c r="R28" s="192">
        <f t="shared" ca="1" si="14"/>
        <v>1811359.422728016</v>
      </c>
      <c r="S28" s="192">
        <f t="shared" ca="1" si="14"/>
        <v>1811359.422728016</v>
      </c>
      <c r="T28" s="192">
        <f t="shared" ca="1" si="14"/>
        <v>1917142.813015332</v>
      </c>
      <c r="U28" s="192">
        <f t="shared" ca="1" si="14"/>
        <v>1917142.813015332</v>
      </c>
      <c r="V28" s="192">
        <f t="shared" ca="1" si="14"/>
        <v>1917142.813015332</v>
      </c>
      <c r="W28" s="192">
        <f t="shared" ca="1" si="14"/>
        <v>1917142.813015332</v>
      </c>
      <c r="X28" s="192">
        <f t="shared" ca="1" si="14"/>
        <v>1917142.813015332</v>
      </c>
      <c r="Y28" s="192">
        <f t="shared" ca="1" si="14"/>
        <v>1917142.813015332</v>
      </c>
      <c r="Z28" s="192">
        <f t="shared" ca="1" si="14"/>
        <v>1917142.813015332</v>
      </c>
      <c r="AA28" s="192">
        <f t="shared" ca="1" si="14"/>
        <v>1917142.813015332</v>
      </c>
      <c r="AB28" s="192">
        <f t="shared" ca="1" si="14"/>
        <v>1917142.813015332</v>
      </c>
      <c r="AC28" s="192">
        <f t="shared" ca="1" si="14"/>
        <v>1917142.813015332</v>
      </c>
      <c r="AD28" s="192">
        <f t="shared" ca="1" si="14"/>
        <v>1917142.813015332</v>
      </c>
      <c r="AE28" s="192">
        <f t="shared" ca="1" si="14"/>
        <v>1917142.813015332</v>
      </c>
      <c r="AF28" s="192">
        <f t="shared" ca="1" si="14"/>
        <v>2029103.9532954274</v>
      </c>
      <c r="AG28" s="192">
        <f t="shared" ca="1" si="14"/>
        <v>2029103.9532954274</v>
      </c>
      <c r="AH28" s="192">
        <f t="shared" ca="1" si="14"/>
        <v>2029103.9532954274</v>
      </c>
      <c r="AI28" s="192">
        <f t="shared" ref="AI28:BK28" ca="1" si="15">SUBTOTAL(109,AI20:AI27)</f>
        <v>2029103.9532954274</v>
      </c>
      <c r="AJ28" s="192">
        <f t="shared" ca="1" si="15"/>
        <v>2029103.9532954274</v>
      </c>
      <c r="AK28" s="192">
        <f t="shared" ca="1" si="15"/>
        <v>2029103.9532954274</v>
      </c>
      <c r="AL28" s="192">
        <f t="shared" ca="1" si="15"/>
        <v>2029103.9532954274</v>
      </c>
      <c r="AM28" s="192">
        <f t="shared" ca="1" si="15"/>
        <v>2029103.9532954274</v>
      </c>
      <c r="AN28" s="192">
        <f t="shared" ca="1" si="15"/>
        <v>2029103.9532954274</v>
      </c>
      <c r="AO28" s="192">
        <f t="shared" ca="1" si="15"/>
        <v>2029103.9532954274</v>
      </c>
      <c r="AP28" s="192">
        <f t="shared" ca="1" si="15"/>
        <v>2029103.9532954274</v>
      </c>
      <c r="AQ28" s="192">
        <f t="shared" ca="1" si="15"/>
        <v>2029103.9532954274</v>
      </c>
      <c r="AR28" s="192">
        <f t="shared" ca="1" si="15"/>
        <v>2147603.6241678805</v>
      </c>
      <c r="AS28" s="192">
        <f t="shared" ca="1" si="15"/>
        <v>2147603.6241678805</v>
      </c>
      <c r="AT28" s="192">
        <f t="shared" ca="1" si="15"/>
        <v>2147603.6241678805</v>
      </c>
      <c r="AU28" s="192">
        <f t="shared" ca="1" si="15"/>
        <v>2147603.6241678805</v>
      </c>
      <c r="AV28" s="192">
        <f t="shared" ca="1" si="15"/>
        <v>2147603.6241678805</v>
      </c>
      <c r="AW28" s="192">
        <f t="shared" ca="1" si="15"/>
        <v>2147603.6241678805</v>
      </c>
      <c r="AX28" s="192">
        <f t="shared" ca="1" si="15"/>
        <v>2147603.6241678805</v>
      </c>
      <c r="AY28" s="192">
        <f t="shared" ca="1" si="15"/>
        <v>2147603.6241678805</v>
      </c>
      <c r="AZ28" s="192">
        <f t="shared" ca="1" si="15"/>
        <v>2147603.6241678805</v>
      </c>
      <c r="BA28" s="192">
        <f t="shared" ca="1" si="15"/>
        <v>2147603.6241678805</v>
      </c>
      <c r="BB28" s="192">
        <f t="shared" ca="1" si="15"/>
        <v>2147603.6241678805</v>
      </c>
      <c r="BC28" s="192">
        <f t="shared" ca="1" si="15"/>
        <v>2147603.6241678805</v>
      </c>
      <c r="BD28" s="192">
        <f t="shared" ca="1" si="15"/>
        <v>2273023.6758192847</v>
      </c>
      <c r="BE28" s="192">
        <f t="shared" ca="1" si="15"/>
        <v>2273023.6758192847</v>
      </c>
      <c r="BF28" s="192">
        <f t="shared" ca="1" si="15"/>
        <v>2273023.6758192847</v>
      </c>
      <c r="BG28" s="192">
        <f t="shared" ca="1" si="15"/>
        <v>2273023.6758192847</v>
      </c>
      <c r="BH28" s="192">
        <f t="shared" ca="1" si="15"/>
        <v>2273023.6758192847</v>
      </c>
      <c r="BI28" s="192">
        <f t="shared" ca="1" si="15"/>
        <v>2273023.6758192847</v>
      </c>
      <c r="BJ28" s="192">
        <f t="shared" ca="1" si="15"/>
        <v>2273023.6758192847</v>
      </c>
      <c r="BK28" s="192">
        <f t="shared" ca="1" si="15"/>
        <v>115827436.05188106</v>
      </c>
      <c r="BL28" s="193">
        <f t="shared" ca="1" si="12"/>
        <v>0.34618559864080467</v>
      </c>
      <c r="BN28" s="192">
        <f t="shared" ref="BN28" ca="1" si="16">SUBTOTAL(109,BN20:BN27)</f>
        <v>1352328.3607888888</v>
      </c>
    </row>
    <row r="29" spans="1:66" s="212" customFormat="1" ht="23.25" customHeight="1">
      <c r="A29" s="205" t="s">
        <v>83</v>
      </c>
      <c r="B29" s="206" t="s">
        <v>84</v>
      </c>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1"/>
      <c r="BN29" s="210"/>
    </row>
    <row r="30" spans="1:66" s="160" customFormat="1" ht="23.25" customHeight="1">
      <c r="A30" s="198" t="s">
        <v>148</v>
      </c>
      <c r="B30" s="81" t="s">
        <v>149</v>
      </c>
      <c r="C30" s="188">
        <f t="shared" ref="C30:C31" ca="1" si="17">BN30*9/30</f>
        <v>0</v>
      </c>
      <c r="D30" s="188">
        <f t="array" aca="1" ref="D30" ca="1">_xlfn.IFNA(SUM((D$3&gt;='Gastos com Pessoal'!$E$513:$E$522)*(D$3&lt;='Gastos com Pessoal'!$F$513:$F$522)*OFFSET('Encargos e Benefícios'!$D$511,1,MATCH($B30,'Encargos e Benefícios'!$E$511:$AB$511,0),10,1)*(IF('Gastos com Pessoal'!$G$513:$G$522&lt;=D$3,('Gastos com Pessoal'!$H$513:$H$522)+1,1))*(IF('Gastos com Pessoal'!$M$513:$M$522&lt;=D$3,('Gastos com Pessoal'!$N$513:$N$522)+1,1))*(IF('Gastos com Pessoal'!$S$513:$S$522&lt;=D$3,('Gastos com Pessoal'!$T$513:$T$522)+1,1))*(IF('Gastos com Pessoal'!$Y$513:$Y$522&lt;=D$3,('Gastos com Pessoal'!$Z$513:$Z$522)+1,1))*(IF('Gastos com Pessoal'!$AE$513:$AE$522&lt;=D$3,('Gastos com Pessoal'!$AF$513:$AF$522)+1,1))),0)</f>
        <v>10000</v>
      </c>
      <c r="E30" s="188">
        <f t="array" aca="1" ref="E30" ca="1">_xlfn.IFNA(SUM((E$3&gt;='Gastos com Pessoal'!$E$513:$E$522)*(E$3&lt;='Gastos com Pessoal'!$F$513:$F$522)*OFFSET('Encargos e Benefícios'!$D$511,1,MATCH($B30,'Encargos e Benefícios'!$E$511:$AB$511,0),10,1)*(IF('Gastos com Pessoal'!$G$513:$G$522&lt;=E$3,('Gastos com Pessoal'!$H$513:$H$522)+1,1))*(IF('Gastos com Pessoal'!$M$513:$M$522&lt;=E$3,('Gastos com Pessoal'!$N$513:$N$522)+1,1))*(IF('Gastos com Pessoal'!$S$513:$S$522&lt;=E$3,('Gastos com Pessoal'!$T$513:$T$522)+1,1))*(IF('Gastos com Pessoal'!$Y$513:$Y$522&lt;=E$3,('Gastos com Pessoal'!$Z$513:$Z$522)+1,1))*(IF('Gastos com Pessoal'!$AE$513:$AE$522&lt;=E$3,('Gastos com Pessoal'!$AF$513:$AF$522)+1,1))),0)</f>
        <v>12000</v>
      </c>
      <c r="F30" s="188">
        <f t="array" aca="1" ref="F30" ca="1">_xlfn.IFNA(SUM((F$3&gt;='Gastos com Pessoal'!$E$513:$E$522)*(F$3&lt;='Gastos com Pessoal'!$F$513:$F$522)*OFFSET('Encargos e Benefícios'!$D$511,1,MATCH($B30,'Encargos e Benefícios'!$E$511:$AB$511,0),10,1)*(IF('Gastos com Pessoal'!$G$513:$G$522&lt;=F$3,('Gastos com Pessoal'!$H$513:$H$522)+1,1))*(IF('Gastos com Pessoal'!$M$513:$M$522&lt;=F$3,('Gastos com Pessoal'!$N$513:$N$522)+1,1))*(IF('Gastos com Pessoal'!$S$513:$S$522&lt;=F$3,('Gastos com Pessoal'!$T$513:$T$522)+1,1))*(IF('Gastos com Pessoal'!$Y$513:$Y$522&lt;=F$3,('Gastos com Pessoal'!$Z$513:$Z$522)+1,1))*(IF('Gastos com Pessoal'!$AE$513:$AE$522&lt;=F$3,('Gastos com Pessoal'!$AF$513:$AF$522)+1,1))),0)</f>
        <v>12000</v>
      </c>
      <c r="G30" s="188">
        <f t="array" aca="1" ref="G30" ca="1">_xlfn.IFNA(SUM((G$3&gt;='Gastos com Pessoal'!$E$513:$E$522)*(G$3&lt;='Gastos com Pessoal'!$F$513:$F$522)*OFFSET('Encargos e Benefícios'!$D$511,1,MATCH($B30,'Encargos e Benefícios'!$E$511:$AB$511,0),10,1)*(IF('Gastos com Pessoal'!$G$513:$G$522&lt;=G$3,('Gastos com Pessoal'!$H$513:$H$522)+1,1))*(IF('Gastos com Pessoal'!$M$513:$M$522&lt;=G$3,('Gastos com Pessoal'!$N$513:$N$522)+1,1))*(IF('Gastos com Pessoal'!$S$513:$S$522&lt;=G$3,('Gastos com Pessoal'!$T$513:$T$522)+1,1))*(IF('Gastos com Pessoal'!$Y$513:$Y$522&lt;=G$3,('Gastos com Pessoal'!$Z$513:$Z$522)+1,1))*(IF('Gastos com Pessoal'!$AE$513:$AE$522&lt;=G$3,('Gastos com Pessoal'!$AF$513:$AF$522)+1,1))),0)</f>
        <v>12000</v>
      </c>
      <c r="H30" s="188">
        <f t="array" aca="1" ref="H30" ca="1">_xlfn.IFNA(SUM((H$3&gt;='Gastos com Pessoal'!$E$513:$E$522)*(H$3&lt;='Gastos com Pessoal'!$F$513:$F$522)*OFFSET('Encargos e Benefícios'!$D$511,1,MATCH($B30,'Encargos e Benefícios'!$E$511:$AB$511,0),10,1)*(IF('Gastos com Pessoal'!$G$513:$G$522&lt;=H$3,('Gastos com Pessoal'!$H$513:$H$522)+1,1))*(IF('Gastos com Pessoal'!$M$513:$M$522&lt;=H$3,('Gastos com Pessoal'!$N$513:$N$522)+1,1))*(IF('Gastos com Pessoal'!$S$513:$S$522&lt;=H$3,('Gastos com Pessoal'!$T$513:$T$522)+1,1))*(IF('Gastos com Pessoal'!$Y$513:$Y$522&lt;=H$3,('Gastos com Pessoal'!$Z$513:$Z$522)+1,1))*(IF('Gastos com Pessoal'!$AE$513:$AE$522&lt;=H$3,('Gastos com Pessoal'!$AF$513:$AF$522)+1,1))),0)</f>
        <v>12000</v>
      </c>
      <c r="I30" s="188">
        <f t="array" aca="1" ref="I30" ca="1">_xlfn.IFNA(SUM((I$3&gt;='Gastos com Pessoal'!$E$513:$E$522)*(I$3&lt;='Gastos com Pessoal'!$F$513:$F$522)*OFFSET('Encargos e Benefícios'!$D$511,1,MATCH($B30,'Encargos e Benefícios'!$E$511:$AB$511,0),10,1)*(IF('Gastos com Pessoal'!$G$513:$G$522&lt;=I$3,('Gastos com Pessoal'!$H$513:$H$522)+1,1))*(IF('Gastos com Pessoal'!$M$513:$M$522&lt;=I$3,('Gastos com Pessoal'!$N$513:$N$522)+1,1))*(IF('Gastos com Pessoal'!$S$513:$S$522&lt;=I$3,('Gastos com Pessoal'!$T$513:$T$522)+1,1))*(IF('Gastos com Pessoal'!$Y$513:$Y$522&lt;=I$3,('Gastos com Pessoal'!$Z$513:$Z$522)+1,1))*(IF('Gastos com Pessoal'!$AE$513:$AE$522&lt;=I$3,('Gastos com Pessoal'!$AF$513:$AF$522)+1,1))),0)</f>
        <v>12000</v>
      </c>
      <c r="J30" s="188">
        <f t="array" aca="1" ref="J30" ca="1">_xlfn.IFNA(SUM((J$3&gt;='Gastos com Pessoal'!$E$513:$E$522)*(J$3&lt;='Gastos com Pessoal'!$F$513:$F$522)*OFFSET('Encargos e Benefícios'!$D$511,1,MATCH($B30,'Encargos e Benefícios'!$E$511:$AB$511,0),10,1)*(IF('Gastos com Pessoal'!$G$513:$G$522&lt;=J$3,('Gastos com Pessoal'!$H$513:$H$522)+1,1))*(IF('Gastos com Pessoal'!$M$513:$M$522&lt;=J$3,('Gastos com Pessoal'!$N$513:$N$522)+1,1))*(IF('Gastos com Pessoal'!$S$513:$S$522&lt;=J$3,('Gastos com Pessoal'!$T$513:$T$522)+1,1))*(IF('Gastos com Pessoal'!$Y$513:$Y$522&lt;=J$3,('Gastos com Pessoal'!$Z$513:$Z$522)+1,1))*(IF('Gastos com Pessoal'!$AE$513:$AE$522&lt;=J$3,('Gastos com Pessoal'!$AF$513:$AF$522)+1,1))),0)</f>
        <v>12000</v>
      </c>
      <c r="K30" s="188">
        <f t="array" aca="1" ref="K30" ca="1">_xlfn.IFNA(SUM((K$3&gt;='Gastos com Pessoal'!$E$513:$E$522)*(K$3&lt;='Gastos com Pessoal'!$F$513:$F$522)*OFFSET('Encargos e Benefícios'!$D$511,1,MATCH($B30,'Encargos e Benefícios'!$E$511:$AB$511,0),10,1)*(IF('Gastos com Pessoal'!$G$513:$G$522&lt;=K$3,('Gastos com Pessoal'!$H$513:$H$522)+1,1))*(IF('Gastos com Pessoal'!$M$513:$M$522&lt;=K$3,('Gastos com Pessoal'!$N$513:$N$522)+1,1))*(IF('Gastos com Pessoal'!$S$513:$S$522&lt;=K$3,('Gastos com Pessoal'!$T$513:$T$522)+1,1))*(IF('Gastos com Pessoal'!$Y$513:$Y$522&lt;=K$3,('Gastos com Pessoal'!$Z$513:$Z$522)+1,1))*(IF('Gastos com Pessoal'!$AE$513:$AE$522&lt;=K$3,('Gastos com Pessoal'!$AF$513:$AF$522)+1,1))),0)</f>
        <v>12000</v>
      </c>
      <c r="L30" s="188">
        <f t="array" aca="1" ref="L30" ca="1">_xlfn.IFNA(SUM((L$3&gt;='Gastos com Pessoal'!$E$513:$E$522)*(L$3&lt;='Gastos com Pessoal'!$F$513:$F$522)*OFFSET('Encargos e Benefícios'!$D$511,1,MATCH($B30,'Encargos e Benefícios'!$E$511:$AB$511,0),10,1)*(IF('Gastos com Pessoal'!$G$513:$G$522&lt;=L$3,('Gastos com Pessoal'!$H$513:$H$522)+1,1))*(IF('Gastos com Pessoal'!$M$513:$M$522&lt;=L$3,('Gastos com Pessoal'!$N$513:$N$522)+1,1))*(IF('Gastos com Pessoal'!$S$513:$S$522&lt;=L$3,('Gastos com Pessoal'!$T$513:$T$522)+1,1))*(IF('Gastos com Pessoal'!$Y$513:$Y$522&lt;=L$3,('Gastos com Pessoal'!$Z$513:$Z$522)+1,1))*(IF('Gastos com Pessoal'!$AE$513:$AE$522&lt;=L$3,('Gastos com Pessoal'!$AF$513:$AF$522)+1,1))),0)</f>
        <v>12000</v>
      </c>
      <c r="M30" s="188">
        <f t="array" aca="1" ref="M30" ca="1">_xlfn.IFNA(SUM((M$3&gt;='Gastos com Pessoal'!$E$513:$E$522)*(M$3&lt;='Gastos com Pessoal'!$F$513:$F$522)*OFFSET('Encargos e Benefícios'!$D$511,1,MATCH($B30,'Encargos e Benefícios'!$E$511:$AB$511,0),10,1)*(IF('Gastos com Pessoal'!$G$513:$G$522&lt;=M$3,('Gastos com Pessoal'!$H$513:$H$522)+1,1))*(IF('Gastos com Pessoal'!$M$513:$M$522&lt;=M$3,('Gastos com Pessoal'!$N$513:$N$522)+1,1))*(IF('Gastos com Pessoal'!$S$513:$S$522&lt;=M$3,('Gastos com Pessoal'!$T$513:$T$522)+1,1))*(IF('Gastos com Pessoal'!$Y$513:$Y$522&lt;=M$3,('Gastos com Pessoal'!$Z$513:$Z$522)+1,1))*(IF('Gastos com Pessoal'!$AE$513:$AE$522&lt;=M$3,('Gastos com Pessoal'!$AF$513:$AF$522)+1,1))),0)</f>
        <v>12000</v>
      </c>
      <c r="N30" s="188">
        <f t="array" aca="1" ref="N30" ca="1">_xlfn.IFNA(SUM((N$3&gt;='Gastos com Pessoal'!$E$513:$E$522)*(N$3&lt;='Gastos com Pessoal'!$F$513:$F$522)*OFFSET('Encargos e Benefícios'!$D$511,1,MATCH($B30,'Encargos e Benefícios'!$E$511:$AB$511,0),10,1)*(IF('Gastos com Pessoal'!$G$513:$G$522&lt;=N$3,('Gastos com Pessoal'!$H$513:$H$522)+1,1))*(IF('Gastos com Pessoal'!$M$513:$M$522&lt;=N$3,('Gastos com Pessoal'!$N$513:$N$522)+1,1))*(IF('Gastos com Pessoal'!$S$513:$S$522&lt;=N$3,('Gastos com Pessoal'!$T$513:$T$522)+1,1))*(IF('Gastos com Pessoal'!$Y$513:$Y$522&lt;=N$3,('Gastos com Pessoal'!$Z$513:$Z$522)+1,1))*(IF('Gastos com Pessoal'!$AE$513:$AE$522&lt;=N$3,('Gastos com Pessoal'!$AF$513:$AF$522)+1,1))),0)</f>
        <v>12000</v>
      </c>
      <c r="O30" s="188">
        <f t="array" aca="1" ref="O30" ca="1">_xlfn.IFNA(SUM((O$3&gt;='Gastos com Pessoal'!$E$513:$E$522)*(O$3&lt;='Gastos com Pessoal'!$F$513:$F$522)*OFFSET('Encargos e Benefícios'!$D$511,1,MATCH($B30,'Encargos e Benefícios'!$E$511:$AB$511,0),10,1)*(IF('Gastos com Pessoal'!$G$513:$G$522&lt;=O$3,('Gastos com Pessoal'!$H$513:$H$522)+1,1))*(IF('Gastos com Pessoal'!$M$513:$M$522&lt;=O$3,('Gastos com Pessoal'!$N$513:$N$522)+1,1))*(IF('Gastos com Pessoal'!$S$513:$S$522&lt;=O$3,('Gastos com Pessoal'!$T$513:$T$522)+1,1))*(IF('Gastos com Pessoal'!$Y$513:$Y$522&lt;=O$3,('Gastos com Pessoal'!$Z$513:$Z$522)+1,1))*(IF('Gastos com Pessoal'!$AE$513:$AE$522&lt;=O$3,('Gastos com Pessoal'!$AF$513:$AF$522)+1,1))),0)</f>
        <v>12000</v>
      </c>
      <c r="P30" s="188">
        <f t="array" aca="1" ref="P30" ca="1">_xlfn.IFNA(SUM((P$3&gt;='Gastos com Pessoal'!$E$513:$E$522)*(P$3&lt;='Gastos com Pessoal'!$F$513:$F$522)*OFFSET('Encargos e Benefícios'!$D$511,1,MATCH($B30,'Encargos e Benefícios'!$E$511:$AB$511,0),10,1)*(IF('Gastos com Pessoal'!$G$513:$G$522&lt;=P$3,('Gastos com Pessoal'!$H$513:$H$522)+1,1))*(IF('Gastos com Pessoal'!$M$513:$M$522&lt;=P$3,('Gastos com Pessoal'!$N$513:$N$522)+1,1))*(IF('Gastos com Pessoal'!$S$513:$S$522&lt;=P$3,('Gastos com Pessoal'!$T$513:$T$522)+1,1))*(IF('Gastos com Pessoal'!$Y$513:$Y$522&lt;=P$3,('Gastos com Pessoal'!$Z$513:$Z$522)+1,1))*(IF('Gastos com Pessoal'!$AE$513:$AE$522&lt;=P$3,('Gastos com Pessoal'!$AF$513:$AF$522)+1,1))),0)</f>
        <v>0</v>
      </c>
      <c r="Q30" s="188">
        <f t="array" aca="1" ref="Q30" ca="1">_xlfn.IFNA(SUM((Q$3&gt;='Gastos com Pessoal'!$E$513:$E$522)*(Q$3&lt;='Gastos com Pessoal'!$F$513:$F$522)*OFFSET('Encargos e Benefícios'!$D$511,1,MATCH($B30,'Encargos e Benefícios'!$E$511:$AB$511,0),10,1)*(IF('Gastos com Pessoal'!$G$513:$G$522&lt;=Q$3,('Gastos com Pessoal'!$H$513:$H$522)+1,1))*(IF('Gastos com Pessoal'!$M$513:$M$522&lt;=Q$3,('Gastos com Pessoal'!$N$513:$N$522)+1,1))*(IF('Gastos com Pessoal'!$S$513:$S$522&lt;=Q$3,('Gastos com Pessoal'!$T$513:$T$522)+1,1))*(IF('Gastos com Pessoal'!$Y$513:$Y$522&lt;=Q$3,('Gastos com Pessoal'!$Z$513:$Z$522)+1,1))*(IF('Gastos com Pessoal'!$AE$513:$AE$522&lt;=Q$3,('Gastos com Pessoal'!$AF$513:$AF$522)+1,1))),0)</f>
        <v>0</v>
      </c>
      <c r="R30" s="188">
        <f t="array" aca="1" ref="R30" ca="1">_xlfn.IFNA(SUM((R$3&gt;='Gastos com Pessoal'!$E$513:$E$522)*(R$3&lt;='Gastos com Pessoal'!$F$513:$F$522)*OFFSET('Encargos e Benefícios'!$D$511,1,MATCH($B30,'Encargos e Benefícios'!$E$511:$AB$511,0),10,1)*(IF('Gastos com Pessoal'!$G$513:$G$522&lt;=R$3,('Gastos com Pessoal'!$H$513:$H$522)+1,1))*(IF('Gastos com Pessoal'!$M$513:$M$522&lt;=R$3,('Gastos com Pessoal'!$N$513:$N$522)+1,1))*(IF('Gastos com Pessoal'!$S$513:$S$522&lt;=R$3,('Gastos com Pessoal'!$T$513:$T$522)+1,1))*(IF('Gastos com Pessoal'!$Y$513:$Y$522&lt;=R$3,('Gastos com Pessoal'!$Z$513:$Z$522)+1,1))*(IF('Gastos com Pessoal'!$AE$513:$AE$522&lt;=R$3,('Gastos com Pessoal'!$AF$513:$AF$522)+1,1))),0)</f>
        <v>0</v>
      </c>
      <c r="S30" s="188">
        <f t="array" aca="1" ref="S30" ca="1">_xlfn.IFNA(SUM((S$3&gt;='Gastos com Pessoal'!$E$513:$E$522)*(S$3&lt;='Gastos com Pessoal'!$F$513:$F$522)*OFFSET('Encargos e Benefícios'!$D$511,1,MATCH($B30,'Encargos e Benefícios'!$E$511:$AB$511,0),10,1)*(IF('Gastos com Pessoal'!$G$513:$G$522&lt;=S$3,('Gastos com Pessoal'!$H$513:$H$522)+1,1))*(IF('Gastos com Pessoal'!$M$513:$M$522&lt;=S$3,('Gastos com Pessoal'!$N$513:$N$522)+1,1))*(IF('Gastos com Pessoal'!$S$513:$S$522&lt;=S$3,('Gastos com Pessoal'!$T$513:$T$522)+1,1))*(IF('Gastos com Pessoal'!$Y$513:$Y$522&lt;=S$3,('Gastos com Pessoal'!$Z$513:$Z$522)+1,1))*(IF('Gastos com Pessoal'!$AE$513:$AE$522&lt;=S$3,('Gastos com Pessoal'!$AF$513:$AF$522)+1,1))),0)</f>
        <v>0</v>
      </c>
      <c r="T30" s="188">
        <f t="array" aca="1" ref="T30" ca="1">_xlfn.IFNA(SUM((T$3&gt;='Gastos com Pessoal'!$E$513:$E$522)*(T$3&lt;='Gastos com Pessoal'!$F$513:$F$522)*OFFSET('Encargos e Benefícios'!$D$511,1,MATCH($B30,'Encargos e Benefícios'!$E$511:$AB$511,0),10,1)*(IF('Gastos com Pessoal'!$G$513:$G$522&lt;=T$3,('Gastos com Pessoal'!$H$513:$H$522)+1,1))*(IF('Gastos com Pessoal'!$M$513:$M$522&lt;=T$3,('Gastos com Pessoal'!$N$513:$N$522)+1,1))*(IF('Gastos com Pessoal'!$S$513:$S$522&lt;=T$3,('Gastos com Pessoal'!$T$513:$T$522)+1,1))*(IF('Gastos com Pessoal'!$Y$513:$Y$522&lt;=T$3,('Gastos com Pessoal'!$Z$513:$Z$522)+1,1))*(IF('Gastos com Pessoal'!$AE$513:$AE$522&lt;=T$3,('Gastos com Pessoal'!$AF$513:$AF$522)+1,1))),0)</f>
        <v>0</v>
      </c>
      <c r="U30" s="188">
        <f t="array" aca="1" ref="U30" ca="1">_xlfn.IFNA(SUM((U$3&gt;='Gastos com Pessoal'!$E$513:$E$522)*(U$3&lt;='Gastos com Pessoal'!$F$513:$F$522)*OFFSET('Encargos e Benefícios'!$D$511,1,MATCH($B30,'Encargos e Benefícios'!$E$511:$AB$511,0),10,1)*(IF('Gastos com Pessoal'!$G$513:$G$522&lt;=U$3,('Gastos com Pessoal'!$H$513:$H$522)+1,1))*(IF('Gastos com Pessoal'!$M$513:$M$522&lt;=U$3,('Gastos com Pessoal'!$N$513:$N$522)+1,1))*(IF('Gastos com Pessoal'!$S$513:$S$522&lt;=U$3,('Gastos com Pessoal'!$T$513:$T$522)+1,1))*(IF('Gastos com Pessoal'!$Y$513:$Y$522&lt;=U$3,('Gastos com Pessoal'!$Z$513:$Z$522)+1,1))*(IF('Gastos com Pessoal'!$AE$513:$AE$522&lt;=U$3,('Gastos com Pessoal'!$AF$513:$AF$522)+1,1))),0)</f>
        <v>0</v>
      </c>
      <c r="V30" s="188">
        <f t="array" aca="1" ref="V30" ca="1">_xlfn.IFNA(SUM((V$3&gt;='Gastos com Pessoal'!$E$513:$E$522)*(V$3&lt;='Gastos com Pessoal'!$F$513:$F$522)*OFFSET('Encargos e Benefícios'!$D$511,1,MATCH($B30,'Encargos e Benefícios'!$E$511:$AB$511,0),10,1)*(IF('Gastos com Pessoal'!$G$513:$G$522&lt;=V$3,('Gastos com Pessoal'!$H$513:$H$522)+1,1))*(IF('Gastos com Pessoal'!$M$513:$M$522&lt;=V$3,('Gastos com Pessoal'!$N$513:$N$522)+1,1))*(IF('Gastos com Pessoal'!$S$513:$S$522&lt;=V$3,('Gastos com Pessoal'!$T$513:$T$522)+1,1))*(IF('Gastos com Pessoal'!$Y$513:$Y$522&lt;=V$3,('Gastos com Pessoal'!$Z$513:$Z$522)+1,1))*(IF('Gastos com Pessoal'!$AE$513:$AE$522&lt;=V$3,('Gastos com Pessoal'!$AF$513:$AF$522)+1,1))),0)</f>
        <v>0</v>
      </c>
      <c r="W30" s="188">
        <f t="array" aca="1" ref="W30" ca="1">_xlfn.IFNA(SUM((W$3&gt;='Gastos com Pessoal'!$E$513:$E$522)*(W$3&lt;='Gastos com Pessoal'!$F$513:$F$522)*OFFSET('Encargos e Benefícios'!$D$511,1,MATCH($B30,'Encargos e Benefícios'!$E$511:$AB$511,0),10,1)*(IF('Gastos com Pessoal'!$G$513:$G$522&lt;=W$3,('Gastos com Pessoal'!$H$513:$H$522)+1,1))*(IF('Gastos com Pessoal'!$M$513:$M$522&lt;=W$3,('Gastos com Pessoal'!$N$513:$N$522)+1,1))*(IF('Gastos com Pessoal'!$S$513:$S$522&lt;=W$3,('Gastos com Pessoal'!$T$513:$T$522)+1,1))*(IF('Gastos com Pessoal'!$Y$513:$Y$522&lt;=W$3,('Gastos com Pessoal'!$Z$513:$Z$522)+1,1))*(IF('Gastos com Pessoal'!$AE$513:$AE$522&lt;=W$3,('Gastos com Pessoal'!$AF$513:$AF$522)+1,1))),0)</f>
        <v>0</v>
      </c>
      <c r="X30" s="188">
        <f t="array" aca="1" ref="X30" ca="1">_xlfn.IFNA(SUM((X$3&gt;='Gastos com Pessoal'!$E$513:$E$522)*(X$3&lt;='Gastos com Pessoal'!$F$513:$F$522)*OFFSET('Encargos e Benefícios'!$D$511,1,MATCH($B30,'Encargos e Benefícios'!$E$511:$AB$511,0),10,1)*(IF('Gastos com Pessoal'!$G$513:$G$522&lt;=X$3,('Gastos com Pessoal'!$H$513:$H$522)+1,1))*(IF('Gastos com Pessoal'!$M$513:$M$522&lt;=X$3,('Gastos com Pessoal'!$N$513:$N$522)+1,1))*(IF('Gastos com Pessoal'!$S$513:$S$522&lt;=X$3,('Gastos com Pessoal'!$T$513:$T$522)+1,1))*(IF('Gastos com Pessoal'!$Y$513:$Y$522&lt;=X$3,('Gastos com Pessoal'!$Z$513:$Z$522)+1,1))*(IF('Gastos com Pessoal'!$AE$513:$AE$522&lt;=X$3,('Gastos com Pessoal'!$AF$513:$AF$522)+1,1))),0)</f>
        <v>0</v>
      </c>
      <c r="Y30" s="188">
        <f t="array" aca="1" ref="Y30" ca="1">_xlfn.IFNA(SUM((Y$3&gt;='Gastos com Pessoal'!$E$513:$E$522)*(Y$3&lt;='Gastos com Pessoal'!$F$513:$F$522)*OFFSET('Encargos e Benefícios'!$D$511,1,MATCH($B30,'Encargos e Benefícios'!$E$511:$AB$511,0),10,1)*(IF('Gastos com Pessoal'!$G$513:$G$522&lt;=Y$3,('Gastos com Pessoal'!$H$513:$H$522)+1,1))*(IF('Gastos com Pessoal'!$M$513:$M$522&lt;=Y$3,('Gastos com Pessoal'!$N$513:$N$522)+1,1))*(IF('Gastos com Pessoal'!$S$513:$S$522&lt;=Y$3,('Gastos com Pessoal'!$T$513:$T$522)+1,1))*(IF('Gastos com Pessoal'!$Y$513:$Y$522&lt;=Y$3,('Gastos com Pessoal'!$Z$513:$Z$522)+1,1))*(IF('Gastos com Pessoal'!$AE$513:$AE$522&lt;=Y$3,('Gastos com Pessoal'!$AF$513:$AF$522)+1,1))),0)</f>
        <v>0</v>
      </c>
      <c r="Z30" s="188">
        <f t="array" aca="1" ref="Z30" ca="1">_xlfn.IFNA(SUM((Z$3&gt;='Gastos com Pessoal'!$E$513:$E$522)*(Z$3&lt;='Gastos com Pessoal'!$F$513:$F$522)*OFFSET('Encargos e Benefícios'!$D$511,1,MATCH($B30,'Encargos e Benefícios'!$E$511:$AB$511,0),10,1)*(IF('Gastos com Pessoal'!$G$513:$G$522&lt;=Z$3,('Gastos com Pessoal'!$H$513:$H$522)+1,1))*(IF('Gastos com Pessoal'!$M$513:$M$522&lt;=Z$3,('Gastos com Pessoal'!$N$513:$N$522)+1,1))*(IF('Gastos com Pessoal'!$S$513:$S$522&lt;=Z$3,('Gastos com Pessoal'!$T$513:$T$522)+1,1))*(IF('Gastos com Pessoal'!$Y$513:$Y$522&lt;=Z$3,('Gastos com Pessoal'!$Z$513:$Z$522)+1,1))*(IF('Gastos com Pessoal'!$AE$513:$AE$522&lt;=Z$3,('Gastos com Pessoal'!$AF$513:$AF$522)+1,1))),0)</f>
        <v>0</v>
      </c>
      <c r="AA30" s="188">
        <f t="array" aca="1" ref="AA30" ca="1">_xlfn.IFNA(SUM((AA$3&gt;='Gastos com Pessoal'!$E$513:$E$522)*(AA$3&lt;='Gastos com Pessoal'!$F$513:$F$522)*OFFSET('Encargos e Benefícios'!$D$511,1,MATCH($B30,'Encargos e Benefícios'!$E$511:$AB$511,0),10,1)*(IF('Gastos com Pessoal'!$G$513:$G$522&lt;=AA$3,('Gastos com Pessoal'!$H$513:$H$522)+1,1))*(IF('Gastos com Pessoal'!$M$513:$M$522&lt;=AA$3,('Gastos com Pessoal'!$N$513:$N$522)+1,1))*(IF('Gastos com Pessoal'!$S$513:$S$522&lt;=AA$3,('Gastos com Pessoal'!$T$513:$T$522)+1,1))*(IF('Gastos com Pessoal'!$Y$513:$Y$522&lt;=AA$3,('Gastos com Pessoal'!$Z$513:$Z$522)+1,1))*(IF('Gastos com Pessoal'!$AE$513:$AE$522&lt;=AA$3,('Gastos com Pessoal'!$AF$513:$AF$522)+1,1))),0)</f>
        <v>0</v>
      </c>
      <c r="AB30" s="188">
        <f t="array" aca="1" ref="AB30" ca="1">_xlfn.IFNA(SUM((AB$3&gt;='Gastos com Pessoal'!$E$513:$E$522)*(AB$3&lt;='Gastos com Pessoal'!$F$513:$F$522)*OFFSET('Encargos e Benefícios'!$D$511,1,MATCH($B30,'Encargos e Benefícios'!$E$511:$AB$511,0),10,1)*(IF('Gastos com Pessoal'!$G$513:$G$522&lt;=AB$3,('Gastos com Pessoal'!$H$513:$H$522)+1,1))*(IF('Gastos com Pessoal'!$M$513:$M$522&lt;=AB$3,('Gastos com Pessoal'!$N$513:$N$522)+1,1))*(IF('Gastos com Pessoal'!$S$513:$S$522&lt;=AB$3,('Gastos com Pessoal'!$T$513:$T$522)+1,1))*(IF('Gastos com Pessoal'!$Y$513:$Y$522&lt;=AB$3,('Gastos com Pessoal'!$Z$513:$Z$522)+1,1))*(IF('Gastos com Pessoal'!$AE$513:$AE$522&lt;=AB$3,('Gastos com Pessoal'!$AF$513:$AF$522)+1,1))),0)</f>
        <v>0</v>
      </c>
      <c r="AC30" s="188">
        <f t="array" aca="1" ref="AC30" ca="1">_xlfn.IFNA(SUM((AC$3&gt;='Gastos com Pessoal'!$E$513:$E$522)*(AC$3&lt;='Gastos com Pessoal'!$F$513:$F$522)*OFFSET('Encargos e Benefícios'!$D$511,1,MATCH($B30,'Encargos e Benefícios'!$E$511:$AB$511,0),10,1)*(IF('Gastos com Pessoal'!$G$513:$G$522&lt;=AC$3,('Gastos com Pessoal'!$H$513:$H$522)+1,1))*(IF('Gastos com Pessoal'!$M$513:$M$522&lt;=AC$3,('Gastos com Pessoal'!$N$513:$N$522)+1,1))*(IF('Gastos com Pessoal'!$S$513:$S$522&lt;=AC$3,('Gastos com Pessoal'!$T$513:$T$522)+1,1))*(IF('Gastos com Pessoal'!$Y$513:$Y$522&lt;=AC$3,('Gastos com Pessoal'!$Z$513:$Z$522)+1,1))*(IF('Gastos com Pessoal'!$AE$513:$AE$522&lt;=AC$3,('Gastos com Pessoal'!$AF$513:$AF$522)+1,1))),0)</f>
        <v>0</v>
      </c>
      <c r="AD30" s="188">
        <f t="array" aca="1" ref="AD30" ca="1">_xlfn.IFNA(SUM((AD$3&gt;='Gastos com Pessoal'!$E$513:$E$522)*(AD$3&lt;='Gastos com Pessoal'!$F$513:$F$522)*OFFSET('Encargos e Benefícios'!$D$511,1,MATCH($B30,'Encargos e Benefícios'!$E$511:$AB$511,0),10,1)*(IF('Gastos com Pessoal'!$G$513:$G$522&lt;=AD$3,('Gastos com Pessoal'!$H$513:$H$522)+1,1))*(IF('Gastos com Pessoal'!$M$513:$M$522&lt;=AD$3,('Gastos com Pessoal'!$N$513:$N$522)+1,1))*(IF('Gastos com Pessoal'!$S$513:$S$522&lt;=AD$3,('Gastos com Pessoal'!$T$513:$T$522)+1,1))*(IF('Gastos com Pessoal'!$Y$513:$Y$522&lt;=AD$3,('Gastos com Pessoal'!$Z$513:$Z$522)+1,1))*(IF('Gastos com Pessoal'!$AE$513:$AE$522&lt;=AD$3,('Gastos com Pessoal'!$AF$513:$AF$522)+1,1))),0)</f>
        <v>0</v>
      </c>
      <c r="AE30" s="188">
        <f t="array" aca="1" ref="AE30" ca="1">_xlfn.IFNA(SUM((AE$3&gt;='Gastos com Pessoal'!$E$513:$E$522)*(AE$3&lt;='Gastos com Pessoal'!$F$513:$F$522)*OFFSET('Encargos e Benefícios'!$D$511,1,MATCH($B30,'Encargos e Benefícios'!$E$511:$AB$511,0),10,1)*(IF('Gastos com Pessoal'!$G$513:$G$522&lt;=AE$3,('Gastos com Pessoal'!$H$513:$H$522)+1,1))*(IF('Gastos com Pessoal'!$M$513:$M$522&lt;=AE$3,('Gastos com Pessoal'!$N$513:$N$522)+1,1))*(IF('Gastos com Pessoal'!$S$513:$S$522&lt;=AE$3,('Gastos com Pessoal'!$T$513:$T$522)+1,1))*(IF('Gastos com Pessoal'!$Y$513:$Y$522&lt;=AE$3,('Gastos com Pessoal'!$Z$513:$Z$522)+1,1))*(IF('Gastos com Pessoal'!$AE$513:$AE$522&lt;=AE$3,('Gastos com Pessoal'!$AF$513:$AF$522)+1,1))),0)</f>
        <v>0</v>
      </c>
      <c r="AF30" s="188">
        <f t="array" aca="1" ref="AF30" ca="1">_xlfn.IFNA(SUM((AF$3&gt;='Gastos com Pessoal'!$E$513:$E$522)*(AF$3&lt;='Gastos com Pessoal'!$F$513:$F$522)*OFFSET('Encargos e Benefícios'!$D$511,1,MATCH($B30,'Encargos e Benefícios'!$E$511:$AB$511,0),10,1)*(IF('Gastos com Pessoal'!$G$513:$G$522&lt;=AF$3,('Gastos com Pessoal'!$H$513:$H$522)+1,1))*(IF('Gastos com Pessoal'!$M$513:$M$522&lt;=AF$3,('Gastos com Pessoal'!$N$513:$N$522)+1,1))*(IF('Gastos com Pessoal'!$S$513:$S$522&lt;=AF$3,('Gastos com Pessoal'!$T$513:$T$522)+1,1))*(IF('Gastos com Pessoal'!$Y$513:$Y$522&lt;=AF$3,('Gastos com Pessoal'!$Z$513:$Z$522)+1,1))*(IF('Gastos com Pessoal'!$AE$513:$AE$522&lt;=AF$3,('Gastos com Pessoal'!$AF$513:$AF$522)+1,1))),0)</f>
        <v>0</v>
      </c>
      <c r="AG30" s="188">
        <f t="array" aca="1" ref="AG30" ca="1">_xlfn.IFNA(SUM((AG$3&gt;='Gastos com Pessoal'!$E$513:$E$522)*(AG$3&lt;='Gastos com Pessoal'!$F$513:$F$522)*OFFSET('Encargos e Benefícios'!$D$511,1,MATCH($B30,'Encargos e Benefícios'!$E$511:$AB$511,0),10,1)*(IF('Gastos com Pessoal'!$G$513:$G$522&lt;=AG$3,('Gastos com Pessoal'!$H$513:$H$522)+1,1))*(IF('Gastos com Pessoal'!$M$513:$M$522&lt;=AG$3,('Gastos com Pessoal'!$N$513:$N$522)+1,1))*(IF('Gastos com Pessoal'!$S$513:$S$522&lt;=AG$3,('Gastos com Pessoal'!$T$513:$T$522)+1,1))*(IF('Gastos com Pessoal'!$Y$513:$Y$522&lt;=AG$3,('Gastos com Pessoal'!$Z$513:$Z$522)+1,1))*(IF('Gastos com Pessoal'!$AE$513:$AE$522&lt;=AG$3,('Gastos com Pessoal'!$AF$513:$AF$522)+1,1))),0)</f>
        <v>0</v>
      </c>
      <c r="AH30" s="188">
        <f t="array" aca="1" ref="AH30" ca="1">_xlfn.IFNA(SUM((AH$3&gt;='Gastos com Pessoal'!$E$513:$E$522)*(AH$3&lt;='Gastos com Pessoal'!$F$513:$F$522)*OFFSET('Encargos e Benefícios'!$D$511,1,MATCH($B30,'Encargos e Benefícios'!$E$511:$AB$511,0),10,1)*(IF('Gastos com Pessoal'!$G$513:$G$522&lt;=AH$3,('Gastos com Pessoal'!$H$513:$H$522)+1,1))*(IF('Gastos com Pessoal'!$M$513:$M$522&lt;=AH$3,('Gastos com Pessoal'!$N$513:$N$522)+1,1))*(IF('Gastos com Pessoal'!$S$513:$S$522&lt;=AH$3,('Gastos com Pessoal'!$T$513:$T$522)+1,1))*(IF('Gastos com Pessoal'!$Y$513:$Y$522&lt;=AH$3,('Gastos com Pessoal'!$Z$513:$Z$522)+1,1))*(IF('Gastos com Pessoal'!$AE$513:$AE$522&lt;=AH$3,('Gastos com Pessoal'!$AF$513:$AF$522)+1,1))),0)</f>
        <v>0</v>
      </c>
      <c r="AI30" s="188">
        <f t="array" aca="1" ref="AI30" ca="1">_xlfn.IFNA(SUM((AI$3&gt;='Gastos com Pessoal'!$E$513:$E$522)*(AI$3&lt;='Gastos com Pessoal'!$F$513:$F$522)*OFFSET('Encargos e Benefícios'!$D$511,1,MATCH($B30,'Encargos e Benefícios'!$E$511:$AB$511,0),10,1)*(IF('Gastos com Pessoal'!$G$513:$G$522&lt;=AI$3,('Gastos com Pessoal'!$H$513:$H$522)+1,1))*(IF('Gastos com Pessoal'!$M$513:$M$522&lt;=AI$3,('Gastos com Pessoal'!$N$513:$N$522)+1,1))*(IF('Gastos com Pessoal'!$S$513:$S$522&lt;=AI$3,('Gastos com Pessoal'!$T$513:$T$522)+1,1))*(IF('Gastos com Pessoal'!$Y$513:$Y$522&lt;=AI$3,('Gastos com Pessoal'!$Z$513:$Z$522)+1,1))*(IF('Gastos com Pessoal'!$AE$513:$AE$522&lt;=AI$3,('Gastos com Pessoal'!$AF$513:$AF$522)+1,1))),0)</f>
        <v>0</v>
      </c>
      <c r="AJ30" s="188">
        <f t="array" aca="1" ref="AJ30" ca="1">_xlfn.IFNA(SUM((AJ$3&gt;='Gastos com Pessoal'!$E$513:$E$522)*(AJ$3&lt;='Gastos com Pessoal'!$F$513:$F$522)*OFFSET('Encargos e Benefícios'!$D$511,1,MATCH($B30,'Encargos e Benefícios'!$E$511:$AB$511,0),10,1)*(IF('Gastos com Pessoal'!$G$513:$G$522&lt;=AJ$3,('Gastos com Pessoal'!$H$513:$H$522)+1,1))*(IF('Gastos com Pessoal'!$M$513:$M$522&lt;=AJ$3,('Gastos com Pessoal'!$N$513:$N$522)+1,1))*(IF('Gastos com Pessoal'!$S$513:$S$522&lt;=AJ$3,('Gastos com Pessoal'!$T$513:$T$522)+1,1))*(IF('Gastos com Pessoal'!$Y$513:$Y$522&lt;=AJ$3,('Gastos com Pessoal'!$Z$513:$Z$522)+1,1))*(IF('Gastos com Pessoal'!$AE$513:$AE$522&lt;=AJ$3,('Gastos com Pessoal'!$AF$513:$AF$522)+1,1))),0)</f>
        <v>0</v>
      </c>
      <c r="AK30" s="188">
        <f t="array" aca="1" ref="AK30" ca="1">_xlfn.IFNA(SUM((AK$3&gt;='Gastos com Pessoal'!$E$513:$E$522)*(AK$3&lt;='Gastos com Pessoal'!$F$513:$F$522)*OFFSET('Encargos e Benefícios'!$D$511,1,MATCH($B30,'Encargos e Benefícios'!$E$511:$AB$511,0),10,1)*(IF('Gastos com Pessoal'!$G$513:$G$522&lt;=AK$3,('Gastos com Pessoal'!$H$513:$H$522)+1,1))*(IF('Gastos com Pessoal'!$M$513:$M$522&lt;=AK$3,('Gastos com Pessoal'!$N$513:$N$522)+1,1))*(IF('Gastos com Pessoal'!$S$513:$S$522&lt;=AK$3,('Gastos com Pessoal'!$T$513:$T$522)+1,1))*(IF('Gastos com Pessoal'!$Y$513:$Y$522&lt;=AK$3,('Gastos com Pessoal'!$Z$513:$Z$522)+1,1))*(IF('Gastos com Pessoal'!$AE$513:$AE$522&lt;=AK$3,('Gastos com Pessoal'!$AF$513:$AF$522)+1,1))),0)</f>
        <v>0</v>
      </c>
      <c r="AL30" s="188">
        <f t="array" aca="1" ref="AL30" ca="1">_xlfn.IFNA(SUM((AL$3&gt;='Gastos com Pessoal'!$E$513:$E$522)*(AL$3&lt;='Gastos com Pessoal'!$F$513:$F$522)*OFFSET('Encargos e Benefícios'!$D$511,1,MATCH($B30,'Encargos e Benefícios'!$E$511:$AB$511,0),10,1)*(IF('Gastos com Pessoal'!$G$513:$G$522&lt;=AL$3,('Gastos com Pessoal'!$H$513:$H$522)+1,1))*(IF('Gastos com Pessoal'!$M$513:$M$522&lt;=AL$3,('Gastos com Pessoal'!$N$513:$N$522)+1,1))*(IF('Gastos com Pessoal'!$S$513:$S$522&lt;=AL$3,('Gastos com Pessoal'!$T$513:$T$522)+1,1))*(IF('Gastos com Pessoal'!$Y$513:$Y$522&lt;=AL$3,('Gastos com Pessoal'!$Z$513:$Z$522)+1,1))*(IF('Gastos com Pessoal'!$AE$513:$AE$522&lt;=AL$3,('Gastos com Pessoal'!$AF$513:$AF$522)+1,1))),0)</f>
        <v>0</v>
      </c>
      <c r="AM30" s="188">
        <f t="array" aca="1" ref="AM30" ca="1">_xlfn.IFNA(SUM((AM$3&gt;='Gastos com Pessoal'!$E$513:$E$522)*(AM$3&lt;='Gastos com Pessoal'!$F$513:$F$522)*OFFSET('Encargos e Benefícios'!$D$511,1,MATCH($B30,'Encargos e Benefícios'!$E$511:$AB$511,0),10,1)*(IF('Gastos com Pessoal'!$G$513:$G$522&lt;=AM$3,('Gastos com Pessoal'!$H$513:$H$522)+1,1))*(IF('Gastos com Pessoal'!$M$513:$M$522&lt;=AM$3,('Gastos com Pessoal'!$N$513:$N$522)+1,1))*(IF('Gastos com Pessoal'!$S$513:$S$522&lt;=AM$3,('Gastos com Pessoal'!$T$513:$T$522)+1,1))*(IF('Gastos com Pessoal'!$Y$513:$Y$522&lt;=AM$3,('Gastos com Pessoal'!$Z$513:$Z$522)+1,1))*(IF('Gastos com Pessoal'!$AE$513:$AE$522&lt;=AM$3,('Gastos com Pessoal'!$AF$513:$AF$522)+1,1))),0)</f>
        <v>0</v>
      </c>
      <c r="AN30" s="188">
        <f t="array" aca="1" ref="AN30" ca="1">_xlfn.IFNA(SUM((AN$3&gt;='Gastos com Pessoal'!$E$513:$E$522)*(AN$3&lt;='Gastos com Pessoal'!$F$513:$F$522)*OFFSET('Encargos e Benefícios'!$D$511,1,MATCH($B30,'Encargos e Benefícios'!$E$511:$AB$511,0),10,1)*(IF('Gastos com Pessoal'!$G$513:$G$522&lt;=AN$3,('Gastos com Pessoal'!$H$513:$H$522)+1,1))*(IF('Gastos com Pessoal'!$M$513:$M$522&lt;=AN$3,('Gastos com Pessoal'!$N$513:$N$522)+1,1))*(IF('Gastos com Pessoal'!$S$513:$S$522&lt;=AN$3,('Gastos com Pessoal'!$T$513:$T$522)+1,1))*(IF('Gastos com Pessoal'!$Y$513:$Y$522&lt;=AN$3,('Gastos com Pessoal'!$Z$513:$Z$522)+1,1))*(IF('Gastos com Pessoal'!$AE$513:$AE$522&lt;=AN$3,('Gastos com Pessoal'!$AF$513:$AF$522)+1,1))),0)</f>
        <v>0</v>
      </c>
      <c r="AO30" s="188">
        <f t="array" aca="1" ref="AO30" ca="1">_xlfn.IFNA(SUM((AO$3&gt;='Gastos com Pessoal'!$E$513:$E$522)*(AO$3&lt;='Gastos com Pessoal'!$F$513:$F$522)*OFFSET('Encargos e Benefícios'!$D$511,1,MATCH($B30,'Encargos e Benefícios'!$E$511:$AB$511,0),10,1)*(IF('Gastos com Pessoal'!$G$513:$G$522&lt;=AO$3,('Gastos com Pessoal'!$H$513:$H$522)+1,1))*(IF('Gastos com Pessoal'!$M$513:$M$522&lt;=AO$3,('Gastos com Pessoal'!$N$513:$N$522)+1,1))*(IF('Gastos com Pessoal'!$S$513:$S$522&lt;=AO$3,('Gastos com Pessoal'!$T$513:$T$522)+1,1))*(IF('Gastos com Pessoal'!$Y$513:$Y$522&lt;=AO$3,('Gastos com Pessoal'!$Z$513:$Z$522)+1,1))*(IF('Gastos com Pessoal'!$AE$513:$AE$522&lt;=AO$3,('Gastos com Pessoal'!$AF$513:$AF$522)+1,1))),0)</f>
        <v>0</v>
      </c>
      <c r="AP30" s="188">
        <f t="array" aca="1" ref="AP30" ca="1">_xlfn.IFNA(SUM((AP$3&gt;='Gastos com Pessoal'!$E$513:$E$522)*(AP$3&lt;='Gastos com Pessoal'!$F$513:$F$522)*OFFSET('Encargos e Benefícios'!$D$511,1,MATCH($B30,'Encargos e Benefícios'!$E$511:$AB$511,0),10,1)*(IF('Gastos com Pessoal'!$G$513:$G$522&lt;=AP$3,('Gastos com Pessoal'!$H$513:$H$522)+1,1))*(IF('Gastos com Pessoal'!$M$513:$M$522&lt;=AP$3,('Gastos com Pessoal'!$N$513:$N$522)+1,1))*(IF('Gastos com Pessoal'!$S$513:$S$522&lt;=AP$3,('Gastos com Pessoal'!$T$513:$T$522)+1,1))*(IF('Gastos com Pessoal'!$Y$513:$Y$522&lt;=AP$3,('Gastos com Pessoal'!$Z$513:$Z$522)+1,1))*(IF('Gastos com Pessoal'!$AE$513:$AE$522&lt;=AP$3,('Gastos com Pessoal'!$AF$513:$AF$522)+1,1))),0)</f>
        <v>0</v>
      </c>
      <c r="AQ30" s="188">
        <f t="array" aca="1" ref="AQ30" ca="1">_xlfn.IFNA(SUM((AQ$3&gt;='Gastos com Pessoal'!$E$513:$E$522)*(AQ$3&lt;='Gastos com Pessoal'!$F$513:$F$522)*OFFSET('Encargos e Benefícios'!$D$511,1,MATCH($B30,'Encargos e Benefícios'!$E$511:$AB$511,0),10,1)*(IF('Gastos com Pessoal'!$G$513:$G$522&lt;=AQ$3,('Gastos com Pessoal'!$H$513:$H$522)+1,1))*(IF('Gastos com Pessoal'!$M$513:$M$522&lt;=AQ$3,('Gastos com Pessoal'!$N$513:$N$522)+1,1))*(IF('Gastos com Pessoal'!$S$513:$S$522&lt;=AQ$3,('Gastos com Pessoal'!$T$513:$T$522)+1,1))*(IF('Gastos com Pessoal'!$Y$513:$Y$522&lt;=AQ$3,('Gastos com Pessoal'!$Z$513:$Z$522)+1,1))*(IF('Gastos com Pessoal'!$AE$513:$AE$522&lt;=AQ$3,('Gastos com Pessoal'!$AF$513:$AF$522)+1,1))),0)</f>
        <v>0</v>
      </c>
      <c r="AR30" s="188">
        <f t="array" aca="1" ref="AR30" ca="1">_xlfn.IFNA(SUM((AR$3&gt;='Gastos com Pessoal'!$E$513:$E$522)*(AR$3&lt;='Gastos com Pessoal'!$F$513:$F$522)*OFFSET('Encargos e Benefícios'!$D$511,1,MATCH($B30,'Encargos e Benefícios'!$E$511:$AB$511,0),10,1)*(IF('Gastos com Pessoal'!$G$513:$G$522&lt;=AR$3,('Gastos com Pessoal'!$H$513:$H$522)+1,1))*(IF('Gastos com Pessoal'!$M$513:$M$522&lt;=AR$3,('Gastos com Pessoal'!$N$513:$N$522)+1,1))*(IF('Gastos com Pessoal'!$S$513:$S$522&lt;=AR$3,('Gastos com Pessoal'!$T$513:$T$522)+1,1))*(IF('Gastos com Pessoal'!$Y$513:$Y$522&lt;=AR$3,('Gastos com Pessoal'!$Z$513:$Z$522)+1,1))*(IF('Gastos com Pessoal'!$AE$513:$AE$522&lt;=AR$3,('Gastos com Pessoal'!$AF$513:$AF$522)+1,1))),0)</f>
        <v>0</v>
      </c>
      <c r="AS30" s="188">
        <f t="array" aca="1" ref="AS30" ca="1">_xlfn.IFNA(SUM((AS$3&gt;='Gastos com Pessoal'!$E$513:$E$522)*(AS$3&lt;='Gastos com Pessoal'!$F$513:$F$522)*OFFSET('Encargos e Benefícios'!$D$511,1,MATCH($B30,'Encargos e Benefícios'!$E$511:$AB$511,0),10,1)*(IF('Gastos com Pessoal'!$G$513:$G$522&lt;=AS$3,('Gastos com Pessoal'!$H$513:$H$522)+1,1))*(IF('Gastos com Pessoal'!$M$513:$M$522&lt;=AS$3,('Gastos com Pessoal'!$N$513:$N$522)+1,1))*(IF('Gastos com Pessoal'!$S$513:$S$522&lt;=AS$3,('Gastos com Pessoal'!$T$513:$T$522)+1,1))*(IF('Gastos com Pessoal'!$Y$513:$Y$522&lt;=AS$3,('Gastos com Pessoal'!$Z$513:$Z$522)+1,1))*(IF('Gastos com Pessoal'!$AE$513:$AE$522&lt;=AS$3,('Gastos com Pessoal'!$AF$513:$AF$522)+1,1))),0)</f>
        <v>0</v>
      </c>
      <c r="AT30" s="188">
        <f t="array" aca="1" ref="AT30" ca="1">_xlfn.IFNA(SUM((AT$3&gt;='Gastos com Pessoal'!$E$513:$E$522)*(AT$3&lt;='Gastos com Pessoal'!$F$513:$F$522)*OFFSET('Encargos e Benefícios'!$D$511,1,MATCH($B30,'Encargos e Benefícios'!$E$511:$AB$511,0),10,1)*(IF('Gastos com Pessoal'!$G$513:$G$522&lt;=AT$3,('Gastos com Pessoal'!$H$513:$H$522)+1,1))*(IF('Gastos com Pessoal'!$M$513:$M$522&lt;=AT$3,('Gastos com Pessoal'!$N$513:$N$522)+1,1))*(IF('Gastos com Pessoal'!$S$513:$S$522&lt;=AT$3,('Gastos com Pessoal'!$T$513:$T$522)+1,1))*(IF('Gastos com Pessoal'!$Y$513:$Y$522&lt;=AT$3,('Gastos com Pessoal'!$Z$513:$Z$522)+1,1))*(IF('Gastos com Pessoal'!$AE$513:$AE$522&lt;=AT$3,('Gastos com Pessoal'!$AF$513:$AF$522)+1,1))),0)</f>
        <v>0</v>
      </c>
      <c r="AU30" s="188">
        <f t="array" aca="1" ref="AU30" ca="1">_xlfn.IFNA(SUM((AU$3&gt;='Gastos com Pessoal'!$E$513:$E$522)*(AU$3&lt;='Gastos com Pessoal'!$F$513:$F$522)*OFFSET('Encargos e Benefícios'!$D$511,1,MATCH($B30,'Encargos e Benefícios'!$E$511:$AB$511,0),10,1)*(IF('Gastos com Pessoal'!$G$513:$G$522&lt;=AU$3,('Gastos com Pessoal'!$H$513:$H$522)+1,1))*(IF('Gastos com Pessoal'!$M$513:$M$522&lt;=AU$3,('Gastos com Pessoal'!$N$513:$N$522)+1,1))*(IF('Gastos com Pessoal'!$S$513:$S$522&lt;=AU$3,('Gastos com Pessoal'!$T$513:$T$522)+1,1))*(IF('Gastos com Pessoal'!$Y$513:$Y$522&lt;=AU$3,('Gastos com Pessoal'!$Z$513:$Z$522)+1,1))*(IF('Gastos com Pessoal'!$AE$513:$AE$522&lt;=AU$3,('Gastos com Pessoal'!$AF$513:$AF$522)+1,1))),0)</f>
        <v>0</v>
      </c>
      <c r="AV30" s="188">
        <f t="array" aca="1" ref="AV30" ca="1">_xlfn.IFNA(SUM((AV$3&gt;='Gastos com Pessoal'!$E$513:$E$522)*(AV$3&lt;='Gastos com Pessoal'!$F$513:$F$522)*OFFSET('Encargos e Benefícios'!$D$511,1,MATCH($B30,'Encargos e Benefícios'!$E$511:$AB$511,0),10,1)*(IF('Gastos com Pessoal'!$G$513:$G$522&lt;=AV$3,('Gastos com Pessoal'!$H$513:$H$522)+1,1))*(IF('Gastos com Pessoal'!$M$513:$M$522&lt;=AV$3,('Gastos com Pessoal'!$N$513:$N$522)+1,1))*(IF('Gastos com Pessoal'!$S$513:$S$522&lt;=AV$3,('Gastos com Pessoal'!$T$513:$T$522)+1,1))*(IF('Gastos com Pessoal'!$Y$513:$Y$522&lt;=AV$3,('Gastos com Pessoal'!$Z$513:$Z$522)+1,1))*(IF('Gastos com Pessoal'!$AE$513:$AE$522&lt;=AV$3,('Gastos com Pessoal'!$AF$513:$AF$522)+1,1))),0)</f>
        <v>0</v>
      </c>
      <c r="AW30" s="188">
        <f t="array" aca="1" ref="AW30" ca="1">_xlfn.IFNA(SUM((AW$3&gt;='Gastos com Pessoal'!$E$513:$E$522)*(AW$3&lt;='Gastos com Pessoal'!$F$513:$F$522)*OFFSET('Encargos e Benefícios'!$D$511,1,MATCH($B30,'Encargos e Benefícios'!$E$511:$AB$511,0),10,1)*(IF('Gastos com Pessoal'!$G$513:$G$522&lt;=AW$3,('Gastos com Pessoal'!$H$513:$H$522)+1,1))*(IF('Gastos com Pessoal'!$M$513:$M$522&lt;=AW$3,('Gastos com Pessoal'!$N$513:$N$522)+1,1))*(IF('Gastos com Pessoal'!$S$513:$S$522&lt;=AW$3,('Gastos com Pessoal'!$T$513:$T$522)+1,1))*(IF('Gastos com Pessoal'!$Y$513:$Y$522&lt;=AW$3,('Gastos com Pessoal'!$Z$513:$Z$522)+1,1))*(IF('Gastos com Pessoal'!$AE$513:$AE$522&lt;=AW$3,('Gastos com Pessoal'!$AF$513:$AF$522)+1,1))),0)</f>
        <v>0</v>
      </c>
      <c r="AX30" s="188">
        <f t="array" aca="1" ref="AX30" ca="1">_xlfn.IFNA(SUM((AX$3&gt;='Gastos com Pessoal'!$E$513:$E$522)*(AX$3&lt;='Gastos com Pessoal'!$F$513:$F$522)*OFFSET('Encargos e Benefícios'!$D$511,1,MATCH($B30,'Encargos e Benefícios'!$E$511:$AB$511,0),10,1)*(IF('Gastos com Pessoal'!$G$513:$G$522&lt;=AX$3,('Gastos com Pessoal'!$H$513:$H$522)+1,1))*(IF('Gastos com Pessoal'!$M$513:$M$522&lt;=AX$3,('Gastos com Pessoal'!$N$513:$N$522)+1,1))*(IF('Gastos com Pessoal'!$S$513:$S$522&lt;=AX$3,('Gastos com Pessoal'!$T$513:$T$522)+1,1))*(IF('Gastos com Pessoal'!$Y$513:$Y$522&lt;=AX$3,('Gastos com Pessoal'!$Z$513:$Z$522)+1,1))*(IF('Gastos com Pessoal'!$AE$513:$AE$522&lt;=AX$3,('Gastos com Pessoal'!$AF$513:$AF$522)+1,1))),0)</f>
        <v>0</v>
      </c>
      <c r="AY30" s="188">
        <f t="array" aca="1" ref="AY30" ca="1">_xlfn.IFNA(SUM((AY$3&gt;='Gastos com Pessoal'!$E$513:$E$522)*(AY$3&lt;='Gastos com Pessoal'!$F$513:$F$522)*OFFSET('Encargos e Benefícios'!$D$511,1,MATCH($B30,'Encargos e Benefícios'!$E$511:$AB$511,0),10,1)*(IF('Gastos com Pessoal'!$G$513:$G$522&lt;=AY$3,('Gastos com Pessoal'!$H$513:$H$522)+1,1))*(IF('Gastos com Pessoal'!$M$513:$M$522&lt;=AY$3,('Gastos com Pessoal'!$N$513:$N$522)+1,1))*(IF('Gastos com Pessoal'!$S$513:$S$522&lt;=AY$3,('Gastos com Pessoal'!$T$513:$T$522)+1,1))*(IF('Gastos com Pessoal'!$Y$513:$Y$522&lt;=AY$3,('Gastos com Pessoal'!$Z$513:$Z$522)+1,1))*(IF('Gastos com Pessoal'!$AE$513:$AE$522&lt;=AY$3,('Gastos com Pessoal'!$AF$513:$AF$522)+1,1))),0)</f>
        <v>0</v>
      </c>
      <c r="AZ30" s="188">
        <f t="array" aca="1" ref="AZ30" ca="1">_xlfn.IFNA(SUM((AZ$3&gt;='Gastos com Pessoal'!$E$513:$E$522)*(AZ$3&lt;='Gastos com Pessoal'!$F$513:$F$522)*OFFSET('Encargos e Benefícios'!$D$511,1,MATCH($B30,'Encargos e Benefícios'!$E$511:$AB$511,0),10,1)*(IF('Gastos com Pessoal'!$G$513:$G$522&lt;=AZ$3,('Gastos com Pessoal'!$H$513:$H$522)+1,1))*(IF('Gastos com Pessoal'!$M$513:$M$522&lt;=AZ$3,('Gastos com Pessoal'!$N$513:$N$522)+1,1))*(IF('Gastos com Pessoal'!$S$513:$S$522&lt;=AZ$3,('Gastos com Pessoal'!$T$513:$T$522)+1,1))*(IF('Gastos com Pessoal'!$Y$513:$Y$522&lt;=AZ$3,('Gastos com Pessoal'!$Z$513:$Z$522)+1,1))*(IF('Gastos com Pessoal'!$AE$513:$AE$522&lt;=AZ$3,('Gastos com Pessoal'!$AF$513:$AF$522)+1,1))),0)</f>
        <v>0</v>
      </c>
      <c r="BA30" s="188">
        <f t="array" aca="1" ref="BA30" ca="1">_xlfn.IFNA(SUM((BA$3&gt;='Gastos com Pessoal'!$E$513:$E$522)*(BA$3&lt;='Gastos com Pessoal'!$F$513:$F$522)*OFFSET('Encargos e Benefícios'!$D$511,1,MATCH($B30,'Encargos e Benefícios'!$E$511:$AB$511,0),10,1)*(IF('Gastos com Pessoal'!$G$513:$G$522&lt;=BA$3,('Gastos com Pessoal'!$H$513:$H$522)+1,1))*(IF('Gastos com Pessoal'!$M$513:$M$522&lt;=BA$3,('Gastos com Pessoal'!$N$513:$N$522)+1,1))*(IF('Gastos com Pessoal'!$S$513:$S$522&lt;=BA$3,('Gastos com Pessoal'!$T$513:$T$522)+1,1))*(IF('Gastos com Pessoal'!$Y$513:$Y$522&lt;=BA$3,('Gastos com Pessoal'!$Z$513:$Z$522)+1,1))*(IF('Gastos com Pessoal'!$AE$513:$AE$522&lt;=BA$3,('Gastos com Pessoal'!$AF$513:$AF$522)+1,1))),0)</f>
        <v>0</v>
      </c>
      <c r="BB30" s="188">
        <f t="array" aca="1" ref="BB30" ca="1">_xlfn.IFNA(SUM((BB$3&gt;='Gastos com Pessoal'!$E$513:$E$522)*(BB$3&lt;='Gastos com Pessoal'!$F$513:$F$522)*OFFSET('Encargos e Benefícios'!$D$511,1,MATCH($B30,'Encargos e Benefícios'!$E$511:$AB$511,0),10,1)*(IF('Gastos com Pessoal'!$G$513:$G$522&lt;=BB$3,('Gastos com Pessoal'!$H$513:$H$522)+1,1))*(IF('Gastos com Pessoal'!$M$513:$M$522&lt;=BB$3,('Gastos com Pessoal'!$N$513:$N$522)+1,1))*(IF('Gastos com Pessoal'!$S$513:$S$522&lt;=BB$3,('Gastos com Pessoal'!$T$513:$T$522)+1,1))*(IF('Gastos com Pessoal'!$Y$513:$Y$522&lt;=BB$3,('Gastos com Pessoal'!$Z$513:$Z$522)+1,1))*(IF('Gastos com Pessoal'!$AE$513:$AE$522&lt;=BB$3,('Gastos com Pessoal'!$AF$513:$AF$522)+1,1))),0)</f>
        <v>0</v>
      </c>
      <c r="BC30" s="188">
        <f t="array" aca="1" ref="BC30" ca="1">_xlfn.IFNA(SUM((BC$3&gt;='Gastos com Pessoal'!$E$513:$E$522)*(BC$3&lt;='Gastos com Pessoal'!$F$513:$F$522)*OFFSET('Encargos e Benefícios'!$D$511,1,MATCH($B30,'Encargos e Benefícios'!$E$511:$AB$511,0),10,1)*(IF('Gastos com Pessoal'!$G$513:$G$522&lt;=BC$3,('Gastos com Pessoal'!$H$513:$H$522)+1,1))*(IF('Gastos com Pessoal'!$M$513:$M$522&lt;=BC$3,('Gastos com Pessoal'!$N$513:$N$522)+1,1))*(IF('Gastos com Pessoal'!$S$513:$S$522&lt;=BC$3,('Gastos com Pessoal'!$T$513:$T$522)+1,1))*(IF('Gastos com Pessoal'!$Y$513:$Y$522&lt;=BC$3,('Gastos com Pessoal'!$Z$513:$Z$522)+1,1))*(IF('Gastos com Pessoal'!$AE$513:$AE$522&lt;=BC$3,('Gastos com Pessoal'!$AF$513:$AF$522)+1,1))),0)</f>
        <v>0</v>
      </c>
      <c r="BD30" s="188">
        <f t="array" aca="1" ref="BD30" ca="1">_xlfn.IFNA(SUM((BD$3&gt;='Gastos com Pessoal'!$E$513:$E$522)*(BD$3&lt;='Gastos com Pessoal'!$F$513:$F$522)*OFFSET('Encargos e Benefícios'!$D$511,1,MATCH($B30,'Encargos e Benefícios'!$E$511:$AB$511,0),10,1)*(IF('Gastos com Pessoal'!$G$513:$G$522&lt;=BD$3,('Gastos com Pessoal'!$H$513:$H$522)+1,1))*(IF('Gastos com Pessoal'!$M$513:$M$522&lt;=BD$3,('Gastos com Pessoal'!$N$513:$N$522)+1,1))*(IF('Gastos com Pessoal'!$S$513:$S$522&lt;=BD$3,('Gastos com Pessoal'!$T$513:$T$522)+1,1))*(IF('Gastos com Pessoal'!$Y$513:$Y$522&lt;=BD$3,('Gastos com Pessoal'!$Z$513:$Z$522)+1,1))*(IF('Gastos com Pessoal'!$AE$513:$AE$522&lt;=BD$3,('Gastos com Pessoal'!$AF$513:$AF$522)+1,1))),0)</f>
        <v>0</v>
      </c>
      <c r="BE30" s="188">
        <f t="array" aca="1" ref="BE30" ca="1">_xlfn.IFNA(SUM((BE$3&gt;='Gastos com Pessoal'!$E$513:$E$522)*(BE$3&lt;='Gastos com Pessoal'!$F$513:$F$522)*OFFSET('Encargos e Benefícios'!$D$511,1,MATCH($B30,'Encargos e Benefícios'!$E$511:$AB$511,0),10,1)*(IF('Gastos com Pessoal'!$G$513:$G$522&lt;=BE$3,('Gastos com Pessoal'!$H$513:$H$522)+1,1))*(IF('Gastos com Pessoal'!$M$513:$M$522&lt;=BE$3,('Gastos com Pessoal'!$N$513:$N$522)+1,1))*(IF('Gastos com Pessoal'!$S$513:$S$522&lt;=BE$3,('Gastos com Pessoal'!$T$513:$T$522)+1,1))*(IF('Gastos com Pessoal'!$Y$513:$Y$522&lt;=BE$3,('Gastos com Pessoal'!$Z$513:$Z$522)+1,1))*(IF('Gastos com Pessoal'!$AE$513:$AE$522&lt;=BE$3,('Gastos com Pessoal'!$AF$513:$AF$522)+1,1))),0)</f>
        <v>0</v>
      </c>
      <c r="BF30" s="188">
        <f t="array" aca="1" ref="BF30" ca="1">_xlfn.IFNA(SUM((BF$3&gt;='Gastos com Pessoal'!$E$513:$E$522)*(BF$3&lt;='Gastos com Pessoal'!$F$513:$F$522)*OFFSET('Encargos e Benefícios'!$D$511,1,MATCH($B30,'Encargos e Benefícios'!$E$511:$AB$511,0),10,1)*(IF('Gastos com Pessoal'!$G$513:$G$522&lt;=BF$3,('Gastos com Pessoal'!$H$513:$H$522)+1,1))*(IF('Gastos com Pessoal'!$M$513:$M$522&lt;=BF$3,('Gastos com Pessoal'!$N$513:$N$522)+1,1))*(IF('Gastos com Pessoal'!$S$513:$S$522&lt;=BF$3,('Gastos com Pessoal'!$T$513:$T$522)+1,1))*(IF('Gastos com Pessoal'!$Y$513:$Y$522&lt;=BF$3,('Gastos com Pessoal'!$Z$513:$Z$522)+1,1))*(IF('Gastos com Pessoal'!$AE$513:$AE$522&lt;=BF$3,('Gastos com Pessoal'!$AF$513:$AF$522)+1,1))),0)</f>
        <v>0</v>
      </c>
      <c r="BG30" s="188">
        <f t="array" aca="1" ref="BG30" ca="1">_xlfn.IFNA(SUM((BG$3&gt;='Gastos com Pessoal'!$E$513:$E$522)*(BG$3&lt;='Gastos com Pessoal'!$F$513:$F$522)*OFFSET('Encargos e Benefícios'!$D$511,1,MATCH($B30,'Encargos e Benefícios'!$E$511:$AB$511,0),10,1)*(IF('Gastos com Pessoal'!$G$513:$G$522&lt;=BG$3,('Gastos com Pessoal'!$H$513:$H$522)+1,1))*(IF('Gastos com Pessoal'!$M$513:$M$522&lt;=BG$3,('Gastos com Pessoal'!$N$513:$N$522)+1,1))*(IF('Gastos com Pessoal'!$S$513:$S$522&lt;=BG$3,('Gastos com Pessoal'!$T$513:$T$522)+1,1))*(IF('Gastos com Pessoal'!$Y$513:$Y$522&lt;=BG$3,('Gastos com Pessoal'!$Z$513:$Z$522)+1,1))*(IF('Gastos com Pessoal'!$AE$513:$AE$522&lt;=BG$3,('Gastos com Pessoal'!$AF$513:$AF$522)+1,1))),0)</f>
        <v>0</v>
      </c>
      <c r="BH30" s="188">
        <f t="array" aca="1" ref="BH30" ca="1">_xlfn.IFNA(SUM((BH$3&gt;='Gastos com Pessoal'!$E$513:$E$522)*(BH$3&lt;='Gastos com Pessoal'!$F$513:$F$522)*OFFSET('Encargos e Benefícios'!$D$511,1,MATCH($B30,'Encargos e Benefícios'!$E$511:$AB$511,0),10,1)*(IF('Gastos com Pessoal'!$G$513:$G$522&lt;=BH$3,('Gastos com Pessoal'!$H$513:$H$522)+1,1))*(IF('Gastos com Pessoal'!$M$513:$M$522&lt;=BH$3,('Gastos com Pessoal'!$N$513:$N$522)+1,1))*(IF('Gastos com Pessoal'!$S$513:$S$522&lt;=BH$3,('Gastos com Pessoal'!$T$513:$T$522)+1,1))*(IF('Gastos com Pessoal'!$Y$513:$Y$522&lt;=BH$3,('Gastos com Pessoal'!$Z$513:$Z$522)+1,1))*(IF('Gastos com Pessoal'!$AE$513:$AE$522&lt;=BH$3,('Gastos com Pessoal'!$AF$513:$AF$522)+1,1))),0)</f>
        <v>0</v>
      </c>
      <c r="BI30" s="188">
        <f t="array" aca="1" ref="BI30" ca="1">_xlfn.IFNA(SUM((BI$3&gt;='Gastos com Pessoal'!$E$513:$E$522)*(BI$3&lt;='Gastos com Pessoal'!$F$513:$F$522)*OFFSET('Encargos e Benefícios'!$D$511,1,MATCH($B30,'Encargos e Benefícios'!$E$511:$AB$511,0),10,1)*(IF('Gastos com Pessoal'!$G$513:$G$522&lt;=BI$3,('Gastos com Pessoal'!$H$513:$H$522)+1,1))*(IF('Gastos com Pessoal'!$M$513:$M$522&lt;=BI$3,('Gastos com Pessoal'!$N$513:$N$522)+1,1))*(IF('Gastos com Pessoal'!$S$513:$S$522&lt;=BI$3,('Gastos com Pessoal'!$T$513:$T$522)+1,1))*(IF('Gastos com Pessoal'!$Y$513:$Y$522&lt;=BI$3,('Gastos com Pessoal'!$Z$513:$Z$522)+1,1))*(IF('Gastos com Pessoal'!$AE$513:$AE$522&lt;=BI$3,('Gastos com Pessoal'!$AF$513:$AF$522)+1,1))),0)</f>
        <v>0</v>
      </c>
      <c r="BJ30" s="188">
        <f t="array" aca="1" ref="BJ30" ca="1">_xlfn.IFNA(SUM((BJ$3&gt;='Gastos com Pessoal'!$E$513:$E$522)*(BJ$3&lt;='Gastos com Pessoal'!$F$513:$F$522)*OFFSET('Encargos e Benefícios'!$D$511,1,MATCH($B30,'Encargos e Benefícios'!$E$511:$AB$511,0),10,1)*(IF('Gastos com Pessoal'!$G$513:$G$522&lt;=BJ$3,('Gastos com Pessoal'!$H$513:$H$522)+1,1))*(IF('Gastos com Pessoal'!$M$513:$M$522&lt;=BJ$3,('Gastos com Pessoal'!$N$513:$N$522)+1,1))*(IF('Gastos com Pessoal'!$S$513:$S$522&lt;=BJ$3,('Gastos com Pessoal'!$T$513:$T$522)+1,1))*(IF('Gastos com Pessoal'!$Y$513:$Y$522&lt;=BJ$3,('Gastos com Pessoal'!$Z$513:$Z$522)+1,1))*(IF('Gastos com Pessoal'!$AE$513:$AE$522&lt;=BJ$3,('Gastos com Pessoal'!$AF$513:$AF$522)+1,1))),0)</f>
        <v>0</v>
      </c>
      <c r="BK30" s="189">
        <f ca="1">SUM(C30:BJ30)</f>
        <v>142000</v>
      </c>
      <c r="BL30" s="136">
        <f ca="1">IF($BK$152=0,0,BK30/$BK$152)</f>
        <v>4.2441028380335908E-4</v>
      </c>
      <c r="BN30" s="188">
        <f t="array" aca="1" ref="BN30" ca="1">_xlfn.IFNA(SUM((BN$3&gt;='Gastos com Pessoal'!$E$513:$E$522)*(BN$3&lt;='Gastos com Pessoal'!$F$513:$F$522)*OFFSET('Encargos e Benefícios'!$D$511,1,MATCH($B30,'Encargos e Benefícios'!$E$511:$AB$511,0),10,1)*(IF('Gastos com Pessoal'!$G$513:$G$522&lt;=BN$3,('Gastos com Pessoal'!$H$513:$H$522)+1,1))*(IF('Gastos com Pessoal'!$M$513:$M$522&lt;=BN$3,('Gastos com Pessoal'!$N$513:$N$522)+1,1))*(IF('Gastos com Pessoal'!$S$513:$S$522&lt;=BN$3,('Gastos com Pessoal'!$T$513:$T$522)+1,1))*(IF('Gastos com Pessoal'!$Y$513:$Y$522&lt;=BN$3,('Gastos com Pessoal'!$Z$513:$Z$522)+1,1))*(IF('Gastos com Pessoal'!$AE$513:$AE$522&lt;=BN$3,('Gastos com Pessoal'!$AF$513:$AF$522)+1,1))),0)</f>
        <v>0</v>
      </c>
    </row>
    <row r="31" spans="1:66" s="160" customFormat="1" ht="23.25" customHeight="1">
      <c r="A31" s="198" t="s">
        <v>150</v>
      </c>
      <c r="B31" s="81" t="s">
        <v>151</v>
      </c>
      <c r="C31" s="188">
        <f t="shared" ca="1" si="17"/>
        <v>0</v>
      </c>
      <c r="D31" s="188">
        <f t="array" aca="1" ref="D31" ca="1">_xlfn.IFNA(SUM((D$3&gt;='Gastos com Pessoal'!$E$7:$E$506)*(D$3&lt;='Gastos com Pessoal'!$F$7:$F$506)*OFFSET('Encargos e Benefícios'!$D$5,1,MATCH($B31,'Encargos e Benefícios'!$E$5:$AB$5,0),500,1)),0)+_xlfn.IFNA(SUM((D$3&gt;='Gastos com Pessoal'!$E$513:$E$522)*(D$3&lt;='Gastos com Pessoal'!$F$513:$F$522)*OFFSET('Encargos e Benefícios'!$D$511,1,MATCH($B31,'Encargos e Benefícios'!$E$511:$AB$511,0),10,1)),0)+_xlfn.IFNA(SUM((D$3&gt;='Gastos com Pessoal'!$E$7:$E$506)*(D$3&lt;='Gastos com Pessoal'!$F$7:$F$506)*(IF('Gastos com Pessoal'!$G$7:$G$506&lt;=D$3,1,0))*OFFSET('Gastos com Pessoal'!$H$6,1,MATCH(1&amp;$B31,'Gastos com Pessoal'!$I$532:$AJ$532&amp;'Gastos com Pessoal'!$I$6:$AJ$6,0),500,1)),0)+_xlfn.IFNA(SUM((D$3&gt;='Gastos com Pessoal'!$E$7:$E$506)*(D$3&lt;='Gastos com Pessoal'!$F$7:$F$506)*(IF('Gastos com Pessoal'!$M$7:$M$506&lt;=D$3,1,0))*OFFSET('Gastos com Pessoal'!$H$6,1,MATCH(2&amp;$B31,'Gastos com Pessoal'!$I$532:$AJ$532&amp;'Gastos com Pessoal'!$I$6:$AJ$6,0),500,1)),0)+_xlfn.IFNA(SUM((D$3&gt;='Gastos com Pessoal'!$E$7:$E$506)*(D$3&lt;='Gastos com Pessoal'!$F$7:$F$506)*(IF('Gastos com Pessoal'!$S$7:$S$506&lt;=D$3,1,0))*OFFSET('Gastos com Pessoal'!$H$6,1,MATCH(3&amp;$B31,'Gastos com Pessoal'!$I$532:$AJ$532&amp;'Gastos com Pessoal'!$I$6:$AJ$6,0),500,1)),0)+_xlfn.IFNA(SUM((D$3&gt;='Gastos com Pessoal'!$E$7:$E$506)*(D$3&lt;='Gastos com Pessoal'!$F$7:$F$506)*(IF('Gastos com Pessoal'!$Y$7:$Y$506&lt;=D$3,1,0))*OFFSET('Gastos com Pessoal'!$H$6,1,MATCH(4&amp;$B31,'Gastos com Pessoal'!$I$532:$AJ$532&amp;'Gastos com Pessoal'!$I$6:$AJ$6,0),500,1)),0)+_xlfn.IFNA(SUM((D$3&gt;='Gastos com Pessoal'!$E$7:$E$506)*(D$3&lt;='Gastos com Pessoal'!$F$7:$F$506)*(IF('Gastos com Pessoal'!$AE$7:$AE$506&lt;=D$3,1,0))*OFFSET('Gastos com Pessoal'!$H$6,1,MATCH(5&amp;$B31,'Gastos com Pessoal'!$I$532:$AJ$532&amp;'Gastos com Pessoal'!$I$6:$AJ$6,0),500,1)),0)+_xlfn.IFNA(SUM((D$3&gt;='Gastos com Pessoal'!$E$513:$E$522)*(D$3&lt;='Gastos com Pessoal'!$F$513:$F$522)*(IF('Gastos com Pessoal'!$G$513:$G$522&lt;=D$3,1,0))*OFFSET('Gastos com Pessoal'!$H$512,1,MATCH(1&amp;$B31,'Gastos com Pessoal'!$I$532:$AJ$532&amp;'Gastos com Pessoal'!$I$512:$AJ$512,0),10,1)),0)+_xlfn.IFNA(SUM((D$3&gt;='Gastos com Pessoal'!$E$513:$E$522)*(D$3&lt;='Gastos com Pessoal'!$F$513:$F$522)*(IF('Gastos com Pessoal'!$M$513:$M$522&lt;=D$3,1,0))*OFFSET('Gastos com Pessoal'!$H$512,1,MATCH(2&amp;$B31,'Gastos com Pessoal'!$I$532:$AJ$532&amp;'Gastos com Pessoal'!$I$512:$AJ$512,0),10,1)),0)+_xlfn.IFNA(SUM((D$3&gt;='Gastos com Pessoal'!$E$513:$E$522)*(D$3&lt;='Gastos com Pessoal'!$F$513:$F$522)*(IF('Gastos com Pessoal'!$S$513:$S$522&lt;=D$3,1,0))*OFFSET('Gastos com Pessoal'!$H$512,1,MATCH(3&amp;$B31,'Gastos com Pessoal'!$I$532:$AJ$532&amp;'Gastos com Pessoal'!$I$512:$AJ$512,0),10,1)),0)+_xlfn.IFNA(SUM((D$3&gt;='Gastos com Pessoal'!$E$513:$E$522)*(D$3&lt;='Gastos com Pessoal'!$F$513:$F$522)*(IF('Gastos com Pessoal'!$Y$513:$Y$522&lt;=D$3,1,0))*OFFSET('Gastos com Pessoal'!$H$512,1,MATCH(4&amp;$B31,'Gastos com Pessoal'!$I$532:$AJ$532&amp;'Gastos com Pessoal'!$I$512:$AJ$512,0),10,1)),0)+_xlfn.IFNA(SUM((D$3&gt;='Gastos com Pessoal'!$E$513:$E$522)*(D$3&lt;='Gastos com Pessoal'!$F$513:$F$522)*(IF('Gastos com Pessoal'!$AE$513:$AE$522&lt;=D$3,1,0))*OFFSET('Gastos com Pessoal'!$H$512,1,MATCH(5&amp;$B31,'Gastos com Pessoal'!$I$532:$AJ$532&amp;'Gastos com Pessoal'!$I$512:$AJ$512,0),10,1)),0)</f>
        <v>200</v>
      </c>
      <c r="E31" s="188">
        <f t="array" aca="1" ref="E31" ca="1">_xlfn.IFNA(SUM((E$3&gt;='Gastos com Pessoal'!$E$7:$E$506)*(E$3&lt;='Gastos com Pessoal'!$F$7:$F$506)*OFFSET('Encargos e Benefícios'!$D$5,1,MATCH($B31,'Encargos e Benefícios'!$E$5:$AB$5,0),500,1)),0)+_xlfn.IFNA(SUM((E$3&gt;='Gastos com Pessoal'!$E$513:$E$522)*(E$3&lt;='Gastos com Pessoal'!$F$513:$F$522)*OFFSET('Encargos e Benefícios'!$D$511,1,MATCH($B31,'Encargos e Benefícios'!$E$511:$AB$511,0),10,1)),0)+_xlfn.IFNA(SUM((E$3&gt;='Gastos com Pessoal'!$E$7:$E$506)*(E$3&lt;='Gastos com Pessoal'!$F$7:$F$506)*(IF('Gastos com Pessoal'!$G$7:$G$506&lt;=E$3,1,0))*OFFSET('Gastos com Pessoal'!$H$6,1,MATCH(1&amp;$B31,'Gastos com Pessoal'!$I$532:$AJ$532&amp;'Gastos com Pessoal'!$I$6:$AJ$6,0),500,1)),0)+_xlfn.IFNA(SUM((E$3&gt;='Gastos com Pessoal'!$E$7:$E$506)*(E$3&lt;='Gastos com Pessoal'!$F$7:$F$506)*(IF('Gastos com Pessoal'!$M$7:$M$506&lt;=E$3,1,0))*OFFSET('Gastos com Pessoal'!$H$6,1,MATCH(2&amp;$B31,'Gastos com Pessoal'!$I$532:$AJ$532&amp;'Gastos com Pessoal'!$I$6:$AJ$6,0),500,1)),0)+_xlfn.IFNA(SUM((E$3&gt;='Gastos com Pessoal'!$E$7:$E$506)*(E$3&lt;='Gastos com Pessoal'!$F$7:$F$506)*(IF('Gastos com Pessoal'!$S$7:$S$506&lt;=E$3,1,0))*OFFSET('Gastos com Pessoal'!$H$6,1,MATCH(3&amp;$B31,'Gastos com Pessoal'!$I$532:$AJ$532&amp;'Gastos com Pessoal'!$I$6:$AJ$6,0),500,1)),0)+_xlfn.IFNA(SUM((E$3&gt;='Gastos com Pessoal'!$E$7:$E$506)*(E$3&lt;='Gastos com Pessoal'!$F$7:$F$506)*(IF('Gastos com Pessoal'!$Y$7:$Y$506&lt;=E$3,1,0))*OFFSET('Gastos com Pessoal'!$H$6,1,MATCH(4&amp;$B31,'Gastos com Pessoal'!$I$532:$AJ$532&amp;'Gastos com Pessoal'!$I$6:$AJ$6,0),500,1)),0)+_xlfn.IFNA(SUM((E$3&gt;='Gastos com Pessoal'!$E$7:$E$506)*(E$3&lt;='Gastos com Pessoal'!$F$7:$F$506)*(IF('Gastos com Pessoal'!$AE$7:$AE$506&lt;=E$3,1,0))*OFFSET('Gastos com Pessoal'!$H$6,1,MATCH(5&amp;$B31,'Gastos com Pessoal'!$I$532:$AJ$532&amp;'Gastos com Pessoal'!$I$6:$AJ$6,0),500,1)),0)+_xlfn.IFNA(SUM((E$3&gt;='Gastos com Pessoal'!$E$513:$E$522)*(E$3&lt;='Gastos com Pessoal'!$F$513:$F$522)*(IF('Gastos com Pessoal'!$G$513:$G$522&lt;=E$3,1,0))*OFFSET('Gastos com Pessoal'!$H$512,1,MATCH(1&amp;$B31,'Gastos com Pessoal'!$I$532:$AJ$532&amp;'Gastos com Pessoal'!$I$512:$AJ$512,0),10,1)),0)+_xlfn.IFNA(SUM((E$3&gt;='Gastos com Pessoal'!$E$513:$E$522)*(E$3&lt;='Gastos com Pessoal'!$F$513:$F$522)*(IF('Gastos com Pessoal'!$M$513:$M$522&lt;=E$3,1,0))*OFFSET('Gastos com Pessoal'!$H$512,1,MATCH(2&amp;$B31,'Gastos com Pessoal'!$I$532:$AJ$532&amp;'Gastos com Pessoal'!$I$512:$AJ$512,0),10,1)),0)+_xlfn.IFNA(SUM((E$3&gt;='Gastos com Pessoal'!$E$513:$E$522)*(E$3&lt;='Gastos com Pessoal'!$F$513:$F$522)*(IF('Gastos com Pessoal'!$S$513:$S$522&lt;=E$3,1,0))*OFFSET('Gastos com Pessoal'!$H$512,1,MATCH(3&amp;$B31,'Gastos com Pessoal'!$I$532:$AJ$532&amp;'Gastos com Pessoal'!$I$512:$AJ$512,0),10,1)),0)+_xlfn.IFNA(SUM((E$3&gt;='Gastos com Pessoal'!$E$513:$E$522)*(E$3&lt;='Gastos com Pessoal'!$F$513:$F$522)*(IF('Gastos com Pessoal'!$Y$513:$Y$522&lt;=E$3,1,0))*OFFSET('Gastos com Pessoal'!$H$512,1,MATCH(4&amp;$B31,'Gastos com Pessoal'!$I$532:$AJ$532&amp;'Gastos com Pessoal'!$I$512:$AJ$512,0),10,1)),0)+_xlfn.IFNA(SUM((E$3&gt;='Gastos com Pessoal'!$E$513:$E$522)*(E$3&lt;='Gastos com Pessoal'!$F$513:$F$522)*(IF('Gastos com Pessoal'!$AE$513:$AE$522&lt;=E$3,1,0))*OFFSET('Gastos com Pessoal'!$H$512,1,MATCH(5&amp;$B31,'Gastos com Pessoal'!$I$532:$AJ$532&amp;'Gastos com Pessoal'!$I$512:$AJ$512,0),10,1)),0)</f>
        <v>400</v>
      </c>
      <c r="F31" s="188">
        <f t="array" aca="1" ref="F31" ca="1">_xlfn.IFNA(SUM((F$3&gt;='Gastos com Pessoal'!$E$7:$E$506)*(F$3&lt;='Gastos com Pessoal'!$F$7:$F$506)*OFFSET('Encargos e Benefícios'!$D$5,1,MATCH($B31,'Encargos e Benefícios'!$E$5:$AB$5,0),500,1)),0)+_xlfn.IFNA(SUM((F$3&gt;='Gastos com Pessoal'!$E$513:$E$522)*(F$3&lt;='Gastos com Pessoal'!$F$513:$F$522)*OFFSET('Encargos e Benefícios'!$D$511,1,MATCH($B31,'Encargos e Benefícios'!$E$511:$AB$511,0),10,1)),0)+_xlfn.IFNA(SUM((F$3&gt;='Gastos com Pessoal'!$E$7:$E$506)*(F$3&lt;='Gastos com Pessoal'!$F$7:$F$506)*(IF('Gastos com Pessoal'!$G$7:$G$506&lt;=F$3,1,0))*OFFSET('Gastos com Pessoal'!$H$6,1,MATCH(1&amp;$B31,'Gastos com Pessoal'!$I$532:$AJ$532&amp;'Gastos com Pessoal'!$I$6:$AJ$6,0),500,1)),0)+_xlfn.IFNA(SUM((F$3&gt;='Gastos com Pessoal'!$E$7:$E$506)*(F$3&lt;='Gastos com Pessoal'!$F$7:$F$506)*(IF('Gastos com Pessoal'!$M$7:$M$506&lt;=F$3,1,0))*OFFSET('Gastos com Pessoal'!$H$6,1,MATCH(2&amp;$B31,'Gastos com Pessoal'!$I$532:$AJ$532&amp;'Gastos com Pessoal'!$I$6:$AJ$6,0),500,1)),0)+_xlfn.IFNA(SUM((F$3&gt;='Gastos com Pessoal'!$E$7:$E$506)*(F$3&lt;='Gastos com Pessoal'!$F$7:$F$506)*(IF('Gastos com Pessoal'!$S$7:$S$506&lt;=F$3,1,0))*OFFSET('Gastos com Pessoal'!$H$6,1,MATCH(3&amp;$B31,'Gastos com Pessoal'!$I$532:$AJ$532&amp;'Gastos com Pessoal'!$I$6:$AJ$6,0),500,1)),0)+_xlfn.IFNA(SUM((F$3&gt;='Gastos com Pessoal'!$E$7:$E$506)*(F$3&lt;='Gastos com Pessoal'!$F$7:$F$506)*(IF('Gastos com Pessoal'!$Y$7:$Y$506&lt;=F$3,1,0))*OFFSET('Gastos com Pessoal'!$H$6,1,MATCH(4&amp;$B31,'Gastos com Pessoal'!$I$532:$AJ$532&amp;'Gastos com Pessoal'!$I$6:$AJ$6,0),500,1)),0)+_xlfn.IFNA(SUM((F$3&gt;='Gastos com Pessoal'!$E$7:$E$506)*(F$3&lt;='Gastos com Pessoal'!$F$7:$F$506)*(IF('Gastos com Pessoal'!$AE$7:$AE$506&lt;=F$3,1,0))*OFFSET('Gastos com Pessoal'!$H$6,1,MATCH(5&amp;$B31,'Gastos com Pessoal'!$I$532:$AJ$532&amp;'Gastos com Pessoal'!$I$6:$AJ$6,0),500,1)),0)+_xlfn.IFNA(SUM((F$3&gt;='Gastos com Pessoal'!$E$513:$E$522)*(F$3&lt;='Gastos com Pessoal'!$F$513:$F$522)*(IF('Gastos com Pessoal'!$G$513:$G$522&lt;=F$3,1,0))*OFFSET('Gastos com Pessoal'!$H$512,1,MATCH(1&amp;$B31,'Gastos com Pessoal'!$I$532:$AJ$532&amp;'Gastos com Pessoal'!$I$512:$AJ$512,0),10,1)),0)+_xlfn.IFNA(SUM((F$3&gt;='Gastos com Pessoal'!$E$513:$E$522)*(F$3&lt;='Gastos com Pessoal'!$F$513:$F$522)*(IF('Gastos com Pessoal'!$M$513:$M$522&lt;=F$3,1,0))*OFFSET('Gastos com Pessoal'!$H$512,1,MATCH(2&amp;$B31,'Gastos com Pessoal'!$I$532:$AJ$532&amp;'Gastos com Pessoal'!$I$512:$AJ$512,0),10,1)),0)+_xlfn.IFNA(SUM((F$3&gt;='Gastos com Pessoal'!$E$513:$E$522)*(F$3&lt;='Gastos com Pessoal'!$F$513:$F$522)*(IF('Gastos com Pessoal'!$S$513:$S$522&lt;=F$3,1,0))*OFFSET('Gastos com Pessoal'!$H$512,1,MATCH(3&amp;$B31,'Gastos com Pessoal'!$I$532:$AJ$532&amp;'Gastos com Pessoal'!$I$512:$AJ$512,0),10,1)),0)+_xlfn.IFNA(SUM((F$3&gt;='Gastos com Pessoal'!$E$513:$E$522)*(F$3&lt;='Gastos com Pessoal'!$F$513:$F$522)*(IF('Gastos com Pessoal'!$Y$513:$Y$522&lt;=F$3,1,0))*OFFSET('Gastos com Pessoal'!$H$512,1,MATCH(4&amp;$B31,'Gastos com Pessoal'!$I$532:$AJ$532&amp;'Gastos com Pessoal'!$I$512:$AJ$512,0),10,1)),0)+_xlfn.IFNA(SUM((F$3&gt;='Gastos com Pessoal'!$E$513:$E$522)*(F$3&lt;='Gastos com Pessoal'!$F$513:$F$522)*(IF('Gastos com Pessoal'!$AE$513:$AE$522&lt;=F$3,1,0))*OFFSET('Gastos com Pessoal'!$H$512,1,MATCH(5&amp;$B31,'Gastos com Pessoal'!$I$532:$AJ$532&amp;'Gastos com Pessoal'!$I$512:$AJ$512,0),10,1)),0)</f>
        <v>400</v>
      </c>
      <c r="G31" s="188">
        <f t="array" aca="1" ref="G31" ca="1">_xlfn.IFNA(SUM((G$3&gt;='Gastos com Pessoal'!$E$7:$E$506)*(G$3&lt;='Gastos com Pessoal'!$F$7:$F$506)*OFFSET('Encargos e Benefícios'!$D$5,1,MATCH($B31,'Encargos e Benefícios'!$E$5:$AB$5,0),500,1)),0)+_xlfn.IFNA(SUM((G$3&gt;='Gastos com Pessoal'!$E$513:$E$522)*(G$3&lt;='Gastos com Pessoal'!$F$513:$F$522)*OFFSET('Encargos e Benefícios'!$D$511,1,MATCH($B31,'Encargos e Benefícios'!$E$511:$AB$511,0),10,1)),0)+_xlfn.IFNA(SUM((G$3&gt;='Gastos com Pessoal'!$E$7:$E$506)*(G$3&lt;='Gastos com Pessoal'!$F$7:$F$506)*(IF('Gastos com Pessoal'!$G$7:$G$506&lt;=G$3,1,0))*OFFSET('Gastos com Pessoal'!$H$6,1,MATCH(1&amp;$B31,'Gastos com Pessoal'!$I$532:$AJ$532&amp;'Gastos com Pessoal'!$I$6:$AJ$6,0),500,1)),0)+_xlfn.IFNA(SUM((G$3&gt;='Gastos com Pessoal'!$E$7:$E$506)*(G$3&lt;='Gastos com Pessoal'!$F$7:$F$506)*(IF('Gastos com Pessoal'!$M$7:$M$506&lt;=G$3,1,0))*OFFSET('Gastos com Pessoal'!$H$6,1,MATCH(2&amp;$B31,'Gastos com Pessoal'!$I$532:$AJ$532&amp;'Gastos com Pessoal'!$I$6:$AJ$6,0),500,1)),0)+_xlfn.IFNA(SUM((G$3&gt;='Gastos com Pessoal'!$E$7:$E$506)*(G$3&lt;='Gastos com Pessoal'!$F$7:$F$506)*(IF('Gastos com Pessoal'!$S$7:$S$506&lt;=G$3,1,0))*OFFSET('Gastos com Pessoal'!$H$6,1,MATCH(3&amp;$B31,'Gastos com Pessoal'!$I$532:$AJ$532&amp;'Gastos com Pessoal'!$I$6:$AJ$6,0),500,1)),0)+_xlfn.IFNA(SUM((G$3&gt;='Gastos com Pessoal'!$E$7:$E$506)*(G$3&lt;='Gastos com Pessoal'!$F$7:$F$506)*(IF('Gastos com Pessoal'!$Y$7:$Y$506&lt;=G$3,1,0))*OFFSET('Gastos com Pessoal'!$H$6,1,MATCH(4&amp;$B31,'Gastos com Pessoal'!$I$532:$AJ$532&amp;'Gastos com Pessoal'!$I$6:$AJ$6,0),500,1)),0)+_xlfn.IFNA(SUM((G$3&gt;='Gastos com Pessoal'!$E$7:$E$506)*(G$3&lt;='Gastos com Pessoal'!$F$7:$F$506)*(IF('Gastos com Pessoal'!$AE$7:$AE$506&lt;=G$3,1,0))*OFFSET('Gastos com Pessoal'!$H$6,1,MATCH(5&amp;$B31,'Gastos com Pessoal'!$I$532:$AJ$532&amp;'Gastos com Pessoal'!$I$6:$AJ$6,0),500,1)),0)+_xlfn.IFNA(SUM((G$3&gt;='Gastos com Pessoal'!$E$513:$E$522)*(G$3&lt;='Gastos com Pessoal'!$F$513:$F$522)*(IF('Gastos com Pessoal'!$G$513:$G$522&lt;=G$3,1,0))*OFFSET('Gastos com Pessoal'!$H$512,1,MATCH(1&amp;$B31,'Gastos com Pessoal'!$I$532:$AJ$532&amp;'Gastos com Pessoal'!$I$512:$AJ$512,0),10,1)),0)+_xlfn.IFNA(SUM((G$3&gt;='Gastos com Pessoal'!$E$513:$E$522)*(G$3&lt;='Gastos com Pessoal'!$F$513:$F$522)*(IF('Gastos com Pessoal'!$M$513:$M$522&lt;=G$3,1,0))*OFFSET('Gastos com Pessoal'!$H$512,1,MATCH(2&amp;$B31,'Gastos com Pessoal'!$I$532:$AJ$532&amp;'Gastos com Pessoal'!$I$512:$AJ$512,0),10,1)),0)+_xlfn.IFNA(SUM((G$3&gt;='Gastos com Pessoal'!$E$513:$E$522)*(G$3&lt;='Gastos com Pessoal'!$F$513:$F$522)*(IF('Gastos com Pessoal'!$S$513:$S$522&lt;=G$3,1,0))*OFFSET('Gastos com Pessoal'!$H$512,1,MATCH(3&amp;$B31,'Gastos com Pessoal'!$I$532:$AJ$532&amp;'Gastos com Pessoal'!$I$512:$AJ$512,0),10,1)),0)+_xlfn.IFNA(SUM((G$3&gt;='Gastos com Pessoal'!$E$513:$E$522)*(G$3&lt;='Gastos com Pessoal'!$F$513:$F$522)*(IF('Gastos com Pessoal'!$Y$513:$Y$522&lt;=G$3,1,0))*OFFSET('Gastos com Pessoal'!$H$512,1,MATCH(4&amp;$B31,'Gastos com Pessoal'!$I$532:$AJ$532&amp;'Gastos com Pessoal'!$I$512:$AJ$512,0),10,1)),0)+_xlfn.IFNA(SUM((G$3&gt;='Gastos com Pessoal'!$E$513:$E$522)*(G$3&lt;='Gastos com Pessoal'!$F$513:$F$522)*(IF('Gastos com Pessoal'!$AE$513:$AE$522&lt;=G$3,1,0))*OFFSET('Gastos com Pessoal'!$H$512,1,MATCH(5&amp;$B31,'Gastos com Pessoal'!$I$532:$AJ$532&amp;'Gastos com Pessoal'!$I$512:$AJ$512,0),10,1)),0)</f>
        <v>400</v>
      </c>
      <c r="H31" s="188">
        <f t="array" aca="1" ref="H31" ca="1">_xlfn.IFNA(SUM((H$3&gt;='Gastos com Pessoal'!$E$7:$E$506)*(H$3&lt;='Gastos com Pessoal'!$F$7:$F$506)*OFFSET('Encargos e Benefícios'!$D$5,1,MATCH($B31,'Encargos e Benefícios'!$E$5:$AB$5,0),500,1)),0)+_xlfn.IFNA(SUM((H$3&gt;='Gastos com Pessoal'!$E$513:$E$522)*(H$3&lt;='Gastos com Pessoal'!$F$513:$F$522)*OFFSET('Encargos e Benefícios'!$D$511,1,MATCH($B31,'Encargos e Benefícios'!$E$511:$AB$511,0),10,1)),0)+_xlfn.IFNA(SUM((H$3&gt;='Gastos com Pessoal'!$E$7:$E$506)*(H$3&lt;='Gastos com Pessoal'!$F$7:$F$506)*(IF('Gastos com Pessoal'!$G$7:$G$506&lt;=H$3,1,0))*OFFSET('Gastos com Pessoal'!$H$6,1,MATCH(1&amp;$B31,'Gastos com Pessoal'!$I$532:$AJ$532&amp;'Gastos com Pessoal'!$I$6:$AJ$6,0),500,1)),0)+_xlfn.IFNA(SUM((H$3&gt;='Gastos com Pessoal'!$E$7:$E$506)*(H$3&lt;='Gastos com Pessoal'!$F$7:$F$506)*(IF('Gastos com Pessoal'!$M$7:$M$506&lt;=H$3,1,0))*OFFSET('Gastos com Pessoal'!$H$6,1,MATCH(2&amp;$B31,'Gastos com Pessoal'!$I$532:$AJ$532&amp;'Gastos com Pessoal'!$I$6:$AJ$6,0),500,1)),0)+_xlfn.IFNA(SUM((H$3&gt;='Gastos com Pessoal'!$E$7:$E$506)*(H$3&lt;='Gastos com Pessoal'!$F$7:$F$506)*(IF('Gastos com Pessoal'!$S$7:$S$506&lt;=H$3,1,0))*OFFSET('Gastos com Pessoal'!$H$6,1,MATCH(3&amp;$B31,'Gastos com Pessoal'!$I$532:$AJ$532&amp;'Gastos com Pessoal'!$I$6:$AJ$6,0),500,1)),0)+_xlfn.IFNA(SUM((H$3&gt;='Gastos com Pessoal'!$E$7:$E$506)*(H$3&lt;='Gastos com Pessoal'!$F$7:$F$506)*(IF('Gastos com Pessoal'!$Y$7:$Y$506&lt;=H$3,1,0))*OFFSET('Gastos com Pessoal'!$H$6,1,MATCH(4&amp;$B31,'Gastos com Pessoal'!$I$532:$AJ$532&amp;'Gastos com Pessoal'!$I$6:$AJ$6,0),500,1)),0)+_xlfn.IFNA(SUM((H$3&gt;='Gastos com Pessoal'!$E$7:$E$506)*(H$3&lt;='Gastos com Pessoal'!$F$7:$F$506)*(IF('Gastos com Pessoal'!$AE$7:$AE$506&lt;=H$3,1,0))*OFFSET('Gastos com Pessoal'!$H$6,1,MATCH(5&amp;$B31,'Gastos com Pessoal'!$I$532:$AJ$532&amp;'Gastos com Pessoal'!$I$6:$AJ$6,0),500,1)),0)+_xlfn.IFNA(SUM((H$3&gt;='Gastos com Pessoal'!$E$513:$E$522)*(H$3&lt;='Gastos com Pessoal'!$F$513:$F$522)*(IF('Gastos com Pessoal'!$G$513:$G$522&lt;=H$3,1,0))*OFFSET('Gastos com Pessoal'!$H$512,1,MATCH(1&amp;$B31,'Gastos com Pessoal'!$I$532:$AJ$532&amp;'Gastos com Pessoal'!$I$512:$AJ$512,0),10,1)),0)+_xlfn.IFNA(SUM((H$3&gt;='Gastos com Pessoal'!$E$513:$E$522)*(H$3&lt;='Gastos com Pessoal'!$F$513:$F$522)*(IF('Gastos com Pessoal'!$M$513:$M$522&lt;=H$3,1,0))*OFFSET('Gastos com Pessoal'!$H$512,1,MATCH(2&amp;$B31,'Gastos com Pessoal'!$I$532:$AJ$532&amp;'Gastos com Pessoal'!$I$512:$AJ$512,0),10,1)),0)+_xlfn.IFNA(SUM((H$3&gt;='Gastos com Pessoal'!$E$513:$E$522)*(H$3&lt;='Gastos com Pessoal'!$F$513:$F$522)*(IF('Gastos com Pessoal'!$S$513:$S$522&lt;=H$3,1,0))*OFFSET('Gastos com Pessoal'!$H$512,1,MATCH(3&amp;$B31,'Gastos com Pessoal'!$I$532:$AJ$532&amp;'Gastos com Pessoal'!$I$512:$AJ$512,0),10,1)),0)+_xlfn.IFNA(SUM((H$3&gt;='Gastos com Pessoal'!$E$513:$E$522)*(H$3&lt;='Gastos com Pessoal'!$F$513:$F$522)*(IF('Gastos com Pessoal'!$Y$513:$Y$522&lt;=H$3,1,0))*OFFSET('Gastos com Pessoal'!$H$512,1,MATCH(4&amp;$B31,'Gastos com Pessoal'!$I$532:$AJ$532&amp;'Gastos com Pessoal'!$I$512:$AJ$512,0),10,1)),0)+_xlfn.IFNA(SUM((H$3&gt;='Gastos com Pessoal'!$E$513:$E$522)*(H$3&lt;='Gastos com Pessoal'!$F$513:$F$522)*(IF('Gastos com Pessoal'!$AE$513:$AE$522&lt;=H$3,1,0))*OFFSET('Gastos com Pessoal'!$H$512,1,MATCH(5&amp;$B31,'Gastos com Pessoal'!$I$532:$AJ$532&amp;'Gastos com Pessoal'!$I$512:$AJ$512,0),10,1)),0)</f>
        <v>400</v>
      </c>
      <c r="I31" s="188">
        <f t="array" aca="1" ref="I31" ca="1">_xlfn.IFNA(SUM((I$3&gt;='Gastos com Pessoal'!$E$7:$E$506)*(I$3&lt;='Gastos com Pessoal'!$F$7:$F$506)*OFFSET('Encargos e Benefícios'!$D$5,1,MATCH($B31,'Encargos e Benefícios'!$E$5:$AB$5,0),500,1)),0)+_xlfn.IFNA(SUM((I$3&gt;='Gastos com Pessoal'!$E$513:$E$522)*(I$3&lt;='Gastos com Pessoal'!$F$513:$F$522)*OFFSET('Encargos e Benefícios'!$D$511,1,MATCH($B31,'Encargos e Benefícios'!$E$511:$AB$511,0),10,1)),0)+_xlfn.IFNA(SUM((I$3&gt;='Gastos com Pessoal'!$E$7:$E$506)*(I$3&lt;='Gastos com Pessoal'!$F$7:$F$506)*(IF('Gastos com Pessoal'!$G$7:$G$506&lt;=I$3,1,0))*OFFSET('Gastos com Pessoal'!$H$6,1,MATCH(1&amp;$B31,'Gastos com Pessoal'!$I$532:$AJ$532&amp;'Gastos com Pessoal'!$I$6:$AJ$6,0),500,1)),0)+_xlfn.IFNA(SUM((I$3&gt;='Gastos com Pessoal'!$E$7:$E$506)*(I$3&lt;='Gastos com Pessoal'!$F$7:$F$506)*(IF('Gastos com Pessoal'!$M$7:$M$506&lt;=I$3,1,0))*OFFSET('Gastos com Pessoal'!$H$6,1,MATCH(2&amp;$B31,'Gastos com Pessoal'!$I$532:$AJ$532&amp;'Gastos com Pessoal'!$I$6:$AJ$6,0),500,1)),0)+_xlfn.IFNA(SUM((I$3&gt;='Gastos com Pessoal'!$E$7:$E$506)*(I$3&lt;='Gastos com Pessoal'!$F$7:$F$506)*(IF('Gastos com Pessoal'!$S$7:$S$506&lt;=I$3,1,0))*OFFSET('Gastos com Pessoal'!$H$6,1,MATCH(3&amp;$B31,'Gastos com Pessoal'!$I$532:$AJ$532&amp;'Gastos com Pessoal'!$I$6:$AJ$6,0),500,1)),0)+_xlfn.IFNA(SUM((I$3&gt;='Gastos com Pessoal'!$E$7:$E$506)*(I$3&lt;='Gastos com Pessoal'!$F$7:$F$506)*(IF('Gastos com Pessoal'!$Y$7:$Y$506&lt;=I$3,1,0))*OFFSET('Gastos com Pessoal'!$H$6,1,MATCH(4&amp;$B31,'Gastos com Pessoal'!$I$532:$AJ$532&amp;'Gastos com Pessoal'!$I$6:$AJ$6,0),500,1)),0)+_xlfn.IFNA(SUM((I$3&gt;='Gastos com Pessoal'!$E$7:$E$506)*(I$3&lt;='Gastos com Pessoal'!$F$7:$F$506)*(IF('Gastos com Pessoal'!$AE$7:$AE$506&lt;=I$3,1,0))*OFFSET('Gastos com Pessoal'!$H$6,1,MATCH(5&amp;$B31,'Gastos com Pessoal'!$I$532:$AJ$532&amp;'Gastos com Pessoal'!$I$6:$AJ$6,0),500,1)),0)+_xlfn.IFNA(SUM((I$3&gt;='Gastos com Pessoal'!$E$513:$E$522)*(I$3&lt;='Gastos com Pessoal'!$F$513:$F$522)*(IF('Gastos com Pessoal'!$G$513:$G$522&lt;=I$3,1,0))*OFFSET('Gastos com Pessoal'!$H$512,1,MATCH(1&amp;$B31,'Gastos com Pessoal'!$I$532:$AJ$532&amp;'Gastos com Pessoal'!$I$512:$AJ$512,0),10,1)),0)+_xlfn.IFNA(SUM((I$3&gt;='Gastos com Pessoal'!$E$513:$E$522)*(I$3&lt;='Gastos com Pessoal'!$F$513:$F$522)*(IF('Gastos com Pessoal'!$M$513:$M$522&lt;=I$3,1,0))*OFFSET('Gastos com Pessoal'!$H$512,1,MATCH(2&amp;$B31,'Gastos com Pessoal'!$I$532:$AJ$532&amp;'Gastos com Pessoal'!$I$512:$AJ$512,0),10,1)),0)+_xlfn.IFNA(SUM((I$3&gt;='Gastos com Pessoal'!$E$513:$E$522)*(I$3&lt;='Gastos com Pessoal'!$F$513:$F$522)*(IF('Gastos com Pessoal'!$S$513:$S$522&lt;=I$3,1,0))*OFFSET('Gastos com Pessoal'!$H$512,1,MATCH(3&amp;$B31,'Gastos com Pessoal'!$I$532:$AJ$532&amp;'Gastos com Pessoal'!$I$512:$AJ$512,0),10,1)),0)+_xlfn.IFNA(SUM((I$3&gt;='Gastos com Pessoal'!$E$513:$E$522)*(I$3&lt;='Gastos com Pessoal'!$F$513:$F$522)*(IF('Gastos com Pessoal'!$Y$513:$Y$522&lt;=I$3,1,0))*OFFSET('Gastos com Pessoal'!$H$512,1,MATCH(4&amp;$B31,'Gastos com Pessoal'!$I$532:$AJ$532&amp;'Gastos com Pessoal'!$I$512:$AJ$512,0),10,1)),0)+_xlfn.IFNA(SUM((I$3&gt;='Gastos com Pessoal'!$E$513:$E$522)*(I$3&lt;='Gastos com Pessoal'!$F$513:$F$522)*(IF('Gastos com Pessoal'!$AE$513:$AE$522&lt;=I$3,1,0))*OFFSET('Gastos com Pessoal'!$H$512,1,MATCH(5&amp;$B31,'Gastos com Pessoal'!$I$532:$AJ$532&amp;'Gastos com Pessoal'!$I$512:$AJ$512,0),10,1)),0)</f>
        <v>400</v>
      </c>
      <c r="J31" s="188">
        <f t="array" aca="1" ref="J31" ca="1">_xlfn.IFNA(SUM((J$3&gt;='Gastos com Pessoal'!$E$7:$E$506)*(J$3&lt;='Gastos com Pessoal'!$F$7:$F$506)*OFFSET('Encargos e Benefícios'!$D$5,1,MATCH($B31,'Encargos e Benefícios'!$E$5:$AB$5,0),500,1)),0)+_xlfn.IFNA(SUM((J$3&gt;='Gastos com Pessoal'!$E$513:$E$522)*(J$3&lt;='Gastos com Pessoal'!$F$513:$F$522)*OFFSET('Encargos e Benefícios'!$D$511,1,MATCH($B31,'Encargos e Benefícios'!$E$511:$AB$511,0),10,1)),0)+_xlfn.IFNA(SUM((J$3&gt;='Gastos com Pessoal'!$E$7:$E$506)*(J$3&lt;='Gastos com Pessoal'!$F$7:$F$506)*(IF('Gastos com Pessoal'!$G$7:$G$506&lt;=J$3,1,0))*OFFSET('Gastos com Pessoal'!$H$6,1,MATCH(1&amp;$B31,'Gastos com Pessoal'!$I$532:$AJ$532&amp;'Gastos com Pessoal'!$I$6:$AJ$6,0),500,1)),0)+_xlfn.IFNA(SUM((J$3&gt;='Gastos com Pessoal'!$E$7:$E$506)*(J$3&lt;='Gastos com Pessoal'!$F$7:$F$506)*(IF('Gastos com Pessoal'!$M$7:$M$506&lt;=J$3,1,0))*OFFSET('Gastos com Pessoal'!$H$6,1,MATCH(2&amp;$B31,'Gastos com Pessoal'!$I$532:$AJ$532&amp;'Gastos com Pessoal'!$I$6:$AJ$6,0),500,1)),0)+_xlfn.IFNA(SUM((J$3&gt;='Gastos com Pessoal'!$E$7:$E$506)*(J$3&lt;='Gastos com Pessoal'!$F$7:$F$506)*(IF('Gastos com Pessoal'!$S$7:$S$506&lt;=J$3,1,0))*OFFSET('Gastos com Pessoal'!$H$6,1,MATCH(3&amp;$B31,'Gastos com Pessoal'!$I$532:$AJ$532&amp;'Gastos com Pessoal'!$I$6:$AJ$6,0),500,1)),0)+_xlfn.IFNA(SUM((J$3&gt;='Gastos com Pessoal'!$E$7:$E$506)*(J$3&lt;='Gastos com Pessoal'!$F$7:$F$506)*(IF('Gastos com Pessoal'!$Y$7:$Y$506&lt;=J$3,1,0))*OFFSET('Gastos com Pessoal'!$H$6,1,MATCH(4&amp;$B31,'Gastos com Pessoal'!$I$532:$AJ$532&amp;'Gastos com Pessoal'!$I$6:$AJ$6,0),500,1)),0)+_xlfn.IFNA(SUM((J$3&gt;='Gastos com Pessoal'!$E$7:$E$506)*(J$3&lt;='Gastos com Pessoal'!$F$7:$F$506)*(IF('Gastos com Pessoal'!$AE$7:$AE$506&lt;=J$3,1,0))*OFFSET('Gastos com Pessoal'!$H$6,1,MATCH(5&amp;$B31,'Gastos com Pessoal'!$I$532:$AJ$532&amp;'Gastos com Pessoal'!$I$6:$AJ$6,0),500,1)),0)+_xlfn.IFNA(SUM((J$3&gt;='Gastos com Pessoal'!$E$513:$E$522)*(J$3&lt;='Gastos com Pessoal'!$F$513:$F$522)*(IF('Gastos com Pessoal'!$G$513:$G$522&lt;=J$3,1,0))*OFFSET('Gastos com Pessoal'!$H$512,1,MATCH(1&amp;$B31,'Gastos com Pessoal'!$I$532:$AJ$532&amp;'Gastos com Pessoal'!$I$512:$AJ$512,0),10,1)),0)+_xlfn.IFNA(SUM((J$3&gt;='Gastos com Pessoal'!$E$513:$E$522)*(J$3&lt;='Gastos com Pessoal'!$F$513:$F$522)*(IF('Gastos com Pessoal'!$M$513:$M$522&lt;=J$3,1,0))*OFFSET('Gastos com Pessoal'!$H$512,1,MATCH(2&amp;$B31,'Gastos com Pessoal'!$I$532:$AJ$532&amp;'Gastos com Pessoal'!$I$512:$AJ$512,0),10,1)),0)+_xlfn.IFNA(SUM((J$3&gt;='Gastos com Pessoal'!$E$513:$E$522)*(J$3&lt;='Gastos com Pessoal'!$F$513:$F$522)*(IF('Gastos com Pessoal'!$S$513:$S$522&lt;=J$3,1,0))*OFFSET('Gastos com Pessoal'!$H$512,1,MATCH(3&amp;$B31,'Gastos com Pessoal'!$I$532:$AJ$532&amp;'Gastos com Pessoal'!$I$512:$AJ$512,0),10,1)),0)+_xlfn.IFNA(SUM((J$3&gt;='Gastos com Pessoal'!$E$513:$E$522)*(J$3&lt;='Gastos com Pessoal'!$F$513:$F$522)*(IF('Gastos com Pessoal'!$Y$513:$Y$522&lt;=J$3,1,0))*OFFSET('Gastos com Pessoal'!$H$512,1,MATCH(4&amp;$B31,'Gastos com Pessoal'!$I$532:$AJ$532&amp;'Gastos com Pessoal'!$I$512:$AJ$512,0),10,1)),0)+_xlfn.IFNA(SUM((J$3&gt;='Gastos com Pessoal'!$E$513:$E$522)*(J$3&lt;='Gastos com Pessoal'!$F$513:$F$522)*(IF('Gastos com Pessoal'!$AE$513:$AE$522&lt;=J$3,1,0))*OFFSET('Gastos com Pessoal'!$H$512,1,MATCH(5&amp;$B31,'Gastos com Pessoal'!$I$532:$AJ$532&amp;'Gastos com Pessoal'!$I$512:$AJ$512,0),10,1)),0)</f>
        <v>400</v>
      </c>
      <c r="K31" s="188">
        <f t="array" aca="1" ref="K31" ca="1">_xlfn.IFNA(SUM((K$3&gt;='Gastos com Pessoal'!$E$7:$E$506)*(K$3&lt;='Gastos com Pessoal'!$F$7:$F$506)*OFFSET('Encargos e Benefícios'!$D$5,1,MATCH($B31,'Encargos e Benefícios'!$E$5:$AB$5,0),500,1)),0)+_xlfn.IFNA(SUM((K$3&gt;='Gastos com Pessoal'!$E$513:$E$522)*(K$3&lt;='Gastos com Pessoal'!$F$513:$F$522)*OFFSET('Encargos e Benefícios'!$D$511,1,MATCH($B31,'Encargos e Benefícios'!$E$511:$AB$511,0),10,1)),0)+_xlfn.IFNA(SUM((K$3&gt;='Gastos com Pessoal'!$E$7:$E$506)*(K$3&lt;='Gastos com Pessoal'!$F$7:$F$506)*(IF('Gastos com Pessoal'!$G$7:$G$506&lt;=K$3,1,0))*OFFSET('Gastos com Pessoal'!$H$6,1,MATCH(1&amp;$B31,'Gastos com Pessoal'!$I$532:$AJ$532&amp;'Gastos com Pessoal'!$I$6:$AJ$6,0),500,1)),0)+_xlfn.IFNA(SUM((K$3&gt;='Gastos com Pessoal'!$E$7:$E$506)*(K$3&lt;='Gastos com Pessoal'!$F$7:$F$506)*(IF('Gastos com Pessoal'!$M$7:$M$506&lt;=K$3,1,0))*OFFSET('Gastos com Pessoal'!$H$6,1,MATCH(2&amp;$B31,'Gastos com Pessoal'!$I$532:$AJ$532&amp;'Gastos com Pessoal'!$I$6:$AJ$6,0),500,1)),0)+_xlfn.IFNA(SUM((K$3&gt;='Gastos com Pessoal'!$E$7:$E$506)*(K$3&lt;='Gastos com Pessoal'!$F$7:$F$506)*(IF('Gastos com Pessoal'!$S$7:$S$506&lt;=K$3,1,0))*OFFSET('Gastos com Pessoal'!$H$6,1,MATCH(3&amp;$B31,'Gastos com Pessoal'!$I$532:$AJ$532&amp;'Gastos com Pessoal'!$I$6:$AJ$6,0),500,1)),0)+_xlfn.IFNA(SUM((K$3&gt;='Gastos com Pessoal'!$E$7:$E$506)*(K$3&lt;='Gastos com Pessoal'!$F$7:$F$506)*(IF('Gastos com Pessoal'!$Y$7:$Y$506&lt;=K$3,1,0))*OFFSET('Gastos com Pessoal'!$H$6,1,MATCH(4&amp;$B31,'Gastos com Pessoal'!$I$532:$AJ$532&amp;'Gastos com Pessoal'!$I$6:$AJ$6,0),500,1)),0)+_xlfn.IFNA(SUM((K$3&gt;='Gastos com Pessoal'!$E$7:$E$506)*(K$3&lt;='Gastos com Pessoal'!$F$7:$F$506)*(IF('Gastos com Pessoal'!$AE$7:$AE$506&lt;=K$3,1,0))*OFFSET('Gastos com Pessoal'!$H$6,1,MATCH(5&amp;$B31,'Gastos com Pessoal'!$I$532:$AJ$532&amp;'Gastos com Pessoal'!$I$6:$AJ$6,0),500,1)),0)+_xlfn.IFNA(SUM((K$3&gt;='Gastos com Pessoal'!$E$513:$E$522)*(K$3&lt;='Gastos com Pessoal'!$F$513:$F$522)*(IF('Gastos com Pessoal'!$G$513:$G$522&lt;=K$3,1,0))*OFFSET('Gastos com Pessoal'!$H$512,1,MATCH(1&amp;$B31,'Gastos com Pessoal'!$I$532:$AJ$532&amp;'Gastos com Pessoal'!$I$512:$AJ$512,0),10,1)),0)+_xlfn.IFNA(SUM((K$3&gt;='Gastos com Pessoal'!$E$513:$E$522)*(K$3&lt;='Gastos com Pessoal'!$F$513:$F$522)*(IF('Gastos com Pessoal'!$M$513:$M$522&lt;=K$3,1,0))*OFFSET('Gastos com Pessoal'!$H$512,1,MATCH(2&amp;$B31,'Gastos com Pessoal'!$I$532:$AJ$532&amp;'Gastos com Pessoal'!$I$512:$AJ$512,0),10,1)),0)+_xlfn.IFNA(SUM((K$3&gt;='Gastos com Pessoal'!$E$513:$E$522)*(K$3&lt;='Gastos com Pessoal'!$F$513:$F$522)*(IF('Gastos com Pessoal'!$S$513:$S$522&lt;=K$3,1,0))*OFFSET('Gastos com Pessoal'!$H$512,1,MATCH(3&amp;$B31,'Gastos com Pessoal'!$I$532:$AJ$532&amp;'Gastos com Pessoal'!$I$512:$AJ$512,0),10,1)),0)+_xlfn.IFNA(SUM((K$3&gt;='Gastos com Pessoal'!$E$513:$E$522)*(K$3&lt;='Gastos com Pessoal'!$F$513:$F$522)*(IF('Gastos com Pessoal'!$Y$513:$Y$522&lt;=K$3,1,0))*OFFSET('Gastos com Pessoal'!$H$512,1,MATCH(4&amp;$B31,'Gastos com Pessoal'!$I$532:$AJ$532&amp;'Gastos com Pessoal'!$I$512:$AJ$512,0),10,1)),0)+_xlfn.IFNA(SUM((K$3&gt;='Gastos com Pessoal'!$E$513:$E$522)*(K$3&lt;='Gastos com Pessoal'!$F$513:$F$522)*(IF('Gastos com Pessoal'!$AE$513:$AE$522&lt;=K$3,1,0))*OFFSET('Gastos com Pessoal'!$H$512,1,MATCH(5&amp;$B31,'Gastos com Pessoal'!$I$532:$AJ$532&amp;'Gastos com Pessoal'!$I$512:$AJ$512,0),10,1)),0)</f>
        <v>400</v>
      </c>
      <c r="L31" s="188">
        <f t="array" aca="1" ref="L31" ca="1">_xlfn.IFNA(SUM((L$3&gt;='Gastos com Pessoal'!$E$7:$E$506)*(L$3&lt;='Gastos com Pessoal'!$F$7:$F$506)*OFFSET('Encargos e Benefícios'!$D$5,1,MATCH($B31,'Encargos e Benefícios'!$E$5:$AB$5,0),500,1)),0)+_xlfn.IFNA(SUM((L$3&gt;='Gastos com Pessoal'!$E$513:$E$522)*(L$3&lt;='Gastos com Pessoal'!$F$513:$F$522)*OFFSET('Encargos e Benefícios'!$D$511,1,MATCH($B31,'Encargos e Benefícios'!$E$511:$AB$511,0),10,1)),0)+_xlfn.IFNA(SUM((L$3&gt;='Gastos com Pessoal'!$E$7:$E$506)*(L$3&lt;='Gastos com Pessoal'!$F$7:$F$506)*(IF('Gastos com Pessoal'!$G$7:$G$506&lt;=L$3,1,0))*OFFSET('Gastos com Pessoal'!$H$6,1,MATCH(1&amp;$B31,'Gastos com Pessoal'!$I$532:$AJ$532&amp;'Gastos com Pessoal'!$I$6:$AJ$6,0),500,1)),0)+_xlfn.IFNA(SUM((L$3&gt;='Gastos com Pessoal'!$E$7:$E$506)*(L$3&lt;='Gastos com Pessoal'!$F$7:$F$506)*(IF('Gastos com Pessoal'!$M$7:$M$506&lt;=L$3,1,0))*OFFSET('Gastos com Pessoal'!$H$6,1,MATCH(2&amp;$B31,'Gastos com Pessoal'!$I$532:$AJ$532&amp;'Gastos com Pessoal'!$I$6:$AJ$6,0),500,1)),0)+_xlfn.IFNA(SUM((L$3&gt;='Gastos com Pessoal'!$E$7:$E$506)*(L$3&lt;='Gastos com Pessoal'!$F$7:$F$506)*(IF('Gastos com Pessoal'!$S$7:$S$506&lt;=L$3,1,0))*OFFSET('Gastos com Pessoal'!$H$6,1,MATCH(3&amp;$B31,'Gastos com Pessoal'!$I$532:$AJ$532&amp;'Gastos com Pessoal'!$I$6:$AJ$6,0),500,1)),0)+_xlfn.IFNA(SUM((L$3&gt;='Gastos com Pessoal'!$E$7:$E$506)*(L$3&lt;='Gastos com Pessoal'!$F$7:$F$506)*(IF('Gastos com Pessoal'!$Y$7:$Y$506&lt;=L$3,1,0))*OFFSET('Gastos com Pessoal'!$H$6,1,MATCH(4&amp;$B31,'Gastos com Pessoal'!$I$532:$AJ$532&amp;'Gastos com Pessoal'!$I$6:$AJ$6,0),500,1)),0)+_xlfn.IFNA(SUM((L$3&gt;='Gastos com Pessoal'!$E$7:$E$506)*(L$3&lt;='Gastos com Pessoal'!$F$7:$F$506)*(IF('Gastos com Pessoal'!$AE$7:$AE$506&lt;=L$3,1,0))*OFFSET('Gastos com Pessoal'!$H$6,1,MATCH(5&amp;$B31,'Gastos com Pessoal'!$I$532:$AJ$532&amp;'Gastos com Pessoal'!$I$6:$AJ$6,0),500,1)),0)+_xlfn.IFNA(SUM((L$3&gt;='Gastos com Pessoal'!$E$513:$E$522)*(L$3&lt;='Gastos com Pessoal'!$F$513:$F$522)*(IF('Gastos com Pessoal'!$G$513:$G$522&lt;=L$3,1,0))*OFFSET('Gastos com Pessoal'!$H$512,1,MATCH(1&amp;$B31,'Gastos com Pessoal'!$I$532:$AJ$532&amp;'Gastos com Pessoal'!$I$512:$AJ$512,0),10,1)),0)+_xlfn.IFNA(SUM((L$3&gt;='Gastos com Pessoal'!$E$513:$E$522)*(L$3&lt;='Gastos com Pessoal'!$F$513:$F$522)*(IF('Gastos com Pessoal'!$M$513:$M$522&lt;=L$3,1,0))*OFFSET('Gastos com Pessoal'!$H$512,1,MATCH(2&amp;$B31,'Gastos com Pessoal'!$I$532:$AJ$532&amp;'Gastos com Pessoal'!$I$512:$AJ$512,0),10,1)),0)+_xlfn.IFNA(SUM((L$3&gt;='Gastos com Pessoal'!$E$513:$E$522)*(L$3&lt;='Gastos com Pessoal'!$F$513:$F$522)*(IF('Gastos com Pessoal'!$S$513:$S$522&lt;=L$3,1,0))*OFFSET('Gastos com Pessoal'!$H$512,1,MATCH(3&amp;$B31,'Gastos com Pessoal'!$I$532:$AJ$532&amp;'Gastos com Pessoal'!$I$512:$AJ$512,0),10,1)),0)+_xlfn.IFNA(SUM((L$3&gt;='Gastos com Pessoal'!$E$513:$E$522)*(L$3&lt;='Gastos com Pessoal'!$F$513:$F$522)*(IF('Gastos com Pessoal'!$Y$513:$Y$522&lt;=L$3,1,0))*OFFSET('Gastos com Pessoal'!$H$512,1,MATCH(4&amp;$B31,'Gastos com Pessoal'!$I$532:$AJ$532&amp;'Gastos com Pessoal'!$I$512:$AJ$512,0),10,1)),0)+_xlfn.IFNA(SUM((L$3&gt;='Gastos com Pessoal'!$E$513:$E$522)*(L$3&lt;='Gastos com Pessoal'!$F$513:$F$522)*(IF('Gastos com Pessoal'!$AE$513:$AE$522&lt;=L$3,1,0))*OFFSET('Gastos com Pessoal'!$H$512,1,MATCH(5&amp;$B31,'Gastos com Pessoal'!$I$532:$AJ$532&amp;'Gastos com Pessoal'!$I$512:$AJ$512,0),10,1)),0)</f>
        <v>400</v>
      </c>
      <c r="M31" s="188">
        <f t="array" aca="1" ref="M31" ca="1">_xlfn.IFNA(SUM((M$3&gt;='Gastos com Pessoal'!$E$7:$E$506)*(M$3&lt;='Gastos com Pessoal'!$F$7:$F$506)*OFFSET('Encargos e Benefícios'!$D$5,1,MATCH($B31,'Encargos e Benefícios'!$E$5:$AB$5,0),500,1)),0)+_xlfn.IFNA(SUM((M$3&gt;='Gastos com Pessoal'!$E$513:$E$522)*(M$3&lt;='Gastos com Pessoal'!$F$513:$F$522)*OFFSET('Encargos e Benefícios'!$D$511,1,MATCH($B31,'Encargos e Benefícios'!$E$511:$AB$511,0),10,1)),0)+_xlfn.IFNA(SUM((M$3&gt;='Gastos com Pessoal'!$E$7:$E$506)*(M$3&lt;='Gastos com Pessoal'!$F$7:$F$506)*(IF('Gastos com Pessoal'!$G$7:$G$506&lt;=M$3,1,0))*OFFSET('Gastos com Pessoal'!$H$6,1,MATCH(1&amp;$B31,'Gastos com Pessoal'!$I$532:$AJ$532&amp;'Gastos com Pessoal'!$I$6:$AJ$6,0),500,1)),0)+_xlfn.IFNA(SUM((M$3&gt;='Gastos com Pessoal'!$E$7:$E$506)*(M$3&lt;='Gastos com Pessoal'!$F$7:$F$506)*(IF('Gastos com Pessoal'!$M$7:$M$506&lt;=M$3,1,0))*OFFSET('Gastos com Pessoal'!$H$6,1,MATCH(2&amp;$B31,'Gastos com Pessoal'!$I$532:$AJ$532&amp;'Gastos com Pessoal'!$I$6:$AJ$6,0),500,1)),0)+_xlfn.IFNA(SUM((M$3&gt;='Gastos com Pessoal'!$E$7:$E$506)*(M$3&lt;='Gastos com Pessoal'!$F$7:$F$506)*(IF('Gastos com Pessoal'!$S$7:$S$506&lt;=M$3,1,0))*OFFSET('Gastos com Pessoal'!$H$6,1,MATCH(3&amp;$B31,'Gastos com Pessoal'!$I$532:$AJ$532&amp;'Gastos com Pessoal'!$I$6:$AJ$6,0),500,1)),0)+_xlfn.IFNA(SUM((M$3&gt;='Gastos com Pessoal'!$E$7:$E$506)*(M$3&lt;='Gastos com Pessoal'!$F$7:$F$506)*(IF('Gastos com Pessoal'!$Y$7:$Y$506&lt;=M$3,1,0))*OFFSET('Gastos com Pessoal'!$H$6,1,MATCH(4&amp;$B31,'Gastos com Pessoal'!$I$532:$AJ$532&amp;'Gastos com Pessoal'!$I$6:$AJ$6,0),500,1)),0)+_xlfn.IFNA(SUM((M$3&gt;='Gastos com Pessoal'!$E$7:$E$506)*(M$3&lt;='Gastos com Pessoal'!$F$7:$F$506)*(IF('Gastos com Pessoal'!$AE$7:$AE$506&lt;=M$3,1,0))*OFFSET('Gastos com Pessoal'!$H$6,1,MATCH(5&amp;$B31,'Gastos com Pessoal'!$I$532:$AJ$532&amp;'Gastos com Pessoal'!$I$6:$AJ$6,0),500,1)),0)+_xlfn.IFNA(SUM((M$3&gt;='Gastos com Pessoal'!$E$513:$E$522)*(M$3&lt;='Gastos com Pessoal'!$F$513:$F$522)*(IF('Gastos com Pessoal'!$G$513:$G$522&lt;=M$3,1,0))*OFFSET('Gastos com Pessoal'!$H$512,1,MATCH(1&amp;$B31,'Gastos com Pessoal'!$I$532:$AJ$532&amp;'Gastos com Pessoal'!$I$512:$AJ$512,0),10,1)),0)+_xlfn.IFNA(SUM((M$3&gt;='Gastos com Pessoal'!$E$513:$E$522)*(M$3&lt;='Gastos com Pessoal'!$F$513:$F$522)*(IF('Gastos com Pessoal'!$M$513:$M$522&lt;=M$3,1,0))*OFFSET('Gastos com Pessoal'!$H$512,1,MATCH(2&amp;$B31,'Gastos com Pessoal'!$I$532:$AJ$532&amp;'Gastos com Pessoal'!$I$512:$AJ$512,0),10,1)),0)+_xlfn.IFNA(SUM((M$3&gt;='Gastos com Pessoal'!$E$513:$E$522)*(M$3&lt;='Gastos com Pessoal'!$F$513:$F$522)*(IF('Gastos com Pessoal'!$S$513:$S$522&lt;=M$3,1,0))*OFFSET('Gastos com Pessoal'!$H$512,1,MATCH(3&amp;$B31,'Gastos com Pessoal'!$I$532:$AJ$532&amp;'Gastos com Pessoal'!$I$512:$AJ$512,0),10,1)),0)+_xlfn.IFNA(SUM((M$3&gt;='Gastos com Pessoal'!$E$513:$E$522)*(M$3&lt;='Gastos com Pessoal'!$F$513:$F$522)*(IF('Gastos com Pessoal'!$Y$513:$Y$522&lt;=M$3,1,0))*OFFSET('Gastos com Pessoal'!$H$512,1,MATCH(4&amp;$B31,'Gastos com Pessoal'!$I$532:$AJ$532&amp;'Gastos com Pessoal'!$I$512:$AJ$512,0),10,1)),0)+_xlfn.IFNA(SUM((M$3&gt;='Gastos com Pessoal'!$E$513:$E$522)*(M$3&lt;='Gastos com Pessoal'!$F$513:$F$522)*(IF('Gastos com Pessoal'!$AE$513:$AE$522&lt;=M$3,1,0))*OFFSET('Gastos com Pessoal'!$H$512,1,MATCH(5&amp;$B31,'Gastos com Pessoal'!$I$532:$AJ$532&amp;'Gastos com Pessoal'!$I$512:$AJ$512,0),10,1)),0)</f>
        <v>400</v>
      </c>
      <c r="N31" s="188">
        <f t="array" aca="1" ref="N31" ca="1">_xlfn.IFNA(SUM((N$3&gt;='Gastos com Pessoal'!$E$7:$E$506)*(N$3&lt;='Gastos com Pessoal'!$F$7:$F$506)*OFFSET('Encargos e Benefícios'!$D$5,1,MATCH($B31,'Encargos e Benefícios'!$E$5:$AB$5,0),500,1)),0)+_xlfn.IFNA(SUM((N$3&gt;='Gastos com Pessoal'!$E$513:$E$522)*(N$3&lt;='Gastos com Pessoal'!$F$513:$F$522)*OFFSET('Encargos e Benefícios'!$D$511,1,MATCH($B31,'Encargos e Benefícios'!$E$511:$AB$511,0),10,1)),0)+_xlfn.IFNA(SUM((N$3&gt;='Gastos com Pessoal'!$E$7:$E$506)*(N$3&lt;='Gastos com Pessoal'!$F$7:$F$506)*(IF('Gastos com Pessoal'!$G$7:$G$506&lt;=N$3,1,0))*OFFSET('Gastos com Pessoal'!$H$6,1,MATCH(1&amp;$B31,'Gastos com Pessoal'!$I$532:$AJ$532&amp;'Gastos com Pessoal'!$I$6:$AJ$6,0),500,1)),0)+_xlfn.IFNA(SUM((N$3&gt;='Gastos com Pessoal'!$E$7:$E$506)*(N$3&lt;='Gastos com Pessoal'!$F$7:$F$506)*(IF('Gastos com Pessoal'!$M$7:$M$506&lt;=N$3,1,0))*OFFSET('Gastos com Pessoal'!$H$6,1,MATCH(2&amp;$B31,'Gastos com Pessoal'!$I$532:$AJ$532&amp;'Gastos com Pessoal'!$I$6:$AJ$6,0),500,1)),0)+_xlfn.IFNA(SUM((N$3&gt;='Gastos com Pessoal'!$E$7:$E$506)*(N$3&lt;='Gastos com Pessoal'!$F$7:$F$506)*(IF('Gastos com Pessoal'!$S$7:$S$506&lt;=N$3,1,0))*OFFSET('Gastos com Pessoal'!$H$6,1,MATCH(3&amp;$B31,'Gastos com Pessoal'!$I$532:$AJ$532&amp;'Gastos com Pessoal'!$I$6:$AJ$6,0),500,1)),0)+_xlfn.IFNA(SUM((N$3&gt;='Gastos com Pessoal'!$E$7:$E$506)*(N$3&lt;='Gastos com Pessoal'!$F$7:$F$506)*(IF('Gastos com Pessoal'!$Y$7:$Y$506&lt;=N$3,1,0))*OFFSET('Gastos com Pessoal'!$H$6,1,MATCH(4&amp;$B31,'Gastos com Pessoal'!$I$532:$AJ$532&amp;'Gastos com Pessoal'!$I$6:$AJ$6,0),500,1)),0)+_xlfn.IFNA(SUM((N$3&gt;='Gastos com Pessoal'!$E$7:$E$506)*(N$3&lt;='Gastos com Pessoal'!$F$7:$F$506)*(IF('Gastos com Pessoal'!$AE$7:$AE$506&lt;=N$3,1,0))*OFFSET('Gastos com Pessoal'!$H$6,1,MATCH(5&amp;$B31,'Gastos com Pessoal'!$I$532:$AJ$532&amp;'Gastos com Pessoal'!$I$6:$AJ$6,0),500,1)),0)+_xlfn.IFNA(SUM((N$3&gt;='Gastos com Pessoal'!$E$513:$E$522)*(N$3&lt;='Gastos com Pessoal'!$F$513:$F$522)*(IF('Gastos com Pessoal'!$G$513:$G$522&lt;=N$3,1,0))*OFFSET('Gastos com Pessoal'!$H$512,1,MATCH(1&amp;$B31,'Gastos com Pessoal'!$I$532:$AJ$532&amp;'Gastos com Pessoal'!$I$512:$AJ$512,0),10,1)),0)+_xlfn.IFNA(SUM((N$3&gt;='Gastos com Pessoal'!$E$513:$E$522)*(N$3&lt;='Gastos com Pessoal'!$F$513:$F$522)*(IF('Gastos com Pessoal'!$M$513:$M$522&lt;=N$3,1,0))*OFFSET('Gastos com Pessoal'!$H$512,1,MATCH(2&amp;$B31,'Gastos com Pessoal'!$I$532:$AJ$532&amp;'Gastos com Pessoal'!$I$512:$AJ$512,0),10,1)),0)+_xlfn.IFNA(SUM((N$3&gt;='Gastos com Pessoal'!$E$513:$E$522)*(N$3&lt;='Gastos com Pessoal'!$F$513:$F$522)*(IF('Gastos com Pessoal'!$S$513:$S$522&lt;=N$3,1,0))*OFFSET('Gastos com Pessoal'!$H$512,1,MATCH(3&amp;$B31,'Gastos com Pessoal'!$I$532:$AJ$532&amp;'Gastos com Pessoal'!$I$512:$AJ$512,0),10,1)),0)+_xlfn.IFNA(SUM((N$3&gt;='Gastos com Pessoal'!$E$513:$E$522)*(N$3&lt;='Gastos com Pessoal'!$F$513:$F$522)*(IF('Gastos com Pessoal'!$Y$513:$Y$522&lt;=N$3,1,0))*OFFSET('Gastos com Pessoal'!$H$512,1,MATCH(4&amp;$B31,'Gastos com Pessoal'!$I$532:$AJ$532&amp;'Gastos com Pessoal'!$I$512:$AJ$512,0),10,1)),0)+_xlfn.IFNA(SUM((N$3&gt;='Gastos com Pessoal'!$E$513:$E$522)*(N$3&lt;='Gastos com Pessoal'!$F$513:$F$522)*(IF('Gastos com Pessoal'!$AE$513:$AE$522&lt;=N$3,1,0))*OFFSET('Gastos com Pessoal'!$H$512,1,MATCH(5&amp;$B31,'Gastos com Pessoal'!$I$532:$AJ$532&amp;'Gastos com Pessoal'!$I$512:$AJ$512,0),10,1)),0)</f>
        <v>400</v>
      </c>
      <c r="O31" s="188">
        <f t="array" aca="1" ref="O31" ca="1">_xlfn.IFNA(SUM((O$3&gt;='Gastos com Pessoal'!$E$7:$E$506)*(O$3&lt;='Gastos com Pessoal'!$F$7:$F$506)*OFFSET('Encargos e Benefícios'!$D$5,1,MATCH($B31,'Encargos e Benefícios'!$E$5:$AB$5,0),500,1)),0)+_xlfn.IFNA(SUM((O$3&gt;='Gastos com Pessoal'!$E$513:$E$522)*(O$3&lt;='Gastos com Pessoal'!$F$513:$F$522)*OFFSET('Encargos e Benefícios'!$D$511,1,MATCH($B31,'Encargos e Benefícios'!$E$511:$AB$511,0),10,1)),0)+_xlfn.IFNA(SUM((O$3&gt;='Gastos com Pessoal'!$E$7:$E$506)*(O$3&lt;='Gastos com Pessoal'!$F$7:$F$506)*(IF('Gastos com Pessoal'!$G$7:$G$506&lt;=O$3,1,0))*OFFSET('Gastos com Pessoal'!$H$6,1,MATCH(1&amp;$B31,'Gastos com Pessoal'!$I$532:$AJ$532&amp;'Gastos com Pessoal'!$I$6:$AJ$6,0),500,1)),0)+_xlfn.IFNA(SUM((O$3&gt;='Gastos com Pessoal'!$E$7:$E$506)*(O$3&lt;='Gastos com Pessoal'!$F$7:$F$506)*(IF('Gastos com Pessoal'!$M$7:$M$506&lt;=O$3,1,0))*OFFSET('Gastos com Pessoal'!$H$6,1,MATCH(2&amp;$B31,'Gastos com Pessoal'!$I$532:$AJ$532&amp;'Gastos com Pessoal'!$I$6:$AJ$6,0),500,1)),0)+_xlfn.IFNA(SUM((O$3&gt;='Gastos com Pessoal'!$E$7:$E$506)*(O$3&lt;='Gastos com Pessoal'!$F$7:$F$506)*(IF('Gastos com Pessoal'!$S$7:$S$506&lt;=O$3,1,0))*OFFSET('Gastos com Pessoal'!$H$6,1,MATCH(3&amp;$B31,'Gastos com Pessoal'!$I$532:$AJ$532&amp;'Gastos com Pessoal'!$I$6:$AJ$6,0),500,1)),0)+_xlfn.IFNA(SUM((O$3&gt;='Gastos com Pessoal'!$E$7:$E$506)*(O$3&lt;='Gastos com Pessoal'!$F$7:$F$506)*(IF('Gastos com Pessoal'!$Y$7:$Y$506&lt;=O$3,1,0))*OFFSET('Gastos com Pessoal'!$H$6,1,MATCH(4&amp;$B31,'Gastos com Pessoal'!$I$532:$AJ$532&amp;'Gastos com Pessoal'!$I$6:$AJ$6,0),500,1)),0)+_xlfn.IFNA(SUM((O$3&gt;='Gastos com Pessoal'!$E$7:$E$506)*(O$3&lt;='Gastos com Pessoal'!$F$7:$F$506)*(IF('Gastos com Pessoal'!$AE$7:$AE$506&lt;=O$3,1,0))*OFFSET('Gastos com Pessoal'!$H$6,1,MATCH(5&amp;$B31,'Gastos com Pessoal'!$I$532:$AJ$532&amp;'Gastos com Pessoal'!$I$6:$AJ$6,0),500,1)),0)+_xlfn.IFNA(SUM((O$3&gt;='Gastos com Pessoal'!$E$513:$E$522)*(O$3&lt;='Gastos com Pessoal'!$F$513:$F$522)*(IF('Gastos com Pessoal'!$G$513:$G$522&lt;=O$3,1,0))*OFFSET('Gastos com Pessoal'!$H$512,1,MATCH(1&amp;$B31,'Gastos com Pessoal'!$I$532:$AJ$532&amp;'Gastos com Pessoal'!$I$512:$AJ$512,0),10,1)),0)+_xlfn.IFNA(SUM((O$3&gt;='Gastos com Pessoal'!$E$513:$E$522)*(O$3&lt;='Gastos com Pessoal'!$F$513:$F$522)*(IF('Gastos com Pessoal'!$M$513:$M$522&lt;=O$3,1,0))*OFFSET('Gastos com Pessoal'!$H$512,1,MATCH(2&amp;$B31,'Gastos com Pessoal'!$I$532:$AJ$532&amp;'Gastos com Pessoal'!$I$512:$AJ$512,0),10,1)),0)+_xlfn.IFNA(SUM((O$3&gt;='Gastos com Pessoal'!$E$513:$E$522)*(O$3&lt;='Gastos com Pessoal'!$F$513:$F$522)*(IF('Gastos com Pessoal'!$S$513:$S$522&lt;=O$3,1,0))*OFFSET('Gastos com Pessoal'!$H$512,1,MATCH(3&amp;$B31,'Gastos com Pessoal'!$I$532:$AJ$532&amp;'Gastos com Pessoal'!$I$512:$AJ$512,0),10,1)),0)+_xlfn.IFNA(SUM((O$3&gt;='Gastos com Pessoal'!$E$513:$E$522)*(O$3&lt;='Gastos com Pessoal'!$F$513:$F$522)*(IF('Gastos com Pessoal'!$Y$513:$Y$522&lt;=O$3,1,0))*OFFSET('Gastos com Pessoal'!$H$512,1,MATCH(4&amp;$B31,'Gastos com Pessoal'!$I$532:$AJ$532&amp;'Gastos com Pessoal'!$I$512:$AJ$512,0),10,1)),0)+_xlfn.IFNA(SUM((O$3&gt;='Gastos com Pessoal'!$E$513:$E$522)*(O$3&lt;='Gastos com Pessoal'!$F$513:$F$522)*(IF('Gastos com Pessoal'!$AE$513:$AE$522&lt;=O$3,1,0))*OFFSET('Gastos com Pessoal'!$H$512,1,MATCH(5&amp;$B31,'Gastos com Pessoal'!$I$532:$AJ$532&amp;'Gastos com Pessoal'!$I$512:$AJ$512,0),10,1)),0)</f>
        <v>400</v>
      </c>
      <c r="P31" s="188">
        <f t="array" aca="1" ref="P31" ca="1">_xlfn.IFNA(SUM((P$3&gt;='Gastos com Pessoal'!$E$7:$E$506)*(P$3&lt;='Gastos com Pessoal'!$F$7:$F$506)*OFFSET('Encargos e Benefícios'!$D$5,1,MATCH($B31,'Encargos e Benefícios'!$E$5:$AB$5,0),500,1)),0)+_xlfn.IFNA(SUM((P$3&gt;='Gastos com Pessoal'!$E$513:$E$522)*(P$3&lt;='Gastos com Pessoal'!$F$513:$F$522)*OFFSET('Encargos e Benefícios'!$D$511,1,MATCH($B31,'Encargos e Benefícios'!$E$511:$AB$511,0),10,1)),0)+_xlfn.IFNA(SUM((P$3&gt;='Gastos com Pessoal'!$E$7:$E$506)*(P$3&lt;='Gastos com Pessoal'!$F$7:$F$506)*(IF('Gastos com Pessoal'!$G$7:$G$506&lt;=P$3,1,0))*OFFSET('Gastos com Pessoal'!$H$6,1,MATCH(1&amp;$B31,'Gastos com Pessoal'!$I$532:$AJ$532&amp;'Gastos com Pessoal'!$I$6:$AJ$6,0),500,1)),0)+_xlfn.IFNA(SUM((P$3&gt;='Gastos com Pessoal'!$E$7:$E$506)*(P$3&lt;='Gastos com Pessoal'!$F$7:$F$506)*(IF('Gastos com Pessoal'!$M$7:$M$506&lt;=P$3,1,0))*OFFSET('Gastos com Pessoal'!$H$6,1,MATCH(2&amp;$B31,'Gastos com Pessoal'!$I$532:$AJ$532&amp;'Gastos com Pessoal'!$I$6:$AJ$6,0),500,1)),0)+_xlfn.IFNA(SUM((P$3&gt;='Gastos com Pessoal'!$E$7:$E$506)*(P$3&lt;='Gastos com Pessoal'!$F$7:$F$506)*(IF('Gastos com Pessoal'!$S$7:$S$506&lt;=P$3,1,0))*OFFSET('Gastos com Pessoal'!$H$6,1,MATCH(3&amp;$B31,'Gastos com Pessoal'!$I$532:$AJ$532&amp;'Gastos com Pessoal'!$I$6:$AJ$6,0),500,1)),0)+_xlfn.IFNA(SUM((P$3&gt;='Gastos com Pessoal'!$E$7:$E$506)*(P$3&lt;='Gastos com Pessoal'!$F$7:$F$506)*(IF('Gastos com Pessoal'!$Y$7:$Y$506&lt;=P$3,1,0))*OFFSET('Gastos com Pessoal'!$H$6,1,MATCH(4&amp;$B31,'Gastos com Pessoal'!$I$532:$AJ$532&amp;'Gastos com Pessoal'!$I$6:$AJ$6,0),500,1)),0)+_xlfn.IFNA(SUM((P$3&gt;='Gastos com Pessoal'!$E$7:$E$506)*(P$3&lt;='Gastos com Pessoal'!$F$7:$F$506)*(IF('Gastos com Pessoal'!$AE$7:$AE$506&lt;=P$3,1,0))*OFFSET('Gastos com Pessoal'!$H$6,1,MATCH(5&amp;$B31,'Gastos com Pessoal'!$I$532:$AJ$532&amp;'Gastos com Pessoal'!$I$6:$AJ$6,0),500,1)),0)+_xlfn.IFNA(SUM((P$3&gt;='Gastos com Pessoal'!$E$513:$E$522)*(P$3&lt;='Gastos com Pessoal'!$F$513:$F$522)*(IF('Gastos com Pessoal'!$G$513:$G$522&lt;=P$3,1,0))*OFFSET('Gastos com Pessoal'!$H$512,1,MATCH(1&amp;$B31,'Gastos com Pessoal'!$I$532:$AJ$532&amp;'Gastos com Pessoal'!$I$512:$AJ$512,0),10,1)),0)+_xlfn.IFNA(SUM((P$3&gt;='Gastos com Pessoal'!$E$513:$E$522)*(P$3&lt;='Gastos com Pessoal'!$F$513:$F$522)*(IF('Gastos com Pessoal'!$M$513:$M$522&lt;=P$3,1,0))*OFFSET('Gastos com Pessoal'!$H$512,1,MATCH(2&amp;$B31,'Gastos com Pessoal'!$I$532:$AJ$532&amp;'Gastos com Pessoal'!$I$512:$AJ$512,0),10,1)),0)+_xlfn.IFNA(SUM((P$3&gt;='Gastos com Pessoal'!$E$513:$E$522)*(P$3&lt;='Gastos com Pessoal'!$F$513:$F$522)*(IF('Gastos com Pessoal'!$S$513:$S$522&lt;=P$3,1,0))*OFFSET('Gastos com Pessoal'!$H$512,1,MATCH(3&amp;$B31,'Gastos com Pessoal'!$I$532:$AJ$532&amp;'Gastos com Pessoal'!$I$512:$AJ$512,0),10,1)),0)+_xlfn.IFNA(SUM((P$3&gt;='Gastos com Pessoal'!$E$513:$E$522)*(P$3&lt;='Gastos com Pessoal'!$F$513:$F$522)*(IF('Gastos com Pessoal'!$Y$513:$Y$522&lt;=P$3,1,0))*OFFSET('Gastos com Pessoal'!$H$512,1,MATCH(4&amp;$B31,'Gastos com Pessoal'!$I$532:$AJ$532&amp;'Gastos com Pessoal'!$I$512:$AJ$512,0),10,1)),0)+_xlfn.IFNA(SUM((P$3&gt;='Gastos com Pessoal'!$E$513:$E$522)*(P$3&lt;='Gastos com Pessoal'!$F$513:$F$522)*(IF('Gastos com Pessoal'!$AE$513:$AE$522&lt;=P$3,1,0))*OFFSET('Gastos com Pessoal'!$H$512,1,MATCH(5&amp;$B31,'Gastos com Pessoal'!$I$532:$AJ$532&amp;'Gastos com Pessoal'!$I$512:$AJ$512,0),10,1)),0)</f>
        <v>0</v>
      </c>
      <c r="Q31" s="188">
        <f t="array" aca="1" ref="Q31" ca="1">_xlfn.IFNA(SUM((Q$3&gt;='Gastos com Pessoal'!$E$7:$E$506)*(Q$3&lt;='Gastos com Pessoal'!$F$7:$F$506)*OFFSET('Encargos e Benefícios'!$D$5,1,MATCH($B31,'Encargos e Benefícios'!$E$5:$AB$5,0),500,1)),0)+_xlfn.IFNA(SUM((Q$3&gt;='Gastos com Pessoal'!$E$513:$E$522)*(Q$3&lt;='Gastos com Pessoal'!$F$513:$F$522)*OFFSET('Encargos e Benefícios'!$D$511,1,MATCH($B31,'Encargos e Benefícios'!$E$511:$AB$511,0),10,1)),0)+_xlfn.IFNA(SUM((Q$3&gt;='Gastos com Pessoal'!$E$7:$E$506)*(Q$3&lt;='Gastos com Pessoal'!$F$7:$F$506)*(IF('Gastos com Pessoal'!$G$7:$G$506&lt;=Q$3,1,0))*OFFSET('Gastos com Pessoal'!$H$6,1,MATCH(1&amp;$B31,'Gastos com Pessoal'!$I$532:$AJ$532&amp;'Gastos com Pessoal'!$I$6:$AJ$6,0),500,1)),0)+_xlfn.IFNA(SUM((Q$3&gt;='Gastos com Pessoal'!$E$7:$E$506)*(Q$3&lt;='Gastos com Pessoal'!$F$7:$F$506)*(IF('Gastos com Pessoal'!$M$7:$M$506&lt;=Q$3,1,0))*OFFSET('Gastos com Pessoal'!$H$6,1,MATCH(2&amp;$B31,'Gastos com Pessoal'!$I$532:$AJ$532&amp;'Gastos com Pessoal'!$I$6:$AJ$6,0),500,1)),0)+_xlfn.IFNA(SUM((Q$3&gt;='Gastos com Pessoal'!$E$7:$E$506)*(Q$3&lt;='Gastos com Pessoal'!$F$7:$F$506)*(IF('Gastos com Pessoal'!$S$7:$S$506&lt;=Q$3,1,0))*OFFSET('Gastos com Pessoal'!$H$6,1,MATCH(3&amp;$B31,'Gastos com Pessoal'!$I$532:$AJ$532&amp;'Gastos com Pessoal'!$I$6:$AJ$6,0),500,1)),0)+_xlfn.IFNA(SUM((Q$3&gt;='Gastos com Pessoal'!$E$7:$E$506)*(Q$3&lt;='Gastos com Pessoal'!$F$7:$F$506)*(IF('Gastos com Pessoal'!$Y$7:$Y$506&lt;=Q$3,1,0))*OFFSET('Gastos com Pessoal'!$H$6,1,MATCH(4&amp;$B31,'Gastos com Pessoal'!$I$532:$AJ$532&amp;'Gastos com Pessoal'!$I$6:$AJ$6,0),500,1)),0)+_xlfn.IFNA(SUM((Q$3&gt;='Gastos com Pessoal'!$E$7:$E$506)*(Q$3&lt;='Gastos com Pessoal'!$F$7:$F$506)*(IF('Gastos com Pessoal'!$AE$7:$AE$506&lt;=Q$3,1,0))*OFFSET('Gastos com Pessoal'!$H$6,1,MATCH(5&amp;$B31,'Gastos com Pessoal'!$I$532:$AJ$532&amp;'Gastos com Pessoal'!$I$6:$AJ$6,0),500,1)),0)+_xlfn.IFNA(SUM((Q$3&gt;='Gastos com Pessoal'!$E$513:$E$522)*(Q$3&lt;='Gastos com Pessoal'!$F$513:$F$522)*(IF('Gastos com Pessoal'!$G$513:$G$522&lt;=Q$3,1,0))*OFFSET('Gastos com Pessoal'!$H$512,1,MATCH(1&amp;$B31,'Gastos com Pessoal'!$I$532:$AJ$532&amp;'Gastos com Pessoal'!$I$512:$AJ$512,0),10,1)),0)+_xlfn.IFNA(SUM((Q$3&gt;='Gastos com Pessoal'!$E$513:$E$522)*(Q$3&lt;='Gastos com Pessoal'!$F$513:$F$522)*(IF('Gastos com Pessoal'!$M$513:$M$522&lt;=Q$3,1,0))*OFFSET('Gastos com Pessoal'!$H$512,1,MATCH(2&amp;$B31,'Gastos com Pessoal'!$I$532:$AJ$532&amp;'Gastos com Pessoal'!$I$512:$AJ$512,0),10,1)),0)+_xlfn.IFNA(SUM((Q$3&gt;='Gastos com Pessoal'!$E$513:$E$522)*(Q$3&lt;='Gastos com Pessoal'!$F$513:$F$522)*(IF('Gastos com Pessoal'!$S$513:$S$522&lt;=Q$3,1,0))*OFFSET('Gastos com Pessoal'!$H$512,1,MATCH(3&amp;$B31,'Gastos com Pessoal'!$I$532:$AJ$532&amp;'Gastos com Pessoal'!$I$512:$AJ$512,0),10,1)),0)+_xlfn.IFNA(SUM((Q$3&gt;='Gastos com Pessoal'!$E$513:$E$522)*(Q$3&lt;='Gastos com Pessoal'!$F$513:$F$522)*(IF('Gastos com Pessoal'!$Y$513:$Y$522&lt;=Q$3,1,0))*OFFSET('Gastos com Pessoal'!$H$512,1,MATCH(4&amp;$B31,'Gastos com Pessoal'!$I$532:$AJ$532&amp;'Gastos com Pessoal'!$I$512:$AJ$512,0),10,1)),0)+_xlfn.IFNA(SUM((Q$3&gt;='Gastos com Pessoal'!$E$513:$E$522)*(Q$3&lt;='Gastos com Pessoal'!$F$513:$F$522)*(IF('Gastos com Pessoal'!$AE$513:$AE$522&lt;=Q$3,1,0))*OFFSET('Gastos com Pessoal'!$H$512,1,MATCH(5&amp;$B31,'Gastos com Pessoal'!$I$532:$AJ$532&amp;'Gastos com Pessoal'!$I$512:$AJ$512,0),10,1)),0)</f>
        <v>0</v>
      </c>
      <c r="R31" s="188">
        <f t="array" aca="1" ref="R31" ca="1">_xlfn.IFNA(SUM((R$3&gt;='Gastos com Pessoal'!$E$7:$E$506)*(R$3&lt;='Gastos com Pessoal'!$F$7:$F$506)*OFFSET('Encargos e Benefícios'!$D$5,1,MATCH($B31,'Encargos e Benefícios'!$E$5:$AB$5,0),500,1)),0)+_xlfn.IFNA(SUM((R$3&gt;='Gastos com Pessoal'!$E$513:$E$522)*(R$3&lt;='Gastos com Pessoal'!$F$513:$F$522)*OFFSET('Encargos e Benefícios'!$D$511,1,MATCH($B31,'Encargos e Benefícios'!$E$511:$AB$511,0),10,1)),0)+_xlfn.IFNA(SUM((R$3&gt;='Gastos com Pessoal'!$E$7:$E$506)*(R$3&lt;='Gastos com Pessoal'!$F$7:$F$506)*(IF('Gastos com Pessoal'!$G$7:$G$506&lt;=R$3,1,0))*OFFSET('Gastos com Pessoal'!$H$6,1,MATCH(1&amp;$B31,'Gastos com Pessoal'!$I$532:$AJ$532&amp;'Gastos com Pessoal'!$I$6:$AJ$6,0),500,1)),0)+_xlfn.IFNA(SUM((R$3&gt;='Gastos com Pessoal'!$E$7:$E$506)*(R$3&lt;='Gastos com Pessoal'!$F$7:$F$506)*(IF('Gastos com Pessoal'!$M$7:$M$506&lt;=R$3,1,0))*OFFSET('Gastos com Pessoal'!$H$6,1,MATCH(2&amp;$B31,'Gastos com Pessoal'!$I$532:$AJ$532&amp;'Gastos com Pessoal'!$I$6:$AJ$6,0),500,1)),0)+_xlfn.IFNA(SUM((R$3&gt;='Gastos com Pessoal'!$E$7:$E$506)*(R$3&lt;='Gastos com Pessoal'!$F$7:$F$506)*(IF('Gastos com Pessoal'!$S$7:$S$506&lt;=R$3,1,0))*OFFSET('Gastos com Pessoal'!$H$6,1,MATCH(3&amp;$B31,'Gastos com Pessoal'!$I$532:$AJ$532&amp;'Gastos com Pessoal'!$I$6:$AJ$6,0),500,1)),0)+_xlfn.IFNA(SUM((R$3&gt;='Gastos com Pessoal'!$E$7:$E$506)*(R$3&lt;='Gastos com Pessoal'!$F$7:$F$506)*(IF('Gastos com Pessoal'!$Y$7:$Y$506&lt;=R$3,1,0))*OFFSET('Gastos com Pessoal'!$H$6,1,MATCH(4&amp;$B31,'Gastos com Pessoal'!$I$532:$AJ$532&amp;'Gastos com Pessoal'!$I$6:$AJ$6,0),500,1)),0)+_xlfn.IFNA(SUM((R$3&gt;='Gastos com Pessoal'!$E$7:$E$506)*(R$3&lt;='Gastos com Pessoal'!$F$7:$F$506)*(IF('Gastos com Pessoal'!$AE$7:$AE$506&lt;=R$3,1,0))*OFFSET('Gastos com Pessoal'!$H$6,1,MATCH(5&amp;$B31,'Gastos com Pessoal'!$I$532:$AJ$532&amp;'Gastos com Pessoal'!$I$6:$AJ$6,0),500,1)),0)+_xlfn.IFNA(SUM((R$3&gt;='Gastos com Pessoal'!$E$513:$E$522)*(R$3&lt;='Gastos com Pessoal'!$F$513:$F$522)*(IF('Gastos com Pessoal'!$G$513:$G$522&lt;=R$3,1,0))*OFFSET('Gastos com Pessoal'!$H$512,1,MATCH(1&amp;$B31,'Gastos com Pessoal'!$I$532:$AJ$532&amp;'Gastos com Pessoal'!$I$512:$AJ$512,0),10,1)),0)+_xlfn.IFNA(SUM((R$3&gt;='Gastos com Pessoal'!$E$513:$E$522)*(R$3&lt;='Gastos com Pessoal'!$F$513:$F$522)*(IF('Gastos com Pessoal'!$M$513:$M$522&lt;=R$3,1,0))*OFFSET('Gastos com Pessoal'!$H$512,1,MATCH(2&amp;$B31,'Gastos com Pessoal'!$I$532:$AJ$532&amp;'Gastos com Pessoal'!$I$512:$AJ$512,0),10,1)),0)+_xlfn.IFNA(SUM((R$3&gt;='Gastos com Pessoal'!$E$513:$E$522)*(R$3&lt;='Gastos com Pessoal'!$F$513:$F$522)*(IF('Gastos com Pessoal'!$S$513:$S$522&lt;=R$3,1,0))*OFFSET('Gastos com Pessoal'!$H$512,1,MATCH(3&amp;$B31,'Gastos com Pessoal'!$I$532:$AJ$532&amp;'Gastos com Pessoal'!$I$512:$AJ$512,0),10,1)),0)+_xlfn.IFNA(SUM((R$3&gt;='Gastos com Pessoal'!$E$513:$E$522)*(R$3&lt;='Gastos com Pessoal'!$F$513:$F$522)*(IF('Gastos com Pessoal'!$Y$513:$Y$522&lt;=R$3,1,0))*OFFSET('Gastos com Pessoal'!$H$512,1,MATCH(4&amp;$B31,'Gastos com Pessoal'!$I$532:$AJ$532&amp;'Gastos com Pessoal'!$I$512:$AJ$512,0),10,1)),0)+_xlfn.IFNA(SUM((R$3&gt;='Gastos com Pessoal'!$E$513:$E$522)*(R$3&lt;='Gastos com Pessoal'!$F$513:$F$522)*(IF('Gastos com Pessoal'!$AE$513:$AE$522&lt;=R$3,1,0))*OFFSET('Gastos com Pessoal'!$H$512,1,MATCH(5&amp;$B31,'Gastos com Pessoal'!$I$532:$AJ$532&amp;'Gastos com Pessoal'!$I$512:$AJ$512,0),10,1)),0)</f>
        <v>0</v>
      </c>
      <c r="S31" s="188">
        <f t="array" aca="1" ref="S31" ca="1">_xlfn.IFNA(SUM((S$3&gt;='Gastos com Pessoal'!$E$7:$E$506)*(S$3&lt;='Gastos com Pessoal'!$F$7:$F$506)*OFFSET('Encargos e Benefícios'!$D$5,1,MATCH($B31,'Encargos e Benefícios'!$E$5:$AB$5,0),500,1)),0)+_xlfn.IFNA(SUM((S$3&gt;='Gastos com Pessoal'!$E$513:$E$522)*(S$3&lt;='Gastos com Pessoal'!$F$513:$F$522)*OFFSET('Encargos e Benefícios'!$D$511,1,MATCH($B31,'Encargos e Benefícios'!$E$511:$AB$511,0),10,1)),0)+_xlfn.IFNA(SUM((S$3&gt;='Gastos com Pessoal'!$E$7:$E$506)*(S$3&lt;='Gastos com Pessoal'!$F$7:$F$506)*(IF('Gastos com Pessoal'!$G$7:$G$506&lt;=S$3,1,0))*OFFSET('Gastos com Pessoal'!$H$6,1,MATCH(1&amp;$B31,'Gastos com Pessoal'!$I$532:$AJ$532&amp;'Gastos com Pessoal'!$I$6:$AJ$6,0),500,1)),0)+_xlfn.IFNA(SUM((S$3&gt;='Gastos com Pessoal'!$E$7:$E$506)*(S$3&lt;='Gastos com Pessoal'!$F$7:$F$506)*(IF('Gastos com Pessoal'!$M$7:$M$506&lt;=S$3,1,0))*OFFSET('Gastos com Pessoal'!$H$6,1,MATCH(2&amp;$B31,'Gastos com Pessoal'!$I$532:$AJ$532&amp;'Gastos com Pessoal'!$I$6:$AJ$6,0),500,1)),0)+_xlfn.IFNA(SUM((S$3&gt;='Gastos com Pessoal'!$E$7:$E$506)*(S$3&lt;='Gastos com Pessoal'!$F$7:$F$506)*(IF('Gastos com Pessoal'!$S$7:$S$506&lt;=S$3,1,0))*OFFSET('Gastos com Pessoal'!$H$6,1,MATCH(3&amp;$B31,'Gastos com Pessoal'!$I$532:$AJ$532&amp;'Gastos com Pessoal'!$I$6:$AJ$6,0),500,1)),0)+_xlfn.IFNA(SUM((S$3&gt;='Gastos com Pessoal'!$E$7:$E$506)*(S$3&lt;='Gastos com Pessoal'!$F$7:$F$506)*(IF('Gastos com Pessoal'!$Y$7:$Y$506&lt;=S$3,1,0))*OFFSET('Gastos com Pessoal'!$H$6,1,MATCH(4&amp;$B31,'Gastos com Pessoal'!$I$532:$AJ$532&amp;'Gastos com Pessoal'!$I$6:$AJ$6,0),500,1)),0)+_xlfn.IFNA(SUM((S$3&gt;='Gastos com Pessoal'!$E$7:$E$506)*(S$3&lt;='Gastos com Pessoal'!$F$7:$F$506)*(IF('Gastos com Pessoal'!$AE$7:$AE$506&lt;=S$3,1,0))*OFFSET('Gastos com Pessoal'!$H$6,1,MATCH(5&amp;$B31,'Gastos com Pessoal'!$I$532:$AJ$532&amp;'Gastos com Pessoal'!$I$6:$AJ$6,0),500,1)),0)+_xlfn.IFNA(SUM((S$3&gt;='Gastos com Pessoal'!$E$513:$E$522)*(S$3&lt;='Gastos com Pessoal'!$F$513:$F$522)*(IF('Gastos com Pessoal'!$G$513:$G$522&lt;=S$3,1,0))*OFFSET('Gastos com Pessoal'!$H$512,1,MATCH(1&amp;$B31,'Gastos com Pessoal'!$I$532:$AJ$532&amp;'Gastos com Pessoal'!$I$512:$AJ$512,0),10,1)),0)+_xlfn.IFNA(SUM((S$3&gt;='Gastos com Pessoal'!$E$513:$E$522)*(S$3&lt;='Gastos com Pessoal'!$F$513:$F$522)*(IF('Gastos com Pessoal'!$M$513:$M$522&lt;=S$3,1,0))*OFFSET('Gastos com Pessoal'!$H$512,1,MATCH(2&amp;$B31,'Gastos com Pessoal'!$I$532:$AJ$532&amp;'Gastos com Pessoal'!$I$512:$AJ$512,0),10,1)),0)+_xlfn.IFNA(SUM((S$3&gt;='Gastos com Pessoal'!$E$513:$E$522)*(S$3&lt;='Gastos com Pessoal'!$F$513:$F$522)*(IF('Gastos com Pessoal'!$S$513:$S$522&lt;=S$3,1,0))*OFFSET('Gastos com Pessoal'!$H$512,1,MATCH(3&amp;$B31,'Gastos com Pessoal'!$I$532:$AJ$532&amp;'Gastos com Pessoal'!$I$512:$AJ$512,0),10,1)),0)+_xlfn.IFNA(SUM((S$3&gt;='Gastos com Pessoal'!$E$513:$E$522)*(S$3&lt;='Gastos com Pessoal'!$F$513:$F$522)*(IF('Gastos com Pessoal'!$Y$513:$Y$522&lt;=S$3,1,0))*OFFSET('Gastos com Pessoal'!$H$512,1,MATCH(4&amp;$B31,'Gastos com Pessoal'!$I$532:$AJ$532&amp;'Gastos com Pessoal'!$I$512:$AJ$512,0),10,1)),0)+_xlfn.IFNA(SUM((S$3&gt;='Gastos com Pessoal'!$E$513:$E$522)*(S$3&lt;='Gastos com Pessoal'!$F$513:$F$522)*(IF('Gastos com Pessoal'!$AE$513:$AE$522&lt;=S$3,1,0))*OFFSET('Gastos com Pessoal'!$H$512,1,MATCH(5&amp;$B31,'Gastos com Pessoal'!$I$532:$AJ$532&amp;'Gastos com Pessoal'!$I$512:$AJ$512,0),10,1)),0)</f>
        <v>0</v>
      </c>
      <c r="T31" s="188">
        <f t="array" aca="1" ref="T31" ca="1">_xlfn.IFNA(SUM((T$3&gt;='Gastos com Pessoal'!$E$7:$E$506)*(T$3&lt;='Gastos com Pessoal'!$F$7:$F$506)*OFFSET('Encargos e Benefícios'!$D$5,1,MATCH($B31,'Encargos e Benefícios'!$E$5:$AB$5,0),500,1)),0)+_xlfn.IFNA(SUM((T$3&gt;='Gastos com Pessoal'!$E$513:$E$522)*(T$3&lt;='Gastos com Pessoal'!$F$513:$F$522)*OFFSET('Encargos e Benefícios'!$D$511,1,MATCH($B31,'Encargos e Benefícios'!$E$511:$AB$511,0),10,1)),0)+_xlfn.IFNA(SUM((T$3&gt;='Gastos com Pessoal'!$E$7:$E$506)*(T$3&lt;='Gastos com Pessoal'!$F$7:$F$506)*(IF('Gastos com Pessoal'!$G$7:$G$506&lt;=T$3,1,0))*OFFSET('Gastos com Pessoal'!$H$6,1,MATCH(1&amp;$B31,'Gastos com Pessoal'!$I$532:$AJ$532&amp;'Gastos com Pessoal'!$I$6:$AJ$6,0),500,1)),0)+_xlfn.IFNA(SUM((T$3&gt;='Gastos com Pessoal'!$E$7:$E$506)*(T$3&lt;='Gastos com Pessoal'!$F$7:$F$506)*(IF('Gastos com Pessoal'!$M$7:$M$506&lt;=T$3,1,0))*OFFSET('Gastos com Pessoal'!$H$6,1,MATCH(2&amp;$B31,'Gastos com Pessoal'!$I$532:$AJ$532&amp;'Gastos com Pessoal'!$I$6:$AJ$6,0),500,1)),0)+_xlfn.IFNA(SUM((T$3&gt;='Gastos com Pessoal'!$E$7:$E$506)*(T$3&lt;='Gastos com Pessoal'!$F$7:$F$506)*(IF('Gastos com Pessoal'!$S$7:$S$506&lt;=T$3,1,0))*OFFSET('Gastos com Pessoal'!$H$6,1,MATCH(3&amp;$B31,'Gastos com Pessoal'!$I$532:$AJ$532&amp;'Gastos com Pessoal'!$I$6:$AJ$6,0),500,1)),0)+_xlfn.IFNA(SUM((T$3&gt;='Gastos com Pessoal'!$E$7:$E$506)*(T$3&lt;='Gastos com Pessoal'!$F$7:$F$506)*(IF('Gastos com Pessoal'!$Y$7:$Y$506&lt;=T$3,1,0))*OFFSET('Gastos com Pessoal'!$H$6,1,MATCH(4&amp;$B31,'Gastos com Pessoal'!$I$532:$AJ$532&amp;'Gastos com Pessoal'!$I$6:$AJ$6,0),500,1)),0)+_xlfn.IFNA(SUM((T$3&gt;='Gastos com Pessoal'!$E$7:$E$506)*(T$3&lt;='Gastos com Pessoal'!$F$7:$F$506)*(IF('Gastos com Pessoal'!$AE$7:$AE$506&lt;=T$3,1,0))*OFFSET('Gastos com Pessoal'!$H$6,1,MATCH(5&amp;$B31,'Gastos com Pessoal'!$I$532:$AJ$532&amp;'Gastos com Pessoal'!$I$6:$AJ$6,0),500,1)),0)+_xlfn.IFNA(SUM((T$3&gt;='Gastos com Pessoal'!$E$513:$E$522)*(T$3&lt;='Gastos com Pessoal'!$F$513:$F$522)*(IF('Gastos com Pessoal'!$G$513:$G$522&lt;=T$3,1,0))*OFFSET('Gastos com Pessoal'!$H$512,1,MATCH(1&amp;$B31,'Gastos com Pessoal'!$I$532:$AJ$532&amp;'Gastos com Pessoal'!$I$512:$AJ$512,0),10,1)),0)+_xlfn.IFNA(SUM((T$3&gt;='Gastos com Pessoal'!$E$513:$E$522)*(T$3&lt;='Gastos com Pessoal'!$F$513:$F$522)*(IF('Gastos com Pessoal'!$M$513:$M$522&lt;=T$3,1,0))*OFFSET('Gastos com Pessoal'!$H$512,1,MATCH(2&amp;$B31,'Gastos com Pessoal'!$I$532:$AJ$532&amp;'Gastos com Pessoal'!$I$512:$AJ$512,0),10,1)),0)+_xlfn.IFNA(SUM((T$3&gt;='Gastos com Pessoal'!$E$513:$E$522)*(T$3&lt;='Gastos com Pessoal'!$F$513:$F$522)*(IF('Gastos com Pessoal'!$S$513:$S$522&lt;=T$3,1,0))*OFFSET('Gastos com Pessoal'!$H$512,1,MATCH(3&amp;$B31,'Gastos com Pessoal'!$I$532:$AJ$532&amp;'Gastos com Pessoal'!$I$512:$AJ$512,0),10,1)),0)+_xlfn.IFNA(SUM((T$3&gt;='Gastos com Pessoal'!$E$513:$E$522)*(T$3&lt;='Gastos com Pessoal'!$F$513:$F$522)*(IF('Gastos com Pessoal'!$Y$513:$Y$522&lt;=T$3,1,0))*OFFSET('Gastos com Pessoal'!$H$512,1,MATCH(4&amp;$B31,'Gastos com Pessoal'!$I$532:$AJ$532&amp;'Gastos com Pessoal'!$I$512:$AJ$512,0),10,1)),0)+_xlfn.IFNA(SUM((T$3&gt;='Gastos com Pessoal'!$E$513:$E$522)*(T$3&lt;='Gastos com Pessoal'!$F$513:$F$522)*(IF('Gastos com Pessoal'!$AE$513:$AE$522&lt;=T$3,1,0))*OFFSET('Gastos com Pessoal'!$H$512,1,MATCH(5&amp;$B31,'Gastos com Pessoal'!$I$532:$AJ$532&amp;'Gastos com Pessoal'!$I$512:$AJ$512,0),10,1)),0)</f>
        <v>0</v>
      </c>
      <c r="U31" s="188">
        <f t="array" aca="1" ref="U31" ca="1">_xlfn.IFNA(SUM((U$3&gt;='Gastos com Pessoal'!$E$7:$E$506)*(U$3&lt;='Gastos com Pessoal'!$F$7:$F$506)*OFFSET('Encargos e Benefícios'!$D$5,1,MATCH($B31,'Encargos e Benefícios'!$E$5:$AB$5,0),500,1)),0)+_xlfn.IFNA(SUM((U$3&gt;='Gastos com Pessoal'!$E$513:$E$522)*(U$3&lt;='Gastos com Pessoal'!$F$513:$F$522)*OFFSET('Encargos e Benefícios'!$D$511,1,MATCH($B31,'Encargos e Benefícios'!$E$511:$AB$511,0),10,1)),0)+_xlfn.IFNA(SUM((U$3&gt;='Gastos com Pessoal'!$E$7:$E$506)*(U$3&lt;='Gastos com Pessoal'!$F$7:$F$506)*(IF('Gastos com Pessoal'!$G$7:$G$506&lt;=U$3,1,0))*OFFSET('Gastos com Pessoal'!$H$6,1,MATCH(1&amp;$B31,'Gastos com Pessoal'!$I$532:$AJ$532&amp;'Gastos com Pessoal'!$I$6:$AJ$6,0),500,1)),0)+_xlfn.IFNA(SUM((U$3&gt;='Gastos com Pessoal'!$E$7:$E$506)*(U$3&lt;='Gastos com Pessoal'!$F$7:$F$506)*(IF('Gastos com Pessoal'!$M$7:$M$506&lt;=U$3,1,0))*OFFSET('Gastos com Pessoal'!$H$6,1,MATCH(2&amp;$B31,'Gastos com Pessoal'!$I$532:$AJ$532&amp;'Gastos com Pessoal'!$I$6:$AJ$6,0),500,1)),0)+_xlfn.IFNA(SUM((U$3&gt;='Gastos com Pessoal'!$E$7:$E$506)*(U$3&lt;='Gastos com Pessoal'!$F$7:$F$506)*(IF('Gastos com Pessoal'!$S$7:$S$506&lt;=U$3,1,0))*OFFSET('Gastos com Pessoal'!$H$6,1,MATCH(3&amp;$B31,'Gastos com Pessoal'!$I$532:$AJ$532&amp;'Gastos com Pessoal'!$I$6:$AJ$6,0),500,1)),0)+_xlfn.IFNA(SUM((U$3&gt;='Gastos com Pessoal'!$E$7:$E$506)*(U$3&lt;='Gastos com Pessoal'!$F$7:$F$506)*(IF('Gastos com Pessoal'!$Y$7:$Y$506&lt;=U$3,1,0))*OFFSET('Gastos com Pessoal'!$H$6,1,MATCH(4&amp;$B31,'Gastos com Pessoal'!$I$532:$AJ$532&amp;'Gastos com Pessoal'!$I$6:$AJ$6,0),500,1)),0)+_xlfn.IFNA(SUM((U$3&gt;='Gastos com Pessoal'!$E$7:$E$506)*(U$3&lt;='Gastos com Pessoal'!$F$7:$F$506)*(IF('Gastos com Pessoal'!$AE$7:$AE$506&lt;=U$3,1,0))*OFFSET('Gastos com Pessoal'!$H$6,1,MATCH(5&amp;$B31,'Gastos com Pessoal'!$I$532:$AJ$532&amp;'Gastos com Pessoal'!$I$6:$AJ$6,0),500,1)),0)+_xlfn.IFNA(SUM((U$3&gt;='Gastos com Pessoal'!$E$513:$E$522)*(U$3&lt;='Gastos com Pessoal'!$F$513:$F$522)*(IF('Gastos com Pessoal'!$G$513:$G$522&lt;=U$3,1,0))*OFFSET('Gastos com Pessoal'!$H$512,1,MATCH(1&amp;$B31,'Gastos com Pessoal'!$I$532:$AJ$532&amp;'Gastos com Pessoal'!$I$512:$AJ$512,0),10,1)),0)+_xlfn.IFNA(SUM((U$3&gt;='Gastos com Pessoal'!$E$513:$E$522)*(U$3&lt;='Gastos com Pessoal'!$F$513:$F$522)*(IF('Gastos com Pessoal'!$M$513:$M$522&lt;=U$3,1,0))*OFFSET('Gastos com Pessoal'!$H$512,1,MATCH(2&amp;$B31,'Gastos com Pessoal'!$I$532:$AJ$532&amp;'Gastos com Pessoal'!$I$512:$AJ$512,0),10,1)),0)+_xlfn.IFNA(SUM((U$3&gt;='Gastos com Pessoal'!$E$513:$E$522)*(U$3&lt;='Gastos com Pessoal'!$F$513:$F$522)*(IF('Gastos com Pessoal'!$S$513:$S$522&lt;=U$3,1,0))*OFFSET('Gastos com Pessoal'!$H$512,1,MATCH(3&amp;$B31,'Gastos com Pessoal'!$I$532:$AJ$532&amp;'Gastos com Pessoal'!$I$512:$AJ$512,0),10,1)),0)+_xlfn.IFNA(SUM((U$3&gt;='Gastos com Pessoal'!$E$513:$E$522)*(U$3&lt;='Gastos com Pessoal'!$F$513:$F$522)*(IF('Gastos com Pessoal'!$Y$513:$Y$522&lt;=U$3,1,0))*OFFSET('Gastos com Pessoal'!$H$512,1,MATCH(4&amp;$B31,'Gastos com Pessoal'!$I$532:$AJ$532&amp;'Gastos com Pessoal'!$I$512:$AJ$512,0),10,1)),0)+_xlfn.IFNA(SUM((U$3&gt;='Gastos com Pessoal'!$E$513:$E$522)*(U$3&lt;='Gastos com Pessoal'!$F$513:$F$522)*(IF('Gastos com Pessoal'!$AE$513:$AE$522&lt;=U$3,1,0))*OFFSET('Gastos com Pessoal'!$H$512,1,MATCH(5&amp;$B31,'Gastos com Pessoal'!$I$532:$AJ$532&amp;'Gastos com Pessoal'!$I$512:$AJ$512,0),10,1)),0)</f>
        <v>0</v>
      </c>
      <c r="V31" s="188">
        <f t="array" aca="1" ref="V31" ca="1">_xlfn.IFNA(SUM((V$3&gt;='Gastos com Pessoal'!$E$7:$E$506)*(V$3&lt;='Gastos com Pessoal'!$F$7:$F$506)*OFFSET('Encargos e Benefícios'!$D$5,1,MATCH($B31,'Encargos e Benefícios'!$E$5:$AB$5,0),500,1)),0)+_xlfn.IFNA(SUM((V$3&gt;='Gastos com Pessoal'!$E$513:$E$522)*(V$3&lt;='Gastos com Pessoal'!$F$513:$F$522)*OFFSET('Encargos e Benefícios'!$D$511,1,MATCH($B31,'Encargos e Benefícios'!$E$511:$AB$511,0),10,1)),0)+_xlfn.IFNA(SUM((V$3&gt;='Gastos com Pessoal'!$E$7:$E$506)*(V$3&lt;='Gastos com Pessoal'!$F$7:$F$506)*(IF('Gastos com Pessoal'!$G$7:$G$506&lt;=V$3,1,0))*OFFSET('Gastos com Pessoal'!$H$6,1,MATCH(1&amp;$B31,'Gastos com Pessoal'!$I$532:$AJ$532&amp;'Gastos com Pessoal'!$I$6:$AJ$6,0),500,1)),0)+_xlfn.IFNA(SUM((V$3&gt;='Gastos com Pessoal'!$E$7:$E$506)*(V$3&lt;='Gastos com Pessoal'!$F$7:$F$506)*(IF('Gastos com Pessoal'!$M$7:$M$506&lt;=V$3,1,0))*OFFSET('Gastos com Pessoal'!$H$6,1,MATCH(2&amp;$B31,'Gastos com Pessoal'!$I$532:$AJ$532&amp;'Gastos com Pessoal'!$I$6:$AJ$6,0),500,1)),0)+_xlfn.IFNA(SUM((V$3&gt;='Gastos com Pessoal'!$E$7:$E$506)*(V$3&lt;='Gastos com Pessoal'!$F$7:$F$506)*(IF('Gastos com Pessoal'!$S$7:$S$506&lt;=V$3,1,0))*OFFSET('Gastos com Pessoal'!$H$6,1,MATCH(3&amp;$B31,'Gastos com Pessoal'!$I$532:$AJ$532&amp;'Gastos com Pessoal'!$I$6:$AJ$6,0),500,1)),0)+_xlfn.IFNA(SUM((V$3&gt;='Gastos com Pessoal'!$E$7:$E$506)*(V$3&lt;='Gastos com Pessoal'!$F$7:$F$506)*(IF('Gastos com Pessoal'!$Y$7:$Y$506&lt;=V$3,1,0))*OFFSET('Gastos com Pessoal'!$H$6,1,MATCH(4&amp;$B31,'Gastos com Pessoal'!$I$532:$AJ$532&amp;'Gastos com Pessoal'!$I$6:$AJ$6,0),500,1)),0)+_xlfn.IFNA(SUM((V$3&gt;='Gastos com Pessoal'!$E$7:$E$506)*(V$3&lt;='Gastos com Pessoal'!$F$7:$F$506)*(IF('Gastos com Pessoal'!$AE$7:$AE$506&lt;=V$3,1,0))*OFFSET('Gastos com Pessoal'!$H$6,1,MATCH(5&amp;$B31,'Gastos com Pessoal'!$I$532:$AJ$532&amp;'Gastos com Pessoal'!$I$6:$AJ$6,0),500,1)),0)+_xlfn.IFNA(SUM((V$3&gt;='Gastos com Pessoal'!$E$513:$E$522)*(V$3&lt;='Gastos com Pessoal'!$F$513:$F$522)*(IF('Gastos com Pessoal'!$G$513:$G$522&lt;=V$3,1,0))*OFFSET('Gastos com Pessoal'!$H$512,1,MATCH(1&amp;$B31,'Gastos com Pessoal'!$I$532:$AJ$532&amp;'Gastos com Pessoal'!$I$512:$AJ$512,0),10,1)),0)+_xlfn.IFNA(SUM((V$3&gt;='Gastos com Pessoal'!$E$513:$E$522)*(V$3&lt;='Gastos com Pessoal'!$F$513:$F$522)*(IF('Gastos com Pessoal'!$M$513:$M$522&lt;=V$3,1,0))*OFFSET('Gastos com Pessoal'!$H$512,1,MATCH(2&amp;$B31,'Gastos com Pessoal'!$I$532:$AJ$532&amp;'Gastos com Pessoal'!$I$512:$AJ$512,0),10,1)),0)+_xlfn.IFNA(SUM((V$3&gt;='Gastos com Pessoal'!$E$513:$E$522)*(V$3&lt;='Gastos com Pessoal'!$F$513:$F$522)*(IF('Gastos com Pessoal'!$S$513:$S$522&lt;=V$3,1,0))*OFFSET('Gastos com Pessoal'!$H$512,1,MATCH(3&amp;$B31,'Gastos com Pessoal'!$I$532:$AJ$532&amp;'Gastos com Pessoal'!$I$512:$AJ$512,0),10,1)),0)+_xlfn.IFNA(SUM((V$3&gt;='Gastos com Pessoal'!$E$513:$E$522)*(V$3&lt;='Gastos com Pessoal'!$F$513:$F$522)*(IF('Gastos com Pessoal'!$Y$513:$Y$522&lt;=V$3,1,0))*OFFSET('Gastos com Pessoal'!$H$512,1,MATCH(4&amp;$B31,'Gastos com Pessoal'!$I$532:$AJ$532&amp;'Gastos com Pessoal'!$I$512:$AJ$512,0),10,1)),0)+_xlfn.IFNA(SUM((V$3&gt;='Gastos com Pessoal'!$E$513:$E$522)*(V$3&lt;='Gastos com Pessoal'!$F$513:$F$522)*(IF('Gastos com Pessoal'!$AE$513:$AE$522&lt;=V$3,1,0))*OFFSET('Gastos com Pessoal'!$H$512,1,MATCH(5&amp;$B31,'Gastos com Pessoal'!$I$532:$AJ$532&amp;'Gastos com Pessoal'!$I$512:$AJ$512,0),10,1)),0)</f>
        <v>0</v>
      </c>
      <c r="W31" s="188">
        <f t="array" aca="1" ref="W31" ca="1">_xlfn.IFNA(SUM((W$3&gt;='Gastos com Pessoal'!$E$7:$E$506)*(W$3&lt;='Gastos com Pessoal'!$F$7:$F$506)*OFFSET('Encargos e Benefícios'!$D$5,1,MATCH($B31,'Encargos e Benefícios'!$E$5:$AB$5,0),500,1)),0)+_xlfn.IFNA(SUM((W$3&gt;='Gastos com Pessoal'!$E$513:$E$522)*(W$3&lt;='Gastos com Pessoal'!$F$513:$F$522)*OFFSET('Encargos e Benefícios'!$D$511,1,MATCH($B31,'Encargos e Benefícios'!$E$511:$AB$511,0),10,1)),0)+_xlfn.IFNA(SUM((W$3&gt;='Gastos com Pessoal'!$E$7:$E$506)*(W$3&lt;='Gastos com Pessoal'!$F$7:$F$506)*(IF('Gastos com Pessoal'!$G$7:$G$506&lt;=W$3,1,0))*OFFSET('Gastos com Pessoal'!$H$6,1,MATCH(1&amp;$B31,'Gastos com Pessoal'!$I$532:$AJ$532&amp;'Gastos com Pessoal'!$I$6:$AJ$6,0),500,1)),0)+_xlfn.IFNA(SUM((W$3&gt;='Gastos com Pessoal'!$E$7:$E$506)*(W$3&lt;='Gastos com Pessoal'!$F$7:$F$506)*(IF('Gastos com Pessoal'!$M$7:$M$506&lt;=W$3,1,0))*OFFSET('Gastos com Pessoal'!$H$6,1,MATCH(2&amp;$B31,'Gastos com Pessoal'!$I$532:$AJ$532&amp;'Gastos com Pessoal'!$I$6:$AJ$6,0),500,1)),0)+_xlfn.IFNA(SUM((W$3&gt;='Gastos com Pessoal'!$E$7:$E$506)*(W$3&lt;='Gastos com Pessoal'!$F$7:$F$506)*(IF('Gastos com Pessoal'!$S$7:$S$506&lt;=W$3,1,0))*OFFSET('Gastos com Pessoal'!$H$6,1,MATCH(3&amp;$B31,'Gastos com Pessoal'!$I$532:$AJ$532&amp;'Gastos com Pessoal'!$I$6:$AJ$6,0),500,1)),0)+_xlfn.IFNA(SUM((W$3&gt;='Gastos com Pessoal'!$E$7:$E$506)*(W$3&lt;='Gastos com Pessoal'!$F$7:$F$506)*(IF('Gastos com Pessoal'!$Y$7:$Y$506&lt;=W$3,1,0))*OFFSET('Gastos com Pessoal'!$H$6,1,MATCH(4&amp;$B31,'Gastos com Pessoal'!$I$532:$AJ$532&amp;'Gastos com Pessoal'!$I$6:$AJ$6,0),500,1)),0)+_xlfn.IFNA(SUM((W$3&gt;='Gastos com Pessoal'!$E$7:$E$506)*(W$3&lt;='Gastos com Pessoal'!$F$7:$F$506)*(IF('Gastos com Pessoal'!$AE$7:$AE$506&lt;=W$3,1,0))*OFFSET('Gastos com Pessoal'!$H$6,1,MATCH(5&amp;$B31,'Gastos com Pessoal'!$I$532:$AJ$532&amp;'Gastos com Pessoal'!$I$6:$AJ$6,0),500,1)),0)+_xlfn.IFNA(SUM((W$3&gt;='Gastos com Pessoal'!$E$513:$E$522)*(W$3&lt;='Gastos com Pessoal'!$F$513:$F$522)*(IF('Gastos com Pessoal'!$G$513:$G$522&lt;=W$3,1,0))*OFFSET('Gastos com Pessoal'!$H$512,1,MATCH(1&amp;$B31,'Gastos com Pessoal'!$I$532:$AJ$532&amp;'Gastos com Pessoal'!$I$512:$AJ$512,0),10,1)),0)+_xlfn.IFNA(SUM((W$3&gt;='Gastos com Pessoal'!$E$513:$E$522)*(W$3&lt;='Gastos com Pessoal'!$F$513:$F$522)*(IF('Gastos com Pessoal'!$M$513:$M$522&lt;=W$3,1,0))*OFFSET('Gastos com Pessoal'!$H$512,1,MATCH(2&amp;$B31,'Gastos com Pessoal'!$I$532:$AJ$532&amp;'Gastos com Pessoal'!$I$512:$AJ$512,0),10,1)),0)+_xlfn.IFNA(SUM((W$3&gt;='Gastos com Pessoal'!$E$513:$E$522)*(W$3&lt;='Gastos com Pessoal'!$F$513:$F$522)*(IF('Gastos com Pessoal'!$S$513:$S$522&lt;=W$3,1,0))*OFFSET('Gastos com Pessoal'!$H$512,1,MATCH(3&amp;$B31,'Gastos com Pessoal'!$I$532:$AJ$532&amp;'Gastos com Pessoal'!$I$512:$AJ$512,0),10,1)),0)+_xlfn.IFNA(SUM((W$3&gt;='Gastos com Pessoal'!$E$513:$E$522)*(W$3&lt;='Gastos com Pessoal'!$F$513:$F$522)*(IF('Gastos com Pessoal'!$Y$513:$Y$522&lt;=W$3,1,0))*OFFSET('Gastos com Pessoal'!$H$512,1,MATCH(4&amp;$B31,'Gastos com Pessoal'!$I$532:$AJ$532&amp;'Gastos com Pessoal'!$I$512:$AJ$512,0),10,1)),0)+_xlfn.IFNA(SUM((W$3&gt;='Gastos com Pessoal'!$E$513:$E$522)*(W$3&lt;='Gastos com Pessoal'!$F$513:$F$522)*(IF('Gastos com Pessoal'!$AE$513:$AE$522&lt;=W$3,1,0))*OFFSET('Gastos com Pessoal'!$H$512,1,MATCH(5&amp;$B31,'Gastos com Pessoal'!$I$532:$AJ$532&amp;'Gastos com Pessoal'!$I$512:$AJ$512,0),10,1)),0)</f>
        <v>0</v>
      </c>
      <c r="X31" s="188">
        <f t="array" aca="1" ref="X31" ca="1">_xlfn.IFNA(SUM((X$3&gt;='Gastos com Pessoal'!$E$7:$E$506)*(X$3&lt;='Gastos com Pessoal'!$F$7:$F$506)*OFFSET('Encargos e Benefícios'!$D$5,1,MATCH($B31,'Encargos e Benefícios'!$E$5:$AB$5,0),500,1)),0)+_xlfn.IFNA(SUM((X$3&gt;='Gastos com Pessoal'!$E$513:$E$522)*(X$3&lt;='Gastos com Pessoal'!$F$513:$F$522)*OFFSET('Encargos e Benefícios'!$D$511,1,MATCH($B31,'Encargos e Benefícios'!$E$511:$AB$511,0),10,1)),0)+_xlfn.IFNA(SUM((X$3&gt;='Gastos com Pessoal'!$E$7:$E$506)*(X$3&lt;='Gastos com Pessoal'!$F$7:$F$506)*(IF('Gastos com Pessoal'!$G$7:$G$506&lt;=X$3,1,0))*OFFSET('Gastos com Pessoal'!$H$6,1,MATCH(1&amp;$B31,'Gastos com Pessoal'!$I$532:$AJ$532&amp;'Gastos com Pessoal'!$I$6:$AJ$6,0),500,1)),0)+_xlfn.IFNA(SUM((X$3&gt;='Gastos com Pessoal'!$E$7:$E$506)*(X$3&lt;='Gastos com Pessoal'!$F$7:$F$506)*(IF('Gastos com Pessoal'!$M$7:$M$506&lt;=X$3,1,0))*OFFSET('Gastos com Pessoal'!$H$6,1,MATCH(2&amp;$B31,'Gastos com Pessoal'!$I$532:$AJ$532&amp;'Gastos com Pessoal'!$I$6:$AJ$6,0),500,1)),0)+_xlfn.IFNA(SUM((X$3&gt;='Gastos com Pessoal'!$E$7:$E$506)*(X$3&lt;='Gastos com Pessoal'!$F$7:$F$506)*(IF('Gastos com Pessoal'!$S$7:$S$506&lt;=X$3,1,0))*OFFSET('Gastos com Pessoal'!$H$6,1,MATCH(3&amp;$B31,'Gastos com Pessoal'!$I$532:$AJ$532&amp;'Gastos com Pessoal'!$I$6:$AJ$6,0),500,1)),0)+_xlfn.IFNA(SUM((X$3&gt;='Gastos com Pessoal'!$E$7:$E$506)*(X$3&lt;='Gastos com Pessoal'!$F$7:$F$506)*(IF('Gastos com Pessoal'!$Y$7:$Y$506&lt;=X$3,1,0))*OFFSET('Gastos com Pessoal'!$H$6,1,MATCH(4&amp;$B31,'Gastos com Pessoal'!$I$532:$AJ$532&amp;'Gastos com Pessoal'!$I$6:$AJ$6,0),500,1)),0)+_xlfn.IFNA(SUM((X$3&gt;='Gastos com Pessoal'!$E$7:$E$506)*(X$3&lt;='Gastos com Pessoal'!$F$7:$F$506)*(IF('Gastos com Pessoal'!$AE$7:$AE$506&lt;=X$3,1,0))*OFFSET('Gastos com Pessoal'!$H$6,1,MATCH(5&amp;$B31,'Gastos com Pessoal'!$I$532:$AJ$532&amp;'Gastos com Pessoal'!$I$6:$AJ$6,0),500,1)),0)+_xlfn.IFNA(SUM((X$3&gt;='Gastos com Pessoal'!$E$513:$E$522)*(X$3&lt;='Gastos com Pessoal'!$F$513:$F$522)*(IF('Gastos com Pessoal'!$G$513:$G$522&lt;=X$3,1,0))*OFFSET('Gastos com Pessoal'!$H$512,1,MATCH(1&amp;$B31,'Gastos com Pessoal'!$I$532:$AJ$532&amp;'Gastos com Pessoal'!$I$512:$AJ$512,0),10,1)),0)+_xlfn.IFNA(SUM((X$3&gt;='Gastos com Pessoal'!$E$513:$E$522)*(X$3&lt;='Gastos com Pessoal'!$F$513:$F$522)*(IF('Gastos com Pessoal'!$M$513:$M$522&lt;=X$3,1,0))*OFFSET('Gastos com Pessoal'!$H$512,1,MATCH(2&amp;$B31,'Gastos com Pessoal'!$I$532:$AJ$532&amp;'Gastos com Pessoal'!$I$512:$AJ$512,0),10,1)),0)+_xlfn.IFNA(SUM((X$3&gt;='Gastos com Pessoal'!$E$513:$E$522)*(X$3&lt;='Gastos com Pessoal'!$F$513:$F$522)*(IF('Gastos com Pessoal'!$S$513:$S$522&lt;=X$3,1,0))*OFFSET('Gastos com Pessoal'!$H$512,1,MATCH(3&amp;$B31,'Gastos com Pessoal'!$I$532:$AJ$532&amp;'Gastos com Pessoal'!$I$512:$AJ$512,0),10,1)),0)+_xlfn.IFNA(SUM((X$3&gt;='Gastos com Pessoal'!$E$513:$E$522)*(X$3&lt;='Gastos com Pessoal'!$F$513:$F$522)*(IF('Gastos com Pessoal'!$Y$513:$Y$522&lt;=X$3,1,0))*OFFSET('Gastos com Pessoal'!$H$512,1,MATCH(4&amp;$B31,'Gastos com Pessoal'!$I$532:$AJ$532&amp;'Gastos com Pessoal'!$I$512:$AJ$512,0),10,1)),0)+_xlfn.IFNA(SUM((X$3&gt;='Gastos com Pessoal'!$E$513:$E$522)*(X$3&lt;='Gastos com Pessoal'!$F$513:$F$522)*(IF('Gastos com Pessoal'!$AE$513:$AE$522&lt;=X$3,1,0))*OFFSET('Gastos com Pessoal'!$H$512,1,MATCH(5&amp;$B31,'Gastos com Pessoal'!$I$532:$AJ$532&amp;'Gastos com Pessoal'!$I$512:$AJ$512,0),10,1)),0)</f>
        <v>0</v>
      </c>
      <c r="Y31" s="188">
        <f t="array" aca="1" ref="Y31" ca="1">_xlfn.IFNA(SUM((Y$3&gt;='Gastos com Pessoal'!$E$7:$E$506)*(Y$3&lt;='Gastos com Pessoal'!$F$7:$F$506)*OFFSET('Encargos e Benefícios'!$D$5,1,MATCH($B31,'Encargos e Benefícios'!$E$5:$AB$5,0),500,1)),0)+_xlfn.IFNA(SUM((Y$3&gt;='Gastos com Pessoal'!$E$513:$E$522)*(Y$3&lt;='Gastos com Pessoal'!$F$513:$F$522)*OFFSET('Encargos e Benefícios'!$D$511,1,MATCH($B31,'Encargos e Benefícios'!$E$511:$AB$511,0),10,1)),0)+_xlfn.IFNA(SUM((Y$3&gt;='Gastos com Pessoal'!$E$7:$E$506)*(Y$3&lt;='Gastos com Pessoal'!$F$7:$F$506)*(IF('Gastos com Pessoal'!$G$7:$G$506&lt;=Y$3,1,0))*OFFSET('Gastos com Pessoal'!$H$6,1,MATCH(1&amp;$B31,'Gastos com Pessoal'!$I$532:$AJ$532&amp;'Gastos com Pessoal'!$I$6:$AJ$6,0),500,1)),0)+_xlfn.IFNA(SUM((Y$3&gt;='Gastos com Pessoal'!$E$7:$E$506)*(Y$3&lt;='Gastos com Pessoal'!$F$7:$F$506)*(IF('Gastos com Pessoal'!$M$7:$M$506&lt;=Y$3,1,0))*OFFSET('Gastos com Pessoal'!$H$6,1,MATCH(2&amp;$B31,'Gastos com Pessoal'!$I$532:$AJ$532&amp;'Gastos com Pessoal'!$I$6:$AJ$6,0),500,1)),0)+_xlfn.IFNA(SUM((Y$3&gt;='Gastos com Pessoal'!$E$7:$E$506)*(Y$3&lt;='Gastos com Pessoal'!$F$7:$F$506)*(IF('Gastos com Pessoal'!$S$7:$S$506&lt;=Y$3,1,0))*OFFSET('Gastos com Pessoal'!$H$6,1,MATCH(3&amp;$B31,'Gastos com Pessoal'!$I$532:$AJ$532&amp;'Gastos com Pessoal'!$I$6:$AJ$6,0),500,1)),0)+_xlfn.IFNA(SUM((Y$3&gt;='Gastos com Pessoal'!$E$7:$E$506)*(Y$3&lt;='Gastos com Pessoal'!$F$7:$F$506)*(IF('Gastos com Pessoal'!$Y$7:$Y$506&lt;=Y$3,1,0))*OFFSET('Gastos com Pessoal'!$H$6,1,MATCH(4&amp;$B31,'Gastos com Pessoal'!$I$532:$AJ$532&amp;'Gastos com Pessoal'!$I$6:$AJ$6,0),500,1)),0)+_xlfn.IFNA(SUM((Y$3&gt;='Gastos com Pessoal'!$E$7:$E$506)*(Y$3&lt;='Gastos com Pessoal'!$F$7:$F$506)*(IF('Gastos com Pessoal'!$AE$7:$AE$506&lt;=Y$3,1,0))*OFFSET('Gastos com Pessoal'!$H$6,1,MATCH(5&amp;$B31,'Gastos com Pessoal'!$I$532:$AJ$532&amp;'Gastos com Pessoal'!$I$6:$AJ$6,0),500,1)),0)+_xlfn.IFNA(SUM((Y$3&gt;='Gastos com Pessoal'!$E$513:$E$522)*(Y$3&lt;='Gastos com Pessoal'!$F$513:$F$522)*(IF('Gastos com Pessoal'!$G$513:$G$522&lt;=Y$3,1,0))*OFFSET('Gastos com Pessoal'!$H$512,1,MATCH(1&amp;$B31,'Gastos com Pessoal'!$I$532:$AJ$532&amp;'Gastos com Pessoal'!$I$512:$AJ$512,0),10,1)),0)+_xlfn.IFNA(SUM((Y$3&gt;='Gastos com Pessoal'!$E$513:$E$522)*(Y$3&lt;='Gastos com Pessoal'!$F$513:$F$522)*(IF('Gastos com Pessoal'!$M$513:$M$522&lt;=Y$3,1,0))*OFFSET('Gastos com Pessoal'!$H$512,1,MATCH(2&amp;$B31,'Gastos com Pessoal'!$I$532:$AJ$532&amp;'Gastos com Pessoal'!$I$512:$AJ$512,0),10,1)),0)+_xlfn.IFNA(SUM((Y$3&gt;='Gastos com Pessoal'!$E$513:$E$522)*(Y$3&lt;='Gastos com Pessoal'!$F$513:$F$522)*(IF('Gastos com Pessoal'!$S$513:$S$522&lt;=Y$3,1,0))*OFFSET('Gastos com Pessoal'!$H$512,1,MATCH(3&amp;$B31,'Gastos com Pessoal'!$I$532:$AJ$532&amp;'Gastos com Pessoal'!$I$512:$AJ$512,0),10,1)),0)+_xlfn.IFNA(SUM((Y$3&gt;='Gastos com Pessoal'!$E$513:$E$522)*(Y$3&lt;='Gastos com Pessoal'!$F$513:$F$522)*(IF('Gastos com Pessoal'!$Y$513:$Y$522&lt;=Y$3,1,0))*OFFSET('Gastos com Pessoal'!$H$512,1,MATCH(4&amp;$B31,'Gastos com Pessoal'!$I$532:$AJ$532&amp;'Gastos com Pessoal'!$I$512:$AJ$512,0),10,1)),0)+_xlfn.IFNA(SUM((Y$3&gt;='Gastos com Pessoal'!$E$513:$E$522)*(Y$3&lt;='Gastos com Pessoal'!$F$513:$F$522)*(IF('Gastos com Pessoal'!$AE$513:$AE$522&lt;=Y$3,1,0))*OFFSET('Gastos com Pessoal'!$H$512,1,MATCH(5&amp;$B31,'Gastos com Pessoal'!$I$532:$AJ$532&amp;'Gastos com Pessoal'!$I$512:$AJ$512,0),10,1)),0)</f>
        <v>0</v>
      </c>
      <c r="Z31" s="188">
        <f t="array" aca="1" ref="Z31" ca="1">_xlfn.IFNA(SUM((Z$3&gt;='Gastos com Pessoal'!$E$7:$E$506)*(Z$3&lt;='Gastos com Pessoal'!$F$7:$F$506)*OFFSET('Encargos e Benefícios'!$D$5,1,MATCH($B31,'Encargos e Benefícios'!$E$5:$AB$5,0),500,1)),0)+_xlfn.IFNA(SUM((Z$3&gt;='Gastos com Pessoal'!$E$513:$E$522)*(Z$3&lt;='Gastos com Pessoal'!$F$513:$F$522)*OFFSET('Encargos e Benefícios'!$D$511,1,MATCH($B31,'Encargos e Benefícios'!$E$511:$AB$511,0),10,1)),0)+_xlfn.IFNA(SUM((Z$3&gt;='Gastos com Pessoal'!$E$7:$E$506)*(Z$3&lt;='Gastos com Pessoal'!$F$7:$F$506)*(IF('Gastos com Pessoal'!$G$7:$G$506&lt;=Z$3,1,0))*OFFSET('Gastos com Pessoal'!$H$6,1,MATCH(1&amp;$B31,'Gastos com Pessoal'!$I$532:$AJ$532&amp;'Gastos com Pessoal'!$I$6:$AJ$6,0),500,1)),0)+_xlfn.IFNA(SUM((Z$3&gt;='Gastos com Pessoal'!$E$7:$E$506)*(Z$3&lt;='Gastos com Pessoal'!$F$7:$F$506)*(IF('Gastos com Pessoal'!$M$7:$M$506&lt;=Z$3,1,0))*OFFSET('Gastos com Pessoal'!$H$6,1,MATCH(2&amp;$B31,'Gastos com Pessoal'!$I$532:$AJ$532&amp;'Gastos com Pessoal'!$I$6:$AJ$6,0),500,1)),0)+_xlfn.IFNA(SUM((Z$3&gt;='Gastos com Pessoal'!$E$7:$E$506)*(Z$3&lt;='Gastos com Pessoal'!$F$7:$F$506)*(IF('Gastos com Pessoal'!$S$7:$S$506&lt;=Z$3,1,0))*OFFSET('Gastos com Pessoal'!$H$6,1,MATCH(3&amp;$B31,'Gastos com Pessoal'!$I$532:$AJ$532&amp;'Gastos com Pessoal'!$I$6:$AJ$6,0),500,1)),0)+_xlfn.IFNA(SUM((Z$3&gt;='Gastos com Pessoal'!$E$7:$E$506)*(Z$3&lt;='Gastos com Pessoal'!$F$7:$F$506)*(IF('Gastos com Pessoal'!$Y$7:$Y$506&lt;=Z$3,1,0))*OFFSET('Gastos com Pessoal'!$H$6,1,MATCH(4&amp;$B31,'Gastos com Pessoal'!$I$532:$AJ$532&amp;'Gastos com Pessoal'!$I$6:$AJ$6,0),500,1)),0)+_xlfn.IFNA(SUM((Z$3&gt;='Gastos com Pessoal'!$E$7:$E$506)*(Z$3&lt;='Gastos com Pessoal'!$F$7:$F$506)*(IF('Gastos com Pessoal'!$AE$7:$AE$506&lt;=Z$3,1,0))*OFFSET('Gastos com Pessoal'!$H$6,1,MATCH(5&amp;$B31,'Gastos com Pessoal'!$I$532:$AJ$532&amp;'Gastos com Pessoal'!$I$6:$AJ$6,0),500,1)),0)+_xlfn.IFNA(SUM((Z$3&gt;='Gastos com Pessoal'!$E$513:$E$522)*(Z$3&lt;='Gastos com Pessoal'!$F$513:$F$522)*(IF('Gastos com Pessoal'!$G$513:$G$522&lt;=Z$3,1,0))*OFFSET('Gastos com Pessoal'!$H$512,1,MATCH(1&amp;$B31,'Gastos com Pessoal'!$I$532:$AJ$532&amp;'Gastos com Pessoal'!$I$512:$AJ$512,0),10,1)),0)+_xlfn.IFNA(SUM((Z$3&gt;='Gastos com Pessoal'!$E$513:$E$522)*(Z$3&lt;='Gastos com Pessoal'!$F$513:$F$522)*(IF('Gastos com Pessoal'!$M$513:$M$522&lt;=Z$3,1,0))*OFFSET('Gastos com Pessoal'!$H$512,1,MATCH(2&amp;$B31,'Gastos com Pessoal'!$I$532:$AJ$532&amp;'Gastos com Pessoal'!$I$512:$AJ$512,0),10,1)),0)+_xlfn.IFNA(SUM((Z$3&gt;='Gastos com Pessoal'!$E$513:$E$522)*(Z$3&lt;='Gastos com Pessoal'!$F$513:$F$522)*(IF('Gastos com Pessoal'!$S$513:$S$522&lt;=Z$3,1,0))*OFFSET('Gastos com Pessoal'!$H$512,1,MATCH(3&amp;$B31,'Gastos com Pessoal'!$I$532:$AJ$532&amp;'Gastos com Pessoal'!$I$512:$AJ$512,0),10,1)),0)+_xlfn.IFNA(SUM((Z$3&gt;='Gastos com Pessoal'!$E$513:$E$522)*(Z$3&lt;='Gastos com Pessoal'!$F$513:$F$522)*(IF('Gastos com Pessoal'!$Y$513:$Y$522&lt;=Z$3,1,0))*OFFSET('Gastos com Pessoal'!$H$512,1,MATCH(4&amp;$B31,'Gastos com Pessoal'!$I$532:$AJ$532&amp;'Gastos com Pessoal'!$I$512:$AJ$512,0),10,1)),0)+_xlfn.IFNA(SUM((Z$3&gt;='Gastos com Pessoal'!$E$513:$E$522)*(Z$3&lt;='Gastos com Pessoal'!$F$513:$F$522)*(IF('Gastos com Pessoal'!$AE$513:$AE$522&lt;=Z$3,1,0))*OFFSET('Gastos com Pessoal'!$H$512,1,MATCH(5&amp;$B31,'Gastos com Pessoal'!$I$532:$AJ$532&amp;'Gastos com Pessoal'!$I$512:$AJ$512,0),10,1)),0)</f>
        <v>0</v>
      </c>
      <c r="AA31" s="188">
        <f t="array" aca="1" ref="AA31" ca="1">_xlfn.IFNA(SUM((AA$3&gt;='Gastos com Pessoal'!$E$7:$E$506)*(AA$3&lt;='Gastos com Pessoal'!$F$7:$F$506)*OFFSET('Encargos e Benefícios'!$D$5,1,MATCH($B31,'Encargos e Benefícios'!$E$5:$AB$5,0),500,1)),0)+_xlfn.IFNA(SUM((AA$3&gt;='Gastos com Pessoal'!$E$513:$E$522)*(AA$3&lt;='Gastos com Pessoal'!$F$513:$F$522)*OFFSET('Encargos e Benefícios'!$D$511,1,MATCH($B31,'Encargos e Benefícios'!$E$511:$AB$511,0),10,1)),0)+_xlfn.IFNA(SUM((AA$3&gt;='Gastos com Pessoal'!$E$7:$E$506)*(AA$3&lt;='Gastos com Pessoal'!$F$7:$F$506)*(IF('Gastos com Pessoal'!$G$7:$G$506&lt;=AA$3,1,0))*OFFSET('Gastos com Pessoal'!$H$6,1,MATCH(1&amp;$B31,'Gastos com Pessoal'!$I$532:$AJ$532&amp;'Gastos com Pessoal'!$I$6:$AJ$6,0),500,1)),0)+_xlfn.IFNA(SUM((AA$3&gt;='Gastos com Pessoal'!$E$7:$E$506)*(AA$3&lt;='Gastos com Pessoal'!$F$7:$F$506)*(IF('Gastos com Pessoal'!$M$7:$M$506&lt;=AA$3,1,0))*OFFSET('Gastos com Pessoal'!$H$6,1,MATCH(2&amp;$B31,'Gastos com Pessoal'!$I$532:$AJ$532&amp;'Gastos com Pessoal'!$I$6:$AJ$6,0),500,1)),0)+_xlfn.IFNA(SUM((AA$3&gt;='Gastos com Pessoal'!$E$7:$E$506)*(AA$3&lt;='Gastos com Pessoal'!$F$7:$F$506)*(IF('Gastos com Pessoal'!$S$7:$S$506&lt;=AA$3,1,0))*OFFSET('Gastos com Pessoal'!$H$6,1,MATCH(3&amp;$B31,'Gastos com Pessoal'!$I$532:$AJ$532&amp;'Gastos com Pessoal'!$I$6:$AJ$6,0),500,1)),0)+_xlfn.IFNA(SUM((AA$3&gt;='Gastos com Pessoal'!$E$7:$E$506)*(AA$3&lt;='Gastos com Pessoal'!$F$7:$F$506)*(IF('Gastos com Pessoal'!$Y$7:$Y$506&lt;=AA$3,1,0))*OFFSET('Gastos com Pessoal'!$H$6,1,MATCH(4&amp;$B31,'Gastos com Pessoal'!$I$532:$AJ$532&amp;'Gastos com Pessoal'!$I$6:$AJ$6,0),500,1)),0)+_xlfn.IFNA(SUM((AA$3&gt;='Gastos com Pessoal'!$E$7:$E$506)*(AA$3&lt;='Gastos com Pessoal'!$F$7:$F$506)*(IF('Gastos com Pessoal'!$AE$7:$AE$506&lt;=AA$3,1,0))*OFFSET('Gastos com Pessoal'!$H$6,1,MATCH(5&amp;$B31,'Gastos com Pessoal'!$I$532:$AJ$532&amp;'Gastos com Pessoal'!$I$6:$AJ$6,0),500,1)),0)+_xlfn.IFNA(SUM((AA$3&gt;='Gastos com Pessoal'!$E$513:$E$522)*(AA$3&lt;='Gastos com Pessoal'!$F$513:$F$522)*(IF('Gastos com Pessoal'!$G$513:$G$522&lt;=AA$3,1,0))*OFFSET('Gastos com Pessoal'!$H$512,1,MATCH(1&amp;$B31,'Gastos com Pessoal'!$I$532:$AJ$532&amp;'Gastos com Pessoal'!$I$512:$AJ$512,0),10,1)),0)+_xlfn.IFNA(SUM((AA$3&gt;='Gastos com Pessoal'!$E$513:$E$522)*(AA$3&lt;='Gastos com Pessoal'!$F$513:$F$522)*(IF('Gastos com Pessoal'!$M$513:$M$522&lt;=AA$3,1,0))*OFFSET('Gastos com Pessoal'!$H$512,1,MATCH(2&amp;$B31,'Gastos com Pessoal'!$I$532:$AJ$532&amp;'Gastos com Pessoal'!$I$512:$AJ$512,0),10,1)),0)+_xlfn.IFNA(SUM((AA$3&gt;='Gastos com Pessoal'!$E$513:$E$522)*(AA$3&lt;='Gastos com Pessoal'!$F$513:$F$522)*(IF('Gastos com Pessoal'!$S$513:$S$522&lt;=AA$3,1,0))*OFFSET('Gastos com Pessoal'!$H$512,1,MATCH(3&amp;$B31,'Gastos com Pessoal'!$I$532:$AJ$532&amp;'Gastos com Pessoal'!$I$512:$AJ$512,0),10,1)),0)+_xlfn.IFNA(SUM((AA$3&gt;='Gastos com Pessoal'!$E$513:$E$522)*(AA$3&lt;='Gastos com Pessoal'!$F$513:$F$522)*(IF('Gastos com Pessoal'!$Y$513:$Y$522&lt;=AA$3,1,0))*OFFSET('Gastos com Pessoal'!$H$512,1,MATCH(4&amp;$B31,'Gastos com Pessoal'!$I$532:$AJ$532&amp;'Gastos com Pessoal'!$I$512:$AJ$512,0),10,1)),0)+_xlfn.IFNA(SUM((AA$3&gt;='Gastos com Pessoal'!$E$513:$E$522)*(AA$3&lt;='Gastos com Pessoal'!$F$513:$F$522)*(IF('Gastos com Pessoal'!$AE$513:$AE$522&lt;=AA$3,1,0))*OFFSET('Gastos com Pessoal'!$H$512,1,MATCH(5&amp;$B31,'Gastos com Pessoal'!$I$532:$AJ$532&amp;'Gastos com Pessoal'!$I$512:$AJ$512,0),10,1)),0)</f>
        <v>0</v>
      </c>
      <c r="AB31" s="188">
        <f t="array" aca="1" ref="AB31" ca="1">_xlfn.IFNA(SUM((AB$3&gt;='Gastos com Pessoal'!$E$7:$E$506)*(AB$3&lt;='Gastos com Pessoal'!$F$7:$F$506)*OFFSET('Encargos e Benefícios'!$D$5,1,MATCH($B31,'Encargos e Benefícios'!$E$5:$AB$5,0),500,1)),0)+_xlfn.IFNA(SUM((AB$3&gt;='Gastos com Pessoal'!$E$513:$E$522)*(AB$3&lt;='Gastos com Pessoal'!$F$513:$F$522)*OFFSET('Encargos e Benefícios'!$D$511,1,MATCH($B31,'Encargos e Benefícios'!$E$511:$AB$511,0),10,1)),0)+_xlfn.IFNA(SUM((AB$3&gt;='Gastos com Pessoal'!$E$7:$E$506)*(AB$3&lt;='Gastos com Pessoal'!$F$7:$F$506)*(IF('Gastos com Pessoal'!$G$7:$G$506&lt;=AB$3,1,0))*OFFSET('Gastos com Pessoal'!$H$6,1,MATCH(1&amp;$B31,'Gastos com Pessoal'!$I$532:$AJ$532&amp;'Gastos com Pessoal'!$I$6:$AJ$6,0),500,1)),0)+_xlfn.IFNA(SUM((AB$3&gt;='Gastos com Pessoal'!$E$7:$E$506)*(AB$3&lt;='Gastos com Pessoal'!$F$7:$F$506)*(IF('Gastos com Pessoal'!$M$7:$M$506&lt;=AB$3,1,0))*OFFSET('Gastos com Pessoal'!$H$6,1,MATCH(2&amp;$B31,'Gastos com Pessoal'!$I$532:$AJ$532&amp;'Gastos com Pessoal'!$I$6:$AJ$6,0),500,1)),0)+_xlfn.IFNA(SUM((AB$3&gt;='Gastos com Pessoal'!$E$7:$E$506)*(AB$3&lt;='Gastos com Pessoal'!$F$7:$F$506)*(IF('Gastos com Pessoal'!$S$7:$S$506&lt;=AB$3,1,0))*OFFSET('Gastos com Pessoal'!$H$6,1,MATCH(3&amp;$B31,'Gastos com Pessoal'!$I$532:$AJ$532&amp;'Gastos com Pessoal'!$I$6:$AJ$6,0),500,1)),0)+_xlfn.IFNA(SUM((AB$3&gt;='Gastos com Pessoal'!$E$7:$E$506)*(AB$3&lt;='Gastos com Pessoal'!$F$7:$F$506)*(IF('Gastos com Pessoal'!$Y$7:$Y$506&lt;=AB$3,1,0))*OFFSET('Gastos com Pessoal'!$H$6,1,MATCH(4&amp;$B31,'Gastos com Pessoal'!$I$532:$AJ$532&amp;'Gastos com Pessoal'!$I$6:$AJ$6,0),500,1)),0)+_xlfn.IFNA(SUM((AB$3&gt;='Gastos com Pessoal'!$E$7:$E$506)*(AB$3&lt;='Gastos com Pessoal'!$F$7:$F$506)*(IF('Gastos com Pessoal'!$AE$7:$AE$506&lt;=AB$3,1,0))*OFFSET('Gastos com Pessoal'!$H$6,1,MATCH(5&amp;$B31,'Gastos com Pessoal'!$I$532:$AJ$532&amp;'Gastos com Pessoal'!$I$6:$AJ$6,0),500,1)),0)+_xlfn.IFNA(SUM((AB$3&gt;='Gastos com Pessoal'!$E$513:$E$522)*(AB$3&lt;='Gastos com Pessoal'!$F$513:$F$522)*(IF('Gastos com Pessoal'!$G$513:$G$522&lt;=AB$3,1,0))*OFFSET('Gastos com Pessoal'!$H$512,1,MATCH(1&amp;$B31,'Gastos com Pessoal'!$I$532:$AJ$532&amp;'Gastos com Pessoal'!$I$512:$AJ$512,0),10,1)),0)+_xlfn.IFNA(SUM((AB$3&gt;='Gastos com Pessoal'!$E$513:$E$522)*(AB$3&lt;='Gastos com Pessoal'!$F$513:$F$522)*(IF('Gastos com Pessoal'!$M$513:$M$522&lt;=AB$3,1,0))*OFFSET('Gastos com Pessoal'!$H$512,1,MATCH(2&amp;$B31,'Gastos com Pessoal'!$I$532:$AJ$532&amp;'Gastos com Pessoal'!$I$512:$AJ$512,0),10,1)),0)+_xlfn.IFNA(SUM((AB$3&gt;='Gastos com Pessoal'!$E$513:$E$522)*(AB$3&lt;='Gastos com Pessoal'!$F$513:$F$522)*(IF('Gastos com Pessoal'!$S$513:$S$522&lt;=AB$3,1,0))*OFFSET('Gastos com Pessoal'!$H$512,1,MATCH(3&amp;$B31,'Gastos com Pessoal'!$I$532:$AJ$532&amp;'Gastos com Pessoal'!$I$512:$AJ$512,0),10,1)),0)+_xlfn.IFNA(SUM((AB$3&gt;='Gastos com Pessoal'!$E$513:$E$522)*(AB$3&lt;='Gastos com Pessoal'!$F$513:$F$522)*(IF('Gastos com Pessoal'!$Y$513:$Y$522&lt;=AB$3,1,0))*OFFSET('Gastos com Pessoal'!$H$512,1,MATCH(4&amp;$B31,'Gastos com Pessoal'!$I$532:$AJ$532&amp;'Gastos com Pessoal'!$I$512:$AJ$512,0),10,1)),0)+_xlfn.IFNA(SUM((AB$3&gt;='Gastos com Pessoal'!$E$513:$E$522)*(AB$3&lt;='Gastos com Pessoal'!$F$513:$F$522)*(IF('Gastos com Pessoal'!$AE$513:$AE$522&lt;=AB$3,1,0))*OFFSET('Gastos com Pessoal'!$H$512,1,MATCH(5&amp;$B31,'Gastos com Pessoal'!$I$532:$AJ$532&amp;'Gastos com Pessoal'!$I$512:$AJ$512,0),10,1)),0)</f>
        <v>0</v>
      </c>
      <c r="AC31" s="188">
        <f t="array" aca="1" ref="AC31" ca="1">_xlfn.IFNA(SUM((AC$3&gt;='Gastos com Pessoal'!$E$7:$E$506)*(AC$3&lt;='Gastos com Pessoal'!$F$7:$F$506)*OFFSET('Encargos e Benefícios'!$D$5,1,MATCH($B31,'Encargos e Benefícios'!$E$5:$AB$5,0),500,1)),0)+_xlfn.IFNA(SUM((AC$3&gt;='Gastos com Pessoal'!$E$513:$E$522)*(AC$3&lt;='Gastos com Pessoal'!$F$513:$F$522)*OFFSET('Encargos e Benefícios'!$D$511,1,MATCH($B31,'Encargos e Benefícios'!$E$511:$AB$511,0),10,1)),0)+_xlfn.IFNA(SUM((AC$3&gt;='Gastos com Pessoal'!$E$7:$E$506)*(AC$3&lt;='Gastos com Pessoal'!$F$7:$F$506)*(IF('Gastos com Pessoal'!$G$7:$G$506&lt;=AC$3,1,0))*OFFSET('Gastos com Pessoal'!$H$6,1,MATCH(1&amp;$B31,'Gastos com Pessoal'!$I$532:$AJ$532&amp;'Gastos com Pessoal'!$I$6:$AJ$6,0),500,1)),0)+_xlfn.IFNA(SUM((AC$3&gt;='Gastos com Pessoal'!$E$7:$E$506)*(AC$3&lt;='Gastos com Pessoal'!$F$7:$F$506)*(IF('Gastos com Pessoal'!$M$7:$M$506&lt;=AC$3,1,0))*OFFSET('Gastos com Pessoal'!$H$6,1,MATCH(2&amp;$B31,'Gastos com Pessoal'!$I$532:$AJ$532&amp;'Gastos com Pessoal'!$I$6:$AJ$6,0),500,1)),0)+_xlfn.IFNA(SUM((AC$3&gt;='Gastos com Pessoal'!$E$7:$E$506)*(AC$3&lt;='Gastos com Pessoal'!$F$7:$F$506)*(IF('Gastos com Pessoal'!$S$7:$S$506&lt;=AC$3,1,0))*OFFSET('Gastos com Pessoal'!$H$6,1,MATCH(3&amp;$B31,'Gastos com Pessoal'!$I$532:$AJ$532&amp;'Gastos com Pessoal'!$I$6:$AJ$6,0),500,1)),0)+_xlfn.IFNA(SUM((AC$3&gt;='Gastos com Pessoal'!$E$7:$E$506)*(AC$3&lt;='Gastos com Pessoal'!$F$7:$F$506)*(IF('Gastos com Pessoal'!$Y$7:$Y$506&lt;=AC$3,1,0))*OFFSET('Gastos com Pessoal'!$H$6,1,MATCH(4&amp;$B31,'Gastos com Pessoal'!$I$532:$AJ$532&amp;'Gastos com Pessoal'!$I$6:$AJ$6,0),500,1)),0)+_xlfn.IFNA(SUM((AC$3&gt;='Gastos com Pessoal'!$E$7:$E$506)*(AC$3&lt;='Gastos com Pessoal'!$F$7:$F$506)*(IF('Gastos com Pessoal'!$AE$7:$AE$506&lt;=AC$3,1,0))*OFFSET('Gastos com Pessoal'!$H$6,1,MATCH(5&amp;$B31,'Gastos com Pessoal'!$I$532:$AJ$532&amp;'Gastos com Pessoal'!$I$6:$AJ$6,0),500,1)),0)+_xlfn.IFNA(SUM((AC$3&gt;='Gastos com Pessoal'!$E$513:$E$522)*(AC$3&lt;='Gastos com Pessoal'!$F$513:$F$522)*(IF('Gastos com Pessoal'!$G$513:$G$522&lt;=AC$3,1,0))*OFFSET('Gastos com Pessoal'!$H$512,1,MATCH(1&amp;$B31,'Gastos com Pessoal'!$I$532:$AJ$532&amp;'Gastos com Pessoal'!$I$512:$AJ$512,0),10,1)),0)+_xlfn.IFNA(SUM((AC$3&gt;='Gastos com Pessoal'!$E$513:$E$522)*(AC$3&lt;='Gastos com Pessoal'!$F$513:$F$522)*(IF('Gastos com Pessoal'!$M$513:$M$522&lt;=AC$3,1,0))*OFFSET('Gastos com Pessoal'!$H$512,1,MATCH(2&amp;$B31,'Gastos com Pessoal'!$I$532:$AJ$532&amp;'Gastos com Pessoal'!$I$512:$AJ$512,0),10,1)),0)+_xlfn.IFNA(SUM((AC$3&gt;='Gastos com Pessoal'!$E$513:$E$522)*(AC$3&lt;='Gastos com Pessoal'!$F$513:$F$522)*(IF('Gastos com Pessoal'!$S$513:$S$522&lt;=AC$3,1,0))*OFFSET('Gastos com Pessoal'!$H$512,1,MATCH(3&amp;$B31,'Gastos com Pessoal'!$I$532:$AJ$532&amp;'Gastos com Pessoal'!$I$512:$AJ$512,0),10,1)),0)+_xlfn.IFNA(SUM((AC$3&gt;='Gastos com Pessoal'!$E$513:$E$522)*(AC$3&lt;='Gastos com Pessoal'!$F$513:$F$522)*(IF('Gastos com Pessoal'!$Y$513:$Y$522&lt;=AC$3,1,0))*OFFSET('Gastos com Pessoal'!$H$512,1,MATCH(4&amp;$B31,'Gastos com Pessoal'!$I$532:$AJ$532&amp;'Gastos com Pessoal'!$I$512:$AJ$512,0),10,1)),0)+_xlfn.IFNA(SUM((AC$3&gt;='Gastos com Pessoal'!$E$513:$E$522)*(AC$3&lt;='Gastos com Pessoal'!$F$513:$F$522)*(IF('Gastos com Pessoal'!$AE$513:$AE$522&lt;=AC$3,1,0))*OFFSET('Gastos com Pessoal'!$H$512,1,MATCH(5&amp;$B31,'Gastos com Pessoal'!$I$532:$AJ$532&amp;'Gastos com Pessoal'!$I$512:$AJ$512,0),10,1)),0)</f>
        <v>0</v>
      </c>
      <c r="AD31" s="188">
        <f t="array" aca="1" ref="AD31" ca="1">_xlfn.IFNA(SUM((AD$3&gt;='Gastos com Pessoal'!$E$7:$E$506)*(AD$3&lt;='Gastos com Pessoal'!$F$7:$F$506)*OFFSET('Encargos e Benefícios'!$D$5,1,MATCH($B31,'Encargos e Benefícios'!$E$5:$AB$5,0),500,1)),0)+_xlfn.IFNA(SUM((AD$3&gt;='Gastos com Pessoal'!$E$513:$E$522)*(AD$3&lt;='Gastos com Pessoal'!$F$513:$F$522)*OFFSET('Encargos e Benefícios'!$D$511,1,MATCH($B31,'Encargos e Benefícios'!$E$511:$AB$511,0),10,1)),0)+_xlfn.IFNA(SUM((AD$3&gt;='Gastos com Pessoal'!$E$7:$E$506)*(AD$3&lt;='Gastos com Pessoal'!$F$7:$F$506)*(IF('Gastos com Pessoal'!$G$7:$G$506&lt;=AD$3,1,0))*OFFSET('Gastos com Pessoal'!$H$6,1,MATCH(1&amp;$B31,'Gastos com Pessoal'!$I$532:$AJ$532&amp;'Gastos com Pessoal'!$I$6:$AJ$6,0),500,1)),0)+_xlfn.IFNA(SUM((AD$3&gt;='Gastos com Pessoal'!$E$7:$E$506)*(AD$3&lt;='Gastos com Pessoal'!$F$7:$F$506)*(IF('Gastos com Pessoal'!$M$7:$M$506&lt;=AD$3,1,0))*OFFSET('Gastos com Pessoal'!$H$6,1,MATCH(2&amp;$B31,'Gastos com Pessoal'!$I$532:$AJ$532&amp;'Gastos com Pessoal'!$I$6:$AJ$6,0),500,1)),0)+_xlfn.IFNA(SUM((AD$3&gt;='Gastos com Pessoal'!$E$7:$E$506)*(AD$3&lt;='Gastos com Pessoal'!$F$7:$F$506)*(IF('Gastos com Pessoal'!$S$7:$S$506&lt;=AD$3,1,0))*OFFSET('Gastos com Pessoal'!$H$6,1,MATCH(3&amp;$B31,'Gastos com Pessoal'!$I$532:$AJ$532&amp;'Gastos com Pessoal'!$I$6:$AJ$6,0),500,1)),0)+_xlfn.IFNA(SUM((AD$3&gt;='Gastos com Pessoal'!$E$7:$E$506)*(AD$3&lt;='Gastos com Pessoal'!$F$7:$F$506)*(IF('Gastos com Pessoal'!$Y$7:$Y$506&lt;=AD$3,1,0))*OFFSET('Gastos com Pessoal'!$H$6,1,MATCH(4&amp;$B31,'Gastos com Pessoal'!$I$532:$AJ$532&amp;'Gastos com Pessoal'!$I$6:$AJ$6,0),500,1)),0)+_xlfn.IFNA(SUM((AD$3&gt;='Gastos com Pessoal'!$E$7:$E$506)*(AD$3&lt;='Gastos com Pessoal'!$F$7:$F$506)*(IF('Gastos com Pessoal'!$AE$7:$AE$506&lt;=AD$3,1,0))*OFFSET('Gastos com Pessoal'!$H$6,1,MATCH(5&amp;$B31,'Gastos com Pessoal'!$I$532:$AJ$532&amp;'Gastos com Pessoal'!$I$6:$AJ$6,0),500,1)),0)+_xlfn.IFNA(SUM((AD$3&gt;='Gastos com Pessoal'!$E$513:$E$522)*(AD$3&lt;='Gastos com Pessoal'!$F$513:$F$522)*(IF('Gastos com Pessoal'!$G$513:$G$522&lt;=AD$3,1,0))*OFFSET('Gastos com Pessoal'!$H$512,1,MATCH(1&amp;$B31,'Gastos com Pessoal'!$I$532:$AJ$532&amp;'Gastos com Pessoal'!$I$512:$AJ$512,0),10,1)),0)+_xlfn.IFNA(SUM((AD$3&gt;='Gastos com Pessoal'!$E$513:$E$522)*(AD$3&lt;='Gastos com Pessoal'!$F$513:$F$522)*(IF('Gastos com Pessoal'!$M$513:$M$522&lt;=AD$3,1,0))*OFFSET('Gastos com Pessoal'!$H$512,1,MATCH(2&amp;$B31,'Gastos com Pessoal'!$I$532:$AJ$532&amp;'Gastos com Pessoal'!$I$512:$AJ$512,0),10,1)),0)+_xlfn.IFNA(SUM((AD$3&gt;='Gastos com Pessoal'!$E$513:$E$522)*(AD$3&lt;='Gastos com Pessoal'!$F$513:$F$522)*(IF('Gastos com Pessoal'!$S$513:$S$522&lt;=AD$3,1,0))*OFFSET('Gastos com Pessoal'!$H$512,1,MATCH(3&amp;$B31,'Gastos com Pessoal'!$I$532:$AJ$532&amp;'Gastos com Pessoal'!$I$512:$AJ$512,0),10,1)),0)+_xlfn.IFNA(SUM((AD$3&gt;='Gastos com Pessoal'!$E$513:$E$522)*(AD$3&lt;='Gastos com Pessoal'!$F$513:$F$522)*(IF('Gastos com Pessoal'!$Y$513:$Y$522&lt;=AD$3,1,0))*OFFSET('Gastos com Pessoal'!$H$512,1,MATCH(4&amp;$B31,'Gastos com Pessoal'!$I$532:$AJ$532&amp;'Gastos com Pessoal'!$I$512:$AJ$512,0),10,1)),0)+_xlfn.IFNA(SUM((AD$3&gt;='Gastos com Pessoal'!$E$513:$E$522)*(AD$3&lt;='Gastos com Pessoal'!$F$513:$F$522)*(IF('Gastos com Pessoal'!$AE$513:$AE$522&lt;=AD$3,1,0))*OFFSET('Gastos com Pessoal'!$H$512,1,MATCH(5&amp;$B31,'Gastos com Pessoal'!$I$532:$AJ$532&amp;'Gastos com Pessoal'!$I$512:$AJ$512,0),10,1)),0)</f>
        <v>0</v>
      </c>
      <c r="AE31" s="188">
        <f t="array" aca="1" ref="AE31" ca="1">_xlfn.IFNA(SUM((AE$3&gt;='Gastos com Pessoal'!$E$7:$E$506)*(AE$3&lt;='Gastos com Pessoal'!$F$7:$F$506)*OFFSET('Encargos e Benefícios'!$D$5,1,MATCH($B31,'Encargos e Benefícios'!$E$5:$AB$5,0),500,1)),0)+_xlfn.IFNA(SUM((AE$3&gt;='Gastos com Pessoal'!$E$513:$E$522)*(AE$3&lt;='Gastos com Pessoal'!$F$513:$F$522)*OFFSET('Encargos e Benefícios'!$D$511,1,MATCH($B31,'Encargos e Benefícios'!$E$511:$AB$511,0),10,1)),0)+_xlfn.IFNA(SUM((AE$3&gt;='Gastos com Pessoal'!$E$7:$E$506)*(AE$3&lt;='Gastos com Pessoal'!$F$7:$F$506)*(IF('Gastos com Pessoal'!$G$7:$G$506&lt;=AE$3,1,0))*OFFSET('Gastos com Pessoal'!$H$6,1,MATCH(1&amp;$B31,'Gastos com Pessoal'!$I$532:$AJ$532&amp;'Gastos com Pessoal'!$I$6:$AJ$6,0),500,1)),0)+_xlfn.IFNA(SUM((AE$3&gt;='Gastos com Pessoal'!$E$7:$E$506)*(AE$3&lt;='Gastos com Pessoal'!$F$7:$F$506)*(IF('Gastos com Pessoal'!$M$7:$M$506&lt;=AE$3,1,0))*OFFSET('Gastos com Pessoal'!$H$6,1,MATCH(2&amp;$B31,'Gastos com Pessoal'!$I$532:$AJ$532&amp;'Gastos com Pessoal'!$I$6:$AJ$6,0),500,1)),0)+_xlfn.IFNA(SUM((AE$3&gt;='Gastos com Pessoal'!$E$7:$E$506)*(AE$3&lt;='Gastos com Pessoal'!$F$7:$F$506)*(IF('Gastos com Pessoal'!$S$7:$S$506&lt;=AE$3,1,0))*OFFSET('Gastos com Pessoal'!$H$6,1,MATCH(3&amp;$B31,'Gastos com Pessoal'!$I$532:$AJ$532&amp;'Gastos com Pessoal'!$I$6:$AJ$6,0),500,1)),0)+_xlfn.IFNA(SUM((AE$3&gt;='Gastos com Pessoal'!$E$7:$E$506)*(AE$3&lt;='Gastos com Pessoal'!$F$7:$F$506)*(IF('Gastos com Pessoal'!$Y$7:$Y$506&lt;=AE$3,1,0))*OFFSET('Gastos com Pessoal'!$H$6,1,MATCH(4&amp;$B31,'Gastos com Pessoal'!$I$532:$AJ$532&amp;'Gastos com Pessoal'!$I$6:$AJ$6,0),500,1)),0)+_xlfn.IFNA(SUM((AE$3&gt;='Gastos com Pessoal'!$E$7:$E$506)*(AE$3&lt;='Gastos com Pessoal'!$F$7:$F$506)*(IF('Gastos com Pessoal'!$AE$7:$AE$506&lt;=AE$3,1,0))*OFFSET('Gastos com Pessoal'!$H$6,1,MATCH(5&amp;$B31,'Gastos com Pessoal'!$I$532:$AJ$532&amp;'Gastos com Pessoal'!$I$6:$AJ$6,0),500,1)),0)+_xlfn.IFNA(SUM((AE$3&gt;='Gastos com Pessoal'!$E$513:$E$522)*(AE$3&lt;='Gastos com Pessoal'!$F$513:$F$522)*(IF('Gastos com Pessoal'!$G$513:$G$522&lt;=AE$3,1,0))*OFFSET('Gastos com Pessoal'!$H$512,1,MATCH(1&amp;$B31,'Gastos com Pessoal'!$I$532:$AJ$532&amp;'Gastos com Pessoal'!$I$512:$AJ$512,0),10,1)),0)+_xlfn.IFNA(SUM((AE$3&gt;='Gastos com Pessoal'!$E$513:$E$522)*(AE$3&lt;='Gastos com Pessoal'!$F$513:$F$522)*(IF('Gastos com Pessoal'!$M$513:$M$522&lt;=AE$3,1,0))*OFFSET('Gastos com Pessoal'!$H$512,1,MATCH(2&amp;$B31,'Gastos com Pessoal'!$I$532:$AJ$532&amp;'Gastos com Pessoal'!$I$512:$AJ$512,0),10,1)),0)+_xlfn.IFNA(SUM((AE$3&gt;='Gastos com Pessoal'!$E$513:$E$522)*(AE$3&lt;='Gastos com Pessoal'!$F$513:$F$522)*(IF('Gastos com Pessoal'!$S$513:$S$522&lt;=AE$3,1,0))*OFFSET('Gastos com Pessoal'!$H$512,1,MATCH(3&amp;$B31,'Gastos com Pessoal'!$I$532:$AJ$532&amp;'Gastos com Pessoal'!$I$512:$AJ$512,0),10,1)),0)+_xlfn.IFNA(SUM((AE$3&gt;='Gastos com Pessoal'!$E$513:$E$522)*(AE$3&lt;='Gastos com Pessoal'!$F$513:$F$522)*(IF('Gastos com Pessoal'!$Y$513:$Y$522&lt;=AE$3,1,0))*OFFSET('Gastos com Pessoal'!$H$512,1,MATCH(4&amp;$B31,'Gastos com Pessoal'!$I$532:$AJ$532&amp;'Gastos com Pessoal'!$I$512:$AJ$512,0),10,1)),0)+_xlfn.IFNA(SUM((AE$3&gt;='Gastos com Pessoal'!$E$513:$E$522)*(AE$3&lt;='Gastos com Pessoal'!$F$513:$F$522)*(IF('Gastos com Pessoal'!$AE$513:$AE$522&lt;=AE$3,1,0))*OFFSET('Gastos com Pessoal'!$H$512,1,MATCH(5&amp;$B31,'Gastos com Pessoal'!$I$532:$AJ$532&amp;'Gastos com Pessoal'!$I$512:$AJ$512,0),10,1)),0)</f>
        <v>0</v>
      </c>
      <c r="AF31" s="188">
        <f t="array" aca="1" ref="AF31" ca="1">_xlfn.IFNA(SUM((AF$3&gt;='Gastos com Pessoal'!$E$7:$E$506)*(AF$3&lt;='Gastos com Pessoal'!$F$7:$F$506)*OFFSET('Encargos e Benefícios'!$D$5,1,MATCH($B31,'Encargos e Benefícios'!$E$5:$AB$5,0),500,1)),0)+_xlfn.IFNA(SUM((AF$3&gt;='Gastos com Pessoal'!$E$513:$E$522)*(AF$3&lt;='Gastos com Pessoal'!$F$513:$F$522)*OFFSET('Encargos e Benefícios'!$D$511,1,MATCH($B31,'Encargos e Benefícios'!$E$511:$AB$511,0),10,1)),0)+_xlfn.IFNA(SUM((AF$3&gt;='Gastos com Pessoal'!$E$7:$E$506)*(AF$3&lt;='Gastos com Pessoal'!$F$7:$F$506)*(IF('Gastos com Pessoal'!$G$7:$G$506&lt;=AF$3,1,0))*OFFSET('Gastos com Pessoal'!$H$6,1,MATCH(1&amp;$B31,'Gastos com Pessoal'!$I$532:$AJ$532&amp;'Gastos com Pessoal'!$I$6:$AJ$6,0),500,1)),0)+_xlfn.IFNA(SUM((AF$3&gt;='Gastos com Pessoal'!$E$7:$E$506)*(AF$3&lt;='Gastos com Pessoal'!$F$7:$F$506)*(IF('Gastos com Pessoal'!$M$7:$M$506&lt;=AF$3,1,0))*OFFSET('Gastos com Pessoal'!$H$6,1,MATCH(2&amp;$B31,'Gastos com Pessoal'!$I$532:$AJ$532&amp;'Gastos com Pessoal'!$I$6:$AJ$6,0),500,1)),0)+_xlfn.IFNA(SUM((AF$3&gt;='Gastos com Pessoal'!$E$7:$E$506)*(AF$3&lt;='Gastos com Pessoal'!$F$7:$F$506)*(IF('Gastos com Pessoal'!$S$7:$S$506&lt;=AF$3,1,0))*OFFSET('Gastos com Pessoal'!$H$6,1,MATCH(3&amp;$B31,'Gastos com Pessoal'!$I$532:$AJ$532&amp;'Gastos com Pessoal'!$I$6:$AJ$6,0),500,1)),0)+_xlfn.IFNA(SUM((AF$3&gt;='Gastos com Pessoal'!$E$7:$E$506)*(AF$3&lt;='Gastos com Pessoal'!$F$7:$F$506)*(IF('Gastos com Pessoal'!$Y$7:$Y$506&lt;=AF$3,1,0))*OFFSET('Gastos com Pessoal'!$H$6,1,MATCH(4&amp;$B31,'Gastos com Pessoal'!$I$532:$AJ$532&amp;'Gastos com Pessoal'!$I$6:$AJ$6,0),500,1)),0)+_xlfn.IFNA(SUM((AF$3&gt;='Gastos com Pessoal'!$E$7:$E$506)*(AF$3&lt;='Gastos com Pessoal'!$F$7:$F$506)*(IF('Gastos com Pessoal'!$AE$7:$AE$506&lt;=AF$3,1,0))*OFFSET('Gastos com Pessoal'!$H$6,1,MATCH(5&amp;$B31,'Gastos com Pessoal'!$I$532:$AJ$532&amp;'Gastos com Pessoal'!$I$6:$AJ$6,0),500,1)),0)+_xlfn.IFNA(SUM((AF$3&gt;='Gastos com Pessoal'!$E$513:$E$522)*(AF$3&lt;='Gastos com Pessoal'!$F$513:$F$522)*(IF('Gastos com Pessoal'!$G$513:$G$522&lt;=AF$3,1,0))*OFFSET('Gastos com Pessoal'!$H$512,1,MATCH(1&amp;$B31,'Gastos com Pessoal'!$I$532:$AJ$532&amp;'Gastos com Pessoal'!$I$512:$AJ$512,0),10,1)),0)+_xlfn.IFNA(SUM((AF$3&gt;='Gastos com Pessoal'!$E$513:$E$522)*(AF$3&lt;='Gastos com Pessoal'!$F$513:$F$522)*(IF('Gastos com Pessoal'!$M$513:$M$522&lt;=AF$3,1,0))*OFFSET('Gastos com Pessoal'!$H$512,1,MATCH(2&amp;$B31,'Gastos com Pessoal'!$I$532:$AJ$532&amp;'Gastos com Pessoal'!$I$512:$AJ$512,0),10,1)),0)+_xlfn.IFNA(SUM((AF$3&gt;='Gastos com Pessoal'!$E$513:$E$522)*(AF$3&lt;='Gastos com Pessoal'!$F$513:$F$522)*(IF('Gastos com Pessoal'!$S$513:$S$522&lt;=AF$3,1,0))*OFFSET('Gastos com Pessoal'!$H$512,1,MATCH(3&amp;$B31,'Gastos com Pessoal'!$I$532:$AJ$532&amp;'Gastos com Pessoal'!$I$512:$AJ$512,0),10,1)),0)+_xlfn.IFNA(SUM((AF$3&gt;='Gastos com Pessoal'!$E$513:$E$522)*(AF$3&lt;='Gastos com Pessoal'!$F$513:$F$522)*(IF('Gastos com Pessoal'!$Y$513:$Y$522&lt;=AF$3,1,0))*OFFSET('Gastos com Pessoal'!$H$512,1,MATCH(4&amp;$B31,'Gastos com Pessoal'!$I$532:$AJ$532&amp;'Gastos com Pessoal'!$I$512:$AJ$512,0),10,1)),0)+_xlfn.IFNA(SUM((AF$3&gt;='Gastos com Pessoal'!$E$513:$E$522)*(AF$3&lt;='Gastos com Pessoal'!$F$513:$F$522)*(IF('Gastos com Pessoal'!$AE$513:$AE$522&lt;=AF$3,1,0))*OFFSET('Gastos com Pessoal'!$H$512,1,MATCH(5&amp;$B31,'Gastos com Pessoal'!$I$532:$AJ$532&amp;'Gastos com Pessoal'!$I$512:$AJ$512,0),10,1)),0)</f>
        <v>0</v>
      </c>
      <c r="AG31" s="188">
        <f t="array" aca="1" ref="AG31" ca="1">_xlfn.IFNA(SUM((AG$3&gt;='Gastos com Pessoal'!$E$7:$E$506)*(AG$3&lt;='Gastos com Pessoal'!$F$7:$F$506)*OFFSET('Encargos e Benefícios'!$D$5,1,MATCH($B31,'Encargos e Benefícios'!$E$5:$AB$5,0),500,1)),0)+_xlfn.IFNA(SUM((AG$3&gt;='Gastos com Pessoal'!$E$513:$E$522)*(AG$3&lt;='Gastos com Pessoal'!$F$513:$F$522)*OFFSET('Encargos e Benefícios'!$D$511,1,MATCH($B31,'Encargos e Benefícios'!$E$511:$AB$511,0),10,1)),0)+_xlfn.IFNA(SUM((AG$3&gt;='Gastos com Pessoal'!$E$7:$E$506)*(AG$3&lt;='Gastos com Pessoal'!$F$7:$F$506)*(IF('Gastos com Pessoal'!$G$7:$G$506&lt;=AG$3,1,0))*OFFSET('Gastos com Pessoal'!$H$6,1,MATCH(1&amp;$B31,'Gastos com Pessoal'!$I$532:$AJ$532&amp;'Gastos com Pessoal'!$I$6:$AJ$6,0),500,1)),0)+_xlfn.IFNA(SUM((AG$3&gt;='Gastos com Pessoal'!$E$7:$E$506)*(AG$3&lt;='Gastos com Pessoal'!$F$7:$F$506)*(IF('Gastos com Pessoal'!$M$7:$M$506&lt;=AG$3,1,0))*OFFSET('Gastos com Pessoal'!$H$6,1,MATCH(2&amp;$B31,'Gastos com Pessoal'!$I$532:$AJ$532&amp;'Gastos com Pessoal'!$I$6:$AJ$6,0),500,1)),0)+_xlfn.IFNA(SUM((AG$3&gt;='Gastos com Pessoal'!$E$7:$E$506)*(AG$3&lt;='Gastos com Pessoal'!$F$7:$F$506)*(IF('Gastos com Pessoal'!$S$7:$S$506&lt;=AG$3,1,0))*OFFSET('Gastos com Pessoal'!$H$6,1,MATCH(3&amp;$B31,'Gastos com Pessoal'!$I$532:$AJ$532&amp;'Gastos com Pessoal'!$I$6:$AJ$6,0),500,1)),0)+_xlfn.IFNA(SUM((AG$3&gt;='Gastos com Pessoal'!$E$7:$E$506)*(AG$3&lt;='Gastos com Pessoal'!$F$7:$F$506)*(IF('Gastos com Pessoal'!$Y$7:$Y$506&lt;=AG$3,1,0))*OFFSET('Gastos com Pessoal'!$H$6,1,MATCH(4&amp;$B31,'Gastos com Pessoal'!$I$532:$AJ$532&amp;'Gastos com Pessoal'!$I$6:$AJ$6,0),500,1)),0)+_xlfn.IFNA(SUM((AG$3&gt;='Gastos com Pessoal'!$E$7:$E$506)*(AG$3&lt;='Gastos com Pessoal'!$F$7:$F$506)*(IF('Gastos com Pessoal'!$AE$7:$AE$506&lt;=AG$3,1,0))*OFFSET('Gastos com Pessoal'!$H$6,1,MATCH(5&amp;$B31,'Gastos com Pessoal'!$I$532:$AJ$532&amp;'Gastos com Pessoal'!$I$6:$AJ$6,0),500,1)),0)+_xlfn.IFNA(SUM((AG$3&gt;='Gastos com Pessoal'!$E$513:$E$522)*(AG$3&lt;='Gastos com Pessoal'!$F$513:$F$522)*(IF('Gastos com Pessoal'!$G$513:$G$522&lt;=AG$3,1,0))*OFFSET('Gastos com Pessoal'!$H$512,1,MATCH(1&amp;$B31,'Gastos com Pessoal'!$I$532:$AJ$532&amp;'Gastos com Pessoal'!$I$512:$AJ$512,0),10,1)),0)+_xlfn.IFNA(SUM((AG$3&gt;='Gastos com Pessoal'!$E$513:$E$522)*(AG$3&lt;='Gastos com Pessoal'!$F$513:$F$522)*(IF('Gastos com Pessoal'!$M$513:$M$522&lt;=AG$3,1,0))*OFFSET('Gastos com Pessoal'!$H$512,1,MATCH(2&amp;$B31,'Gastos com Pessoal'!$I$532:$AJ$532&amp;'Gastos com Pessoal'!$I$512:$AJ$512,0),10,1)),0)+_xlfn.IFNA(SUM((AG$3&gt;='Gastos com Pessoal'!$E$513:$E$522)*(AG$3&lt;='Gastos com Pessoal'!$F$513:$F$522)*(IF('Gastos com Pessoal'!$S$513:$S$522&lt;=AG$3,1,0))*OFFSET('Gastos com Pessoal'!$H$512,1,MATCH(3&amp;$B31,'Gastos com Pessoal'!$I$532:$AJ$532&amp;'Gastos com Pessoal'!$I$512:$AJ$512,0),10,1)),0)+_xlfn.IFNA(SUM((AG$3&gt;='Gastos com Pessoal'!$E$513:$E$522)*(AG$3&lt;='Gastos com Pessoal'!$F$513:$F$522)*(IF('Gastos com Pessoal'!$Y$513:$Y$522&lt;=AG$3,1,0))*OFFSET('Gastos com Pessoal'!$H$512,1,MATCH(4&amp;$B31,'Gastos com Pessoal'!$I$532:$AJ$532&amp;'Gastos com Pessoal'!$I$512:$AJ$512,0),10,1)),0)+_xlfn.IFNA(SUM((AG$3&gt;='Gastos com Pessoal'!$E$513:$E$522)*(AG$3&lt;='Gastos com Pessoal'!$F$513:$F$522)*(IF('Gastos com Pessoal'!$AE$513:$AE$522&lt;=AG$3,1,0))*OFFSET('Gastos com Pessoal'!$H$512,1,MATCH(5&amp;$B31,'Gastos com Pessoal'!$I$532:$AJ$532&amp;'Gastos com Pessoal'!$I$512:$AJ$512,0),10,1)),0)</f>
        <v>0</v>
      </c>
      <c r="AH31" s="188">
        <f t="array" aca="1" ref="AH31" ca="1">_xlfn.IFNA(SUM((AH$3&gt;='Gastos com Pessoal'!$E$7:$E$506)*(AH$3&lt;='Gastos com Pessoal'!$F$7:$F$506)*OFFSET('Encargos e Benefícios'!$D$5,1,MATCH($B31,'Encargos e Benefícios'!$E$5:$AB$5,0),500,1)),0)+_xlfn.IFNA(SUM((AH$3&gt;='Gastos com Pessoal'!$E$513:$E$522)*(AH$3&lt;='Gastos com Pessoal'!$F$513:$F$522)*OFFSET('Encargos e Benefícios'!$D$511,1,MATCH($B31,'Encargos e Benefícios'!$E$511:$AB$511,0),10,1)),0)+_xlfn.IFNA(SUM((AH$3&gt;='Gastos com Pessoal'!$E$7:$E$506)*(AH$3&lt;='Gastos com Pessoal'!$F$7:$F$506)*(IF('Gastos com Pessoal'!$G$7:$G$506&lt;=AH$3,1,0))*OFFSET('Gastos com Pessoal'!$H$6,1,MATCH(1&amp;$B31,'Gastos com Pessoal'!$I$532:$AJ$532&amp;'Gastos com Pessoal'!$I$6:$AJ$6,0),500,1)),0)+_xlfn.IFNA(SUM((AH$3&gt;='Gastos com Pessoal'!$E$7:$E$506)*(AH$3&lt;='Gastos com Pessoal'!$F$7:$F$506)*(IF('Gastos com Pessoal'!$M$7:$M$506&lt;=AH$3,1,0))*OFFSET('Gastos com Pessoal'!$H$6,1,MATCH(2&amp;$B31,'Gastos com Pessoal'!$I$532:$AJ$532&amp;'Gastos com Pessoal'!$I$6:$AJ$6,0),500,1)),0)+_xlfn.IFNA(SUM((AH$3&gt;='Gastos com Pessoal'!$E$7:$E$506)*(AH$3&lt;='Gastos com Pessoal'!$F$7:$F$506)*(IF('Gastos com Pessoal'!$S$7:$S$506&lt;=AH$3,1,0))*OFFSET('Gastos com Pessoal'!$H$6,1,MATCH(3&amp;$B31,'Gastos com Pessoal'!$I$532:$AJ$532&amp;'Gastos com Pessoal'!$I$6:$AJ$6,0),500,1)),0)+_xlfn.IFNA(SUM((AH$3&gt;='Gastos com Pessoal'!$E$7:$E$506)*(AH$3&lt;='Gastos com Pessoal'!$F$7:$F$506)*(IF('Gastos com Pessoal'!$Y$7:$Y$506&lt;=AH$3,1,0))*OFFSET('Gastos com Pessoal'!$H$6,1,MATCH(4&amp;$B31,'Gastos com Pessoal'!$I$532:$AJ$532&amp;'Gastos com Pessoal'!$I$6:$AJ$6,0),500,1)),0)+_xlfn.IFNA(SUM((AH$3&gt;='Gastos com Pessoal'!$E$7:$E$506)*(AH$3&lt;='Gastos com Pessoal'!$F$7:$F$506)*(IF('Gastos com Pessoal'!$AE$7:$AE$506&lt;=AH$3,1,0))*OFFSET('Gastos com Pessoal'!$H$6,1,MATCH(5&amp;$B31,'Gastos com Pessoal'!$I$532:$AJ$532&amp;'Gastos com Pessoal'!$I$6:$AJ$6,0),500,1)),0)+_xlfn.IFNA(SUM((AH$3&gt;='Gastos com Pessoal'!$E$513:$E$522)*(AH$3&lt;='Gastos com Pessoal'!$F$513:$F$522)*(IF('Gastos com Pessoal'!$G$513:$G$522&lt;=AH$3,1,0))*OFFSET('Gastos com Pessoal'!$H$512,1,MATCH(1&amp;$B31,'Gastos com Pessoal'!$I$532:$AJ$532&amp;'Gastos com Pessoal'!$I$512:$AJ$512,0),10,1)),0)+_xlfn.IFNA(SUM((AH$3&gt;='Gastos com Pessoal'!$E$513:$E$522)*(AH$3&lt;='Gastos com Pessoal'!$F$513:$F$522)*(IF('Gastos com Pessoal'!$M$513:$M$522&lt;=AH$3,1,0))*OFFSET('Gastos com Pessoal'!$H$512,1,MATCH(2&amp;$B31,'Gastos com Pessoal'!$I$532:$AJ$532&amp;'Gastos com Pessoal'!$I$512:$AJ$512,0),10,1)),0)+_xlfn.IFNA(SUM((AH$3&gt;='Gastos com Pessoal'!$E$513:$E$522)*(AH$3&lt;='Gastos com Pessoal'!$F$513:$F$522)*(IF('Gastos com Pessoal'!$S$513:$S$522&lt;=AH$3,1,0))*OFFSET('Gastos com Pessoal'!$H$512,1,MATCH(3&amp;$B31,'Gastos com Pessoal'!$I$532:$AJ$532&amp;'Gastos com Pessoal'!$I$512:$AJ$512,0),10,1)),0)+_xlfn.IFNA(SUM((AH$3&gt;='Gastos com Pessoal'!$E$513:$E$522)*(AH$3&lt;='Gastos com Pessoal'!$F$513:$F$522)*(IF('Gastos com Pessoal'!$Y$513:$Y$522&lt;=AH$3,1,0))*OFFSET('Gastos com Pessoal'!$H$512,1,MATCH(4&amp;$B31,'Gastos com Pessoal'!$I$532:$AJ$532&amp;'Gastos com Pessoal'!$I$512:$AJ$512,0),10,1)),0)+_xlfn.IFNA(SUM((AH$3&gt;='Gastos com Pessoal'!$E$513:$E$522)*(AH$3&lt;='Gastos com Pessoal'!$F$513:$F$522)*(IF('Gastos com Pessoal'!$AE$513:$AE$522&lt;=AH$3,1,0))*OFFSET('Gastos com Pessoal'!$H$512,1,MATCH(5&amp;$B31,'Gastos com Pessoal'!$I$532:$AJ$532&amp;'Gastos com Pessoal'!$I$512:$AJ$512,0),10,1)),0)</f>
        <v>0</v>
      </c>
      <c r="AI31" s="188">
        <f t="array" aca="1" ref="AI31" ca="1">_xlfn.IFNA(SUM((AI$3&gt;='Gastos com Pessoal'!$E$7:$E$506)*(AI$3&lt;='Gastos com Pessoal'!$F$7:$F$506)*OFFSET('Encargos e Benefícios'!$D$5,1,MATCH($B31,'Encargos e Benefícios'!$E$5:$AB$5,0),500,1)),0)+_xlfn.IFNA(SUM((AI$3&gt;='Gastos com Pessoal'!$E$513:$E$522)*(AI$3&lt;='Gastos com Pessoal'!$F$513:$F$522)*OFFSET('Encargos e Benefícios'!$D$511,1,MATCH($B31,'Encargos e Benefícios'!$E$511:$AB$511,0),10,1)),0)+_xlfn.IFNA(SUM((AI$3&gt;='Gastos com Pessoal'!$E$7:$E$506)*(AI$3&lt;='Gastos com Pessoal'!$F$7:$F$506)*(IF('Gastos com Pessoal'!$G$7:$G$506&lt;=AI$3,1,0))*OFFSET('Gastos com Pessoal'!$H$6,1,MATCH(1&amp;$B31,'Gastos com Pessoal'!$I$532:$AJ$532&amp;'Gastos com Pessoal'!$I$6:$AJ$6,0),500,1)),0)+_xlfn.IFNA(SUM((AI$3&gt;='Gastos com Pessoal'!$E$7:$E$506)*(AI$3&lt;='Gastos com Pessoal'!$F$7:$F$506)*(IF('Gastos com Pessoal'!$M$7:$M$506&lt;=AI$3,1,0))*OFFSET('Gastos com Pessoal'!$H$6,1,MATCH(2&amp;$B31,'Gastos com Pessoal'!$I$532:$AJ$532&amp;'Gastos com Pessoal'!$I$6:$AJ$6,0),500,1)),0)+_xlfn.IFNA(SUM((AI$3&gt;='Gastos com Pessoal'!$E$7:$E$506)*(AI$3&lt;='Gastos com Pessoal'!$F$7:$F$506)*(IF('Gastos com Pessoal'!$S$7:$S$506&lt;=AI$3,1,0))*OFFSET('Gastos com Pessoal'!$H$6,1,MATCH(3&amp;$B31,'Gastos com Pessoal'!$I$532:$AJ$532&amp;'Gastos com Pessoal'!$I$6:$AJ$6,0),500,1)),0)+_xlfn.IFNA(SUM((AI$3&gt;='Gastos com Pessoal'!$E$7:$E$506)*(AI$3&lt;='Gastos com Pessoal'!$F$7:$F$506)*(IF('Gastos com Pessoal'!$Y$7:$Y$506&lt;=AI$3,1,0))*OFFSET('Gastos com Pessoal'!$H$6,1,MATCH(4&amp;$B31,'Gastos com Pessoal'!$I$532:$AJ$532&amp;'Gastos com Pessoal'!$I$6:$AJ$6,0),500,1)),0)+_xlfn.IFNA(SUM((AI$3&gt;='Gastos com Pessoal'!$E$7:$E$506)*(AI$3&lt;='Gastos com Pessoal'!$F$7:$F$506)*(IF('Gastos com Pessoal'!$AE$7:$AE$506&lt;=AI$3,1,0))*OFFSET('Gastos com Pessoal'!$H$6,1,MATCH(5&amp;$B31,'Gastos com Pessoal'!$I$532:$AJ$532&amp;'Gastos com Pessoal'!$I$6:$AJ$6,0),500,1)),0)+_xlfn.IFNA(SUM((AI$3&gt;='Gastos com Pessoal'!$E$513:$E$522)*(AI$3&lt;='Gastos com Pessoal'!$F$513:$F$522)*(IF('Gastos com Pessoal'!$G$513:$G$522&lt;=AI$3,1,0))*OFFSET('Gastos com Pessoal'!$H$512,1,MATCH(1&amp;$B31,'Gastos com Pessoal'!$I$532:$AJ$532&amp;'Gastos com Pessoal'!$I$512:$AJ$512,0),10,1)),0)+_xlfn.IFNA(SUM((AI$3&gt;='Gastos com Pessoal'!$E$513:$E$522)*(AI$3&lt;='Gastos com Pessoal'!$F$513:$F$522)*(IF('Gastos com Pessoal'!$M$513:$M$522&lt;=AI$3,1,0))*OFFSET('Gastos com Pessoal'!$H$512,1,MATCH(2&amp;$B31,'Gastos com Pessoal'!$I$532:$AJ$532&amp;'Gastos com Pessoal'!$I$512:$AJ$512,0),10,1)),0)+_xlfn.IFNA(SUM((AI$3&gt;='Gastos com Pessoal'!$E$513:$E$522)*(AI$3&lt;='Gastos com Pessoal'!$F$513:$F$522)*(IF('Gastos com Pessoal'!$S$513:$S$522&lt;=AI$3,1,0))*OFFSET('Gastos com Pessoal'!$H$512,1,MATCH(3&amp;$B31,'Gastos com Pessoal'!$I$532:$AJ$532&amp;'Gastos com Pessoal'!$I$512:$AJ$512,0),10,1)),0)+_xlfn.IFNA(SUM((AI$3&gt;='Gastos com Pessoal'!$E$513:$E$522)*(AI$3&lt;='Gastos com Pessoal'!$F$513:$F$522)*(IF('Gastos com Pessoal'!$Y$513:$Y$522&lt;=AI$3,1,0))*OFFSET('Gastos com Pessoal'!$H$512,1,MATCH(4&amp;$B31,'Gastos com Pessoal'!$I$532:$AJ$532&amp;'Gastos com Pessoal'!$I$512:$AJ$512,0),10,1)),0)+_xlfn.IFNA(SUM((AI$3&gt;='Gastos com Pessoal'!$E$513:$E$522)*(AI$3&lt;='Gastos com Pessoal'!$F$513:$F$522)*(IF('Gastos com Pessoal'!$AE$513:$AE$522&lt;=AI$3,1,0))*OFFSET('Gastos com Pessoal'!$H$512,1,MATCH(5&amp;$B31,'Gastos com Pessoal'!$I$532:$AJ$532&amp;'Gastos com Pessoal'!$I$512:$AJ$512,0),10,1)),0)</f>
        <v>0</v>
      </c>
      <c r="AJ31" s="188">
        <f t="array" aca="1" ref="AJ31" ca="1">_xlfn.IFNA(SUM((AJ$3&gt;='Gastos com Pessoal'!$E$7:$E$506)*(AJ$3&lt;='Gastos com Pessoal'!$F$7:$F$506)*OFFSET('Encargos e Benefícios'!$D$5,1,MATCH($B31,'Encargos e Benefícios'!$E$5:$AB$5,0),500,1)),0)+_xlfn.IFNA(SUM((AJ$3&gt;='Gastos com Pessoal'!$E$513:$E$522)*(AJ$3&lt;='Gastos com Pessoal'!$F$513:$F$522)*OFFSET('Encargos e Benefícios'!$D$511,1,MATCH($B31,'Encargos e Benefícios'!$E$511:$AB$511,0),10,1)),0)+_xlfn.IFNA(SUM((AJ$3&gt;='Gastos com Pessoal'!$E$7:$E$506)*(AJ$3&lt;='Gastos com Pessoal'!$F$7:$F$506)*(IF('Gastos com Pessoal'!$G$7:$G$506&lt;=AJ$3,1,0))*OFFSET('Gastos com Pessoal'!$H$6,1,MATCH(1&amp;$B31,'Gastos com Pessoal'!$I$532:$AJ$532&amp;'Gastos com Pessoal'!$I$6:$AJ$6,0),500,1)),0)+_xlfn.IFNA(SUM((AJ$3&gt;='Gastos com Pessoal'!$E$7:$E$506)*(AJ$3&lt;='Gastos com Pessoal'!$F$7:$F$506)*(IF('Gastos com Pessoal'!$M$7:$M$506&lt;=AJ$3,1,0))*OFFSET('Gastos com Pessoal'!$H$6,1,MATCH(2&amp;$B31,'Gastos com Pessoal'!$I$532:$AJ$532&amp;'Gastos com Pessoal'!$I$6:$AJ$6,0),500,1)),0)+_xlfn.IFNA(SUM((AJ$3&gt;='Gastos com Pessoal'!$E$7:$E$506)*(AJ$3&lt;='Gastos com Pessoal'!$F$7:$F$506)*(IF('Gastos com Pessoal'!$S$7:$S$506&lt;=AJ$3,1,0))*OFFSET('Gastos com Pessoal'!$H$6,1,MATCH(3&amp;$B31,'Gastos com Pessoal'!$I$532:$AJ$532&amp;'Gastos com Pessoal'!$I$6:$AJ$6,0),500,1)),0)+_xlfn.IFNA(SUM((AJ$3&gt;='Gastos com Pessoal'!$E$7:$E$506)*(AJ$3&lt;='Gastos com Pessoal'!$F$7:$F$506)*(IF('Gastos com Pessoal'!$Y$7:$Y$506&lt;=AJ$3,1,0))*OFFSET('Gastos com Pessoal'!$H$6,1,MATCH(4&amp;$B31,'Gastos com Pessoal'!$I$532:$AJ$532&amp;'Gastos com Pessoal'!$I$6:$AJ$6,0),500,1)),0)+_xlfn.IFNA(SUM((AJ$3&gt;='Gastos com Pessoal'!$E$7:$E$506)*(AJ$3&lt;='Gastos com Pessoal'!$F$7:$F$506)*(IF('Gastos com Pessoal'!$AE$7:$AE$506&lt;=AJ$3,1,0))*OFFSET('Gastos com Pessoal'!$H$6,1,MATCH(5&amp;$B31,'Gastos com Pessoal'!$I$532:$AJ$532&amp;'Gastos com Pessoal'!$I$6:$AJ$6,0),500,1)),0)+_xlfn.IFNA(SUM((AJ$3&gt;='Gastos com Pessoal'!$E$513:$E$522)*(AJ$3&lt;='Gastos com Pessoal'!$F$513:$F$522)*(IF('Gastos com Pessoal'!$G$513:$G$522&lt;=AJ$3,1,0))*OFFSET('Gastos com Pessoal'!$H$512,1,MATCH(1&amp;$B31,'Gastos com Pessoal'!$I$532:$AJ$532&amp;'Gastos com Pessoal'!$I$512:$AJ$512,0),10,1)),0)+_xlfn.IFNA(SUM((AJ$3&gt;='Gastos com Pessoal'!$E$513:$E$522)*(AJ$3&lt;='Gastos com Pessoal'!$F$513:$F$522)*(IF('Gastos com Pessoal'!$M$513:$M$522&lt;=AJ$3,1,0))*OFFSET('Gastos com Pessoal'!$H$512,1,MATCH(2&amp;$B31,'Gastos com Pessoal'!$I$532:$AJ$532&amp;'Gastos com Pessoal'!$I$512:$AJ$512,0),10,1)),0)+_xlfn.IFNA(SUM((AJ$3&gt;='Gastos com Pessoal'!$E$513:$E$522)*(AJ$3&lt;='Gastos com Pessoal'!$F$513:$F$522)*(IF('Gastos com Pessoal'!$S$513:$S$522&lt;=AJ$3,1,0))*OFFSET('Gastos com Pessoal'!$H$512,1,MATCH(3&amp;$B31,'Gastos com Pessoal'!$I$532:$AJ$532&amp;'Gastos com Pessoal'!$I$512:$AJ$512,0),10,1)),0)+_xlfn.IFNA(SUM((AJ$3&gt;='Gastos com Pessoal'!$E$513:$E$522)*(AJ$3&lt;='Gastos com Pessoal'!$F$513:$F$522)*(IF('Gastos com Pessoal'!$Y$513:$Y$522&lt;=AJ$3,1,0))*OFFSET('Gastos com Pessoal'!$H$512,1,MATCH(4&amp;$B31,'Gastos com Pessoal'!$I$532:$AJ$532&amp;'Gastos com Pessoal'!$I$512:$AJ$512,0),10,1)),0)+_xlfn.IFNA(SUM((AJ$3&gt;='Gastos com Pessoal'!$E$513:$E$522)*(AJ$3&lt;='Gastos com Pessoal'!$F$513:$F$522)*(IF('Gastos com Pessoal'!$AE$513:$AE$522&lt;=AJ$3,1,0))*OFFSET('Gastos com Pessoal'!$H$512,1,MATCH(5&amp;$B31,'Gastos com Pessoal'!$I$532:$AJ$532&amp;'Gastos com Pessoal'!$I$512:$AJ$512,0),10,1)),0)</f>
        <v>0</v>
      </c>
      <c r="AK31" s="188">
        <f t="array" aca="1" ref="AK31" ca="1">_xlfn.IFNA(SUM((AK$3&gt;='Gastos com Pessoal'!$E$7:$E$506)*(AK$3&lt;='Gastos com Pessoal'!$F$7:$F$506)*OFFSET('Encargos e Benefícios'!$D$5,1,MATCH($B31,'Encargos e Benefícios'!$E$5:$AB$5,0),500,1)),0)+_xlfn.IFNA(SUM((AK$3&gt;='Gastos com Pessoal'!$E$513:$E$522)*(AK$3&lt;='Gastos com Pessoal'!$F$513:$F$522)*OFFSET('Encargos e Benefícios'!$D$511,1,MATCH($B31,'Encargos e Benefícios'!$E$511:$AB$511,0),10,1)),0)+_xlfn.IFNA(SUM((AK$3&gt;='Gastos com Pessoal'!$E$7:$E$506)*(AK$3&lt;='Gastos com Pessoal'!$F$7:$F$506)*(IF('Gastos com Pessoal'!$G$7:$G$506&lt;=AK$3,1,0))*OFFSET('Gastos com Pessoal'!$H$6,1,MATCH(1&amp;$B31,'Gastos com Pessoal'!$I$532:$AJ$532&amp;'Gastos com Pessoal'!$I$6:$AJ$6,0),500,1)),0)+_xlfn.IFNA(SUM((AK$3&gt;='Gastos com Pessoal'!$E$7:$E$506)*(AK$3&lt;='Gastos com Pessoal'!$F$7:$F$506)*(IF('Gastos com Pessoal'!$M$7:$M$506&lt;=AK$3,1,0))*OFFSET('Gastos com Pessoal'!$H$6,1,MATCH(2&amp;$B31,'Gastos com Pessoal'!$I$532:$AJ$532&amp;'Gastos com Pessoal'!$I$6:$AJ$6,0),500,1)),0)+_xlfn.IFNA(SUM((AK$3&gt;='Gastos com Pessoal'!$E$7:$E$506)*(AK$3&lt;='Gastos com Pessoal'!$F$7:$F$506)*(IF('Gastos com Pessoal'!$S$7:$S$506&lt;=AK$3,1,0))*OFFSET('Gastos com Pessoal'!$H$6,1,MATCH(3&amp;$B31,'Gastos com Pessoal'!$I$532:$AJ$532&amp;'Gastos com Pessoal'!$I$6:$AJ$6,0),500,1)),0)+_xlfn.IFNA(SUM((AK$3&gt;='Gastos com Pessoal'!$E$7:$E$506)*(AK$3&lt;='Gastos com Pessoal'!$F$7:$F$506)*(IF('Gastos com Pessoal'!$Y$7:$Y$506&lt;=AK$3,1,0))*OFFSET('Gastos com Pessoal'!$H$6,1,MATCH(4&amp;$B31,'Gastos com Pessoal'!$I$532:$AJ$532&amp;'Gastos com Pessoal'!$I$6:$AJ$6,0),500,1)),0)+_xlfn.IFNA(SUM((AK$3&gt;='Gastos com Pessoal'!$E$7:$E$506)*(AK$3&lt;='Gastos com Pessoal'!$F$7:$F$506)*(IF('Gastos com Pessoal'!$AE$7:$AE$506&lt;=AK$3,1,0))*OFFSET('Gastos com Pessoal'!$H$6,1,MATCH(5&amp;$B31,'Gastos com Pessoal'!$I$532:$AJ$532&amp;'Gastos com Pessoal'!$I$6:$AJ$6,0),500,1)),0)+_xlfn.IFNA(SUM((AK$3&gt;='Gastos com Pessoal'!$E$513:$E$522)*(AK$3&lt;='Gastos com Pessoal'!$F$513:$F$522)*(IF('Gastos com Pessoal'!$G$513:$G$522&lt;=AK$3,1,0))*OFFSET('Gastos com Pessoal'!$H$512,1,MATCH(1&amp;$B31,'Gastos com Pessoal'!$I$532:$AJ$532&amp;'Gastos com Pessoal'!$I$512:$AJ$512,0),10,1)),0)+_xlfn.IFNA(SUM((AK$3&gt;='Gastos com Pessoal'!$E$513:$E$522)*(AK$3&lt;='Gastos com Pessoal'!$F$513:$F$522)*(IF('Gastos com Pessoal'!$M$513:$M$522&lt;=AK$3,1,0))*OFFSET('Gastos com Pessoal'!$H$512,1,MATCH(2&amp;$B31,'Gastos com Pessoal'!$I$532:$AJ$532&amp;'Gastos com Pessoal'!$I$512:$AJ$512,0),10,1)),0)+_xlfn.IFNA(SUM((AK$3&gt;='Gastos com Pessoal'!$E$513:$E$522)*(AK$3&lt;='Gastos com Pessoal'!$F$513:$F$522)*(IF('Gastos com Pessoal'!$S$513:$S$522&lt;=AK$3,1,0))*OFFSET('Gastos com Pessoal'!$H$512,1,MATCH(3&amp;$B31,'Gastos com Pessoal'!$I$532:$AJ$532&amp;'Gastos com Pessoal'!$I$512:$AJ$512,0),10,1)),0)+_xlfn.IFNA(SUM((AK$3&gt;='Gastos com Pessoal'!$E$513:$E$522)*(AK$3&lt;='Gastos com Pessoal'!$F$513:$F$522)*(IF('Gastos com Pessoal'!$Y$513:$Y$522&lt;=AK$3,1,0))*OFFSET('Gastos com Pessoal'!$H$512,1,MATCH(4&amp;$B31,'Gastos com Pessoal'!$I$532:$AJ$532&amp;'Gastos com Pessoal'!$I$512:$AJ$512,0),10,1)),0)+_xlfn.IFNA(SUM((AK$3&gt;='Gastos com Pessoal'!$E$513:$E$522)*(AK$3&lt;='Gastos com Pessoal'!$F$513:$F$522)*(IF('Gastos com Pessoal'!$AE$513:$AE$522&lt;=AK$3,1,0))*OFFSET('Gastos com Pessoal'!$H$512,1,MATCH(5&amp;$B31,'Gastos com Pessoal'!$I$532:$AJ$532&amp;'Gastos com Pessoal'!$I$512:$AJ$512,0),10,1)),0)</f>
        <v>0</v>
      </c>
      <c r="AL31" s="188">
        <f t="array" aca="1" ref="AL31" ca="1">_xlfn.IFNA(SUM((AL$3&gt;='Gastos com Pessoal'!$E$7:$E$506)*(AL$3&lt;='Gastos com Pessoal'!$F$7:$F$506)*OFFSET('Encargos e Benefícios'!$D$5,1,MATCH($B31,'Encargos e Benefícios'!$E$5:$AB$5,0),500,1)),0)+_xlfn.IFNA(SUM((AL$3&gt;='Gastos com Pessoal'!$E$513:$E$522)*(AL$3&lt;='Gastos com Pessoal'!$F$513:$F$522)*OFFSET('Encargos e Benefícios'!$D$511,1,MATCH($B31,'Encargos e Benefícios'!$E$511:$AB$511,0),10,1)),0)+_xlfn.IFNA(SUM((AL$3&gt;='Gastos com Pessoal'!$E$7:$E$506)*(AL$3&lt;='Gastos com Pessoal'!$F$7:$F$506)*(IF('Gastos com Pessoal'!$G$7:$G$506&lt;=AL$3,1,0))*OFFSET('Gastos com Pessoal'!$H$6,1,MATCH(1&amp;$B31,'Gastos com Pessoal'!$I$532:$AJ$532&amp;'Gastos com Pessoal'!$I$6:$AJ$6,0),500,1)),0)+_xlfn.IFNA(SUM((AL$3&gt;='Gastos com Pessoal'!$E$7:$E$506)*(AL$3&lt;='Gastos com Pessoal'!$F$7:$F$506)*(IF('Gastos com Pessoal'!$M$7:$M$506&lt;=AL$3,1,0))*OFFSET('Gastos com Pessoal'!$H$6,1,MATCH(2&amp;$B31,'Gastos com Pessoal'!$I$532:$AJ$532&amp;'Gastos com Pessoal'!$I$6:$AJ$6,0),500,1)),0)+_xlfn.IFNA(SUM((AL$3&gt;='Gastos com Pessoal'!$E$7:$E$506)*(AL$3&lt;='Gastos com Pessoal'!$F$7:$F$506)*(IF('Gastos com Pessoal'!$S$7:$S$506&lt;=AL$3,1,0))*OFFSET('Gastos com Pessoal'!$H$6,1,MATCH(3&amp;$B31,'Gastos com Pessoal'!$I$532:$AJ$532&amp;'Gastos com Pessoal'!$I$6:$AJ$6,0),500,1)),0)+_xlfn.IFNA(SUM((AL$3&gt;='Gastos com Pessoal'!$E$7:$E$506)*(AL$3&lt;='Gastos com Pessoal'!$F$7:$F$506)*(IF('Gastos com Pessoal'!$Y$7:$Y$506&lt;=AL$3,1,0))*OFFSET('Gastos com Pessoal'!$H$6,1,MATCH(4&amp;$B31,'Gastos com Pessoal'!$I$532:$AJ$532&amp;'Gastos com Pessoal'!$I$6:$AJ$6,0),500,1)),0)+_xlfn.IFNA(SUM((AL$3&gt;='Gastos com Pessoal'!$E$7:$E$506)*(AL$3&lt;='Gastos com Pessoal'!$F$7:$F$506)*(IF('Gastos com Pessoal'!$AE$7:$AE$506&lt;=AL$3,1,0))*OFFSET('Gastos com Pessoal'!$H$6,1,MATCH(5&amp;$B31,'Gastos com Pessoal'!$I$532:$AJ$532&amp;'Gastos com Pessoal'!$I$6:$AJ$6,0),500,1)),0)+_xlfn.IFNA(SUM((AL$3&gt;='Gastos com Pessoal'!$E$513:$E$522)*(AL$3&lt;='Gastos com Pessoal'!$F$513:$F$522)*(IF('Gastos com Pessoal'!$G$513:$G$522&lt;=AL$3,1,0))*OFFSET('Gastos com Pessoal'!$H$512,1,MATCH(1&amp;$B31,'Gastos com Pessoal'!$I$532:$AJ$532&amp;'Gastos com Pessoal'!$I$512:$AJ$512,0),10,1)),0)+_xlfn.IFNA(SUM((AL$3&gt;='Gastos com Pessoal'!$E$513:$E$522)*(AL$3&lt;='Gastos com Pessoal'!$F$513:$F$522)*(IF('Gastos com Pessoal'!$M$513:$M$522&lt;=AL$3,1,0))*OFFSET('Gastos com Pessoal'!$H$512,1,MATCH(2&amp;$B31,'Gastos com Pessoal'!$I$532:$AJ$532&amp;'Gastos com Pessoal'!$I$512:$AJ$512,0),10,1)),0)+_xlfn.IFNA(SUM((AL$3&gt;='Gastos com Pessoal'!$E$513:$E$522)*(AL$3&lt;='Gastos com Pessoal'!$F$513:$F$522)*(IF('Gastos com Pessoal'!$S$513:$S$522&lt;=AL$3,1,0))*OFFSET('Gastos com Pessoal'!$H$512,1,MATCH(3&amp;$B31,'Gastos com Pessoal'!$I$532:$AJ$532&amp;'Gastos com Pessoal'!$I$512:$AJ$512,0),10,1)),0)+_xlfn.IFNA(SUM((AL$3&gt;='Gastos com Pessoal'!$E$513:$E$522)*(AL$3&lt;='Gastos com Pessoal'!$F$513:$F$522)*(IF('Gastos com Pessoal'!$Y$513:$Y$522&lt;=AL$3,1,0))*OFFSET('Gastos com Pessoal'!$H$512,1,MATCH(4&amp;$B31,'Gastos com Pessoal'!$I$532:$AJ$532&amp;'Gastos com Pessoal'!$I$512:$AJ$512,0),10,1)),0)+_xlfn.IFNA(SUM((AL$3&gt;='Gastos com Pessoal'!$E$513:$E$522)*(AL$3&lt;='Gastos com Pessoal'!$F$513:$F$522)*(IF('Gastos com Pessoal'!$AE$513:$AE$522&lt;=AL$3,1,0))*OFFSET('Gastos com Pessoal'!$H$512,1,MATCH(5&amp;$B31,'Gastos com Pessoal'!$I$532:$AJ$532&amp;'Gastos com Pessoal'!$I$512:$AJ$512,0),10,1)),0)</f>
        <v>0</v>
      </c>
      <c r="AM31" s="188">
        <f t="array" aca="1" ref="AM31" ca="1">_xlfn.IFNA(SUM((AM$3&gt;='Gastos com Pessoal'!$E$7:$E$506)*(AM$3&lt;='Gastos com Pessoal'!$F$7:$F$506)*OFFSET('Encargos e Benefícios'!$D$5,1,MATCH($B31,'Encargos e Benefícios'!$E$5:$AB$5,0),500,1)),0)+_xlfn.IFNA(SUM((AM$3&gt;='Gastos com Pessoal'!$E$513:$E$522)*(AM$3&lt;='Gastos com Pessoal'!$F$513:$F$522)*OFFSET('Encargos e Benefícios'!$D$511,1,MATCH($B31,'Encargos e Benefícios'!$E$511:$AB$511,0),10,1)),0)+_xlfn.IFNA(SUM((AM$3&gt;='Gastos com Pessoal'!$E$7:$E$506)*(AM$3&lt;='Gastos com Pessoal'!$F$7:$F$506)*(IF('Gastos com Pessoal'!$G$7:$G$506&lt;=AM$3,1,0))*OFFSET('Gastos com Pessoal'!$H$6,1,MATCH(1&amp;$B31,'Gastos com Pessoal'!$I$532:$AJ$532&amp;'Gastos com Pessoal'!$I$6:$AJ$6,0),500,1)),0)+_xlfn.IFNA(SUM((AM$3&gt;='Gastos com Pessoal'!$E$7:$E$506)*(AM$3&lt;='Gastos com Pessoal'!$F$7:$F$506)*(IF('Gastos com Pessoal'!$M$7:$M$506&lt;=AM$3,1,0))*OFFSET('Gastos com Pessoal'!$H$6,1,MATCH(2&amp;$B31,'Gastos com Pessoal'!$I$532:$AJ$532&amp;'Gastos com Pessoal'!$I$6:$AJ$6,0),500,1)),0)+_xlfn.IFNA(SUM((AM$3&gt;='Gastos com Pessoal'!$E$7:$E$506)*(AM$3&lt;='Gastos com Pessoal'!$F$7:$F$506)*(IF('Gastos com Pessoal'!$S$7:$S$506&lt;=AM$3,1,0))*OFFSET('Gastos com Pessoal'!$H$6,1,MATCH(3&amp;$B31,'Gastos com Pessoal'!$I$532:$AJ$532&amp;'Gastos com Pessoal'!$I$6:$AJ$6,0),500,1)),0)+_xlfn.IFNA(SUM((AM$3&gt;='Gastos com Pessoal'!$E$7:$E$506)*(AM$3&lt;='Gastos com Pessoal'!$F$7:$F$506)*(IF('Gastos com Pessoal'!$Y$7:$Y$506&lt;=AM$3,1,0))*OFFSET('Gastos com Pessoal'!$H$6,1,MATCH(4&amp;$B31,'Gastos com Pessoal'!$I$532:$AJ$532&amp;'Gastos com Pessoal'!$I$6:$AJ$6,0),500,1)),0)+_xlfn.IFNA(SUM((AM$3&gt;='Gastos com Pessoal'!$E$7:$E$506)*(AM$3&lt;='Gastos com Pessoal'!$F$7:$F$506)*(IF('Gastos com Pessoal'!$AE$7:$AE$506&lt;=AM$3,1,0))*OFFSET('Gastos com Pessoal'!$H$6,1,MATCH(5&amp;$B31,'Gastos com Pessoal'!$I$532:$AJ$532&amp;'Gastos com Pessoal'!$I$6:$AJ$6,0),500,1)),0)+_xlfn.IFNA(SUM((AM$3&gt;='Gastos com Pessoal'!$E$513:$E$522)*(AM$3&lt;='Gastos com Pessoal'!$F$513:$F$522)*(IF('Gastos com Pessoal'!$G$513:$G$522&lt;=AM$3,1,0))*OFFSET('Gastos com Pessoal'!$H$512,1,MATCH(1&amp;$B31,'Gastos com Pessoal'!$I$532:$AJ$532&amp;'Gastos com Pessoal'!$I$512:$AJ$512,0),10,1)),0)+_xlfn.IFNA(SUM((AM$3&gt;='Gastos com Pessoal'!$E$513:$E$522)*(AM$3&lt;='Gastos com Pessoal'!$F$513:$F$522)*(IF('Gastos com Pessoal'!$M$513:$M$522&lt;=AM$3,1,0))*OFFSET('Gastos com Pessoal'!$H$512,1,MATCH(2&amp;$B31,'Gastos com Pessoal'!$I$532:$AJ$532&amp;'Gastos com Pessoal'!$I$512:$AJ$512,0),10,1)),0)+_xlfn.IFNA(SUM((AM$3&gt;='Gastos com Pessoal'!$E$513:$E$522)*(AM$3&lt;='Gastos com Pessoal'!$F$513:$F$522)*(IF('Gastos com Pessoal'!$S$513:$S$522&lt;=AM$3,1,0))*OFFSET('Gastos com Pessoal'!$H$512,1,MATCH(3&amp;$B31,'Gastos com Pessoal'!$I$532:$AJ$532&amp;'Gastos com Pessoal'!$I$512:$AJ$512,0),10,1)),0)+_xlfn.IFNA(SUM((AM$3&gt;='Gastos com Pessoal'!$E$513:$E$522)*(AM$3&lt;='Gastos com Pessoal'!$F$513:$F$522)*(IF('Gastos com Pessoal'!$Y$513:$Y$522&lt;=AM$3,1,0))*OFFSET('Gastos com Pessoal'!$H$512,1,MATCH(4&amp;$B31,'Gastos com Pessoal'!$I$532:$AJ$532&amp;'Gastos com Pessoal'!$I$512:$AJ$512,0),10,1)),0)+_xlfn.IFNA(SUM((AM$3&gt;='Gastos com Pessoal'!$E$513:$E$522)*(AM$3&lt;='Gastos com Pessoal'!$F$513:$F$522)*(IF('Gastos com Pessoal'!$AE$513:$AE$522&lt;=AM$3,1,0))*OFFSET('Gastos com Pessoal'!$H$512,1,MATCH(5&amp;$B31,'Gastos com Pessoal'!$I$532:$AJ$532&amp;'Gastos com Pessoal'!$I$512:$AJ$512,0),10,1)),0)</f>
        <v>0</v>
      </c>
      <c r="AN31" s="188">
        <f t="array" aca="1" ref="AN31" ca="1">_xlfn.IFNA(SUM((AN$3&gt;='Gastos com Pessoal'!$E$7:$E$506)*(AN$3&lt;='Gastos com Pessoal'!$F$7:$F$506)*OFFSET('Encargos e Benefícios'!$D$5,1,MATCH($B31,'Encargos e Benefícios'!$E$5:$AB$5,0),500,1)),0)+_xlfn.IFNA(SUM((AN$3&gt;='Gastos com Pessoal'!$E$513:$E$522)*(AN$3&lt;='Gastos com Pessoal'!$F$513:$F$522)*OFFSET('Encargos e Benefícios'!$D$511,1,MATCH($B31,'Encargos e Benefícios'!$E$511:$AB$511,0),10,1)),0)+_xlfn.IFNA(SUM((AN$3&gt;='Gastos com Pessoal'!$E$7:$E$506)*(AN$3&lt;='Gastos com Pessoal'!$F$7:$F$506)*(IF('Gastos com Pessoal'!$G$7:$G$506&lt;=AN$3,1,0))*OFFSET('Gastos com Pessoal'!$H$6,1,MATCH(1&amp;$B31,'Gastos com Pessoal'!$I$532:$AJ$532&amp;'Gastos com Pessoal'!$I$6:$AJ$6,0),500,1)),0)+_xlfn.IFNA(SUM((AN$3&gt;='Gastos com Pessoal'!$E$7:$E$506)*(AN$3&lt;='Gastos com Pessoal'!$F$7:$F$506)*(IF('Gastos com Pessoal'!$M$7:$M$506&lt;=AN$3,1,0))*OFFSET('Gastos com Pessoal'!$H$6,1,MATCH(2&amp;$B31,'Gastos com Pessoal'!$I$532:$AJ$532&amp;'Gastos com Pessoal'!$I$6:$AJ$6,0),500,1)),0)+_xlfn.IFNA(SUM((AN$3&gt;='Gastos com Pessoal'!$E$7:$E$506)*(AN$3&lt;='Gastos com Pessoal'!$F$7:$F$506)*(IF('Gastos com Pessoal'!$S$7:$S$506&lt;=AN$3,1,0))*OFFSET('Gastos com Pessoal'!$H$6,1,MATCH(3&amp;$B31,'Gastos com Pessoal'!$I$532:$AJ$532&amp;'Gastos com Pessoal'!$I$6:$AJ$6,0),500,1)),0)+_xlfn.IFNA(SUM((AN$3&gt;='Gastos com Pessoal'!$E$7:$E$506)*(AN$3&lt;='Gastos com Pessoal'!$F$7:$F$506)*(IF('Gastos com Pessoal'!$Y$7:$Y$506&lt;=AN$3,1,0))*OFFSET('Gastos com Pessoal'!$H$6,1,MATCH(4&amp;$B31,'Gastos com Pessoal'!$I$532:$AJ$532&amp;'Gastos com Pessoal'!$I$6:$AJ$6,0),500,1)),0)+_xlfn.IFNA(SUM((AN$3&gt;='Gastos com Pessoal'!$E$7:$E$506)*(AN$3&lt;='Gastos com Pessoal'!$F$7:$F$506)*(IF('Gastos com Pessoal'!$AE$7:$AE$506&lt;=AN$3,1,0))*OFFSET('Gastos com Pessoal'!$H$6,1,MATCH(5&amp;$B31,'Gastos com Pessoal'!$I$532:$AJ$532&amp;'Gastos com Pessoal'!$I$6:$AJ$6,0),500,1)),0)+_xlfn.IFNA(SUM((AN$3&gt;='Gastos com Pessoal'!$E$513:$E$522)*(AN$3&lt;='Gastos com Pessoal'!$F$513:$F$522)*(IF('Gastos com Pessoal'!$G$513:$G$522&lt;=AN$3,1,0))*OFFSET('Gastos com Pessoal'!$H$512,1,MATCH(1&amp;$B31,'Gastos com Pessoal'!$I$532:$AJ$532&amp;'Gastos com Pessoal'!$I$512:$AJ$512,0),10,1)),0)+_xlfn.IFNA(SUM((AN$3&gt;='Gastos com Pessoal'!$E$513:$E$522)*(AN$3&lt;='Gastos com Pessoal'!$F$513:$F$522)*(IF('Gastos com Pessoal'!$M$513:$M$522&lt;=AN$3,1,0))*OFFSET('Gastos com Pessoal'!$H$512,1,MATCH(2&amp;$B31,'Gastos com Pessoal'!$I$532:$AJ$532&amp;'Gastos com Pessoal'!$I$512:$AJ$512,0),10,1)),0)+_xlfn.IFNA(SUM((AN$3&gt;='Gastos com Pessoal'!$E$513:$E$522)*(AN$3&lt;='Gastos com Pessoal'!$F$513:$F$522)*(IF('Gastos com Pessoal'!$S$513:$S$522&lt;=AN$3,1,0))*OFFSET('Gastos com Pessoal'!$H$512,1,MATCH(3&amp;$B31,'Gastos com Pessoal'!$I$532:$AJ$532&amp;'Gastos com Pessoal'!$I$512:$AJ$512,0),10,1)),0)+_xlfn.IFNA(SUM((AN$3&gt;='Gastos com Pessoal'!$E$513:$E$522)*(AN$3&lt;='Gastos com Pessoal'!$F$513:$F$522)*(IF('Gastos com Pessoal'!$Y$513:$Y$522&lt;=AN$3,1,0))*OFFSET('Gastos com Pessoal'!$H$512,1,MATCH(4&amp;$B31,'Gastos com Pessoal'!$I$532:$AJ$532&amp;'Gastos com Pessoal'!$I$512:$AJ$512,0),10,1)),0)+_xlfn.IFNA(SUM((AN$3&gt;='Gastos com Pessoal'!$E$513:$E$522)*(AN$3&lt;='Gastos com Pessoal'!$F$513:$F$522)*(IF('Gastos com Pessoal'!$AE$513:$AE$522&lt;=AN$3,1,0))*OFFSET('Gastos com Pessoal'!$H$512,1,MATCH(5&amp;$B31,'Gastos com Pessoal'!$I$532:$AJ$532&amp;'Gastos com Pessoal'!$I$512:$AJ$512,0),10,1)),0)</f>
        <v>0</v>
      </c>
      <c r="AO31" s="188">
        <f t="array" aca="1" ref="AO31" ca="1">_xlfn.IFNA(SUM((AO$3&gt;='Gastos com Pessoal'!$E$7:$E$506)*(AO$3&lt;='Gastos com Pessoal'!$F$7:$F$506)*OFFSET('Encargos e Benefícios'!$D$5,1,MATCH($B31,'Encargos e Benefícios'!$E$5:$AB$5,0),500,1)),0)+_xlfn.IFNA(SUM((AO$3&gt;='Gastos com Pessoal'!$E$513:$E$522)*(AO$3&lt;='Gastos com Pessoal'!$F$513:$F$522)*OFFSET('Encargos e Benefícios'!$D$511,1,MATCH($B31,'Encargos e Benefícios'!$E$511:$AB$511,0),10,1)),0)+_xlfn.IFNA(SUM((AO$3&gt;='Gastos com Pessoal'!$E$7:$E$506)*(AO$3&lt;='Gastos com Pessoal'!$F$7:$F$506)*(IF('Gastos com Pessoal'!$G$7:$G$506&lt;=AO$3,1,0))*OFFSET('Gastos com Pessoal'!$H$6,1,MATCH(1&amp;$B31,'Gastos com Pessoal'!$I$532:$AJ$532&amp;'Gastos com Pessoal'!$I$6:$AJ$6,0),500,1)),0)+_xlfn.IFNA(SUM((AO$3&gt;='Gastos com Pessoal'!$E$7:$E$506)*(AO$3&lt;='Gastos com Pessoal'!$F$7:$F$506)*(IF('Gastos com Pessoal'!$M$7:$M$506&lt;=AO$3,1,0))*OFFSET('Gastos com Pessoal'!$H$6,1,MATCH(2&amp;$B31,'Gastos com Pessoal'!$I$532:$AJ$532&amp;'Gastos com Pessoal'!$I$6:$AJ$6,0),500,1)),0)+_xlfn.IFNA(SUM((AO$3&gt;='Gastos com Pessoal'!$E$7:$E$506)*(AO$3&lt;='Gastos com Pessoal'!$F$7:$F$506)*(IF('Gastos com Pessoal'!$S$7:$S$506&lt;=AO$3,1,0))*OFFSET('Gastos com Pessoal'!$H$6,1,MATCH(3&amp;$B31,'Gastos com Pessoal'!$I$532:$AJ$532&amp;'Gastos com Pessoal'!$I$6:$AJ$6,0),500,1)),0)+_xlfn.IFNA(SUM((AO$3&gt;='Gastos com Pessoal'!$E$7:$E$506)*(AO$3&lt;='Gastos com Pessoal'!$F$7:$F$506)*(IF('Gastos com Pessoal'!$Y$7:$Y$506&lt;=AO$3,1,0))*OFFSET('Gastos com Pessoal'!$H$6,1,MATCH(4&amp;$B31,'Gastos com Pessoal'!$I$532:$AJ$532&amp;'Gastos com Pessoal'!$I$6:$AJ$6,0),500,1)),0)+_xlfn.IFNA(SUM((AO$3&gt;='Gastos com Pessoal'!$E$7:$E$506)*(AO$3&lt;='Gastos com Pessoal'!$F$7:$F$506)*(IF('Gastos com Pessoal'!$AE$7:$AE$506&lt;=AO$3,1,0))*OFFSET('Gastos com Pessoal'!$H$6,1,MATCH(5&amp;$B31,'Gastos com Pessoal'!$I$532:$AJ$532&amp;'Gastos com Pessoal'!$I$6:$AJ$6,0),500,1)),0)+_xlfn.IFNA(SUM((AO$3&gt;='Gastos com Pessoal'!$E$513:$E$522)*(AO$3&lt;='Gastos com Pessoal'!$F$513:$F$522)*(IF('Gastos com Pessoal'!$G$513:$G$522&lt;=AO$3,1,0))*OFFSET('Gastos com Pessoal'!$H$512,1,MATCH(1&amp;$B31,'Gastos com Pessoal'!$I$532:$AJ$532&amp;'Gastos com Pessoal'!$I$512:$AJ$512,0),10,1)),0)+_xlfn.IFNA(SUM((AO$3&gt;='Gastos com Pessoal'!$E$513:$E$522)*(AO$3&lt;='Gastos com Pessoal'!$F$513:$F$522)*(IF('Gastos com Pessoal'!$M$513:$M$522&lt;=AO$3,1,0))*OFFSET('Gastos com Pessoal'!$H$512,1,MATCH(2&amp;$B31,'Gastos com Pessoal'!$I$532:$AJ$532&amp;'Gastos com Pessoal'!$I$512:$AJ$512,0),10,1)),0)+_xlfn.IFNA(SUM((AO$3&gt;='Gastos com Pessoal'!$E$513:$E$522)*(AO$3&lt;='Gastos com Pessoal'!$F$513:$F$522)*(IF('Gastos com Pessoal'!$S$513:$S$522&lt;=AO$3,1,0))*OFFSET('Gastos com Pessoal'!$H$512,1,MATCH(3&amp;$B31,'Gastos com Pessoal'!$I$532:$AJ$532&amp;'Gastos com Pessoal'!$I$512:$AJ$512,0),10,1)),0)+_xlfn.IFNA(SUM((AO$3&gt;='Gastos com Pessoal'!$E$513:$E$522)*(AO$3&lt;='Gastos com Pessoal'!$F$513:$F$522)*(IF('Gastos com Pessoal'!$Y$513:$Y$522&lt;=AO$3,1,0))*OFFSET('Gastos com Pessoal'!$H$512,1,MATCH(4&amp;$B31,'Gastos com Pessoal'!$I$532:$AJ$532&amp;'Gastos com Pessoal'!$I$512:$AJ$512,0),10,1)),0)+_xlfn.IFNA(SUM((AO$3&gt;='Gastos com Pessoal'!$E$513:$E$522)*(AO$3&lt;='Gastos com Pessoal'!$F$513:$F$522)*(IF('Gastos com Pessoal'!$AE$513:$AE$522&lt;=AO$3,1,0))*OFFSET('Gastos com Pessoal'!$H$512,1,MATCH(5&amp;$B31,'Gastos com Pessoal'!$I$532:$AJ$532&amp;'Gastos com Pessoal'!$I$512:$AJ$512,0),10,1)),0)</f>
        <v>0</v>
      </c>
      <c r="AP31" s="188">
        <f t="array" aca="1" ref="AP31" ca="1">_xlfn.IFNA(SUM((AP$3&gt;='Gastos com Pessoal'!$E$7:$E$506)*(AP$3&lt;='Gastos com Pessoal'!$F$7:$F$506)*OFFSET('Encargos e Benefícios'!$D$5,1,MATCH($B31,'Encargos e Benefícios'!$E$5:$AB$5,0),500,1)),0)+_xlfn.IFNA(SUM((AP$3&gt;='Gastos com Pessoal'!$E$513:$E$522)*(AP$3&lt;='Gastos com Pessoal'!$F$513:$F$522)*OFFSET('Encargos e Benefícios'!$D$511,1,MATCH($B31,'Encargos e Benefícios'!$E$511:$AB$511,0),10,1)),0)+_xlfn.IFNA(SUM((AP$3&gt;='Gastos com Pessoal'!$E$7:$E$506)*(AP$3&lt;='Gastos com Pessoal'!$F$7:$F$506)*(IF('Gastos com Pessoal'!$G$7:$G$506&lt;=AP$3,1,0))*OFFSET('Gastos com Pessoal'!$H$6,1,MATCH(1&amp;$B31,'Gastos com Pessoal'!$I$532:$AJ$532&amp;'Gastos com Pessoal'!$I$6:$AJ$6,0),500,1)),0)+_xlfn.IFNA(SUM((AP$3&gt;='Gastos com Pessoal'!$E$7:$E$506)*(AP$3&lt;='Gastos com Pessoal'!$F$7:$F$506)*(IF('Gastos com Pessoal'!$M$7:$M$506&lt;=AP$3,1,0))*OFFSET('Gastos com Pessoal'!$H$6,1,MATCH(2&amp;$B31,'Gastos com Pessoal'!$I$532:$AJ$532&amp;'Gastos com Pessoal'!$I$6:$AJ$6,0),500,1)),0)+_xlfn.IFNA(SUM((AP$3&gt;='Gastos com Pessoal'!$E$7:$E$506)*(AP$3&lt;='Gastos com Pessoal'!$F$7:$F$506)*(IF('Gastos com Pessoal'!$S$7:$S$506&lt;=AP$3,1,0))*OFFSET('Gastos com Pessoal'!$H$6,1,MATCH(3&amp;$B31,'Gastos com Pessoal'!$I$532:$AJ$532&amp;'Gastos com Pessoal'!$I$6:$AJ$6,0),500,1)),0)+_xlfn.IFNA(SUM((AP$3&gt;='Gastos com Pessoal'!$E$7:$E$506)*(AP$3&lt;='Gastos com Pessoal'!$F$7:$F$506)*(IF('Gastos com Pessoal'!$Y$7:$Y$506&lt;=AP$3,1,0))*OFFSET('Gastos com Pessoal'!$H$6,1,MATCH(4&amp;$B31,'Gastos com Pessoal'!$I$532:$AJ$532&amp;'Gastos com Pessoal'!$I$6:$AJ$6,0),500,1)),0)+_xlfn.IFNA(SUM((AP$3&gt;='Gastos com Pessoal'!$E$7:$E$506)*(AP$3&lt;='Gastos com Pessoal'!$F$7:$F$506)*(IF('Gastos com Pessoal'!$AE$7:$AE$506&lt;=AP$3,1,0))*OFFSET('Gastos com Pessoal'!$H$6,1,MATCH(5&amp;$B31,'Gastos com Pessoal'!$I$532:$AJ$532&amp;'Gastos com Pessoal'!$I$6:$AJ$6,0),500,1)),0)+_xlfn.IFNA(SUM((AP$3&gt;='Gastos com Pessoal'!$E$513:$E$522)*(AP$3&lt;='Gastos com Pessoal'!$F$513:$F$522)*(IF('Gastos com Pessoal'!$G$513:$G$522&lt;=AP$3,1,0))*OFFSET('Gastos com Pessoal'!$H$512,1,MATCH(1&amp;$B31,'Gastos com Pessoal'!$I$532:$AJ$532&amp;'Gastos com Pessoal'!$I$512:$AJ$512,0),10,1)),0)+_xlfn.IFNA(SUM((AP$3&gt;='Gastos com Pessoal'!$E$513:$E$522)*(AP$3&lt;='Gastos com Pessoal'!$F$513:$F$522)*(IF('Gastos com Pessoal'!$M$513:$M$522&lt;=AP$3,1,0))*OFFSET('Gastos com Pessoal'!$H$512,1,MATCH(2&amp;$B31,'Gastos com Pessoal'!$I$532:$AJ$532&amp;'Gastos com Pessoal'!$I$512:$AJ$512,0),10,1)),0)+_xlfn.IFNA(SUM((AP$3&gt;='Gastos com Pessoal'!$E$513:$E$522)*(AP$3&lt;='Gastos com Pessoal'!$F$513:$F$522)*(IF('Gastos com Pessoal'!$S$513:$S$522&lt;=AP$3,1,0))*OFFSET('Gastos com Pessoal'!$H$512,1,MATCH(3&amp;$B31,'Gastos com Pessoal'!$I$532:$AJ$532&amp;'Gastos com Pessoal'!$I$512:$AJ$512,0),10,1)),0)+_xlfn.IFNA(SUM((AP$3&gt;='Gastos com Pessoal'!$E$513:$E$522)*(AP$3&lt;='Gastos com Pessoal'!$F$513:$F$522)*(IF('Gastos com Pessoal'!$Y$513:$Y$522&lt;=AP$3,1,0))*OFFSET('Gastos com Pessoal'!$H$512,1,MATCH(4&amp;$B31,'Gastos com Pessoal'!$I$532:$AJ$532&amp;'Gastos com Pessoal'!$I$512:$AJ$512,0),10,1)),0)+_xlfn.IFNA(SUM((AP$3&gt;='Gastos com Pessoal'!$E$513:$E$522)*(AP$3&lt;='Gastos com Pessoal'!$F$513:$F$522)*(IF('Gastos com Pessoal'!$AE$513:$AE$522&lt;=AP$3,1,0))*OFFSET('Gastos com Pessoal'!$H$512,1,MATCH(5&amp;$B31,'Gastos com Pessoal'!$I$532:$AJ$532&amp;'Gastos com Pessoal'!$I$512:$AJ$512,0),10,1)),0)</f>
        <v>0</v>
      </c>
      <c r="AQ31" s="188">
        <f t="array" aca="1" ref="AQ31" ca="1">_xlfn.IFNA(SUM((AQ$3&gt;='Gastos com Pessoal'!$E$7:$E$506)*(AQ$3&lt;='Gastos com Pessoal'!$F$7:$F$506)*OFFSET('Encargos e Benefícios'!$D$5,1,MATCH($B31,'Encargos e Benefícios'!$E$5:$AB$5,0),500,1)),0)+_xlfn.IFNA(SUM((AQ$3&gt;='Gastos com Pessoal'!$E$513:$E$522)*(AQ$3&lt;='Gastos com Pessoal'!$F$513:$F$522)*OFFSET('Encargos e Benefícios'!$D$511,1,MATCH($B31,'Encargos e Benefícios'!$E$511:$AB$511,0),10,1)),0)+_xlfn.IFNA(SUM((AQ$3&gt;='Gastos com Pessoal'!$E$7:$E$506)*(AQ$3&lt;='Gastos com Pessoal'!$F$7:$F$506)*(IF('Gastos com Pessoal'!$G$7:$G$506&lt;=AQ$3,1,0))*OFFSET('Gastos com Pessoal'!$H$6,1,MATCH(1&amp;$B31,'Gastos com Pessoal'!$I$532:$AJ$532&amp;'Gastos com Pessoal'!$I$6:$AJ$6,0),500,1)),0)+_xlfn.IFNA(SUM((AQ$3&gt;='Gastos com Pessoal'!$E$7:$E$506)*(AQ$3&lt;='Gastos com Pessoal'!$F$7:$F$506)*(IF('Gastos com Pessoal'!$M$7:$M$506&lt;=AQ$3,1,0))*OFFSET('Gastos com Pessoal'!$H$6,1,MATCH(2&amp;$B31,'Gastos com Pessoal'!$I$532:$AJ$532&amp;'Gastos com Pessoal'!$I$6:$AJ$6,0),500,1)),0)+_xlfn.IFNA(SUM((AQ$3&gt;='Gastos com Pessoal'!$E$7:$E$506)*(AQ$3&lt;='Gastos com Pessoal'!$F$7:$F$506)*(IF('Gastos com Pessoal'!$S$7:$S$506&lt;=AQ$3,1,0))*OFFSET('Gastos com Pessoal'!$H$6,1,MATCH(3&amp;$B31,'Gastos com Pessoal'!$I$532:$AJ$532&amp;'Gastos com Pessoal'!$I$6:$AJ$6,0),500,1)),0)+_xlfn.IFNA(SUM((AQ$3&gt;='Gastos com Pessoal'!$E$7:$E$506)*(AQ$3&lt;='Gastos com Pessoal'!$F$7:$F$506)*(IF('Gastos com Pessoal'!$Y$7:$Y$506&lt;=AQ$3,1,0))*OFFSET('Gastos com Pessoal'!$H$6,1,MATCH(4&amp;$B31,'Gastos com Pessoal'!$I$532:$AJ$532&amp;'Gastos com Pessoal'!$I$6:$AJ$6,0),500,1)),0)+_xlfn.IFNA(SUM((AQ$3&gt;='Gastos com Pessoal'!$E$7:$E$506)*(AQ$3&lt;='Gastos com Pessoal'!$F$7:$F$506)*(IF('Gastos com Pessoal'!$AE$7:$AE$506&lt;=AQ$3,1,0))*OFFSET('Gastos com Pessoal'!$H$6,1,MATCH(5&amp;$B31,'Gastos com Pessoal'!$I$532:$AJ$532&amp;'Gastos com Pessoal'!$I$6:$AJ$6,0),500,1)),0)+_xlfn.IFNA(SUM((AQ$3&gt;='Gastos com Pessoal'!$E$513:$E$522)*(AQ$3&lt;='Gastos com Pessoal'!$F$513:$F$522)*(IF('Gastos com Pessoal'!$G$513:$G$522&lt;=AQ$3,1,0))*OFFSET('Gastos com Pessoal'!$H$512,1,MATCH(1&amp;$B31,'Gastos com Pessoal'!$I$532:$AJ$532&amp;'Gastos com Pessoal'!$I$512:$AJ$512,0),10,1)),0)+_xlfn.IFNA(SUM((AQ$3&gt;='Gastos com Pessoal'!$E$513:$E$522)*(AQ$3&lt;='Gastos com Pessoal'!$F$513:$F$522)*(IF('Gastos com Pessoal'!$M$513:$M$522&lt;=AQ$3,1,0))*OFFSET('Gastos com Pessoal'!$H$512,1,MATCH(2&amp;$B31,'Gastos com Pessoal'!$I$532:$AJ$532&amp;'Gastos com Pessoal'!$I$512:$AJ$512,0),10,1)),0)+_xlfn.IFNA(SUM((AQ$3&gt;='Gastos com Pessoal'!$E$513:$E$522)*(AQ$3&lt;='Gastos com Pessoal'!$F$513:$F$522)*(IF('Gastos com Pessoal'!$S$513:$S$522&lt;=AQ$3,1,0))*OFFSET('Gastos com Pessoal'!$H$512,1,MATCH(3&amp;$B31,'Gastos com Pessoal'!$I$532:$AJ$532&amp;'Gastos com Pessoal'!$I$512:$AJ$512,0),10,1)),0)+_xlfn.IFNA(SUM((AQ$3&gt;='Gastos com Pessoal'!$E$513:$E$522)*(AQ$3&lt;='Gastos com Pessoal'!$F$513:$F$522)*(IF('Gastos com Pessoal'!$Y$513:$Y$522&lt;=AQ$3,1,0))*OFFSET('Gastos com Pessoal'!$H$512,1,MATCH(4&amp;$B31,'Gastos com Pessoal'!$I$532:$AJ$532&amp;'Gastos com Pessoal'!$I$512:$AJ$512,0),10,1)),0)+_xlfn.IFNA(SUM((AQ$3&gt;='Gastos com Pessoal'!$E$513:$E$522)*(AQ$3&lt;='Gastos com Pessoal'!$F$513:$F$522)*(IF('Gastos com Pessoal'!$AE$513:$AE$522&lt;=AQ$3,1,0))*OFFSET('Gastos com Pessoal'!$H$512,1,MATCH(5&amp;$B31,'Gastos com Pessoal'!$I$532:$AJ$532&amp;'Gastos com Pessoal'!$I$512:$AJ$512,0),10,1)),0)</f>
        <v>0</v>
      </c>
      <c r="AR31" s="188">
        <f t="array" aca="1" ref="AR31" ca="1">_xlfn.IFNA(SUM((AR$3&gt;='Gastos com Pessoal'!$E$7:$E$506)*(AR$3&lt;='Gastos com Pessoal'!$F$7:$F$506)*OFFSET('Encargos e Benefícios'!$D$5,1,MATCH($B31,'Encargos e Benefícios'!$E$5:$AB$5,0),500,1)),0)+_xlfn.IFNA(SUM((AR$3&gt;='Gastos com Pessoal'!$E$513:$E$522)*(AR$3&lt;='Gastos com Pessoal'!$F$513:$F$522)*OFFSET('Encargos e Benefícios'!$D$511,1,MATCH($B31,'Encargos e Benefícios'!$E$511:$AB$511,0),10,1)),0)+_xlfn.IFNA(SUM((AR$3&gt;='Gastos com Pessoal'!$E$7:$E$506)*(AR$3&lt;='Gastos com Pessoal'!$F$7:$F$506)*(IF('Gastos com Pessoal'!$G$7:$G$506&lt;=AR$3,1,0))*OFFSET('Gastos com Pessoal'!$H$6,1,MATCH(1&amp;$B31,'Gastos com Pessoal'!$I$532:$AJ$532&amp;'Gastos com Pessoal'!$I$6:$AJ$6,0),500,1)),0)+_xlfn.IFNA(SUM((AR$3&gt;='Gastos com Pessoal'!$E$7:$E$506)*(AR$3&lt;='Gastos com Pessoal'!$F$7:$F$506)*(IF('Gastos com Pessoal'!$M$7:$M$506&lt;=AR$3,1,0))*OFFSET('Gastos com Pessoal'!$H$6,1,MATCH(2&amp;$B31,'Gastos com Pessoal'!$I$532:$AJ$532&amp;'Gastos com Pessoal'!$I$6:$AJ$6,0),500,1)),0)+_xlfn.IFNA(SUM((AR$3&gt;='Gastos com Pessoal'!$E$7:$E$506)*(AR$3&lt;='Gastos com Pessoal'!$F$7:$F$506)*(IF('Gastos com Pessoal'!$S$7:$S$506&lt;=AR$3,1,0))*OFFSET('Gastos com Pessoal'!$H$6,1,MATCH(3&amp;$B31,'Gastos com Pessoal'!$I$532:$AJ$532&amp;'Gastos com Pessoal'!$I$6:$AJ$6,0),500,1)),0)+_xlfn.IFNA(SUM((AR$3&gt;='Gastos com Pessoal'!$E$7:$E$506)*(AR$3&lt;='Gastos com Pessoal'!$F$7:$F$506)*(IF('Gastos com Pessoal'!$Y$7:$Y$506&lt;=AR$3,1,0))*OFFSET('Gastos com Pessoal'!$H$6,1,MATCH(4&amp;$B31,'Gastos com Pessoal'!$I$532:$AJ$532&amp;'Gastos com Pessoal'!$I$6:$AJ$6,0),500,1)),0)+_xlfn.IFNA(SUM((AR$3&gt;='Gastos com Pessoal'!$E$7:$E$506)*(AR$3&lt;='Gastos com Pessoal'!$F$7:$F$506)*(IF('Gastos com Pessoal'!$AE$7:$AE$506&lt;=AR$3,1,0))*OFFSET('Gastos com Pessoal'!$H$6,1,MATCH(5&amp;$B31,'Gastos com Pessoal'!$I$532:$AJ$532&amp;'Gastos com Pessoal'!$I$6:$AJ$6,0),500,1)),0)+_xlfn.IFNA(SUM((AR$3&gt;='Gastos com Pessoal'!$E$513:$E$522)*(AR$3&lt;='Gastos com Pessoal'!$F$513:$F$522)*(IF('Gastos com Pessoal'!$G$513:$G$522&lt;=AR$3,1,0))*OFFSET('Gastos com Pessoal'!$H$512,1,MATCH(1&amp;$B31,'Gastos com Pessoal'!$I$532:$AJ$532&amp;'Gastos com Pessoal'!$I$512:$AJ$512,0),10,1)),0)+_xlfn.IFNA(SUM((AR$3&gt;='Gastos com Pessoal'!$E$513:$E$522)*(AR$3&lt;='Gastos com Pessoal'!$F$513:$F$522)*(IF('Gastos com Pessoal'!$M$513:$M$522&lt;=AR$3,1,0))*OFFSET('Gastos com Pessoal'!$H$512,1,MATCH(2&amp;$B31,'Gastos com Pessoal'!$I$532:$AJ$532&amp;'Gastos com Pessoal'!$I$512:$AJ$512,0),10,1)),0)+_xlfn.IFNA(SUM((AR$3&gt;='Gastos com Pessoal'!$E$513:$E$522)*(AR$3&lt;='Gastos com Pessoal'!$F$513:$F$522)*(IF('Gastos com Pessoal'!$S$513:$S$522&lt;=AR$3,1,0))*OFFSET('Gastos com Pessoal'!$H$512,1,MATCH(3&amp;$B31,'Gastos com Pessoal'!$I$532:$AJ$532&amp;'Gastos com Pessoal'!$I$512:$AJ$512,0),10,1)),0)+_xlfn.IFNA(SUM((AR$3&gt;='Gastos com Pessoal'!$E$513:$E$522)*(AR$3&lt;='Gastos com Pessoal'!$F$513:$F$522)*(IF('Gastos com Pessoal'!$Y$513:$Y$522&lt;=AR$3,1,0))*OFFSET('Gastos com Pessoal'!$H$512,1,MATCH(4&amp;$B31,'Gastos com Pessoal'!$I$532:$AJ$532&amp;'Gastos com Pessoal'!$I$512:$AJ$512,0),10,1)),0)+_xlfn.IFNA(SUM((AR$3&gt;='Gastos com Pessoal'!$E$513:$E$522)*(AR$3&lt;='Gastos com Pessoal'!$F$513:$F$522)*(IF('Gastos com Pessoal'!$AE$513:$AE$522&lt;=AR$3,1,0))*OFFSET('Gastos com Pessoal'!$H$512,1,MATCH(5&amp;$B31,'Gastos com Pessoal'!$I$532:$AJ$532&amp;'Gastos com Pessoal'!$I$512:$AJ$512,0),10,1)),0)</f>
        <v>0</v>
      </c>
      <c r="AS31" s="188">
        <f t="array" aca="1" ref="AS31" ca="1">_xlfn.IFNA(SUM((AS$3&gt;='Gastos com Pessoal'!$E$7:$E$506)*(AS$3&lt;='Gastos com Pessoal'!$F$7:$F$506)*OFFSET('Encargos e Benefícios'!$D$5,1,MATCH($B31,'Encargos e Benefícios'!$E$5:$AB$5,0),500,1)),0)+_xlfn.IFNA(SUM((AS$3&gt;='Gastos com Pessoal'!$E$513:$E$522)*(AS$3&lt;='Gastos com Pessoal'!$F$513:$F$522)*OFFSET('Encargos e Benefícios'!$D$511,1,MATCH($B31,'Encargos e Benefícios'!$E$511:$AB$511,0),10,1)),0)+_xlfn.IFNA(SUM((AS$3&gt;='Gastos com Pessoal'!$E$7:$E$506)*(AS$3&lt;='Gastos com Pessoal'!$F$7:$F$506)*(IF('Gastos com Pessoal'!$G$7:$G$506&lt;=AS$3,1,0))*OFFSET('Gastos com Pessoal'!$H$6,1,MATCH(1&amp;$B31,'Gastos com Pessoal'!$I$532:$AJ$532&amp;'Gastos com Pessoal'!$I$6:$AJ$6,0),500,1)),0)+_xlfn.IFNA(SUM((AS$3&gt;='Gastos com Pessoal'!$E$7:$E$506)*(AS$3&lt;='Gastos com Pessoal'!$F$7:$F$506)*(IF('Gastos com Pessoal'!$M$7:$M$506&lt;=AS$3,1,0))*OFFSET('Gastos com Pessoal'!$H$6,1,MATCH(2&amp;$B31,'Gastos com Pessoal'!$I$532:$AJ$532&amp;'Gastos com Pessoal'!$I$6:$AJ$6,0),500,1)),0)+_xlfn.IFNA(SUM((AS$3&gt;='Gastos com Pessoal'!$E$7:$E$506)*(AS$3&lt;='Gastos com Pessoal'!$F$7:$F$506)*(IF('Gastos com Pessoal'!$S$7:$S$506&lt;=AS$3,1,0))*OFFSET('Gastos com Pessoal'!$H$6,1,MATCH(3&amp;$B31,'Gastos com Pessoal'!$I$532:$AJ$532&amp;'Gastos com Pessoal'!$I$6:$AJ$6,0),500,1)),0)+_xlfn.IFNA(SUM((AS$3&gt;='Gastos com Pessoal'!$E$7:$E$506)*(AS$3&lt;='Gastos com Pessoal'!$F$7:$F$506)*(IF('Gastos com Pessoal'!$Y$7:$Y$506&lt;=AS$3,1,0))*OFFSET('Gastos com Pessoal'!$H$6,1,MATCH(4&amp;$B31,'Gastos com Pessoal'!$I$532:$AJ$532&amp;'Gastos com Pessoal'!$I$6:$AJ$6,0),500,1)),0)+_xlfn.IFNA(SUM((AS$3&gt;='Gastos com Pessoal'!$E$7:$E$506)*(AS$3&lt;='Gastos com Pessoal'!$F$7:$F$506)*(IF('Gastos com Pessoal'!$AE$7:$AE$506&lt;=AS$3,1,0))*OFFSET('Gastos com Pessoal'!$H$6,1,MATCH(5&amp;$B31,'Gastos com Pessoal'!$I$532:$AJ$532&amp;'Gastos com Pessoal'!$I$6:$AJ$6,0),500,1)),0)+_xlfn.IFNA(SUM((AS$3&gt;='Gastos com Pessoal'!$E$513:$E$522)*(AS$3&lt;='Gastos com Pessoal'!$F$513:$F$522)*(IF('Gastos com Pessoal'!$G$513:$G$522&lt;=AS$3,1,0))*OFFSET('Gastos com Pessoal'!$H$512,1,MATCH(1&amp;$B31,'Gastos com Pessoal'!$I$532:$AJ$532&amp;'Gastos com Pessoal'!$I$512:$AJ$512,0),10,1)),0)+_xlfn.IFNA(SUM((AS$3&gt;='Gastos com Pessoal'!$E$513:$E$522)*(AS$3&lt;='Gastos com Pessoal'!$F$513:$F$522)*(IF('Gastos com Pessoal'!$M$513:$M$522&lt;=AS$3,1,0))*OFFSET('Gastos com Pessoal'!$H$512,1,MATCH(2&amp;$B31,'Gastos com Pessoal'!$I$532:$AJ$532&amp;'Gastos com Pessoal'!$I$512:$AJ$512,0),10,1)),0)+_xlfn.IFNA(SUM((AS$3&gt;='Gastos com Pessoal'!$E$513:$E$522)*(AS$3&lt;='Gastos com Pessoal'!$F$513:$F$522)*(IF('Gastos com Pessoal'!$S$513:$S$522&lt;=AS$3,1,0))*OFFSET('Gastos com Pessoal'!$H$512,1,MATCH(3&amp;$B31,'Gastos com Pessoal'!$I$532:$AJ$532&amp;'Gastos com Pessoal'!$I$512:$AJ$512,0),10,1)),0)+_xlfn.IFNA(SUM((AS$3&gt;='Gastos com Pessoal'!$E$513:$E$522)*(AS$3&lt;='Gastos com Pessoal'!$F$513:$F$522)*(IF('Gastos com Pessoal'!$Y$513:$Y$522&lt;=AS$3,1,0))*OFFSET('Gastos com Pessoal'!$H$512,1,MATCH(4&amp;$B31,'Gastos com Pessoal'!$I$532:$AJ$532&amp;'Gastos com Pessoal'!$I$512:$AJ$512,0),10,1)),0)+_xlfn.IFNA(SUM((AS$3&gt;='Gastos com Pessoal'!$E$513:$E$522)*(AS$3&lt;='Gastos com Pessoal'!$F$513:$F$522)*(IF('Gastos com Pessoal'!$AE$513:$AE$522&lt;=AS$3,1,0))*OFFSET('Gastos com Pessoal'!$H$512,1,MATCH(5&amp;$B31,'Gastos com Pessoal'!$I$532:$AJ$532&amp;'Gastos com Pessoal'!$I$512:$AJ$512,0),10,1)),0)</f>
        <v>0</v>
      </c>
      <c r="AT31" s="188">
        <f t="array" aca="1" ref="AT31" ca="1">_xlfn.IFNA(SUM((AT$3&gt;='Gastos com Pessoal'!$E$7:$E$506)*(AT$3&lt;='Gastos com Pessoal'!$F$7:$F$506)*OFFSET('Encargos e Benefícios'!$D$5,1,MATCH($B31,'Encargos e Benefícios'!$E$5:$AB$5,0),500,1)),0)+_xlfn.IFNA(SUM((AT$3&gt;='Gastos com Pessoal'!$E$513:$E$522)*(AT$3&lt;='Gastos com Pessoal'!$F$513:$F$522)*OFFSET('Encargos e Benefícios'!$D$511,1,MATCH($B31,'Encargos e Benefícios'!$E$511:$AB$511,0),10,1)),0)+_xlfn.IFNA(SUM((AT$3&gt;='Gastos com Pessoal'!$E$7:$E$506)*(AT$3&lt;='Gastos com Pessoal'!$F$7:$F$506)*(IF('Gastos com Pessoal'!$G$7:$G$506&lt;=AT$3,1,0))*OFFSET('Gastos com Pessoal'!$H$6,1,MATCH(1&amp;$B31,'Gastos com Pessoal'!$I$532:$AJ$532&amp;'Gastos com Pessoal'!$I$6:$AJ$6,0),500,1)),0)+_xlfn.IFNA(SUM((AT$3&gt;='Gastos com Pessoal'!$E$7:$E$506)*(AT$3&lt;='Gastos com Pessoal'!$F$7:$F$506)*(IF('Gastos com Pessoal'!$M$7:$M$506&lt;=AT$3,1,0))*OFFSET('Gastos com Pessoal'!$H$6,1,MATCH(2&amp;$B31,'Gastos com Pessoal'!$I$532:$AJ$532&amp;'Gastos com Pessoal'!$I$6:$AJ$6,0),500,1)),0)+_xlfn.IFNA(SUM((AT$3&gt;='Gastos com Pessoal'!$E$7:$E$506)*(AT$3&lt;='Gastos com Pessoal'!$F$7:$F$506)*(IF('Gastos com Pessoal'!$S$7:$S$506&lt;=AT$3,1,0))*OFFSET('Gastos com Pessoal'!$H$6,1,MATCH(3&amp;$B31,'Gastos com Pessoal'!$I$532:$AJ$532&amp;'Gastos com Pessoal'!$I$6:$AJ$6,0),500,1)),0)+_xlfn.IFNA(SUM((AT$3&gt;='Gastos com Pessoal'!$E$7:$E$506)*(AT$3&lt;='Gastos com Pessoal'!$F$7:$F$506)*(IF('Gastos com Pessoal'!$Y$7:$Y$506&lt;=AT$3,1,0))*OFFSET('Gastos com Pessoal'!$H$6,1,MATCH(4&amp;$B31,'Gastos com Pessoal'!$I$532:$AJ$532&amp;'Gastos com Pessoal'!$I$6:$AJ$6,0),500,1)),0)+_xlfn.IFNA(SUM((AT$3&gt;='Gastos com Pessoal'!$E$7:$E$506)*(AT$3&lt;='Gastos com Pessoal'!$F$7:$F$506)*(IF('Gastos com Pessoal'!$AE$7:$AE$506&lt;=AT$3,1,0))*OFFSET('Gastos com Pessoal'!$H$6,1,MATCH(5&amp;$B31,'Gastos com Pessoal'!$I$532:$AJ$532&amp;'Gastos com Pessoal'!$I$6:$AJ$6,0),500,1)),0)+_xlfn.IFNA(SUM((AT$3&gt;='Gastos com Pessoal'!$E$513:$E$522)*(AT$3&lt;='Gastos com Pessoal'!$F$513:$F$522)*(IF('Gastos com Pessoal'!$G$513:$G$522&lt;=AT$3,1,0))*OFFSET('Gastos com Pessoal'!$H$512,1,MATCH(1&amp;$B31,'Gastos com Pessoal'!$I$532:$AJ$532&amp;'Gastos com Pessoal'!$I$512:$AJ$512,0),10,1)),0)+_xlfn.IFNA(SUM((AT$3&gt;='Gastos com Pessoal'!$E$513:$E$522)*(AT$3&lt;='Gastos com Pessoal'!$F$513:$F$522)*(IF('Gastos com Pessoal'!$M$513:$M$522&lt;=AT$3,1,0))*OFFSET('Gastos com Pessoal'!$H$512,1,MATCH(2&amp;$B31,'Gastos com Pessoal'!$I$532:$AJ$532&amp;'Gastos com Pessoal'!$I$512:$AJ$512,0),10,1)),0)+_xlfn.IFNA(SUM((AT$3&gt;='Gastos com Pessoal'!$E$513:$E$522)*(AT$3&lt;='Gastos com Pessoal'!$F$513:$F$522)*(IF('Gastos com Pessoal'!$S$513:$S$522&lt;=AT$3,1,0))*OFFSET('Gastos com Pessoal'!$H$512,1,MATCH(3&amp;$B31,'Gastos com Pessoal'!$I$532:$AJ$532&amp;'Gastos com Pessoal'!$I$512:$AJ$512,0),10,1)),0)+_xlfn.IFNA(SUM((AT$3&gt;='Gastos com Pessoal'!$E$513:$E$522)*(AT$3&lt;='Gastos com Pessoal'!$F$513:$F$522)*(IF('Gastos com Pessoal'!$Y$513:$Y$522&lt;=AT$3,1,0))*OFFSET('Gastos com Pessoal'!$H$512,1,MATCH(4&amp;$B31,'Gastos com Pessoal'!$I$532:$AJ$532&amp;'Gastos com Pessoal'!$I$512:$AJ$512,0),10,1)),0)+_xlfn.IFNA(SUM((AT$3&gt;='Gastos com Pessoal'!$E$513:$E$522)*(AT$3&lt;='Gastos com Pessoal'!$F$513:$F$522)*(IF('Gastos com Pessoal'!$AE$513:$AE$522&lt;=AT$3,1,0))*OFFSET('Gastos com Pessoal'!$H$512,1,MATCH(5&amp;$B31,'Gastos com Pessoal'!$I$532:$AJ$532&amp;'Gastos com Pessoal'!$I$512:$AJ$512,0),10,1)),0)</f>
        <v>0</v>
      </c>
      <c r="AU31" s="188">
        <f t="array" aca="1" ref="AU31" ca="1">_xlfn.IFNA(SUM((AU$3&gt;='Gastos com Pessoal'!$E$7:$E$506)*(AU$3&lt;='Gastos com Pessoal'!$F$7:$F$506)*OFFSET('Encargos e Benefícios'!$D$5,1,MATCH($B31,'Encargos e Benefícios'!$E$5:$AB$5,0),500,1)),0)+_xlfn.IFNA(SUM((AU$3&gt;='Gastos com Pessoal'!$E$513:$E$522)*(AU$3&lt;='Gastos com Pessoal'!$F$513:$F$522)*OFFSET('Encargos e Benefícios'!$D$511,1,MATCH($B31,'Encargos e Benefícios'!$E$511:$AB$511,0),10,1)),0)+_xlfn.IFNA(SUM((AU$3&gt;='Gastos com Pessoal'!$E$7:$E$506)*(AU$3&lt;='Gastos com Pessoal'!$F$7:$F$506)*(IF('Gastos com Pessoal'!$G$7:$G$506&lt;=AU$3,1,0))*OFFSET('Gastos com Pessoal'!$H$6,1,MATCH(1&amp;$B31,'Gastos com Pessoal'!$I$532:$AJ$532&amp;'Gastos com Pessoal'!$I$6:$AJ$6,0),500,1)),0)+_xlfn.IFNA(SUM((AU$3&gt;='Gastos com Pessoal'!$E$7:$E$506)*(AU$3&lt;='Gastos com Pessoal'!$F$7:$F$506)*(IF('Gastos com Pessoal'!$M$7:$M$506&lt;=AU$3,1,0))*OFFSET('Gastos com Pessoal'!$H$6,1,MATCH(2&amp;$B31,'Gastos com Pessoal'!$I$532:$AJ$532&amp;'Gastos com Pessoal'!$I$6:$AJ$6,0),500,1)),0)+_xlfn.IFNA(SUM((AU$3&gt;='Gastos com Pessoal'!$E$7:$E$506)*(AU$3&lt;='Gastos com Pessoal'!$F$7:$F$506)*(IF('Gastos com Pessoal'!$S$7:$S$506&lt;=AU$3,1,0))*OFFSET('Gastos com Pessoal'!$H$6,1,MATCH(3&amp;$B31,'Gastos com Pessoal'!$I$532:$AJ$532&amp;'Gastos com Pessoal'!$I$6:$AJ$6,0),500,1)),0)+_xlfn.IFNA(SUM((AU$3&gt;='Gastos com Pessoal'!$E$7:$E$506)*(AU$3&lt;='Gastos com Pessoal'!$F$7:$F$506)*(IF('Gastos com Pessoal'!$Y$7:$Y$506&lt;=AU$3,1,0))*OFFSET('Gastos com Pessoal'!$H$6,1,MATCH(4&amp;$B31,'Gastos com Pessoal'!$I$532:$AJ$532&amp;'Gastos com Pessoal'!$I$6:$AJ$6,0),500,1)),0)+_xlfn.IFNA(SUM((AU$3&gt;='Gastos com Pessoal'!$E$7:$E$506)*(AU$3&lt;='Gastos com Pessoal'!$F$7:$F$506)*(IF('Gastos com Pessoal'!$AE$7:$AE$506&lt;=AU$3,1,0))*OFFSET('Gastos com Pessoal'!$H$6,1,MATCH(5&amp;$B31,'Gastos com Pessoal'!$I$532:$AJ$532&amp;'Gastos com Pessoal'!$I$6:$AJ$6,0),500,1)),0)+_xlfn.IFNA(SUM((AU$3&gt;='Gastos com Pessoal'!$E$513:$E$522)*(AU$3&lt;='Gastos com Pessoal'!$F$513:$F$522)*(IF('Gastos com Pessoal'!$G$513:$G$522&lt;=AU$3,1,0))*OFFSET('Gastos com Pessoal'!$H$512,1,MATCH(1&amp;$B31,'Gastos com Pessoal'!$I$532:$AJ$532&amp;'Gastos com Pessoal'!$I$512:$AJ$512,0),10,1)),0)+_xlfn.IFNA(SUM((AU$3&gt;='Gastos com Pessoal'!$E$513:$E$522)*(AU$3&lt;='Gastos com Pessoal'!$F$513:$F$522)*(IF('Gastos com Pessoal'!$M$513:$M$522&lt;=AU$3,1,0))*OFFSET('Gastos com Pessoal'!$H$512,1,MATCH(2&amp;$B31,'Gastos com Pessoal'!$I$532:$AJ$532&amp;'Gastos com Pessoal'!$I$512:$AJ$512,0),10,1)),0)+_xlfn.IFNA(SUM((AU$3&gt;='Gastos com Pessoal'!$E$513:$E$522)*(AU$3&lt;='Gastos com Pessoal'!$F$513:$F$522)*(IF('Gastos com Pessoal'!$S$513:$S$522&lt;=AU$3,1,0))*OFFSET('Gastos com Pessoal'!$H$512,1,MATCH(3&amp;$B31,'Gastos com Pessoal'!$I$532:$AJ$532&amp;'Gastos com Pessoal'!$I$512:$AJ$512,0),10,1)),0)+_xlfn.IFNA(SUM((AU$3&gt;='Gastos com Pessoal'!$E$513:$E$522)*(AU$3&lt;='Gastos com Pessoal'!$F$513:$F$522)*(IF('Gastos com Pessoal'!$Y$513:$Y$522&lt;=AU$3,1,0))*OFFSET('Gastos com Pessoal'!$H$512,1,MATCH(4&amp;$B31,'Gastos com Pessoal'!$I$532:$AJ$532&amp;'Gastos com Pessoal'!$I$512:$AJ$512,0),10,1)),0)+_xlfn.IFNA(SUM((AU$3&gt;='Gastos com Pessoal'!$E$513:$E$522)*(AU$3&lt;='Gastos com Pessoal'!$F$513:$F$522)*(IF('Gastos com Pessoal'!$AE$513:$AE$522&lt;=AU$3,1,0))*OFFSET('Gastos com Pessoal'!$H$512,1,MATCH(5&amp;$B31,'Gastos com Pessoal'!$I$532:$AJ$532&amp;'Gastos com Pessoal'!$I$512:$AJ$512,0),10,1)),0)</f>
        <v>0</v>
      </c>
      <c r="AV31" s="188">
        <f t="array" aca="1" ref="AV31" ca="1">_xlfn.IFNA(SUM((AV$3&gt;='Gastos com Pessoal'!$E$7:$E$506)*(AV$3&lt;='Gastos com Pessoal'!$F$7:$F$506)*OFFSET('Encargos e Benefícios'!$D$5,1,MATCH($B31,'Encargos e Benefícios'!$E$5:$AB$5,0),500,1)),0)+_xlfn.IFNA(SUM((AV$3&gt;='Gastos com Pessoal'!$E$513:$E$522)*(AV$3&lt;='Gastos com Pessoal'!$F$513:$F$522)*OFFSET('Encargos e Benefícios'!$D$511,1,MATCH($B31,'Encargos e Benefícios'!$E$511:$AB$511,0),10,1)),0)+_xlfn.IFNA(SUM((AV$3&gt;='Gastos com Pessoal'!$E$7:$E$506)*(AV$3&lt;='Gastos com Pessoal'!$F$7:$F$506)*(IF('Gastos com Pessoal'!$G$7:$G$506&lt;=AV$3,1,0))*OFFSET('Gastos com Pessoal'!$H$6,1,MATCH(1&amp;$B31,'Gastos com Pessoal'!$I$532:$AJ$532&amp;'Gastos com Pessoal'!$I$6:$AJ$6,0),500,1)),0)+_xlfn.IFNA(SUM((AV$3&gt;='Gastos com Pessoal'!$E$7:$E$506)*(AV$3&lt;='Gastos com Pessoal'!$F$7:$F$506)*(IF('Gastos com Pessoal'!$M$7:$M$506&lt;=AV$3,1,0))*OFFSET('Gastos com Pessoal'!$H$6,1,MATCH(2&amp;$B31,'Gastos com Pessoal'!$I$532:$AJ$532&amp;'Gastos com Pessoal'!$I$6:$AJ$6,0),500,1)),0)+_xlfn.IFNA(SUM((AV$3&gt;='Gastos com Pessoal'!$E$7:$E$506)*(AV$3&lt;='Gastos com Pessoal'!$F$7:$F$506)*(IF('Gastos com Pessoal'!$S$7:$S$506&lt;=AV$3,1,0))*OFFSET('Gastos com Pessoal'!$H$6,1,MATCH(3&amp;$B31,'Gastos com Pessoal'!$I$532:$AJ$532&amp;'Gastos com Pessoal'!$I$6:$AJ$6,0),500,1)),0)+_xlfn.IFNA(SUM((AV$3&gt;='Gastos com Pessoal'!$E$7:$E$506)*(AV$3&lt;='Gastos com Pessoal'!$F$7:$F$506)*(IF('Gastos com Pessoal'!$Y$7:$Y$506&lt;=AV$3,1,0))*OFFSET('Gastos com Pessoal'!$H$6,1,MATCH(4&amp;$B31,'Gastos com Pessoal'!$I$532:$AJ$532&amp;'Gastos com Pessoal'!$I$6:$AJ$6,0),500,1)),0)+_xlfn.IFNA(SUM((AV$3&gt;='Gastos com Pessoal'!$E$7:$E$506)*(AV$3&lt;='Gastos com Pessoal'!$F$7:$F$506)*(IF('Gastos com Pessoal'!$AE$7:$AE$506&lt;=AV$3,1,0))*OFFSET('Gastos com Pessoal'!$H$6,1,MATCH(5&amp;$B31,'Gastos com Pessoal'!$I$532:$AJ$532&amp;'Gastos com Pessoal'!$I$6:$AJ$6,0),500,1)),0)+_xlfn.IFNA(SUM((AV$3&gt;='Gastos com Pessoal'!$E$513:$E$522)*(AV$3&lt;='Gastos com Pessoal'!$F$513:$F$522)*(IF('Gastos com Pessoal'!$G$513:$G$522&lt;=AV$3,1,0))*OFFSET('Gastos com Pessoal'!$H$512,1,MATCH(1&amp;$B31,'Gastos com Pessoal'!$I$532:$AJ$532&amp;'Gastos com Pessoal'!$I$512:$AJ$512,0),10,1)),0)+_xlfn.IFNA(SUM((AV$3&gt;='Gastos com Pessoal'!$E$513:$E$522)*(AV$3&lt;='Gastos com Pessoal'!$F$513:$F$522)*(IF('Gastos com Pessoal'!$M$513:$M$522&lt;=AV$3,1,0))*OFFSET('Gastos com Pessoal'!$H$512,1,MATCH(2&amp;$B31,'Gastos com Pessoal'!$I$532:$AJ$532&amp;'Gastos com Pessoal'!$I$512:$AJ$512,0),10,1)),0)+_xlfn.IFNA(SUM((AV$3&gt;='Gastos com Pessoal'!$E$513:$E$522)*(AV$3&lt;='Gastos com Pessoal'!$F$513:$F$522)*(IF('Gastos com Pessoal'!$S$513:$S$522&lt;=AV$3,1,0))*OFFSET('Gastos com Pessoal'!$H$512,1,MATCH(3&amp;$B31,'Gastos com Pessoal'!$I$532:$AJ$532&amp;'Gastos com Pessoal'!$I$512:$AJ$512,0),10,1)),0)+_xlfn.IFNA(SUM((AV$3&gt;='Gastos com Pessoal'!$E$513:$E$522)*(AV$3&lt;='Gastos com Pessoal'!$F$513:$F$522)*(IF('Gastos com Pessoal'!$Y$513:$Y$522&lt;=AV$3,1,0))*OFFSET('Gastos com Pessoal'!$H$512,1,MATCH(4&amp;$B31,'Gastos com Pessoal'!$I$532:$AJ$532&amp;'Gastos com Pessoal'!$I$512:$AJ$512,0),10,1)),0)+_xlfn.IFNA(SUM((AV$3&gt;='Gastos com Pessoal'!$E$513:$E$522)*(AV$3&lt;='Gastos com Pessoal'!$F$513:$F$522)*(IF('Gastos com Pessoal'!$AE$513:$AE$522&lt;=AV$3,1,0))*OFFSET('Gastos com Pessoal'!$H$512,1,MATCH(5&amp;$B31,'Gastos com Pessoal'!$I$532:$AJ$532&amp;'Gastos com Pessoal'!$I$512:$AJ$512,0),10,1)),0)</f>
        <v>0</v>
      </c>
      <c r="AW31" s="188">
        <f t="array" aca="1" ref="AW31" ca="1">_xlfn.IFNA(SUM((AW$3&gt;='Gastos com Pessoal'!$E$7:$E$506)*(AW$3&lt;='Gastos com Pessoal'!$F$7:$F$506)*OFFSET('Encargos e Benefícios'!$D$5,1,MATCH($B31,'Encargos e Benefícios'!$E$5:$AB$5,0),500,1)),0)+_xlfn.IFNA(SUM((AW$3&gt;='Gastos com Pessoal'!$E$513:$E$522)*(AW$3&lt;='Gastos com Pessoal'!$F$513:$F$522)*OFFSET('Encargos e Benefícios'!$D$511,1,MATCH($B31,'Encargos e Benefícios'!$E$511:$AB$511,0),10,1)),0)+_xlfn.IFNA(SUM((AW$3&gt;='Gastos com Pessoal'!$E$7:$E$506)*(AW$3&lt;='Gastos com Pessoal'!$F$7:$F$506)*(IF('Gastos com Pessoal'!$G$7:$G$506&lt;=AW$3,1,0))*OFFSET('Gastos com Pessoal'!$H$6,1,MATCH(1&amp;$B31,'Gastos com Pessoal'!$I$532:$AJ$532&amp;'Gastos com Pessoal'!$I$6:$AJ$6,0),500,1)),0)+_xlfn.IFNA(SUM((AW$3&gt;='Gastos com Pessoal'!$E$7:$E$506)*(AW$3&lt;='Gastos com Pessoal'!$F$7:$F$506)*(IF('Gastos com Pessoal'!$M$7:$M$506&lt;=AW$3,1,0))*OFFSET('Gastos com Pessoal'!$H$6,1,MATCH(2&amp;$B31,'Gastos com Pessoal'!$I$532:$AJ$532&amp;'Gastos com Pessoal'!$I$6:$AJ$6,0),500,1)),0)+_xlfn.IFNA(SUM((AW$3&gt;='Gastos com Pessoal'!$E$7:$E$506)*(AW$3&lt;='Gastos com Pessoal'!$F$7:$F$506)*(IF('Gastos com Pessoal'!$S$7:$S$506&lt;=AW$3,1,0))*OFFSET('Gastos com Pessoal'!$H$6,1,MATCH(3&amp;$B31,'Gastos com Pessoal'!$I$532:$AJ$532&amp;'Gastos com Pessoal'!$I$6:$AJ$6,0),500,1)),0)+_xlfn.IFNA(SUM((AW$3&gt;='Gastos com Pessoal'!$E$7:$E$506)*(AW$3&lt;='Gastos com Pessoal'!$F$7:$F$506)*(IF('Gastos com Pessoal'!$Y$7:$Y$506&lt;=AW$3,1,0))*OFFSET('Gastos com Pessoal'!$H$6,1,MATCH(4&amp;$B31,'Gastos com Pessoal'!$I$532:$AJ$532&amp;'Gastos com Pessoal'!$I$6:$AJ$6,0),500,1)),0)+_xlfn.IFNA(SUM((AW$3&gt;='Gastos com Pessoal'!$E$7:$E$506)*(AW$3&lt;='Gastos com Pessoal'!$F$7:$F$506)*(IF('Gastos com Pessoal'!$AE$7:$AE$506&lt;=AW$3,1,0))*OFFSET('Gastos com Pessoal'!$H$6,1,MATCH(5&amp;$B31,'Gastos com Pessoal'!$I$532:$AJ$532&amp;'Gastos com Pessoal'!$I$6:$AJ$6,0),500,1)),0)+_xlfn.IFNA(SUM((AW$3&gt;='Gastos com Pessoal'!$E$513:$E$522)*(AW$3&lt;='Gastos com Pessoal'!$F$513:$F$522)*(IF('Gastos com Pessoal'!$G$513:$G$522&lt;=AW$3,1,0))*OFFSET('Gastos com Pessoal'!$H$512,1,MATCH(1&amp;$B31,'Gastos com Pessoal'!$I$532:$AJ$532&amp;'Gastos com Pessoal'!$I$512:$AJ$512,0),10,1)),0)+_xlfn.IFNA(SUM((AW$3&gt;='Gastos com Pessoal'!$E$513:$E$522)*(AW$3&lt;='Gastos com Pessoal'!$F$513:$F$522)*(IF('Gastos com Pessoal'!$M$513:$M$522&lt;=AW$3,1,0))*OFFSET('Gastos com Pessoal'!$H$512,1,MATCH(2&amp;$B31,'Gastos com Pessoal'!$I$532:$AJ$532&amp;'Gastos com Pessoal'!$I$512:$AJ$512,0),10,1)),0)+_xlfn.IFNA(SUM((AW$3&gt;='Gastos com Pessoal'!$E$513:$E$522)*(AW$3&lt;='Gastos com Pessoal'!$F$513:$F$522)*(IF('Gastos com Pessoal'!$S$513:$S$522&lt;=AW$3,1,0))*OFFSET('Gastos com Pessoal'!$H$512,1,MATCH(3&amp;$B31,'Gastos com Pessoal'!$I$532:$AJ$532&amp;'Gastos com Pessoal'!$I$512:$AJ$512,0),10,1)),0)+_xlfn.IFNA(SUM((AW$3&gt;='Gastos com Pessoal'!$E$513:$E$522)*(AW$3&lt;='Gastos com Pessoal'!$F$513:$F$522)*(IF('Gastos com Pessoal'!$Y$513:$Y$522&lt;=AW$3,1,0))*OFFSET('Gastos com Pessoal'!$H$512,1,MATCH(4&amp;$B31,'Gastos com Pessoal'!$I$532:$AJ$532&amp;'Gastos com Pessoal'!$I$512:$AJ$512,0),10,1)),0)+_xlfn.IFNA(SUM((AW$3&gt;='Gastos com Pessoal'!$E$513:$E$522)*(AW$3&lt;='Gastos com Pessoal'!$F$513:$F$522)*(IF('Gastos com Pessoal'!$AE$513:$AE$522&lt;=AW$3,1,0))*OFFSET('Gastos com Pessoal'!$H$512,1,MATCH(5&amp;$B31,'Gastos com Pessoal'!$I$532:$AJ$532&amp;'Gastos com Pessoal'!$I$512:$AJ$512,0),10,1)),0)</f>
        <v>0</v>
      </c>
      <c r="AX31" s="188">
        <f t="array" aca="1" ref="AX31" ca="1">_xlfn.IFNA(SUM((AX$3&gt;='Gastos com Pessoal'!$E$7:$E$506)*(AX$3&lt;='Gastos com Pessoal'!$F$7:$F$506)*OFFSET('Encargos e Benefícios'!$D$5,1,MATCH($B31,'Encargos e Benefícios'!$E$5:$AB$5,0),500,1)),0)+_xlfn.IFNA(SUM((AX$3&gt;='Gastos com Pessoal'!$E$513:$E$522)*(AX$3&lt;='Gastos com Pessoal'!$F$513:$F$522)*OFFSET('Encargos e Benefícios'!$D$511,1,MATCH($B31,'Encargos e Benefícios'!$E$511:$AB$511,0),10,1)),0)+_xlfn.IFNA(SUM((AX$3&gt;='Gastos com Pessoal'!$E$7:$E$506)*(AX$3&lt;='Gastos com Pessoal'!$F$7:$F$506)*(IF('Gastos com Pessoal'!$G$7:$G$506&lt;=AX$3,1,0))*OFFSET('Gastos com Pessoal'!$H$6,1,MATCH(1&amp;$B31,'Gastos com Pessoal'!$I$532:$AJ$532&amp;'Gastos com Pessoal'!$I$6:$AJ$6,0),500,1)),0)+_xlfn.IFNA(SUM((AX$3&gt;='Gastos com Pessoal'!$E$7:$E$506)*(AX$3&lt;='Gastos com Pessoal'!$F$7:$F$506)*(IF('Gastos com Pessoal'!$M$7:$M$506&lt;=AX$3,1,0))*OFFSET('Gastos com Pessoal'!$H$6,1,MATCH(2&amp;$B31,'Gastos com Pessoal'!$I$532:$AJ$532&amp;'Gastos com Pessoal'!$I$6:$AJ$6,0),500,1)),0)+_xlfn.IFNA(SUM((AX$3&gt;='Gastos com Pessoal'!$E$7:$E$506)*(AX$3&lt;='Gastos com Pessoal'!$F$7:$F$506)*(IF('Gastos com Pessoal'!$S$7:$S$506&lt;=AX$3,1,0))*OFFSET('Gastos com Pessoal'!$H$6,1,MATCH(3&amp;$B31,'Gastos com Pessoal'!$I$532:$AJ$532&amp;'Gastos com Pessoal'!$I$6:$AJ$6,0),500,1)),0)+_xlfn.IFNA(SUM((AX$3&gt;='Gastos com Pessoal'!$E$7:$E$506)*(AX$3&lt;='Gastos com Pessoal'!$F$7:$F$506)*(IF('Gastos com Pessoal'!$Y$7:$Y$506&lt;=AX$3,1,0))*OFFSET('Gastos com Pessoal'!$H$6,1,MATCH(4&amp;$B31,'Gastos com Pessoal'!$I$532:$AJ$532&amp;'Gastos com Pessoal'!$I$6:$AJ$6,0),500,1)),0)+_xlfn.IFNA(SUM((AX$3&gt;='Gastos com Pessoal'!$E$7:$E$506)*(AX$3&lt;='Gastos com Pessoal'!$F$7:$F$506)*(IF('Gastos com Pessoal'!$AE$7:$AE$506&lt;=AX$3,1,0))*OFFSET('Gastos com Pessoal'!$H$6,1,MATCH(5&amp;$B31,'Gastos com Pessoal'!$I$532:$AJ$532&amp;'Gastos com Pessoal'!$I$6:$AJ$6,0),500,1)),0)+_xlfn.IFNA(SUM((AX$3&gt;='Gastos com Pessoal'!$E$513:$E$522)*(AX$3&lt;='Gastos com Pessoal'!$F$513:$F$522)*(IF('Gastos com Pessoal'!$G$513:$G$522&lt;=AX$3,1,0))*OFFSET('Gastos com Pessoal'!$H$512,1,MATCH(1&amp;$B31,'Gastos com Pessoal'!$I$532:$AJ$532&amp;'Gastos com Pessoal'!$I$512:$AJ$512,0),10,1)),0)+_xlfn.IFNA(SUM((AX$3&gt;='Gastos com Pessoal'!$E$513:$E$522)*(AX$3&lt;='Gastos com Pessoal'!$F$513:$F$522)*(IF('Gastos com Pessoal'!$M$513:$M$522&lt;=AX$3,1,0))*OFFSET('Gastos com Pessoal'!$H$512,1,MATCH(2&amp;$B31,'Gastos com Pessoal'!$I$532:$AJ$532&amp;'Gastos com Pessoal'!$I$512:$AJ$512,0),10,1)),0)+_xlfn.IFNA(SUM((AX$3&gt;='Gastos com Pessoal'!$E$513:$E$522)*(AX$3&lt;='Gastos com Pessoal'!$F$513:$F$522)*(IF('Gastos com Pessoal'!$S$513:$S$522&lt;=AX$3,1,0))*OFFSET('Gastos com Pessoal'!$H$512,1,MATCH(3&amp;$B31,'Gastos com Pessoal'!$I$532:$AJ$532&amp;'Gastos com Pessoal'!$I$512:$AJ$512,0),10,1)),0)+_xlfn.IFNA(SUM((AX$3&gt;='Gastos com Pessoal'!$E$513:$E$522)*(AX$3&lt;='Gastos com Pessoal'!$F$513:$F$522)*(IF('Gastos com Pessoal'!$Y$513:$Y$522&lt;=AX$3,1,0))*OFFSET('Gastos com Pessoal'!$H$512,1,MATCH(4&amp;$B31,'Gastos com Pessoal'!$I$532:$AJ$532&amp;'Gastos com Pessoal'!$I$512:$AJ$512,0),10,1)),0)+_xlfn.IFNA(SUM((AX$3&gt;='Gastos com Pessoal'!$E$513:$E$522)*(AX$3&lt;='Gastos com Pessoal'!$F$513:$F$522)*(IF('Gastos com Pessoal'!$AE$513:$AE$522&lt;=AX$3,1,0))*OFFSET('Gastos com Pessoal'!$H$512,1,MATCH(5&amp;$B31,'Gastos com Pessoal'!$I$532:$AJ$532&amp;'Gastos com Pessoal'!$I$512:$AJ$512,0),10,1)),0)</f>
        <v>0</v>
      </c>
      <c r="AY31" s="188">
        <f t="array" aca="1" ref="AY31" ca="1">_xlfn.IFNA(SUM((AY$3&gt;='Gastos com Pessoal'!$E$7:$E$506)*(AY$3&lt;='Gastos com Pessoal'!$F$7:$F$506)*OFFSET('Encargos e Benefícios'!$D$5,1,MATCH($B31,'Encargos e Benefícios'!$E$5:$AB$5,0),500,1)),0)+_xlfn.IFNA(SUM((AY$3&gt;='Gastos com Pessoal'!$E$513:$E$522)*(AY$3&lt;='Gastos com Pessoal'!$F$513:$F$522)*OFFSET('Encargos e Benefícios'!$D$511,1,MATCH($B31,'Encargos e Benefícios'!$E$511:$AB$511,0),10,1)),0)+_xlfn.IFNA(SUM((AY$3&gt;='Gastos com Pessoal'!$E$7:$E$506)*(AY$3&lt;='Gastos com Pessoal'!$F$7:$F$506)*(IF('Gastos com Pessoal'!$G$7:$G$506&lt;=AY$3,1,0))*OFFSET('Gastos com Pessoal'!$H$6,1,MATCH(1&amp;$B31,'Gastos com Pessoal'!$I$532:$AJ$532&amp;'Gastos com Pessoal'!$I$6:$AJ$6,0),500,1)),0)+_xlfn.IFNA(SUM((AY$3&gt;='Gastos com Pessoal'!$E$7:$E$506)*(AY$3&lt;='Gastos com Pessoal'!$F$7:$F$506)*(IF('Gastos com Pessoal'!$M$7:$M$506&lt;=AY$3,1,0))*OFFSET('Gastos com Pessoal'!$H$6,1,MATCH(2&amp;$B31,'Gastos com Pessoal'!$I$532:$AJ$532&amp;'Gastos com Pessoal'!$I$6:$AJ$6,0),500,1)),0)+_xlfn.IFNA(SUM((AY$3&gt;='Gastos com Pessoal'!$E$7:$E$506)*(AY$3&lt;='Gastos com Pessoal'!$F$7:$F$506)*(IF('Gastos com Pessoal'!$S$7:$S$506&lt;=AY$3,1,0))*OFFSET('Gastos com Pessoal'!$H$6,1,MATCH(3&amp;$B31,'Gastos com Pessoal'!$I$532:$AJ$532&amp;'Gastos com Pessoal'!$I$6:$AJ$6,0),500,1)),0)+_xlfn.IFNA(SUM((AY$3&gt;='Gastos com Pessoal'!$E$7:$E$506)*(AY$3&lt;='Gastos com Pessoal'!$F$7:$F$506)*(IF('Gastos com Pessoal'!$Y$7:$Y$506&lt;=AY$3,1,0))*OFFSET('Gastos com Pessoal'!$H$6,1,MATCH(4&amp;$B31,'Gastos com Pessoal'!$I$532:$AJ$532&amp;'Gastos com Pessoal'!$I$6:$AJ$6,0),500,1)),0)+_xlfn.IFNA(SUM((AY$3&gt;='Gastos com Pessoal'!$E$7:$E$506)*(AY$3&lt;='Gastos com Pessoal'!$F$7:$F$506)*(IF('Gastos com Pessoal'!$AE$7:$AE$506&lt;=AY$3,1,0))*OFFSET('Gastos com Pessoal'!$H$6,1,MATCH(5&amp;$B31,'Gastos com Pessoal'!$I$532:$AJ$532&amp;'Gastos com Pessoal'!$I$6:$AJ$6,0),500,1)),0)+_xlfn.IFNA(SUM((AY$3&gt;='Gastos com Pessoal'!$E$513:$E$522)*(AY$3&lt;='Gastos com Pessoal'!$F$513:$F$522)*(IF('Gastos com Pessoal'!$G$513:$G$522&lt;=AY$3,1,0))*OFFSET('Gastos com Pessoal'!$H$512,1,MATCH(1&amp;$B31,'Gastos com Pessoal'!$I$532:$AJ$532&amp;'Gastos com Pessoal'!$I$512:$AJ$512,0),10,1)),0)+_xlfn.IFNA(SUM((AY$3&gt;='Gastos com Pessoal'!$E$513:$E$522)*(AY$3&lt;='Gastos com Pessoal'!$F$513:$F$522)*(IF('Gastos com Pessoal'!$M$513:$M$522&lt;=AY$3,1,0))*OFFSET('Gastos com Pessoal'!$H$512,1,MATCH(2&amp;$B31,'Gastos com Pessoal'!$I$532:$AJ$532&amp;'Gastos com Pessoal'!$I$512:$AJ$512,0),10,1)),0)+_xlfn.IFNA(SUM((AY$3&gt;='Gastos com Pessoal'!$E$513:$E$522)*(AY$3&lt;='Gastos com Pessoal'!$F$513:$F$522)*(IF('Gastos com Pessoal'!$S$513:$S$522&lt;=AY$3,1,0))*OFFSET('Gastos com Pessoal'!$H$512,1,MATCH(3&amp;$B31,'Gastos com Pessoal'!$I$532:$AJ$532&amp;'Gastos com Pessoal'!$I$512:$AJ$512,0),10,1)),0)+_xlfn.IFNA(SUM((AY$3&gt;='Gastos com Pessoal'!$E$513:$E$522)*(AY$3&lt;='Gastos com Pessoal'!$F$513:$F$522)*(IF('Gastos com Pessoal'!$Y$513:$Y$522&lt;=AY$3,1,0))*OFFSET('Gastos com Pessoal'!$H$512,1,MATCH(4&amp;$B31,'Gastos com Pessoal'!$I$532:$AJ$532&amp;'Gastos com Pessoal'!$I$512:$AJ$512,0),10,1)),0)+_xlfn.IFNA(SUM((AY$3&gt;='Gastos com Pessoal'!$E$513:$E$522)*(AY$3&lt;='Gastos com Pessoal'!$F$513:$F$522)*(IF('Gastos com Pessoal'!$AE$513:$AE$522&lt;=AY$3,1,0))*OFFSET('Gastos com Pessoal'!$H$512,1,MATCH(5&amp;$B31,'Gastos com Pessoal'!$I$532:$AJ$532&amp;'Gastos com Pessoal'!$I$512:$AJ$512,0),10,1)),0)</f>
        <v>0</v>
      </c>
      <c r="AZ31" s="188">
        <f t="array" aca="1" ref="AZ31" ca="1">_xlfn.IFNA(SUM((AZ$3&gt;='Gastos com Pessoal'!$E$7:$E$506)*(AZ$3&lt;='Gastos com Pessoal'!$F$7:$F$506)*OFFSET('Encargos e Benefícios'!$D$5,1,MATCH($B31,'Encargos e Benefícios'!$E$5:$AB$5,0),500,1)),0)+_xlfn.IFNA(SUM((AZ$3&gt;='Gastos com Pessoal'!$E$513:$E$522)*(AZ$3&lt;='Gastos com Pessoal'!$F$513:$F$522)*OFFSET('Encargos e Benefícios'!$D$511,1,MATCH($B31,'Encargos e Benefícios'!$E$511:$AB$511,0),10,1)),0)+_xlfn.IFNA(SUM((AZ$3&gt;='Gastos com Pessoal'!$E$7:$E$506)*(AZ$3&lt;='Gastos com Pessoal'!$F$7:$F$506)*(IF('Gastos com Pessoal'!$G$7:$G$506&lt;=AZ$3,1,0))*OFFSET('Gastos com Pessoal'!$H$6,1,MATCH(1&amp;$B31,'Gastos com Pessoal'!$I$532:$AJ$532&amp;'Gastos com Pessoal'!$I$6:$AJ$6,0),500,1)),0)+_xlfn.IFNA(SUM((AZ$3&gt;='Gastos com Pessoal'!$E$7:$E$506)*(AZ$3&lt;='Gastos com Pessoal'!$F$7:$F$506)*(IF('Gastos com Pessoal'!$M$7:$M$506&lt;=AZ$3,1,0))*OFFSET('Gastos com Pessoal'!$H$6,1,MATCH(2&amp;$B31,'Gastos com Pessoal'!$I$532:$AJ$532&amp;'Gastos com Pessoal'!$I$6:$AJ$6,0),500,1)),0)+_xlfn.IFNA(SUM((AZ$3&gt;='Gastos com Pessoal'!$E$7:$E$506)*(AZ$3&lt;='Gastos com Pessoal'!$F$7:$F$506)*(IF('Gastos com Pessoal'!$S$7:$S$506&lt;=AZ$3,1,0))*OFFSET('Gastos com Pessoal'!$H$6,1,MATCH(3&amp;$B31,'Gastos com Pessoal'!$I$532:$AJ$532&amp;'Gastos com Pessoal'!$I$6:$AJ$6,0),500,1)),0)+_xlfn.IFNA(SUM((AZ$3&gt;='Gastos com Pessoal'!$E$7:$E$506)*(AZ$3&lt;='Gastos com Pessoal'!$F$7:$F$506)*(IF('Gastos com Pessoal'!$Y$7:$Y$506&lt;=AZ$3,1,0))*OFFSET('Gastos com Pessoal'!$H$6,1,MATCH(4&amp;$B31,'Gastos com Pessoal'!$I$532:$AJ$532&amp;'Gastos com Pessoal'!$I$6:$AJ$6,0),500,1)),0)+_xlfn.IFNA(SUM((AZ$3&gt;='Gastos com Pessoal'!$E$7:$E$506)*(AZ$3&lt;='Gastos com Pessoal'!$F$7:$F$506)*(IF('Gastos com Pessoal'!$AE$7:$AE$506&lt;=AZ$3,1,0))*OFFSET('Gastos com Pessoal'!$H$6,1,MATCH(5&amp;$B31,'Gastos com Pessoal'!$I$532:$AJ$532&amp;'Gastos com Pessoal'!$I$6:$AJ$6,0),500,1)),0)+_xlfn.IFNA(SUM((AZ$3&gt;='Gastos com Pessoal'!$E$513:$E$522)*(AZ$3&lt;='Gastos com Pessoal'!$F$513:$F$522)*(IF('Gastos com Pessoal'!$G$513:$G$522&lt;=AZ$3,1,0))*OFFSET('Gastos com Pessoal'!$H$512,1,MATCH(1&amp;$B31,'Gastos com Pessoal'!$I$532:$AJ$532&amp;'Gastos com Pessoal'!$I$512:$AJ$512,0),10,1)),0)+_xlfn.IFNA(SUM((AZ$3&gt;='Gastos com Pessoal'!$E$513:$E$522)*(AZ$3&lt;='Gastos com Pessoal'!$F$513:$F$522)*(IF('Gastos com Pessoal'!$M$513:$M$522&lt;=AZ$3,1,0))*OFFSET('Gastos com Pessoal'!$H$512,1,MATCH(2&amp;$B31,'Gastos com Pessoal'!$I$532:$AJ$532&amp;'Gastos com Pessoal'!$I$512:$AJ$512,0),10,1)),0)+_xlfn.IFNA(SUM((AZ$3&gt;='Gastos com Pessoal'!$E$513:$E$522)*(AZ$3&lt;='Gastos com Pessoal'!$F$513:$F$522)*(IF('Gastos com Pessoal'!$S$513:$S$522&lt;=AZ$3,1,0))*OFFSET('Gastos com Pessoal'!$H$512,1,MATCH(3&amp;$B31,'Gastos com Pessoal'!$I$532:$AJ$532&amp;'Gastos com Pessoal'!$I$512:$AJ$512,0),10,1)),0)+_xlfn.IFNA(SUM((AZ$3&gt;='Gastos com Pessoal'!$E$513:$E$522)*(AZ$3&lt;='Gastos com Pessoal'!$F$513:$F$522)*(IF('Gastos com Pessoal'!$Y$513:$Y$522&lt;=AZ$3,1,0))*OFFSET('Gastos com Pessoal'!$H$512,1,MATCH(4&amp;$B31,'Gastos com Pessoal'!$I$532:$AJ$532&amp;'Gastos com Pessoal'!$I$512:$AJ$512,0),10,1)),0)+_xlfn.IFNA(SUM((AZ$3&gt;='Gastos com Pessoal'!$E$513:$E$522)*(AZ$3&lt;='Gastos com Pessoal'!$F$513:$F$522)*(IF('Gastos com Pessoal'!$AE$513:$AE$522&lt;=AZ$3,1,0))*OFFSET('Gastos com Pessoal'!$H$512,1,MATCH(5&amp;$B31,'Gastos com Pessoal'!$I$532:$AJ$532&amp;'Gastos com Pessoal'!$I$512:$AJ$512,0),10,1)),0)</f>
        <v>0</v>
      </c>
      <c r="BA31" s="188">
        <f t="array" aca="1" ref="BA31" ca="1">_xlfn.IFNA(SUM((BA$3&gt;='Gastos com Pessoal'!$E$7:$E$506)*(BA$3&lt;='Gastos com Pessoal'!$F$7:$F$506)*OFFSET('Encargos e Benefícios'!$D$5,1,MATCH($B31,'Encargos e Benefícios'!$E$5:$AB$5,0),500,1)),0)+_xlfn.IFNA(SUM((BA$3&gt;='Gastos com Pessoal'!$E$513:$E$522)*(BA$3&lt;='Gastos com Pessoal'!$F$513:$F$522)*OFFSET('Encargos e Benefícios'!$D$511,1,MATCH($B31,'Encargos e Benefícios'!$E$511:$AB$511,0),10,1)),0)+_xlfn.IFNA(SUM((BA$3&gt;='Gastos com Pessoal'!$E$7:$E$506)*(BA$3&lt;='Gastos com Pessoal'!$F$7:$F$506)*(IF('Gastos com Pessoal'!$G$7:$G$506&lt;=BA$3,1,0))*OFFSET('Gastos com Pessoal'!$H$6,1,MATCH(1&amp;$B31,'Gastos com Pessoal'!$I$532:$AJ$532&amp;'Gastos com Pessoal'!$I$6:$AJ$6,0),500,1)),0)+_xlfn.IFNA(SUM((BA$3&gt;='Gastos com Pessoal'!$E$7:$E$506)*(BA$3&lt;='Gastos com Pessoal'!$F$7:$F$506)*(IF('Gastos com Pessoal'!$M$7:$M$506&lt;=BA$3,1,0))*OFFSET('Gastos com Pessoal'!$H$6,1,MATCH(2&amp;$B31,'Gastos com Pessoal'!$I$532:$AJ$532&amp;'Gastos com Pessoal'!$I$6:$AJ$6,0),500,1)),0)+_xlfn.IFNA(SUM((BA$3&gt;='Gastos com Pessoal'!$E$7:$E$506)*(BA$3&lt;='Gastos com Pessoal'!$F$7:$F$506)*(IF('Gastos com Pessoal'!$S$7:$S$506&lt;=BA$3,1,0))*OFFSET('Gastos com Pessoal'!$H$6,1,MATCH(3&amp;$B31,'Gastos com Pessoal'!$I$532:$AJ$532&amp;'Gastos com Pessoal'!$I$6:$AJ$6,0),500,1)),0)+_xlfn.IFNA(SUM((BA$3&gt;='Gastos com Pessoal'!$E$7:$E$506)*(BA$3&lt;='Gastos com Pessoal'!$F$7:$F$506)*(IF('Gastos com Pessoal'!$Y$7:$Y$506&lt;=BA$3,1,0))*OFFSET('Gastos com Pessoal'!$H$6,1,MATCH(4&amp;$B31,'Gastos com Pessoal'!$I$532:$AJ$532&amp;'Gastos com Pessoal'!$I$6:$AJ$6,0),500,1)),0)+_xlfn.IFNA(SUM((BA$3&gt;='Gastos com Pessoal'!$E$7:$E$506)*(BA$3&lt;='Gastos com Pessoal'!$F$7:$F$506)*(IF('Gastos com Pessoal'!$AE$7:$AE$506&lt;=BA$3,1,0))*OFFSET('Gastos com Pessoal'!$H$6,1,MATCH(5&amp;$B31,'Gastos com Pessoal'!$I$532:$AJ$532&amp;'Gastos com Pessoal'!$I$6:$AJ$6,0),500,1)),0)+_xlfn.IFNA(SUM((BA$3&gt;='Gastos com Pessoal'!$E$513:$E$522)*(BA$3&lt;='Gastos com Pessoal'!$F$513:$F$522)*(IF('Gastos com Pessoal'!$G$513:$G$522&lt;=BA$3,1,0))*OFFSET('Gastos com Pessoal'!$H$512,1,MATCH(1&amp;$B31,'Gastos com Pessoal'!$I$532:$AJ$532&amp;'Gastos com Pessoal'!$I$512:$AJ$512,0),10,1)),0)+_xlfn.IFNA(SUM((BA$3&gt;='Gastos com Pessoal'!$E$513:$E$522)*(BA$3&lt;='Gastos com Pessoal'!$F$513:$F$522)*(IF('Gastos com Pessoal'!$M$513:$M$522&lt;=BA$3,1,0))*OFFSET('Gastos com Pessoal'!$H$512,1,MATCH(2&amp;$B31,'Gastos com Pessoal'!$I$532:$AJ$532&amp;'Gastos com Pessoal'!$I$512:$AJ$512,0),10,1)),0)+_xlfn.IFNA(SUM((BA$3&gt;='Gastos com Pessoal'!$E$513:$E$522)*(BA$3&lt;='Gastos com Pessoal'!$F$513:$F$522)*(IF('Gastos com Pessoal'!$S$513:$S$522&lt;=BA$3,1,0))*OFFSET('Gastos com Pessoal'!$H$512,1,MATCH(3&amp;$B31,'Gastos com Pessoal'!$I$532:$AJ$532&amp;'Gastos com Pessoal'!$I$512:$AJ$512,0),10,1)),0)+_xlfn.IFNA(SUM((BA$3&gt;='Gastos com Pessoal'!$E$513:$E$522)*(BA$3&lt;='Gastos com Pessoal'!$F$513:$F$522)*(IF('Gastos com Pessoal'!$Y$513:$Y$522&lt;=BA$3,1,0))*OFFSET('Gastos com Pessoal'!$H$512,1,MATCH(4&amp;$B31,'Gastos com Pessoal'!$I$532:$AJ$532&amp;'Gastos com Pessoal'!$I$512:$AJ$512,0),10,1)),0)+_xlfn.IFNA(SUM((BA$3&gt;='Gastos com Pessoal'!$E$513:$E$522)*(BA$3&lt;='Gastos com Pessoal'!$F$513:$F$522)*(IF('Gastos com Pessoal'!$AE$513:$AE$522&lt;=BA$3,1,0))*OFFSET('Gastos com Pessoal'!$H$512,1,MATCH(5&amp;$B31,'Gastos com Pessoal'!$I$532:$AJ$532&amp;'Gastos com Pessoal'!$I$512:$AJ$512,0),10,1)),0)</f>
        <v>0</v>
      </c>
      <c r="BB31" s="188">
        <f t="array" aca="1" ref="BB31" ca="1">_xlfn.IFNA(SUM((BB$3&gt;='Gastos com Pessoal'!$E$7:$E$506)*(BB$3&lt;='Gastos com Pessoal'!$F$7:$F$506)*OFFSET('Encargos e Benefícios'!$D$5,1,MATCH($B31,'Encargos e Benefícios'!$E$5:$AB$5,0),500,1)),0)+_xlfn.IFNA(SUM((BB$3&gt;='Gastos com Pessoal'!$E$513:$E$522)*(BB$3&lt;='Gastos com Pessoal'!$F$513:$F$522)*OFFSET('Encargos e Benefícios'!$D$511,1,MATCH($B31,'Encargos e Benefícios'!$E$511:$AB$511,0),10,1)),0)+_xlfn.IFNA(SUM((BB$3&gt;='Gastos com Pessoal'!$E$7:$E$506)*(BB$3&lt;='Gastos com Pessoal'!$F$7:$F$506)*(IF('Gastos com Pessoal'!$G$7:$G$506&lt;=BB$3,1,0))*OFFSET('Gastos com Pessoal'!$H$6,1,MATCH(1&amp;$B31,'Gastos com Pessoal'!$I$532:$AJ$532&amp;'Gastos com Pessoal'!$I$6:$AJ$6,0),500,1)),0)+_xlfn.IFNA(SUM((BB$3&gt;='Gastos com Pessoal'!$E$7:$E$506)*(BB$3&lt;='Gastos com Pessoal'!$F$7:$F$506)*(IF('Gastos com Pessoal'!$M$7:$M$506&lt;=BB$3,1,0))*OFFSET('Gastos com Pessoal'!$H$6,1,MATCH(2&amp;$B31,'Gastos com Pessoal'!$I$532:$AJ$532&amp;'Gastos com Pessoal'!$I$6:$AJ$6,0),500,1)),0)+_xlfn.IFNA(SUM((BB$3&gt;='Gastos com Pessoal'!$E$7:$E$506)*(BB$3&lt;='Gastos com Pessoal'!$F$7:$F$506)*(IF('Gastos com Pessoal'!$S$7:$S$506&lt;=BB$3,1,0))*OFFSET('Gastos com Pessoal'!$H$6,1,MATCH(3&amp;$B31,'Gastos com Pessoal'!$I$532:$AJ$532&amp;'Gastos com Pessoal'!$I$6:$AJ$6,0),500,1)),0)+_xlfn.IFNA(SUM((BB$3&gt;='Gastos com Pessoal'!$E$7:$E$506)*(BB$3&lt;='Gastos com Pessoal'!$F$7:$F$506)*(IF('Gastos com Pessoal'!$Y$7:$Y$506&lt;=BB$3,1,0))*OFFSET('Gastos com Pessoal'!$H$6,1,MATCH(4&amp;$B31,'Gastos com Pessoal'!$I$532:$AJ$532&amp;'Gastos com Pessoal'!$I$6:$AJ$6,0),500,1)),0)+_xlfn.IFNA(SUM((BB$3&gt;='Gastos com Pessoal'!$E$7:$E$506)*(BB$3&lt;='Gastos com Pessoal'!$F$7:$F$506)*(IF('Gastos com Pessoal'!$AE$7:$AE$506&lt;=BB$3,1,0))*OFFSET('Gastos com Pessoal'!$H$6,1,MATCH(5&amp;$B31,'Gastos com Pessoal'!$I$532:$AJ$532&amp;'Gastos com Pessoal'!$I$6:$AJ$6,0),500,1)),0)+_xlfn.IFNA(SUM((BB$3&gt;='Gastos com Pessoal'!$E$513:$E$522)*(BB$3&lt;='Gastos com Pessoal'!$F$513:$F$522)*(IF('Gastos com Pessoal'!$G$513:$G$522&lt;=BB$3,1,0))*OFFSET('Gastos com Pessoal'!$H$512,1,MATCH(1&amp;$B31,'Gastos com Pessoal'!$I$532:$AJ$532&amp;'Gastos com Pessoal'!$I$512:$AJ$512,0),10,1)),0)+_xlfn.IFNA(SUM((BB$3&gt;='Gastos com Pessoal'!$E$513:$E$522)*(BB$3&lt;='Gastos com Pessoal'!$F$513:$F$522)*(IF('Gastos com Pessoal'!$M$513:$M$522&lt;=BB$3,1,0))*OFFSET('Gastos com Pessoal'!$H$512,1,MATCH(2&amp;$B31,'Gastos com Pessoal'!$I$532:$AJ$532&amp;'Gastos com Pessoal'!$I$512:$AJ$512,0),10,1)),0)+_xlfn.IFNA(SUM((BB$3&gt;='Gastos com Pessoal'!$E$513:$E$522)*(BB$3&lt;='Gastos com Pessoal'!$F$513:$F$522)*(IF('Gastos com Pessoal'!$S$513:$S$522&lt;=BB$3,1,0))*OFFSET('Gastos com Pessoal'!$H$512,1,MATCH(3&amp;$B31,'Gastos com Pessoal'!$I$532:$AJ$532&amp;'Gastos com Pessoal'!$I$512:$AJ$512,0),10,1)),0)+_xlfn.IFNA(SUM((BB$3&gt;='Gastos com Pessoal'!$E$513:$E$522)*(BB$3&lt;='Gastos com Pessoal'!$F$513:$F$522)*(IF('Gastos com Pessoal'!$Y$513:$Y$522&lt;=BB$3,1,0))*OFFSET('Gastos com Pessoal'!$H$512,1,MATCH(4&amp;$B31,'Gastos com Pessoal'!$I$532:$AJ$532&amp;'Gastos com Pessoal'!$I$512:$AJ$512,0),10,1)),0)+_xlfn.IFNA(SUM((BB$3&gt;='Gastos com Pessoal'!$E$513:$E$522)*(BB$3&lt;='Gastos com Pessoal'!$F$513:$F$522)*(IF('Gastos com Pessoal'!$AE$513:$AE$522&lt;=BB$3,1,0))*OFFSET('Gastos com Pessoal'!$H$512,1,MATCH(5&amp;$B31,'Gastos com Pessoal'!$I$532:$AJ$532&amp;'Gastos com Pessoal'!$I$512:$AJ$512,0),10,1)),0)</f>
        <v>0</v>
      </c>
      <c r="BC31" s="188">
        <f t="array" aca="1" ref="BC31" ca="1">_xlfn.IFNA(SUM((BC$3&gt;='Gastos com Pessoal'!$E$7:$E$506)*(BC$3&lt;='Gastos com Pessoal'!$F$7:$F$506)*OFFSET('Encargos e Benefícios'!$D$5,1,MATCH($B31,'Encargos e Benefícios'!$E$5:$AB$5,0),500,1)),0)+_xlfn.IFNA(SUM((BC$3&gt;='Gastos com Pessoal'!$E$513:$E$522)*(BC$3&lt;='Gastos com Pessoal'!$F$513:$F$522)*OFFSET('Encargos e Benefícios'!$D$511,1,MATCH($B31,'Encargos e Benefícios'!$E$511:$AB$511,0),10,1)),0)+_xlfn.IFNA(SUM((BC$3&gt;='Gastos com Pessoal'!$E$7:$E$506)*(BC$3&lt;='Gastos com Pessoal'!$F$7:$F$506)*(IF('Gastos com Pessoal'!$G$7:$G$506&lt;=BC$3,1,0))*OFFSET('Gastos com Pessoal'!$H$6,1,MATCH(1&amp;$B31,'Gastos com Pessoal'!$I$532:$AJ$532&amp;'Gastos com Pessoal'!$I$6:$AJ$6,0),500,1)),0)+_xlfn.IFNA(SUM((BC$3&gt;='Gastos com Pessoal'!$E$7:$E$506)*(BC$3&lt;='Gastos com Pessoal'!$F$7:$F$506)*(IF('Gastos com Pessoal'!$M$7:$M$506&lt;=BC$3,1,0))*OFFSET('Gastos com Pessoal'!$H$6,1,MATCH(2&amp;$B31,'Gastos com Pessoal'!$I$532:$AJ$532&amp;'Gastos com Pessoal'!$I$6:$AJ$6,0),500,1)),0)+_xlfn.IFNA(SUM((BC$3&gt;='Gastos com Pessoal'!$E$7:$E$506)*(BC$3&lt;='Gastos com Pessoal'!$F$7:$F$506)*(IF('Gastos com Pessoal'!$S$7:$S$506&lt;=BC$3,1,0))*OFFSET('Gastos com Pessoal'!$H$6,1,MATCH(3&amp;$B31,'Gastos com Pessoal'!$I$532:$AJ$532&amp;'Gastos com Pessoal'!$I$6:$AJ$6,0),500,1)),0)+_xlfn.IFNA(SUM((BC$3&gt;='Gastos com Pessoal'!$E$7:$E$506)*(BC$3&lt;='Gastos com Pessoal'!$F$7:$F$506)*(IF('Gastos com Pessoal'!$Y$7:$Y$506&lt;=BC$3,1,0))*OFFSET('Gastos com Pessoal'!$H$6,1,MATCH(4&amp;$B31,'Gastos com Pessoal'!$I$532:$AJ$532&amp;'Gastos com Pessoal'!$I$6:$AJ$6,0),500,1)),0)+_xlfn.IFNA(SUM((BC$3&gt;='Gastos com Pessoal'!$E$7:$E$506)*(BC$3&lt;='Gastos com Pessoal'!$F$7:$F$506)*(IF('Gastos com Pessoal'!$AE$7:$AE$506&lt;=BC$3,1,0))*OFFSET('Gastos com Pessoal'!$H$6,1,MATCH(5&amp;$B31,'Gastos com Pessoal'!$I$532:$AJ$532&amp;'Gastos com Pessoal'!$I$6:$AJ$6,0),500,1)),0)+_xlfn.IFNA(SUM((BC$3&gt;='Gastos com Pessoal'!$E$513:$E$522)*(BC$3&lt;='Gastos com Pessoal'!$F$513:$F$522)*(IF('Gastos com Pessoal'!$G$513:$G$522&lt;=BC$3,1,0))*OFFSET('Gastos com Pessoal'!$H$512,1,MATCH(1&amp;$B31,'Gastos com Pessoal'!$I$532:$AJ$532&amp;'Gastos com Pessoal'!$I$512:$AJ$512,0),10,1)),0)+_xlfn.IFNA(SUM((BC$3&gt;='Gastos com Pessoal'!$E$513:$E$522)*(BC$3&lt;='Gastos com Pessoal'!$F$513:$F$522)*(IF('Gastos com Pessoal'!$M$513:$M$522&lt;=BC$3,1,0))*OFFSET('Gastos com Pessoal'!$H$512,1,MATCH(2&amp;$B31,'Gastos com Pessoal'!$I$532:$AJ$532&amp;'Gastos com Pessoal'!$I$512:$AJ$512,0),10,1)),0)+_xlfn.IFNA(SUM((BC$3&gt;='Gastos com Pessoal'!$E$513:$E$522)*(BC$3&lt;='Gastos com Pessoal'!$F$513:$F$522)*(IF('Gastos com Pessoal'!$S$513:$S$522&lt;=BC$3,1,0))*OFFSET('Gastos com Pessoal'!$H$512,1,MATCH(3&amp;$B31,'Gastos com Pessoal'!$I$532:$AJ$532&amp;'Gastos com Pessoal'!$I$512:$AJ$512,0),10,1)),0)+_xlfn.IFNA(SUM((BC$3&gt;='Gastos com Pessoal'!$E$513:$E$522)*(BC$3&lt;='Gastos com Pessoal'!$F$513:$F$522)*(IF('Gastos com Pessoal'!$Y$513:$Y$522&lt;=BC$3,1,0))*OFFSET('Gastos com Pessoal'!$H$512,1,MATCH(4&amp;$B31,'Gastos com Pessoal'!$I$532:$AJ$532&amp;'Gastos com Pessoal'!$I$512:$AJ$512,0),10,1)),0)+_xlfn.IFNA(SUM((BC$3&gt;='Gastos com Pessoal'!$E$513:$E$522)*(BC$3&lt;='Gastos com Pessoal'!$F$513:$F$522)*(IF('Gastos com Pessoal'!$AE$513:$AE$522&lt;=BC$3,1,0))*OFFSET('Gastos com Pessoal'!$H$512,1,MATCH(5&amp;$B31,'Gastos com Pessoal'!$I$532:$AJ$532&amp;'Gastos com Pessoal'!$I$512:$AJ$512,0),10,1)),0)</f>
        <v>0</v>
      </c>
      <c r="BD31" s="188">
        <f t="array" aca="1" ref="BD31" ca="1">_xlfn.IFNA(SUM((BD$3&gt;='Gastos com Pessoal'!$E$7:$E$506)*(BD$3&lt;='Gastos com Pessoal'!$F$7:$F$506)*OFFSET('Encargos e Benefícios'!$D$5,1,MATCH($B31,'Encargos e Benefícios'!$E$5:$AB$5,0),500,1)),0)+_xlfn.IFNA(SUM((BD$3&gt;='Gastos com Pessoal'!$E$513:$E$522)*(BD$3&lt;='Gastos com Pessoal'!$F$513:$F$522)*OFFSET('Encargos e Benefícios'!$D$511,1,MATCH($B31,'Encargos e Benefícios'!$E$511:$AB$511,0),10,1)),0)+_xlfn.IFNA(SUM((BD$3&gt;='Gastos com Pessoal'!$E$7:$E$506)*(BD$3&lt;='Gastos com Pessoal'!$F$7:$F$506)*(IF('Gastos com Pessoal'!$G$7:$G$506&lt;=BD$3,1,0))*OFFSET('Gastos com Pessoal'!$H$6,1,MATCH(1&amp;$B31,'Gastos com Pessoal'!$I$532:$AJ$532&amp;'Gastos com Pessoal'!$I$6:$AJ$6,0),500,1)),0)+_xlfn.IFNA(SUM((BD$3&gt;='Gastos com Pessoal'!$E$7:$E$506)*(BD$3&lt;='Gastos com Pessoal'!$F$7:$F$506)*(IF('Gastos com Pessoal'!$M$7:$M$506&lt;=BD$3,1,0))*OFFSET('Gastos com Pessoal'!$H$6,1,MATCH(2&amp;$B31,'Gastos com Pessoal'!$I$532:$AJ$532&amp;'Gastos com Pessoal'!$I$6:$AJ$6,0),500,1)),0)+_xlfn.IFNA(SUM((BD$3&gt;='Gastos com Pessoal'!$E$7:$E$506)*(BD$3&lt;='Gastos com Pessoal'!$F$7:$F$506)*(IF('Gastos com Pessoal'!$S$7:$S$506&lt;=BD$3,1,0))*OFFSET('Gastos com Pessoal'!$H$6,1,MATCH(3&amp;$B31,'Gastos com Pessoal'!$I$532:$AJ$532&amp;'Gastos com Pessoal'!$I$6:$AJ$6,0),500,1)),0)+_xlfn.IFNA(SUM((BD$3&gt;='Gastos com Pessoal'!$E$7:$E$506)*(BD$3&lt;='Gastos com Pessoal'!$F$7:$F$506)*(IF('Gastos com Pessoal'!$Y$7:$Y$506&lt;=BD$3,1,0))*OFFSET('Gastos com Pessoal'!$H$6,1,MATCH(4&amp;$B31,'Gastos com Pessoal'!$I$532:$AJ$532&amp;'Gastos com Pessoal'!$I$6:$AJ$6,0),500,1)),0)+_xlfn.IFNA(SUM((BD$3&gt;='Gastos com Pessoal'!$E$7:$E$506)*(BD$3&lt;='Gastos com Pessoal'!$F$7:$F$506)*(IF('Gastos com Pessoal'!$AE$7:$AE$506&lt;=BD$3,1,0))*OFFSET('Gastos com Pessoal'!$H$6,1,MATCH(5&amp;$B31,'Gastos com Pessoal'!$I$532:$AJ$532&amp;'Gastos com Pessoal'!$I$6:$AJ$6,0),500,1)),0)+_xlfn.IFNA(SUM((BD$3&gt;='Gastos com Pessoal'!$E$513:$E$522)*(BD$3&lt;='Gastos com Pessoal'!$F$513:$F$522)*(IF('Gastos com Pessoal'!$G$513:$G$522&lt;=BD$3,1,0))*OFFSET('Gastos com Pessoal'!$H$512,1,MATCH(1&amp;$B31,'Gastos com Pessoal'!$I$532:$AJ$532&amp;'Gastos com Pessoal'!$I$512:$AJ$512,0),10,1)),0)+_xlfn.IFNA(SUM((BD$3&gt;='Gastos com Pessoal'!$E$513:$E$522)*(BD$3&lt;='Gastos com Pessoal'!$F$513:$F$522)*(IF('Gastos com Pessoal'!$M$513:$M$522&lt;=BD$3,1,0))*OFFSET('Gastos com Pessoal'!$H$512,1,MATCH(2&amp;$B31,'Gastos com Pessoal'!$I$532:$AJ$532&amp;'Gastos com Pessoal'!$I$512:$AJ$512,0),10,1)),0)+_xlfn.IFNA(SUM((BD$3&gt;='Gastos com Pessoal'!$E$513:$E$522)*(BD$3&lt;='Gastos com Pessoal'!$F$513:$F$522)*(IF('Gastos com Pessoal'!$S$513:$S$522&lt;=BD$3,1,0))*OFFSET('Gastos com Pessoal'!$H$512,1,MATCH(3&amp;$B31,'Gastos com Pessoal'!$I$532:$AJ$532&amp;'Gastos com Pessoal'!$I$512:$AJ$512,0),10,1)),0)+_xlfn.IFNA(SUM((BD$3&gt;='Gastos com Pessoal'!$E$513:$E$522)*(BD$3&lt;='Gastos com Pessoal'!$F$513:$F$522)*(IF('Gastos com Pessoal'!$Y$513:$Y$522&lt;=BD$3,1,0))*OFFSET('Gastos com Pessoal'!$H$512,1,MATCH(4&amp;$B31,'Gastos com Pessoal'!$I$532:$AJ$532&amp;'Gastos com Pessoal'!$I$512:$AJ$512,0),10,1)),0)+_xlfn.IFNA(SUM((BD$3&gt;='Gastos com Pessoal'!$E$513:$E$522)*(BD$3&lt;='Gastos com Pessoal'!$F$513:$F$522)*(IF('Gastos com Pessoal'!$AE$513:$AE$522&lt;=BD$3,1,0))*OFFSET('Gastos com Pessoal'!$H$512,1,MATCH(5&amp;$B31,'Gastos com Pessoal'!$I$532:$AJ$532&amp;'Gastos com Pessoal'!$I$512:$AJ$512,0),10,1)),0)</f>
        <v>0</v>
      </c>
      <c r="BE31" s="188">
        <f t="array" aca="1" ref="BE31" ca="1">_xlfn.IFNA(SUM((BE$3&gt;='Gastos com Pessoal'!$E$7:$E$506)*(BE$3&lt;='Gastos com Pessoal'!$F$7:$F$506)*OFFSET('Encargos e Benefícios'!$D$5,1,MATCH($B31,'Encargos e Benefícios'!$E$5:$AB$5,0),500,1)),0)+_xlfn.IFNA(SUM((BE$3&gt;='Gastos com Pessoal'!$E$513:$E$522)*(BE$3&lt;='Gastos com Pessoal'!$F$513:$F$522)*OFFSET('Encargos e Benefícios'!$D$511,1,MATCH($B31,'Encargos e Benefícios'!$E$511:$AB$511,0),10,1)),0)+_xlfn.IFNA(SUM((BE$3&gt;='Gastos com Pessoal'!$E$7:$E$506)*(BE$3&lt;='Gastos com Pessoal'!$F$7:$F$506)*(IF('Gastos com Pessoal'!$G$7:$G$506&lt;=BE$3,1,0))*OFFSET('Gastos com Pessoal'!$H$6,1,MATCH(1&amp;$B31,'Gastos com Pessoal'!$I$532:$AJ$532&amp;'Gastos com Pessoal'!$I$6:$AJ$6,0),500,1)),0)+_xlfn.IFNA(SUM((BE$3&gt;='Gastos com Pessoal'!$E$7:$E$506)*(BE$3&lt;='Gastos com Pessoal'!$F$7:$F$506)*(IF('Gastos com Pessoal'!$M$7:$M$506&lt;=BE$3,1,0))*OFFSET('Gastos com Pessoal'!$H$6,1,MATCH(2&amp;$B31,'Gastos com Pessoal'!$I$532:$AJ$532&amp;'Gastos com Pessoal'!$I$6:$AJ$6,0),500,1)),0)+_xlfn.IFNA(SUM((BE$3&gt;='Gastos com Pessoal'!$E$7:$E$506)*(BE$3&lt;='Gastos com Pessoal'!$F$7:$F$506)*(IF('Gastos com Pessoal'!$S$7:$S$506&lt;=BE$3,1,0))*OFFSET('Gastos com Pessoal'!$H$6,1,MATCH(3&amp;$B31,'Gastos com Pessoal'!$I$532:$AJ$532&amp;'Gastos com Pessoal'!$I$6:$AJ$6,0),500,1)),0)+_xlfn.IFNA(SUM((BE$3&gt;='Gastos com Pessoal'!$E$7:$E$506)*(BE$3&lt;='Gastos com Pessoal'!$F$7:$F$506)*(IF('Gastos com Pessoal'!$Y$7:$Y$506&lt;=BE$3,1,0))*OFFSET('Gastos com Pessoal'!$H$6,1,MATCH(4&amp;$B31,'Gastos com Pessoal'!$I$532:$AJ$532&amp;'Gastos com Pessoal'!$I$6:$AJ$6,0),500,1)),0)+_xlfn.IFNA(SUM((BE$3&gt;='Gastos com Pessoal'!$E$7:$E$506)*(BE$3&lt;='Gastos com Pessoal'!$F$7:$F$506)*(IF('Gastos com Pessoal'!$AE$7:$AE$506&lt;=BE$3,1,0))*OFFSET('Gastos com Pessoal'!$H$6,1,MATCH(5&amp;$B31,'Gastos com Pessoal'!$I$532:$AJ$532&amp;'Gastos com Pessoal'!$I$6:$AJ$6,0),500,1)),0)+_xlfn.IFNA(SUM((BE$3&gt;='Gastos com Pessoal'!$E$513:$E$522)*(BE$3&lt;='Gastos com Pessoal'!$F$513:$F$522)*(IF('Gastos com Pessoal'!$G$513:$G$522&lt;=BE$3,1,0))*OFFSET('Gastos com Pessoal'!$H$512,1,MATCH(1&amp;$B31,'Gastos com Pessoal'!$I$532:$AJ$532&amp;'Gastos com Pessoal'!$I$512:$AJ$512,0),10,1)),0)+_xlfn.IFNA(SUM((BE$3&gt;='Gastos com Pessoal'!$E$513:$E$522)*(BE$3&lt;='Gastos com Pessoal'!$F$513:$F$522)*(IF('Gastos com Pessoal'!$M$513:$M$522&lt;=BE$3,1,0))*OFFSET('Gastos com Pessoal'!$H$512,1,MATCH(2&amp;$B31,'Gastos com Pessoal'!$I$532:$AJ$532&amp;'Gastos com Pessoal'!$I$512:$AJ$512,0),10,1)),0)+_xlfn.IFNA(SUM((BE$3&gt;='Gastos com Pessoal'!$E$513:$E$522)*(BE$3&lt;='Gastos com Pessoal'!$F$513:$F$522)*(IF('Gastos com Pessoal'!$S$513:$S$522&lt;=BE$3,1,0))*OFFSET('Gastos com Pessoal'!$H$512,1,MATCH(3&amp;$B31,'Gastos com Pessoal'!$I$532:$AJ$532&amp;'Gastos com Pessoal'!$I$512:$AJ$512,0),10,1)),0)+_xlfn.IFNA(SUM((BE$3&gt;='Gastos com Pessoal'!$E$513:$E$522)*(BE$3&lt;='Gastos com Pessoal'!$F$513:$F$522)*(IF('Gastos com Pessoal'!$Y$513:$Y$522&lt;=BE$3,1,0))*OFFSET('Gastos com Pessoal'!$H$512,1,MATCH(4&amp;$B31,'Gastos com Pessoal'!$I$532:$AJ$532&amp;'Gastos com Pessoal'!$I$512:$AJ$512,0),10,1)),0)+_xlfn.IFNA(SUM((BE$3&gt;='Gastos com Pessoal'!$E$513:$E$522)*(BE$3&lt;='Gastos com Pessoal'!$F$513:$F$522)*(IF('Gastos com Pessoal'!$AE$513:$AE$522&lt;=BE$3,1,0))*OFFSET('Gastos com Pessoal'!$H$512,1,MATCH(5&amp;$B31,'Gastos com Pessoal'!$I$532:$AJ$532&amp;'Gastos com Pessoal'!$I$512:$AJ$512,0),10,1)),0)</f>
        <v>0</v>
      </c>
      <c r="BF31" s="188">
        <f t="array" aca="1" ref="BF31" ca="1">_xlfn.IFNA(SUM((BF$3&gt;='Gastos com Pessoal'!$E$7:$E$506)*(BF$3&lt;='Gastos com Pessoal'!$F$7:$F$506)*OFFSET('Encargos e Benefícios'!$D$5,1,MATCH($B31,'Encargos e Benefícios'!$E$5:$AB$5,0),500,1)),0)+_xlfn.IFNA(SUM((BF$3&gt;='Gastos com Pessoal'!$E$513:$E$522)*(BF$3&lt;='Gastos com Pessoal'!$F$513:$F$522)*OFFSET('Encargos e Benefícios'!$D$511,1,MATCH($B31,'Encargos e Benefícios'!$E$511:$AB$511,0),10,1)),0)+_xlfn.IFNA(SUM((BF$3&gt;='Gastos com Pessoal'!$E$7:$E$506)*(BF$3&lt;='Gastos com Pessoal'!$F$7:$F$506)*(IF('Gastos com Pessoal'!$G$7:$G$506&lt;=BF$3,1,0))*OFFSET('Gastos com Pessoal'!$H$6,1,MATCH(1&amp;$B31,'Gastos com Pessoal'!$I$532:$AJ$532&amp;'Gastos com Pessoal'!$I$6:$AJ$6,0),500,1)),0)+_xlfn.IFNA(SUM((BF$3&gt;='Gastos com Pessoal'!$E$7:$E$506)*(BF$3&lt;='Gastos com Pessoal'!$F$7:$F$506)*(IF('Gastos com Pessoal'!$M$7:$M$506&lt;=BF$3,1,0))*OFFSET('Gastos com Pessoal'!$H$6,1,MATCH(2&amp;$B31,'Gastos com Pessoal'!$I$532:$AJ$532&amp;'Gastos com Pessoal'!$I$6:$AJ$6,0),500,1)),0)+_xlfn.IFNA(SUM((BF$3&gt;='Gastos com Pessoal'!$E$7:$E$506)*(BF$3&lt;='Gastos com Pessoal'!$F$7:$F$506)*(IF('Gastos com Pessoal'!$S$7:$S$506&lt;=BF$3,1,0))*OFFSET('Gastos com Pessoal'!$H$6,1,MATCH(3&amp;$B31,'Gastos com Pessoal'!$I$532:$AJ$532&amp;'Gastos com Pessoal'!$I$6:$AJ$6,0),500,1)),0)+_xlfn.IFNA(SUM((BF$3&gt;='Gastos com Pessoal'!$E$7:$E$506)*(BF$3&lt;='Gastos com Pessoal'!$F$7:$F$506)*(IF('Gastos com Pessoal'!$Y$7:$Y$506&lt;=BF$3,1,0))*OFFSET('Gastos com Pessoal'!$H$6,1,MATCH(4&amp;$B31,'Gastos com Pessoal'!$I$532:$AJ$532&amp;'Gastos com Pessoal'!$I$6:$AJ$6,0),500,1)),0)+_xlfn.IFNA(SUM((BF$3&gt;='Gastos com Pessoal'!$E$7:$E$506)*(BF$3&lt;='Gastos com Pessoal'!$F$7:$F$506)*(IF('Gastos com Pessoal'!$AE$7:$AE$506&lt;=BF$3,1,0))*OFFSET('Gastos com Pessoal'!$H$6,1,MATCH(5&amp;$B31,'Gastos com Pessoal'!$I$532:$AJ$532&amp;'Gastos com Pessoal'!$I$6:$AJ$6,0),500,1)),0)+_xlfn.IFNA(SUM((BF$3&gt;='Gastos com Pessoal'!$E$513:$E$522)*(BF$3&lt;='Gastos com Pessoal'!$F$513:$F$522)*(IF('Gastos com Pessoal'!$G$513:$G$522&lt;=BF$3,1,0))*OFFSET('Gastos com Pessoal'!$H$512,1,MATCH(1&amp;$B31,'Gastos com Pessoal'!$I$532:$AJ$532&amp;'Gastos com Pessoal'!$I$512:$AJ$512,0),10,1)),0)+_xlfn.IFNA(SUM((BF$3&gt;='Gastos com Pessoal'!$E$513:$E$522)*(BF$3&lt;='Gastos com Pessoal'!$F$513:$F$522)*(IF('Gastos com Pessoal'!$M$513:$M$522&lt;=BF$3,1,0))*OFFSET('Gastos com Pessoal'!$H$512,1,MATCH(2&amp;$B31,'Gastos com Pessoal'!$I$532:$AJ$532&amp;'Gastos com Pessoal'!$I$512:$AJ$512,0),10,1)),0)+_xlfn.IFNA(SUM((BF$3&gt;='Gastos com Pessoal'!$E$513:$E$522)*(BF$3&lt;='Gastos com Pessoal'!$F$513:$F$522)*(IF('Gastos com Pessoal'!$S$513:$S$522&lt;=BF$3,1,0))*OFFSET('Gastos com Pessoal'!$H$512,1,MATCH(3&amp;$B31,'Gastos com Pessoal'!$I$532:$AJ$532&amp;'Gastos com Pessoal'!$I$512:$AJ$512,0),10,1)),0)+_xlfn.IFNA(SUM((BF$3&gt;='Gastos com Pessoal'!$E$513:$E$522)*(BF$3&lt;='Gastos com Pessoal'!$F$513:$F$522)*(IF('Gastos com Pessoal'!$Y$513:$Y$522&lt;=BF$3,1,0))*OFFSET('Gastos com Pessoal'!$H$512,1,MATCH(4&amp;$B31,'Gastos com Pessoal'!$I$532:$AJ$532&amp;'Gastos com Pessoal'!$I$512:$AJ$512,0),10,1)),0)+_xlfn.IFNA(SUM((BF$3&gt;='Gastos com Pessoal'!$E$513:$E$522)*(BF$3&lt;='Gastos com Pessoal'!$F$513:$F$522)*(IF('Gastos com Pessoal'!$AE$513:$AE$522&lt;=BF$3,1,0))*OFFSET('Gastos com Pessoal'!$H$512,1,MATCH(5&amp;$B31,'Gastos com Pessoal'!$I$532:$AJ$532&amp;'Gastos com Pessoal'!$I$512:$AJ$512,0),10,1)),0)</f>
        <v>0</v>
      </c>
      <c r="BG31" s="188">
        <f t="array" aca="1" ref="BG31" ca="1">_xlfn.IFNA(SUM((BG$3&gt;='Gastos com Pessoal'!$E$7:$E$506)*(BG$3&lt;='Gastos com Pessoal'!$F$7:$F$506)*OFFSET('Encargos e Benefícios'!$D$5,1,MATCH($B31,'Encargos e Benefícios'!$E$5:$AB$5,0),500,1)),0)+_xlfn.IFNA(SUM((BG$3&gt;='Gastos com Pessoal'!$E$513:$E$522)*(BG$3&lt;='Gastos com Pessoal'!$F$513:$F$522)*OFFSET('Encargos e Benefícios'!$D$511,1,MATCH($B31,'Encargos e Benefícios'!$E$511:$AB$511,0),10,1)),0)+_xlfn.IFNA(SUM((BG$3&gt;='Gastos com Pessoal'!$E$7:$E$506)*(BG$3&lt;='Gastos com Pessoal'!$F$7:$F$506)*(IF('Gastos com Pessoal'!$G$7:$G$506&lt;=BG$3,1,0))*OFFSET('Gastos com Pessoal'!$H$6,1,MATCH(1&amp;$B31,'Gastos com Pessoal'!$I$532:$AJ$532&amp;'Gastos com Pessoal'!$I$6:$AJ$6,0),500,1)),0)+_xlfn.IFNA(SUM((BG$3&gt;='Gastos com Pessoal'!$E$7:$E$506)*(BG$3&lt;='Gastos com Pessoal'!$F$7:$F$506)*(IF('Gastos com Pessoal'!$M$7:$M$506&lt;=BG$3,1,0))*OFFSET('Gastos com Pessoal'!$H$6,1,MATCH(2&amp;$B31,'Gastos com Pessoal'!$I$532:$AJ$532&amp;'Gastos com Pessoal'!$I$6:$AJ$6,0),500,1)),0)+_xlfn.IFNA(SUM((BG$3&gt;='Gastos com Pessoal'!$E$7:$E$506)*(BG$3&lt;='Gastos com Pessoal'!$F$7:$F$506)*(IF('Gastos com Pessoal'!$S$7:$S$506&lt;=BG$3,1,0))*OFFSET('Gastos com Pessoal'!$H$6,1,MATCH(3&amp;$B31,'Gastos com Pessoal'!$I$532:$AJ$532&amp;'Gastos com Pessoal'!$I$6:$AJ$6,0),500,1)),0)+_xlfn.IFNA(SUM((BG$3&gt;='Gastos com Pessoal'!$E$7:$E$506)*(BG$3&lt;='Gastos com Pessoal'!$F$7:$F$506)*(IF('Gastos com Pessoal'!$Y$7:$Y$506&lt;=BG$3,1,0))*OFFSET('Gastos com Pessoal'!$H$6,1,MATCH(4&amp;$B31,'Gastos com Pessoal'!$I$532:$AJ$532&amp;'Gastos com Pessoal'!$I$6:$AJ$6,0),500,1)),0)+_xlfn.IFNA(SUM((BG$3&gt;='Gastos com Pessoal'!$E$7:$E$506)*(BG$3&lt;='Gastos com Pessoal'!$F$7:$F$506)*(IF('Gastos com Pessoal'!$AE$7:$AE$506&lt;=BG$3,1,0))*OFFSET('Gastos com Pessoal'!$H$6,1,MATCH(5&amp;$B31,'Gastos com Pessoal'!$I$532:$AJ$532&amp;'Gastos com Pessoal'!$I$6:$AJ$6,0),500,1)),0)+_xlfn.IFNA(SUM((BG$3&gt;='Gastos com Pessoal'!$E$513:$E$522)*(BG$3&lt;='Gastos com Pessoal'!$F$513:$F$522)*(IF('Gastos com Pessoal'!$G$513:$G$522&lt;=BG$3,1,0))*OFFSET('Gastos com Pessoal'!$H$512,1,MATCH(1&amp;$B31,'Gastos com Pessoal'!$I$532:$AJ$532&amp;'Gastos com Pessoal'!$I$512:$AJ$512,0),10,1)),0)+_xlfn.IFNA(SUM((BG$3&gt;='Gastos com Pessoal'!$E$513:$E$522)*(BG$3&lt;='Gastos com Pessoal'!$F$513:$F$522)*(IF('Gastos com Pessoal'!$M$513:$M$522&lt;=BG$3,1,0))*OFFSET('Gastos com Pessoal'!$H$512,1,MATCH(2&amp;$B31,'Gastos com Pessoal'!$I$532:$AJ$532&amp;'Gastos com Pessoal'!$I$512:$AJ$512,0),10,1)),0)+_xlfn.IFNA(SUM((BG$3&gt;='Gastos com Pessoal'!$E$513:$E$522)*(BG$3&lt;='Gastos com Pessoal'!$F$513:$F$522)*(IF('Gastos com Pessoal'!$S$513:$S$522&lt;=BG$3,1,0))*OFFSET('Gastos com Pessoal'!$H$512,1,MATCH(3&amp;$B31,'Gastos com Pessoal'!$I$532:$AJ$532&amp;'Gastos com Pessoal'!$I$512:$AJ$512,0),10,1)),0)+_xlfn.IFNA(SUM((BG$3&gt;='Gastos com Pessoal'!$E$513:$E$522)*(BG$3&lt;='Gastos com Pessoal'!$F$513:$F$522)*(IF('Gastos com Pessoal'!$Y$513:$Y$522&lt;=BG$3,1,0))*OFFSET('Gastos com Pessoal'!$H$512,1,MATCH(4&amp;$B31,'Gastos com Pessoal'!$I$532:$AJ$532&amp;'Gastos com Pessoal'!$I$512:$AJ$512,0),10,1)),0)+_xlfn.IFNA(SUM((BG$3&gt;='Gastos com Pessoal'!$E$513:$E$522)*(BG$3&lt;='Gastos com Pessoal'!$F$513:$F$522)*(IF('Gastos com Pessoal'!$AE$513:$AE$522&lt;=BG$3,1,0))*OFFSET('Gastos com Pessoal'!$H$512,1,MATCH(5&amp;$B31,'Gastos com Pessoal'!$I$532:$AJ$532&amp;'Gastos com Pessoal'!$I$512:$AJ$512,0),10,1)),0)</f>
        <v>0</v>
      </c>
      <c r="BH31" s="188">
        <f t="array" aca="1" ref="BH31" ca="1">_xlfn.IFNA(SUM((BH$3&gt;='Gastos com Pessoal'!$E$7:$E$506)*(BH$3&lt;='Gastos com Pessoal'!$F$7:$F$506)*OFFSET('Encargos e Benefícios'!$D$5,1,MATCH($B31,'Encargos e Benefícios'!$E$5:$AB$5,0),500,1)),0)+_xlfn.IFNA(SUM((BH$3&gt;='Gastos com Pessoal'!$E$513:$E$522)*(BH$3&lt;='Gastos com Pessoal'!$F$513:$F$522)*OFFSET('Encargos e Benefícios'!$D$511,1,MATCH($B31,'Encargos e Benefícios'!$E$511:$AB$511,0),10,1)),0)+_xlfn.IFNA(SUM((BH$3&gt;='Gastos com Pessoal'!$E$7:$E$506)*(BH$3&lt;='Gastos com Pessoal'!$F$7:$F$506)*(IF('Gastos com Pessoal'!$G$7:$G$506&lt;=BH$3,1,0))*OFFSET('Gastos com Pessoal'!$H$6,1,MATCH(1&amp;$B31,'Gastos com Pessoal'!$I$532:$AJ$532&amp;'Gastos com Pessoal'!$I$6:$AJ$6,0),500,1)),0)+_xlfn.IFNA(SUM((BH$3&gt;='Gastos com Pessoal'!$E$7:$E$506)*(BH$3&lt;='Gastos com Pessoal'!$F$7:$F$506)*(IF('Gastos com Pessoal'!$M$7:$M$506&lt;=BH$3,1,0))*OFFSET('Gastos com Pessoal'!$H$6,1,MATCH(2&amp;$B31,'Gastos com Pessoal'!$I$532:$AJ$532&amp;'Gastos com Pessoal'!$I$6:$AJ$6,0),500,1)),0)+_xlfn.IFNA(SUM((BH$3&gt;='Gastos com Pessoal'!$E$7:$E$506)*(BH$3&lt;='Gastos com Pessoal'!$F$7:$F$506)*(IF('Gastos com Pessoal'!$S$7:$S$506&lt;=BH$3,1,0))*OFFSET('Gastos com Pessoal'!$H$6,1,MATCH(3&amp;$B31,'Gastos com Pessoal'!$I$532:$AJ$532&amp;'Gastos com Pessoal'!$I$6:$AJ$6,0),500,1)),0)+_xlfn.IFNA(SUM((BH$3&gt;='Gastos com Pessoal'!$E$7:$E$506)*(BH$3&lt;='Gastos com Pessoal'!$F$7:$F$506)*(IF('Gastos com Pessoal'!$Y$7:$Y$506&lt;=BH$3,1,0))*OFFSET('Gastos com Pessoal'!$H$6,1,MATCH(4&amp;$B31,'Gastos com Pessoal'!$I$532:$AJ$532&amp;'Gastos com Pessoal'!$I$6:$AJ$6,0),500,1)),0)+_xlfn.IFNA(SUM((BH$3&gt;='Gastos com Pessoal'!$E$7:$E$506)*(BH$3&lt;='Gastos com Pessoal'!$F$7:$F$506)*(IF('Gastos com Pessoal'!$AE$7:$AE$506&lt;=BH$3,1,0))*OFFSET('Gastos com Pessoal'!$H$6,1,MATCH(5&amp;$B31,'Gastos com Pessoal'!$I$532:$AJ$532&amp;'Gastos com Pessoal'!$I$6:$AJ$6,0),500,1)),0)+_xlfn.IFNA(SUM((BH$3&gt;='Gastos com Pessoal'!$E$513:$E$522)*(BH$3&lt;='Gastos com Pessoal'!$F$513:$F$522)*(IF('Gastos com Pessoal'!$G$513:$G$522&lt;=BH$3,1,0))*OFFSET('Gastos com Pessoal'!$H$512,1,MATCH(1&amp;$B31,'Gastos com Pessoal'!$I$532:$AJ$532&amp;'Gastos com Pessoal'!$I$512:$AJ$512,0),10,1)),0)+_xlfn.IFNA(SUM((BH$3&gt;='Gastos com Pessoal'!$E$513:$E$522)*(BH$3&lt;='Gastos com Pessoal'!$F$513:$F$522)*(IF('Gastos com Pessoal'!$M$513:$M$522&lt;=BH$3,1,0))*OFFSET('Gastos com Pessoal'!$H$512,1,MATCH(2&amp;$B31,'Gastos com Pessoal'!$I$532:$AJ$532&amp;'Gastos com Pessoal'!$I$512:$AJ$512,0),10,1)),0)+_xlfn.IFNA(SUM((BH$3&gt;='Gastos com Pessoal'!$E$513:$E$522)*(BH$3&lt;='Gastos com Pessoal'!$F$513:$F$522)*(IF('Gastos com Pessoal'!$S$513:$S$522&lt;=BH$3,1,0))*OFFSET('Gastos com Pessoal'!$H$512,1,MATCH(3&amp;$B31,'Gastos com Pessoal'!$I$532:$AJ$532&amp;'Gastos com Pessoal'!$I$512:$AJ$512,0),10,1)),0)+_xlfn.IFNA(SUM((BH$3&gt;='Gastos com Pessoal'!$E$513:$E$522)*(BH$3&lt;='Gastos com Pessoal'!$F$513:$F$522)*(IF('Gastos com Pessoal'!$Y$513:$Y$522&lt;=BH$3,1,0))*OFFSET('Gastos com Pessoal'!$H$512,1,MATCH(4&amp;$B31,'Gastos com Pessoal'!$I$532:$AJ$532&amp;'Gastos com Pessoal'!$I$512:$AJ$512,0),10,1)),0)+_xlfn.IFNA(SUM((BH$3&gt;='Gastos com Pessoal'!$E$513:$E$522)*(BH$3&lt;='Gastos com Pessoal'!$F$513:$F$522)*(IF('Gastos com Pessoal'!$AE$513:$AE$522&lt;=BH$3,1,0))*OFFSET('Gastos com Pessoal'!$H$512,1,MATCH(5&amp;$B31,'Gastos com Pessoal'!$I$532:$AJ$532&amp;'Gastos com Pessoal'!$I$512:$AJ$512,0),10,1)),0)</f>
        <v>0</v>
      </c>
      <c r="BI31" s="188">
        <f t="array" aca="1" ref="BI31" ca="1">_xlfn.IFNA(SUM((BI$3&gt;='Gastos com Pessoal'!$E$7:$E$506)*(BI$3&lt;='Gastos com Pessoal'!$F$7:$F$506)*OFFSET('Encargos e Benefícios'!$D$5,1,MATCH($B31,'Encargos e Benefícios'!$E$5:$AB$5,0),500,1)),0)+_xlfn.IFNA(SUM((BI$3&gt;='Gastos com Pessoal'!$E$513:$E$522)*(BI$3&lt;='Gastos com Pessoal'!$F$513:$F$522)*OFFSET('Encargos e Benefícios'!$D$511,1,MATCH($B31,'Encargos e Benefícios'!$E$511:$AB$511,0),10,1)),0)+_xlfn.IFNA(SUM((BI$3&gt;='Gastos com Pessoal'!$E$7:$E$506)*(BI$3&lt;='Gastos com Pessoal'!$F$7:$F$506)*(IF('Gastos com Pessoal'!$G$7:$G$506&lt;=BI$3,1,0))*OFFSET('Gastos com Pessoal'!$H$6,1,MATCH(1&amp;$B31,'Gastos com Pessoal'!$I$532:$AJ$532&amp;'Gastos com Pessoal'!$I$6:$AJ$6,0),500,1)),0)+_xlfn.IFNA(SUM((BI$3&gt;='Gastos com Pessoal'!$E$7:$E$506)*(BI$3&lt;='Gastos com Pessoal'!$F$7:$F$506)*(IF('Gastos com Pessoal'!$M$7:$M$506&lt;=BI$3,1,0))*OFFSET('Gastos com Pessoal'!$H$6,1,MATCH(2&amp;$B31,'Gastos com Pessoal'!$I$532:$AJ$532&amp;'Gastos com Pessoal'!$I$6:$AJ$6,0),500,1)),0)+_xlfn.IFNA(SUM((BI$3&gt;='Gastos com Pessoal'!$E$7:$E$506)*(BI$3&lt;='Gastos com Pessoal'!$F$7:$F$506)*(IF('Gastos com Pessoal'!$S$7:$S$506&lt;=BI$3,1,0))*OFFSET('Gastos com Pessoal'!$H$6,1,MATCH(3&amp;$B31,'Gastos com Pessoal'!$I$532:$AJ$532&amp;'Gastos com Pessoal'!$I$6:$AJ$6,0),500,1)),0)+_xlfn.IFNA(SUM((BI$3&gt;='Gastos com Pessoal'!$E$7:$E$506)*(BI$3&lt;='Gastos com Pessoal'!$F$7:$F$506)*(IF('Gastos com Pessoal'!$Y$7:$Y$506&lt;=BI$3,1,0))*OFFSET('Gastos com Pessoal'!$H$6,1,MATCH(4&amp;$B31,'Gastos com Pessoal'!$I$532:$AJ$532&amp;'Gastos com Pessoal'!$I$6:$AJ$6,0),500,1)),0)+_xlfn.IFNA(SUM((BI$3&gt;='Gastos com Pessoal'!$E$7:$E$506)*(BI$3&lt;='Gastos com Pessoal'!$F$7:$F$506)*(IF('Gastos com Pessoal'!$AE$7:$AE$506&lt;=BI$3,1,0))*OFFSET('Gastos com Pessoal'!$H$6,1,MATCH(5&amp;$B31,'Gastos com Pessoal'!$I$532:$AJ$532&amp;'Gastos com Pessoal'!$I$6:$AJ$6,0),500,1)),0)+_xlfn.IFNA(SUM((BI$3&gt;='Gastos com Pessoal'!$E$513:$E$522)*(BI$3&lt;='Gastos com Pessoal'!$F$513:$F$522)*(IF('Gastos com Pessoal'!$G$513:$G$522&lt;=BI$3,1,0))*OFFSET('Gastos com Pessoal'!$H$512,1,MATCH(1&amp;$B31,'Gastos com Pessoal'!$I$532:$AJ$532&amp;'Gastos com Pessoal'!$I$512:$AJ$512,0),10,1)),0)+_xlfn.IFNA(SUM((BI$3&gt;='Gastos com Pessoal'!$E$513:$E$522)*(BI$3&lt;='Gastos com Pessoal'!$F$513:$F$522)*(IF('Gastos com Pessoal'!$M$513:$M$522&lt;=BI$3,1,0))*OFFSET('Gastos com Pessoal'!$H$512,1,MATCH(2&amp;$B31,'Gastos com Pessoal'!$I$532:$AJ$532&amp;'Gastos com Pessoal'!$I$512:$AJ$512,0),10,1)),0)+_xlfn.IFNA(SUM((BI$3&gt;='Gastos com Pessoal'!$E$513:$E$522)*(BI$3&lt;='Gastos com Pessoal'!$F$513:$F$522)*(IF('Gastos com Pessoal'!$S$513:$S$522&lt;=BI$3,1,0))*OFFSET('Gastos com Pessoal'!$H$512,1,MATCH(3&amp;$B31,'Gastos com Pessoal'!$I$532:$AJ$532&amp;'Gastos com Pessoal'!$I$512:$AJ$512,0),10,1)),0)+_xlfn.IFNA(SUM((BI$3&gt;='Gastos com Pessoal'!$E$513:$E$522)*(BI$3&lt;='Gastos com Pessoal'!$F$513:$F$522)*(IF('Gastos com Pessoal'!$Y$513:$Y$522&lt;=BI$3,1,0))*OFFSET('Gastos com Pessoal'!$H$512,1,MATCH(4&amp;$B31,'Gastos com Pessoal'!$I$532:$AJ$532&amp;'Gastos com Pessoal'!$I$512:$AJ$512,0),10,1)),0)+_xlfn.IFNA(SUM((BI$3&gt;='Gastos com Pessoal'!$E$513:$E$522)*(BI$3&lt;='Gastos com Pessoal'!$F$513:$F$522)*(IF('Gastos com Pessoal'!$AE$513:$AE$522&lt;=BI$3,1,0))*OFFSET('Gastos com Pessoal'!$H$512,1,MATCH(5&amp;$B31,'Gastos com Pessoal'!$I$532:$AJ$532&amp;'Gastos com Pessoal'!$I$512:$AJ$512,0),10,1)),0)</f>
        <v>0</v>
      </c>
      <c r="BJ31" s="188">
        <f t="array" aca="1" ref="BJ31" ca="1">_xlfn.IFNA(SUM((BJ$3&gt;='Gastos com Pessoal'!$E$7:$E$506)*(BJ$3&lt;='Gastos com Pessoal'!$F$7:$F$506)*OFFSET('Encargos e Benefícios'!$D$5,1,MATCH($B31,'Encargos e Benefícios'!$E$5:$AB$5,0),500,1)),0)+_xlfn.IFNA(SUM((BJ$3&gt;='Gastos com Pessoal'!$E$513:$E$522)*(BJ$3&lt;='Gastos com Pessoal'!$F$513:$F$522)*OFFSET('Encargos e Benefícios'!$D$511,1,MATCH($B31,'Encargos e Benefícios'!$E$511:$AB$511,0),10,1)),0)+_xlfn.IFNA(SUM((BJ$3&gt;='Gastos com Pessoal'!$E$7:$E$506)*(BJ$3&lt;='Gastos com Pessoal'!$F$7:$F$506)*(IF('Gastos com Pessoal'!$G$7:$G$506&lt;=BJ$3,1,0))*OFFSET('Gastos com Pessoal'!$H$6,1,MATCH(1&amp;$B31,'Gastos com Pessoal'!$I$532:$AJ$532&amp;'Gastos com Pessoal'!$I$6:$AJ$6,0),500,1)),0)+_xlfn.IFNA(SUM((BJ$3&gt;='Gastos com Pessoal'!$E$7:$E$506)*(BJ$3&lt;='Gastos com Pessoal'!$F$7:$F$506)*(IF('Gastos com Pessoal'!$M$7:$M$506&lt;=BJ$3,1,0))*OFFSET('Gastos com Pessoal'!$H$6,1,MATCH(2&amp;$B31,'Gastos com Pessoal'!$I$532:$AJ$532&amp;'Gastos com Pessoal'!$I$6:$AJ$6,0),500,1)),0)+_xlfn.IFNA(SUM((BJ$3&gt;='Gastos com Pessoal'!$E$7:$E$506)*(BJ$3&lt;='Gastos com Pessoal'!$F$7:$F$506)*(IF('Gastos com Pessoal'!$S$7:$S$506&lt;=BJ$3,1,0))*OFFSET('Gastos com Pessoal'!$H$6,1,MATCH(3&amp;$B31,'Gastos com Pessoal'!$I$532:$AJ$532&amp;'Gastos com Pessoal'!$I$6:$AJ$6,0),500,1)),0)+_xlfn.IFNA(SUM((BJ$3&gt;='Gastos com Pessoal'!$E$7:$E$506)*(BJ$3&lt;='Gastos com Pessoal'!$F$7:$F$506)*(IF('Gastos com Pessoal'!$Y$7:$Y$506&lt;=BJ$3,1,0))*OFFSET('Gastos com Pessoal'!$H$6,1,MATCH(4&amp;$B31,'Gastos com Pessoal'!$I$532:$AJ$532&amp;'Gastos com Pessoal'!$I$6:$AJ$6,0),500,1)),0)+_xlfn.IFNA(SUM((BJ$3&gt;='Gastos com Pessoal'!$E$7:$E$506)*(BJ$3&lt;='Gastos com Pessoal'!$F$7:$F$506)*(IF('Gastos com Pessoal'!$AE$7:$AE$506&lt;=BJ$3,1,0))*OFFSET('Gastos com Pessoal'!$H$6,1,MATCH(5&amp;$B31,'Gastos com Pessoal'!$I$532:$AJ$532&amp;'Gastos com Pessoal'!$I$6:$AJ$6,0),500,1)),0)+_xlfn.IFNA(SUM((BJ$3&gt;='Gastos com Pessoal'!$E$513:$E$522)*(BJ$3&lt;='Gastos com Pessoal'!$F$513:$F$522)*(IF('Gastos com Pessoal'!$G$513:$G$522&lt;=BJ$3,1,0))*OFFSET('Gastos com Pessoal'!$H$512,1,MATCH(1&amp;$B31,'Gastos com Pessoal'!$I$532:$AJ$532&amp;'Gastos com Pessoal'!$I$512:$AJ$512,0),10,1)),0)+_xlfn.IFNA(SUM((BJ$3&gt;='Gastos com Pessoal'!$E$513:$E$522)*(BJ$3&lt;='Gastos com Pessoal'!$F$513:$F$522)*(IF('Gastos com Pessoal'!$M$513:$M$522&lt;=BJ$3,1,0))*OFFSET('Gastos com Pessoal'!$H$512,1,MATCH(2&amp;$B31,'Gastos com Pessoal'!$I$532:$AJ$532&amp;'Gastos com Pessoal'!$I$512:$AJ$512,0),10,1)),0)+_xlfn.IFNA(SUM((BJ$3&gt;='Gastos com Pessoal'!$E$513:$E$522)*(BJ$3&lt;='Gastos com Pessoal'!$F$513:$F$522)*(IF('Gastos com Pessoal'!$S$513:$S$522&lt;=BJ$3,1,0))*OFFSET('Gastos com Pessoal'!$H$512,1,MATCH(3&amp;$B31,'Gastos com Pessoal'!$I$532:$AJ$532&amp;'Gastos com Pessoal'!$I$512:$AJ$512,0),10,1)),0)+_xlfn.IFNA(SUM((BJ$3&gt;='Gastos com Pessoal'!$E$513:$E$522)*(BJ$3&lt;='Gastos com Pessoal'!$F$513:$F$522)*(IF('Gastos com Pessoal'!$Y$513:$Y$522&lt;=BJ$3,1,0))*OFFSET('Gastos com Pessoal'!$H$512,1,MATCH(4&amp;$B31,'Gastos com Pessoal'!$I$532:$AJ$532&amp;'Gastos com Pessoal'!$I$512:$AJ$512,0),10,1)),0)+_xlfn.IFNA(SUM((BJ$3&gt;='Gastos com Pessoal'!$E$513:$E$522)*(BJ$3&lt;='Gastos com Pessoal'!$F$513:$F$522)*(IF('Gastos com Pessoal'!$AE$513:$AE$522&lt;=BJ$3,1,0))*OFFSET('Gastos com Pessoal'!$H$512,1,MATCH(5&amp;$B31,'Gastos com Pessoal'!$I$532:$AJ$532&amp;'Gastos com Pessoal'!$I$512:$AJ$512,0),10,1)),0)</f>
        <v>0</v>
      </c>
      <c r="BK31" s="189">
        <f ca="1">SUM(C31:BJ31)</f>
        <v>4600</v>
      </c>
      <c r="BL31" s="136">
        <f ca="1">IF($BK$152=0,0,BK31/$BK$152)</f>
        <v>1.3748502151376422E-5</v>
      </c>
      <c r="BN31" s="188">
        <f t="array" aca="1" ref="BN31" ca="1">_xlfn.IFNA(SUM((BN$3&gt;='Gastos com Pessoal'!$E$7:$E$506)*(BN$3&lt;='Gastos com Pessoal'!$F$7:$F$506)*OFFSET('Encargos e Benefícios'!$D$5,1,MATCH($B31,'Encargos e Benefícios'!$E$5:$AB$5,0),500,1)),0)+_xlfn.IFNA(SUM((BN$3&gt;='Gastos com Pessoal'!$E$513:$E$522)*(BN$3&lt;='Gastos com Pessoal'!$F$513:$F$522)*OFFSET('Encargos e Benefícios'!$D$511,1,MATCH($B31,'Encargos e Benefícios'!$E$511:$AB$511,0),10,1)),0)+_xlfn.IFNA(SUM((BN$3&gt;='Gastos com Pessoal'!$E$7:$E$506)*(BN$3&lt;='Gastos com Pessoal'!$F$7:$F$506)*(IF('Gastos com Pessoal'!$G$7:$G$506&lt;=BN$3,1,0))*OFFSET('Gastos com Pessoal'!$H$6,1,MATCH(1&amp;$B31,'Gastos com Pessoal'!$I$532:$AJ$532&amp;'Gastos com Pessoal'!$I$6:$AJ$6,0),500,1)),0)+_xlfn.IFNA(SUM((BN$3&gt;='Gastos com Pessoal'!$E$7:$E$506)*(BN$3&lt;='Gastos com Pessoal'!$F$7:$F$506)*(IF('Gastos com Pessoal'!$M$7:$M$506&lt;=BN$3,1,0))*OFFSET('Gastos com Pessoal'!$H$6,1,MATCH(2&amp;$B31,'Gastos com Pessoal'!$I$532:$AJ$532&amp;'Gastos com Pessoal'!$I$6:$AJ$6,0),500,1)),0)+_xlfn.IFNA(SUM((BN$3&gt;='Gastos com Pessoal'!$E$7:$E$506)*(BN$3&lt;='Gastos com Pessoal'!$F$7:$F$506)*(IF('Gastos com Pessoal'!$S$7:$S$506&lt;=BN$3,1,0))*OFFSET('Gastos com Pessoal'!$H$6,1,MATCH(3&amp;$B31,'Gastos com Pessoal'!$I$532:$AJ$532&amp;'Gastos com Pessoal'!$I$6:$AJ$6,0),500,1)),0)+_xlfn.IFNA(SUM((BN$3&gt;='Gastos com Pessoal'!$E$7:$E$506)*(BN$3&lt;='Gastos com Pessoal'!$F$7:$F$506)*(IF('Gastos com Pessoal'!$Y$7:$Y$506&lt;=BN$3,1,0))*OFFSET('Gastos com Pessoal'!$H$6,1,MATCH(4&amp;$B31,'Gastos com Pessoal'!$I$532:$AJ$532&amp;'Gastos com Pessoal'!$I$6:$AJ$6,0),500,1)),0)+_xlfn.IFNA(SUM((BN$3&gt;='Gastos com Pessoal'!$E$7:$E$506)*(BN$3&lt;='Gastos com Pessoal'!$F$7:$F$506)*(IF('Gastos com Pessoal'!$AE$7:$AE$506&lt;=BN$3,1,0))*OFFSET('Gastos com Pessoal'!$H$6,1,MATCH(5&amp;$B31,'Gastos com Pessoal'!$I$532:$AJ$532&amp;'Gastos com Pessoal'!$I$6:$AJ$6,0),500,1)),0)+_xlfn.IFNA(SUM((BN$3&gt;='Gastos com Pessoal'!$E$513:$E$522)*(BN$3&lt;='Gastos com Pessoal'!$F$513:$F$522)*(IF('Gastos com Pessoal'!$G$513:$G$522&lt;=BN$3,1,0))*OFFSET('Gastos com Pessoal'!$H$512,1,MATCH(1&amp;$B31,'Gastos com Pessoal'!$I$532:$AJ$532&amp;'Gastos com Pessoal'!$I$512:$AJ$512,0),10,1)),0)+_xlfn.IFNA(SUM((BN$3&gt;='Gastos com Pessoal'!$E$513:$E$522)*(BN$3&lt;='Gastos com Pessoal'!$F$513:$F$522)*(IF('Gastos com Pessoal'!$M$513:$M$522&lt;=BN$3,1,0))*OFFSET('Gastos com Pessoal'!$H$512,1,MATCH(2&amp;$B31,'Gastos com Pessoal'!$I$532:$AJ$532&amp;'Gastos com Pessoal'!$I$512:$AJ$512,0),10,1)),0)+_xlfn.IFNA(SUM((BN$3&gt;='Gastos com Pessoal'!$E$513:$E$522)*(BN$3&lt;='Gastos com Pessoal'!$F$513:$F$522)*(IF('Gastos com Pessoal'!$S$513:$S$522&lt;=BN$3,1,0))*OFFSET('Gastos com Pessoal'!$H$512,1,MATCH(3&amp;$B31,'Gastos com Pessoal'!$I$532:$AJ$532&amp;'Gastos com Pessoal'!$I$512:$AJ$512,0),10,1)),0)+_xlfn.IFNA(SUM((BN$3&gt;='Gastos com Pessoal'!$E$513:$E$522)*(BN$3&lt;='Gastos com Pessoal'!$F$513:$F$522)*(IF('Gastos com Pessoal'!$Y$513:$Y$522&lt;=BN$3,1,0))*OFFSET('Gastos com Pessoal'!$H$512,1,MATCH(4&amp;$B31,'Gastos com Pessoal'!$I$532:$AJ$532&amp;'Gastos com Pessoal'!$I$512:$AJ$512,0),10,1)),0)+_xlfn.IFNA(SUM((BN$3&gt;='Gastos com Pessoal'!$E$513:$E$522)*(BN$3&lt;='Gastos com Pessoal'!$F$513:$F$522)*(IF('Gastos com Pessoal'!$AE$513:$AE$522&lt;=BN$3,1,0))*OFFSET('Gastos com Pessoal'!$H$512,1,MATCH(5&amp;$B31,'Gastos com Pessoal'!$I$532:$AJ$532&amp;'Gastos com Pessoal'!$I$512:$AJ$512,0),10,1)),0)</f>
        <v>0</v>
      </c>
    </row>
    <row r="32" spans="1:66" s="160" customFormat="1" ht="23.25" customHeight="1">
      <c r="A32" s="190"/>
      <c r="B32" s="191" t="s">
        <v>152</v>
      </c>
      <c r="C32" s="192">
        <f t="shared" ref="C32:AH32" ca="1" si="18">SUBTOTAL(109,C30:C31)</f>
        <v>0</v>
      </c>
      <c r="D32" s="192">
        <f t="shared" ca="1" si="18"/>
        <v>10200</v>
      </c>
      <c r="E32" s="192">
        <f t="shared" ca="1" si="18"/>
        <v>12400</v>
      </c>
      <c r="F32" s="192">
        <f t="shared" ca="1" si="18"/>
        <v>12400</v>
      </c>
      <c r="G32" s="192">
        <f t="shared" ca="1" si="18"/>
        <v>12400</v>
      </c>
      <c r="H32" s="192">
        <f t="shared" ca="1" si="18"/>
        <v>12400</v>
      </c>
      <c r="I32" s="192">
        <f t="shared" ca="1" si="18"/>
        <v>12400</v>
      </c>
      <c r="J32" s="192">
        <f t="shared" ca="1" si="18"/>
        <v>12400</v>
      </c>
      <c r="K32" s="192">
        <f t="shared" ca="1" si="18"/>
        <v>12400</v>
      </c>
      <c r="L32" s="192">
        <f t="shared" ca="1" si="18"/>
        <v>12400</v>
      </c>
      <c r="M32" s="192">
        <f t="shared" ca="1" si="18"/>
        <v>12400</v>
      </c>
      <c r="N32" s="192">
        <f t="shared" ca="1" si="18"/>
        <v>12400</v>
      </c>
      <c r="O32" s="192">
        <f t="shared" ca="1" si="18"/>
        <v>12400</v>
      </c>
      <c r="P32" s="192">
        <f t="shared" ca="1" si="18"/>
        <v>0</v>
      </c>
      <c r="Q32" s="192">
        <f t="shared" ca="1" si="18"/>
        <v>0</v>
      </c>
      <c r="R32" s="192">
        <f t="shared" ca="1" si="18"/>
        <v>0</v>
      </c>
      <c r="S32" s="192">
        <f t="shared" ca="1" si="18"/>
        <v>0</v>
      </c>
      <c r="T32" s="192">
        <f t="shared" ca="1" si="18"/>
        <v>0</v>
      </c>
      <c r="U32" s="192">
        <f t="shared" ca="1" si="18"/>
        <v>0</v>
      </c>
      <c r="V32" s="192">
        <f t="shared" ca="1" si="18"/>
        <v>0</v>
      </c>
      <c r="W32" s="192">
        <f t="shared" ca="1" si="18"/>
        <v>0</v>
      </c>
      <c r="X32" s="192">
        <f t="shared" ca="1" si="18"/>
        <v>0</v>
      </c>
      <c r="Y32" s="192">
        <f t="shared" ca="1" si="18"/>
        <v>0</v>
      </c>
      <c r="Z32" s="192">
        <f t="shared" ca="1" si="18"/>
        <v>0</v>
      </c>
      <c r="AA32" s="192">
        <f t="shared" ca="1" si="18"/>
        <v>0</v>
      </c>
      <c r="AB32" s="192">
        <f t="shared" ca="1" si="18"/>
        <v>0</v>
      </c>
      <c r="AC32" s="192">
        <f t="shared" ca="1" si="18"/>
        <v>0</v>
      </c>
      <c r="AD32" s="192">
        <f t="shared" ca="1" si="18"/>
        <v>0</v>
      </c>
      <c r="AE32" s="192">
        <f t="shared" ca="1" si="18"/>
        <v>0</v>
      </c>
      <c r="AF32" s="192">
        <f t="shared" ca="1" si="18"/>
        <v>0</v>
      </c>
      <c r="AG32" s="192">
        <f t="shared" ca="1" si="18"/>
        <v>0</v>
      </c>
      <c r="AH32" s="192">
        <f t="shared" ca="1" si="18"/>
        <v>0</v>
      </c>
      <c r="AI32" s="192">
        <f t="shared" ref="AI32:BJ32" ca="1" si="19">SUBTOTAL(109,AI30:AI31)</f>
        <v>0</v>
      </c>
      <c r="AJ32" s="192">
        <f t="shared" ca="1" si="19"/>
        <v>0</v>
      </c>
      <c r="AK32" s="192">
        <f t="shared" ca="1" si="19"/>
        <v>0</v>
      </c>
      <c r="AL32" s="192">
        <f t="shared" ca="1" si="19"/>
        <v>0</v>
      </c>
      <c r="AM32" s="192">
        <f t="shared" ca="1" si="19"/>
        <v>0</v>
      </c>
      <c r="AN32" s="192">
        <f t="shared" ca="1" si="19"/>
        <v>0</v>
      </c>
      <c r="AO32" s="192">
        <f t="shared" ca="1" si="19"/>
        <v>0</v>
      </c>
      <c r="AP32" s="192">
        <f t="shared" ca="1" si="19"/>
        <v>0</v>
      </c>
      <c r="AQ32" s="192">
        <f t="shared" ca="1" si="19"/>
        <v>0</v>
      </c>
      <c r="AR32" s="192">
        <f t="shared" ca="1" si="19"/>
        <v>0</v>
      </c>
      <c r="AS32" s="192">
        <f t="shared" ca="1" si="19"/>
        <v>0</v>
      </c>
      <c r="AT32" s="192">
        <f t="shared" ca="1" si="19"/>
        <v>0</v>
      </c>
      <c r="AU32" s="192">
        <f t="shared" ca="1" si="19"/>
        <v>0</v>
      </c>
      <c r="AV32" s="192">
        <f t="shared" ca="1" si="19"/>
        <v>0</v>
      </c>
      <c r="AW32" s="192">
        <f t="shared" ca="1" si="19"/>
        <v>0</v>
      </c>
      <c r="AX32" s="192">
        <f t="shared" ca="1" si="19"/>
        <v>0</v>
      </c>
      <c r="AY32" s="192">
        <f t="shared" ca="1" si="19"/>
        <v>0</v>
      </c>
      <c r="AZ32" s="192">
        <f t="shared" ca="1" si="19"/>
        <v>0</v>
      </c>
      <c r="BA32" s="192">
        <f t="shared" ca="1" si="19"/>
        <v>0</v>
      </c>
      <c r="BB32" s="192">
        <f t="shared" ca="1" si="19"/>
        <v>0</v>
      </c>
      <c r="BC32" s="192">
        <f t="shared" ca="1" si="19"/>
        <v>0</v>
      </c>
      <c r="BD32" s="192">
        <f t="shared" ca="1" si="19"/>
        <v>0</v>
      </c>
      <c r="BE32" s="192">
        <f t="shared" ca="1" si="19"/>
        <v>0</v>
      </c>
      <c r="BF32" s="192">
        <f t="shared" ca="1" si="19"/>
        <v>0</v>
      </c>
      <c r="BG32" s="192">
        <f t="shared" ca="1" si="19"/>
        <v>0</v>
      </c>
      <c r="BH32" s="192">
        <f t="shared" ca="1" si="19"/>
        <v>0</v>
      </c>
      <c r="BI32" s="192">
        <f t="shared" ca="1" si="19"/>
        <v>0</v>
      </c>
      <c r="BJ32" s="192">
        <f t="shared" ca="1" si="19"/>
        <v>0</v>
      </c>
      <c r="BK32" s="192">
        <f ca="1">SUBTOTAL(109,BK30:BK30)</f>
        <v>142000</v>
      </c>
      <c r="BL32" s="193">
        <f ca="1">IF($BK$152=0,0,BK32/$BK$152)</f>
        <v>4.2441028380335908E-4</v>
      </c>
      <c r="BN32" s="192">
        <f t="shared" ref="BN32" ca="1" si="20">SUBTOTAL(109,BN30:BN31)</f>
        <v>0</v>
      </c>
    </row>
    <row r="33" spans="1:66" s="160" customFormat="1" ht="23.25" customHeight="1">
      <c r="A33" s="213" t="s">
        <v>85</v>
      </c>
      <c r="B33" s="206" t="s">
        <v>86</v>
      </c>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0"/>
      <c r="BL33" s="211"/>
      <c r="BN33" s="214"/>
    </row>
    <row r="34" spans="1:66" s="160" customFormat="1" ht="23.25" customHeight="1">
      <c r="A34" s="198" t="s">
        <v>153</v>
      </c>
      <c r="B34" s="81" t="s">
        <v>154</v>
      </c>
      <c r="C34" s="188">
        <f t="shared" ref="C34:C45" ca="1" si="21">BN34*9/30</f>
        <v>116557.66951499999</v>
      </c>
      <c r="D34" s="188">
        <f t="array" aca="1" ref="D34" ca="1">_xlfn.IFNA(SUM((D$3&gt;='Gastos com Pessoal'!$E$7:$E$506)*(D$3&lt;='Gastos com Pessoal'!$F$7:$F$506)*OFFSET('Encargos e Benefícios'!$D$5,1,MATCH($B34,'Encargos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417673.58040888893</v>
      </c>
      <c r="E34" s="188">
        <f t="array" aca="1" ref="E34" ca="1">_xlfn.IFNA(SUM((E$3&gt;='Gastos com Pessoal'!$E$7:$E$506)*(E$3&lt;='Gastos com Pessoal'!$F$7:$F$506)*OFFSET('Encargos e Benefícios'!$D$5,1,MATCH($B34,'Encargos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439522.77372333349</v>
      </c>
      <c r="F34" s="188">
        <f t="array" aca="1" ref="F34" ca="1">_xlfn.IFNA(SUM((F$3&gt;='Gastos com Pessoal'!$E$7:$E$506)*(F$3&lt;='Gastos com Pessoal'!$F$7:$F$506)*OFFSET('Encargos e Benefícios'!$D$5,1,MATCH($B34,'Encargos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439522.77372333349</v>
      </c>
      <c r="G34" s="188">
        <f t="array" aca="1" ref="G34" ca="1">_xlfn.IFNA(SUM((G$3&gt;='Gastos com Pessoal'!$E$7:$E$506)*(G$3&lt;='Gastos com Pessoal'!$F$7:$F$506)*OFFSET('Encargos e Benefícios'!$D$5,1,MATCH($B34,'Encargos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439522.77372333349</v>
      </c>
      <c r="H34" s="188">
        <f t="array" aca="1" ref="H34" ca="1">_xlfn.IFNA(SUM((H$3&gt;='Gastos com Pessoal'!$E$7:$E$506)*(H$3&lt;='Gastos com Pessoal'!$F$7:$F$506)*OFFSET('Encargos e Benefícios'!$D$5,1,MATCH($B34,'Encargos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465190.90370877617</v>
      </c>
      <c r="I34" s="188">
        <f t="array" aca="1" ref="I34" ca="1">_xlfn.IFNA(SUM((I$3&gt;='Gastos com Pessoal'!$E$7:$E$506)*(I$3&lt;='Gastos com Pessoal'!$F$7:$F$506)*OFFSET('Encargos e Benefícios'!$D$5,1,MATCH($B34,'Encargos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465190.90370877617</v>
      </c>
      <c r="J34" s="188">
        <f t="array" aca="1" ref="J34" ca="1">_xlfn.IFNA(SUM((J$3&gt;='Gastos com Pessoal'!$E$7:$E$506)*(J$3&lt;='Gastos com Pessoal'!$F$7:$F$506)*OFFSET('Encargos e Benefícios'!$D$5,1,MATCH($B34,'Encargos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465190.90370877617</v>
      </c>
      <c r="K34" s="188">
        <f t="array" aca="1" ref="K34" ca="1">_xlfn.IFNA(SUM((K$3&gt;='Gastos com Pessoal'!$E$7:$E$506)*(K$3&lt;='Gastos com Pessoal'!$F$7:$F$506)*OFFSET('Encargos e Benefícios'!$D$5,1,MATCH($B34,'Encargos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465190.90370877617</v>
      </c>
      <c r="L34" s="188">
        <f t="array" aca="1" ref="L34" ca="1">_xlfn.IFNA(SUM((L$3&gt;='Gastos com Pessoal'!$E$7:$E$506)*(L$3&lt;='Gastos com Pessoal'!$F$7:$F$506)*OFFSET('Encargos e Benefícios'!$D$5,1,MATCH($B34,'Encargos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465190.90370877617</v>
      </c>
      <c r="M34" s="188">
        <f t="array" aca="1" ref="M34" ca="1">_xlfn.IFNA(SUM((M$3&gt;='Gastos com Pessoal'!$E$7:$E$506)*(M$3&lt;='Gastos com Pessoal'!$F$7:$F$506)*OFFSET('Encargos e Benefícios'!$D$5,1,MATCH($B34,'Encargos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469053.44033469615</v>
      </c>
      <c r="N34" s="188">
        <f t="array" aca="1" ref="N34" ca="1">_xlfn.IFNA(SUM((N$3&gt;='Gastos com Pessoal'!$E$7:$E$506)*(N$3&lt;='Gastos com Pessoal'!$F$7:$F$506)*OFFSET('Encargos e Benefícios'!$D$5,1,MATCH($B34,'Encargos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492178.62653870427</v>
      </c>
      <c r="O34" s="188">
        <f t="array" aca="1" ref="O34" ca="1">_xlfn.IFNA(SUM((O$3&gt;='Gastos com Pessoal'!$E$7:$E$506)*(O$3&lt;='Gastos com Pessoal'!$F$7:$F$506)*OFFSET('Encargos e Benefícios'!$D$5,1,MATCH($B34,'Encargos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492178.62653870427</v>
      </c>
      <c r="P34" s="188">
        <f t="array" aca="1" ref="P34" ca="1">_xlfn.IFNA(SUM((P$3&gt;='Gastos com Pessoal'!$E$7:$E$506)*(P$3&lt;='Gastos com Pessoal'!$F$7:$F$506)*OFFSET('Encargos e Benefícios'!$D$5,1,MATCH($B34,'Encargos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496041.16316462425</v>
      </c>
      <c r="Q34" s="188">
        <f t="array" aca="1" ref="Q34" ca="1">_xlfn.IFNA(SUM((Q$3&gt;='Gastos com Pessoal'!$E$7:$E$506)*(Q$3&lt;='Gastos com Pessoal'!$F$7:$F$506)*OFFSET('Encargos e Benefícios'!$D$5,1,MATCH($B34,'Encargos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519166.34936863236</v>
      </c>
      <c r="R34" s="188">
        <f t="array" aca="1" ref="R34" ca="1">_xlfn.IFNA(SUM((R$3&gt;='Gastos com Pessoal'!$E$7:$E$506)*(R$3&lt;='Gastos com Pessoal'!$F$7:$F$506)*OFFSET('Encargos e Benefícios'!$D$5,1,MATCH($B34,'Encargos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519166.34936863236</v>
      </c>
      <c r="S34" s="188">
        <f t="array" aca="1" ref="S34" ca="1">_xlfn.IFNA(SUM((S$3&gt;='Gastos com Pessoal'!$E$7:$E$506)*(S$3&lt;='Gastos com Pessoal'!$F$7:$F$506)*OFFSET('Encargos e Benefícios'!$D$5,1,MATCH($B34,'Encargos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519166.34936863236</v>
      </c>
      <c r="T34" s="188">
        <f t="array" aca="1" ref="T34" ca="1">_xlfn.IFNA(SUM((T$3&gt;='Gastos com Pessoal'!$E$7:$E$506)*(T$3&lt;='Gastos com Pessoal'!$F$7:$F$506)*OFFSET('Encargos e Benefícios'!$D$5,1,MATCH($B34,'Encargos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549485.66417176055</v>
      </c>
      <c r="U34" s="188">
        <f t="array" aca="1" ref="U34" ca="1">_xlfn.IFNA(SUM((U$3&gt;='Gastos com Pessoal'!$E$7:$E$506)*(U$3&lt;='Gastos com Pessoal'!$F$7:$F$506)*OFFSET('Encargos e Benefícios'!$D$5,1,MATCH($B34,'Encargos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549485.66417176055</v>
      </c>
      <c r="V34" s="188">
        <f t="array" aca="1" ref="V34" ca="1">_xlfn.IFNA(SUM((V$3&gt;='Gastos com Pessoal'!$E$7:$E$506)*(V$3&lt;='Gastos com Pessoal'!$F$7:$F$506)*OFFSET('Encargos e Benefícios'!$D$5,1,MATCH($B34,'Encargos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549485.66417176055</v>
      </c>
      <c r="W34" s="188">
        <f t="array" aca="1" ref="W34" ca="1">_xlfn.IFNA(SUM((W$3&gt;='Gastos com Pessoal'!$E$7:$E$506)*(W$3&lt;='Gastos com Pessoal'!$F$7:$F$506)*OFFSET('Encargos e Benefícios'!$D$5,1,MATCH($B34,'Encargos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549485.66417176055</v>
      </c>
      <c r="X34" s="188">
        <f t="array" aca="1" ref="X34" ca="1">_xlfn.IFNA(SUM((X$3&gt;='Gastos com Pessoal'!$E$7:$E$506)*(X$3&lt;='Gastos com Pessoal'!$F$7:$F$506)*OFFSET('Encargos e Benefícios'!$D$5,1,MATCH($B34,'Encargos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549485.66417176055</v>
      </c>
      <c r="Y34" s="188">
        <f t="array" aca="1" ref="Y34" ca="1">_xlfn.IFNA(SUM((Y$3&gt;='Gastos com Pessoal'!$E$7:$E$506)*(Y$3&lt;='Gastos com Pessoal'!$F$7:$F$506)*OFFSET('Encargos e Benefícios'!$D$5,1,MATCH($B34,'Encargos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549485.66417176055</v>
      </c>
      <c r="Z34" s="188">
        <f t="array" aca="1" ref="Z34" ca="1">_xlfn.IFNA(SUM((Z$3&gt;='Gastos com Pessoal'!$E$7:$E$506)*(Z$3&lt;='Gastos com Pessoal'!$F$7:$F$506)*OFFSET('Encargos e Benefícios'!$D$5,1,MATCH($B34,'Encargos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549485.66417176055</v>
      </c>
      <c r="AA34" s="188">
        <f t="array" aca="1" ref="AA34" ca="1">_xlfn.IFNA(SUM((AA$3&gt;='Gastos com Pessoal'!$E$7:$E$506)*(AA$3&lt;='Gastos com Pessoal'!$F$7:$F$506)*OFFSET('Encargos e Benefícios'!$D$5,1,MATCH($B34,'Encargos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549485.66417176055</v>
      </c>
      <c r="AB34" s="188">
        <f t="array" aca="1" ref="AB34" ca="1">_xlfn.IFNA(SUM((AB$3&gt;='Gastos com Pessoal'!$E$7:$E$506)*(AB$3&lt;='Gastos com Pessoal'!$F$7:$F$506)*OFFSET('Encargos e Benefícios'!$D$5,1,MATCH($B34,'Encargos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549485.66417176055</v>
      </c>
      <c r="AC34" s="188">
        <f t="array" aca="1" ref="AC34" ca="1">_xlfn.IFNA(SUM((AC$3&gt;='Gastos com Pessoal'!$E$7:$E$506)*(AC$3&lt;='Gastos com Pessoal'!$F$7:$F$506)*OFFSET('Encargos e Benefícios'!$D$5,1,MATCH($B34,'Encargos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549485.66417176055</v>
      </c>
      <c r="AD34" s="188">
        <f t="array" aca="1" ref="AD34" ca="1">_xlfn.IFNA(SUM((AD$3&gt;='Gastos com Pessoal'!$E$7:$E$506)*(AD$3&lt;='Gastos com Pessoal'!$F$7:$F$506)*OFFSET('Encargos e Benefícios'!$D$5,1,MATCH($B34,'Encargos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549485.66417176055</v>
      </c>
      <c r="AE34" s="188">
        <f t="array" aca="1" ref="AE34" ca="1">_xlfn.IFNA(SUM((AE$3&gt;='Gastos com Pessoal'!$E$7:$E$506)*(AE$3&lt;='Gastos com Pessoal'!$F$7:$F$506)*OFFSET('Encargos e Benefícios'!$D$5,1,MATCH($B34,'Encargos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549485.66417176055</v>
      </c>
      <c r="AF34" s="188">
        <f t="array" aca="1" ref="AF34" ca="1">_xlfn.IFNA(SUM((AF$3&gt;='Gastos com Pessoal'!$E$7:$E$506)*(AF$3&lt;='Gastos com Pessoal'!$F$7:$F$506)*OFFSET('Encargos e Benefícios'!$D$5,1,MATCH($B34,'Encargos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581575.6269593914</v>
      </c>
      <c r="AG34" s="188">
        <f t="array" aca="1" ref="AG34" ca="1">_xlfn.IFNA(SUM((AG$3&gt;='Gastos com Pessoal'!$E$7:$E$506)*(AG$3&lt;='Gastos com Pessoal'!$F$7:$F$506)*OFFSET('Encargos e Benefícios'!$D$5,1,MATCH($B34,'Encargos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581575.6269593914</v>
      </c>
      <c r="AH34" s="188">
        <f t="array" aca="1" ref="AH34" ca="1">_xlfn.IFNA(SUM((AH$3&gt;='Gastos com Pessoal'!$E$7:$E$506)*(AH$3&lt;='Gastos com Pessoal'!$F$7:$F$506)*OFFSET('Encargos e Benefícios'!$D$5,1,MATCH($B34,'Encargos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581575.6269593914</v>
      </c>
      <c r="AI34" s="188">
        <f t="array" aca="1" ref="AI34" ca="1">_xlfn.IFNA(SUM((AI$3&gt;='Gastos com Pessoal'!$E$7:$E$506)*(AI$3&lt;='Gastos com Pessoal'!$F$7:$F$506)*OFFSET('Encargos e Benefícios'!$D$5,1,MATCH($B34,'Encargos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581575.6269593914</v>
      </c>
      <c r="AJ34" s="188">
        <f t="array" aca="1" ref="AJ34" ca="1">_xlfn.IFNA(SUM((AJ$3&gt;='Gastos com Pessoal'!$E$7:$E$506)*(AJ$3&lt;='Gastos com Pessoal'!$F$7:$F$506)*OFFSET('Encargos e Benefícios'!$D$5,1,MATCH($B34,'Encargos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581575.6269593914</v>
      </c>
      <c r="AK34" s="188">
        <f t="array" aca="1" ref="AK34" ca="1">_xlfn.IFNA(SUM((AK$3&gt;='Gastos com Pessoal'!$E$7:$E$506)*(AK$3&lt;='Gastos com Pessoal'!$F$7:$F$506)*OFFSET('Encargos e Benefícios'!$D$5,1,MATCH($B34,'Encargos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581575.6269593914</v>
      </c>
      <c r="AL34" s="188">
        <f t="array" aca="1" ref="AL34" ca="1">_xlfn.IFNA(SUM((AL$3&gt;='Gastos com Pessoal'!$E$7:$E$506)*(AL$3&lt;='Gastos com Pessoal'!$F$7:$F$506)*OFFSET('Encargos e Benefícios'!$D$5,1,MATCH($B34,'Encargos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581575.6269593914</v>
      </c>
      <c r="AM34" s="188">
        <f t="array" aca="1" ref="AM34" ca="1">_xlfn.IFNA(SUM((AM$3&gt;='Gastos com Pessoal'!$E$7:$E$506)*(AM$3&lt;='Gastos com Pessoal'!$F$7:$F$506)*OFFSET('Encargos e Benefícios'!$D$5,1,MATCH($B34,'Encargos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581575.6269593914</v>
      </c>
      <c r="AN34" s="188">
        <f t="array" aca="1" ref="AN34" ca="1">_xlfn.IFNA(SUM((AN$3&gt;='Gastos com Pessoal'!$E$7:$E$506)*(AN$3&lt;='Gastos com Pessoal'!$F$7:$F$506)*OFFSET('Encargos e Benefícios'!$D$5,1,MATCH($B34,'Encargos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581575.6269593914</v>
      </c>
      <c r="AO34" s="188">
        <f t="array" aca="1" ref="AO34" ca="1">_xlfn.IFNA(SUM((AO$3&gt;='Gastos com Pessoal'!$E$7:$E$506)*(AO$3&lt;='Gastos com Pessoal'!$F$7:$F$506)*OFFSET('Encargos e Benefícios'!$D$5,1,MATCH($B34,'Encargos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581575.6269593914</v>
      </c>
      <c r="AP34" s="188">
        <f t="array" aca="1" ref="AP34" ca="1">_xlfn.IFNA(SUM((AP$3&gt;='Gastos com Pessoal'!$E$7:$E$506)*(AP$3&lt;='Gastos com Pessoal'!$F$7:$F$506)*OFFSET('Encargos e Benefícios'!$D$5,1,MATCH($B34,'Encargos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581575.6269593914</v>
      </c>
      <c r="AQ34" s="188">
        <f t="array" aca="1" ref="AQ34" ca="1">_xlfn.IFNA(SUM((AQ$3&gt;='Gastos com Pessoal'!$E$7:$E$506)*(AQ$3&lt;='Gastos com Pessoal'!$F$7:$F$506)*OFFSET('Encargos e Benefícios'!$D$5,1,MATCH($B34,'Encargos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581575.6269593914</v>
      </c>
      <c r="AR34" s="188">
        <f t="array" aca="1" ref="AR34" ca="1">_xlfn.IFNA(SUM((AR$3&gt;='Gastos com Pessoal'!$E$7:$E$506)*(AR$3&lt;='Gastos com Pessoal'!$F$7:$F$506)*OFFSET('Encargos e Benefícios'!$D$5,1,MATCH($B34,'Encargos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615539.64357381989</v>
      </c>
      <c r="AS34" s="188">
        <f t="array" aca="1" ref="AS34" ca="1">_xlfn.IFNA(SUM((AS$3&gt;='Gastos com Pessoal'!$E$7:$E$506)*(AS$3&lt;='Gastos com Pessoal'!$F$7:$F$506)*OFFSET('Encargos e Benefícios'!$D$5,1,MATCH($B34,'Encargos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615539.64357381989</v>
      </c>
      <c r="AT34" s="188">
        <f t="array" aca="1" ref="AT34" ca="1">_xlfn.IFNA(SUM((AT$3&gt;='Gastos com Pessoal'!$E$7:$E$506)*(AT$3&lt;='Gastos com Pessoal'!$F$7:$F$506)*OFFSET('Encargos e Benefícios'!$D$5,1,MATCH($B34,'Encargos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615539.64357381989</v>
      </c>
      <c r="AU34" s="188">
        <f t="array" aca="1" ref="AU34" ca="1">_xlfn.IFNA(SUM((AU$3&gt;='Gastos com Pessoal'!$E$7:$E$506)*(AU$3&lt;='Gastos com Pessoal'!$F$7:$F$506)*OFFSET('Encargos e Benefícios'!$D$5,1,MATCH($B34,'Encargos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615539.64357381989</v>
      </c>
      <c r="AV34" s="188">
        <f t="array" aca="1" ref="AV34" ca="1">_xlfn.IFNA(SUM((AV$3&gt;='Gastos com Pessoal'!$E$7:$E$506)*(AV$3&lt;='Gastos com Pessoal'!$F$7:$F$506)*OFFSET('Encargos e Benefícios'!$D$5,1,MATCH($B34,'Encargos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615539.64357381989</v>
      </c>
      <c r="AW34" s="188">
        <f t="array" aca="1" ref="AW34" ca="1">_xlfn.IFNA(SUM((AW$3&gt;='Gastos com Pessoal'!$E$7:$E$506)*(AW$3&lt;='Gastos com Pessoal'!$F$7:$F$506)*OFFSET('Encargos e Benefícios'!$D$5,1,MATCH($B34,'Encargos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615539.64357381989</v>
      </c>
      <c r="AX34" s="188">
        <f t="array" aca="1" ref="AX34" ca="1">_xlfn.IFNA(SUM((AX$3&gt;='Gastos com Pessoal'!$E$7:$E$506)*(AX$3&lt;='Gastos com Pessoal'!$F$7:$F$506)*OFFSET('Encargos e Benefícios'!$D$5,1,MATCH($B34,'Encargos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615539.64357381989</v>
      </c>
      <c r="AY34" s="188">
        <f t="array" aca="1" ref="AY34" ca="1">_xlfn.IFNA(SUM((AY$3&gt;='Gastos com Pessoal'!$E$7:$E$506)*(AY$3&lt;='Gastos com Pessoal'!$F$7:$F$506)*OFFSET('Encargos e Benefícios'!$D$5,1,MATCH($B34,'Encargos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615539.64357381989</v>
      </c>
      <c r="AZ34" s="188">
        <f t="array" aca="1" ref="AZ34" ca="1">_xlfn.IFNA(SUM((AZ$3&gt;='Gastos com Pessoal'!$E$7:$E$506)*(AZ$3&lt;='Gastos com Pessoal'!$F$7:$F$506)*OFFSET('Encargos e Benefícios'!$D$5,1,MATCH($B34,'Encargos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615539.64357381989</v>
      </c>
      <c r="BA34" s="188">
        <f t="array" aca="1" ref="BA34" ca="1">_xlfn.IFNA(SUM((BA$3&gt;='Gastos com Pessoal'!$E$7:$E$506)*(BA$3&lt;='Gastos com Pessoal'!$F$7:$F$506)*OFFSET('Encargos e Benefícios'!$D$5,1,MATCH($B34,'Encargos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615539.64357381989</v>
      </c>
      <c r="BB34" s="188">
        <f t="array" aca="1" ref="BB34" ca="1">_xlfn.IFNA(SUM((BB$3&gt;='Gastos com Pessoal'!$E$7:$E$506)*(BB$3&lt;='Gastos com Pessoal'!$F$7:$F$506)*OFFSET('Encargos e Benefícios'!$D$5,1,MATCH($B34,'Encargos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615539.64357381989</v>
      </c>
      <c r="BC34" s="188">
        <f t="array" aca="1" ref="BC34" ca="1">_xlfn.IFNA(SUM((BC$3&gt;='Gastos com Pessoal'!$E$7:$E$506)*(BC$3&lt;='Gastos com Pessoal'!$F$7:$F$506)*OFFSET('Encargos e Benefícios'!$D$5,1,MATCH($B34,'Encargos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615539.64357381989</v>
      </c>
      <c r="BD34" s="188">
        <f t="array" aca="1" ref="BD34" ca="1">_xlfn.IFNA(SUM((BD$3&gt;='Gastos com Pessoal'!$E$7:$E$506)*(BD$3&lt;='Gastos com Pessoal'!$F$7:$F$506)*OFFSET('Encargos e Benefícios'!$D$5,1,MATCH($B34,'Encargos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651487.15875853098</v>
      </c>
      <c r="BE34" s="188">
        <f t="array" aca="1" ref="BE34" ca="1">_xlfn.IFNA(SUM((BE$3&gt;='Gastos com Pessoal'!$E$7:$E$506)*(BE$3&lt;='Gastos com Pessoal'!$F$7:$F$506)*OFFSET('Encargos e Benefícios'!$D$5,1,MATCH($B34,'Encargos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651487.15875853098</v>
      </c>
      <c r="BF34" s="188">
        <f t="array" aca="1" ref="BF34" ca="1">_xlfn.IFNA(SUM((BF$3&gt;='Gastos com Pessoal'!$E$7:$E$506)*(BF$3&lt;='Gastos com Pessoal'!$F$7:$F$506)*OFFSET('Encargos e Benefícios'!$D$5,1,MATCH($B34,'Encargos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651487.15875853098</v>
      </c>
      <c r="BG34" s="188">
        <f t="array" aca="1" ref="BG34" ca="1">_xlfn.IFNA(SUM((BG$3&gt;='Gastos com Pessoal'!$E$7:$E$506)*(BG$3&lt;='Gastos com Pessoal'!$F$7:$F$506)*OFFSET('Encargos e Benefícios'!$D$5,1,MATCH($B34,'Encargos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651487.15875853098</v>
      </c>
      <c r="BH34" s="188">
        <f t="array" aca="1" ref="BH34" ca="1">_xlfn.IFNA(SUM((BH$3&gt;='Gastos com Pessoal'!$E$7:$E$506)*(BH$3&lt;='Gastos com Pessoal'!$F$7:$F$506)*OFFSET('Encargos e Benefícios'!$D$5,1,MATCH($B34,'Encargos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651487.15875853098</v>
      </c>
      <c r="BI34" s="188">
        <f t="array" aca="1" ref="BI34" ca="1">_xlfn.IFNA(SUM((BI$3&gt;='Gastos com Pessoal'!$E$7:$E$506)*(BI$3&lt;='Gastos com Pessoal'!$F$7:$F$506)*OFFSET('Encargos e Benefícios'!$D$5,1,MATCH($B34,'Encargos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651487.15875853098</v>
      </c>
      <c r="BJ34" s="188">
        <f t="array" aca="1" ref="BJ34" ca="1">_xlfn.IFNA(SUM((BJ$3&gt;='Gastos com Pessoal'!$E$7:$E$506)*(BJ$3&lt;='Gastos com Pessoal'!$F$7:$F$506)*OFFSET('Encargos e Benefícios'!$D$5,1,MATCH($B34,'Encargos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651487.15875853098</v>
      </c>
      <c r="BK34" s="189">
        <f t="shared" ref="BK34:BK45" ca="1" si="22">SUM(C34:BJ34)</f>
        <v>33205326.322089791</v>
      </c>
      <c r="BL34" s="136">
        <f t="shared" ref="BL34:BL46" ca="1" si="23">IF($BK$152=0,0,BK34/$BK$152)</f>
        <v>9.9244239212262525E-2</v>
      </c>
      <c r="BN34" s="188">
        <f t="array" aca="1" ref="BN34" ca="1">_xlfn.IFNA(SUM((BN$3&gt;='Gastos com Pessoal'!$E$7:$E$506)*(BN$3&lt;='Gastos com Pessoal'!$F$7:$F$506)*OFFSET('Encargos e Benefícios'!$D$5,1,MATCH($B34,'Encargos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388525.56504999998</v>
      </c>
    </row>
    <row r="35" spans="1:66" s="160" customFormat="1" ht="23.25" customHeight="1">
      <c r="A35" s="198" t="s">
        <v>155</v>
      </c>
      <c r="B35" s="81" t="s">
        <v>156</v>
      </c>
      <c r="C35" s="188">
        <f t="shared" ca="1" si="21"/>
        <v>4192.7219250000071</v>
      </c>
      <c r="D35" s="188">
        <f t="array" aca="1" ref="D35" ca="1">_xlfn.IFNA(SUM((D$3&gt;='Gastos com Pessoal'!$E$7:$E$506)*(D$3&lt;='Gastos com Pessoal'!$F$7:$F$506)*OFFSET('Encargos e Benefícios'!$D$5,1,MATCH($B35,'Encargos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15024.229511111134</v>
      </c>
      <c r="E35" s="188">
        <f t="array" aca="1" ref="E35" ca="1">_xlfn.IFNA(SUM((E$3&gt;='Gastos com Pessoal'!$E$7:$E$506)*(E$3&lt;='Gastos com Pessoal'!$F$7:$F$506)*OFFSET('Encargos e Benefícios'!$D$5,1,MATCH($B35,'Encargos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15810.171716666693</v>
      </c>
      <c r="F35" s="188">
        <f t="array" aca="1" ref="F35" ca="1">_xlfn.IFNA(SUM((F$3&gt;='Gastos com Pessoal'!$E$7:$E$506)*(F$3&lt;='Gastos com Pessoal'!$F$7:$F$506)*OFFSET('Encargos e Benefícios'!$D$5,1,MATCH($B35,'Encargos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15810.171716666693</v>
      </c>
      <c r="G35" s="188">
        <f t="array" aca="1" ref="G35" ca="1">_xlfn.IFNA(SUM((G$3&gt;='Gastos com Pessoal'!$E$7:$E$506)*(G$3&lt;='Gastos com Pessoal'!$F$7:$F$506)*OFFSET('Encargos e Benefícios'!$D$5,1,MATCH($B35,'Encargos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15810.171716666693</v>
      </c>
      <c r="H35" s="188">
        <f t="array" aca="1" ref="H35" ca="1">_xlfn.IFNA(SUM((H$3&gt;='Gastos com Pessoal'!$E$7:$E$506)*(H$3&lt;='Gastos com Pessoal'!$F$7:$F$506)*OFFSET('Encargos e Benefícios'!$D$5,1,MATCH($B35,'Encargos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16733.485744920028</v>
      </c>
      <c r="I35" s="188">
        <f t="array" aca="1" ref="I35" ca="1">_xlfn.IFNA(SUM((I$3&gt;='Gastos com Pessoal'!$E$7:$E$506)*(I$3&lt;='Gastos com Pessoal'!$F$7:$F$506)*OFFSET('Encargos e Benefícios'!$D$5,1,MATCH($B35,'Encargos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16733.485744920028</v>
      </c>
      <c r="J35" s="188">
        <f t="array" aca="1" ref="J35" ca="1">_xlfn.IFNA(SUM((J$3&gt;='Gastos com Pessoal'!$E$7:$E$506)*(J$3&lt;='Gastos com Pessoal'!$F$7:$F$506)*OFFSET('Encargos e Benefícios'!$D$5,1,MATCH($B35,'Encargos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16733.485744920028</v>
      </c>
      <c r="K35" s="188">
        <f t="array" aca="1" ref="K35" ca="1">_xlfn.IFNA(SUM((K$3&gt;='Gastos com Pessoal'!$E$7:$E$506)*(K$3&lt;='Gastos com Pessoal'!$F$7:$F$506)*OFFSET('Encargos e Benefícios'!$D$5,1,MATCH($B35,'Encargos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16733.485744920028</v>
      </c>
      <c r="L35" s="188">
        <f t="array" aca="1" ref="L35" ca="1">_xlfn.IFNA(SUM((L$3&gt;='Gastos com Pessoal'!$E$7:$E$506)*(L$3&lt;='Gastos com Pessoal'!$F$7:$F$506)*OFFSET('Encargos e Benefícios'!$D$5,1,MATCH($B35,'Encargos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16733.485744920028</v>
      </c>
      <c r="M35" s="188">
        <f t="array" aca="1" ref="M35" ca="1">_xlfn.IFNA(SUM((M$3&gt;='Gastos com Pessoal'!$E$7:$E$506)*(M$3&lt;='Gastos com Pessoal'!$F$7:$F$506)*OFFSET('Encargos e Benefícios'!$D$5,1,MATCH($B35,'Encargos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16872.425911320028</v>
      </c>
      <c r="N35" s="188">
        <f t="array" aca="1" ref="N35" ca="1">_xlfn.IFNA(SUM((N$3&gt;='Gastos com Pessoal'!$E$7:$E$506)*(N$3&lt;='Gastos com Pessoal'!$F$7:$F$506)*OFFSET('Encargos e Benefícios'!$D$5,1,MATCH($B35,'Encargos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17704.267141680029</v>
      </c>
      <c r="O35" s="188">
        <f t="array" aca="1" ref="O35" ca="1">_xlfn.IFNA(SUM((O$3&gt;='Gastos com Pessoal'!$E$7:$E$506)*(O$3&lt;='Gastos com Pessoal'!$F$7:$F$506)*OFFSET('Encargos e Benefícios'!$D$5,1,MATCH($B35,'Encargos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17704.267141680029</v>
      </c>
      <c r="P35" s="188">
        <f t="array" aca="1" ref="P35" ca="1">_xlfn.IFNA(SUM((P$3&gt;='Gastos com Pessoal'!$E$7:$E$506)*(P$3&lt;='Gastos com Pessoal'!$F$7:$F$506)*OFFSET('Encargos e Benefícios'!$D$5,1,MATCH($B35,'Encargos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17843.207308080029</v>
      </c>
      <c r="Q35" s="188">
        <f t="array" aca="1" ref="Q35" ca="1">_xlfn.IFNA(SUM((Q$3&gt;='Gastos com Pessoal'!$E$7:$E$506)*(Q$3&lt;='Gastos com Pessoal'!$F$7:$F$506)*OFFSET('Encargos e Benefícios'!$D$5,1,MATCH($B35,'Encargos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18675.048538440024</v>
      </c>
      <c r="R35" s="188">
        <f t="array" aca="1" ref="R35" ca="1">_xlfn.IFNA(SUM((R$3&gt;='Gastos com Pessoal'!$E$7:$E$506)*(R$3&lt;='Gastos com Pessoal'!$F$7:$F$506)*OFFSET('Encargos e Benefícios'!$D$5,1,MATCH($B35,'Encargos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18675.048538440024</v>
      </c>
      <c r="S35" s="188">
        <f t="array" aca="1" ref="S35" ca="1">_xlfn.IFNA(SUM((S$3&gt;='Gastos com Pessoal'!$E$7:$E$506)*(S$3&lt;='Gastos com Pessoal'!$F$7:$F$506)*OFFSET('Encargos e Benefícios'!$D$5,1,MATCH($B35,'Encargos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18675.048538440024</v>
      </c>
      <c r="T35" s="188">
        <f t="array" aca="1" ref="T35" ca="1">_xlfn.IFNA(SUM((T$3&gt;='Gastos com Pessoal'!$E$7:$E$506)*(T$3&lt;='Gastos com Pessoal'!$F$7:$F$506)*OFFSET('Encargos e Benefícios'!$D$5,1,MATCH($B35,'Encargos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19765.671373084922</v>
      </c>
      <c r="U35" s="188">
        <f t="array" aca="1" ref="U35" ca="1">_xlfn.IFNA(SUM((U$3&gt;='Gastos com Pessoal'!$E$7:$E$506)*(U$3&lt;='Gastos com Pessoal'!$F$7:$F$506)*OFFSET('Encargos e Benefícios'!$D$5,1,MATCH($B35,'Encargos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19765.671373084922</v>
      </c>
      <c r="V35" s="188">
        <f t="array" aca="1" ref="V35" ca="1">_xlfn.IFNA(SUM((V$3&gt;='Gastos com Pessoal'!$E$7:$E$506)*(V$3&lt;='Gastos com Pessoal'!$F$7:$F$506)*OFFSET('Encargos e Benefícios'!$D$5,1,MATCH($B35,'Encargos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19765.671373084922</v>
      </c>
      <c r="W35" s="188">
        <f t="array" aca="1" ref="W35" ca="1">_xlfn.IFNA(SUM((W$3&gt;='Gastos com Pessoal'!$E$7:$E$506)*(W$3&lt;='Gastos com Pessoal'!$F$7:$F$506)*OFFSET('Encargos e Benefícios'!$D$5,1,MATCH($B35,'Encargos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19765.671373084922</v>
      </c>
      <c r="X35" s="188">
        <f t="array" aca="1" ref="X35" ca="1">_xlfn.IFNA(SUM((X$3&gt;='Gastos com Pessoal'!$E$7:$E$506)*(X$3&lt;='Gastos com Pessoal'!$F$7:$F$506)*OFFSET('Encargos e Benefícios'!$D$5,1,MATCH($B35,'Encargos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19765.671373084922</v>
      </c>
      <c r="Y35" s="188">
        <f t="array" aca="1" ref="Y35" ca="1">_xlfn.IFNA(SUM((Y$3&gt;='Gastos com Pessoal'!$E$7:$E$506)*(Y$3&lt;='Gastos com Pessoal'!$F$7:$F$506)*OFFSET('Encargos e Benefícios'!$D$5,1,MATCH($B35,'Encargos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19765.671373084922</v>
      </c>
      <c r="Z35" s="188">
        <f t="array" aca="1" ref="Z35" ca="1">_xlfn.IFNA(SUM((Z$3&gt;='Gastos com Pessoal'!$E$7:$E$506)*(Z$3&lt;='Gastos com Pessoal'!$F$7:$F$506)*OFFSET('Encargos e Benefícios'!$D$5,1,MATCH($B35,'Encargos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19765.671373084922</v>
      </c>
      <c r="AA35" s="188">
        <f t="array" aca="1" ref="AA35" ca="1">_xlfn.IFNA(SUM((AA$3&gt;='Gastos com Pessoal'!$E$7:$E$506)*(AA$3&lt;='Gastos com Pessoal'!$F$7:$F$506)*OFFSET('Encargos e Benefícios'!$D$5,1,MATCH($B35,'Encargos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19765.671373084922</v>
      </c>
      <c r="AB35" s="188">
        <f t="array" aca="1" ref="AB35" ca="1">_xlfn.IFNA(SUM((AB$3&gt;='Gastos com Pessoal'!$E$7:$E$506)*(AB$3&lt;='Gastos com Pessoal'!$F$7:$F$506)*OFFSET('Encargos e Benefícios'!$D$5,1,MATCH($B35,'Encargos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19765.671373084922</v>
      </c>
      <c r="AC35" s="188">
        <f t="array" aca="1" ref="AC35" ca="1">_xlfn.IFNA(SUM((AC$3&gt;='Gastos com Pessoal'!$E$7:$E$506)*(AC$3&lt;='Gastos com Pessoal'!$F$7:$F$506)*OFFSET('Encargos e Benefícios'!$D$5,1,MATCH($B35,'Encargos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19765.671373084922</v>
      </c>
      <c r="AD35" s="188">
        <f t="array" aca="1" ref="AD35" ca="1">_xlfn.IFNA(SUM((AD$3&gt;='Gastos com Pessoal'!$E$7:$E$506)*(AD$3&lt;='Gastos com Pessoal'!$F$7:$F$506)*OFFSET('Encargos e Benefícios'!$D$5,1,MATCH($B35,'Encargos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19765.671373084922</v>
      </c>
      <c r="AE35" s="188">
        <f t="array" aca="1" ref="AE35" ca="1">_xlfn.IFNA(SUM((AE$3&gt;='Gastos com Pessoal'!$E$7:$E$506)*(AE$3&lt;='Gastos com Pessoal'!$F$7:$F$506)*OFFSET('Encargos e Benefícios'!$D$5,1,MATCH($B35,'Encargos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19765.671373084922</v>
      </c>
      <c r="AF35" s="188">
        <f t="array" aca="1" ref="AF35" ca="1">_xlfn.IFNA(SUM((AF$3&gt;='Gastos com Pessoal'!$E$7:$E$506)*(AF$3&lt;='Gastos com Pessoal'!$F$7:$F$506)*OFFSET('Encargos e Benefícios'!$D$5,1,MATCH($B35,'Encargos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20919.986581273082</v>
      </c>
      <c r="AG35" s="188">
        <f t="array" aca="1" ref="AG35" ca="1">_xlfn.IFNA(SUM((AG$3&gt;='Gastos com Pessoal'!$E$7:$E$506)*(AG$3&lt;='Gastos com Pessoal'!$F$7:$F$506)*OFFSET('Encargos e Benefícios'!$D$5,1,MATCH($B35,'Encargos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20919.986581273082</v>
      </c>
      <c r="AH35" s="188">
        <f t="array" aca="1" ref="AH35" ca="1">_xlfn.IFNA(SUM((AH$3&gt;='Gastos com Pessoal'!$E$7:$E$506)*(AH$3&lt;='Gastos com Pessoal'!$F$7:$F$506)*OFFSET('Encargos e Benefícios'!$D$5,1,MATCH($B35,'Encargos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20919.986581273082</v>
      </c>
      <c r="AI35" s="188">
        <f t="array" aca="1" ref="AI35" ca="1">_xlfn.IFNA(SUM((AI$3&gt;='Gastos com Pessoal'!$E$7:$E$506)*(AI$3&lt;='Gastos com Pessoal'!$F$7:$F$506)*OFFSET('Encargos e Benefícios'!$D$5,1,MATCH($B35,'Encargos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20919.986581273082</v>
      </c>
      <c r="AJ35" s="188">
        <f t="array" aca="1" ref="AJ35" ca="1">_xlfn.IFNA(SUM((AJ$3&gt;='Gastos com Pessoal'!$E$7:$E$506)*(AJ$3&lt;='Gastos com Pessoal'!$F$7:$F$506)*OFFSET('Encargos e Benefícios'!$D$5,1,MATCH($B35,'Encargos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20919.986581273082</v>
      </c>
      <c r="AK35" s="188">
        <f t="array" aca="1" ref="AK35" ca="1">_xlfn.IFNA(SUM((AK$3&gt;='Gastos com Pessoal'!$E$7:$E$506)*(AK$3&lt;='Gastos com Pessoal'!$F$7:$F$506)*OFFSET('Encargos e Benefícios'!$D$5,1,MATCH($B35,'Encargos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20919.986581273082</v>
      </c>
      <c r="AL35" s="188">
        <f t="array" aca="1" ref="AL35" ca="1">_xlfn.IFNA(SUM((AL$3&gt;='Gastos com Pessoal'!$E$7:$E$506)*(AL$3&lt;='Gastos com Pessoal'!$F$7:$F$506)*OFFSET('Encargos e Benefícios'!$D$5,1,MATCH($B35,'Encargos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20919.986581273082</v>
      </c>
      <c r="AM35" s="188">
        <f t="array" aca="1" ref="AM35" ca="1">_xlfn.IFNA(SUM((AM$3&gt;='Gastos com Pessoal'!$E$7:$E$506)*(AM$3&lt;='Gastos com Pessoal'!$F$7:$F$506)*OFFSET('Encargos e Benefícios'!$D$5,1,MATCH($B35,'Encargos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20919.986581273082</v>
      </c>
      <c r="AN35" s="188">
        <f t="array" aca="1" ref="AN35" ca="1">_xlfn.IFNA(SUM((AN$3&gt;='Gastos com Pessoal'!$E$7:$E$506)*(AN$3&lt;='Gastos com Pessoal'!$F$7:$F$506)*OFFSET('Encargos e Benefícios'!$D$5,1,MATCH($B35,'Encargos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20919.986581273082</v>
      </c>
      <c r="AO35" s="188">
        <f t="array" aca="1" ref="AO35" ca="1">_xlfn.IFNA(SUM((AO$3&gt;='Gastos com Pessoal'!$E$7:$E$506)*(AO$3&lt;='Gastos com Pessoal'!$F$7:$F$506)*OFFSET('Encargos e Benefícios'!$D$5,1,MATCH($B35,'Encargos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20919.986581273082</v>
      </c>
      <c r="AP35" s="188">
        <f t="array" aca="1" ref="AP35" ca="1">_xlfn.IFNA(SUM((AP$3&gt;='Gastos com Pessoal'!$E$7:$E$506)*(AP$3&lt;='Gastos com Pessoal'!$F$7:$F$506)*OFFSET('Encargos e Benefícios'!$D$5,1,MATCH($B35,'Encargos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20919.986581273082</v>
      </c>
      <c r="AQ35" s="188">
        <f t="array" aca="1" ref="AQ35" ca="1">_xlfn.IFNA(SUM((AQ$3&gt;='Gastos com Pessoal'!$E$7:$E$506)*(AQ$3&lt;='Gastos com Pessoal'!$F$7:$F$506)*OFFSET('Encargos e Benefícios'!$D$5,1,MATCH($B35,'Encargos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20919.986581273082</v>
      </c>
      <c r="AR35" s="188">
        <f t="array" aca="1" ref="AR35" ca="1">_xlfn.IFNA(SUM((AR$3&gt;='Gastos com Pessoal'!$E$7:$E$506)*(AR$3&lt;='Gastos com Pessoal'!$F$7:$F$506)*OFFSET('Encargos e Benefícios'!$D$5,1,MATCH($B35,'Encargos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22141.713797619432</v>
      </c>
      <c r="AS35" s="188">
        <f t="array" aca="1" ref="AS35" ca="1">_xlfn.IFNA(SUM((AS$3&gt;='Gastos com Pessoal'!$E$7:$E$506)*(AS$3&lt;='Gastos com Pessoal'!$F$7:$F$506)*OFFSET('Encargos e Benefícios'!$D$5,1,MATCH($B35,'Encargos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22141.713797619432</v>
      </c>
      <c r="AT35" s="188">
        <f t="array" aca="1" ref="AT35" ca="1">_xlfn.IFNA(SUM((AT$3&gt;='Gastos com Pessoal'!$E$7:$E$506)*(AT$3&lt;='Gastos com Pessoal'!$F$7:$F$506)*OFFSET('Encargos e Benefícios'!$D$5,1,MATCH($B35,'Encargos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22141.713797619432</v>
      </c>
      <c r="AU35" s="188">
        <f t="array" aca="1" ref="AU35" ca="1">_xlfn.IFNA(SUM((AU$3&gt;='Gastos com Pessoal'!$E$7:$E$506)*(AU$3&lt;='Gastos com Pessoal'!$F$7:$F$506)*OFFSET('Encargos e Benefícios'!$D$5,1,MATCH($B35,'Encargos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22141.713797619432</v>
      </c>
      <c r="AV35" s="188">
        <f t="array" aca="1" ref="AV35" ca="1">_xlfn.IFNA(SUM((AV$3&gt;='Gastos com Pessoal'!$E$7:$E$506)*(AV$3&lt;='Gastos com Pessoal'!$F$7:$F$506)*OFFSET('Encargos e Benefícios'!$D$5,1,MATCH($B35,'Encargos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22141.713797619432</v>
      </c>
      <c r="AW35" s="188">
        <f t="array" aca="1" ref="AW35" ca="1">_xlfn.IFNA(SUM((AW$3&gt;='Gastos com Pessoal'!$E$7:$E$506)*(AW$3&lt;='Gastos com Pessoal'!$F$7:$F$506)*OFFSET('Encargos e Benefícios'!$D$5,1,MATCH($B35,'Encargos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22141.713797619432</v>
      </c>
      <c r="AX35" s="188">
        <f t="array" aca="1" ref="AX35" ca="1">_xlfn.IFNA(SUM((AX$3&gt;='Gastos com Pessoal'!$E$7:$E$506)*(AX$3&lt;='Gastos com Pessoal'!$F$7:$F$506)*OFFSET('Encargos e Benefícios'!$D$5,1,MATCH($B35,'Encargos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22141.713797619432</v>
      </c>
      <c r="AY35" s="188">
        <f t="array" aca="1" ref="AY35" ca="1">_xlfn.IFNA(SUM((AY$3&gt;='Gastos com Pessoal'!$E$7:$E$506)*(AY$3&lt;='Gastos com Pessoal'!$F$7:$F$506)*OFFSET('Encargos e Benefícios'!$D$5,1,MATCH($B35,'Encargos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22141.713797619432</v>
      </c>
      <c r="AZ35" s="188">
        <f t="array" aca="1" ref="AZ35" ca="1">_xlfn.IFNA(SUM((AZ$3&gt;='Gastos com Pessoal'!$E$7:$E$506)*(AZ$3&lt;='Gastos com Pessoal'!$F$7:$F$506)*OFFSET('Encargos e Benefícios'!$D$5,1,MATCH($B35,'Encargos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22141.713797619432</v>
      </c>
      <c r="BA35" s="188">
        <f t="array" aca="1" ref="BA35" ca="1">_xlfn.IFNA(SUM((BA$3&gt;='Gastos com Pessoal'!$E$7:$E$506)*(BA$3&lt;='Gastos com Pessoal'!$F$7:$F$506)*OFFSET('Encargos e Benefícios'!$D$5,1,MATCH($B35,'Encargos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22141.713797619432</v>
      </c>
      <c r="BB35" s="188">
        <f t="array" aca="1" ref="BB35" ca="1">_xlfn.IFNA(SUM((BB$3&gt;='Gastos com Pessoal'!$E$7:$E$506)*(BB$3&lt;='Gastos com Pessoal'!$F$7:$F$506)*OFFSET('Encargos e Benefícios'!$D$5,1,MATCH($B35,'Encargos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22141.713797619432</v>
      </c>
      <c r="BC35" s="188">
        <f t="array" aca="1" ref="BC35" ca="1">_xlfn.IFNA(SUM((BC$3&gt;='Gastos com Pessoal'!$E$7:$E$506)*(BC$3&lt;='Gastos com Pessoal'!$F$7:$F$506)*OFFSET('Encargos e Benefícios'!$D$5,1,MATCH($B35,'Encargos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22141.713797619432</v>
      </c>
      <c r="BD35" s="188">
        <f t="array" aca="1" ref="BD35" ca="1">_xlfn.IFNA(SUM((BD$3&gt;='Gastos com Pessoal'!$E$7:$E$506)*(BD$3&lt;='Gastos com Pessoal'!$F$7:$F$506)*OFFSET('Encargos e Benefícios'!$D$5,1,MATCH($B35,'Encargos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23434.789883400408</v>
      </c>
      <c r="BE35" s="188">
        <f t="array" aca="1" ref="BE35" ca="1">_xlfn.IFNA(SUM((BE$3&gt;='Gastos com Pessoal'!$E$7:$E$506)*(BE$3&lt;='Gastos com Pessoal'!$F$7:$F$506)*OFFSET('Encargos e Benefícios'!$D$5,1,MATCH($B35,'Encargos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23434.789883400408</v>
      </c>
      <c r="BF35" s="188">
        <f t="array" aca="1" ref="BF35" ca="1">_xlfn.IFNA(SUM((BF$3&gt;='Gastos com Pessoal'!$E$7:$E$506)*(BF$3&lt;='Gastos com Pessoal'!$F$7:$F$506)*OFFSET('Encargos e Benefícios'!$D$5,1,MATCH($B35,'Encargos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23434.789883400408</v>
      </c>
      <c r="BG35" s="188">
        <f t="array" aca="1" ref="BG35" ca="1">_xlfn.IFNA(SUM((BG$3&gt;='Gastos com Pessoal'!$E$7:$E$506)*(BG$3&lt;='Gastos com Pessoal'!$F$7:$F$506)*OFFSET('Encargos e Benefícios'!$D$5,1,MATCH($B35,'Encargos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23434.789883400408</v>
      </c>
      <c r="BH35" s="188">
        <f t="array" aca="1" ref="BH35" ca="1">_xlfn.IFNA(SUM((BH$3&gt;='Gastos com Pessoal'!$E$7:$E$506)*(BH$3&lt;='Gastos com Pessoal'!$F$7:$F$506)*OFFSET('Encargos e Benefícios'!$D$5,1,MATCH($B35,'Encargos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23434.789883400408</v>
      </c>
      <c r="BI35" s="188">
        <f t="array" aca="1" ref="BI35" ca="1">_xlfn.IFNA(SUM((BI$3&gt;='Gastos com Pessoal'!$E$7:$E$506)*(BI$3&lt;='Gastos com Pessoal'!$F$7:$F$506)*OFFSET('Encargos e Benefícios'!$D$5,1,MATCH($B35,'Encargos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23434.789883400408</v>
      </c>
      <c r="BJ35" s="188">
        <f t="array" aca="1" ref="BJ35" ca="1">_xlfn.IFNA(SUM((BJ$3&gt;='Gastos com Pessoal'!$E$7:$E$506)*(BJ$3&lt;='Gastos com Pessoal'!$F$7:$F$506)*OFFSET('Encargos e Benefícios'!$D$5,1,MATCH($B35,'Encargos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23434.789883400408</v>
      </c>
      <c r="BK35" s="189">
        <f t="shared" ca="1" si="22"/>
        <v>1194436.198636323</v>
      </c>
      <c r="BL35" s="136">
        <f t="shared" ca="1" si="23"/>
        <v>3.5699366623116002E-3</v>
      </c>
      <c r="BN35" s="188">
        <f t="array" aca="1" ref="BN35" ca="1">_xlfn.IFNA(SUM((BN$3&gt;='Gastos com Pessoal'!$E$7:$E$506)*(BN$3&lt;='Gastos com Pessoal'!$F$7:$F$506)*OFFSET('Encargos e Benefícios'!$D$5,1,MATCH($B35,'Encargos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13975.739750000022</v>
      </c>
    </row>
    <row r="36" spans="1:66" s="160" customFormat="1" ht="23.25" customHeight="1">
      <c r="A36" s="198" t="s">
        <v>157</v>
      </c>
      <c r="B36" s="81" t="s">
        <v>158</v>
      </c>
      <c r="C36" s="188">
        <f t="shared" ca="1" si="21"/>
        <v>33541.775400000057</v>
      </c>
      <c r="D36" s="188">
        <f t="array" aca="1" ref="D36" ca="1">_xlfn.IFNA(SUM((D$3&gt;='Gastos com Pessoal'!$E$7:$E$506)*(D$3&lt;='Gastos com Pessoal'!$F$7:$F$506)*OFFSET('Encargos e Benefícios'!$D$5,1,MATCH($B36,'Encargos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120193.83608888907</v>
      </c>
      <c r="E36" s="188">
        <f t="array" aca="1" ref="E36" ca="1">_xlfn.IFNA(SUM((E$3&gt;='Gastos com Pessoal'!$E$7:$E$506)*(E$3&lt;='Gastos com Pessoal'!$F$7:$F$506)*OFFSET('Encargos e Benefícios'!$D$5,1,MATCH($B36,'Encargos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126481.37373333354</v>
      </c>
      <c r="F36" s="188">
        <f t="array" aca="1" ref="F36" ca="1">_xlfn.IFNA(SUM((F$3&gt;='Gastos com Pessoal'!$E$7:$E$506)*(F$3&lt;='Gastos com Pessoal'!$F$7:$F$506)*OFFSET('Encargos e Benefícios'!$D$5,1,MATCH($B36,'Encargos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126481.37373333354</v>
      </c>
      <c r="G36" s="188">
        <f t="array" aca="1" ref="G36" ca="1">_xlfn.IFNA(SUM((G$3&gt;='Gastos com Pessoal'!$E$7:$E$506)*(G$3&lt;='Gastos com Pessoal'!$F$7:$F$506)*OFFSET('Encargos e Benefícios'!$D$5,1,MATCH($B36,'Encargos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126481.37373333354</v>
      </c>
      <c r="H36" s="188">
        <f t="array" aca="1" ref="H36" ca="1">_xlfn.IFNA(SUM((H$3&gt;='Gastos com Pessoal'!$E$7:$E$506)*(H$3&lt;='Gastos com Pessoal'!$F$7:$F$506)*OFFSET('Encargos e Benefícios'!$D$5,1,MATCH($B36,'Encargos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133867.88595936022</v>
      </c>
      <c r="I36" s="188">
        <f t="array" aca="1" ref="I36" ca="1">_xlfn.IFNA(SUM((I$3&gt;='Gastos com Pessoal'!$E$7:$E$506)*(I$3&lt;='Gastos com Pessoal'!$F$7:$F$506)*OFFSET('Encargos e Benefícios'!$D$5,1,MATCH($B36,'Encargos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133867.88595936022</v>
      </c>
      <c r="J36" s="188">
        <f t="array" aca="1" ref="J36" ca="1">_xlfn.IFNA(SUM((J$3&gt;='Gastos com Pessoal'!$E$7:$E$506)*(J$3&lt;='Gastos com Pessoal'!$F$7:$F$506)*OFFSET('Encargos e Benefícios'!$D$5,1,MATCH($B36,'Encargos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133867.88595936022</v>
      </c>
      <c r="K36" s="188">
        <f t="array" aca="1" ref="K36" ca="1">_xlfn.IFNA(SUM((K$3&gt;='Gastos com Pessoal'!$E$7:$E$506)*(K$3&lt;='Gastos com Pessoal'!$F$7:$F$506)*OFFSET('Encargos e Benefícios'!$D$5,1,MATCH($B36,'Encargos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133867.88595936022</v>
      </c>
      <c r="L36" s="188">
        <f t="array" aca="1" ref="L36" ca="1">_xlfn.IFNA(SUM((L$3&gt;='Gastos com Pessoal'!$E$7:$E$506)*(L$3&lt;='Gastos com Pessoal'!$F$7:$F$506)*OFFSET('Encargos e Benefícios'!$D$5,1,MATCH($B36,'Encargos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133867.88595936022</v>
      </c>
      <c r="M36" s="188">
        <f t="array" aca="1" ref="M36" ca="1">_xlfn.IFNA(SUM((M$3&gt;='Gastos com Pessoal'!$E$7:$E$506)*(M$3&lt;='Gastos com Pessoal'!$F$7:$F$506)*OFFSET('Encargos e Benefícios'!$D$5,1,MATCH($B36,'Encargos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134979.40729056022</v>
      </c>
      <c r="N36" s="188">
        <f t="array" aca="1" ref="N36" ca="1">_xlfn.IFNA(SUM((N$3&gt;='Gastos com Pessoal'!$E$7:$E$506)*(N$3&lt;='Gastos com Pessoal'!$F$7:$F$506)*OFFSET('Encargos e Benefícios'!$D$5,1,MATCH($B36,'Encargos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141634.13713344024</v>
      </c>
      <c r="O36" s="188">
        <f t="array" aca="1" ref="O36" ca="1">_xlfn.IFNA(SUM((O$3&gt;='Gastos com Pessoal'!$E$7:$E$506)*(O$3&lt;='Gastos com Pessoal'!$F$7:$F$506)*OFFSET('Encargos e Benefícios'!$D$5,1,MATCH($B36,'Encargos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141634.13713344024</v>
      </c>
      <c r="P36" s="188">
        <f t="array" aca="1" ref="P36" ca="1">_xlfn.IFNA(SUM((P$3&gt;='Gastos com Pessoal'!$E$7:$E$506)*(P$3&lt;='Gastos com Pessoal'!$F$7:$F$506)*OFFSET('Encargos e Benefícios'!$D$5,1,MATCH($B36,'Encargos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142745.65846464023</v>
      </c>
      <c r="Q36" s="188">
        <f t="array" aca="1" ref="Q36" ca="1">_xlfn.IFNA(SUM((Q$3&gt;='Gastos com Pessoal'!$E$7:$E$506)*(Q$3&lt;='Gastos com Pessoal'!$F$7:$F$506)*OFFSET('Encargos e Benefícios'!$D$5,1,MATCH($B36,'Encargos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149400.38830752019</v>
      </c>
      <c r="R36" s="188">
        <f t="array" aca="1" ref="R36" ca="1">_xlfn.IFNA(SUM((R$3&gt;='Gastos com Pessoal'!$E$7:$E$506)*(R$3&lt;='Gastos com Pessoal'!$F$7:$F$506)*OFFSET('Encargos e Benefícios'!$D$5,1,MATCH($B36,'Encargos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149400.38830752019</v>
      </c>
      <c r="S36" s="188">
        <f t="array" aca="1" ref="S36" ca="1">_xlfn.IFNA(SUM((S$3&gt;='Gastos com Pessoal'!$E$7:$E$506)*(S$3&lt;='Gastos com Pessoal'!$F$7:$F$506)*OFFSET('Encargos e Benefícios'!$D$5,1,MATCH($B36,'Encargos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149400.38830752019</v>
      </c>
      <c r="T36" s="188">
        <f t="array" aca="1" ref="T36" ca="1">_xlfn.IFNA(SUM((T$3&gt;='Gastos com Pessoal'!$E$7:$E$506)*(T$3&lt;='Gastos com Pessoal'!$F$7:$F$506)*OFFSET('Encargos e Benefícios'!$D$5,1,MATCH($B36,'Encargos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158125.37098467938</v>
      </c>
      <c r="U36" s="188">
        <f t="array" aca="1" ref="U36" ca="1">_xlfn.IFNA(SUM((U$3&gt;='Gastos com Pessoal'!$E$7:$E$506)*(U$3&lt;='Gastos com Pessoal'!$F$7:$F$506)*OFFSET('Encargos e Benefícios'!$D$5,1,MATCH($B36,'Encargos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158125.37098467938</v>
      </c>
      <c r="V36" s="188">
        <f t="array" aca="1" ref="V36" ca="1">_xlfn.IFNA(SUM((V$3&gt;='Gastos com Pessoal'!$E$7:$E$506)*(V$3&lt;='Gastos com Pessoal'!$F$7:$F$506)*OFFSET('Encargos e Benefícios'!$D$5,1,MATCH($B36,'Encargos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158125.37098467938</v>
      </c>
      <c r="W36" s="188">
        <f t="array" aca="1" ref="W36" ca="1">_xlfn.IFNA(SUM((W$3&gt;='Gastos com Pessoal'!$E$7:$E$506)*(W$3&lt;='Gastos com Pessoal'!$F$7:$F$506)*OFFSET('Encargos e Benefícios'!$D$5,1,MATCH($B36,'Encargos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158125.37098467938</v>
      </c>
      <c r="X36" s="188">
        <f t="array" aca="1" ref="X36" ca="1">_xlfn.IFNA(SUM((X$3&gt;='Gastos com Pessoal'!$E$7:$E$506)*(X$3&lt;='Gastos com Pessoal'!$F$7:$F$506)*OFFSET('Encargos e Benefícios'!$D$5,1,MATCH($B36,'Encargos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158125.37098467938</v>
      </c>
      <c r="Y36" s="188">
        <f t="array" aca="1" ref="Y36" ca="1">_xlfn.IFNA(SUM((Y$3&gt;='Gastos com Pessoal'!$E$7:$E$506)*(Y$3&lt;='Gastos com Pessoal'!$F$7:$F$506)*OFFSET('Encargos e Benefícios'!$D$5,1,MATCH($B36,'Encargos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158125.37098467938</v>
      </c>
      <c r="Z36" s="188">
        <f t="array" aca="1" ref="Z36" ca="1">_xlfn.IFNA(SUM((Z$3&gt;='Gastos com Pessoal'!$E$7:$E$506)*(Z$3&lt;='Gastos com Pessoal'!$F$7:$F$506)*OFFSET('Encargos e Benefícios'!$D$5,1,MATCH($B36,'Encargos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158125.37098467938</v>
      </c>
      <c r="AA36" s="188">
        <f t="array" aca="1" ref="AA36" ca="1">_xlfn.IFNA(SUM((AA$3&gt;='Gastos com Pessoal'!$E$7:$E$506)*(AA$3&lt;='Gastos com Pessoal'!$F$7:$F$506)*OFFSET('Encargos e Benefícios'!$D$5,1,MATCH($B36,'Encargos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158125.37098467938</v>
      </c>
      <c r="AB36" s="188">
        <f t="array" aca="1" ref="AB36" ca="1">_xlfn.IFNA(SUM((AB$3&gt;='Gastos com Pessoal'!$E$7:$E$506)*(AB$3&lt;='Gastos com Pessoal'!$F$7:$F$506)*OFFSET('Encargos e Benefícios'!$D$5,1,MATCH($B36,'Encargos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158125.37098467938</v>
      </c>
      <c r="AC36" s="188">
        <f t="array" aca="1" ref="AC36" ca="1">_xlfn.IFNA(SUM((AC$3&gt;='Gastos com Pessoal'!$E$7:$E$506)*(AC$3&lt;='Gastos com Pessoal'!$F$7:$F$506)*OFFSET('Encargos e Benefícios'!$D$5,1,MATCH($B36,'Encargos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158125.37098467938</v>
      </c>
      <c r="AD36" s="188">
        <f t="array" aca="1" ref="AD36" ca="1">_xlfn.IFNA(SUM((AD$3&gt;='Gastos com Pessoal'!$E$7:$E$506)*(AD$3&lt;='Gastos com Pessoal'!$F$7:$F$506)*OFFSET('Encargos e Benefícios'!$D$5,1,MATCH($B36,'Encargos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158125.37098467938</v>
      </c>
      <c r="AE36" s="188">
        <f t="array" aca="1" ref="AE36" ca="1">_xlfn.IFNA(SUM((AE$3&gt;='Gastos com Pessoal'!$E$7:$E$506)*(AE$3&lt;='Gastos com Pessoal'!$F$7:$F$506)*OFFSET('Encargos e Benefícios'!$D$5,1,MATCH($B36,'Encargos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158125.37098467938</v>
      </c>
      <c r="AF36" s="188">
        <f t="array" aca="1" ref="AF36" ca="1">_xlfn.IFNA(SUM((AF$3&gt;='Gastos com Pessoal'!$E$7:$E$506)*(AF$3&lt;='Gastos com Pessoal'!$F$7:$F$506)*OFFSET('Encargos e Benefícios'!$D$5,1,MATCH($B36,'Encargos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167359.89265018466</v>
      </c>
      <c r="AG36" s="188">
        <f t="array" aca="1" ref="AG36" ca="1">_xlfn.IFNA(SUM((AG$3&gt;='Gastos com Pessoal'!$E$7:$E$506)*(AG$3&lt;='Gastos com Pessoal'!$F$7:$F$506)*OFFSET('Encargos e Benefícios'!$D$5,1,MATCH($B36,'Encargos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167359.89265018466</v>
      </c>
      <c r="AH36" s="188">
        <f t="array" aca="1" ref="AH36" ca="1">_xlfn.IFNA(SUM((AH$3&gt;='Gastos com Pessoal'!$E$7:$E$506)*(AH$3&lt;='Gastos com Pessoal'!$F$7:$F$506)*OFFSET('Encargos e Benefícios'!$D$5,1,MATCH($B36,'Encargos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167359.89265018466</v>
      </c>
      <c r="AI36" s="188">
        <f t="array" aca="1" ref="AI36" ca="1">_xlfn.IFNA(SUM((AI$3&gt;='Gastos com Pessoal'!$E$7:$E$506)*(AI$3&lt;='Gastos com Pessoal'!$F$7:$F$506)*OFFSET('Encargos e Benefícios'!$D$5,1,MATCH($B36,'Encargos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167359.89265018466</v>
      </c>
      <c r="AJ36" s="188">
        <f t="array" aca="1" ref="AJ36" ca="1">_xlfn.IFNA(SUM((AJ$3&gt;='Gastos com Pessoal'!$E$7:$E$506)*(AJ$3&lt;='Gastos com Pessoal'!$F$7:$F$506)*OFFSET('Encargos e Benefícios'!$D$5,1,MATCH($B36,'Encargos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167359.89265018466</v>
      </c>
      <c r="AK36" s="188">
        <f t="array" aca="1" ref="AK36" ca="1">_xlfn.IFNA(SUM((AK$3&gt;='Gastos com Pessoal'!$E$7:$E$506)*(AK$3&lt;='Gastos com Pessoal'!$F$7:$F$506)*OFFSET('Encargos e Benefícios'!$D$5,1,MATCH($B36,'Encargos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167359.89265018466</v>
      </c>
      <c r="AL36" s="188">
        <f t="array" aca="1" ref="AL36" ca="1">_xlfn.IFNA(SUM((AL$3&gt;='Gastos com Pessoal'!$E$7:$E$506)*(AL$3&lt;='Gastos com Pessoal'!$F$7:$F$506)*OFFSET('Encargos e Benefícios'!$D$5,1,MATCH($B36,'Encargos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167359.89265018466</v>
      </c>
      <c r="AM36" s="188">
        <f t="array" aca="1" ref="AM36" ca="1">_xlfn.IFNA(SUM((AM$3&gt;='Gastos com Pessoal'!$E$7:$E$506)*(AM$3&lt;='Gastos com Pessoal'!$F$7:$F$506)*OFFSET('Encargos e Benefícios'!$D$5,1,MATCH($B36,'Encargos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167359.89265018466</v>
      </c>
      <c r="AN36" s="188">
        <f t="array" aca="1" ref="AN36" ca="1">_xlfn.IFNA(SUM((AN$3&gt;='Gastos com Pessoal'!$E$7:$E$506)*(AN$3&lt;='Gastos com Pessoal'!$F$7:$F$506)*OFFSET('Encargos e Benefícios'!$D$5,1,MATCH($B36,'Encargos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167359.89265018466</v>
      </c>
      <c r="AO36" s="188">
        <f t="array" aca="1" ref="AO36" ca="1">_xlfn.IFNA(SUM((AO$3&gt;='Gastos com Pessoal'!$E$7:$E$506)*(AO$3&lt;='Gastos com Pessoal'!$F$7:$F$506)*OFFSET('Encargos e Benefícios'!$D$5,1,MATCH($B36,'Encargos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167359.89265018466</v>
      </c>
      <c r="AP36" s="188">
        <f t="array" aca="1" ref="AP36" ca="1">_xlfn.IFNA(SUM((AP$3&gt;='Gastos com Pessoal'!$E$7:$E$506)*(AP$3&lt;='Gastos com Pessoal'!$F$7:$F$506)*OFFSET('Encargos e Benefícios'!$D$5,1,MATCH($B36,'Encargos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167359.89265018466</v>
      </c>
      <c r="AQ36" s="188">
        <f t="array" aca="1" ref="AQ36" ca="1">_xlfn.IFNA(SUM((AQ$3&gt;='Gastos com Pessoal'!$E$7:$E$506)*(AQ$3&lt;='Gastos com Pessoal'!$F$7:$F$506)*OFFSET('Encargos e Benefícios'!$D$5,1,MATCH($B36,'Encargos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167359.89265018466</v>
      </c>
      <c r="AR36" s="188">
        <f t="array" aca="1" ref="AR36" ca="1">_xlfn.IFNA(SUM((AR$3&gt;='Gastos com Pessoal'!$E$7:$E$506)*(AR$3&lt;='Gastos com Pessoal'!$F$7:$F$506)*OFFSET('Encargos e Benefícios'!$D$5,1,MATCH($B36,'Encargos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177133.71038095545</v>
      </c>
      <c r="AS36" s="188">
        <f t="array" aca="1" ref="AS36" ca="1">_xlfn.IFNA(SUM((AS$3&gt;='Gastos com Pessoal'!$E$7:$E$506)*(AS$3&lt;='Gastos com Pessoal'!$F$7:$F$506)*OFFSET('Encargos e Benefícios'!$D$5,1,MATCH($B36,'Encargos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177133.71038095545</v>
      </c>
      <c r="AT36" s="188">
        <f t="array" aca="1" ref="AT36" ca="1">_xlfn.IFNA(SUM((AT$3&gt;='Gastos com Pessoal'!$E$7:$E$506)*(AT$3&lt;='Gastos com Pessoal'!$F$7:$F$506)*OFFSET('Encargos e Benefícios'!$D$5,1,MATCH($B36,'Encargos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177133.71038095545</v>
      </c>
      <c r="AU36" s="188">
        <f t="array" aca="1" ref="AU36" ca="1">_xlfn.IFNA(SUM((AU$3&gt;='Gastos com Pessoal'!$E$7:$E$506)*(AU$3&lt;='Gastos com Pessoal'!$F$7:$F$506)*OFFSET('Encargos e Benefícios'!$D$5,1,MATCH($B36,'Encargos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177133.71038095545</v>
      </c>
      <c r="AV36" s="188">
        <f t="array" aca="1" ref="AV36" ca="1">_xlfn.IFNA(SUM((AV$3&gt;='Gastos com Pessoal'!$E$7:$E$506)*(AV$3&lt;='Gastos com Pessoal'!$F$7:$F$506)*OFFSET('Encargos e Benefícios'!$D$5,1,MATCH($B36,'Encargos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177133.71038095545</v>
      </c>
      <c r="AW36" s="188">
        <f t="array" aca="1" ref="AW36" ca="1">_xlfn.IFNA(SUM((AW$3&gt;='Gastos com Pessoal'!$E$7:$E$506)*(AW$3&lt;='Gastos com Pessoal'!$F$7:$F$506)*OFFSET('Encargos e Benefícios'!$D$5,1,MATCH($B36,'Encargos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177133.71038095545</v>
      </c>
      <c r="AX36" s="188">
        <f t="array" aca="1" ref="AX36" ca="1">_xlfn.IFNA(SUM((AX$3&gt;='Gastos com Pessoal'!$E$7:$E$506)*(AX$3&lt;='Gastos com Pessoal'!$F$7:$F$506)*OFFSET('Encargos e Benefícios'!$D$5,1,MATCH($B36,'Encargos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177133.71038095545</v>
      </c>
      <c r="AY36" s="188">
        <f t="array" aca="1" ref="AY36" ca="1">_xlfn.IFNA(SUM((AY$3&gt;='Gastos com Pessoal'!$E$7:$E$506)*(AY$3&lt;='Gastos com Pessoal'!$F$7:$F$506)*OFFSET('Encargos e Benefícios'!$D$5,1,MATCH($B36,'Encargos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177133.71038095545</v>
      </c>
      <c r="AZ36" s="188">
        <f t="array" aca="1" ref="AZ36" ca="1">_xlfn.IFNA(SUM((AZ$3&gt;='Gastos com Pessoal'!$E$7:$E$506)*(AZ$3&lt;='Gastos com Pessoal'!$F$7:$F$506)*OFFSET('Encargos e Benefícios'!$D$5,1,MATCH($B36,'Encargos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177133.71038095545</v>
      </c>
      <c r="BA36" s="188">
        <f t="array" aca="1" ref="BA36" ca="1">_xlfn.IFNA(SUM((BA$3&gt;='Gastos com Pessoal'!$E$7:$E$506)*(BA$3&lt;='Gastos com Pessoal'!$F$7:$F$506)*OFFSET('Encargos e Benefícios'!$D$5,1,MATCH($B36,'Encargos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177133.71038095545</v>
      </c>
      <c r="BB36" s="188">
        <f t="array" aca="1" ref="BB36" ca="1">_xlfn.IFNA(SUM((BB$3&gt;='Gastos com Pessoal'!$E$7:$E$506)*(BB$3&lt;='Gastos com Pessoal'!$F$7:$F$506)*OFFSET('Encargos e Benefícios'!$D$5,1,MATCH($B36,'Encargos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177133.71038095545</v>
      </c>
      <c r="BC36" s="188">
        <f t="array" aca="1" ref="BC36" ca="1">_xlfn.IFNA(SUM((BC$3&gt;='Gastos com Pessoal'!$E$7:$E$506)*(BC$3&lt;='Gastos com Pessoal'!$F$7:$F$506)*OFFSET('Encargos e Benefícios'!$D$5,1,MATCH($B36,'Encargos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177133.71038095545</v>
      </c>
      <c r="BD36" s="188">
        <f t="array" aca="1" ref="BD36" ca="1">_xlfn.IFNA(SUM((BD$3&gt;='Gastos com Pessoal'!$E$7:$E$506)*(BD$3&lt;='Gastos com Pessoal'!$F$7:$F$506)*OFFSET('Encargos e Benefícios'!$D$5,1,MATCH($B36,'Encargos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187478.31906720327</v>
      </c>
      <c r="BE36" s="188">
        <f t="array" aca="1" ref="BE36" ca="1">_xlfn.IFNA(SUM((BE$3&gt;='Gastos com Pessoal'!$E$7:$E$506)*(BE$3&lt;='Gastos com Pessoal'!$F$7:$F$506)*OFFSET('Encargos e Benefícios'!$D$5,1,MATCH($B36,'Encargos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187478.31906720327</v>
      </c>
      <c r="BF36" s="188">
        <f t="array" aca="1" ref="BF36" ca="1">_xlfn.IFNA(SUM((BF$3&gt;='Gastos com Pessoal'!$E$7:$E$506)*(BF$3&lt;='Gastos com Pessoal'!$F$7:$F$506)*OFFSET('Encargos e Benefícios'!$D$5,1,MATCH($B36,'Encargos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187478.31906720327</v>
      </c>
      <c r="BG36" s="188">
        <f t="array" aca="1" ref="BG36" ca="1">_xlfn.IFNA(SUM((BG$3&gt;='Gastos com Pessoal'!$E$7:$E$506)*(BG$3&lt;='Gastos com Pessoal'!$F$7:$F$506)*OFFSET('Encargos e Benefícios'!$D$5,1,MATCH($B36,'Encargos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187478.31906720327</v>
      </c>
      <c r="BH36" s="188">
        <f t="array" aca="1" ref="BH36" ca="1">_xlfn.IFNA(SUM((BH$3&gt;='Gastos com Pessoal'!$E$7:$E$506)*(BH$3&lt;='Gastos com Pessoal'!$F$7:$F$506)*OFFSET('Encargos e Benefícios'!$D$5,1,MATCH($B36,'Encargos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187478.31906720327</v>
      </c>
      <c r="BI36" s="188">
        <f t="array" aca="1" ref="BI36" ca="1">_xlfn.IFNA(SUM((BI$3&gt;='Gastos com Pessoal'!$E$7:$E$506)*(BI$3&lt;='Gastos com Pessoal'!$F$7:$F$506)*OFFSET('Encargos e Benefícios'!$D$5,1,MATCH($B36,'Encargos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187478.31906720327</v>
      </c>
      <c r="BJ36" s="188">
        <f t="array" aca="1" ref="BJ36" ca="1">_xlfn.IFNA(SUM((BJ$3&gt;='Gastos com Pessoal'!$E$7:$E$506)*(BJ$3&lt;='Gastos com Pessoal'!$F$7:$F$506)*OFFSET('Encargos e Benefícios'!$D$5,1,MATCH($B36,'Encargos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187478.31906720327</v>
      </c>
      <c r="BK36" s="189">
        <f t="shared" ca="1" si="22"/>
        <v>9555489.5890905838</v>
      </c>
      <c r="BL36" s="136">
        <f t="shared" ca="1" si="23"/>
        <v>2.8559493298492802E-2</v>
      </c>
      <c r="BN36" s="188">
        <f t="array" aca="1" ref="BN36" ca="1">_xlfn.IFNA(SUM((BN$3&gt;='Gastos com Pessoal'!$E$7:$E$506)*(BN$3&lt;='Gastos com Pessoal'!$F$7:$F$506)*OFFSET('Encargos e Benefícios'!$D$5,1,MATCH($B36,'Encargos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111805.91800000018</v>
      </c>
    </row>
    <row r="37" spans="1:66" s="160" customFormat="1" ht="23.25" customHeight="1">
      <c r="A37" s="198" t="s">
        <v>159</v>
      </c>
      <c r="B37" s="81" t="s">
        <v>160</v>
      </c>
      <c r="C37" s="188">
        <f t="shared" ca="1" si="21"/>
        <v>17925.887700000025</v>
      </c>
      <c r="D37" s="188">
        <f t="array" aca="1" ref="D37" ca="1">_xlfn.IFNA(SUM((D$3&gt;='Gastos com Pessoal'!$E$7:$E$506)*(D$3&lt;='Gastos com Pessoal'!$F$7:$F$506)*OFFSET('Encargos e Benefícios'!$D$5,1,MATCH($B37,'Encargos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64136.918044444537</v>
      </c>
      <c r="E37" s="188">
        <f t="array" aca="1" ref="E37" ca="1">_xlfn.IFNA(SUM((E$3&gt;='Gastos com Pessoal'!$E$7:$E$506)*(E$3&lt;='Gastos com Pessoal'!$F$7:$F$506)*OFFSET('Encargos e Benefícios'!$D$5,1,MATCH($B37,'Encargos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67470.686866666772</v>
      </c>
      <c r="F37" s="188">
        <f t="array" aca="1" ref="F37" ca="1">_xlfn.IFNA(SUM((F$3&gt;='Gastos com Pessoal'!$E$7:$E$506)*(F$3&lt;='Gastos com Pessoal'!$F$7:$F$506)*OFFSET('Encargos e Benefícios'!$D$5,1,MATCH($B37,'Encargos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67470.686866666772</v>
      </c>
      <c r="G37" s="188">
        <f t="array" aca="1" ref="G37" ca="1">_xlfn.IFNA(SUM((G$3&gt;='Gastos com Pessoal'!$E$7:$E$506)*(G$3&lt;='Gastos com Pessoal'!$F$7:$F$506)*OFFSET('Encargos e Benefícios'!$D$5,1,MATCH($B37,'Encargos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67470.686866666772</v>
      </c>
      <c r="H37" s="188">
        <f t="array" aca="1" ref="H37" ca="1">_xlfn.IFNA(SUM((H$3&gt;='Gastos com Pessoal'!$E$7:$E$506)*(H$3&lt;='Gastos com Pessoal'!$F$7:$F$506)*OFFSET('Encargos e Benefícios'!$D$5,1,MATCH($B37,'Encargos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71410.974979680119</v>
      </c>
      <c r="I37" s="188">
        <f t="array" aca="1" ref="I37" ca="1">_xlfn.IFNA(SUM((I$3&gt;='Gastos com Pessoal'!$E$7:$E$506)*(I$3&lt;='Gastos com Pessoal'!$F$7:$F$506)*OFFSET('Encargos e Benefícios'!$D$5,1,MATCH($B37,'Encargos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71410.974979680119</v>
      </c>
      <c r="J37" s="188">
        <f t="array" aca="1" ref="J37" ca="1">_xlfn.IFNA(SUM((J$3&gt;='Gastos com Pessoal'!$E$7:$E$506)*(J$3&lt;='Gastos com Pessoal'!$F$7:$F$506)*OFFSET('Encargos e Benefícios'!$D$5,1,MATCH($B37,'Encargos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71410.974979680119</v>
      </c>
      <c r="K37" s="188">
        <f t="array" aca="1" ref="K37" ca="1">_xlfn.IFNA(SUM((K$3&gt;='Gastos com Pessoal'!$E$7:$E$506)*(K$3&lt;='Gastos com Pessoal'!$F$7:$F$506)*OFFSET('Encargos e Benefícios'!$D$5,1,MATCH($B37,'Encargos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71410.974979680119</v>
      </c>
      <c r="L37" s="188">
        <f t="array" aca="1" ref="L37" ca="1">_xlfn.IFNA(SUM((L$3&gt;='Gastos com Pessoal'!$E$7:$E$506)*(L$3&lt;='Gastos com Pessoal'!$F$7:$F$506)*OFFSET('Encargos e Benefícios'!$D$5,1,MATCH($B37,'Encargos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71410.974979680119</v>
      </c>
      <c r="M37" s="188">
        <f t="array" aca="1" ref="M37" ca="1">_xlfn.IFNA(SUM((M$3&gt;='Gastos com Pessoal'!$E$7:$E$506)*(M$3&lt;='Gastos com Pessoal'!$F$7:$F$506)*OFFSET('Encargos e Benefícios'!$D$5,1,MATCH($B37,'Encargos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71966.735645280103</v>
      </c>
      <c r="N37" s="188">
        <f t="array" aca="1" ref="N37" ca="1">_xlfn.IFNA(SUM((N$3&gt;='Gastos com Pessoal'!$E$7:$E$506)*(N$3&lt;='Gastos com Pessoal'!$F$7:$F$506)*OFFSET('Encargos e Benefícios'!$D$5,1,MATCH($B37,'Encargos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75495.196566720086</v>
      </c>
      <c r="O37" s="188">
        <f t="array" aca="1" ref="O37" ca="1">_xlfn.IFNA(SUM((O$3&gt;='Gastos com Pessoal'!$E$7:$E$506)*(O$3&lt;='Gastos com Pessoal'!$F$7:$F$506)*OFFSET('Encargos e Benefícios'!$D$5,1,MATCH($B37,'Encargos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75495.196566720086</v>
      </c>
      <c r="P37" s="188">
        <f t="array" aca="1" ref="P37" ca="1">_xlfn.IFNA(SUM((P$3&gt;='Gastos com Pessoal'!$E$7:$E$506)*(P$3&lt;='Gastos com Pessoal'!$F$7:$F$506)*OFFSET('Encargos e Benefícios'!$D$5,1,MATCH($B37,'Encargos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76050.957232320085</v>
      </c>
      <c r="Q37" s="188">
        <f t="array" aca="1" ref="Q37" ca="1">_xlfn.IFNA(SUM((Q$3&gt;='Gastos com Pessoal'!$E$7:$E$506)*(Q$3&lt;='Gastos com Pessoal'!$F$7:$F$506)*OFFSET('Encargos e Benefícios'!$D$5,1,MATCH($B37,'Encargos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79579.418153760067</v>
      </c>
      <c r="R37" s="188">
        <f t="array" aca="1" ref="R37" ca="1">_xlfn.IFNA(SUM((R$3&gt;='Gastos com Pessoal'!$E$7:$E$506)*(R$3&lt;='Gastos com Pessoal'!$F$7:$F$506)*OFFSET('Encargos e Benefícios'!$D$5,1,MATCH($B37,'Encargos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79579.418153760067</v>
      </c>
      <c r="S37" s="188">
        <f t="array" aca="1" ref="S37" ca="1">_xlfn.IFNA(SUM((S$3&gt;='Gastos com Pessoal'!$E$7:$E$506)*(S$3&lt;='Gastos com Pessoal'!$F$7:$F$506)*OFFSET('Encargos e Benefícios'!$D$5,1,MATCH($B37,'Encargos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79579.418153760067</v>
      </c>
      <c r="T37" s="188">
        <f t="array" aca="1" ref="T37" ca="1">_xlfn.IFNA(SUM((T$3&gt;='Gastos com Pessoal'!$E$7:$E$506)*(T$3&lt;='Gastos com Pessoal'!$F$7:$F$506)*OFFSET('Encargos e Benefícios'!$D$5,1,MATCH($B37,'Encargos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84226.856173939654</v>
      </c>
      <c r="U37" s="188">
        <f t="array" aca="1" ref="U37" ca="1">_xlfn.IFNA(SUM((U$3&gt;='Gastos com Pessoal'!$E$7:$E$506)*(U$3&lt;='Gastos com Pessoal'!$F$7:$F$506)*OFFSET('Encargos e Benefícios'!$D$5,1,MATCH($B37,'Encargos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84226.856173939654</v>
      </c>
      <c r="V37" s="188">
        <f t="array" aca="1" ref="V37" ca="1">_xlfn.IFNA(SUM((V$3&gt;='Gastos com Pessoal'!$E$7:$E$506)*(V$3&lt;='Gastos com Pessoal'!$F$7:$F$506)*OFFSET('Encargos e Benefícios'!$D$5,1,MATCH($B37,'Encargos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84226.856173939654</v>
      </c>
      <c r="W37" s="188">
        <f t="array" aca="1" ref="W37" ca="1">_xlfn.IFNA(SUM((W$3&gt;='Gastos com Pessoal'!$E$7:$E$506)*(W$3&lt;='Gastos com Pessoal'!$F$7:$F$506)*OFFSET('Encargos e Benefícios'!$D$5,1,MATCH($B37,'Encargos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84226.856173939654</v>
      </c>
      <c r="X37" s="188">
        <f t="array" aca="1" ref="X37" ca="1">_xlfn.IFNA(SUM((X$3&gt;='Gastos com Pessoal'!$E$7:$E$506)*(X$3&lt;='Gastos com Pessoal'!$F$7:$F$506)*OFFSET('Encargos e Benefícios'!$D$5,1,MATCH($B37,'Encargos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84226.856173939654</v>
      </c>
      <c r="Y37" s="188">
        <f t="array" aca="1" ref="Y37" ca="1">_xlfn.IFNA(SUM((Y$3&gt;='Gastos com Pessoal'!$E$7:$E$506)*(Y$3&lt;='Gastos com Pessoal'!$F$7:$F$506)*OFFSET('Encargos e Benefícios'!$D$5,1,MATCH($B37,'Encargos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84226.856173939654</v>
      </c>
      <c r="Z37" s="188">
        <f t="array" aca="1" ref="Z37" ca="1">_xlfn.IFNA(SUM((Z$3&gt;='Gastos com Pessoal'!$E$7:$E$506)*(Z$3&lt;='Gastos com Pessoal'!$F$7:$F$506)*OFFSET('Encargos e Benefícios'!$D$5,1,MATCH($B37,'Encargos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84226.856173939654</v>
      </c>
      <c r="AA37" s="188">
        <f t="array" aca="1" ref="AA37" ca="1">_xlfn.IFNA(SUM((AA$3&gt;='Gastos com Pessoal'!$E$7:$E$506)*(AA$3&lt;='Gastos com Pessoal'!$F$7:$F$506)*OFFSET('Encargos e Benefícios'!$D$5,1,MATCH($B37,'Encargos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84226.856173939654</v>
      </c>
      <c r="AB37" s="188">
        <f t="array" aca="1" ref="AB37" ca="1">_xlfn.IFNA(SUM((AB$3&gt;='Gastos com Pessoal'!$E$7:$E$506)*(AB$3&lt;='Gastos com Pessoal'!$F$7:$F$506)*OFFSET('Encargos e Benefícios'!$D$5,1,MATCH($B37,'Encargos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84226.856173939654</v>
      </c>
      <c r="AC37" s="188">
        <f t="array" aca="1" ref="AC37" ca="1">_xlfn.IFNA(SUM((AC$3&gt;='Gastos com Pessoal'!$E$7:$E$506)*(AC$3&lt;='Gastos com Pessoal'!$F$7:$F$506)*OFFSET('Encargos e Benefícios'!$D$5,1,MATCH($B37,'Encargos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84226.856173939654</v>
      </c>
      <c r="AD37" s="188">
        <f t="array" aca="1" ref="AD37" ca="1">_xlfn.IFNA(SUM((AD$3&gt;='Gastos com Pessoal'!$E$7:$E$506)*(AD$3&lt;='Gastos com Pessoal'!$F$7:$F$506)*OFFSET('Encargos e Benefícios'!$D$5,1,MATCH($B37,'Encargos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84226.856173939654</v>
      </c>
      <c r="AE37" s="188">
        <f t="array" aca="1" ref="AE37" ca="1">_xlfn.IFNA(SUM((AE$3&gt;='Gastos com Pessoal'!$E$7:$E$506)*(AE$3&lt;='Gastos com Pessoal'!$F$7:$F$506)*OFFSET('Encargos e Benefícios'!$D$5,1,MATCH($B37,'Encargos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84226.856173939654</v>
      </c>
      <c r="AF37" s="188">
        <f t="array" aca="1" ref="AF37" ca="1">_xlfn.IFNA(SUM((AF$3&gt;='Gastos com Pessoal'!$E$7:$E$506)*(AF$3&lt;='Gastos com Pessoal'!$F$7:$F$506)*OFFSET('Encargos e Benefícios'!$D$5,1,MATCH($B37,'Encargos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89145.704574497737</v>
      </c>
      <c r="AG37" s="188">
        <f t="array" aca="1" ref="AG37" ca="1">_xlfn.IFNA(SUM((AG$3&gt;='Gastos com Pessoal'!$E$7:$E$506)*(AG$3&lt;='Gastos com Pessoal'!$F$7:$F$506)*OFFSET('Encargos e Benefícios'!$D$5,1,MATCH($B37,'Encargos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89145.704574497737</v>
      </c>
      <c r="AH37" s="188">
        <f t="array" aca="1" ref="AH37" ca="1">_xlfn.IFNA(SUM((AH$3&gt;='Gastos com Pessoal'!$E$7:$E$506)*(AH$3&lt;='Gastos com Pessoal'!$F$7:$F$506)*OFFSET('Encargos e Benefícios'!$D$5,1,MATCH($B37,'Encargos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89145.704574497737</v>
      </c>
      <c r="AI37" s="188">
        <f t="array" aca="1" ref="AI37" ca="1">_xlfn.IFNA(SUM((AI$3&gt;='Gastos com Pessoal'!$E$7:$E$506)*(AI$3&lt;='Gastos com Pessoal'!$F$7:$F$506)*OFFSET('Encargos e Benefícios'!$D$5,1,MATCH($B37,'Encargos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89145.704574497737</v>
      </c>
      <c r="AJ37" s="188">
        <f t="array" aca="1" ref="AJ37" ca="1">_xlfn.IFNA(SUM((AJ$3&gt;='Gastos com Pessoal'!$E$7:$E$506)*(AJ$3&lt;='Gastos com Pessoal'!$F$7:$F$506)*OFFSET('Encargos e Benefícios'!$D$5,1,MATCH($B37,'Encargos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89145.704574497737</v>
      </c>
      <c r="AK37" s="188">
        <f t="array" aca="1" ref="AK37" ca="1">_xlfn.IFNA(SUM((AK$3&gt;='Gastos com Pessoal'!$E$7:$E$506)*(AK$3&lt;='Gastos com Pessoal'!$F$7:$F$506)*OFFSET('Encargos e Benefícios'!$D$5,1,MATCH($B37,'Encargos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89145.704574497737</v>
      </c>
      <c r="AL37" s="188">
        <f t="array" aca="1" ref="AL37" ca="1">_xlfn.IFNA(SUM((AL$3&gt;='Gastos com Pessoal'!$E$7:$E$506)*(AL$3&lt;='Gastos com Pessoal'!$F$7:$F$506)*OFFSET('Encargos e Benefícios'!$D$5,1,MATCH($B37,'Encargos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89145.704574497737</v>
      </c>
      <c r="AM37" s="188">
        <f t="array" aca="1" ref="AM37" ca="1">_xlfn.IFNA(SUM((AM$3&gt;='Gastos com Pessoal'!$E$7:$E$506)*(AM$3&lt;='Gastos com Pessoal'!$F$7:$F$506)*OFFSET('Encargos e Benefícios'!$D$5,1,MATCH($B37,'Encargos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89145.704574497737</v>
      </c>
      <c r="AN37" s="188">
        <f t="array" aca="1" ref="AN37" ca="1">_xlfn.IFNA(SUM((AN$3&gt;='Gastos com Pessoal'!$E$7:$E$506)*(AN$3&lt;='Gastos com Pessoal'!$F$7:$F$506)*OFFSET('Encargos e Benefícios'!$D$5,1,MATCH($B37,'Encargos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89145.704574497737</v>
      </c>
      <c r="AO37" s="188">
        <f t="array" aca="1" ref="AO37" ca="1">_xlfn.IFNA(SUM((AO$3&gt;='Gastos com Pessoal'!$E$7:$E$506)*(AO$3&lt;='Gastos com Pessoal'!$F$7:$F$506)*OFFSET('Encargos e Benefícios'!$D$5,1,MATCH($B37,'Encargos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89145.704574497737</v>
      </c>
      <c r="AP37" s="188">
        <f t="array" aca="1" ref="AP37" ca="1">_xlfn.IFNA(SUM((AP$3&gt;='Gastos com Pessoal'!$E$7:$E$506)*(AP$3&lt;='Gastos com Pessoal'!$F$7:$F$506)*OFFSET('Encargos e Benefícios'!$D$5,1,MATCH($B37,'Encargos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89145.704574497737</v>
      </c>
      <c r="AQ37" s="188">
        <f t="array" aca="1" ref="AQ37" ca="1">_xlfn.IFNA(SUM((AQ$3&gt;='Gastos com Pessoal'!$E$7:$E$506)*(AQ$3&lt;='Gastos com Pessoal'!$F$7:$F$506)*OFFSET('Encargos e Benefícios'!$D$5,1,MATCH($B37,'Encargos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89145.704574497737</v>
      </c>
      <c r="AR37" s="188">
        <f t="array" aca="1" ref="AR37" ca="1">_xlfn.IFNA(SUM((AR$3&gt;='Gastos com Pessoal'!$E$7:$E$506)*(AR$3&lt;='Gastos com Pessoal'!$F$7:$F$506)*OFFSET('Encargos e Benefícios'!$D$5,1,MATCH($B37,'Encargos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94351.813721648403</v>
      </c>
      <c r="AS37" s="188">
        <f t="array" aca="1" ref="AS37" ca="1">_xlfn.IFNA(SUM((AS$3&gt;='Gastos com Pessoal'!$E$7:$E$506)*(AS$3&lt;='Gastos com Pessoal'!$F$7:$F$506)*OFFSET('Encargos e Benefícios'!$D$5,1,MATCH($B37,'Encargos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94351.813721648403</v>
      </c>
      <c r="AT37" s="188">
        <f t="array" aca="1" ref="AT37" ca="1">_xlfn.IFNA(SUM((AT$3&gt;='Gastos com Pessoal'!$E$7:$E$506)*(AT$3&lt;='Gastos com Pessoal'!$F$7:$F$506)*OFFSET('Encargos e Benefícios'!$D$5,1,MATCH($B37,'Encargos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94351.813721648403</v>
      </c>
      <c r="AU37" s="188">
        <f t="array" aca="1" ref="AU37" ca="1">_xlfn.IFNA(SUM((AU$3&gt;='Gastos com Pessoal'!$E$7:$E$506)*(AU$3&lt;='Gastos com Pessoal'!$F$7:$F$506)*OFFSET('Encargos e Benefícios'!$D$5,1,MATCH($B37,'Encargos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94351.813721648403</v>
      </c>
      <c r="AV37" s="188">
        <f t="array" aca="1" ref="AV37" ca="1">_xlfn.IFNA(SUM((AV$3&gt;='Gastos com Pessoal'!$E$7:$E$506)*(AV$3&lt;='Gastos com Pessoal'!$F$7:$F$506)*OFFSET('Encargos e Benefícios'!$D$5,1,MATCH($B37,'Encargos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94351.813721648403</v>
      </c>
      <c r="AW37" s="188">
        <f t="array" aca="1" ref="AW37" ca="1">_xlfn.IFNA(SUM((AW$3&gt;='Gastos com Pessoal'!$E$7:$E$506)*(AW$3&lt;='Gastos com Pessoal'!$F$7:$F$506)*OFFSET('Encargos e Benefícios'!$D$5,1,MATCH($B37,'Encargos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94351.813721648403</v>
      </c>
      <c r="AX37" s="188">
        <f t="array" aca="1" ref="AX37" ca="1">_xlfn.IFNA(SUM((AX$3&gt;='Gastos com Pessoal'!$E$7:$E$506)*(AX$3&lt;='Gastos com Pessoal'!$F$7:$F$506)*OFFSET('Encargos e Benefícios'!$D$5,1,MATCH($B37,'Encargos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94351.813721648403</v>
      </c>
      <c r="AY37" s="188">
        <f t="array" aca="1" ref="AY37" ca="1">_xlfn.IFNA(SUM((AY$3&gt;='Gastos com Pessoal'!$E$7:$E$506)*(AY$3&lt;='Gastos com Pessoal'!$F$7:$F$506)*OFFSET('Encargos e Benefícios'!$D$5,1,MATCH($B37,'Encargos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94351.813721648403</v>
      </c>
      <c r="AZ37" s="188">
        <f t="array" aca="1" ref="AZ37" ca="1">_xlfn.IFNA(SUM((AZ$3&gt;='Gastos com Pessoal'!$E$7:$E$506)*(AZ$3&lt;='Gastos com Pessoal'!$F$7:$F$506)*OFFSET('Encargos e Benefícios'!$D$5,1,MATCH($B37,'Encargos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94351.813721648403</v>
      </c>
      <c r="BA37" s="188">
        <f t="array" aca="1" ref="BA37" ca="1">_xlfn.IFNA(SUM((BA$3&gt;='Gastos com Pessoal'!$E$7:$E$506)*(BA$3&lt;='Gastos com Pessoal'!$F$7:$F$506)*OFFSET('Encargos e Benefícios'!$D$5,1,MATCH($B37,'Encargos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94351.813721648403</v>
      </c>
      <c r="BB37" s="188">
        <f t="array" aca="1" ref="BB37" ca="1">_xlfn.IFNA(SUM((BB$3&gt;='Gastos com Pessoal'!$E$7:$E$506)*(BB$3&lt;='Gastos com Pessoal'!$F$7:$F$506)*OFFSET('Encargos e Benefícios'!$D$5,1,MATCH($B37,'Encargos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94351.813721648403</v>
      </c>
      <c r="BC37" s="188">
        <f t="array" aca="1" ref="BC37" ca="1">_xlfn.IFNA(SUM((BC$3&gt;='Gastos com Pessoal'!$E$7:$E$506)*(BC$3&lt;='Gastos com Pessoal'!$F$7:$F$506)*OFFSET('Encargos e Benefícios'!$D$5,1,MATCH($B37,'Encargos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94351.813721648403</v>
      </c>
      <c r="BD37" s="188">
        <f t="array" aca="1" ref="BD37" ca="1">_xlfn.IFNA(SUM((BD$3&gt;='Gastos com Pessoal'!$E$7:$E$506)*(BD$3&lt;='Gastos com Pessoal'!$F$7:$F$506)*OFFSET('Encargos e Benefícios'!$D$5,1,MATCH($B37,'Encargos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99861.959642992675</v>
      </c>
      <c r="BE37" s="188">
        <f t="array" aca="1" ref="BE37" ca="1">_xlfn.IFNA(SUM((BE$3&gt;='Gastos com Pessoal'!$E$7:$E$506)*(BE$3&lt;='Gastos com Pessoal'!$F$7:$F$506)*OFFSET('Encargos e Benefícios'!$D$5,1,MATCH($B37,'Encargos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99861.959642992675</v>
      </c>
      <c r="BF37" s="188">
        <f t="array" aca="1" ref="BF37" ca="1">_xlfn.IFNA(SUM((BF$3&gt;='Gastos com Pessoal'!$E$7:$E$506)*(BF$3&lt;='Gastos com Pessoal'!$F$7:$F$506)*OFFSET('Encargos e Benefícios'!$D$5,1,MATCH($B37,'Encargos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99861.959642992675</v>
      </c>
      <c r="BG37" s="188">
        <f t="array" aca="1" ref="BG37" ca="1">_xlfn.IFNA(SUM((BG$3&gt;='Gastos com Pessoal'!$E$7:$E$506)*(BG$3&lt;='Gastos com Pessoal'!$F$7:$F$506)*OFFSET('Encargos e Benefícios'!$D$5,1,MATCH($B37,'Encargos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99861.959642992675</v>
      </c>
      <c r="BH37" s="188">
        <f t="array" aca="1" ref="BH37" ca="1">_xlfn.IFNA(SUM((BH$3&gt;='Gastos com Pessoal'!$E$7:$E$506)*(BH$3&lt;='Gastos com Pessoal'!$F$7:$F$506)*OFFSET('Encargos e Benefícios'!$D$5,1,MATCH($B37,'Encargos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99861.959642992675</v>
      </c>
      <c r="BI37" s="188">
        <f t="array" aca="1" ref="BI37" ca="1">_xlfn.IFNA(SUM((BI$3&gt;='Gastos com Pessoal'!$E$7:$E$506)*(BI$3&lt;='Gastos com Pessoal'!$F$7:$F$506)*OFFSET('Encargos e Benefícios'!$D$5,1,MATCH($B37,'Encargos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99861.959642992675</v>
      </c>
      <c r="BJ37" s="188">
        <f t="array" aca="1" ref="BJ37" ca="1">_xlfn.IFNA(SUM((BJ$3&gt;='Gastos com Pessoal'!$E$7:$E$506)*(BJ$3&lt;='Gastos com Pessoal'!$F$7:$F$506)*OFFSET('Encargos e Benefícios'!$D$5,1,MATCH($B37,'Encargos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99861.959642992675</v>
      </c>
      <c r="BK37" s="189">
        <f t="shared" ca="1" si="22"/>
        <v>5091002.2928571422</v>
      </c>
      <c r="BL37" s="136">
        <f t="shared" ca="1" si="23"/>
        <v>1.5216012168697546E-2</v>
      </c>
      <c r="BN37" s="188">
        <f t="array" aca="1" ref="BN37" ca="1">_xlfn.IFNA(SUM((BN$3&gt;='Gastos com Pessoal'!$E$7:$E$506)*(BN$3&lt;='Gastos com Pessoal'!$F$7:$F$506)*OFFSET('Encargos e Benefícios'!$D$5,1,MATCH($B37,'Encargos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59752.95900000009</v>
      </c>
    </row>
    <row r="38" spans="1:66" s="160" customFormat="1" ht="23.25" customHeight="1">
      <c r="A38" s="198" t="s">
        <v>161</v>
      </c>
      <c r="B38" s="81" t="s">
        <v>162</v>
      </c>
      <c r="C38" s="188">
        <f t="shared" ca="1" si="21"/>
        <v>27293.621250000007</v>
      </c>
      <c r="D38" s="188">
        <f t="array" aca="1" ref="D38" ca="1">_xlfn.IFNA(SUM((D$3&gt;='Gastos com Pessoal'!$E$7:$E$506)*(D$3&lt;='Gastos com Pessoal'!$F$7:$F$506)*OFFSET('Encargos e Benefícios'!$D$5,1,MATCH($B38,'Encargos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97808.453333333367</v>
      </c>
      <c r="E38" s="188">
        <f t="array" aca="1" ref="E38" ca="1">_xlfn.IFNA(SUM((E$3&gt;='Gastos com Pessoal'!$E$7:$E$506)*(E$3&lt;='Gastos com Pessoal'!$F$7:$F$506)*OFFSET('Encargos e Benefícios'!$D$5,1,MATCH($B38,'Encargos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102925.90250000005</v>
      </c>
      <c r="F38" s="188">
        <f t="array" aca="1" ref="F38" ca="1">_xlfn.IFNA(SUM((F$3&gt;='Gastos com Pessoal'!$E$7:$E$506)*(F$3&lt;='Gastos com Pessoal'!$F$7:$F$506)*OFFSET('Encargos e Benefícios'!$D$5,1,MATCH($B38,'Encargos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102925.90250000005</v>
      </c>
      <c r="G38" s="188">
        <f t="array" aca="1" ref="G38" ca="1">_xlfn.IFNA(SUM((G$3&gt;='Gastos com Pessoal'!$E$7:$E$506)*(G$3&lt;='Gastos com Pessoal'!$F$7:$F$506)*OFFSET('Encargos e Benefícios'!$D$5,1,MATCH($B38,'Encargos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102925.90250000005</v>
      </c>
      <c r="H38" s="188">
        <f t="array" aca="1" ref="H38" ca="1">_xlfn.IFNA(SUM((H$3&gt;='Gastos com Pessoal'!$E$7:$E$506)*(H$3&lt;='Gastos com Pessoal'!$F$7:$F$506)*OFFSET('Encargos e Benefícios'!$D$5,1,MATCH($B38,'Encargos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108936.77520600006</v>
      </c>
      <c r="I38" s="188">
        <f t="array" aca="1" ref="I38" ca="1">_xlfn.IFNA(SUM((I$3&gt;='Gastos com Pessoal'!$E$7:$E$506)*(I$3&lt;='Gastos com Pessoal'!$F$7:$F$506)*OFFSET('Encargos e Benefícios'!$D$5,1,MATCH($B38,'Encargos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108936.77520600006</v>
      </c>
      <c r="J38" s="188">
        <f t="array" aca="1" ref="J38" ca="1">_xlfn.IFNA(SUM((J$3&gt;='Gastos com Pessoal'!$E$7:$E$506)*(J$3&lt;='Gastos com Pessoal'!$F$7:$F$506)*OFFSET('Encargos e Benefícios'!$D$5,1,MATCH($B38,'Encargos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108936.77520600006</v>
      </c>
      <c r="K38" s="188">
        <f t="array" aca="1" ref="K38" ca="1">_xlfn.IFNA(SUM((K$3&gt;='Gastos com Pessoal'!$E$7:$E$506)*(K$3&lt;='Gastos com Pessoal'!$F$7:$F$506)*OFFSET('Encargos e Benefícios'!$D$5,1,MATCH($B38,'Encargos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108936.77520600006</v>
      </c>
      <c r="L38" s="188">
        <f t="array" aca="1" ref="L38" ca="1">_xlfn.IFNA(SUM((L$3&gt;='Gastos com Pessoal'!$E$7:$E$506)*(L$3&lt;='Gastos com Pessoal'!$F$7:$F$506)*OFFSET('Encargos e Benefícios'!$D$5,1,MATCH($B38,'Encargos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108936.77520600006</v>
      </c>
      <c r="M38" s="188">
        <f t="array" aca="1" ref="M38" ca="1">_xlfn.IFNA(SUM((M$3&gt;='Gastos com Pessoal'!$E$7:$E$506)*(M$3&lt;='Gastos com Pessoal'!$F$7:$F$506)*OFFSET('Encargos e Benefícios'!$D$5,1,MATCH($B38,'Encargos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109842.90672600006</v>
      </c>
      <c r="N38" s="188">
        <f t="array" aca="1" ref="N38" ca="1">_xlfn.IFNA(SUM((N$3&gt;='Gastos com Pessoal'!$E$7:$E$506)*(N$3&lt;='Gastos com Pessoal'!$F$7:$F$506)*OFFSET('Encargos e Benefícios'!$D$5,1,MATCH($B38,'Encargos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115259.21492400007</v>
      </c>
      <c r="O38" s="188">
        <f t="array" aca="1" ref="O38" ca="1">_xlfn.IFNA(SUM((O$3&gt;='Gastos com Pessoal'!$E$7:$E$506)*(O$3&lt;='Gastos com Pessoal'!$F$7:$F$506)*OFFSET('Encargos e Benefícios'!$D$5,1,MATCH($B38,'Encargos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115259.21492400007</v>
      </c>
      <c r="P38" s="188">
        <f t="array" aca="1" ref="P38" ca="1">_xlfn.IFNA(SUM((P$3&gt;='Gastos com Pessoal'!$E$7:$E$506)*(P$3&lt;='Gastos com Pessoal'!$F$7:$F$506)*OFFSET('Encargos e Benefícios'!$D$5,1,MATCH($B38,'Encargos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116165.34644400008</v>
      </c>
      <c r="Q38" s="188">
        <f t="array" aca="1" ref="Q38" ca="1">_xlfn.IFNA(SUM((Q$3&gt;='Gastos com Pessoal'!$E$7:$E$506)*(Q$3&lt;='Gastos com Pessoal'!$F$7:$F$506)*OFFSET('Encargos e Benefícios'!$D$5,1,MATCH($B38,'Encargos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121581.6546420001</v>
      </c>
      <c r="R38" s="188">
        <f t="array" aca="1" ref="R38" ca="1">_xlfn.IFNA(SUM((R$3&gt;='Gastos com Pessoal'!$E$7:$E$506)*(R$3&lt;='Gastos com Pessoal'!$F$7:$F$506)*OFFSET('Encargos e Benefícios'!$D$5,1,MATCH($B38,'Encargos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121581.6546420001</v>
      </c>
      <c r="S38" s="188">
        <f t="array" aca="1" ref="S38" ca="1">_xlfn.IFNA(SUM((S$3&gt;='Gastos com Pessoal'!$E$7:$E$506)*(S$3&lt;='Gastos com Pessoal'!$F$7:$F$506)*OFFSET('Encargos e Benefícios'!$D$5,1,MATCH($B38,'Encargos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121581.6546420001</v>
      </c>
      <c r="T38" s="188">
        <f t="array" aca="1" ref="T38" ca="1">_xlfn.IFNA(SUM((T$3&gt;='Gastos com Pessoal'!$E$7:$E$506)*(T$3&lt;='Gastos com Pessoal'!$F$7:$F$506)*OFFSET('Encargos e Benefícios'!$D$5,1,MATCH($B38,'Encargos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128682.0232730929</v>
      </c>
      <c r="U38" s="188">
        <f t="array" aca="1" ref="U38" ca="1">_xlfn.IFNA(SUM((U$3&gt;='Gastos com Pessoal'!$E$7:$E$506)*(U$3&lt;='Gastos com Pessoal'!$F$7:$F$506)*OFFSET('Encargos e Benefícios'!$D$5,1,MATCH($B38,'Encargos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128682.0232730929</v>
      </c>
      <c r="V38" s="188">
        <f t="array" aca="1" ref="V38" ca="1">_xlfn.IFNA(SUM((V$3&gt;='Gastos com Pessoal'!$E$7:$E$506)*(V$3&lt;='Gastos com Pessoal'!$F$7:$F$506)*OFFSET('Encargos e Benefícios'!$D$5,1,MATCH($B38,'Encargos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128682.0232730929</v>
      </c>
      <c r="W38" s="188">
        <f t="array" aca="1" ref="W38" ca="1">_xlfn.IFNA(SUM((W$3&gt;='Gastos com Pessoal'!$E$7:$E$506)*(W$3&lt;='Gastos com Pessoal'!$F$7:$F$506)*OFFSET('Encargos e Benefícios'!$D$5,1,MATCH($B38,'Encargos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128682.0232730929</v>
      </c>
      <c r="X38" s="188">
        <f t="array" aca="1" ref="X38" ca="1">_xlfn.IFNA(SUM((X$3&gt;='Gastos com Pessoal'!$E$7:$E$506)*(X$3&lt;='Gastos com Pessoal'!$F$7:$F$506)*OFFSET('Encargos e Benefícios'!$D$5,1,MATCH($B38,'Encargos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128682.0232730929</v>
      </c>
      <c r="Y38" s="188">
        <f t="array" aca="1" ref="Y38" ca="1">_xlfn.IFNA(SUM((Y$3&gt;='Gastos com Pessoal'!$E$7:$E$506)*(Y$3&lt;='Gastos com Pessoal'!$F$7:$F$506)*OFFSET('Encargos e Benefícios'!$D$5,1,MATCH($B38,'Encargos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128682.0232730929</v>
      </c>
      <c r="Z38" s="188">
        <f t="array" aca="1" ref="Z38" ca="1">_xlfn.IFNA(SUM((Z$3&gt;='Gastos com Pessoal'!$E$7:$E$506)*(Z$3&lt;='Gastos com Pessoal'!$F$7:$F$506)*OFFSET('Encargos e Benefícios'!$D$5,1,MATCH($B38,'Encargos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128682.0232730929</v>
      </c>
      <c r="AA38" s="188">
        <f t="array" aca="1" ref="AA38" ca="1">_xlfn.IFNA(SUM((AA$3&gt;='Gastos com Pessoal'!$E$7:$E$506)*(AA$3&lt;='Gastos com Pessoal'!$F$7:$F$506)*OFFSET('Encargos e Benefícios'!$D$5,1,MATCH($B38,'Encargos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128682.0232730929</v>
      </c>
      <c r="AB38" s="188">
        <f t="array" aca="1" ref="AB38" ca="1">_xlfn.IFNA(SUM((AB$3&gt;='Gastos com Pessoal'!$E$7:$E$506)*(AB$3&lt;='Gastos com Pessoal'!$F$7:$F$506)*OFFSET('Encargos e Benefícios'!$D$5,1,MATCH($B38,'Encargos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128682.0232730929</v>
      </c>
      <c r="AC38" s="188">
        <f t="array" aca="1" ref="AC38" ca="1">_xlfn.IFNA(SUM((AC$3&gt;='Gastos com Pessoal'!$E$7:$E$506)*(AC$3&lt;='Gastos com Pessoal'!$F$7:$F$506)*OFFSET('Encargos e Benefícios'!$D$5,1,MATCH($B38,'Encargos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128682.0232730929</v>
      </c>
      <c r="AD38" s="188">
        <f t="array" aca="1" ref="AD38" ca="1">_xlfn.IFNA(SUM((AD$3&gt;='Gastos com Pessoal'!$E$7:$E$506)*(AD$3&lt;='Gastos com Pessoal'!$F$7:$F$506)*OFFSET('Encargos e Benefícios'!$D$5,1,MATCH($B38,'Encargos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128682.0232730929</v>
      </c>
      <c r="AE38" s="188">
        <f t="array" aca="1" ref="AE38" ca="1">_xlfn.IFNA(SUM((AE$3&gt;='Gastos com Pessoal'!$E$7:$E$506)*(AE$3&lt;='Gastos com Pessoal'!$F$7:$F$506)*OFFSET('Encargos e Benefícios'!$D$5,1,MATCH($B38,'Encargos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128682.0232730929</v>
      </c>
      <c r="AF38" s="188">
        <f t="array" aca="1" ref="AF38" ca="1">_xlfn.IFNA(SUM((AF$3&gt;='Gastos com Pessoal'!$E$7:$E$506)*(AF$3&lt;='Gastos com Pessoal'!$F$7:$F$506)*OFFSET('Encargos e Benefícios'!$D$5,1,MATCH($B38,'Encargos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136197.05343224152</v>
      </c>
      <c r="AG38" s="188">
        <f t="array" aca="1" ref="AG38" ca="1">_xlfn.IFNA(SUM((AG$3&gt;='Gastos com Pessoal'!$E$7:$E$506)*(AG$3&lt;='Gastos com Pessoal'!$F$7:$F$506)*OFFSET('Encargos e Benefícios'!$D$5,1,MATCH($B38,'Encargos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136197.05343224152</v>
      </c>
      <c r="AH38" s="188">
        <f t="array" aca="1" ref="AH38" ca="1">_xlfn.IFNA(SUM((AH$3&gt;='Gastos com Pessoal'!$E$7:$E$506)*(AH$3&lt;='Gastos com Pessoal'!$F$7:$F$506)*OFFSET('Encargos e Benefícios'!$D$5,1,MATCH($B38,'Encargos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136197.05343224152</v>
      </c>
      <c r="AI38" s="188">
        <f t="array" aca="1" ref="AI38" ca="1">_xlfn.IFNA(SUM((AI$3&gt;='Gastos com Pessoal'!$E$7:$E$506)*(AI$3&lt;='Gastos com Pessoal'!$F$7:$F$506)*OFFSET('Encargos e Benefícios'!$D$5,1,MATCH($B38,'Encargos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136197.05343224152</v>
      </c>
      <c r="AJ38" s="188">
        <f t="array" aca="1" ref="AJ38" ca="1">_xlfn.IFNA(SUM((AJ$3&gt;='Gastos com Pessoal'!$E$7:$E$506)*(AJ$3&lt;='Gastos com Pessoal'!$F$7:$F$506)*OFFSET('Encargos e Benefícios'!$D$5,1,MATCH($B38,'Encargos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136197.05343224152</v>
      </c>
      <c r="AK38" s="188">
        <f t="array" aca="1" ref="AK38" ca="1">_xlfn.IFNA(SUM((AK$3&gt;='Gastos com Pessoal'!$E$7:$E$506)*(AK$3&lt;='Gastos com Pessoal'!$F$7:$F$506)*OFFSET('Encargos e Benefícios'!$D$5,1,MATCH($B38,'Encargos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136197.05343224152</v>
      </c>
      <c r="AL38" s="188">
        <f t="array" aca="1" ref="AL38" ca="1">_xlfn.IFNA(SUM((AL$3&gt;='Gastos com Pessoal'!$E$7:$E$506)*(AL$3&lt;='Gastos com Pessoal'!$F$7:$F$506)*OFFSET('Encargos e Benefícios'!$D$5,1,MATCH($B38,'Encargos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136197.05343224152</v>
      </c>
      <c r="AM38" s="188">
        <f t="array" aca="1" ref="AM38" ca="1">_xlfn.IFNA(SUM((AM$3&gt;='Gastos com Pessoal'!$E$7:$E$506)*(AM$3&lt;='Gastos com Pessoal'!$F$7:$F$506)*OFFSET('Encargos e Benefícios'!$D$5,1,MATCH($B38,'Encargos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136197.05343224152</v>
      </c>
      <c r="AN38" s="188">
        <f t="array" aca="1" ref="AN38" ca="1">_xlfn.IFNA(SUM((AN$3&gt;='Gastos com Pessoal'!$E$7:$E$506)*(AN$3&lt;='Gastos com Pessoal'!$F$7:$F$506)*OFFSET('Encargos e Benefícios'!$D$5,1,MATCH($B38,'Encargos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136197.05343224152</v>
      </c>
      <c r="AO38" s="188">
        <f t="array" aca="1" ref="AO38" ca="1">_xlfn.IFNA(SUM((AO$3&gt;='Gastos com Pessoal'!$E$7:$E$506)*(AO$3&lt;='Gastos com Pessoal'!$F$7:$F$506)*OFFSET('Encargos e Benefícios'!$D$5,1,MATCH($B38,'Encargos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136197.05343224152</v>
      </c>
      <c r="AP38" s="188">
        <f t="array" aca="1" ref="AP38" ca="1">_xlfn.IFNA(SUM((AP$3&gt;='Gastos com Pessoal'!$E$7:$E$506)*(AP$3&lt;='Gastos com Pessoal'!$F$7:$F$506)*OFFSET('Encargos e Benefícios'!$D$5,1,MATCH($B38,'Encargos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136197.05343224152</v>
      </c>
      <c r="AQ38" s="188">
        <f t="array" aca="1" ref="AQ38" ca="1">_xlfn.IFNA(SUM((AQ$3&gt;='Gastos com Pessoal'!$E$7:$E$506)*(AQ$3&lt;='Gastos com Pessoal'!$F$7:$F$506)*OFFSET('Encargos e Benefícios'!$D$5,1,MATCH($B38,'Encargos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136197.05343224152</v>
      </c>
      <c r="AR38" s="188">
        <f t="array" aca="1" ref="AR38" ca="1">_xlfn.IFNA(SUM((AR$3&gt;='Gastos com Pessoal'!$E$7:$E$506)*(AR$3&lt;='Gastos com Pessoal'!$F$7:$F$506)*OFFSET('Encargos e Benefícios'!$D$5,1,MATCH($B38,'Encargos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144150.96135268442</v>
      </c>
      <c r="AS38" s="188">
        <f t="array" aca="1" ref="AS38" ca="1">_xlfn.IFNA(SUM((AS$3&gt;='Gastos com Pessoal'!$E$7:$E$506)*(AS$3&lt;='Gastos com Pessoal'!$F$7:$F$506)*OFFSET('Encargos e Benefícios'!$D$5,1,MATCH($B38,'Encargos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144150.96135268442</v>
      </c>
      <c r="AT38" s="188">
        <f t="array" aca="1" ref="AT38" ca="1">_xlfn.IFNA(SUM((AT$3&gt;='Gastos com Pessoal'!$E$7:$E$506)*(AT$3&lt;='Gastos com Pessoal'!$F$7:$F$506)*OFFSET('Encargos e Benefícios'!$D$5,1,MATCH($B38,'Encargos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144150.96135268442</v>
      </c>
      <c r="AU38" s="188">
        <f t="array" aca="1" ref="AU38" ca="1">_xlfn.IFNA(SUM((AU$3&gt;='Gastos com Pessoal'!$E$7:$E$506)*(AU$3&lt;='Gastos com Pessoal'!$F$7:$F$506)*OFFSET('Encargos e Benefícios'!$D$5,1,MATCH($B38,'Encargos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144150.96135268442</v>
      </c>
      <c r="AV38" s="188">
        <f t="array" aca="1" ref="AV38" ca="1">_xlfn.IFNA(SUM((AV$3&gt;='Gastos com Pessoal'!$E$7:$E$506)*(AV$3&lt;='Gastos com Pessoal'!$F$7:$F$506)*OFFSET('Encargos e Benefícios'!$D$5,1,MATCH($B38,'Encargos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144150.96135268442</v>
      </c>
      <c r="AW38" s="188">
        <f t="array" aca="1" ref="AW38" ca="1">_xlfn.IFNA(SUM((AW$3&gt;='Gastos com Pessoal'!$E$7:$E$506)*(AW$3&lt;='Gastos com Pessoal'!$F$7:$F$506)*OFFSET('Encargos e Benefícios'!$D$5,1,MATCH($B38,'Encargos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144150.96135268442</v>
      </c>
      <c r="AX38" s="188">
        <f t="array" aca="1" ref="AX38" ca="1">_xlfn.IFNA(SUM((AX$3&gt;='Gastos com Pessoal'!$E$7:$E$506)*(AX$3&lt;='Gastos com Pessoal'!$F$7:$F$506)*OFFSET('Encargos e Benefícios'!$D$5,1,MATCH($B38,'Encargos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144150.96135268442</v>
      </c>
      <c r="AY38" s="188">
        <f t="array" aca="1" ref="AY38" ca="1">_xlfn.IFNA(SUM((AY$3&gt;='Gastos com Pessoal'!$E$7:$E$506)*(AY$3&lt;='Gastos com Pessoal'!$F$7:$F$506)*OFFSET('Encargos e Benefícios'!$D$5,1,MATCH($B38,'Encargos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144150.96135268442</v>
      </c>
      <c r="AZ38" s="188">
        <f t="array" aca="1" ref="AZ38" ca="1">_xlfn.IFNA(SUM((AZ$3&gt;='Gastos com Pessoal'!$E$7:$E$506)*(AZ$3&lt;='Gastos com Pessoal'!$F$7:$F$506)*OFFSET('Encargos e Benefícios'!$D$5,1,MATCH($B38,'Encargos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144150.96135268442</v>
      </c>
      <c r="BA38" s="188">
        <f t="array" aca="1" ref="BA38" ca="1">_xlfn.IFNA(SUM((BA$3&gt;='Gastos com Pessoal'!$E$7:$E$506)*(BA$3&lt;='Gastos com Pessoal'!$F$7:$F$506)*OFFSET('Encargos e Benefícios'!$D$5,1,MATCH($B38,'Encargos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144150.96135268442</v>
      </c>
      <c r="BB38" s="188">
        <f t="array" aca="1" ref="BB38" ca="1">_xlfn.IFNA(SUM((BB$3&gt;='Gastos com Pessoal'!$E$7:$E$506)*(BB$3&lt;='Gastos com Pessoal'!$F$7:$F$506)*OFFSET('Encargos e Benefícios'!$D$5,1,MATCH($B38,'Encargos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144150.96135268442</v>
      </c>
      <c r="BC38" s="188">
        <f t="array" aca="1" ref="BC38" ca="1">_xlfn.IFNA(SUM((BC$3&gt;='Gastos com Pessoal'!$E$7:$E$506)*(BC$3&lt;='Gastos com Pessoal'!$F$7:$F$506)*OFFSET('Encargos e Benefícios'!$D$5,1,MATCH($B38,'Encargos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144150.96135268442</v>
      </c>
      <c r="BD38" s="188">
        <f t="array" aca="1" ref="BD38" ca="1">_xlfn.IFNA(SUM((BD$3&gt;='Gastos com Pessoal'!$E$7:$E$506)*(BD$3&lt;='Gastos com Pessoal'!$F$7:$F$506)*OFFSET('Encargos e Benefícios'!$D$5,1,MATCH($B38,'Encargos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152569.3774956812</v>
      </c>
      <c r="BE38" s="188">
        <f t="array" aca="1" ref="BE38" ca="1">_xlfn.IFNA(SUM((BE$3&gt;='Gastos com Pessoal'!$E$7:$E$506)*(BE$3&lt;='Gastos com Pessoal'!$F$7:$F$506)*OFFSET('Encargos e Benefícios'!$D$5,1,MATCH($B38,'Encargos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152569.3774956812</v>
      </c>
      <c r="BF38" s="188">
        <f t="array" aca="1" ref="BF38" ca="1">_xlfn.IFNA(SUM((BF$3&gt;='Gastos com Pessoal'!$E$7:$E$506)*(BF$3&lt;='Gastos com Pessoal'!$F$7:$F$506)*OFFSET('Encargos e Benefícios'!$D$5,1,MATCH($B38,'Encargos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152569.3774956812</v>
      </c>
      <c r="BG38" s="188">
        <f t="array" aca="1" ref="BG38" ca="1">_xlfn.IFNA(SUM((BG$3&gt;='Gastos com Pessoal'!$E$7:$E$506)*(BG$3&lt;='Gastos com Pessoal'!$F$7:$F$506)*OFFSET('Encargos e Benefícios'!$D$5,1,MATCH($B38,'Encargos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152569.3774956812</v>
      </c>
      <c r="BH38" s="188">
        <f t="array" aca="1" ref="BH38" ca="1">_xlfn.IFNA(SUM((BH$3&gt;='Gastos com Pessoal'!$E$7:$E$506)*(BH$3&lt;='Gastos com Pessoal'!$F$7:$F$506)*OFFSET('Encargos e Benefícios'!$D$5,1,MATCH($B38,'Encargos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152569.3774956812</v>
      </c>
      <c r="BI38" s="188">
        <f t="array" aca="1" ref="BI38" ca="1">_xlfn.IFNA(SUM((BI$3&gt;='Gastos com Pessoal'!$E$7:$E$506)*(BI$3&lt;='Gastos com Pessoal'!$F$7:$F$506)*OFFSET('Encargos e Benefícios'!$D$5,1,MATCH($B38,'Encargos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152569.3774956812</v>
      </c>
      <c r="BJ38" s="188">
        <f t="array" aca="1" ref="BJ38" ca="1">_xlfn.IFNA(SUM((BJ$3&gt;='Gastos com Pessoal'!$E$7:$E$506)*(BJ$3&lt;='Gastos com Pessoal'!$F$7:$F$506)*OFFSET('Encargos e Benefícios'!$D$5,1,MATCH($B38,'Encargos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152569.3774956812</v>
      </c>
      <c r="BK38" s="189">
        <f t="shared" ca="1" si="22"/>
        <v>7776181.4042233238</v>
      </c>
      <c r="BL38" s="136">
        <f t="shared" ca="1" si="23"/>
        <v>2.3241488427273409E-2</v>
      </c>
      <c r="BN38" s="188">
        <f t="array" aca="1" ref="BN38" ca="1">_xlfn.IFNA(SUM((BN$3&gt;='Gastos com Pessoal'!$E$7:$E$506)*(BN$3&lt;='Gastos com Pessoal'!$F$7:$F$506)*OFFSET('Encargos e Benefícios'!$D$5,1,MATCH($B38,'Encargos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90978.737500000017</v>
      </c>
    </row>
    <row r="39" spans="1:66" s="160" customFormat="1" ht="23.25" customHeight="1">
      <c r="A39" s="198" t="s">
        <v>163</v>
      </c>
      <c r="B39" s="81" t="s">
        <v>164</v>
      </c>
      <c r="C39" s="188">
        <f t="shared" ca="1" si="21"/>
        <v>27293.621250000007</v>
      </c>
      <c r="D39" s="188">
        <f t="array" aca="1" ref="D39" ca="1">_xlfn.IFNA(SUM((D$3&gt;='Gastos com Pessoal'!$E$7:$E$506)*(D$3&lt;='Gastos com Pessoal'!$F$7:$F$506)*OFFSET('Encargos e Benefícios'!$D$5,1,MATCH($B39,'Encargos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Pessoal'!$AF$7:$AF$506)+1,1))),0)+_xlfn.IFNA(SUM((D$3&gt;='Gastos com Pessoal'!$E$513:$E$522)*(D$3&lt;='Gastos com Pessoal'!$F$513:$F$522)*OFFSET('Encargos e Benefícios'!$D$511,1,MATCH($B39,'Encargos e Benefícios'!$F$511:$AB$511,0),10,1)*(IF('Gastos com Pessoal'!$G$513:$G$522&lt;=D$3,('Gastos com Pessoal'!$H$513:$H$522)+1,1))*(IF('Gastos com Pessoal'!$M$513:$M$522&lt;=D$3,('Gastos com Pessoal'!$N$513:$N$522)+1,1))*(IF('Gastos com Pessoal'!$S$513:$S$522&lt;=D$3,('Gastos com Pessoal'!$T$513:$T$522)+1,1))*(IF('Gastos com Pessoal'!$Y$513:$Y$522&lt;=D$3,('Gastos com Pessoal'!$Z$513:$Z$522)+1,1))*(IF('Gastos com Pessoal'!$AE$513:$AE$522&lt;=D$3,('Gastos com Pessoal'!$AF$513:$AF$522)+1,1))),0)</f>
        <v>107808.45333333337</v>
      </c>
      <c r="E39" s="188">
        <f t="array" aca="1" ref="E39" ca="1">_xlfn.IFNA(SUM((E$3&gt;='Gastos com Pessoal'!$E$7:$E$506)*(E$3&lt;='Gastos com Pessoal'!$F$7:$F$506)*OFFSET('Encargos e Benefícios'!$D$5,1,MATCH($B39,'Encargos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Pessoal'!$AF$7:$AF$506)+1,1))),0)+_xlfn.IFNA(SUM((E$3&gt;='Gastos com Pessoal'!$E$513:$E$522)*(E$3&lt;='Gastos com Pessoal'!$F$513:$F$522)*OFFSET('Encargos e Benefícios'!$D$511,1,MATCH($B39,'Encargos e Benefícios'!$F$511:$AB$511,0),10,1)*(IF('Gastos com Pessoal'!$G$513:$G$522&lt;=E$3,('Gastos com Pessoal'!$H$513:$H$522)+1,1))*(IF('Gastos com Pessoal'!$M$513:$M$522&lt;=E$3,('Gastos com Pessoal'!$N$513:$N$522)+1,1))*(IF('Gastos com Pessoal'!$S$513:$S$522&lt;=E$3,('Gastos com Pessoal'!$T$513:$T$522)+1,1))*(IF('Gastos com Pessoal'!$Y$513:$Y$522&lt;=E$3,('Gastos com Pessoal'!$Z$513:$Z$522)+1,1))*(IF('Gastos com Pessoal'!$AE$513:$AE$522&lt;=E$3,('Gastos com Pessoal'!$AF$513:$AF$522)+1,1))),0)</f>
        <v>114925.90250000005</v>
      </c>
      <c r="F39" s="188">
        <f t="array" aca="1" ref="F39" ca="1">_xlfn.IFNA(SUM((F$3&gt;='Gastos com Pessoal'!$E$7:$E$506)*(F$3&lt;='Gastos com Pessoal'!$F$7:$F$506)*OFFSET('Encargos e Benefícios'!$D$5,1,MATCH($B39,'Encargos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Pessoal'!$AF$7:$AF$506)+1,1))),0)+_xlfn.IFNA(SUM((F$3&gt;='Gastos com Pessoal'!$E$513:$E$522)*(F$3&lt;='Gastos com Pessoal'!$F$513:$F$522)*OFFSET('Encargos e Benefícios'!$D$511,1,MATCH($B39,'Encargos e Benefícios'!$F$511:$AB$511,0),10,1)*(IF('Gastos com Pessoal'!$G$513:$G$522&lt;=F$3,('Gastos com Pessoal'!$H$513:$H$522)+1,1))*(IF('Gastos com Pessoal'!$M$513:$M$522&lt;=F$3,('Gastos com Pessoal'!$N$513:$N$522)+1,1))*(IF('Gastos com Pessoal'!$S$513:$S$522&lt;=F$3,('Gastos com Pessoal'!$T$513:$T$522)+1,1))*(IF('Gastos com Pessoal'!$Y$513:$Y$522&lt;=F$3,('Gastos com Pessoal'!$Z$513:$Z$522)+1,1))*(IF('Gastos com Pessoal'!$AE$513:$AE$522&lt;=F$3,('Gastos com Pessoal'!$AF$513:$AF$522)+1,1))),0)</f>
        <v>114925.90250000005</v>
      </c>
      <c r="G39" s="188">
        <f t="array" aca="1" ref="G39" ca="1">_xlfn.IFNA(SUM((G$3&gt;='Gastos com Pessoal'!$E$7:$E$506)*(G$3&lt;='Gastos com Pessoal'!$F$7:$F$506)*OFFSET('Encargos e Benefícios'!$D$5,1,MATCH($B39,'Encargos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Pessoal'!$AF$7:$AF$506)+1,1))),0)+_xlfn.IFNA(SUM((G$3&gt;='Gastos com Pessoal'!$E$513:$E$522)*(G$3&lt;='Gastos com Pessoal'!$F$513:$F$522)*OFFSET('Encargos e Benefícios'!$D$511,1,MATCH($B39,'Encargos e Benefícios'!$F$511:$AB$511,0),10,1)*(IF('Gastos com Pessoal'!$G$513:$G$522&lt;=G$3,('Gastos com Pessoal'!$H$513:$H$522)+1,1))*(IF('Gastos com Pessoal'!$M$513:$M$522&lt;=G$3,('Gastos com Pessoal'!$N$513:$N$522)+1,1))*(IF('Gastos com Pessoal'!$S$513:$S$522&lt;=G$3,('Gastos com Pessoal'!$T$513:$T$522)+1,1))*(IF('Gastos com Pessoal'!$Y$513:$Y$522&lt;=G$3,('Gastos com Pessoal'!$Z$513:$Z$522)+1,1))*(IF('Gastos com Pessoal'!$AE$513:$AE$522&lt;=G$3,('Gastos com Pessoal'!$AF$513:$AF$522)+1,1))),0)</f>
        <v>114925.90250000005</v>
      </c>
      <c r="H39" s="188">
        <f t="array" aca="1" ref="H39" ca="1">_xlfn.IFNA(SUM((H$3&gt;='Gastos com Pessoal'!$E$7:$E$506)*(H$3&lt;='Gastos com Pessoal'!$F$7:$F$506)*OFFSET('Encargos e Benefícios'!$D$5,1,MATCH($B39,'Encargos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Pessoal'!$AF$7:$AF$506)+1,1))),0)+_xlfn.IFNA(SUM((H$3&gt;='Gastos com Pessoal'!$E$513:$E$522)*(H$3&lt;='Gastos com Pessoal'!$F$513:$F$522)*OFFSET('Encargos e Benefícios'!$D$511,1,MATCH($B39,'Encargos e Benefícios'!$F$511:$AB$511,0),10,1)*(IF('Gastos com Pessoal'!$G$513:$G$522&lt;=H$3,('Gastos com Pessoal'!$H$513:$H$522)+1,1))*(IF('Gastos com Pessoal'!$M$513:$M$522&lt;=H$3,('Gastos com Pessoal'!$N$513:$N$522)+1,1))*(IF('Gastos com Pessoal'!$S$513:$S$522&lt;=H$3,('Gastos com Pessoal'!$T$513:$T$522)+1,1))*(IF('Gastos com Pessoal'!$Y$513:$Y$522&lt;=H$3,('Gastos com Pessoal'!$Z$513:$Z$522)+1,1))*(IF('Gastos com Pessoal'!$AE$513:$AE$522&lt;=H$3,('Gastos com Pessoal'!$AF$513:$AF$522)+1,1))),0)</f>
        <v>120936.77520600035</v>
      </c>
      <c r="I39" s="188">
        <f t="array" aca="1" ref="I39" ca="1">_xlfn.IFNA(SUM((I$3&gt;='Gastos com Pessoal'!$E$7:$E$506)*(I$3&lt;='Gastos com Pessoal'!$F$7:$F$506)*OFFSET('Encargos e Benefícios'!$D$5,1,MATCH($B39,'Encargos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Pessoal'!$AF$7:$AF$506)+1,1))),0)+_xlfn.IFNA(SUM((I$3&gt;='Gastos com Pessoal'!$E$513:$E$522)*(I$3&lt;='Gastos com Pessoal'!$F$513:$F$522)*OFFSET('Encargos e Benefícios'!$D$511,1,MATCH($B39,'Encargos e Benefícios'!$F$511:$AB$511,0),10,1)*(IF('Gastos com Pessoal'!$G$513:$G$522&lt;=I$3,('Gastos com Pessoal'!$H$513:$H$522)+1,1))*(IF('Gastos com Pessoal'!$M$513:$M$522&lt;=I$3,('Gastos com Pessoal'!$N$513:$N$522)+1,1))*(IF('Gastos com Pessoal'!$S$513:$S$522&lt;=I$3,('Gastos com Pessoal'!$T$513:$T$522)+1,1))*(IF('Gastos com Pessoal'!$Y$513:$Y$522&lt;=I$3,('Gastos com Pessoal'!$Z$513:$Z$522)+1,1))*(IF('Gastos com Pessoal'!$AE$513:$AE$522&lt;=I$3,('Gastos com Pessoal'!$AF$513:$AF$522)+1,1))),0)</f>
        <v>120936.77520600035</v>
      </c>
      <c r="J39" s="188">
        <f t="array" aca="1" ref="J39" ca="1">_xlfn.IFNA(SUM((J$3&gt;='Gastos com Pessoal'!$E$7:$E$506)*(J$3&lt;='Gastos com Pessoal'!$F$7:$F$506)*OFFSET('Encargos e Benefícios'!$D$5,1,MATCH($B39,'Encargos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Pessoal'!$AF$7:$AF$506)+1,1))),0)+_xlfn.IFNA(SUM((J$3&gt;='Gastos com Pessoal'!$E$513:$E$522)*(J$3&lt;='Gastos com Pessoal'!$F$513:$F$522)*OFFSET('Encargos e Benefícios'!$D$511,1,MATCH($B39,'Encargos e Benefícios'!$F$511:$AB$511,0),10,1)*(IF('Gastos com Pessoal'!$G$513:$G$522&lt;=J$3,('Gastos com Pessoal'!$H$513:$H$522)+1,1))*(IF('Gastos com Pessoal'!$M$513:$M$522&lt;=J$3,('Gastos com Pessoal'!$N$513:$N$522)+1,1))*(IF('Gastos com Pessoal'!$S$513:$S$522&lt;=J$3,('Gastos com Pessoal'!$T$513:$T$522)+1,1))*(IF('Gastos com Pessoal'!$Y$513:$Y$522&lt;=J$3,('Gastos com Pessoal'!$Z$513:$Z$522)+1,1))*(IF('Gastos com Pessoal'!$AE$513:$AE$522&lt;=J$3,('Gastos com Pessoal'!$AF$513:$AF$522)+1,1))),0)</f>
        <v>120936.77520600035</v>
      </c>
      <c r="K39" s="188">
        <f t="array" aca="1" ref="K39" ca="1">_xlfn.IFNA(SUM((K$3&gt;='Gastos com Pessoal'!$E$7:$E$506)*(K$3&lt;='Gastos com Pessoal'!$F$7:$F$506)*OFFSET('Encargos e Benefícios'!$D$5,1,MATCH($B39,'Encargos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Pessoal'!$AF$7:$AF$506)+1,1))),0)+_xlfn.IFNA(SUM((K$3&gt;='Gastos com Pessoal'!$E$513:$E$522)*(K$3&lt;='Gastos com Pessoal'!$F$513:$F$522)*OFFSET('Encargos e Benefícios'!$D$511,1,MATCH($B39,'Encargos e Benefícios'!$F$511:$AB$511,0),10,1)*(IF('Gastos com Pessoal'!$G$513:$G$522&lt;=K$3,('Gastos com Pessoal'!$H$513:$H$522)+1,1))*(IF('Gastos com Pessoal'!$M$513:$M$522&lt;=K$3,('Gastos com Pessoal'!$N$513:$N$522)+1,1))*(IF('Gastos com Pessoal'!$S$513:$S$522&lt;=K$3,('Gastos com Pessoal'!$T$513:$T$522)+1,1))*(IF('Gastos com Pessoal'!$Y$513:$Y$522&lt;=K$3,('Gastos com Pessoal'!$Z$513:$Z$522)+1,1))*(IF('Gastos com Pessoal'!$AE$513:$AE$522&lt;=K$3,('Gastos com Pessoal'!$AF$513:$AF$522)+1,1))),0)</f>
        <v>120936.77520600035</v>
      </c>
      <c r="L39" s="188">
        <f t="array" aca="1" ref="L39" ca="1">_xlfn.IFNA(SUM((L$3&gt;='Gastos com Pessoal'!$E$7:$E$506)*(L$3&lt;='Gastos com Pessoal'!$F$7:$F$506)*OFFSET('Encargos e Benefícios'!$D$5,1,MATCH($B39,'Encargos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Pessoal'!$AF$7:$AF$506)+1,1))),0)+_xlfn.IFNA(SUM((L$3&gt;='Gastos com Pessoal'!$E$513:$E$522)*(L$3&lt;='Gastos com Pessoal'!$F$513:$F$522)*OFFSET('Encargos e Benefícios'!$D$511,1,MATCH($B39,'Encargos e Benefícios'!$F$511:$AB$511,0),10,1)*(IF('Gastos com Pessoal'!$G$513:$G$522&lt;=L$3,('Gastos com Pessoal'!$H$513:$H$522)+1,1))*(IF('Gastos com Pessoal'!$M$513:$M$522&lt;=L$3,('Gastos com Pessoal'!$N$513:$N$522)+1,1))*(IF('Gastos com Pessoal'!$S$513:$S$522&lt;=L$3,('Gastos com Pessoal'!$T$513:$T$522)+1,1))*(IF('Gastos com Pessoal'!$Y$513:$Y$522&lt;=L$3,('Gastos com Pessoal'!$Z$513:$Z$522)+1,1))*(IF('Gastos com Pessoal'!$AE$513:$AE$522&lt;=L$3,('Gastos com Pessoal'!$AF$513:$AF$522)+1,1))),0)</f>
        <v>120936.77520600035</v>
      </c>
      <c r="M39" s="188">
        <f t="array" aca="1" ref="M39" ca="1">_xlfn.IFNA(SUM((M$3&gt;='Gastos com Pessoal'!$E$7:$E$506)*(M$3&lt;='Gastos com Pessoal'!$F$7:$F$506)*OFFSET('Encargos e Benefícios'!$D$5,1,MATCH($B39,'Encargos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Pessoal'!$AF$7:$AF$506)+1,1))),0)+_xlfn.IFNA(SUM((M$3&gt;='Gastos com Pessoal'!$E$513:$E$522)*(M$3&lt;='Gastos com Pessoal'!$F$513:$F$522)*OFFSET('Encargos e Benefícios'!$D$511,1,MATCH($B39,'Encargos e Benefícios'!$F$511:$AB$511,0),10,1)*(IF('Gastos com Pessoal'!$G$513:$G$522&lt;=M$3,('Gastos com Pessoal'!$H$513:$H$522)+1,1))*(IF('Gastos com Pessoal'!$M$513:$M$522&lt;=M$3,('Gastos com Pessoal'!$N$513:$N$522)+1,1))*(IF('Gastos com Pessoal'!$S$513:$S$522&lt;=M$3,('Gastos com Pessoal'!$T$513:$T$522)+1,1))*(IF('Gastos com Pessoal'!$Y$513:$Y$522&lt;=M$3,('Gastos com Pessoal'!$Z$513:$Z$522)+1,1))*(IF('Gastos com Pessoal'!$AE$513:$AE$522&lt;=M$3,('Gastos com Pessoal'!$AF$513:$AF$522)+1,1))),0)</f>
        <v>121842.90672600036</v>
      </c>
      <c r="N39" s="188">
        <f t="array" aca="1" ref="N39" ca="1">_xlfn.IFNA(SUM((N$3&gt;='Gastos com Pessoal'!$E$7:$E$506)*(N$3&lt;='Gastos com Pessoal'!$F$7:$F$506)*OFFSET('Encargos e Benefícios'!$D$5,1,MATCH($B39,'Encargos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Pessoal'!$AF$7:$AF$506)+1,1))),0)+_xlfn.IFNA(SUM((N$3&gt;='Gastos com Pessoal'!$E$513:$E$522)*(N$3&lt;='Gastos com Pessoal'!$F$513:$F$522)*OFFSET('Encargos e Benefícios'!$D$511,1,MATCH($B39,'Encargos e Benefícios'!$F$511:$AB$511,0),10,1)*(IF('Gastos com Pessoal'!$G$513:$G$522&lt;=N$3,('Gastos com Pessoal'!$H$513:$H$522)+1,1))*(IF('Gastos com Pessoal'!$M$513:$M$522&lt;=N$3,('Gastos com Pessoal'!$N$513:$N$522)+1,1))*(IF('Gastos com Pessoal'!$S$513:$S$522&lt;=N$3,('Gastos com Pessoal'!$T$513:$T$522)+1,1))*(IF('Gastos com Pessoal'!$Y$513:$Y$522&lt;=N$3,('Gastos com Pessoal'!$Z$513:$Z$522)+1,1))*(IF('Gastos com Pessoal'!$AE$513:$AE$522&lt;=N$3,('Gastos com Pessoal'!$AF$513:$AF$522)+1,1))),0)</f>
        <v>127259.21492400042</v>
      </c>
      <c r="O39" s="188">
        <f t="array" aca="1" ref="O39" ca="1">_xlfn.IFNA(SUM((O$3&gt;='Gastos com Pessoal'!$E$7:$E$506)*(O$3&lt;='Gastos com Pessoal'!$F$7:$F$506)*OFFSET('Encargos e Benefícios'!$D$5,1,MATCH($B39,'Encargos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Pessoal'!$AF$7:$AF$506)+1,1))),0)+_xlfn.IFNA(SUM((O$3&gt;='Gastos com Pessoal'!$E$513:$E$522)*(O$3&lt;='Gastos com Pessoal'!$F$513:$F$522)*OFFSET('Encargos e Benefícios'!$D$511,1,MATCH($B39,'Encargos e Benefícios'!$F$511:$AB$511,0),10,1)*(IF('Gastos com Pessoal'!$G$513:$G$522&lt;=O$3,('Gastos com Pessoal'!$H$513:$H$522)+1,1))*(IF('Gastos com Pessoal'!$M$513:$M$522&lt;=O$3,('Gastos com Pessoal'!$N$513:$N$522)+1,1))*(IF('Gastos com Pessoal'!$S$513:$S$522&lt;=O$3,('Gastos com Pessoal'!$T$513:$T$522)+1,1))*(IF('Gastos com Pessoal'!$Y$513:$Y$522&lt;=O$3,('Gastos com Pessoal'!$Z$513:$Z$522)+1,1))*(IF('Gastos com Pessoal'!$AE$513:$AE$522&lt;=O$3,('Gastos com Pessoal'!$AF$513:$AF$522)+1,1))),0)</f>
        <v>127259.21492400042</v>
      </c>
      <c r="P39" s="188">
        <f t="array" aca="1" ref="P39" ca="1">_xlfn.IFNA(SUM((P$3&gt;='Gastos com Pessoal'!$E$7:$E$506)*(P$3&lt;='Gastos com Pessoal'!$F$7:$F$506)*OFFSET('Encargos e Benefícios'!$D$5,1,MATCH($B39,'Encargos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Pessoal'!$AF$7:$AF$506)+1,1))),0)+_xlfn.IFNA(SUM((P$3&gt;='Gastos com Pessoal'!$E$513:$E$522)*(P$3&lt;='Gastos com Pessoal'!$F$513:$F$522)*OFFSET('Encargos e Benefícios'!$D$511,1,MATCH($B39,'Encargos e Benefícios'!$F$511:$AB$511,0),10,1)*(IF('Gastos com Pessoal'!$G$513:$G$522&lt;=P$3,('Gastos com Pessoal'!$H$513:$H$522)+1,1))*(IF('Gastos com Pessoal'!$M$513:$M$522&lt;=P$3,('Gastos com Pessoal'!$N$513:$N$522)+1,1))*(IF('Gastos com Pessoal'!$S$513:$S$522&lt;=P$3,('Gastos com Pessoal'!$T$513:$T$522)+1,1))*(IF('Gastos com Pessoal'!$Y$513:$Y$522&lt;=P$3,('Gastos com Pessoal'!$Z$513:$Z$522)+1,1))*(IF('Gastos com Pessoal'!$AE$513:$AE$522&lt;=P$3,('Gastos com Pessoal'!$AF$513:$AF$522)+1,1))),0)</f>
        <v>116165.34644400043</v>
      </c>
      <c r="Q39" s="188">
        <v>0</v>
      </c>
      <c r="R39" s="188">
        <v>0</v>
      </c>
      <c r="S39" s="188">
        <v>0</v>
      </c>
      <c r="T39" s="188">
        <v>0</v>
      </c>
      <c r="U39" s="188">
        <v>0</v>
      </c>
      <c r="V39" s="188">
        <v>0</v>
      </c>
      <c r="W39" s="188">
        <v>0</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9">
        <f t="shared" ca="1" si="22"/>
        <v>1577090.341131337</v>
      </c>
      <c r="BL39" s="136">
        <f t="shared" ca="1" si="23"/>
        <v>4.7136152060780782E-3</v>
      </c>
      <c r="BN39" s="188">
        <f t="array" aca="1" ref="BN39" ca="1">_xlfn.IFNA(SUM((BN$3&gt;='Gastos com Pessoal'!$E$7:$E$506)*(BN$3&lt;='Gastos com Pessoal'!$F$7:$F$506)*OFFSET('Encargos e Benefícios'!$D$5,1,MATCH($B39,'Encargos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Pessoal'!$AF$7:$AF$506)+1,1))),0)+_xlfn.IFNA(SUM((BN$3&gt;='Gastos com Pessoal'!$E$513:$E$522)*(BN$3&lt;='Gastos com Pessoal'!$F$513:$F$522)*OFFSET('Encargos e Benefícios'!$D$511,1,MATCH($B39,'Encargos e Benefícios'!$F$511:$AB$511,0),10,1)*(IF('Gastos com Pessoal'!$G$513:$G$522&lt;=BN$3,('Gastos com Pessoal'!$H$513:$H$522)+1,1))*(IF('Gastos com Pessoal'!$M$513:$M$522&lt;=BN$3,('Gastos com Pessoal'!$N$513:$N$522)+1,1))*(IF('Gastos com Pessoal'!$S$513:$S$522&lt;=BN$3,('Gastos com Pessoal'!$T$513:$T$522)+1,1))*(IF('Gastos com Pessoal'!$Y$513:$Y$522&lt;=BN$3,('Gastos com Pessoal'!$Z$513:$Z$522)+1,1))*(IF('Gastos com Pessoal'!$AE$513:$AE$522&lt;=BN$3,('Gastos com Pessoal'!$AF$513:$AF$522)+1,1))),0)</f>
        <v>90978.737500000017</v>
      </c>
    </row>
    <row r="40" spans="1:66" s="160" customFormat="1" ht="23.25" customHeight="1">
      <c r="A40" s="198" t="s">
        <v>165</v>
      </c>
      <c r="B40" s="81" t="s">
        <v>166</v>
      </c>
      <c r="C40" s="188">
        <f t="shared" ca="1" si="21"/>
        <v>9867.8737500000007</v>
      </c>
      <c r="D40" s="188">
        <f t="array" aca="1" ref="D40" ca="1">_xlfn.IFNA(SUM((D$3&gt;='Gastos com Pessoal'!$E$7:$E$506)*(D$3&lt;='Gastos com Pessoal'!$F$7:$F$506)*OFFSET('Encargos e Benefícios'!$D$5,1,MATCH($B40,'Encargos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35296.15111111111</v>
      </c>
      <c r="E40" s="188">
        <f t="array" aca="1" ref="E40" ca="1">_xlfn.IFNA(SUM((E$3&gt;='Gastos com Pessoal'!$E$7:$E$506)*(E$3&lt;='Gastos com Pessoal'!$F$7:$F$506)*OFFSET('Encargos e Benefícios'!$D$5,1,MATCH($B40,'Encargos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37128.634166666649</v>
      </c>
      <c r="F40" s="188">
        <f t="array" aca="1" ref="F40" ca="1">_xlfn.IFNA(SUM((F$3&gt;='Gastos com Pessoal'!$E$7:$E$506)*(F$3&lt;='Gastos com Pessoal'!$F$7:$F$506)*OFFSET('Encargos e Benefícios'!$D$5,1,MATCH($B40,'Encargos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37128.634166666649</v>
      </c>
      <c r="G40" s="188">
        <f t="array" aca="1" ref="G40" ca="1">_xlfn.IFNA(SUM((G$3&gt;='Gastos com Pessoal'!$E$7:$E$506)*(G$3&lt;='Gastos com Pessoal'!$F$7:$F$506)*OFFSET('Encargos e Benefícios'!$D$5,1,MATCH($B40,'Encargos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37128.634166666649</v>
      </c>
      <c r="H40" s="188">
        <f t="array" aca="1" ref="H40" ca="1">_xlfn.IFNA(SUM((H$3&gt;='Gastos com Pessoal'!$E$7:$E$506)*(H$3&lt;='Gastos com Pessoal'!$F$7:$F$506)*OFFSET('Encargos e Benefícios'!$D$5,1,MATCH($B40,'Encargos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39296.94640199998</v>
      </c>
      <c r="I40" s="188">
        <f t="array" aca="1" ref="I40" ca="1">_xlfn.IFNA(SUM((I$3&gt;='Gastos com Pessoal'!$E$7:$E$506)*(I$3&lt;='Gastos com Pessoal'!$F$7:$F$506)*OFFSET('Encargos e Benefícios'!$D$5,1,MATCH($B40,'Encargos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39296.94640199998</v>
      </c>
      <c r="J40" s="188">
        <f t="array" aca="1" ref="J40" ca="1">_xlfn.IFNA(SUM((J$3&gt;='Gastos com Pessoal'!$E$7:$E$506)*(J$3&lt;='Gastos com Pessoal'!$F$7:$F$506)*OFFSET('Encargos e Benefícios'!$D$5,1,MATCH($B40,'Encargos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39296.94640199998</v>
      </c>
      <c r="K40" s="188">
        <f t="array" aca="1" ref="K40" ca="1">_xlfn.IFNA(SUM((K$3&gt;='Gastos com Pessoal'!$E$7:$E$506)*(K$3&lt;='Gastos com Pessoal'!$F$7:$F$506)*OFFSET('Encargos e Benefícios'!$D$5,1,MATCH($B40,'Encargos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39296.94640199998</v>
      </c>
      <c r="L40" s="188">
        <f t="array" aca="1" ref="L40" ca="1">_xlfn.IFNA(SUM((L$3&gt;='Gastos com Pessoal'!$E$7:$E$506)*(L$3&lt;='Gastos com Pessoal'!$F$7:$F$506)*OFFSET('Encargos e Benefícios'!$D$5,1,MATCH($B40,'Encargos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39296.94640199998</v>
      </c>
      <c r="M40" s="188">
        <f t="array" aca="1" ref="M40" ca="1">_xlfn.IFNA(SUM((M$3&gt;='Gastos com Pessoal'!$E$7:$E$506)*(M$3&lt;='Gastos com Pessoal'!$F$7:$F$506)*OFFSET('Encargos e Benefícios'!$D$5,1,MATCH($B40,'Encargos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39598.990241999978</v>
      </c>
      <c r="N40" s="188">
        <f t="array" aca="1" ref="N40" ca="1">_xlfn.IFNA(SUM((N$3&gt;='Gastos com Pessoal'!$E$7:$E$506)*(N$3&lt;='Gastos com Pessoal'!$F$7:$F$506)*OFFSET('Encargos e Benefícios'!$D$5,1,MATCH($B40,'Encargos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41538.490307999957</v>
      </c>
      <c r="O40" s="188">
        <f t="array" aca="1" ref="O40" ca="1">_xlfn.IFNA(SUM((O$3&gt;='Gastos com Pessoal'!$E$7:$E$506)*(O$3&lt;='Gastos com Pessoal'!$F$7:$F$506)*OFFSET('Encargos e Benefícios'!$D$5,1,MATCH($B40,'Encargos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41538.490307999957</v>
      </c>
      <c r="P40" s="188">
        <f t="array" aca="1" ref="P40" ca="1">_xlfn.IFNA(SUM((P$3&gt;='Gastos com Pessoal'!$E$7:$E$506)*(P$3&lt;='Gastos com Pessoal'!$F$7:$F$506)*OFFSET('Encargos e Benefícios'!$D$5,1,MATCH($B40,'Encargos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41840.534147999948</v>
      </c>
      <c r="Q40" s="188">
        <f t="array" aca="1" ref="Q40" ca="1">_xlfn.IFNA(SUM((Q$3&gt;='Gastos com Pessoal'!$E$7:$E$506)*(Q$3&lt;='Gastos com Pessoal'!$F$7:$F$506)*OFFSET('Encargos e Benefícios'!$D$5,1,MATCH($B40,'Encargos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43780.034213999934</v>
      </c>
      <c r="R40" s="188">
        <f t="array" aca="1" ref="R40" ca="1">_xlfn.IFNA(SUM((R$3&gt;='Gastos com Pessoal'!$E$7:$E$506)*(R$3&lt;='Gastos com Pessoal'!$F$7:$F$506)*OFFSET('Encargos e Benefícios'!$D$5,1,MATCH($B40,'Encargos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43780.034213999934</v>
      </c>
      <c r="S40" s="188">
        <f t="array" aca="1" ref="S40" ca="1">_xlfn.IFNA(SUM((S$3&gt;='Gastos com Pessoal'!$E$7:$E$506)*(S$3&lt;='Gastos com Pessoal'!$F$7:$F$506)*OFFSET('Encargos e Benefícios'!$D$5,1,MATCH($B40,'Encargos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43780.034213999934</v>
      </c>
      <c r="T40" s="188">
        <f t="array" aca="1" ref="T40" ca="1">_xlfn.IFNA(SUM((T$3&gt;='Gastos com Pessoal'!$E$7:$E$506)*(T$3&lt;='Gastos com Pessoal'!$F$7:$F$506)*OFFSET('Encargos e Benefícios'!$D$5,1,MATCH($B40,'Encargos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46336.788212097534</v>
      </c>
      <c r="U40" s="188">
        <f t="array" aca="1" ref="U40" ca="1">_xlfn.IFNA(SUM((U$3&gt;='Gastos com Pessoal'!$E$7:$E$506)*(U$3&lt;='Gastos com Pessoal'!$F$7:$F$506)*OFFSET('Encargos e Benefícios'!$D$5,1,MATCH($B40,'Encargos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46336.788212097534</v>
      </c>
      <c r="V40" s="188">
        <f t="array" aca="1" ref="V40" ca="1">_xlfn.IFNA(SUM((V$3&gt;='Gastos com Pessoal'!$E$7:$E$506)*(V$3&lt;='Gastos com Pessoal'!$F$7:$F$506)*OFFSET('Encargos e Benefícios'!$D$5,1,MATCH($B40,'Encargos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46336.788212097534</v>
      </c>
      <c r="W40" s="188">
        <f t="array" aca="1" ref="W40" ca="1">_xlfn.IFNA(SUM((W$3&gt;='Gastos com Pessoal'!$E$7:$E$506)*(W$3&lt;='Gastos com Pessoal'!$F$7:$F$506)*OFFSET('Encargos e Benefícios'!$D$5,1,MATCH($B40,'Encargos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46336.788212097534</v>
      </c>
      <c r="X40" s="188">
        <f t="array" aca="1" ref="X40" ca="1">_xlfn.IFNA(SUM((X$3&gt;='Gastos com Pessoal'!$E$7:$E$506)*(X$3&lt;='Gastos com Pessoal'!$F$7:$F$506)*OFFSET('Encargos e Benefícios'!$D$5,1,MATCH($B40,'Encargos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46336.788212097534</v>
      </c>
      <c r="Y40" s="188">
        <f t="array" aca="1" ref="Y40" ca="1">_xlfn.IFNA(SUM((Y$3&gt;='Gastos com Pessoal'!$E$7:$E$506)*(Y$3&lt;='Gastos com Pessoal'!$F$7:$F$506)*OFFSET('Encargos e Benefícios'!$D$5,1,MATCH($B40,'Encargos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46336.788212097534</v>
      </c>
      <c r="Z40" s="188">
        <f t="array" aca="1" ref="Z40" ca="1">_xlfn.IFNA(SUM((Z$3&gt;='Gastos com Pessoal'!$E$7:$E$506)*(Z$3&lt;='Gastos com Pessoal'!$F$7:$F$506)*OFFSET('Encargos e Benefícios'!$D$5,1,MATCH($B40,'Encargos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46336.788212097534</v>
      </c>
      <c r="AA40" s="188">
        <f t="array" aca="1" ref="AA40" ca="1">_xlfn.IFNA(SUM((AA$3&gt;='Gastos com Pessoal'!$E$7:$E$506)*(AA$3&lt;='Gastos com Pessoal'!$F$7:$F$506)*OFFSET('Encargos e Benefícios'!$D$5,1,MATCH($B40,'Encargos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46336.788212097534</v>
      </c>
      <c r="AB40" s="188">
        <f t="array" aca="1" ref="AB40" ca="1">_xlfn.IFNA(SUM((AB$3&gt;='Gastos com Pessoal'!$E$7:$E$506)*(AB$3&lt;='Gastos com Pessoal'!$F$7:$F$506)*OFFSET('Encargos e Benefícios'!$D$5,1,MATCH($B40,'Encargos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46336.788212097534</v>
      </c>
      <c r="AC40" s="188">
        <f t="array" aca="1" ref="AC40" ca="1">_xlfn.IFNA(SUM((AC$3&gt;='Gastos com Pessoal'!$E$7:$E$506)*(AC$3&lt;='Gastos com Pessoal'!$F$7:$F$506)*OFFSET('Encargos e Benefícios'!$D$5,1,MATCH($B40,'Encargos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46336.788212097534</v>
      </c>
      <c r="AD40" s="188">
        <f t="array" aca="1" ref="AD40" ca="1">_xlfn.IFNA(SUM((AD$3&gt;='Gastos com Pessoal'!$E$7:$E$506)*(AD$3&lt;='Gastos com Pessoal'!$F$7:$F$506)*OFFSET('Encargos e Benefícios'!$D$5,1,MATCH($B40,'Encargos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46336.788212097534</v>
      </c>
      <c r="AE40" s="188">
        <f t="array" aca="1" ref="AE40" ca="1">_xlfn.IFNA(SUM((AE$3&gt;='Gastos com Pessoal'!$E$7:$E$506)*(AE$3&lt;='Gastos com Pessoal'!$F$7:$F$506)*OFFSET('Encargos e Benefícios'!$D$5,1,MATCH($B40,'Encargos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46336.788212097534</v>
      </c>
      <c r="AF40" s="188">
        <f t="array" aca="1" ref="AF40" ca="1">_xlfn.IFNA(SUM((AF$3&gt;='Gastos com Pessoal'!$E$7:$E$506)*(AF$3&lt;='Gastos com Pessoal'!$F$7:$F$506)*OFFSET('Encargos e Benefícios'!$D$5,1,MATCH($B40,'Encargos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49042.856643684026</v>
      </c>
      <c r="AG40" s="188">
        <f t="array" aca="1" ref="AG40" ca="1">_xlfn.IFNA(SUM((AG$3&gt;='Gastos com Pessoal'!$E$7:$E$506)*(AG$3&lt;='Gastos com Pessoal'!$F$7:$F$506)*OFFSET('Encargos e Benefícios'!$D$5,1,MATCH($B40,'Encargos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49042.856643684026</v>
      </c>
      <c r="AH40" s="188">
        <f t="array" aca="1" ref="AH40" ca="1">_xlfn.IFNA(SUM((AH$3&gt;='Gastos com Pessoal'!$E$7:$E$506)*(AH$3&lt;='Gastos com Pessoal'!$F$7:$F$506)*OFFSET('Encargos e Benefícios'!$D$5,1,MATCH($B40,'Encargos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49042.856643684026</v>
      </c>
      <c r="AI40" s="188">
        <f t="array" aca="1" ref="AI40" ca="1">_xlfn.IFNA(SUM((AI$3&gt;='Gastos com Pessoal'!$E$7:$E$506)*(AI$3&lt;='Gastos com Pessoal'!$F$7:$F$506)*OFFSET('Encargos e Benefícios'!$D$5,1,MATCH($B40,'Encargos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49042.856643684026</v>
      </c>
      <c r="AJ40" s="188">
        <f t="array" aca="1" ref="AJ40" ca="1">_xlfn.IFNA(SUM((AJ$3&gt;='Gastos com Pessoal'!$E$7:$E$506)*(AJ$3&lt;='Gastos com Pessoal'!$F$7:$F$506)*OFFSET('Encargos e Benefícios'!$D$5,1,MATCH($B40,'Encargos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49042.856643684026</v>
      </c>
      <c r="AK40" s="188">
        <f t="array" aca="1" ref="AK40" ca="1">_xlfn.IFNA(SUM((AK$3&gt;='Gastos com Pessoal'!$E$7:$E$506)*(AK$3&lt;='Gastos com Pessoal'!$F$7:$F$506)*OFFSET('Encargos e Benefícios'!$D$5,1,MATCH($B40,'Encargos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49042.856643684026</v>
      </c>
      <c r="AL40" s="188">
        <f t="array" aca="1" ref="AL40" ca="1">_xlfn.IFNA(SUM((AL$3&gt;='Gastos com Pessoal'!$E$7:$E$506)*(AL$3&lt;='Gastos com Pessoal'!$F$7:$F$506)*OFFSET('Encargos e Benefícios'!$D$5,1,MATCH($B40,'Encargos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49042.856643684026</v>
      </c>
      <c r="AM40" s="188">
        <f t="array" aca="1" ref="AM40" ca="1">_xlfn.IFNA(SUM((AM$3&gt;='Gastos com Pessoal'!$E$7:$E$506)*(AM$3&lt;='Gastos com Pessoal'!$F$7:$F$506)*OFFSET('Encargos e Benefícios'!$D$5,1,MATCH($B40,'Encargos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49042.856643684026</v>
      </c>
      <c r="AN40" s="188">
        <f t="array" aca="1" ref="AN40" ca="1">_xlfn.IFNA(SUM((AN$3&gt;='Gastos com Pessoal'!$E$7:$E$506)*(AN$3&lt;='Gastos com Pessoal'!$F$7:$F$506)*OFFSET('Encargos e Benefícios'!$D$5,1,MATCH($B40,'Encargos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49042.856643684026</v>
      </c>
      <c r="AO40" s="188">
        <f t="array" aca="1" ref="AO40" ca="1">_xlfn.IFNA(SUM((AO$3&gt;='Gastos com Pessoal'!$E$7:$E$506)*(AO$3&lt;='Gastos com Pessoal'!$F$7:$F$506)*OFFSET('Encargos e Benefícios'!$D$5,1,MATCH($B40,'Encargos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49042.856643684026</v>
      </c>
      <c r="AP40" s="188">
        <f t="array" aca="1" ref="AP40" ca="1">_xlfn.IFNA(SUM((AP$3&gt;='Gastos com Pessoal'!$E$7:$E$506)*(AP$3&lt;='Gastos com Pessoal'!$F$7:$F$506)*OFFSET('Encargos e Benefícios'!$D$5,1,MATCH($B40,'Encargos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49042.856643684026</v>
      </c>
      <c r="AQ40" s="188">
        <f t="array" aca="1" ref="AQ40" ca="1">_xlfn.IFNA(SUM((AQ$3&gt;='Gastos com Pessoal'!$E$7:$E$506)*(AQ$3&lt;='Gastos com Pessoal'!$F$7:$F$506)*OFFSET('Encargos e Benefícios'!$D$5,1,MATCH($B40,'Encargos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49042.856643684026</v>
      </c>
      <c r="AR40" s="188">
        <f t="array" aca="1" ref="AR40" ca="1">_xlfn.IFNA(SUM((AR$3&gt;='Gastos com Pessoal'!$E$7:$E$506)*(AR$3&lt;='Gastos com Pessoal'!$F$7:$F$506)*OFFSET('Encargos e Benefícios'!$D$5,1,MATCH($B40,'Encargos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51906.959471675174</v>
      </c>
      <c r="AS40" s="188">
        <f t="array" aca="1" ref="AS40" ca="1">_xlfn.IFNA(SUM((AS$3&gt;='Gastos com Pessoal'!$E$7:$E$506)*(AS$3&lt;='Gastos com Pessoal'!$F$7:$F$506)*OFFSET('Encargos e Benefícios'!$D$5,1,MATCH($B40,'Encargos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51906.959471675174</v>
      </c>
      <c r="AT40" s="188">
        <f t="array" aca="1" ref="AT40" ca="1">_xlfn.IFNA(SUM((AT$3&gt;='Gastos com Pessoal'!$E$7:$E$506)*(AT$3&lt;='Gastos com Pessoal'!$F$7:$F$506)*OFFSET('Encargos e Benefícios'!$D$5,1,MATCH($B40,'Encargos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51906.959471675174</v>
      </c>
      <c r="AU40" s="188">
        <f t="array" aca="1" ref="AU40" ca="1">_xlfn.IFNA(SUM((AU$3&gt;='Gastos com Pessoal'!$E$7:$E$506)*(AU$3&lt;='Gastos com Pessoal'!$F$7:$F$506)*OFFSET('Encargos e Benefícios'!$D$5,1,MATCH($B40,'Encargos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51906.959471675174</v>
      </c>
      <c r="AV40" s="188">
        <f t="array" aca="1" ref="AV40" ca="1">_xlfn.IFNA(SUM((AV$3&gt;='Gastos com Pessoal'!$E$7:$E$506)*(AV$3&lt;='Gastos com Pessoal'!$F$7:$F$506)*OFFSET('Encargos e Benefícios'!$D$5,1,MATCH($B40,'Encargos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51906.959471675174</v>
      </c>
      <c r="AW40" s="188">
        <f t="array" aca="1" ref="AW40" ca="1">_xlfn.IFNA(SUM((AW$3&gt;='Gastos com Pessoal'!$E$7:$E$506)*(AW$3&lt;='Gastos com Pessoal'!$F$7:$F$506)*OFFSET('Encargos e Benefícios'!$D$5,1,MATCH($B40,'Encargos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51906.959471675174</v>
      </c>
      <c r="AX40" s="188">
        <f t="array" aca="1" ref="AX40" ca="1">_xlfn.IFNA(SUM((AX$3&gt;='Gastos com Pessoal'!$E$7:$E$506)*(AX$3&lt;='Gastos com Pessoal'!$F$7:$F$506)*OFFSET('Encargos e Benefícios'!$D$5,1,MATCH($B40,'Encargos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51906.959471675174</v>
      </c>
      <c r="AY40" s="188">
        <f t="array" aca="1" ref="AY40" ca="1">_xlfn.IFNA(SUM((AY$3&gt;='Gastos com Pessoal'!$E$7:$E$506)*(AY$3&lt;='Gastos com Pessoal'!$F$7:$F$506)*OFFSET('Encargos e Benefícios'!$D$5,1,MATCH($B40,'Encargos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51906.959471675174</v>
      </c>
      <c r="AZ40" s="188">
        <f t="array" aca="1" ref="AZ40" ca="1">_xlfn.IFNA(SUM((AZ$3&gt;='Gastos com Pessoal'!$E$7:$E$506)*(AZ$3&lt;='Gastos com Pessoal'!$F$7:$F$506)*OFFSET('Encargos e Benefícios'!$D$5,1,MATCH($B40,'Encargos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51906.959471675174</v>
      </c>
      <c r="BA40" s="188">
        <f t="array" aca="1" ref="BA40" ca="1">_xlfn.IFNA(SUM((BA$3&gt;='Gastos com Pessoal'!$E$7:$E$506)*(BA$3&lt;='Gastos com Pessoal'!$F$7:$F$506)*OFFSET('Encargos e Benefícios'!$D$5,1,MATCH($B40,'Encargos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51906.959471675174</v>
      </c>
      <c r="BB40" s="188">
        <f t="array" aca="1" ref="BB40" ca="1">_xlfn.IFNA(SUM((BB$3&gt;='Gastos com Pessoal'!$E$7:$E$506)*(BB$3&lt;='Gastos com Pessoal'!$F$7:$F$506)*OFFSET('Encargos e Benefícios'!$D$5,1,MATCH($B40,'Encargos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51906.959471675174</v>
      </c>
      <c r="BC40" s="188">
        <f t="array" aca="1" ref="BC40" ca="1">_xlfn.IFNA(SUM((BC$3&gt;='Gastos com Pessoal'!$E$7:$E$506)*(BC$3&lt;='Gastos com Pessoal'!$F$7:$F$506)*OFFSET('Encargos e Benefícios'!$D$5,1,MATCH($B40,'Encargos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51906.959471675174</v>
      </c>
      <c r="BD40" s="188">
        <f t="array" aca="1" ref="BD40" ca="1">_xlfn.IFNA(SUM((BD$3&gt;='Gastos com Pessoal'!$E$7:$E$506)*(BD$3&lt;='Gastos com Pessoal'!$F$7:$F$506)*OFFSET('Encargos e Benefícios'!$D$5,1,MATCH($B40,'Encargos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54938.325904821002</v>
      </c>
      <c r="BE40" s="188">
        <f t="array" aca="1" ref="BE40" ca="1">_xlfn.IFNA(SUM((BE$3&gt;='Gastos com Pessoal'!$E$7:$E$506)*(BE$3&lt;='Gastos com Pessoal'!$F$7:$F$506)*OFFSET('Encargos e Benefícios'!$D$5,1,MATCH($B40,'Encargos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54938.325904821002</v>
      </c>
      <c r="BF40" s="188">
        <f t="array" aca="1" ref="BF40" ca="1">_xlfn.IFNA(SUM((BF$3&gt;='Gastos com Pessoal'!$E$7:$E$506)*(BF$3&lt;='Gastos com Pessoal'!$F$7:$F$506)*OFFSET('Encargos e Benefícios'!$D$5,1,MATCH($B40,'Encargos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54938.325904821002</v>
      </c>
      <c r="BG40" s="188">
        <f t="array" aca="1" ref="BG40" ca="1">_xlfn.IFNA(SUM((BG$3&gt;='Gastos com Pessoal'!$E$7:$E$506)*(BG$3&lt;='Gastos com Pessoal'!$F$7:$F$506)*OFFSET('Encargos e Benefícios'!$D$5,1,MATCH($B40,'Encargos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54938.325904821002</v>
      </c>
      <c r="BH40" s="188">
        <f t="array" aca="1" ref="BH40" ca="1">_xlfn.IFNA(SUM((BH$3&gt;='Gastos com Pessoal'!$E$7:$E$506)*(BH$3&lt;='Gastos com Pessoal'!$F$7:$F$506)*OFFSET('Encargos e Benefícios'!$D$5,1,MATCH($B40,'Encargos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54938.325904821002</v>
      </c>
      <c r="BI40" s="188">
        <f t="array" aca="1" ref="BI40" ca="1">_xlfn.IFNA(SUM((BI$3&gt;='Gastos com Pessoal'!$E$7:$E$506)*(BI$3&lt;='Gastos com Pessoal'!$F$7:$F$506)*OFFSET('Encargos e Benefícios'!$D$5,1,MATCH($B40,'Encargos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54938.325904821002</v>
      </c>
      <c r="BJ40" s="188">
        <f t="array" aca="1" ref="BJ40" ca="1">_xlfn.IFNA(SUM((BJ$3&gt;='Gastos com Pessoal'!$E$7:$E$506)*(BJ$3&lt;='Gastos com Pessoal'!$F$7:$F$506)*OFFSET('Encargos e Benefícios'!$D$5,1,MATCH($B40,'Encargos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54938.325904821002</v>
      </c>
      <c r="BK40" s="189">
        <f t="shared" ca="1" si="22"/>
        <v>2800898.8002823368</v>
      </c>
      <c r="BL40" s="136">
        <f t="shared" ca="1" si="23"/>
        <v>8.3713398220585534E-3</v>
      </c>
      <c r="BN40" s="188">
        <f t="array" aca="1" ref="BN40" ca="1">_xlfn.IFNA(SUM((BN$3&gt;='Gastos com Pessoal'!$E$7:$E$506)*(BN$3&lt;='Gastos com Pessoal'!$F$7:$F$506)*OFFSET('Encargos e Benefícios'!$D$5,1,MATCH($B40,'Encargos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32892.912500000006</v>
      </c>
    </row>
    <row r="41" spans="1:66" s="160" customFormat="1" ht="23.25" customHeight="1">
      <c r="A41" s="198" t="s">
        <v>167</v>
      </c>
      <c r="B41" s="81" t="s">
        <v>168</v>
      </c>
      <c r="C41" s="188">
        <f t="shared" ca="1" si="21"/>
        <v>27293.621250000007</v>
      </c>
      <c r="D41" s="188">
        <f t="array" aca="1" ref="D41" ca="1">_xlfn.IFNA(SUM((D$3&gt;='Gastos com Pessoal'!$E$7:$E$506)*(D$3&lt;='Gastos com Pessoal'!$F$7:$F$506)*OFFSET('Encargos e Benefícios'!$D$5,1,MATCH($B41,'Encargos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97808.453333333367</v>
      </c>
      <c r="E41" s="188">
        <f t="array" aca="1" ref="E41" ca="1">_xlfn.IFNA(SUM((E$3&gt;='Gastos com Pessoal'!$E$7:$E$506)*(E$3&lt;='Gastos com Pessoal'!$F$7:$F$506)*OFFSET('Encargos e Benefícios'!$D$5,1,MATCH($B41,'Encargos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102925.90250000005</v>
      </c>
      <c r="F41" s="188">
        <f t="array" aca="1" ref="F41" ca="1">_xlfn.IFNA(SUM((F$3&gt;='Gastos com Pessoal'!$E$7:$E$506)*(F$3&lt;='Gastos com Pessoal'!$F$7:$F$506)*OFFSET('Encargos e Benefícios'!$D$5,1,MATCH($B41,'Encargos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102925.90250000005</v>
      </c>
      <c r="G41" s="188">
        <f t="array" aca="1" ref="G41" ca="1">_xlfn.IFNA(SUM((G$3&gt;='Gastos com Pessoal'!$E$7:$E$506)*(G$3&lt;='Gastos com Pessoal'!$F$7:$F$506)*OFFSET('Encargos e Benefícios'!$D$5,1,MATCH($B41,'Encargos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102925.90250000005</v>
      </c>
      <c r="H41" s="188">
        <f t="array" aca="1" ref="H41" ca="1">_xlfn.IFNA(SUM((H$3&gt;='Gastos com Pessoal'!$E$7:$E$506)*(H$3&lt;='Gastos com Pessoal'!$F$7:$F$506)*OFFSET('Encargos e Benefícios'!$D$5,1,MATCH($B41,'Encargos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108936.77520600006</v>
      </c>
      <c r="I41" s="188">
        <f t="array" aca="1" ref="I41" ca="1">_xlfn.IFNA(SUM((I$3&gt;='Gastos com Pessoal'!$E$7:$E$506)*(I$3&lt;='Gastos com Pessoal'!$F$7:$F$506)*OFFSET('Encargos e Benefícios'!$D$5,1,MATCH($B41,'Encargos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108936.77520600006</v>
      </c>
      <c r="J41" s="188">
        <f t="array" aca="1" ref="J41" ca="1">_xlfn.IFNA(SUM((J$3&gt;='Gastos com Pessoal'!$E$7:$E$506)*(J$3&lt;='Gastos com Pessoal'!$F$7:$F$506)*OFFSET('Encargos e Benefícios'!$D$5,1,MATCH($B41,'Encargos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108936.77520600006</v>
      </c>
      <c r="K41" s="188">
        <f t="array" aca="1" ref="K41" ca="1">_xlfn.IFNA(SUM((K$3&gt;='Gastos com Pessoal'!$E$7:$E$506)*(K$3&lt;='Gastos com Pessoal'!$F$7:$F$506)*OFFSET('Encargos e Benefícios'!$D$5,1,MATCH($B41,'Encargos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108936.77520600006</v>
      </c>
      <c r="L41" s="188">
        <f t="array" aca="1" ref="L41" ca="1">_xlfn.IFNA(SUM((L$3&gt;='Gastos com Pessoal'!$E$7:$E$506)*(L$3&lt;='Gastos com Pessoal'!$F$7:$F$506)*OFFSET('Encargos e Benefícios'!$D$5,1,MATCH($B41,'Encargos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108936.77520600006</v>
      </c>
      <c r="M41" s="188">
        <f t="array" aca="1" ref="M41" ca="1">_xlfn.IFNA(SUM((M$3&gt;='Gastos com Pessoal'!$E$7:$E$506)*(M$3&lt;='Gastos com Pessoal'!$F$7:$F$506)*OFFSET('Encargos e Benefícios'!$D$5,1,MATCH($B41,'Encargos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109842.90672600006</v>
      </c>
      <c r="N41" s="188">
        <f t="array" aca="1" ref="N41" ca="1">_xlfn.IFNA(SUM((N$3&gt;='Gastos com Pessoal'!$E$7:$E$506)*(N$3&lt;='Gastos com Pessoal'!$F$7:$F$506)*OFFSET('Encargos e Benefícios'!$D$5,1,MATCH($B41,'Encargos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115259.21492400007</v>
      </c>
      <c r="O41" s="188">
        <f t="array" aca="1" ref="O41" ca="1">_xlfn.IFNA(SUM((O$3&gt;='Gastos com Pessoal'!$E$7:$E$506)*(O$3&lt;='Gastos com Pessoal'!$F$7:$F$506)*OFFSET('Encargos e Benefícios'!$D$5,1,MATCH($B41,'Encargos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115259.21492400007</v>
      </c>
      <c r="P41" s="188">
        <f t="array" aca="1" ref="P41" ca="1">_xlfn.IFNA(SUM((P$3&gt;='Gastos com Pessoal'!$E$7:$E$506)*(P$3&lt;='Gastos com Pessoal'!$F$7:$F$506)*OFFSET('Encargos e Benefícios'!$D$5,1,MATCH($B41,'Encargos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116165.34644400008</v>
      </c>
      <c r="Q41" s="188">
        <v>0</v>
      </c>
      <c r="R41" s="188">
        <v>0</v>
      </c>
      <c r="S41" s="188">
        <v>0</v>
      </c>
      <c r="T41" s="188">
        <v>0</v>
      </c>
      <c r="U41" s="188">
        <v>0</v>
      </c>
      <c r="V41" s="188">
        <v>0</v>
      </c>
      <c r="W41" s="188">
        <v>0</v>
      </c>
      <c r="X41" s="188">
        <v>0</v>
      </c>
      <c r="Y41" s="188">
        <v>0</v>
      </c>
      <c r="Z41" s="188">
        <v>0</v>
      </c>
      <c r="AA41" s="188">
        <v>0</v>
      </c>
      <c r="AB41" s="188">
        <v>0</v>
      </c>
      <c r="AC41" s="188">
        <f ca="1">10%*AC20</f>
        <v>153385.59379139135</v>
      </c>
      <c r="AD41" s="188">
        <v>0</v>
      </c>
      <c r="AE41" s="188">
        <v>0</v>
      </c>
      <c r="AF41" s="188">
        <v>0</v>
      </c>
      <c r="AG41" s="188">
        <v>0</v>
      </c>
      <c r="AH41" s="188">
        <v>0</v>
      </c>
      <c r="AI41" s="188">
        <v>0</v>
      </c>
      <c r="AJ41" s="188">
        <v>0</v>
      </c>
      <c r="AK41" s="188">
        <v>0</v>
      </c>
      <c r="AL41" s="188">
        <v>0</v>
      </c>
      <c r="AM41" s="188">
        <v>0</v>
      </c>
      <c r="AN41" s="188">
        <v>0</v>
      </c>
      <c r="AO41" s="188">
        <f ca="1">10%*AO20</f>
        <v>162343.31246880861</v>
      </c>
      <c r="AP41" s="188">
        <v>0</v>
      </c>
      <c r="AQ41" s="188">
        <v>0</v>
      </c>
      <c r="AR41" s="188">
        <v>0</v>
      </c>
      <c r="AS41" s="188">
        <v>0</v>
      </c>
      <c r="AT41" s="188">
        <v>0</v>
      </c>
      <c r="AU41" s="188">
        <v>0</v>
      </c>
      <c r="AV41" s="188">
        <v>0</v>
      </c>
      <c r="AW41" s="188">
        <v>0</v>
      </c>
      <c r="AX41" s="188">
        <v>0</v>
      </c>
      <c r="AY41" s="188">
        <v>0</v>
      </c>
      <c r="AZ41" s="188">
        <v>0</v>
      </c>
      <c r="BA41" s="188">
        <f ca="1">10%*BA20</f>
        <v>171824.16191698704</v>
      </c>
      <c r="BB41" s="188">
        <v>0</v>
      </c>
      <c r="BC41" s="188">
        <v>0</v>
      </c>
      <c r="BD41" s="188">
        <v>0</v>
      </c>
      <c r="BE41" s="188">
        <v>0</v>
      </c>
      <c r="BF41" s="188">
        <v>0</v>
      </c>
      <c r="BG41" s="188">
        <v>0</v>
      </c>
      <c r="BH41" s="188">
        <v>0</v>
      </c>
      <c r="BI41" s="188">
        <v>0</v>
      </c>
      <c r="BJ41" s="188">
        <v>0</v>
      </c>
      <c r="BK41" s="189">
        <f t="shared" ca="1" si="22"/>
        <v>1922643.4093085211</v>
      </c>
      <c r="BL41" s="136">
        <f t="shared" ca="1" si="23"/>
        <v>5.7464058802625872E-3</v>
      </c>
      <c r="BN41" s="188">
        <f t="array" aca="1" ref="BN41" ca="1">_xlfn.IFNA(SUM((BN$3&gt;='Gastos com Pessoal'!$E$7:$E$506)*(BN$3&lt;='Gastos com Pessoal'!$F$7:$F$506)*OFFSET('Encargos e Benefícios'!$D$5,1,MATCH($B41,'Encargos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90978.737500000017</v>
      </c>
    </row>
    <row r="42" spans="1:66" s="160" customFormat="1" ht="23.25" customHeight="1">
      <c r="A42" s="198" t="s">
        <v>169</v>
      </c>
      <c r="B42" s="81" t="s">
        <v>170</v>
      </c>
      <c r="C42" s="188">
        <v>19845.099999999999</v>
      </c>
      <c r="D42" s="188">
        <v>19845.099999999999</v>
      </c>
      <c r="E42" s="188">
        <v>14384.85</v>
      </c>
      <c r="F42" s="188">
        <v>6059.4</v>
      </c>
      <c r="G42" s="188">
        <v>6059.4</v>
      </c>
      <c r="H42" s="188">
        <v>6059.4</v>
      </c>
      <c r="I42" s="188">
        <v>6059.4</v>
      </c>
      <c r="J42" s="188">
        <v>6059.4</v>
      </c>
      <c r="K42" s="188">
        <v>6059.4</v>
      </c>
      <c r="L42" s="188">
        <v>6059.4</v>
      </c>
      <c r="M42" s="188">
        <v>6059.4</v>
      </c>
      <c r="N42" s="188">
        <v>6059.4</v>
      </c>
      <c r="O42" s="188">
        <v>21004.05</v>
      </c>
      <c r="P42" s="188">
        <v>15224.93</v>
      </c>
      <c r="Q42" s="188">
        <v>6413.27</v>
      </c>
      <c r="R42" s="188">
        <v>6413.27</v>
      </c>
      <c r="S42" s="188">
        <v>6413.27</v>
      </c>
      <c r="T42" s="188">
        <v>6413.27</v>
      </c>
      <c r="U42" s="188">
        <v>6413.27</v>
      </c>
      <c r="V42" s="188">
        <v>6413.27</v>
      </c>
      <c r="W42" s="188">
        <v>6413.27</v>
      </c>
      <c r="X42" s="188">
        <v>6413.27</v>
      </c>
      <c r="Y42" s="188">
        <v>6413.27</v>
      </c>
      <c r="Z42" s="188">
        <v>22230.69</v>
      </c>
      <c r="AA42" s="188">
        <v>16114.06</v>
      </c>
      <c r="AB42" s="188">
        <v>6787.8</v>
      </c>
      <c r="AC42" s="188">
        <v>6787.8</v>
      </c>
      <c r="AD42" s="188">
        <v>6787.8</v>
      </c>
      <c r="AE42" s="188">
        <v>6787.8</v>
      </c>
      <c r="AF42" s="188">
        <v>6787.8</v>
      </c>
      <c r="AG42" s="188">
        <v>6787.8</v>
      </c>
      <c r="AH42" s="188">
        <v>6787.8</v>
      </c>
      <c r="AI42" s="188">
        <v>6787.8</v>
      </c>
      <c r="AJ42" s="188">
        <v>6787.8</v>
      </c>
      <c r="AK42" s="188">
        <v>23528.959999999999</v>
      </c>
      <c r="AL42" s="188">
        <v>17055.12</v>
      </c>
      <c r="AM42" s="188">
        <v>7184.21</v>
      </c>
      <c r="AN42" s="188">
        <v>7184.21</v>
      </c>
      <c r="AO42" s="188">
        <v>7184.21</v>
      </c>
      <c r="AP42" s="188">
        <v>7184.21</v>
      </c>
      <c r="AQ42" s="188">
        <v>7184.21</v>
      </c>
      <c r="AR42" s="188">
        <v>7184.21</v>
      </c>
      <c r="AS42" s="188">
        <v>7184.21</v>
      </c>
      <c r="AT42" s="188">
        <v>7184.21</v>
      </c>
      <c r="AU42" s="188">
        <v>7184.21</v>
      </c>
      <c r="AV42" s="188">
        <v>24903.05</v>
      </c>
      <c r="AW42" s="188">
        <v>18051.14</v>
      </c>
      <c r="AX42" s="188">
        <v>7603.77</v>
      </c>
      <c r="AY42" s="188">
        <v>7603.77</v>
      </c>
      <c r="AZ42" s="188">
        <v>7603.77</v>
      </c>
      <c r="BA42" s="188">
        <v>7603.77</v>
      </c>
      <c r="BB42" s="188">
        <v>7603.77</v>
      </c>
      <c r="BC42" s="188">
        <v>7603.77</v>
      </c>
      <c r="BD42" s="188">
        <v>7603.77</v>
      </c>
      <c r="BE42" s="188">
        <v>7603.77</v>
      </c>
      <c r="BF42" s="188">
        <v>7603.77</v>
      </c>
      <c r="BG42" s="188">
        <v>26357.39</v>
      </c>
      <c r="BH42" s="188">
        <v>19105.330000000002</v>
      </c>
      <c r="BI42" s="188">
        <v>8047.83</v>
      </c>
      <c r="BJ42" s="188">
        <v>26357.39</v>
      </c>
      <c r="BK42" s="189">
        <f t="shared" si="22"/>
        <v>598491.04</v>
      </c>
      <c r="BL42" s="136">
        <f t="shared" ca="1" si="23"/>
        <v>1.7887729023955462E-3</v>
      </c>
      <c r="BN42" s="188">
        <v>0</v>
      </c>
    </row>
    <row r="43" spans="1:66" s="160" customFormat="1" ht="23.25" customHeight="1">
      <c r="A43" s="198" t="s">
        <v>171</v>
      </c>
      <c r="B43" s="81" t="s">
        <v>172</v>
      </c>
      <c r="C43" s="188">
        <f t="shared" si="21"/>
        <v>0</v>
      </c>
      <c r="D43" s="188">
        <v>0</v>
      </c>
      <c r="E43" s="188">
        <v>0</v>
      </c>
      <c r="F43" s="188">
        <v>433000</v>
      </c>
      <c r="G43" s="188">
        <v>433000</v>
      </c>
      <c r="H43" s="188">
        <v>433000</v>
      </c>
      <c r="I43" s="188">
        <v>433000</v>
      </c>
      <c r="J43" s="188">
        <v>433000</v>
      </c>
      <c r="K43" s="188">
        <v>325000</v>
      </c>
      <c r="L43" s="188">
        <v>314000</v>
      </c>
      <c r="M43" s="188">
        <v>310000</v>
      </c>
      <c r="N43" s="188">
        <v>310000</v>
      </c>
      <c r="O43" s="188">
        <v>0</v>
      </c>
      <c r="P43" s="188">
        <v>0</v>
      </c>
      <c r="Q43" s="188">
        <v>100000</v>
      </c>
      <c r="R43" s="188">
        <v>325000</v>
      </c>
      <c r="S43" s="188">
        <v>325000</v>
      </c>
      <c r="T43" s="188">
        <v>115000</v>
      </c>
      <c r="U43" s="188">
        <v>115000</v>
      </c>
      <c r="V43" s="188">
        <v>115000</v>
      </c>
      <c r="W43" s="188">
        <v>100000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0</v>
      </c>
      <c r="BG43" s="188">
        <v>0</v>
      </c>
      <c r="BH43" s="188">
        <v>0</v>
      </c>
      <c r="BI43" s="188">
        <v>0</v>
      </c>
      <c r="BJ43" s="188">
        <v>0</v>
      </c>
      <c r="BK43" s="189">
        <f t="shared" si="22"/>
        <v>4619000</v>
      </c>
      <c r="BL43" s="136">
        <f t="shared" ca="1" si="23"/>
        <v>1.3805289442871236E-2</v>
      </c>
      <c r="BN43" s="188">
        <v>0</v>
      </c>
    </row>
    <row r="44" spans="1:66" s="160" customFormat="1" ht="23.25" customHeight="1">
      <c r="A44" s="198" t="s">
        <v>173</v>
      </c>
      <c r="B44" s="81" t="s">
        <v>174</v>
      </c>
      <c r="C44" s="188">
        <f t="shared" si="21"/>
        <v>0</v>
      </c>
      <c r="D44" s="188">
        <v>0</v>
      </c>
      <c r="E44" s="188">
        <v>0</v>
      </c>
      <c r="F44" s="188">
        <v>0</v>
      </c>
      <c r="G44" s="188">
        <v>0</v>
      </c>
      <c r="H44" s="188">
        <v>0</v>
      </c>
      <c r="I44" s="188">
        <v>0</v>
      </c>
      <c r="J44" s="188">
        <v>0</v>
      </c>
      <c r="K44" s="188">
        <v>0</v>
      </c>
      <c r="L44" s="188">
        <v>0</v>
      </c>
      <c r="M44" s="188">
        <v>0</v>
      </c>
      <c r="N44" s="188">
        <v>0</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0</v>
      </c>
      <c r="AF44" s="188">
        <v>0</v>
      </c>
      <c r="AG44" s="188">
        <v>0</v>
      </c>
      <c r="AH44" s="188">
        <v>0</v>
      </c>
      <c r="AI44" s="188">
        <v>0</v>
      </c>
      <c r="AJ44" s="188">
        <v>0</v>
      </c>
      <c r="AK44" s="188">
        <v>0</v>
      </c>
      <c r="AL44" s="188">
        <v>0</v>
      </c>
      <c r="AM44" s="188">
        <v>0</v>
      </c>
      <c r="AN44" s="188">
        <v>0</v>
      </c>
      <c r="AO44" s="188">
        <v>0</v>
      </c>
      <c r="AP44" s="188">
        <v>0</v>
      </c>
      <c r="AQ44" s="188">
        <v>0</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0</v>
      </c>
      <c r="BG44" s="188">
        <v>0</v>
      </c>
      <c r="BH44" s="188">
        <v>0</v>
      </c>
      <c r="BI44" s="188">
        <v>0</v>
      </c>
      <c r="BJ44" s="188">
        <v>0</v>
      </c>
      <c r="BK44" s="189">
        <f t="shared" si="22"/>
        <v>0</v>
      </c>
      <c r="BL44" s="136">
        <f t="shared" ca="1" si="23"/>
        <v>0</v>
      </c>
      <c r="BN44" s="188">
        <v>0</v>
      </c>
    </row>
    <row r="45" spans="1:66" s="160" customFormat="1" ht="23.25" customHeight="1">
      <c r="A45" s="198" t="s">
        <v>175</v>
      </c>
      <c r="B45" s="209" t="s">
        <v>176</v>
      </c>
      <c r="C45" s="188">
        <f t="shared" ca="1" si="21"/>
        <v>16579.73777777778</v>
      </c>
      <c r="D45" s="188">
        <f t="array" aca="1" ref="D45" ca="1">_xlfn.IFNA(SUM((D$3&gt;='Gastos com Pessoal'!$E$7:$E$506)*(D$3&lt;='Gastos com Pessoal'!$F$7:$F$506)*OFFSET('Encargos e Benefícios'!$D$5,1,MATCH($B45,'Encargos e Benefícios'!$E$5:$AB$5,0),500,1))*(IF('Gastos com Pessoal'!$G$7:$G$506&lt;=D$3,('Gastos com Pessoal'!$H$7:$H$506)+1,1))*(IF('Gastos com Pessoal'!$M$7:$M$506&lt;=D$3,('Gastos com Pessoal'!$N$7:$N$506)+1,1))*(IF('Gastos com Pessoal'!$S$7:$S$506&lt;=D$3,('Gastos com Pessoal'!$T$7:$T$506)+1,1))*(IF('Gastos com Pessoal'!$Y$7:$Y$506&lt;=D$3,('Gastos com Pessoal'!$Z$7:$Z$506)+1,1))*(IF('Gastos com Pessoal'!$AE$7:$AE$506&lt;=D$3,('Gastos com Pessoal'!$AF$7:$AF$506)+1,1)),0)</f>
        <v>59122.651851851864</v>
      </c>
      <c r="E45" s="188">
        <f t="array" aca="1" ref="E45" ca="1">_xlfn.IFNA(SUM((E$3&gt;='Gastos com Pessoal'!$E$7:$E$506)*(E$3&lt;='Gastos com Pessoal'!$F$7:$F$506)*OFFSET('Encargos e Benefícios'!$D$5,1,MATCH($B45,'Encargos e Benefícios'!$E$5:$AB$5,0),500,1))*(IF('Gastos com Pessoal'!$G$7:$G$506&lt;=E$3,('Gastos com Pessoal'!$H$7:$H$506)+1,1))*(IF('Gastos com Pessoal'!$M$7:$M$506&lt;=E$3,('Gastos com Pessoal'!$N$7:$N$506)+1,1))*(IF('Gastos com Pessoal'!$S$7:$S$506&lt;=E$3,('Gastos com Pessoal'!$T$7:$T$506)+1,1))*(IF('Gastos com Pessoal'!$Y$7:$Y$506&lt;=E$3,('Gastos com Pessoal'!$Z$7:$Z$506)+1,1))*(IF('Gastos com Pessoal'!$AE$7:$AE$506&lt;=E$3,('Gastos com Pessoal'!$AF$7:$AF$506)+1,1)),0)</f>
        <v>62979.511111111126</v>
      </c>
      <c r="F45" s="188">
        <f t="array" aca="1" ref="F45" ca="1">_xlfn.IFNA(SUM((F$3&gt;='Gastos com Pessoal'!$E$7:$E$506)*(F$3&lt;='Gastos com Pessoal'!$F$7:$F$506)*OFFSET('Encargos e Benefícios'!$D$5,1,MATCH($B45,'Encargos e Benefícios'!$E$5:$AB$5,0),500,1))*(IF('Gastos com Pessoal'!$G$7:$G$506&lt;=F$3,('Gastos com Pessoal'!$H$7:$H$506)+1,1))*(IF('Gastos com Pessoal'!$M$7:$M$506&lt;=F$3,('Gastos com Pessoal'!$N$7:$N$506)+1,1))*(IF('Gastos com Pessoal'!$S$7:$S$506&lt;=F$3,('Gastos com Pessoal'!$T$7:$T$506)+1,1))*(IF('Gastos com Pessoal'!$Y$7:$Y$506&lt;=F$3,('Gastos com Pessoal'!$Z$7:$Z$506)+1,1))*(IF('Gastos com Pessoal'!$AE$7:$AE$506&lt;=F$3,('Gastos com Pessoal'!$AF$7:$AF$506)+1,1)),0)</f>
        <v>62979.511111111126</v>
      </c>
      <c r="G45" s="188">
        <f t="array" aca="1" ref="G45" ca="1">_xlfn.IFNA(SUM((G$3&gt;='Gastos com Pessoal'!$E$7:$E$506)*(G$3&lt;='Gastos com Pessoal'!$F$7:$F$506)*OFFSET('Encargos e Benefícios'!$D$5,1,MATCH($B45,'Encargos e Benefícios'!$E$5:$AB$5,0),500,1))*(IF('Gastos com Pessoal'!$G$7:$G$506&lt;=G$3,('Gastos com Pessoal'!$H$7:$H$506)+1,1))*(IF('Gastos com Pessoal'!$M$7:$M$506&lt;=G$3,('Gastos com Pessoal'!$N$7:$N$506)+1,1))*(IF('Gastos com Pessoal'!$S$7:$S$506&lt;=G$3,('Gastos com Pessoal'!$T$7:$T$506)+1,1))*(IF('Gastos com Pessoal'!$Y$7:$Y$506&lt;=G$3,('Gastos com Pessoal'!$Z$7:$Z$506)+1,1))*(IF('Gastos com Pessoal'!$AE$7:$AE$506&lt;=G$3,('Gastos com Pessoal'!$AF$7:$AF$506)+1,1)),0)</f>
        <v>62979.511111111126</v>
      </c>
      <c r="H45" s="188">
        <f t="array" aca="1" ref="H45" ca="1">_xlfn.IFNA(SUM((H$3&gt;='Gastos com Pessoal'!$E$7:$E$506)*(H$3&lt;='Gastos com Pessoal'!$F$7:$F$506)*OFFSET('Encargos e Benefícios'!$D$5,1,MATCH($B45,'Encargos e Benefícios'!$E$5:$AB$5,0),500,1))*(IF('Gastos com Pessoal'!$G$7:$G$506&lt;=H$3,('Gastos com Pessoal'!$H$7:$H$506)+1,1))*(IF('Gastos com Pessoal'!$M$7:$M$506&lt;=H$3,('Gastos com Pessoal'!$N$7:$N$506)+1,1))*(IF('Gastos com Pessoal'!$S$7:$S$506&lt;=H$3,('Gastos com Pessoal'!$T$7:$T$506)+1,1))*(IF('Gastos com Pessoal'!$Y$7:$Y$506&lt;=H$3,('Gastos com Pessoal'!$Z$7:$Z$506)+1,1))*(IF('Gastos com Pessoal'!$AE$7:$AE$506&lt;=H$3,('Gastos com Pessoal'!$AF$7:$AF$506)+1,1)),0)</f>
        <v>66657.514560000011</v>
      </c>
      <c r="I45" s="188">
        <f t="array" aca="1" ref="I45" ca="1">_xlfn.IFNA(SUM((I$3&gt;='Gastos com Pessoal'!$E$7:$E$506)*(I$3&lt;='Gastos com Pessoal'!$F$7:$F$506)*OFFSET('Encargos e Benefícios'!$D$5,1,MATCH($B45,'Encargos e Benefícios'!$E$5:$AB$5,0),500,1))*(IF('Gastos com Pessoal'!$G$7:$G$506&lt;=I$3,('Gastos com Pessoal'!$H$7:$H$506)+1,1))*(IF('Gastos com Pessoal'!$M$7:$M$506&lt;=I$3,('Gastos com Pessoal'!$N$7:$N$506)+1,1))*(IF('Gastos com Pessoal'!$S$7:$S$506&lt;=I$3,('Gastos com Pessoal'!$T$7:$T$506)+1,1))*(IF('Gastos com Pessoal'!$Y$7:$Y$506&lt;=I$3,('Gastos com Pessoal'!$Z$7:$Z$506)+1,1))*(IF('Gastos com Pessoal'!$AE$7:$AE$506&lt;=I$3,('Gastos com Pessoal'!$AF$7:$AF$506)+1,1)),0)</f>
        <v>66657.514560000011</v>
      </c>
      <c r="J45" s="188">
        <f t="array" aca="1" ref="J45" ca="1">_xlfn.IFNA(SUM((J$3&gt;='Gastos com Pessoal'!$E$7:$E$506)*(J$3&lt;='Gastos com Pessoal'!$F$7:$F$506)*OFFSET('Encargos e Benefícios'!$D$5,1,MATCH($B45,'Encargos e Benefícios'!$E$5:$AB$5,0),500,1))*(IF('Gastos com Pessoal'!$G$7:$G$506&lt;=J$3,('Gastos com Pessoal'!$H$7:$H$506)+1,1))*(IF('Gastos com Pessoal'!$M$7:$M$506&lt;=J$3,('Gastos com Pessoal'!$N$7:$N$506)+1,1))*(IF('Gastos com Pessoal'!$S$7:$S$506&lt;=J$3,('Gastos com Pessoal'!$T$7:$T$506)+1,1))*(IF('Gastos com Pessoal'!$Y$7:$Y$506&lt;=J$3,('Gastos com Pessoal'!$Z$7:$Z$506)+1,1))*(IF('Gastos com Pessoal'!$AE$7:$AE$506&lt;=J$3,('Gastos com Pessoal'!$AF$7:$AF$506)+1,1)),0)</f>
        <v>66657.514560000011</v>
      </c>
      <c r="K45" s="188">
        <f t="array" aca="1" ref="K45" ca="1">_xlfn.IFNA(SUM((K$3&gt;='Gastos com Pessoal'!$E$7:$E$506)*(K$3&lt;='Gastos com Pessoal'!$F$7:$F$506)*OFFSET('Encargos e Benefícios'!$D$5,1,MATCH($B45,'Encargos e Benefícios'!$E$5:$AB$5,0),500,1))*(IF('Gastos com Pessoal'!$G$7:$G$506&lt;=K$3,('Gastos com Pessoal'!$H$7:$H$506)+1,1))*(IF('Gastos com Pessoal'!$M$7:$M$506&lt;=K$3,('Gastos com Pessoal'!$N$7:$N$506)+1,1))*(IF('Gastos com Pessoal'!$S$7:$S$506&lt;=K$3,('Gastos com Pessoal'!$T$7:$T$506)+1,1))*(IF('Gastos com Pessoal'!$Y$7:$Y$506&lt;=K$3,('Gastos com Pessoal'!$Z$7:$Z$506)+1,1))*(IF('Gastos com Pessoal'!$AE$7:$AE$506&lt;=K$3,('Gastos com Pessoal'!$AF$7:$AF$506)+1,1)),0)</f>
        <v>66657.514560000011</v>
      </c>
      <c r="L45" s="188">
        <f t="array" aca="1" ref="L45" ca="1">_xlfn.IFNA(SUM((L$3&gt;='Gastos com Pessoal'!$E$7:$E$506)*(L$3&lt;='Gastos com Pessoal'!$F$7:$F$506)*OFFSET('Encargos e Benefícios'!$D$5,1,MATCH($B45,'Encargos e Benefícios'!$E$5:$AB$5,0),500,1))*(IF('Gastos com Pessoal'!$G$7:$G$506&lt;=L$3,('Gastos com Pessoal'!$H$7:$H$506)+1,1))*(IF('Gastos com Pessoal'!$M$7:$M$506&lt;=L$3,('Gastos com Pessoal'!$N$7:$N$506)+1,1))*(IF('Gastos com Pessoal'!$S$7:$S$506&lt;=L$3,('Gastos com Pessoal'!$T$7:$T$506)+1,1))*(IF('Gastos com Pessoal'!$Y$7:$Y$506&lt;=L$3,('Gastos com Pessoal'!$Z$7:$Z$506)+1,1))*(IF('Gastos com Pessoal'!$AE$7:$AE$506&lt;=L$3,('Gastos com Pessoal'!$AF$7:$AF$506)+1,1)),0)</f>
        <v>66657.514560000011</v>
      </c>
      <c r="M45" s="188">
        <f t="array" aca="1" ref="M45" ca="1">_xlfn.IFNA(SUM((M$3&gt;='Gastos com Pessoal'!$E$7:$E$506)*(M$3&lt;='Gastos com Pessoal'!$F$7:$F$506)*OFFSET('Encargos e Benefícios'!$D$5,1,MATCH($B45,'Encargos e Benefícios'!$E$5:$AB$5,0),500,1))*(IF('Gastos com Pessoal'!$G$7:$G$506&lt;=M$3,('Gastos com Pessoal'!$H$7:$H$506)+1,1))*(IF('Gastos com Pessoal'!$M$7:$M$506&lt;=M$3,('Gastos com Pessoal'!$N$7:$N$506)+1,1))*(IF('Gastos com Pessoal'!$S$7:$S$506&lt;=M$3,('Gastos com Pessoal'!$T$7:$T$506)+1,1))*(IF('Gastos com Pessoal'!$Y$7:$Y$506&lt;=M$3,('Gastos com Pessoal'!$Z$7:$Z$506)+1,1))*(IF('Gastos com Pessoal'!$AE$7:$AE$506&lt;=M$3,('Gastos com Pessoal'!$AF$7:$AF$506)+1,1)),0)</f>
        <v>66657.514560000011</v>
      </c>
      <c r="N45" s="188">
        <f t="array" aca="1" ref="N45" ca="1">_xlfn.IFNA(SUM((N$3&gt;='Gastos com Pessoal'!$E$7:$E$506)*(N$3&lt;='Gastos com Pessoal'!$F$7:$F$506)*OFFSET('Encargos e Benefícios'!$D$5,1,MATCH($B45,'Encargos e Benefícios'!$E$5:$AB$5,0),500,1))*(IF('Gastos com Pessoal'!$G$7:$G$506&lt;=N$3,('Gastos com Pessoal'!$H$7:$H$506)+1,1))*(IF('Gastos com Pessoal'!$M$7:$M$506&lt;=N$3,('Gastos com Pessoal'!$N$7:$N$506)+1,1))*(IF('Gastos com Pessoal'!$S$7:$S$506&lt;=N$3,('Gastos com Pessoal'!$T$7:$T$506)+1,1))*(IF('Gastos com Pessoal'!$Y$7:$Y$506&lt;=N$3,('Gastos com Pessoal'!$Z$7:$Z$506)+1,1))*(IF('Gastos com Pessoal'!$AE$7:$AE$506&lt;=N$3,('Gastos com Pessoal'!$AF$7:$AF$506)+1,1)),0)</f>
        <v>70739.61440000002</v>
      </c>
      <c r="O45" s="188">
        <f t="array" aca="1" ref="O45" ca="1">_xlfn.IFNA(SUM((O$3&gt;='Gastos com Pessoal'!$E$7:$E$506)*(O$3&lt;='Gastos com Pessoal'!$F$7:$F$506)*OFFSET('Encargos e Benefícios'!$D$5,1,MATCH($B45,'Encargos e Benefícios'!$E$5:$AB$5,0),500,1))*(IF('Gastos com Pessoal'!$G$7:$G$506&lt;=O$3,('Gastos com Pessoal'!$H$7:$H$506)+1,1))*(IF('Gastos com Pessoal'!$M$7:$M$506&lt;=O$3,('Gastos com Pessoal'!$N$7:$N$506)+1,1))*(IF('Gastos com Pessoal'!$S$7:$S$506&lt;=O$3,('Gastos com Pessoal'!$T$7:$T$506)+1,1))*(IF('Gastos com Pessoal'!$Y$7:$Y$506&lt;=O$3,('Gastos com Pessoal'!$Z$7:$Z$506)+1,1))*(IF('Gastos com Pessoal'!$AE$7:$AE$506&lt;=O$3,('Gastos com Pessoal'!$AF$7:$AF$506)+1,1)),0)</f>
        <v>70739.61440000002</v>
      </c>
      <c r="P45" s="188">
        <f t="array" aca="1" ref="P45" ca="1">_xlfn.IFNA(SUM((P$3&gt;='Gastos com Pessoal'!$E$7:$E$506)*(P$3&lt;='Gastos com Pessoal'!$F$7:$F$506)*OFFSET('Encargos e Benefícios'!$D$5,1,MATCH($B45,'Encargos e Benefícios'!$E$5:$AB$5,0),500,1))*(IF('Gastos com Pessoal'!$G$7:$G$506&lt;=P$3,('Gastos com Pessoal'!$H$7:$H$506)+1,1))*(IF('Gastos com Pessoal'!$M$7:$M$506&lt;=P$3,('Gastos com Pessoal'!$N$7:$N$506)+1,1))*(IF('Gastos com Pessoal'!$S$7:$S$506&lt;=P$3,('Gastos com Pessoal'!$T$7:$T$506)+1,1))*(IF('Gastos com Pessoal'!$Y$7:$Y$506&lt;=P$3,('Gastos com Pessoal'!$Z$7:$Z$506)+1,1))*(IF('Gastos com Pessoal'!$AE$7:$AE$506&lt;=P$3,('Gastos com Pessoal'!$AF$7:$AF$506)+1,1)),0)</f>
        <v>70739.61440000002</v>
      </c>
      <c r="Q45" s="188">
        <f t="array" aca="1" ref="Q45" ca="1">_xlfn.IFNA(SUM((Q$3&gt;='Gastos com Pessoal'!$E$7:$E$506)*(Q$3&lt;='Gastos com Pessoal'!$F$7:$F$506)*OFFSET('Encargos e Benefícios'!$D$5,1,MATCH($B45,'Encargos e Benefícios'!$E$5:$AB$5,0),500,1))*(IF('Gastos com Pessoal'!$G$7:$G$506&lt;=Q$3,('Gastos com Pessoal'!$H$7:$H$506)+1,1))*(IF('Gastos com Pessoal'!$M$7:$M$506&lt;=Q$3,('Gastos com Pessoal'!$N$7:$N$506)+1,1))*(IF('Gastos com Pessoal'!$S$7:$S$506&lt;=Q$3,('Gastos com Pessoal'!$T$7:$T$506)+1,1))*(IF('Gastos com Pessoal'!$Y$7:$Y$506&lt;=Q$3,('Gastos com Pessoal'!$Z$7:$Z$506)+1,1))*(IF('Gastos com Pessoal'!$AE$7:$AE$506&lt;=Q$3,('Gastos com Pessoal'!$AF$7:$AF$506)+1,1)),0)</f>
        <v>74821.71424000003</v>
      </c>
      <c r="R45" s="188">
        <f t="array" aca="1" ref="R45" ca="1">_xlfn.IFNA(SUM((R$3&gt;='Gastos com Pessoal'!$E$7:$E$506)*(R$3&lt;='Gastos com Pessoal'!$F$7:$F$506)*OFFSET('Encargos e Benefícios'!$D$5,1,MATCH($B45,'Encargos e Benefícios'!$E$5:$AB$5,0),500,1))*(IF('Gastos com Pessoal'!$G$7:$G$506&lt;=R$3,('Gastos com Pessoal'!$H$7:$H$506)+1,1))*(IF('Gastos com Pessoal'!$M$7:$M$506&lt;=R$3,('Gastos com Pessoal'!$N$7:$N$506)+1,1))*(IF('Gastos com Pessoal'!$S$7:$S$506&lt;=R$3,('Gastos com Pessoal'!$T$7:$T$506)+1,1))*(IF('Gastos com Pessoal'!$Y$7:$Y$506&lt;=R$3,('Gastos com Pessoal'!$Z$7:$Z$506)+1,1))*(IF('Gastos com Pessoal'!$AE$7:$AE$506&lt;=R$3,('Gastos com Pessoal'!$AF$7:$AF$506)+1,1)),0)</f>
        <v>74821.71424000003</v>
      </c>
      <c r="S45" s="188">
        <f t="array" aca="1" ref="S45" ca="1">_xlfn.IFNA(SUM((S$3&gt;='Gastos com Pessoal'!$E$7:$E$506)*(S$3&lt;='Gastos com Pessoal'!$F$7:$F$506)*OFFSET('Encargos e Benefícios'!$D$5,1,MATCH($B45,'Encargos e Benefícios'!$E$5:$AB$5,0),500,1))*(IF('Gastos com Pessoal'!$G$7:$G$506&lt;=S$3,('Gastos com Pessoal'!$H$7:$H$506)+1,1))*(IF('Gastos com Pessoal'!$M$7:$M$506&lt;=S$3,('Gastos com Pessoal'!$N$7:$N$506)+1,1))*(IF('Gastos com Pessoal'!$S$7:$S$506&lt;=S$3,('Gastos com Pessoal'!$T$7:$T$506)+1,1))*(IF('Gastos com Pessoal'!$Y$7:$Y$506&lt;=S$3,('Gastos com Pessoal'!$Z$7:$Z$506)+1,1))*(IF('Gastos com Pessoal'!$AE$7:$AE$506&lt;=S$3,('Gastos com Pessoal'!$AF$7:$AF$506)+1,1)),0)</f>
        <v>74821.71424000003</v>
      </c>
      <c r="T45" s="188">
        <f t="array" aca="1" ref="T45" ca="1">_xlfn.IFNA(SUM((T$3&gt;='Gastos com Pessoal'!$E$7:$E$506)*(T$3&lt;='Gastos com Pessoal'!$F$7:$F$506)*OFFSET('Encargos e Benefícios'!$D$5,1,MATCH($B45,'Encargos e Benefícios'!$E$5:$AB$5,0),500,1))*(IF('Gastos com Pessoal'!$G$7:$G$506&lt;=T$3,('Gastos com Pessoal'!$H$7:$H$506)+1,1))*(IF('Gastos com Pessoal'!$M$7:$M$506&lt;=T$3,('Gastos com Pessoal'!$N$7:$N$506)+1,1))*(IF('Gastos com Pessoal'!$S$7:$S$506&lt;=T$3,('Gastos com Pessoal'!$T$7:$T$506)+1,1))*(IF('Gastos com Pessoal'!$Y$7:$Y$506&lt;=T$3,('Gastos com Pessoal'!$Z$7:$Z$506)+1,1))*(IF('Gastos com Pessoal'!$AE$7:$AE$506&lt;=T$3,('Gastos com Pessoal'!$AF$7:$AF$506)+1,1)),0)</f>
        <v>79191.302351616032</v>
      </c>
      <c r="U45" s="188">
        <f t="array" aca="1" ref="U45" ca="1">_xlfn.IFNA(SUM((U$3&gt;='Gastos com Pessoal'!$E$7:$E$506)*(U$3&lt;='Gastos com Pessoal'!$F$7:$F$506)*OFFSET('Encargos e Benefícios'!$D$5,1,MATCH($B45,'Encargos e Benefícios'!$E$5:$AB$5,0),500,1))*(IF('Gastos com Pessoal'!$G$7:$G$506&lt;=U$3,('Gastos com Pessoal'!$H$7:$H$506)+1,1))*(IF('Gastos com Pessoal'!$M$7:$M$506&lt;=U$3,('Gastos com Pessoal'!$N$7:$N$506)+1,1))*(IF('Gastos com Pessoal'!$S$7:$S$506&lt;=U$3,('Gastos com Pessoal'!$T$7:$T$506)+1,1))*(IF('Gastos com Pessoal'!$Y$7:$Y$506&lt;=U$3,('Gastos com Pessoal'!$Z$7:$Z$506)+1,1))*(IF('Gastos com Pessoal'!$AE$7:$AE$506&lt;=U$3,('Gastos com Pessoal'!$AF$7:$AF$506)+1,1)),0)</f>
        <v>79191.302351616032</v>
      </c>
      <c r="V45" s="188">
        <f t="array" aca="1" ref="V45" ca="1">_xlfn.IFNA(SUM((V$3&gt;='Gastos com Pessoal'!$E$7:$E$506)*(V$3&lt;='Gastos com Pessoal'!$F$7:$F$506)*OFFSET('Encargos e Benefícios'!$D$5,1,MATCH($B45,'Encargos e Benefícios'!$E$5:$AB$5,0),500,1))*(IF('Gastos com Pessoal'!$G$7:$G$506&lt;=V$3,('Gastos com Pessoal'!$H$7:$H$506)+1,1))*(IF('Gastos com Pessoal'!$M$7:$M$506&lt;=V$3,('Gastos com Pessoal'!$N$7:$N$506)+1,1))*(IF('Gastos com Pessoal'!$S$7:$S$506&lt;=V$3,('Gastos com Pessoal'!$T$7:$T$506)+1,1))*(IF('Gastos com Pessoal'!$Y$7:$Y$506&lt;=V$3,('Gastos com Pessoal'!$Z$7:$Z$506)+1,1))*(IF('Gastos com Pessoal'!$AE$7:$AE$506&lt;=V$3,('Gastos com Pessoal'!$AF$7:$AF$506)+1,1)),0)</f>
        <v>79191.302351616032</v>
      </c>
      <c r="W45" s="188">
        <f t="array" aca="1" ref="W45" ca="1">_xlfn.IFNA(SUM((W$3&gt;='Gastos com Pessoal'!$E$7:$E$506)*(W$3&lt;='Gastos com Pessoal'!$F$7:$F$506)*OFFSET('Encargos e Benefícios'!$D$5,1,MATCH($B45,'Encargos e Benefícios'!$E$5:$AB$5,0),500,1))*(IF('Gastos com Pessoal'!$G$7:$G$506&lt;=W$3,('Gastos com Pessoal'!$H$7:$H$506)+1,1))*(IF('Gastos com Pessoal'!$M$7:$M$506&lt;=W$3,('Gastos com Pessoal'!$N$7:$N$506)+1,1))*(IF('Gastos com Pessoal'!$S$7:$S$506&lt;=W$3,('Gastos com Pessoal'!$T$7:$T$506)+1,1))*(IF('Gastos com Pessoal'!$Y$7:$Y$506&lt;=W$3,('Gastos com Pessoal'!$Z$7:$Z$506)+1,1))*(IF('Gastos com Pessoal'!$AE$7:$AE$506&lt;=W$3,('Gastos com Pessoal'!$AF$7:$AF$506)+1,1)),0)</f>
        <v>79191.302351616032</v>
      </c>
      <c r="X45" s="188">
        <f t="array" aca="1" ref="X45" ca="1">_xlfn.IFNA(SUM((X$3&gt;='Gastos com Pessoal'!$E$7:$E$506)*(X$3&lt;='Gastos com Pessoal'!$F$7:$F$506)*OFFSET('Encargos e Benefícios'!$D$5,1,MATCH($B45,'Encargos e Benefícios'!$E$5:$AB$5,0),500,1))*(IF('Gastos com Pessoal'!$G$7:$G$506&lt;=X$3,('Gastos com Pessoal'!$H$7:$H$506)+1,1))*(IF('Gastos com Pessoal'!$M$7:$M$506&lt;=X$3,('Gastos com Pessoal'!$N$7:$N$506)+1,1))*(IF('Gastos com Pessoal'!$S$7:$S$506&lt;=X$3,('Gastos com Pessoal'!$T$7:$T$506)+1,1))*(IF('Gastos com Pessoal'!$Y$7:$Y$506&lt;=X$3,('Gastos com Pessoal'!$Z$7:$Z$506)+1,1))*(IF('Gastos com Pessoal'!$AE$7:$AE$506&lt;=X$3,('Gastos com Pessoal'!$AF$7:$AF$506)+1,1)),0)</f>
        <v>79191.302351616032</v>
      </c>
      <c r="Y45" s="188">
        <f t="array" aca="1" ref="Y45" ca="1">_xlfn.IFNA(SUM((Y$3&gt;='Gastos com Pessoal'!$E$7:$E$506)*(Y$3&lt;='Gastos com Pessoal'!$F$7:$F$506)*OFFSET('Encargos e Benefícios'!$D$5,1,MATCH($B45,'Encargos e Benefícios'!$E$5:$AB$5,0),500,1))*(IF('Gastos com Pessoal'!$G$7:$G$506&lt;=Y$3,('Gastos com Pessoal'!$H$7:$H$506)+1,1))*(IF('Gastos com Pessoal'!$M$7:$M$506&lt;=Y$3,('Gastos com Pessoal'!$N$7:$N$506)+1,1))*(IF('Gastos com Pessoal'!$S$7:$S$506&lt;=Y$3,('Gastos com Pessoal'!$T$7:$T$506)+1,1))*(IF('Gastos com Pessoal'!$Y$7:$Y$506&lt;=Y$3,('Gastos com Pessoal'!$Z$7:$Z$506)+1,1))*(IF('Gastos com Pessoal'!$AE$7:$AE$506&lt;=Y$3,('Gastos com Pessoal'!$AF$7:$AF$506)+1,1)),0)</f>
        <v>79191.302351616032</v>
      </c>
      <c r="Z45" s="188">
        <f t="array" aca="1" ref="Z45" ca="1">_xlfn.IFNA(SUM((Z$3&gt;='Gastos com Pessoal'!$E$7:$E$506)*(Z$3&lt;='Gastos com Pessoal'!$F$7:$F$506)*OFFSET('Encargos e Benefícios'!$D$5,1,MATCH($B45,'Encargos e Benefícios'!$E$5:$AB$5,0),500,1))*(IF('Gastos com Pessoal'!$G$7:$G$506&lt;=Z$3,('Gastos com Pessoal'!$H$7:$H$506)+1,1))*(IF('Gastos com Pessoal'!$M$7:$M$506&lt;=Z$3,('Gastos com Pessoal'!$N$7:$N$506)+1,1))*(IF('Gastos com Pessoal'!$S$7:$S$506&lt;=Z$3,('Gastos com Pessoal'!$T$7:$T$506)+1,1))*(IF('Gastos com Pessoal'!$Y$7:$Y$506&lt;=Z$3,('Gastos com Pessoal'!$Z$7:$Z$506)+1,1))*(IF('Gastos com Pessoal'!$AE$7:$AE$506&lt;=Z$3,('Gastos com Pessoal'!$AF$7:$AF$506)+1,1)),0)</f>
        <v>79191.302351616032</v>
      </c>
      <c r="AA45" s="188">
        <f t="array" aca="1" ref="AA45" ca="1">_xlfn.IFNA(SUM((AA$3&gt;='Gastos com Pessoal'!$E$7:$E$506)*(AA$3&lt;='Gastos com Pessoal'!$F$7:$F$506)*OFFSET('Encargos e Benefícios'!$D$5,1,MATCH($B45,'Encargos e Benefícios'!$E$5:$AB$5,0),500,1))*(IF('Gastos com Pessoal'!$G$7:$G$506&lt;=AA$3,('Gastos com Pessoal'!$H$7:$H$506)+1,1))*(IF('Gastos com Pessoal'!$M$7:$M$506&lt;=AA$3,('Gastos com Pessoal'!$N$7:$N$506)+1,1))*(IF('Gastos com Pessoal'!$S$7:$S$506&lt;=AA$3,('Gastos com Pessoal'!$T$7:$T$506)+1,1))*(IF('Gastos com Pessoal'!$Y$7:$Y$506&lt;=AA$3,('Gastos com Pessoal'!$Z$7:$Z$506)+1,1))*(IF('Gastos com Pessoal'!$AE$7:$AE$506&lt;=AA$3,('Gastos com Pessoal'!$AF$7:$AF$506)+1,1)),0)</f>
        <v>79191.302351616032</v>
      </c>
      <c r="AB45" s="188">
        <f t="array" aca="1" ref="AB45" ca="1">_xlfn.IFNA(SUM((AB$3&gt;='Gastos com Pessoal'!$E$7:$E$506)*(AB$3&lt;='Gastos com Pessoal'!$F$7:$F$506)*OFFSET('Encargos e Benefícios'!$D$5,1,MATCH($B45,'Encargos e Benefícios'!$E$5:$AB$5,0),500,1))*(IF('Gastos com Pessoal'!$G$7:$G$506&lt;=AB$3,('Gastos com Pessoal'!$H$7:$H$506)+1,1))*(IF('Gastos com Pessoal'!$M$7:$M$506&lt;=AB$3,('Gastos com Pessoal'!$N$7:$N$506)+1,1))*(IF('Gastos com Pessoal'!$S$7:$S$506&lt;=AB$3,('Gastos com Pessoal'!$T$7:$T$506)+1,1))*(IF('Gastos com Pessoal'!$Y$7:$Y$506&lt;=AB$3,('Gastos com Pessoal'!$Z$7:$Z$506)+1,1))*(IF('Gastos com Pessoal'!$AE$7:$AE$506&lt;=AB$3,('Gastos com Pessoal'!$AF$7:$AF$506)+1,1)),0)</f>
        <v>79191.302351616032</v>
      </c>
      <c r="AC45" s="188">
        <f t="array" aca="1" ref="AC45" ca="1">_xlfn.IFNA(SUM((AC$3&gt;='Gastos com Pessoal'!$E$7:$E$506)*(AC$3&lt;='Gastos com Pessoal'!$F$7:$F$506)*OFFSET('Encargos e Benefícios'!$D$5,1,MATCH($B45,'Encargos e Benefícios'!$E$5:$AB$5,0),500,1))*(IF('Gastos com Pessoal'!$G$7:$G$506&lt;=AC$3,('Gastos com Pessoal'!$H$7:$H$506)+1,1))*(IF('Gastos com Pessoal'!$M$7:$M$506&lt;=AC$3,('Gastos com Pessoal'!$N$7:$N$506)+1,1))*(IF('Gastos com Pessoal'!$S$7:$S$506&lt;=AC$3,('Gastos com Pessoal'!$T$7:$T$506)+1,1))*(IF('Gastos com Pessoal'!$Y$7:$Y$506&lt;=AC$3,('Gastos com Pessoal'!$Z$7:$Z$506)+1,1))*(IF('Gastos com Pessoal'!$AE$7:$AE$506&lt;=AC$3,('Gastos com Pessoal'!$AF$7:$AF$506)+1,1)),0)</f>
        <v>79191.302351616032</v>
      </c>
      <c r="AD45" s="188">
        <f t="array" aca="1" ref="AD45" ca="1">_xlfn.IFNA(SUM((AD$3&gt;='Gastos com Pessoal'!$E$7:$E$506)*(AD$3&lt;='Gastos com Pessoal'!$F$7:$F$506)*OFFSET('Encargos e Benefícios'!$D$5,1,MATCH($B45,'Encargos e Benefícios'!$E$5:$AB$5,0),500,1))*(IF('Gastos com Pessoal'!$G$7:$G$506&lt;=AD$3,('Gastos com Pessoal'!$H$7:$H$506)+1,1))*(IF('Gastos com Pessoal'!$M$7:$M$506&lt;=AD$3,('Gastos com Pessoal'!$N$7:$N$506)+1,1))*(IF('Gastos com Pessoal'!$S$7:$S$506&lt;=AD$3,('Gastos com Pessoal'!$T$7:$T$506)+1,1))*(IF('Gastos com Pessoal'!$Y$7:$Y$506&lt;=AD$3,('Gastos com Pessoal'!$Z$7:$Z$506)+1,1))*(IF('Gastos com Pessoal'!$AE$7:$AE$506&lt;=AD$3,('Gastos com Pessoal'!$AF$7:$AF$506)+1,1)),0)</f>
        <v>79191.302351616032</v>
      </c>
      <c r="AE45" s="188">
        <f t="array" aca="1" ref="AE45" ca="1">_xlfn.IFNA(SUM((AE$3&gt;='Gastos com Pessoal'!$E$7:$E$506)*(AE$3&lt;='Gastos com Pessoal'!$F$7:$F$506)*OFFSET('Encargos e Benefícios'!$D$5,1,MATCH($B45,'Encargos e Benefícios'!$E$5:$AB$5,0),500,1))*(IF('Gastos com Pessoal'!$G$7:$G$506&lt;=AE$3,('Gastos com Pessoal'!$H$7:$H$506)+1,1))*(IF('Gastos com Pessoal'!$M$7:$M$506&lt;=AE$3,('Gastos com Pessoal'!$N$7:$N$506)+1,1))*(IF('Gastos com Pessoal'!$S$7:$S$506&lt;=AE$3,('Gastos com Pessoal'!$T$7:$T$506)+1,1))*(IF('Gastos com Pessoal'!$Y$7:$Y$506&lt;=AE$3,('Gastos com Pessoal'!$Z$7:$Z$506)+1,1))*(IF('Gastos com Pessoal'!$AE$7:$AE$506&lt;=AE$3,('Gastos com Pessoal'!$AF$7:$AF$506)+1,1)),0)</f>
        <v>79191.302351616032</v>
      </c>
      <c r="AF45" s="188">
        <f t="array" aca="1" ref="AF45" ca="1">_xlfn.IFNA(SUM((AF$3&gt;='Gastos com Pessoal'!$E$7:$E$506)*(AF$3&lt;='Gastos com Pessoal'!$F$7:$F$506)*OFFSET('Encargos e Benefícios'!$D$5,1,MATCH($B45,'Encargos e Benefícios'!$E$5:$AB$5,0),500,1))*(IF('Gastos com Pessoal'!$G$7:$G$506&lt;=AF$3,('Gastos com Pessoal'!$H$7:$H$506)+1,1))*(IF('Gastos com Pessoal'!$M$7:$M$506&lt;=AF$3,('Gastos com Pessoal'!$N$7:$N$506)+1,1))*(IF('Gastos com Pessoal'!$S$7:$S$506&lt;=AF$3,('Gastos com Pessoal'!$T$7:$T$506)+1,1))*(IF('Gastos com Pessoal'!$Y$7:$Y$506&lt;=AF$3,('Gastos com Pessoal'!$Z$7:$Z$506)+1,1))*(IF('Gastos com Pessoal'!$AE$7:$AE$506&lt;=AF$3,('Gastos com Pessoal'!$AF$7:$AF$506)+1,1)),0)</f>
        <v>83816.074408950415</v>
      </c>
      <c r="AG45" s="188">
        <f t="array" aca="1" ref="AG45" ca="1">_xlfn.IFNA(SUM((AG$3&gt;='Gastos com Pessoal'!$E$7:$E$506)*(AG$3&lt;='Gastos com Pessoal'!$F$7:$F$506)*OFFSET('Encargos e Benefícios'!$D$5,1,MATCH($B45,'Encargos e Benefícios'!$E$5:$AB$5,0),500,1))*(IF('Gastos com Pessoal'!$G$7:$G$506&lt;=AG$3,('Gastos com Pessoal'!$H$7:$H$506)+1,1))*(IF('Gastos com Pessoal'!$M$7:$M$506&lt;=AG$3,('Gastos com Pessoal'!$N$7:$N$506)+1,1))*(IF('Gastos com Pessoal'!$S$7:$S$506&lt;=AG$3,('Gastos com Pessoal'!$T$7:$T$506)+1,1))*(IF('Gastos com Pessoal'!$Y$7:$Y$506&lt;=AG$3,('Gastos com Pessoal'!$Z$7:$Z$506)+1,1))*(IF('Gastos com Pessoal'!$AE$7:$AE$506&lt;=AG$3,('Gastos com Pessoal'!$AF$7:$AF$506)+1,1)),0)</f>
        <v>83816.074408950415</v>
      </c>
      <c r="AH45" s="188">
        <f t="array" aca="1" ref="AH45" ca="1">_xlfn.IFNA(SUM((AH$3&gt;='Gastos com Pessoal'!$E$7:$E$506)*(AH$3&lt;='Gastos com Pessoal'!$F$7:$F$506)*OFFSET('Encargos e Benefícios'!$D$5,1,MATCH($B45,'Encargos e Benefícios'!$E$5:$AB$5,0),500,1))*(IF('Gastos com Pessoal'!$G$7:$G$506&lt;=AH$3,('Gastos com Pessoal'!$H$7:$H$506)+1,1))*(IF('Gastos com Pessoal'!$M$7:$M$506&lt;=AH$3,('Gastos com Pessoal'!$N$7:$N$506)+1,1))*(IF('Gastos com Pessoal'!$S$7:$S$506&lt;=AH$3,('Gastos com Pessoal'!$T$7:$T$506)+1,1))*(IF('Gastos com Pessoal'!$Y$7:$Y$506&lt;=AH$3,('Gastos com Pessoal'!$Z$7:$Z$506)+1,1))*(IF('Gastos com Pessoal'!$AE$7:$AE$506&lt;=AH$3,('Gastos com Pessoal'!$AF$7:$AF$506)+1,1)),0)</f>
        <v>83816.074408950415</v>
      </c>
      <c r="AI45" s="188">
        <f t="array" aca="1" ref="AI45" ca="1">_xlfn.IFNA(SUM((AI$3&gt;='Gastos com Pessoal'!$E$7:$E$506)*(AI$3&lt;='Gastos com Pessoal'!$F$7:$F$506)*OFFSET('Encargos e Benefícios'!$D$5,1,MATCH($B45,'Encargos e Benefícios'!$E$5:$AB$5,0),500,1))*(IF('Gastos com Pessoal'!$G$7:$G$506&lt;=AI$3,('Gastos com Pessoal'!$H$7:$H$506)+1,1))*(IF('Gastos com Pessoal'!$M$7:$M$506&lt;=AI$3,('Gastos com Pessoal'!$N$7:$N$506)+1,1))*(IF('Gastos com Pessoal'!$S$7:$S$506&lt;=AI$3,('Gastos com Pessoal'!$T$7:$T$506)+1,1))*(IF('Gastos com Pessoal'!$Y$7:$Y$506&lt;=AI$3,('Gastos com Pessoal'!$Z$7:$Z$506)+1,1))*(IF('Gastos com Pessoal'!$AE$7:$AE$506&lt;=AI$3,('Gastos com Pessoal'!$AF$7:$AF$506)+1,1)),0)</f>
        <v>83816.074408950415</v>
      </c>
      <c r="AJ45" s="188">
        <f t="array" aca="1" ref="AJ45" ca="1">_xlfn.IFNA(SUM((AJ$3&gt;='Gastos com Pessoal'!$E$7:$E$506)*(AJ$3&lt;='Gastos com Pessoal'!$F$7:$F$506)*OFFSET('Encargos e Benefícios'!$D$5,1,MATCH($B45,'Encargos e Benefícios'!$E$5:$AB$5,0),500,1))*(IF('Gastos com Pessoal'!$G$7:$G$506&lt;=AJ$3,('Gastos com Pessoal'!$H$7:$H$506)+1,1))*(IF('Gastos com Pessoal'!$M$7:$M$506&lt;=AJ$3,('Gastos com Pessoal'!$N$7:$N$506)+1,1))*(IF('Gastos com Pessoal'!$S$7:$S$506&lt;=AJ$3,('Gastos com Pessoal'!$T$7:$T$506)+1,1))*(IF('Gastos com Pessoal'!$Y$7:$Y$506&lt;=AJ$3,('Gastos com Pessoal'!$Z$7:$Z$506)+1,1))*(IF('Gastos com Pessoal'!$AE$7:$AE$506&lt;=AJ$3,('Gastos com Pessoal'!$AF$7:$AF$506)+1,1)),0)</f>
        <v>83816.074408950415</v>
      </c>
      <c r="AK45" s="188">
        <f t="array" aca="1" ref="AK45" ca="1">_xlfn.IFNA(SUM((AK$3&gt;='Gastos com Pessoal'!$E$7:$E$506)*(AK$3&lt;='Gastos com Pessoal'!$F$7:$F$506)*OFFSET('Encargos e Benefícios'!$D$5,1,MATCH($B45,'Encargos e Benefícios'!$E$5:$AB$5,0),500,1))*(IF('Gastos com Pessoal'!$G$7:$G$506&lt;=AK$3,('Gastos com Pessoal'!$H$7:$H$506)+1,1))*(IF('Gastos com Pessoal'!$M$7:$M$506&lt;=AK$3,('Gastos com Pessoal'!$N$7:$N$506)+1,1))*(IF('Gastos com Pessoal'!$S$7:$S$506&lt;=AK$3,('Gastos com Pessoal'!$T$7:$T$506)+1,1))*(IF('Gastos com Pessoal'!$Y$7:$Y$506&lt;=AK$3,('Gastos com Pessoal'!$Z$7:$Z$506)+1,1))*(IF('Gastos com Pessoal'!$AE$7:$AE$506&lt;=AK$3,('Gastos com Pessoal'!$AF$7:$AF$506)+1,1)),0)</f>
        <v>83816.074408950415</v>
      </c>
      <c r="AL45" s="188">
        <f t="array" aca="1" ref="AL45" ca="1">_xlfn.IFNA(SUM((AL$3&gt;='Gastos com Pessoal'!$E$7:$E$506)*(AL$3&lt;='Gastos com Pessoal'!$F$7:$F$506)*OFFSET('Encargos e Benefícios'!$D$5,1,MATCH($B45,'Encargos e Benefícios'!$E$5:$AB$5,0),500,1))*(IF('Gastos com Pessoal'!$G$7:$G$506&lt;=AL$3,('Gastos com Pessoal'!$H$7:$H$506)+1,1))*(IF('Gastos com Pessoal'!$M$7:$M$506&lt;=AL$3,('Gastos com Pessoal'!$N$7:$N$506)+1,1))*(IF('Gastos com Pessoal'!$S$7:$S$506&lt;=AL$3,('Gastos com Pessoal'!$T$7:$T$506)+1,1))*(IF('Gastos com Pessoal'!$Y$7:$Y$506&lt;=AL$3,('Gastos com Pessoal'!$Z$7:$Z$506)+1,1))*(IF('Gastos com Pessoal'!$AE$7:$AE$506&lt;=AL$3,('Gastos com Pessoal'!$AF$7:$AF$506)+1,1)),0)</f>
        <v>83816.074408950415</v>
      </c>
      <c r="AM45" s="188">
        <f t="array" aca="1" ref="AM45" ca="1">_xlfn.IFNA(SUM((AM$3&gt;='Gastos com Pessoal'!$E$7:$E$506)*(AM$3&lt;='Gastos com Pessoal'!$F$7:$F$506)*OFFSET('Encargos e Benefícios'!$D$5,1,MATCH($B45,'Encargos e Benefícios'!$E$5:$AB$5,0),500,1))*(IF('Gastos com Pessoal'!$G$7:$G$506&lt;=AM$3,('Gastos com Pessoal'!$H$7:$H$506)+1,1))*(IF('Gastos com Pessoal'!$M$7:$M$506&lt;=AM$3,('Gastos com Pessoal'!$N$7:$N$506)+1,1))*(IF('Gastos com Pessoal'!$S$7:$S$506&lt;=AM$3,('Gastos com Pessoal'!$T$7:$T$506)+1,1))*(IF('Gastos com Pessoal'!$Y$7:$Y$506&lt;=AM$3,('Gastos com Pessoal'!$Z$7:$Z$506)+1,1))*(IF('Gastos com Pessoal'!$AE$7:$AE$506&lt;=AM$3,('Gastos com Pessoal'!$AF$7:$AF$506)+1,1)),0)</f>
        <v>83816.074408950415</v>
      </c>
      <c r="AN45" s="188">
        <f t="array" aca="1" ref="AN45" ca="1">_xlfn.IFNA(SUM((AN$3&gt;='Gastos com Pessoal'!$E$7:$E$506)*(AN$3&lt;='Gastos com Pessoal'!$F$7:$F$506)*OFFSET('Encargos e Benefícios'!$D$5,1,MATCH($B45,'Encargos e Benefícios'!$E$5:$AB$5,0),500,1))*(IF('Gastos com Pessoal'!$G$7:$G$506&lt;=AN$3,('Gastos com Pessoal'!$H$7:$H$506)+1,1))*(IF('Gastos com Pessoal'!$M$7:$M$506&lt;=AN$3,('Gastos com Pessoal'!$N$7:$N$506)+1,1))*(IF('Gastos com Pessoal'!$S$7:$S$506&lt;=AN$3,('Gastos com Pessoal'!$T$7:$T$506)+1,1))*(IF('Gastos com Pessoal'!$Y$7:$Y$506&lt;=AN$3,('Gastos com Pessoal'!$Z$7:$Z$506)+1,1))*(IF('Gastos com Pessoal'!$AE$7:$AE$506&lt;=AN$3,('Gastos com Pessoal'!$AF$7:$AF$506)+1,1)),0)</f>
        <v>83816.074408950415</v>
      </c>
      <c r="AO45" s="188">
        <f t="array" aca="1" ref="AO45" ca="1">_xlfn.IFNA(SUM((AO$3&gt;='Gastos com Pessoal'!$E$7:$E$506)*(AO$3&lt;='Gastos com Pessoal'!$F$7:$F$506)*OFFSET('Encargos e Benefícios'!$D$5,1,MATCH($B45,'Encargos e Benefícios'!$E$5:$AB$5,0),500,1))*(IF('Gastos com Pessoal'!$G$7:$G$506&lt;=AO$3,('Gastos com Pessoal'!$H$7:$H$506)+1,1))*(IF('Gastos com Pessoal'!$M$7:$M$506&lt;=AO$3,('Gastos com Pessoal'!$N$7:$N$506)+1,1))*(IF('Gastos com Pessoal'!$S$7:$S$506&lt;=AO$3,('Gastos com Pessoal'!$T$7:$T$506)+1,1))*(IF('Gastos com Pessoal'!$Y$7:$Y$506&lt;=AO$3,('Gastos com Pessoal'!$Z$7:$Z$506)+1,1))*(IF('Gastos com Pessoal'!$AE$7:$AE$506&lt;=AO$3,('Gastos com Pessoal'!$AF$7:$AF$506)+1,1)),0)</f>
        <v>83816.074408950415</v>
      </c>
      <c r="AP45" s="188">
        <f t="array" aca="1" ref="AP45" ca="1">_xlfn.IFNA(SUM((AP$3&gt;='Gastos com Pessoal'!$E$7:$E$506)*(AP$3&lt;='Gastos com Pessoal'!$F$7:$F$506)*OFFSET('Encargos e Benefícios'!$D$5,1,MATCH($B45,'Encargos e Benefícios'!$E$5:$AB$5,0),500,1))*(IF('Gastos com Pessoal'!$G$7:$G$506&lt;=AP$3,('Gastos com Pessoal'!$H$7:$H$506)+1,1))*(IF('Gastos com Pessoal'!$M$7:$M$506&lt;=AP$3,('Gastos com Pessoal'!$N$7:$N$506)+1,1))*(IF('Gastos com Pessoal'!$S$7:$S$506&lt;=AP$3,('Gastos com Pessoal'!$T$7:$T$506)+1,1))*(IF('Gastos com Pessoal'!$Y$7:$Y$506&lt;=AP$3,('Gastos com Pessoal'!$Z$7:$Z$506)+1,1))*(IF('Gastos com Pessoal'!$AE$7:$AE$506&lt;=AP$3,('Gastos com Pessoal'!$AF$7:$AF$506)+1,1)),0)</f>
        <v>83816.074408950415</v>
      </c>
      <c r="AQ45" s="188">
        <f t="array" aca="1" ref="AQ45" ca="1">_xlfn.IFNA(SUM((AQ$3&gt;='Gastos com Pessoal'!$E$7:$E$506)*(AQ$3&lt;='Gastos com Pessoal'!$F$7:$F$506)*OFFSET('Encargos e Benefícios'!$D$5,1,MATCH($B45,'Encargos e Benefícios'!$E$5:$AB$5,0),500,1))*(IF('Gastos com Pessoal'!$G$7:$G$506&lt;=AQ$3,('Gastos com Pessoal'!$H$7:$H$506)+1,1))*(IF('Gastos com Pessoal'!$M$7:$M$506&lt;=AQ$3,('Gastos com Pessoal'!$N$7:$N$506)+1,1))*(IF('Gastos com Pessoal'!$S$7:$S$506&lt;=AQ$3,('Gastos com Pessoal'!$T$7:$T$506)+1,1))*(IF('Gastos com Pessoal'!$Y$7:$Y$506&lt;=AQ$3,('Gastos com Pessoal'!$Z$7:$Z$506)+1,1))*(IF('Gastos com Pessoal'!$AE$7:$AE$506&lt;=AQ$3,('Gastos com Pessoal'!$AF$7:$AF$506)+1,1)),0)</f>
        <v>83816.074408950415</v>
      </c>
      <c r="AR45" s="188">
        <f t="array" aca="1" ref="AR45" ca="1">_xlfn.IFNA(SUM((AR$3&gt;='Gastos com Pessoal'!$E$7:$E$506)*(AR$3&lt;='Gastos com Pessoal'!$F$7:$F$506)*OFFSET('Encargos e Benefícios'!$D$5,1,MATCH($B45,'Encargos e Benefícios'!$E$5:$AB$5,0),500,1))*(IF('Gastos com Pessoal'!$G$7:$G$506&lt;=AR$3,('Gastos com Pessoal'!$H$7:$H$506)+1,1))*(IF('Gastos com Pessoal'!$M$7:$M$506&lt;=AR$3,('Gastos com Pessoal'!$N$7:$N$506)+1,1))*(IF('Gastos com Pessoal'!$S$7:$S$506&lt;=AR$3,('Gastos com Pessoal'!$T$7:$T$506)+1,1))*(IF('Gastos com Pessoal'!$Y$7:$Y$506&lt;=AR$3,('Gastos com Pessoal'!$Z$7:$Z$506)+1,1))*(IF('Gastos com Pessoal'!$AE$7:$AE$506&lt;=AR$3,('Gastos com Pessoal'!$AF$7:$AF$506)+1,1)),0)</f>
        <v>88710.933154433122</v>
      </c>
      <c r="AS45" s="188">
        <f t="array" aca="1" ref="AS45" ca="1">_xlfn.IFNA(SUM((AS$3&gt;='Gastos com Pessoal'!$E$7:$E$506)*(AS$3&lt;='Gastos com Pessoal'!$F$7:$F$506)*OFFSET('Encargos e Benefícios'!$D$5,1,MATCH($B45,'Encargos e Benefícios'!$E$5:$AB$5,0),500,1))*(IF('Gastos com Pessoal'!$G$7:$G$506&lt;=AS$3,('Gastos com Pessoal'!$H$7:$H$506)+1,1))*(IF('Gastos com Pessoal'!$M$7:$M$506&lt;=AS$3,('Gastos com Pessoal'!$N$7:$N$506)+1,1))*(IF('Gastos com Pessoal'!$S$7:$S$506&lt;=AS$3,('Gastos com Pessoal'!$T$7:$T$506)+1,1))*(IF('Gastos com Pessoal'!$Y$7:$Y$506&lt;=AS$3,('Gastos com Pessoal'!$Z$7:$Z$506)+1,1))*(IF('Gastos com Pessoal'!$AE$7:$AE$506&lt;=AS$3,('Gastos com Pessoal'!$AF$7:$AF$506)+1,1)),0)</f>
        <v>88710.933154433122</v>
      </c>
      <c r="AT45" s="188">
        <f t="array" aca="1" ref="AT45" ca="1">_xlfn.IFNA(SUM((AT$3&gt;='Gastos com Pessoal'!$E$7:$E$506)*(AT$3&lt;='Gastos com Pessoal'!$F$7:$F$506)*OFFSET('Encargos e Benefícios'!$D$5,1,MATCH($B45,'Encargos e Benefícios'!$E$5:$AB$5,0),500,1))*(IF('Gastos com Pessoal'!$G$7:$G$506&lt;=AT$3,('Gastos com Pessoal'!$H$7:$H$506)+1,1))*(IF('Gastos com Pessoal'!$M$7:$M$506&lt;=AT$3,('Gastos com Pessoal'!$N$7:$N$506)+1,1))*(IF('Gastos com Pessoal'!$S$7:$S$506&lt;=AT$3,('Gastos com Pessoal'!$T$7:$T$506)+1,1))*(IF('Gastos com Pessoal'!$Y$7:$Y$506&lt;=AT$3,('Gastos com Pessoal'!$Z$7:$Z$506)+1,1))*(IF('Gastos com Pessoal'!$AE$7:$AE$506&lt;=AT$3,('Gastos com Pessoal'!$AF$7:$AF$506)+1,1)),0)</f>
        <v>88710.933154433122</v>
      </c>
      <c r="AU45" s="188">
        <f t="array" aca="1" ref="AU45" ca="1">_xlfn.IFNA(SUM((AU$3&gt;='Gastos com Pessoal'!$E$7:$E$506)*(AU$3&lt;='Gastos com Pessoal'!$F$7:$F$506)*OFFSET('Encargos e Benefícios'!$D$5,1,MATCH($B45,'Encargos e Benefícios'!$E$5:$AB$5,0),500,1))*(IF('Gastos com Pessoal'!$G$7:$G$506&lt;=AU$3,('Gastos com Pessoal'!$H$7:$H$506)+1,1))*(IF('Gastos com Pessoal'!$M$7:$M$506&lt;=AU$3,('Gastos com Pessoal'!$N$7:$N$506)+1,1))*(IF('Gastos com Pessoal'!$S$7:$S$506&lt;=AU$3,('Gastos com Pessoal'!$T$7:$T$506)+1,1))*(IF('Gastos com Pessoal'!$Y$7:$Y$506&lt;=AU$3,('Gastos com Pessoal'!$Z$7:$Z$506)+1,1))*(IF('Gastos com Pessoal'!$AE$7:$AE$506&lt;=AU$3,('Gastos com Pessoal'!$AF$7:$AF$506)+1,1)),0)</f>
        <v>88710.933154433122</v>
      </c>
      <c r="AV45" s="188">
        <f t="array" aca="1" ref="AV45" ca="1">_xlfn.IFNA(SUM((AV$3&gt;='Gastos com Pessoal'!$E$7:$E$506)*(AV$3&lt;='Gastos com Pessoal'!$F$7:$F$506)*OFFSET('Encargos e Benefícios'!$D$5,1,MATCH($B45,'Encargos e Benefícios'!$E$5:$AB$5,0),500,1))*(IF('Gastos com Pessoal'!$G$7:$G$506&lt;=AV$3,('Gastos com Pessoal'!$H$7:$H$506)+1,1))*(IF('Gastos com Pessoal'!$M$7:$M$506&lt;=AV$3,('Gastos com Pessoal'!$N$7:$N$506)+1,1))*(IF('Gastos com Pessoal'!$S$7:$S$506&lt;=AV$3,('Gastos com Pessoal'!$T$7:$T$506)+1,1))*(IF('Gastos com Pessoal'!$Y$7:$Y$506&lt;=AV$3,('Gastos com Pessoal'!$Z$7:$Z$506)+1,1))*(IF('Gastos com Pessoal'!$AE$7:$AE$506&lt;=AV$3,('Gastos com Pessoal'!$AF$7:$AF$506)+1,1)),0)</f>
        <v>88710.933154433122</v>
      </c>
      <c r="AW45" s="188">
        <f t="array" aca="1" ref="AW45" ca="1">_xlfn.IFNA(SUM((AW$3&gt;='Gastos com Pessoal'!$E$7:$E$506)*(AW$3&lt;='Gastos com Pessoal'!$F$7:$F$506)*OFFSET('Encargos e Benefícios'!$D$5,1,MATCH($B45,'Encargos e Benefícios'!$E$5:$AB$5,0),500,1))*(IF('Gastos com Pessoal'!$G$7:$G$506&lt;=AW$3,('Gastos com Pessoal'!$H$7:$H$506)+1,1))*(IF('Gastos com Pessoal'!$M$7:$M$506&lt;=AW$3,('Gastos com Pessoal'!$N$7:$N$506)+1,1))*(IF('Gastos com Pessoal'!$S$7:$S$506&lt;=AW$3,('Gastos com Pessoal'!$T$7:$T$506)+1,1))*(IF('Gastos com Pessoal'!$Y$7:$Y$506&lt;=AW$3,('Gastos com Pessoal'!$Z$7:$Z$506)+1,1))*(IF('Gastos com Pessoal'!$AE$7:$AE$506&lt;=AW$3,('Gastos com Pessoal'!$AF$7:$AF$506)+1,1)),0)</f>
        <v>88710.933154433122</v>
      </c>
      <c r="AX45" s="188">
        <f t="array" aca="1" ref="AX45" ca="1">_xlfn.IFNA(SUM((AX$3&gt;='Gastos com Pessoal'!$E$7:$E$506)*(AX$3&lt;='Gastos com Pessoal'!$F$7:$F$506)*OFFSET('Encargos e Benefícios'!$D$5,1,MATCH($B45,'Encargos e Benefícios'!$E$5:$AB$5,0),500,1))*(IF('Gastos com Pessoal'!$G$7:$G$506&lt;=AX$3,('Gastos com Pessoal'!$H$7:$H$506)+1,1))*(IF('Gastos com Pessoal'!$M$7:$M$506&lt;=AX$3,('Gastos com Pessoal'!$N$7:$N$506)+1,1))*(IF('Gastos com Pessoal'!$S$7:$S$506&lt;=AX$3,('Gastos com Pessoal'!$T$7:$T$506)+1,1))*(IF('Gastos com Pessoal'!$Y$7:$Y$506&lt;=AX$3,('Gastos com Pessoal'!$Z$7:$Z$506)+1,1))*(IF('Gastos com Pessoal'!$AE$7:$AE$506&lt;=AX$3,('Gastos com Pessoal'!$AF$7:$AF$506)+1,1)),0)</f>
        <v>88710.933154433122</v>
      </c>
      <c r="AY45" s="188">
        <f t="array" aca="1" ref="AY45" ca="1">_xlfn.IFNA(SUM((AY$3&gt;='Gastos com Pessoal'!$E$7:$E$506)*(AY$3&lt;='Gastos com Pessoal'!$F$7:$F$506)*OFFSET('Encargos e Benefícios'!$D$5,1,MATCH($B45,'Encargos e Benefícios'!$E$5:$AB$5,0),500,1))*(IF('Gastos com Pessoal'!$G$7:$G$506&lt;=AY$3,('Gastos com Pessoal'!$H$7:$H$506)+1,1))*(IF('Gastos com Pessoal'!$M$7:$M$506&lt;=AY$3,('Gastos com Pessoal'!$N$7:$N$506)+1,1))*(IF('Gastos com Pessoal'!$S$7:$S$506&lt;=AY$3,('Gastos com Pessoal'!$T$7:$T$506)+1,1))*(IF('Gastos com Pessoal'!$Y$7:$Y$506&lt;=AY$3,('Gastos com Pessoal'!$Z$7:$Z$506)+1,1))*(IF('Gastos com Pessoal'!$AE$7:$AE$506&lt;=AY$3,('Gastos com Pessoal'!$AF$7:$AF$506)+1,1)),0)</f>
        <v>88710.933154433122</v>
      </c>
      <c r="AZ45" s="188">
        <f t="array" aca="1" ref="AZ45" ca="1">_xlfn.IFNA(SUM((AZ$3&gt;='Gastos com Pessoal'!$E$7:$E$506)*(AZ$3&lt;='Gastos com Pessoal'!$F$7:$F$506)*OFFSET('Encargos e Benefícios'!$D$5,1,MATCH($B45,'Encargos e Benefícios'!$E$5:$AB$5,0),500,1))*(IF('Gastos com Pessoal'!$G$7:$G$506&lt;=AZ$3,('Gastos com Pessoal'!$H$7:$H$506)+1,1))*(IF('Gastos com Pessoal'!$M$7:$M$506&lt;=AZ$3,('Gastos com Pessoal'!$N$7:$N$506)+1,1))*(IF('Gastos com Pessoal'!$S$7:$S$506&lt;=AZ$3,('Gastos com Pessoal'!$T$7:$T$506)+1,1))*(IF('Gastos com Pessoal'!$Y$7:$Y$506&lt;=AZ$3,('Gastos com Pessoal'!$Z$7:$Z$506)+1,1))*(IF('Gastos com Pessoal'!$AE$7:$AE$506&lt;=AZ$3,('Gastos com Pessoal'!$AF$7:$AF$506)+1,1)),0)</f>
        <v>88710.933154433122</v>
      </c>
      <c r="BA45" s="188">
        <f t="array" aca="1" ref="BA45" ca="1">_xlfn.IFNA(SUM((BA$3&gt;='Gastos com Pessoal'!$E$7:$E$506)*(BA$3&lt;='Gastos com Pessoal'!$F$7:$F$506)*OFFSET('Encargos e Benefícios'!$D$5,1,MATCH($B45,'Encargos e Benefícios'!$E$5:$AB$5,0),500,1))*(IF('Gastos com Pessoal'!$G$7:$G$506&lt;=BA$3,('Gastos com Pessoal'!$H$7:$H$506)+1,1))*(IF('Gastos com Pessoal'!$M$7:$M$506&lt;=BA$3,('Gastos com Pessoal'!$N$7:$N$506)+1,1))*(IF('Gastos com Pessoal'!$S$7:$S$506&lt;=BA$3,('Gastos com Pessoal'!$T$7:$T$506)+1,1))*(IF('Gastos com Pessoal'!$Y$7:$Y$506&lt;=BA$3,('Gastos com Pessoal'!$Z$7:$Z$506)+1,1))*(IF('Gastos com Pessoal'!$AE$7:$AE$506&lt;=BA$3,('Gastos com Pessoal'!$AF$7:$AF$506)+1,1)),0)</f>
        <v>88710.933154433122</v>
      </c>
      <c r="BB45" s="188">
        <f t="array" aca="1" ref="BB45" ca="1">_xlfn.IFNA(SUM((BB$3&gt;='Gastos com Pessoal'!$E$7:$E$506)*(BB$3&lt;='Gastos com Pessoal'!$F$7:$F$506)*OFFSET('Encargos e Benefícios'!$D$5,1,MATCH($B45,'Encargos e Benefícios'!$E$5:$AB$5,0),500,1))*(IF('Gastos com Pessoal'!$G$7:$G$506&lt;=BB$3,('Gastos com Pessoal'!$H$7:$H$506)+1,1))*(IF('Gastos com Pessoal'!$M$7:$M$506&lt;=BB$3,('Gastos com Pessoal'!$N$7:$N$506)+1,1))*(IF('Gastos com Pessoal'!$S$7:$S$506&lt;=BB$3,('Gastos com Pessoal'!$T$7:$T$506)+1,1))*(IF('Gastos com Pessoal'!$Y$7:$Y$506&lt;=BB$3,('Gastos com Pessoal'!$Z$7:$Z$506)+1,1))*(IF('Gastos com Pessoal'!$AE$7:$AE$506&lt;=BB$3,('Gastos com Pessoal'!$AF$7:$AF$506)+1,1)),0)</f>
        <v>88710.933154433122</v>
      </c>
      <c r="BC45" s="188">
        <f t="array" aca="1" ref="BC45" ca="1">_xlfn.IFNA(SUM((BC$3&gt;='Gastos com Pessoal'!$E$7:$E$506)*(BC$3&lt;='Gastos com Pessoal'!$F$7:$F$506)*OFFSET('Encargos e Benefícios'!$D$5,1,MATCH($B45,'Encargos e Benefícios'!$E$5:$AB$5,0),500,1))*(IF('Gastos com Pessoal'!$G$7:$G$506&lt;=BC$3,('Gastos com Pessoal'!$H$7:$H$506)+1,1))*(IF('Gastos com Pessoal'!$M$7:$M$506&lt;=BC$3,('Gastos com Pessoal'!$N$7:$N$506)+1,1))*(IF('Gastos com Pessoal'!$S$7:$S$506&lt;=BC$3,('Gastos com Pessoal'!$T$7:$T$506)+1,1))*(IF('Gastos com Pessoal'!$Y$7:$Y$506&lt;=BC$3,('Gastos com Pessoal'!$Z$7:$Z$506)+1,1))*(IF('Gastos com Pessoal'!$AE$7:$AE$506&lt;=BC$3,('Gastos com Pessoal'!$AF$7:$AF$506)+1,1)),0)</f>
        <v>88710.933154433122</v>
      </c>
      <c r="BD45" s="188">
        <f t="array" aca="1" ref="BD45" ca="1">_xlfn.IFNA(SUM((BD$3&gt;='Gastos com Pessoal'!$E$7:$E$506)*(BD$3&lt;='Gastos com Pessoal'!$F$7:$F$506)*OFFSET('Encargos e Benefícios'!$D$5,1,MATCH($B45,'Encargos e Benefícios'!$E$5:$AB$5,0),500,1))*(IF('Gastos com Pessoal'!$G$7:$G$506&lt;=BD$3,('Gastos com Pessoal'!$H$7:$H$506)+1,1))*(IF('Gastos com Pessoal'!$M$7:$M$506&lt;=BD$3,('Gastos com Pessoal'!$N$7:$N$506)+1,1))*(IF('Gastos com Pessoal'!$S$7:$S$506&lt;=BD$3,('Gastos com Pessoal'!$T$7:$T$506)+1,1))*(IF('Gastos com Pessoal'!$Y$7:$Y$506&lt;=BD$3,('Gastos com Pessoal'!$Z$7:$Z$506)+1,1))*(IF('Gastos com Pessoal'!$AE$7:$AE$506&lt;=BD$3,('Gastos com Pessoal'!$AF$7:$AF$506)+1,1)),0)</f>
        <v>93891.651650652013</v>
      </c>
      <c r="BE45" s="188">
        <f t="array" aca="1" ref="BE45" ca="1">_xlfn.IFNA(SUM((BE$3&gt;='Gastos com Pessoal'!$E$7:$E$506)*(BE$3&lt;='Gastos com Pessoal'!$F$7:$F$506)*OFFSET('Encargos e Benefícios'!$D$5,1,MATCH($B45,'Encargos e Benefícios'!$E$5:$AB$5,0),500,1))*(IF('Gastos com Pessoal'!$G$7:$G$506&lt;=BE$3,('Gastos com Pessoal'!$H$7:$H$506)+1,1))*(IF('Gastos com Pessoal'!$M$7:$M$506&lt;=BE$3,('Gastos com Pessoal'!$N$7:$N$506)+1,1))*(IF('Gastos com Pessoal'!$S$7:$S$506&lt;=BE$3,('Gastos com Pessoal'!$T$7:$T$506)+1,1))*(IF('Gastos com Pessoal'!$Y$7:$Y$506&lt;=BE$3,('Gastos com Pessoal'!$Z$7:$Z$506)+1,1))*(IF('Gastos com Pessoal'!$AE$7:$AE$506&lt;=BE$3,('Gastos com Pessoal'!$AF$7:$AF$506)+1,1)),0)</f>
        <v>93891.651650652013</v>
      </c>
      <c r="BF45" s="188">
        <f t="array" aca="1" ref="BF45" ca="1">_xlfn.IFNA(SUM((BF$3&gt;='Gastos com Pessoal'!$E$7:$E$506)*(BF$3&lt;='Gastos com Pessoal'!$F$7:$F$506)*OFFSET('Encargos e Benefícios'!$D$5,1,MATCH($B45,'Encargos e Benefícios'!$E$5:$AB$5,0),500,1))*(IF('Gastos com Pessoal'!$G$7:$G$506&lt;=BF$3,('Gastos com Pessoal'!$H$7:$H$506)+1,1))*(IF('Gastos com Pessoal'!$M$7:$M$506&lt;=BF$3,('Gastos com Pessoal'!$N$7:$N$506)+1,1))*(IF('Gastos com Pessoal'!$S$7:$S$506&lt;=BF$3,('Gastos com Pessoal'!$T$7:$T$506)+1,1))*(IF('Gastos com Pessoal'!$Y$7:$Y$506&lt;=BF$3,('Gastos com Pessoal'!$Z$7:$Z$506)+1,1))*(IF('Gastos com Pessoal'!$AE$7:$AE$506&lt;=BF$3,('Gastos com Pessoal'!$AF$7:$AF$506)+1,1)),0)</f>
        <v>93891.651650652013</v>
      </c>
      <c r="BG45" s="188">
        <f t="array" aca="1" ref="BG45" ca="1">_xlfn.IFNA(SUM((BG$3&gt;='Gastos com Pessoal'!$E$7:$E$506)*(BG$3&lt;='Gastos com Pessoal'!$F$7:$F$506)*OFFSET('Encargos e Benefícios'!$D$5,1,MATCH($B45,'Encargos e Benefícios'!$E$5:$AB$5,0),500,1))*(IF('Gastos com Pessoal'!$G$7:$G$506&lt;=BG$3,('Gastos com Pessoal'!$H$7:$H$506)+1,1))*(IF('Gastos com Pessoal'!$M$7:$M$506&lt;=BG$3,('Gastos com Pessoal'!$N$7:$N$506)+1,1))*(IF('Gastos com Pessoal'!$S$7:$S$506&lt;=BG$3,('Gastos com Pessoal'!$T$7:$T$506)+1,1))*(IF('Gastos com Pessoal'!$Y$7:$Y$506&lt;=BG$3,('Gastos com Pessoal'!$Z$7:$Z$506)+1,1))*(IF('Gastos com Pessoal'!$AE$7:$AE$506&lt;=BG$3,('Gastos com Pessoal'!$AF$7:$AF$506)+1,1)),0)</f>
        <v>93891.651650652013</v>
      </c>
      <c r="BH45" s="188">
        <f t="array" aca="1" ref="BH45" ca="1">_xlfn.IFNA(SUM((BH$3&gt;='Gastos com Pessoal'!$E$7:$E$506)*(BH$3&lt;='Gastos com Pessoal'!$F$7:$F$506)*OFFSET('Encargos e Benefícios'!$D$5,1,MATCH($B45,'Encargos e Benefícios'!$E$5:$AB$5,0),500,1))*(IF('Gastos com Pessoal'!$G$7:$G$506&lt;=BH$3,('Gastos com Pessoal'!$H$7:$H$506)+1,1))*(IF('Gastos com Pessoal'!$M$7:$M$506&lt;=BH$3,('Gastos com Pessoal'!$N$7:$N$506)+1,1))*(IF('Gastos com Pessoal'!$S$7:$S$506&lt;=BH$3,('Gastos com Pessoal'!$T$7:$T$506)+1,1))*(IF('Gastos com Pessoal'!$Y$7:$Y$506&lt;=BH$3,('Gastos com Pessoal'!$Z$7:$Z$506)+1,1))*(IF('Gastos com Pessoal'!$AE$7:$AE$506&lt;=BH$3,('Gastos com Pessoal'!$AF$7:$AF$506)+1,1)),0)</f>
        <v>93891.651650652013</v>
      </c>
      <c r="BI45" s="188">
        <f t="array" aca="1" ref="BI45" ca="1">_xlfn.IFNA(SUM((BI$3&gt;='Gastos com Pessoal'!$E$7:$E$506)*(BI$3&lt;='Gastos com Pessoal'!$F$7:$F$506)*OFFSET('Encargos e Benefícios'!$D$5,1,MATCH($B45,'Encargos e Benefícios'!$E$5:$AB$5,0),500,1))*(IF('Gastos com Pessoal'!$G$7:$G$506&lt;=BI$3,('Gastos com Pessoal'!$H$7:$H$506)+1,1))*(IF('Gastos com Pessoal'!$M$7:$M$506&lt;=BI$3,('Gastos com Pessoal'!$N$7:$N$506)+1,1))*(IF('Gastos com Pessoal'!$S$7:$S$506&lt;=BI$3,('Gastos com Pessoal'!$T$7:$T$506)+1,1))*(IF('Gastos com Pessoal'!$Y$7:$Y$506&lt;=BI$3,('Gastos com Pessoal'!$Z$7:$Z$506)+1,1))*(IF('Gastos com Pessoal'!$AE$7:$AE$506&lt;=BI$3,('Gastos com Pessoal'!$AF$7:$AF$506)+1,1)),0)</f>
        <v>93891.651650652013</v>
      </c>
      <c r="BJ45" s="188">
        <f t="array" aca="1" ref="BJ45" ca="1">_xlfn.IFNA(SUM((BJ$3&gt;='Gastos com Pessoal'!$E$7:$E$506)*(BJ$3&lt;='Gastos com Pessoal'!$F$7:$F$506)*OFFSET('Encargos e Benefícios'!$D$5,1,MATCH($B45,'Encargos e Benefícios'!$E$5:$AB$5,0),500,1))*(IF('Gastos com Pessoal'!$G$7:$G$506&lt;=BJ$3,('Gastos com Pessoal'!$H$7:$H$506)+1,1))*(IF('Gastos com Pessoal'!$M$7:$M$506&lt;=BJ$3,('Gastos com Pessoal'!$N$7:$N$506)+1,1))*(IF('Gastos com Pessoal'!$S$7:$S$506&lt;=BJ$3,('Gastos com Pessoal'!$T$7:$T$506)+1,1))*(IF('Gastos com Pessoal'!$Y$7:$Y$506&lt;=BJ$3,('Gastos com Pessoal'!$Z$7:$Z$506)+1,1))*(IF('Gastos com Pessoal'!$AE$7:$AE$506&lt;=BJ$3,('Gastos com Pessoal'!$AF$7:$AF$506)+1,1)),0)</f>
        <v>93891.651650652013</v>
      </c>
      <c r="BK45" s="189">
        <f t="shared" ca="1" si="22"/>
        <v>4779131.2767775226</v>
      </c>
      <c r="BL45" s="136">
        <f t="shared" ca="1" si="23"/>
        <v>1.428389057401872E-2</v>
      </c>
      <c r="BN45" s="188">
        <f t="array" aca="1" ref="BN45" ca="1">_xlfn.IFNA(SUM((BN$3&gt;='Gastos com Pessoal'!$E$7:$E$506)*(BN$3&lt;='Gastos com Pessoal'!$F$7:$F$506)*OFFSET('Encargos e Benefícios'!$D$5,1,MATCH($B45,'Encargos e Benefícios'!$E$5:$AB$5,0),500,1))*(IF('Gastos com Pessoal'!$G$7:$G$506&lt;=BN$3,('Gastos com Pessoal'!$H$7:$H$506)+1,1))*(IF('Gastos com Pessoal'!$M$7:$M$506&lt;=BN$3,('Gastos com Pessoal'!$N$7:$N$506)+1,1))*(IF('Gastos com Pessoal'!$S$7:$S$506&lt;=BN$3,('Gastos com Pessoal'!$T$7:$T$506)+1,1))*(IF('Gastos com Pessoal'!$Y$7:$Y$506&lt;=BN$3,('Gastos com Pessoal'!$Z$7:$Z$506)+1,1))*(IF('Gastos com Pessoal'!$AE$7:$AE$506&lt;=BN$3,('Gastos com Pessoal'!$AF$7:$AF$506)+1,1)),0)</f>
        <v>55265.792592592603</v>
      </c>
    </row>
    <row r="46" spans="1:66" s="160" customFormat="1" ht="23.25" customHeight="1">
      <c r="A46" s="190"/>
      <c r="B46" s="191" t="s">
        <v>177</v>
      </c>
      <c r="C46" s="215">
        <f t="shared" ref="C46:AH46" ca="1" si="24">SUBTOTAL(109,C34:C45)</f>
        <v>300391.62981777784</v>
      </c>
      <c r="D46" s="215">
        <f t="shared" ca="1" si="24"/>
        <v>1034717.8270162968</v>
      </c>
      <c r="E46" s="215">
        <f t="shared" ca="1" si="24"/>
        <v>1084555.7088177784</v>
      </c>
      <c r="F46" s="215">
        <f t="shared" ca="1" si="24"/>
        <v>1509230.2588177787</v>
      </c>
      <c r="G46" s="215">
        <f t="shared" ca="1" si="24"/>
        <v>1509230.2588177787</v>
      </c>
      <c r="H46" s="215">
        <f t="shared" ca="1" si="24"/>
        <v>1571027.4369727368</v>
      </c>
      <c r="I46" s="215">
        <f t="shared" ca="1" si="24"/>
        <v>1571027.4369727368</v>
      </c>
      <c r="J46" s="215">
        <f t="shared" ca="1" si="24"/>
        <v>1571027.4369727368</v>
      </c>
      <c r="K46" s="215">
        <f t="shared" ca="1" si="24"/>
        <v>1463027.4369727368</v>
      </c>
      <c r="L46" s="215">
        <f t="shared" ca="1" si="24"/>
        <v>1452027.4369727368</v>
      </c>
      <c r="M46" s="215">
        <f t="shared" ca="1" si="24"/>
        <v>1456716.634161857</v>
      </c>
      <c r="N46" s="215">
        <f t="shared" ca="1" si="24"/>
        <v>1513127.3768605452</v>
      </c>
      <c r="O46" s="215">
        <f t="shared" ca="1" si="24"/>
        <v>1218072.0268605454</v>
      </c>
      <c r="P46" s="215">
        <f t="shared" ca="1" si="24"/>
        <v>1208982.1040496652</v>
      </c>
      <c r="Q46" s="215">
        <f t="shared" ca="1" si="24"/>
        <v>1113417.8774643529</v>
      </c>
      <c r="R46" s="215">
        <f t="shared" ca="1" si="24"/>
        <v>1338417.8774643529</v>
      </c>
      <c r="S46" s="215">
        <f t="shared" ca="1" si="24"/>
        <v>1338417.8774643529</v>
      </c>
      <c r="T46" s="215">
        <f t="shared" ca="1" si="24"/>
        <v>1187226.9465402712</v>
      </c>
      <c r="U46" s="215">
        <f t="shared" ca="1" si="24"/>
        <v>1187226.9465402712</v>
      </c>
      <c r="V46" s="215">
        <f t="shared" ca="1" si="24"/>
        <v>1187226.9465402712</v>
      </c>
      <c r="W46" s="215">
        <f t="shared" ca="1" si="24"/>
        <v>1172226.9465402712</v>
      </c>
      <c r="X46" s="215">
        <f t="shared" ca="1" si="24"/>
        <v>1072226.9465402709</v>
      </c>
      <c r="Y46" s="215">
        <f t="shared" ca="1" si="24"/>
        <v>1072226.9465402709</v>
      </c>
      <c r="Z46" s="215">
        <f t="shared" ca="1" si="24"/>
        <v>1088044.3665402709</v>
      </c>
      <c r="AA46" s="215">
        <f t="shared" ca="1" si="24"/>
        <v>1081927.736540271</v>
      </c>
      <c r="AB46" s="215">
        <f t="shared" ca="1" si="24"/>
        <v>1072601.476540271</v>
      </c>
      <c r="AC46" s="215">
        <f t="shared" ca="1" si="24"/>
        <v>1225987.0703316624</v>
      </c>
      <c r="AD46" s="215">
        <f t="shared" ca="1" si="24"/>
        <v>1072601.476540271</v>
      </c>
      <c r="AE46" s="215">
        <f t="shared" ca="1" si="24"/>
        <v>1072601.476540271</v>
      </c>
      <c r="AF46" s="215">
        <f t="shared" ca="1" si="24"/>
        <v>1134844.995250223</v>
      </c>
      <c r="AG46" s="215">
        <f t="shared" ca="1" si="24"/>
        <v>1134844.995250223</v>
      </c>
      <c r="AH46" s="215">
        <f t="shared" ca="1" si="24"/>
        <v>1134844.995250223</v>
      </c>
      <c r="AI46" s="215">
        <f t="shared" ref="AI46:BK46" ca="1" si="25">SUBTOTAL(109,AI34:AI45)</f>
        <v>1134844.995250223</v>
      </c>
      <c r="AJ46" s="215">
        <f t="shared" ca="1" si="25"/>
        <v>1134844.995250223</v>
      </c>
      <c r="AK46" s="215">
        <f t="shared" ca="1" si="25"/>
        <v>1151586.1552502229</v>
      </c>
      <c r="AL46" s="215">
        <f t="shared" ca="1" si="25"/>
        <v>1145112.315250223</v>
      </c>
      <c r="AM46" s="215">
        <f t="shared" ca="1" si="25"/>
        <v>1135241.4052502229</v>
      </c>
      <c r="AN46" s="215">
        <f t="shared" ca="1" si="25"/>
        <v>1135241.4052502229</v>
      </c>
      <c r="AO46" s="215">
        <f t="shared" ca="1" si="25"/>
        <v>1297584.7177190315</v>
      </c>
      <c r="AP46" s="215">
        <f t="shared" ca="1" si="25"/>
        <v>1135241.4052502229</v>
      </c>
      <c r="AQ46" s="215">
        <f t="shared" ca="1" si="25"/>
        <v>1135241.4052502229</v>
      </c>
      <c r="AR46" s="215">
        <f t="shared" ca="1" si="25"/>
        <v>1201119.9454528359</v>
      </c>
      <c r="AS46" s="215">
        <f t="shared" ca="1" si="25"/>
        <v>1201119.9454528359</v>
      </c>
      <c r="AT46" s="215">
        <f t="shared" ca="1" si="25"/>
        <v>1201119.9454528359</v>
      </c>
      <c r="AU46" s="215">
        <f t="shared" ca="1" si="25"/>
        <v>1201119.9454528359</v>
      </c>
      <c r="AV46" s="215">
        <f t="shared" ca="1" si="25"/>
        <v>1218838.785452836</v>
      </c>
      <c r="AW46" s="215">
        <f t="shared" ca="1" si="25"/>
        <v>1211986.8754528358</v>
      </c>
      <c r="AX46" s="215">
        <f t="shared" ca="1" si="25"/>
        <v>1201539.5054528359</v>
      </c>
      <c r="AY46" s="215">
        <f t="shared" ca="1" si="25"/>
        <v>1201539.5054528359</v>
      </c>
      <c r="AZ46" s="215">
        <f t="shared" ca="1" si="25"/>
        <v>1201539.5054528359</v>
      </c>
      <c r="BA46" s="215">
        <f t="shared" ca="1" si="25"/>
        <v>1373363.667369823</v>
      </c>
      <c r="BB46" s="215">
        <f t="shared" ca="1" si="25"/>
        <v>1201539.5054528359</v>
      </c>
      <c r="BC46" s="215">
        <f t="shared" ca="1" si="25"/>
        <v>1201539.5054528359</v>
      </c>
      <c r="BD46" s="215">
        <f t="shared" ca="1" si="25"/>
        <v>1271265.3524032817</v>
      </c>
      <c r="BE46" s="215">
        <f t="shared" ca="1" si="25"/>
        <v>1271265.3524032817</v>
      </c>
      <c r="BF46" s="215">
        <f t="shared" ca="1" si="25"/>
        <v>1271265.3524032817</v>
      </c>
      <c r="BG46" s="215">
        <f t="shared" ca="1" si="25"/>
        <v>1290018.9724032816</v>
      </c>
      <c r="BH46" s="215">
        <f t="shared" ca="1" si="25"/>
        <v>1282766.9124032818</v>
      </c>
      <c r="BI46" s="215">
        <f t="shared" ca="1" si="25"/>
        <v>1271709.4124032818</v>
      </c>
      <c r="BJ46" s="215">
        <f t="shared" ca="1" si="25"/>
        <v>1290018.9724032816</v>
      </c>
      <c r="BK46" s="215">
        <f t="shared" ca="1" si="25"/>
        <v>73119690.674396887</v>
      </c>
      <c r="BL46" s="216">
        <f t="shared" ca="1" si="23"/>
        <v>0.21854048359672262</v>
      </c>
      <c r="BN46" s="215">
        <f t="shared" ref="BN46" ca="1" si="26">SUBTOTAL(109,BN34:BN45)</f>
        <v>935155.09939259302</v>
      </c>
    </row>
    <row r="47" spans="1:66" s="160" customFormat="1" ht="23.25" customHeight="1">
      <c r="A47" s="213" t="s">
        <v>87</v>
      </c>
      <c r="B47" s="206" t="s">
        <v>88</v>
      </c>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8"/>
      <c r="BL47" s="219"/>
      <c r="BN47" s="217"/>
    </row>
    <row r="48" spans="1:66" s="160" customFormat="1" ht="23.25" customHeight="1">
      <c r="A48" s="80" t="s">
        <v>178</v>
      </c>
      <c r="B48" s="81" t="s">
        <v>179</v>
      </c>
      <c r="C48" s="188">
        <f t="shared" ref="C48:C56" ca="1" si="27">BN48*9/30</f>
        <v>5732.6699999999955</v>
      </c>
      <c r="D48" s="188">
        <f t="array" aca="1" ref="D48" ca="1">_xlfn.IFNA(SUM((D$3&gt;='Gastos com Pessoal'!$E$7:$E$506)*(D$3&lt;='Gastos com Pessoal'!$F$7:$F$506)*OFFSET('Encargos e Benefícios'!$D$5,1,MATCH($B48,'Encargos e Benefícios'!$E$5:$AB$5,0),500,1)),0)+_xlfn.IFNA(SUM((D$3&gt;='Gastos com Pessoal'!$E$513:$E$522)*(D$3&lt;='Gastos com Pessoal'!$F$513:$F$522)*OFFSET('Encargos e Benefícios'!$D$511,1,MATCH($B48,'Encargos e Benefícios'!$E$511:$AB$511,0),10,1)),0)+_xlfn.IFNA(SUM((D$3&gt;='Gastos com Pessoal'!$E$7:$E$506)*(D$3&lt;='Gastos com Pessoal'!$F$7:$F$506)*(IF('Gastos com Pessoal'!$G$7:$G$506&lt;=D$3,1,0))*OFFSET('Gastos com Pessoal'!$H$6,1,MATCH(1&amp;$B48,'Gastos com Pessoal'!$I$532:$AJ$532&amp;'Gastos com Pessoal'!$I$6:$AJ$6,0),500,1)),0)+_xlfn.IFNA(SUM((D$3&gt;='Gastos com Pessoal'!$E$7:$E$506)*(D$3&lt;='Gastos com Pessoal'!$F$7:$F$506)*(IF('Gastos com Pessoal'!$M$7:$M$506&lt;=D$3,1,0))*OFFSET('Gastos com Pessoal'!$H$6,1,MATCH(2&amp;$B48,'Gastos com Pessoal'!$I$532:$AJ$532&amp;'Gastos com Pessoal'!$I$6:$AJ$6,0),500,1)),0)+_xlfn.IFNA(SUM((D$3&gt;='Gastos com Pessoal'!$E$7:$E$506)*(D$3&lt;='Gastos com Pessoal'!$F$7:$F$506)*(IF('Gastos com Pessoal'!$S$7:$S$506&lt;=D$3,1,0))*OFFSET('Gastos com Pessoal'!$H$6,1,MATCH(3&amp;$B48,'Gastos com Pessoal'!$I$532:$AJ$532&amp;'Gastos com Pessoal'!$I$6:$AJ$6,0),500,1)),0)+_xlfn.IFNA(SUM((D$3&gt;='Gastos com Pessoal'!$E$7:$E$506)*(D$3&lt;='Gastos com Pessoal'!$F$7:$F$506)*(IF('Gastos com Pessoal'!$Y$7:$Y$506&lt;=D$3,1,0))*OFFSET('Gastos com Pessoal'!$H$6,1,MATCH(4&amp;$B48,'Gastos com Pessoal'!$I$532:$AJ$532&amp;'Gastos com Pessoal'!$I$6:$AJ$6,0),500,1)),0)+_xlfn.IFNA(SUM((D$3&gt;='Gastos com Pessoal'!$E$7:$E$506)*(D$3&lt;='Gastos com Pessoal'!$F$7:$F$506)*(IF('Gastos com Pessoal'!$AE$7:$AE$506&lt;=D$3,1,0))*OFFSET('Gastos com Pessoal'!$H$6,1,MATCH(5&amp;$B48,'Gastos com Pessoal'!$I$532:$AJ$532&amp;'Gastos com Pessoal'!$I$6:$AJ$6,0),500,1)),0)+_xlfn.IFNA(SUM((D$3&gt;='Gastos com Pessoal'!$E$513:$E$522)*(D$3&lt;='Gastos com Pessoal'!$F$513:$F$522)*(IF('Gastos com Pessoal'!$G$513:$G$522&lt;=D$3,1,0))*OFFSET('Gastos com Pessoal'!$H$512,1,MATCH(1&amp;$B48,'Gastos com Pessoal'!$I$532:$AJ$532&amp;'Gastos com Pessoal'!$I$512:$AJ$512,0),10,1)),0)+_xlfn.IFNA(SUM((D$3&gt;='Gastos com Pessoal'!$E$513:$E$522)*(D$3&lt;='Gastos com Pessoal'!$F$513:$F$522)*(IF('Gastos com Pessoal'!$M$513:$M$522&lt;=D$3,1,0))*OFFSET('Gastos com Pessoal'!$H$512,1,MATCH(2&amp;$B48,'Gastos com Pessoal'!$I$532:$AJ$532&amp;'Gastos com Pessoal'!$I$512:$AJ$512,0),10,1)),0)+_xlfn.IFNA(SUM((D$3&gt;='Gastos com Pessoal'!$E$513:$E$522)*(D$3&lt;='Gastos com Pessoal'!$F$513:$F$522)*(IF('Gastos com Pessoal'!$S$513:$S$522&lt;=D$3,1,0))*OFFSET('Gastos com Pessoal'!$H$512,1,MATCH(3&amp;$B48,'Gastos com Pessoal'!$I$532:$AJ$532&amp;'Gastos com Pessoal'!$I$512:$AJ$512,0),10,1)),0)+_xlfn.IFNA(SUM((D$3&gt;='Gastos com Pessoal'!$E$513:$E$522)*(D$3&lt;='Gastos com Pessoal'!$F$513:$F$522)*(IF('Gastos com Pessoal'!$Y$513:$Y$522&lt;=D$3,1,0))*OFFSET('Gastos com Pessoal'!$H$512,1,MATCH(4&amp;$B48,'Gastos com Pessoal'!$I$532:$AJ$532&amp;'Gastos com Pessoal'!$I$512:$AJ$512,0),10,1)),0)+_xlfn.IFNA(SUM((D$3&gt;='Gastos com Pessoal'!$E$513:$E$522)*(D$3&lt;='Gastos com Pessoal'!$F$513:$F$522)*(IF('Gastos com Pessoal'!$AE$513:$AE$522&lt;=D$3,1,0))*OFFSET('Gastos com Pessoal'!$H$512,1,MATCH(5&amp;$B48,'Gastos com Pessoal'!$I$532:$AJ$532&amp;'Gastos com Pessoal'!$I$512:$AJ$512,0),10,1)),0)</f>
        <v>20709.549999999959</v>
      </c>
      <c r="E48" s="188">
        <f t="array" aca="1" ref="E48" ca="1">_xlfn.IFNA(SUM((E$3&gt;='Gastos com Pessoal'!$E$7:$E$506)*(E$3&lt;='Gastos com Pessoal'!$F$7:$F$506)*OFFSET('Encargos e Benefícios'!$D$5,1,MATCH($B48,'Encargos e Benefícios'!$E$5:$AB$5,0),500,1)),0)+_xlfn.IFNA(SUM((E$3&gt;='Gastos com Pessoal'!$E$513:$E$522)*(E$3&lt;='Gastos com Pessoal'!$F$513:$F$522)*OFFSET('Encargos e Benefícios'!$D$511,1,MATCH($B48,'Encargos e Benefícios'!$E$511:$AB$511,0),10,1)),0)+_xlfn.IFNA(SUM((E$3&gt;='Gastos com Pessoal'!$E$7:$E$506)*(E$3&lt;='Gastos com Pessoal'!$F$7:$F$506)*(IF('Gastos com Pessoal'!$G$7:$G$506&lt;=E$3,1,0))*OFFSET('Gastos com Pessoal'!$H$6,1,MATCH(1&amp;$B48,'Gastos com Pessoal'!$I$532:$AJ$532&amp;'Gastos com Pessoal'!$I$6:$AJ$6,0),500,1)),0)+_xlfn.IFNA(SUM((E$3&gt;='Gastos com Pessoal'!$E$7:$E$506)*(E$3&lt;='Gastos com Pessoal'!$F$7:$F$506)*(IF('Gastos com Pessoal'!$M$7:$M$506&lt;=E$3,1,0))*OFFSET('Gastos com Pessoal'!$H$6,1,MATCH(2&amp;$B48,'Gastos com Pessoal'!$I$532:$AJ$532&amp;'Gastos com Pessoal'!$I$6:$AJ$6,0),500,1)),0)+_xlfn.IFNA(SUM((E$3&gt;='Gastos com Pessoal'!$E$7:$E$506)*(E$3&lt;='Gastos com Pessoal'!$F$7:$F$506)*(IF('Gastos com Pessoal'!$S$7:$S$506&lt;=E$3,1,0))*OFFSET('Gastos com Pessoal'!$H$6,1,MATCH(3&amp;$B48,'Gastos com Pessoal'!$I$532:$AJ$532&amp;'Gastos com Pessoal'!$I$6:$AJ$6,0),500,1)),0)+_xlfn.IFNA(SUM((E$3&gt;='Gastos com Pessoal'!$E$7:$E$506)*(E$3&lt;='Gastos com Pessoal'!$F$7:$F$506)*(IF('Gastos com Pessoal'!$Y$7:$Y$506&lt;=E$3,1,0))*OFFSET('Gastos com Pessoal'!$H$6,1,MATCH(4&amp;$B48,'Gastos com Pessoal'!$I$532:$AJ$532&amp;'Gastos com Pessoal'!$I$6:$AJ$6,0),500,1)),0)+_xlfn.IFNA(SUM((E$3&gt;='Gastos com Pessoal'!$E$7:$E$506)*(E$3&lt;='Gastos com Pessoal'!$F$7:$F$506)*(IF('Gastos com Pessoal'!$AE$7:$AE$506&lt;=E$3,1,0))*OFFSET('Gastos com Pessoal'!$H$6,1,MATCH(5&amp;$B48,'Gastos com Pessoal'!$I$532:$AJ$532&amp;'Gastos com Pessoal'!$I$6:$AJ$6,0),500,1)),0)+_xlfn.IFNA(SUM((E$3&gt;='Gastos com Pessoal'!$E$513:$E$522)*(E$3&lt;='Gastos com Pessoal'!$F$513:$F$522)*(IF('Gastos com Pessoal'!$G$513:$G$522&lt;=E$3,1,0))*OFFSET('Gastos com Pessoal'!$H$512,1,MATCH(1&amp;$B48,'Gastos com Pessoal'!$I$532:$AJ$532&amp;'Gastos com Pessoal'!$I$512:$AJ$512,0),10,1)),0)+_xlfn.IFNA(SUM((E$3&gt;='Gastos com Pessoal'!$E$513:$E$522)*(E$3&lt;='Gastos com Pessoal'!$F$513:$F$522)*(IF('Gastos com Pessoal'!$M$513:$M$522&lt;=E$3,1,0))*OFFSET('Gastos com Pessoal'!$H$512,1,MATCH(2&amp;$B48,'Gastos com Pessoal'!$I$532:$AJ$532&amp;'Gastos com Pessoal'!$I$512:$AJ$512,0),10,1)),0)+_xlfn.IFNA(SUM((E$3&gt;='Gastos com Pessoal'!$E$513:$E$522)*(E$3&lt;='Gastos com Pessoal'!$F$513:$F$522)*(IF('Gastos com Pessoal'!$S$513:$S$522&lt;=E$3,1,0))*OFFSET('Gastos com Pessoal'!$H$512,1,MATCH(3&amp;$B48,'Gastos com Pessoal'!$I$532:$AJ$532&amp;'Gastos com Pessoal'!$I$512:$AJ$512,0),10,1)),0)+_xlfn.IFNA(SUM((E$3&gt;='Gastos com Pessoal'!$E$513:$E$522)*(E$3&lt;='Gastos com Pessoal'!$F$513:$F$522)*(IF('Gastos com Pessoal'!$Y$513:$Y$522&lt;=E$3,1,0))*OFFSET('Gastos com Pessoal'!$H$512,1,MATCH(4&amp;$B48,'Gastos com Pessoal'!$I$532:$AJ$532&amp;'Gastos com Pessoal'!$I$512:$AJ$512,0),10,1)),0)+_xlfn.IFNA(SUM((E$3&gt;='Gastos com Pessoal'!$E$513:$E$522)*(E$3&lt;='Gastos com Pessoal'!$F$513:$F$522)*(IF('Gastos com Pessoal'!$AE$513:$AE$522&lt;=E$3,1,0))*OFFSET('Gastos com Pessoal'!$H$512,1,MATCH(5&amp;$B48,'Gastos com Pessoal'!$I$532:$AJ$532&amp;'Gastos com Pessoal'!$I$512:$AJ$512,0),10,1)),0)</f>
        <v>22019.139999999941</v>
      </c>
      <c r="F48" s="188">
        <f t="array" aca="1" ref="F48" ca="1">_xlfn.IFNA(SUM((F$3&gt;='Gastos com Pessoal'!$E$7:$E$506)*(F$3&lt;='Gastos com Pessoal'!$F$7:$F$506)*OFFSET('Encargos e Benefícios'!$D$5,1,MATCH($B48,'Encargos e Benefícios'!$E$5:$AB$5,0),500,1)),0)+_xlfn.IFNA(SUM((F$3&gt;='Gastos com Pessoal'!$E$513:$E$522)*(F$3&lt;='Gastos com Pessoal'!$F$513:$F$522)*OFFSET('Encargos e Benefícios'!$D$511,1,MATCH($B48,'Encargos e Benefícios'!$E$511:$AB$511,0),10,1)),0)+_xlfn.IFNA(SUM((F$3&gt;='Gastos com Pessoal'!$E$7:$E$506)*(F$3&lt;='Gastos com Pessoal'!$F$7:$F$506)*(IF('Gastos com Pessoal'!$G$7:$G$506&lt;=F$3,1,0))*OFFSET('Gastos com Pessoal'!$H$6,1,MATCH(1&amp;$B48,'Gastos com Pessoal'!$I$532:$AJ$532&amp;'Gastos com Pessoal'!$I$6:$AJ$6,0),500,1)),0)+_xlfn.IFNA(SUM((F$3&gt;='Gastos com Pessoal'!$E$7:$E$506)*(F$3&lt;='Gastos com Pessoal'!$F$7:$F$506)*(IF('Gastos com Pessoal'!$M$7:$M$506&lt;=F$3,1,0))*OFFSET('Gastos com Pessoal'!$H$6,1,MATCH(2&amp;$B48,'Gastos com Pessoal'!$I$532:$AJ$532&amp;'Gastos com Pessoal'!$I$6:$AJ$6,0),500,1)),0)+_xlfn.IFNA(SUM((F$3&gt;='Gastos com Pessoal'!$E$7:$E$506)*(F$3&lt;='Gastos com Pessoal'!$F$7:$F$506)*(IF('Gastos com Pessoal'!$S$7:$S$506&lt;=F$3,1,0))*OFFSET('Gastos com Pessoal'!$H$6,1,MATCH(3&amp;$B48,'Gastos com Pessoal'!$I$532:$AJ$532&amp;'Gastos com Pessoal'!$I$6:$AJ$6,0),500,1)),0)+_xlfn.IFNA(SUM((F$3&gt;='Gastos com Pessoal'!$E$7:$E$506)*(F$3&lt;='Gastos com Pessoal'!$F$7:$F$506)*(IF('Gastos com Pessoal'!$Y$7:$Y$506&lt;=F$3,1,0))*OFFSET('Gastos com Pessoal'!$H$6,1,MATCH(4&amp;$B48,'Gastos com Pessoal'!$I$532:$AJ$532&amp;'Gastos com Pessoal'!$I$6:$AJ$6,0),500,1)),0)+_xlfn.IFNA(SUM((F$3&gt;='Gastos com Pessoal'!$E$7:$E$506)*(F$3&lt;='Gastos com Pessoal'!$F$7:$F$506)*(IF('Gastos com Pessoal'!$AE$7:$AE$506&lt;=F$3,1,0))*OFFSET('Gastos com Pessoal'!$H$6,1,MATCH(5&amp;$B48,'Gastos com Pessoal'!$I$532:$AJ$532&amp;'Gastos com Pessoal'!$I$6:$AJ$6,0),500,1)),0)+_xlfn.IFNA(SUM((F$3&gt;='Gastos com Pessoal'!$E$513:$E$522)*(F$3&lt;='Gastos com Pessoal'!$F$513:$F$522)*(IF('Gastos com Pessoal'!$G$513:$G$522&lt;=F$3,1,0))*OFFSET('Gastos com Pessoal'!$H$512,1,MATCH(1&amp;$B48,'Gastos com Pessoal'!$I$532:$AJ$532&amp;'Gastos com Pessoal'!$I$512:$AJ$512,0),10,1)),0)+_xlfn.IFNA(SUM((F$3&gt;='Gastos com Pessoal'!$E$513:$E$522)*(F$3&lt;='Gastos com Pessoal'!$F$513:$F$522)*(IF('Gastos com Pessoal'!$M$513:$M$522&lt;=F$3,1,0))*OFFSET('Gastos com Pessoal'!$H$512,1,MATCH(2&amp;$B48,'Gastos com Pessoal'!$I$532:$AJ$532&amp;'Gastos com Pessoal'!$I$512:$AJ$512,0),10,1)),0)+_xlfn.IFNA(SUM((F$3&gt;='Gastos com Pessoal'!$E$513:$E$522)*(F$3&lt;='Gastos com Pessoal'!$F$513:$F$522)*(IF('Gastos com Pessoal'!$S$513:$S$522&lt;=F$3,1,0))*OFFSET('Gastos com Pessoal'!$H$512,1,MATCH(3&amp;$B48,'Gastos com Pessoal'!$I$532:$AJ$532&amp;'Gastos com Pessoal'!$I$512:$AJ$512,0),10,1)),0)+_xlfn.IFNA(SUM((F$3&gt;='Gastos com Pessoal'!$E$513:$E$522)*(F$3&lt;='Gastos com Pessoal'!$F$513:$F$522)*(IF('Gastos com Pessoal'!$Y$513:$Y$522&lt;=F$3,1,0))*OFFSET('Gastos com Pessoal'!$H$512,1,MATCH(4&amp;$B48,'Gastos com Pessoal'!$I$532:$AJ$532&amp;'Gastos com Pessoal'!$I$512:$AJ$512,0),10,1)),0)+_xlfn.IFNA(SUM((F$3&gt;='Gastos com Pessoal'!$E$513:$E$522)*(F$3&lt;='Gastos com Pessoal'!$F$513:$F$522)*(IF('Gastos com Pessoal'!$AE$513:$AE$522&lt;=F$3,1,0))*OFFSET('Gastos com Pessoal'!$H$512,1,MATCH(5&amp;$B48,'Gastos com Pessoal'!$I$532:$AJ$532&amp;'Gastos com Pessoal'!$I$512:$AJ$512,0),10,1)),0)</f>
        <v>22019.139999999941</v>
      </c>
      <c r="G48" s="188">
        <f t="array" aca="1" ref="G48" ca="1">_xlfn.IFNA(SUM((G$3&gt;='Gastos com Pessoal'!$E$7:$E$506)*(G$3&lt;='Gastos com Pessoal'!$F$7:$F$506)*OFFSET('Encargos e Benefícios'!$D$5,1,MATCH($B48,'Encargos e Benefícios'!$E$5:$AB$5,0),500,1)),0)+_xlfn.IFNA(SUM((G$3&gt;='Gastos com Pessoal'!$E$513:$E$522)*(G$3&lt;='Gastos com Pessoal'!$F$513:$F$522)*OFFSET('Encargos e Benefícios'!$D$511,1,MATCH($B48,'Encargos e Benefícios'!$E$511:$AB$511,0),10,1)),0)+_xlfn.IFNA(SUM((G$3&gt;='Gastos com Pessoal'!$E$7:$E$506)*(G$3&lt;='Gastos com Pessoal'!$F$7:$F$506)*(IF('Gastos com Pessoal'!$G$7:$G$506&lt;=G$3,1,0))*OFFSET('Gastos com Pessoal'!$H$6,1,MATCH(1&amp;$B48,'Gastos com Pessoal'!$I$532:$AJ$532&amp;'Gastos com Pessoal'!$I$6:$AJ$6,0),500,1)),0)+_xlfn.IFNA(SUM((G$3&gt;='Gastos com Pessoal'!$E$7:$E$506)*(G$3&lt;='Gastos com Pessoal'!$F$7:$F$506)*(IF('Gastos com Pessoal'!$M$7:$M$506&lt;=G$3,1,0))*OFFSET('Gastos com Pessoal'!$H$6,1,MATCH(2&amp;$B48,'Gastos com Pessoal'!$I$532:$AJ$532&amp;'Gastos com Pessoal'!$I$6:$AJ$6,0),500,1)),0)+_xlfn.IFNA(SUM((G$3&gt;='Gastos com Pessoal'!$E$7:$E$506)*(G$3&lt;='Gastos com Pessoal'!$F$7:$F$506)*(IF('Gastos com Pessoal'!$S$7:$S$506&lt;=G$3,1,0))*OFFSET('Gastos com Pessoal'!$H$6,1,MATCH(3&amp;$B48,'Gastos com Pessoal'!$I$532:$AJ$532&amp;'Gastos com Pessoal'!$I$6:$AJ$6,0),500,1)),0)+_xlfn.IFNA(SUM((G$3&gt;='Gastos com Pessoal'!$E$7:$E$506)*(G$3&lt;='Gastos com Pessoal'!$F$7:$F$506)*(IF('Gastos com Pessoal'!$Y$7:$Y$506&lt;=G$3,1,0))*OFFSET('Gastos com Pessoal'!$H$6,1,MATCH(4&amp;$B48,'Gastos com Pessoal'!$I$532:$AJ$532&amp;'Gastos com Pessoal'!$I$6:$AJ$6,0),500,1)),0)+_xlfn.IFNA(SUM((G$3&gt;='Gastos com Pessoal'!$E$7:$E$506)*(G$3&lt;='Gastos com Pessoal'!$F$7:$F$506)*(IF('Gastos com Pessoal'!$AE$7:$AE$506&lt;=G$3,1,0))*OFFSET('Gastos com Pessoal'!$H$6,1,MATCH(5&amp;$B48,'Gastos com Pessoal'!$I$532:$AJ$532&amp;'Gastos com Pessoal'!$I$6:$AJ$6,0),500,1)),0)+_xlfn.IFNA(SUM((G$3&gt;='Gastos com Pessoal'!$E$513:$E$522)*(G$3&lt;='Gastos com Pessoal'!$F$513:$F$522)*(IF('Gastos com Pessoal'!$G$513:$G$522&lt;=G$3,1,0))*OFFSET('Gastos com Pessoal'!$H$512,1,MATCH(1&amp;$B48,'Gastos com Pessoal'!$I$532:$AJ$532&amp;'Gastos com Pessoal'!$I$512:$AJ$512,0),10,1)),0)+_xlfn.IFNA(SUM((G$3&gt;='Gastos com Pessoal'!$E$513:$E$522)*(G$3&lt;='Gastos com Pessoal'!$F$513:$F$522)*(IF('Gastos com Pessoal'!$M$513:$M$522&lt;=G$3,1,0))*OFFSET('Gastos com Pessoal'!$H$512,1,MATCH(2&amp;$B48,'Gastos com Pessoal'!$I$532:$AJ$532&amp;'Gastos com Pessoal'!$I$512:$AJ$512,0),10,1)),0)+_xlfn.IFNA(SUM((G$3&gt;='Gastos com Pessoal'!$E$513:$E$522)*(G$3&lt;='Gastos com Pessoal'!$F$513:$F$522)*(IF('Gastos com Pessoal'!$S$513:$S$522&lt;=G$3,1,0))*OFFSET('Gastos com Pessoal'!$H$512,1,MATCH(3&amp;$B48,'Gastos com Pessoal'!$I$532:$AJ$532&amp;'Gastos com Pessoal'!$I$512:$AJ$512,0),10,1)),0)+_xlfn.IFNA(SUM((G$3&gt;='Gastos com Pessoal'!$E$513:$E$522)*(G$3&lt;='Gastos com Pessoal'!$F$513:$F$522)*(IF('Gastos com Pessoal'!$Y$513:$Y$522&lt;=G$3,1,0))*OFFSET('Gastos com Pessoal'!$H$512,1,MATCH(4&amp;$B48,'Gastos com Pessoal'!$I$532:$AJ$532&amp;'Gastos com Pessoal'!$I$512:$AJ$512,0),10,1)),0)+_xlfn.IFNA(SUM((G$3&gt;='Gastos com Pessoal'!$E$513:$E$522)*(G$3&lt;='Gastos com Pessoal'!$F$513:$F$522)*(IF('Gastos com Pessoal'!$AE$513:$AE$522&lt;=G$3,1,0))*OFFSET('Gastos com Pessoal'!$H$512,1,MATCH(5&amp;$B48,'Gastos com Pessoal'!$I$532:$AJ$532&amp;'Gastos com Pessoal'!$I$512:$AJ$512,0),10,1)),0)</f>
        <v>22019.139999999941</v>
      </c>
      <c r="H48" s="188">
        <f t="array" aca="1" ref="H48" ca="1">_xlfn.IFNA(SUM((H$3&gt;='Gastos com Pessoal'!$E$7:$E$506)*(H$3&lt;='Gastos com Pessoal'!$F$7:$F$506)*OFFSET('Encargos e Benefícios'!$D$5,1,MATCH($B48,'Encargos e Benefícios'!$E$5:$AB$5,0),500,1)),0)+_xlfn.IFNA(SUM((H$3&gt;='Gastos com Pessoal'!$E$513:$E$522)*(H$3&lt;='Gastos com Pessoal'!$F$513:$F$522)*OFFSET('Encargos e Benefícios'!$D$511,1,MATCH($B48,'Encargos e Benefícios'!$E$511:$AB$511,0),10,1)),0)+_xlfn.IFNA(SUM((H$3&gt;='Gastos com Pessoal'!$E$7:$E$506)*(H$3&lt;='Gastos com Pessoal'!$F$7:$F$506)*(IF('Gastos com Pessoal'!$G$7:$G$506&lt;=H$3,1,0))*OFFSET('Gastos com Pessoal'!$H$6,1,MATCH(1&amp;$B48,'Gastos com Pessoal'!$I$532:$AJ$532&amp;'Gastos com Pessoal'!$I$6:$AJ$6,0),500,1)),0)+_xlfn.IFNA(SUM((H$3&gt;='Gastos com Pessoal'!$E$7:$E$506)*(H$3&lt;='Gastos com Pessoal'!$F$7:$F$506)*(IF('Gastos com Pessoal'!$M$7:$M$506&lt;=H$3,1,0))*OFFSET('Gastos com Pessoal'!$H$6,1,MATCH(2&amp;$B48,'Gastos com Pessoal'!$I$532:$AJ$532&amp;'Gastos com Pessoal'!$I$6:$AJ$6,0),500,1)),0)+_xlfn.IFNA(SUM((H$3&gt;='Gastos com Pessoal'!$E$7:$E$506)*(H$3&lt;='Gastos com Pessoal'!$F$7:$F$506)*(IF('Gastos com Pessoal'!$S$7:$S$506&lt;=H$3,1,0))*OFFSET('Gastos com Pessoal'!$H$6,1,MATCH(3&amp;$B48,'Gastos com Pessoal'!$I$532:$AJ$532&amp;'Gastos com Pessoal'!$I$6:$AJ$6,0),500,1)),0)+_xlfn.IFNA(SUM((H$3&gt;='Gastos com Pessoal'!$E$7:$E$506)*(H$3&lt;='Gastos com Pessoal'!$F$7:$F$506)*(IF('Gastos com Pessoal'!$Y$7:$Y$506&lt;=H$3,1,0))*OFFSET('Gastos com Pessoal'!$H$6,1,MATCH(4&amp;$B48,'Gastos com Pessoal'!$I$532:$AJ$532&amp;'Gastos com Pessoal'!$I$6:$AJ$6,0),500,1)),0)+_xlfn.IFNA(SUM((H$3&gt;='Gastos com Pessoal'!$E$7:$E$506)*(H$3&lt;='Gastos com Pessoal'!$F$7:$F$506)*(IF('Gastos com Pessoal'!$AE$7:$AE$506&lt;=H$3,1,0))*OFFSET('Gastos com Pessoal'!$H$6,1,MATCH(5&amp;$B48,'Gastos com Pessoal'!$I$532:$AJ$532&amp;'Gastos com Pessoal'!$I$6:$AJ$6,0),500,1)),0)+_xlfn.IFNA(SUM((H$3&gt;='Gastos com Pessoal'!$E$513:$E$522)*(H$3&lt;='Gastos com Pessoal'!$F$513:$F$522)*(IF('Gastos com Pessoal'!$G$513:$G$522&lt;=H$3,1,0))*OFFSET('Gastos com Pessoal'!$H$512,1,MATCH(1&amp;$B48,'Gastos com Pessoal'!$I$532:$AJ$532&amp;'Gastos com Pessoal'!$I$512:$AJ$512,0),10,1)),0)+_xlfn.IFNA(SUM((H$3&gt;='Gastos com Pessoal'!$E$513:$E$522)*(H$3&lt;='Gastos com Pessoal'!$F$513:$F$522)*(IF('Gastos com Pessoal'!$M$513:$M$522&lt;=H$3,1,0))*OFFSET('Gastos com Pessoal'!$H$512,1,MATCH(2&amp;$B48,'Gastos com Pessoal'!$I$532:$AJ$532&amp;'Gastos com Pessoal'!$I$512:$AJ$512,0),10,1)),0)+_xlfn.IFNA(SUM((H$3&gt;='Gastos com Pessoal'!$E$513:$E$522)*(H$3&lt;='Gastos com Pessoal'!$F$513:$F$522)*(IF('Gastos com Pessoal'!$S$513:$S$522&lt;=H$3,1,0))*OFFSET('Gastos com Pessoal'!$H$512,1,MATCH(3&amp;$B48,'Gastos com Pessoal'!$I$532:$AJ$532&amp;'Gastos com Pessoal'!$I$512:$AJ$512,0),10,1)),0)+_xlfn.IFNA(SUM((H$3&gt;='Gastos com Pessoal'!$E$513:$E$522)*(H$3&lt;='Gastos com Pessoal'!$F$513:$F$522)*(IF('Gastos com Pessoal'!$Y$513:$Y$522&lt;=H$3,1,0))*OFFSET('Gastos com Pessoal'!$H$512,1,MATCH(4&amp;$B48,'Gastos com Pessoal'!$I$532:$AJ$532&amp;'Gastos com Pessoal'!$I$512:$AJ$512,0),10,1)),0)+_xlfn.IFNA(SUM((H$3&gt;='Gastos com Pessoal'!$E$513:$E$522)*(H$3&lt;='Gastos com Pessoal'!$F$513:$F$522)*(IF('Gastos com Pessoal'!$AE$513:$AE$522&lt;=H$3,1,0))*OFFSET('Gastos com Pessoal'!$H$512,1,MATCH(5&amp;$B48,'Gastos com Pessoal'!$I$532:$AJ$532&amp;'Gastos com Pessoal'!$I$512:$AJ$512,0),10,1)),0)</f>
        <v>22019.139999999941</v>
      </c>
      <c r="I48" s="188">
        <f t="array" aca="1" ref="I48" ca="1">_xlfn.IFNA(SUM((I$3&gt;='Gastos com Pessoal'!$E$7:$E$506)*(I$3&lt;='Gastos com Pessoal'!$F$7:$F$506)*OFFSET('Encargos e Benefícios'!$D$5,1,MATCH($B48,'Encargos e Benefícios'!$E$5:$AB$5,0),500,1)),0)+_xlfn.IFNA(SUM((I$3&gt;='Gastos com Pessoal'!$E$513:$E$522)*(I$3&lt;='Gastos com Pessoal'!$F$513:$F$522)*OFFSET('Encargos e Benefícios'!$D$511,1,MATCH($B48,'Encargos e Benefícios'!$E$511:$AB$511,0),10,1)),0)+_xlfn.IFNA(SUM((I$3&gt;='Gastos com Pessoal'!$E$7:$E$506)*(I$3&lt;='Gastos com Pessoal'!$F$7:$F$506)*(IF('Gastos com Pessoal'!$G$7:$G$506&lt;=I$3,1,0))*OFFSET('Gastos com Pessoal'!$H$6,1,MATCH(1&amp;$B48,'Gastos com Pessoal'!$I$532:$AJ$532&amp;'Gastos com Pessoal'!$I$6:$AJ$6,0),500,1)),0)+_xlfn.IFNA(SUM((I$3&gt;='Gastos com Pessoal'!$E$7:$E$506)*(I$3&lt;='Gastos com Pessoal'!$F$7:$F$506)*(IF('Gastos com Pessoal'!$M$7:$M$506&lt;=I$3,1,0))*OFFSET('Gastos com Pessoal'!$H$6,1,MATCH(2&amp;$B48,'Gastos com Pessoal'!$I$532:$AJ$532&amp;'Gastos com Pessoal'!$I$6:$AJ$6,0),500,1)),0)+_xlfn.IFNA(SUM((I$3&gt;='Gastos com Pessoal'!$E$7:$E$506)*(I$3&lt;='Gastos com Pessoal'!$F$7:$F$506)*(IF('Gastos com Pessoal'!$S$7:$S$506&lt;=I$3,1,0))*OFFSET('Gastos com Pessoal'!$H$6,1,MATCH(3&amp;$B48,'Gastos com Pessoal'!$I$532:$AJ$532&amp;'Gastos com Pessoal'!$I$6:$AJ$6,0),500,1)),0)+_xlfn.IFNA(SUM((I$3&gt;='Gastos com Pessoal'!$E$7:$E$506)*(I$3&lt;='Gastos com Pessoal'!$F$7:$F$506)*(IF('Gastos com Pessoal'!$Y$7:$Y$506&lt;=I$3,1,0))*OFFSET('Gastos com Pessoal'!$H$6,1,MATCH(4&amp;$B48,'Gastos com Pessoal'!$I$532:$AJ$532&amp;'Gastos com Pessoal'!$I$6:$AJ$6,0),500,1)),0)+_xlfn.IFNA(SUM((I$3&gt;='Gastos com Pessoal'!$E$7:$E$506)*(I$3&lt;='Gastos com Pessoal'!$F$7:$F$506)*(IF('Gastos com Pessoal'!$AE$7:$AE$506&lt;=I$3,1,0))*OFFSET('Gastos com Pessoal'!$H$6,1,MATCH(5&amp;$B48,'Gastos com Pessoal'!$I$532:$AJ$532&amp;'Gastos com Pessoal'!$I$6:$AJ$6,0),500,1)),0)+_xlfn.IFNA(SUM((I$3&gt;='Gastos com Pessoal'!$E$513:$E$522)*(I$3&lt;='Gastos com Pessoal'!$F$513:$F$522)*(IF('Gastos com Pessoal'!$G$513:$G$522&lt;=I$3,1,0))*OFFSET('Gastos com Pessoal'!$H$512,1,MATCH(1&amp;$B48,'Gastos com Pessoal'!$I$532:$AJ$532&amp;'Gastos com Pessoal'!$I$512:$AJ$512,0),10,1)),0)+_xlfn.IFNA(SUM((I$3&gt;='Gastos com Pessoal'!$E$513:$E$522)*(I$3&lt;='Gastos com Pessoal'!$F$513:$F$522)*(IF('Gastos com Pessoal'!$M$513:$M$522&lt;=I$3,1,0))*OFFSET('Gastos com Pessoal'!$H$512,1,MATCH(2&amp;$B48,'Gastos com Pessoal'!$I$532:$AJ$532&amp;'Gastos com Pessoal'!$I$512:$AJ$512,0),10,1)),0)+_xlfn.IFNA(SUM((I$3&gt;='Gastos com Pessoal'!$E$513:$E$522)*(I$3&lt;='Gastos com Pessoal'!$F$513:$F$522)*(IF('Gastos com Pessoal'!$S$513:$S$522&lt;=I$3,1,0))*OFFSET('Gastos com Pessoal'!$H$512,1,MATCH(3&amp;$B48,'Gastos com Pessoal'!$I$532:$AJ$532&amp;'Gastos com Pessoal'!$I$512:$AJ$512,0),10,1)),0)+_xlfn.IFNA(SUM((I$3&gt;='Gastos com Pessoal'!$E$513:$E$522)*(I$3&lt;='Gastos com Pessoal'!$F$513:$F$522)*(IF('Gastos com Pessoal'!$Y$513:$Y$522&lt;=I$3,1,0))*OFFSET('Gastos com Pessoal'!$H$512,1,MATCH(4&amp;$B48,'Gastos com Pessoal'!$I$532:$AJ$532&amp;'Gastos com Pessoal'!$I$512:$AJ$512,0),10,1)),0)+_xlfn.IFNA(SUM((I$3&gt;='Gastos com Pessoal'!$E$513:$E$522)*(I$3&lt;='Gastos com Pessoal'!$F$513:$F$522)*(IF('Gastos com Pessoal'!$AE$513:$AE$522&lt;=I$3,1,0))*OFFSET('Gastos com Pessoal'!$H$512,1,MATCH(5&amp;$B48,'Gastos com Pessoal'!$I$532:$AJ$532&amp;'Gastos com Pessoal'!$I$512:$AJ$512,0),10,1)),0)</f>
        <v>22019.139999999941</v>
      </c>
      <c r="J48" s="188">
        <f t="array" aca="1" ref="J48" ca="1">_xlfn.IFNA(SUM((J$3&gt;='Gastos com Pessoal'!$E$7:$E$506)*(J$3&lt;='Gastos com Pessoal'!$F$7:$F$506)*OFFSET('Encargos e Benefícios'!$D$5,1,MATCH($B48,'Encargos e Benefícios'!$E$5:$AB$5,0),500,1)),0)+_xlfn.IFNA(SUM((J$3&gt;='Gastos com Pessoal'!$E$513:$E$522)*(J$3&lt;='Gastos com Pessoal'!$F$513:$F$522)*OFFSET('Encargos e Benefícios'!$D$511,1,MATCH($B48,'Encargos e Benefícios'!$E$511:$AB$511,0),10,1)),0)+_xlfn.IFNA(SUM((J$3&gt;='Gastos com Pessoal'!$E$7:$E$506)*(J$3&lt;='Gastos com Pessoal'!$F$7:$F$506)*(IF('Gastos com Pessoal'!$G$7:$G$506&lt;=J$3,1,0))*OFFSET('Gastos com Pessoal'!$H$6,1,MATCH(1&amp;$B48,'Gastos com Pessoal'!$I$532:$AJ$532&amp;'Gastos com Pessoal'!$I$6:$AJ$6,0),500,1)),0)+_xlfn.IFNA(SUM((J$3&gt;='Gastos com Pessoal'!$E$7:$E$506)*(J$3&lt;='Gastos com Pessoal'!$F$7:$F$506)*(IF('Gastos com Pessoal'!$M$7:$M$506&lt;=J$3,1,0))*OFFSET('Gastos com Pessoal'!$H$6,1,MATCH(2&amp;$B48,'Gastos com Pessoal'!$I$532:$AJ$532&amp;'Gastos com Pessoal'!$I$6:$AJ$6,0),500,1)),0)+_xlfn.IFNA(SUM((J$3&gt;='Gastos com Pessoal'!$E$7:$E$506)*(J$3&lt;='Gastos com Pessoal'!$F$7:$F$506)*(IF('Gastos com Pessoal'!$S$7:$S$506&lt;=J$3,1,0))*OFFSET('Gastos com Pessoal'!$H$6,1,MATCH(3&amp;$B48,'Gastos com Pessoal'!$I$532:$AJ$532&amp;'Gastos com Pessoal'!$I$6:$AJ$6,0),500,1)),0)+_xlfn.IFNA(SUM((J$3&gt;='Gastos com Pessoal'!$E$7:$E$506)*(J$3&lt;='Gastos com Pessoal'!$F$7:$F$506)*(IF('Gastos com Pessoal'!$Y$7:$Y$506&lt;=J$3,1,0))*OFFSET('Gastos com Pessoal'!$H$6,1,MATCH(4&amp;$B48,'Gastos com Pessoal'!$I$532:$AJ$532&amp;'Gastos com Pessoal'!$I$6:$AJ$6,0),500,1)),0)+_xlfn.IFNA(SUM((J$3&gt;='Gastos com Pessoal'!$E$7:$E$506)*(J$3&lt;='Gastos com Pessoal'!$F$7:$F$506)*(IF('Gastos com Pessoal'!$AE$7:$AE$506&lt;=J$3,1,0))*OFFSET('Gastos com Pessoal'!$H$6,1,MATCH(5&amp;$B48,'Gastos com Pessoal'!$I$532:$AJ$532&amp;'Gastos com Pessoal'!$I$6:$AJ$6,0),500,1)),0)+_xlfn.IFNA(SUM((J$3&gt;='Gastos com Pessoal'!$E$513:$E$522)*(J$3&lt;='Gastos com Pessoal'!$F$513:$F$522)*(IF('Gastos com Pessoal'!$G$513:$G$522&lt;=J$3,1,0))*OFFSET('Gastos com Pessoal'!$H$512,1,MATCH(1&amp;$B48,'Gastos com Pessoal'!$I$532:$AJ$532&amp;'Gastos com Pessoal'!$I$512:$AJ$512,0),10,1)),0)+_xlfn.IFNA(SUM((J$3&gt;='Gastos com Pessoal'!$E$513:$E$522)*(J$3&lt;='Gastos com Pessoal'!$F$513:$F$522)*(IF('Gastos com Pessoal'!$M$513:$M$522&lt;=J$3,1,0))*OFFSET('Gastos com Pessoal'!$H$512,1,MATCH(2&amp;$B48,'Gastos com Pessoal'!$I$532:$AJ$532&amp;'Gastos com Pessoal'!$I$512:$AJ$512,0),10,1)),0)+_xlfn.IFNA(SUM((J$3&gt;='Gastos com Pessoal'!$E$513:$E$522)*(J$3&lt;='Gastos com Pessoal'!$F$513:$F$522)*(IF('Gastos com Pessoal'!$S$513:$S$522&lt;=J$3,1,0))*OFFSET('Gastos com Pessoal'!$H$512,1,MATCH(3&amp;$B48,'Gastos com Pessoal'!$I$532:$AJ$532&amp;'Gastos com Pessoal'!$I$512:$AJ$512,0),10,1)),0)+_xlfn.IFNA(SUM((J$3&gt;='Gastos com Pessoal'!$E$513:$E$522)*(J$3&lt;='Gastos com Pessoal'!$F$513:$F$522)*(IF('Gastos com Pessoal'!$Y$513:$Y$522&lt;=J$3,1,0))*OFFSET('Gastos com Pessoal'!$H$512,1,MATCH(4&amp;$B48,'Gastos com Pessoal'!$I$532:$AJ$532&amp;'Gastos com Pessoal'!$I$512:$AJ$512,0),10,1)),0)+_xlfn.IFNA(SUM((J$3&gt;='Gastos com Pessoal'!$E$513:$E$522)*(J$3&lt;='Gastos com Pessoal'!$F$513:$F$522)*(IF('Gastos com Pessoal'!$AE$513:$AE$522&lt;=J$3,1,0))*OFFSET('Gastos com Pessoal'!$H$512,1,MATCH(5&amp;$B48,'Gastos com Pessoal'!$I$532:$AJ$532&amp;'Gastos com Pessoal'!$I$512:$AJ$512,0),10,1)),0)</f>
        <v>22019.139999999941</v>
      </c>
      <c r="K48" s="188">
        <f t="array" aca="1" ref="K48" ca="1">_xlfn.IFNA(SUM((K$3&gt;='Gastos com Pessoal'!$E$7:$E$506)*(K$3&lt;='Gastos com Pessoal'!$F$7:$F$506)*OFFSET('Encargos e Benefícios'!$D$5,1,MATCH($B48,'Encargos e Benefícios'!$E$5:$AB$5,0),500,1)),0)+_xlfn.IFNA(SUM((K$3&gt;='Gastos com Pessoal'!$E$513:$E$522)*(K$3&lt;='Gastos com Pessoal'!$F$513:$F$522)*OFFSET('Encargos e Benefícios'!$D$511,1,MATCH($B48,'Encargos e Benefícios'!$E$511:$AB$511,0),10,1)),0)+_xlfn.IFNA(SUM((K$3&gt;='Gastos com Pessoal'!$E$7:$E$506)*(K$3&lt;='Gastos com Pessoal'!$F$7:$F$506)*(IF('Gastos com Pessoal'!$G$7:$G$506&lt;=K$3,1,0))*OFFSET('Gastos com Pessoal'!$H$6,1,MATCH(1&amp;$B48,'Gastos com Pessoal'!$I$532:$AJ$532&amp;'Gastos com Pessoal'!$I$6:$AJ$6,0),500,1)),0)+_xlfn.IFNA(SUM((K$3&gt;='Gastos com Pessoal'!$E$7:$E$506)*(K$3&lt;='Gastos com Pessoal'!$F$7:$F$506)*(IF('Gastos com Pessoal'!$M$7:$M$506&lt;=K$3,1,0))*OFFSET('Gastos com Pessoal'!$H$6,1,MATCH(2&amp;$B48,'Gastos com Pessoal'!$I$532:$AJ$532&amp;'Gastos com Pessoal'!$I$6:$AJ$6,0),500,1)),0)+_xlfn.IFNA(SUM((K$3&gt;='Gastos com Pessoal'!$E$7:$E$506)*(K$3&lt;='Gastos com Pessoal'!$F$7:$F$506)*(IF('Gastos com Pessoal'!$S$7:$S$506&lt;=K$3,1,0))*OFFSET('Gastos com Pessoal'!$H$6,1,MATCH(3&amp;$B48,'Gastos com Pessoal'!$I$532:$AJ$532&amp;'Gastos com Pessoal'!$I$6:$AJ$6,0),500,1)),0)+_xlfn.IFNA(SUM((K$3&gt;='Gastos com Pessoal'!$E$7:$E$506)*(K$3&lt;='Gastos com Pessoal'!$F$7:$F$506)*(IF('Gastos com Pessoal'!$Y$7:$Y$506&lt;=K$3,1,0))*OFFSET('Gastos com Pessoal'!$H$6,1,MATCH(4&amp;$B48,'Gastos com Pessoal'!$I$532:$AJ$532&amp;'Gastos com Pessoal'!$I$6:$AJ$6,0),500,1)),0)+_xlfn.IFNA(SUM((K$3&gt;='Gastos com Pessoal'!$E$7:$E$506)*(K$3&lt;='Gastos com Pessoal'!$F$7:$F$506)*(IF('Gastos com Pessoal'!$AE$7:$AE$506&lt;=K$3,1,0))*OFFSET('Gastos com Pessoal'!$H$6,1,MATCH(5&amp;$B48,'Gastos com Pessoal'!$I$532:$AJ$532&amp;'Gastos com Pessoal'!$I$6:$AJ$6,0),500,1)),0)+_xlfn.IFNA(SUM((K$3&gt;='Gastos com Pessoal'!$E$513:$E$522)*(K$3&lt;='Gastos com Pessoal'!$F$513:$F$522)*(IF('Gastos com Pessoal'!$G$513:$G$522&lt;=K$3,1,0))*OFFSET('Gastos com Pessoal'!$H$512,1,MATCH(1&amp;$B48,'Gastos com Pessoal'!$I$532:$AJ$532&amp;'Gastos com Pessoal'!$I$512:$AJ$512,0),10,1)),0)+_xlfn.IFNA(SUM((K$3&gt;='Gastos com Pessoal'!$E$513:$E$522)*(K$3&lt;='Gastos com Pessoal'!$F$513:$F$522)*(IF('Gastos com Pessoal'!$M$513:$M$522&lt;=K$3,1,0))*OFFSET('Gastos com Pessoal'!$H$512,1,MATCH(2&amp;$B48,'Gastos com Pessoal'!$I$532:$AJ$532&amp;'Gastos com Pessoal'!$I$512:$AJ$512,0),10,1)),0)+_xlfn.IFNA(SUM((K$3&gt;='Gastos com Pessoal'!$E$513:$E$522)*(K$3&lt;='Gastos com Pessoal'!$F$513:$F$522)*(IF('Gastos com Pessoal'!$S$513:$S$522&lt;=K$3,1,0))*OFFSET('Gastos com Pessoal'!$H$512,1,MATCH(3&amp;$B48,'Gastos com Pessoal'!$I$532:$AJ$532&amp;'Gastos com Pessoal'!$I$512:$AJ$512,0),10,1)),0)+_xlfn.IFNA(SUM((K$3&gt;='Gastos com Pessoal'!$E$513:$E$522)*(K$3&lt;='Gastos com Pessoal'!$F$513:$F$522)*(IF('Gastos com Pessoal'!$Y$513:$Y$522&lt;=K$3,1,0))*OFFSET('Gastos com Pessoal'!$H$512,1,MATCH(4&amp;$B48,'Gastos com Pessoal'!$I$532:$AJ$532&amp;'Gastos com Pessoal'!$I$512:$AJ$512,0),10,1)),0)+_xlfn.IFNA(SUM((K$3&gt;='Gastos com Pessoal'!$E$513:$E$522)*(K$3&lt;='Gastos com Pessoal'!$F$513:$F$522)*(IF('Gastos com Pessoal'!$AE$513:$AE$522&lt;=K$3,1,0))*OFFSET('Gastos com Pessoal'!$H$512,1,MATCH(5&amp;$B48,'Gastos com Pessoal'!$I$532:$AJ$532&amp;'Gastos com Pessoal'!$I$512:$AJ$512,0),10,1)),0)</f>
        <v>22019.139999999941</v>
      </c>
      <c r="L48" s="188">
        <f t="array" aca="1" ref="L48" ca="1">_xlfn.IFNA(SUM((L$3&gt;='Gastos com Pessoal'!$E$7:$E$506)*(L$3&lt;='Gastos com Pessoal'!$F$7:$F$506)*OFFSET('Encargos e Benefícios'!$D$5,1,MATCH($B48,'Encargos e Benefícios'!$E$5:$AB$5,0),500,1)),0)+_xlfn.IFNA(SUM((L$3&gt;='Gastos com Pessoal'!$E$513:$E$522)*(L$3&lt;='Gastos com Pessoal'!$F$513:$F$522)*OFFSET('Encargos e Benefícios'!$D$511,1,MATCH($B48,'Encargos e Benefícios'!$E$511:$AB$511,0),10,1)),0)+_xlfn.IFNA(SUM((L$3&gt;='Gastos com Pessoal'!$E$7:$E$506)*(L$3&lt;='Gastos com Pessoal'!$F$7:$F$506)*(IF('Gastos com Pessoal'!$G$7:$G$506&lt;=L$3,1,0))*OFFSET('Gastos com Pessoal'!$H$6,1,MATCH(1&amp;$B48,'Gastos com Pessoal'!$I$532:$AJ$532&amp;'Gastos com Pessoal'!$I$6:$AJ$6,0),500,1)),0)+_xlfn.IFNA(SUM((L$3&gt;='Gastos com Pessoal'!$E$7:$E$506)*(L$3&lt;='Gastos com Pessoal'!$F$7:$F$506)*(IF('Gastos com Pessoal'!$M$7:$M$506&lt;=L$3,1,0))*OFFSET('Gastos com Pessoal'!$H$6,1,MATCH(2&amp;$B48,'Gastos com Pessoal'!$I$532:$AJ$532&amp;'Gastos com Pessoal'!$I$6:$AJ$6,0),500,1)),0)+_xlfn.IFNA(SUM((L$3&gt;='Gastos com Pessoal'!$E$7:$E$506)*(L$3&lt;='Gastos com Pessoal'!$F$7:$F$506)*(IF('Gastos com Pessoal'!$S$7:$S$506&lt;=L$3,1,0))*OFFSET('Gastos com Pessoal'!$H$6,1,MATCH(3&amp;$B48,'Gastos com Pessoal'!$I$532:$AJ$532&amp;'Gastos com Pessoal'!$I$6:$AJ$6,0),500,1)),0)+_xlfn.IFNA(SUM((L$3&gt;='Gastos com Pessoal'!$E$7:$E$506)*(L$3&lt;='Gastos com Pessoal'!$F$7:$F$506)*(IF('Gastos com Pessoal'!$Y$7:$Y$506&lt;=L$3,1,0))*OFFSET('Gastos com Pessoal'!$H$6,1,MATCH(4&amp;$B48,'Gastos com Pessoal'!$I$532:$AJ$532&amp;'Gastos com Pessoal'!$I$6:$AJ$6,0),500,1)),0)+_xlfn.IFNA(SUM((L$3&gt;='Gastos com Pessoal'!$E$7:$E$506)*(L$3&lt;='Gastos com Pessoal'!$F$7:$F$506)*(IF('Gastos com Pessoal'!$AE$7:$AE$506&lt;=L$3,1,0))*OFFSET('Gastos com Pessoal'!$H$6,1,MATCH(5&amp;$B48,'Gastos com Pessoal'!$I$532:$AJ$532&amp;'Gastos com Pessoal'!$I$6:$AJ$6,0),500,1)),0)+_xlfn.IFNA(SUM((L$3&gt;='Gastos com Pessoal'!$E$513:$E$522)*(L$3&lt;='Gastos com Pessoal'!$F$513:$F$522)*(IF('Gastos com Pessoal'!$G$513:$G$522&lt;=L$3,1,0))*OFFSET('Gastos com Pessoal'!$H$512,1,MATCH(1&amp;$B48,'Gastos com Pessoal'!$I$532:$AJ$532&amp;'Gastos com Pessoal'!$I$512:$AJ$512,0),10,1)),0)+_xlfn.IFNA(SUM((L$3&gt;='Gastos com Pessoal'!$E$513:$E$522)*(L$3&lt;='Gastos com Pessoal'!$F$513:$F$522)*(IF('Gastos com Pessoal'!$M$513:$M$522&lt;=L$3,1,0))*OFFSET('Gastos com Pessoal'!$H$512,1,MATCH(2&amp;$B48,'Gastos com Pessoal'!$I$532:$AJ$532&amp;'Gastos com Pessoal'!$I$512:$AJ$512,0),10,1)),0)+_xlfn.IFNA(SUM((L$3&gt;='Gastos com Pessoal'!$E$513:$E$522)*(L$3&lt;='Gastos com Pessoal'!$F$513:$F$522)*(IF('Gastos com Pessoal'!$S$513:$S$522&lt;=L$3,1,0))*OFFSET('Gastos com Pessoal'!$H$512,1,MATCH(3&amp;$B48,'Gastos com Pessoal'!$I$532:$AJ$532&amp;'Gastos com Pessoal'!$I$512:$AJ$512,0),10,1)),0)+_xlfn.IFNA(SUM((L$3&gt;='Gastos com Pessoal'!$E$513:$E$522)*(L$3&lt;='Gastos com Pessoal'!$F$513:$F$522)*(IF('Gastos com Pessoal'!$Y$513:$Y$522&lt;=L$3,1,0))*OFFSET('Gastos com Pessoal'!$H$512,1,MATCH(4&amp;$B48,'Gastos com Pessoal'!$I$532:$AJ$532&amp;'Gastos com Pessoal'!$I$512:$AJ$512,0),10,1)),0)+_xlfn.IFNA(SUM((L$3&gt;='Gastos com Pessoal'!$E$513:$E$522)*(L$3&lt;='Gastos com Pessoal'!$F$513:$F$522)*(IF('Gastos com Pessoal'!$AE$513:$AE$522&lt;=L$3,1,0))*OFFSET('Gastos com Pessoal'!$H$512,1,MATCH(5&amp;$B48,'Gastos com Pessoal'!$I$532:$AJ$532&amp;'Gastos com Pessoal'!$I$512:$AJ$512,0),10,1)),0)</f>
        <v>22019.139999999941</v>
      </c>
      <c r="M48" s="188">
        <f t="array" aca="1" ref="M48" ca="1">_xlfn.IFNA(SUM((M$3&gt;='Gastos com Pessoal'!$E$7:$E$506)*(M$3&lt;='Gastos com Pessoal'!$F$7:$F$506)*OFFSET('Encargos e Benefícios'!$D$5,1,MATCH($B48,'Encargos e Benefícios'!$E$5:$AB$5,0),500,1)),0)+_xlfn.IFNA(SUM((M$3&gt;='Gastos com Pessoal'!$E$513:$E$522)*(M$3&lt;='Gastos com Pessoal'!$F$513:$F$522)*OFFSET('Encargos e Benefícios'!$D$511,1,MATCH($B48,'Encargos e Benefícios'!$E$511:$AB$511,0),10,1)),0)+_xlfn.IFNA(SUM((M$3&gt;='Gastos com Pessoal'!$E$7:$E$506)*(M$3&lt;='Gastos com Pessoal'!$F$7:$F$506)*(IF('Gastos com Pessoal'!$G$7:$G$506&lt;=M$3,1,0))*OFFSET('Gastos com Pessoal'!$H$6,1,MATCH(1&amp;$B48,'Gastos com Pessoal'!$I$532:$AJ$532&amp;'Gastos com Pessoal'!$I$6:$AJ$6,0),500,1)),0)+_xlfn.IFNA(SUM((M$3&gt;='Gastos com Pessoal'!$E$7:$E$506)*(M$3&lt;='Gastos com Pessoal'!$F$7:$F$506)*(IF('Gastos com Pessoal'!$M$7:$M$506&lt;=M$3,1,0))*OFFSET('Gastos com Pessoal'!$H$6,1,MATCH(2&amp;$B48,'Gastos com Pessoal'!$I$532:$AJ$532&amp;'Gastos com Pessoal'!$I$6:$AJ$6,0),500,1)),0)+_xlfn.IFNA(SUM((M$3&gt;='Gastos com Pessoal'!$E$7:$E$506)*(M$3&lt;='Gastos com Pessoal'!$F$7:$F$506)*(IF('Gastos com Pessoal'!$S$7:$S$506&lt;=M$3,1,0))*OFFSET('Gastos com Pessoal'!$H$6,1,MATCH(3&amp;$B48,'Gastos com Pessoal'!$I$532:$AJ$532&amp;'Gastos com Pessoal'!$I$6:$AJ$6,0),500,1)),0)+_xlfn.IFNA(SUM((M$3&gt;='Gastos com Pessoal'!$E$7:$E$506)*(M$3&lt;='Gastos com Pessoal'!$F$7:$F$506)*(IF('Gastos com Pessoal'!$Y$7:$Y$506&lt;=M$3,1,0))*OFFSET('Gastos com Pessoal'!$H$6,1,MATCH(4&amp;$B48,'Gastos com Pessoal'!$I$532:$AJ$532&amp;'Gastos com Pessoal'!$I$6:$AJ$6,0),500,1)),0)+_xlfn.IFNA(SUM((M$3&gt;='Gastos com Pessoal'!$E$7:$E$506)*(M$3&lt;='Gastos com Pessoal'!$F$7:$F$506)*(IF('Gastos com Pessoal'!$AE$7:$AE$506&lt;=M$3,1,0))*OFFSET('Gastos com Pessoal'!$H$6,1,MATCH(5&amp;$B48,'Gastos com Pessoal'!$I$532:$AJ$532&amp;'Gastos com Pessoal'!$I$6:$AJ$6,0),500,1)),0)+_xlfn.IFNA(SUM((M$3&gt;='Gastos com Pessoal'!$E$513:$E$522)*(M$3&lt;='Gastos com Pessoal'!$F$513:$F$522)*(IF('Gastos com Pessoal'!$G$513:$G$522&lt;=M$3,1,0))*OFFSET('Gastos com Pessoal'!$H$512,1,MATCH(1&amp;$B48,'Gastos com Pessoal'!$I$532:$AJ$532&amp;'Gastos com Pessoal'!$I$512:$AJ$512,0),10,1)),0)+_xlfn.IFNA(SUM((M$3&gt;='Gastos com Pessoal'!$E$513:$E$522)*(M$3&lt;='Gastos com Pessoal'!$F$513:$F$522)*(IF('Gastos com Pessoal'!$M$513:$M$522&lt;=M$3,1,0))*OFFSET('Gastos com Pessoal'!$H$512,1,MATCH(2&amp;$B48,'Gastos com Pessoal'!$I$532:$AJ$532&amp;'Gastos com Pessoal'!$I$512:$AJ$512,0),10,1)),0)+_xlfn.IFNA(SUM((M$3&gt;='Gastos com Pessoal'!$E$513:$E$522)*(M$3&lt;='Gastos com Pessoal'!$F$513:$F$522)*(IF('Gastos com Pessoal'!$S$513:$S$522&lt;=M$3,1,0))*OFFSET('Gastos com Pessoal'!$H$512,1,MATCH(3&amp;$B48,'Gastos com Pessoal'!$I$532:$AJ$532&amp;'Gastos com Pessoal'!$I$512:$AJ$512,0),10,1)),0)+_xlfn.IFNA(SUM((M$3&gt;='Gastos com Pessoal'!$E$513:$E$522)*(M$3&lt;='Gastos com Pessoal'!$F$513:$F$522)*(IF('Gastos com Pessoal'!$Y$513:$Y$522&lt;=M$3,1,0))*OFFSET('Gastos com Pessoal'!$H$512,1,MATCH(4&amp;$B48,'Gastos com Pessoal'!$I$532:$AJ$532&amp;'Gastos com Pessoal'!$I$512:$AJ$512,0),10,1)),0)+_xlfn.IFNA(SUM((M$3&gt;='Gastos com Pessoal'!$E$513:$E$522)*(M$3&lt;='Gastos com Pessoal'!$F$513:$F$522)*(IF('Gastos com Pessoal'!$AE$513:$AE$522&lt;=M$3,1,0))*OFFSET('Gastos com Pessoal'!$H$512,1,MATCH(5&amp;$B48,'Gastos com Pessoal'!$I$532:$AJ$532&amp;'Gastos com Pessoal'!$I$512:$AJ$512,0),10,1)),0)</f>
        <v>22019.139999999941</v>
      </c>
      <c r="N48" s="188">
        <f t="array" aca="1" ref="N48" ca="1">_xlfn.IFNA(SUM((N$3&gt;='Gastos com Pessoal'!$E$7:$E$506)*(N$3&lt;='Gastos com Pessoal'!$F$7:$F$506)*OFFSET('Encargos e Benefícios'!$D$5,1,MATCH($B48,'Encargos e Benefícios'!$E$5:$AB$5,0),500,1)),0)+_xlfn.IFNA(SUM((N$3&gt;='Gastos com Pessoal'!$E$513:$E$522)*(N$3&lt;='Gastos com Pessoal'!$F$513:$F$522)*OFFSET('Encargos e Benefícios'!$D$511,1,MATCH($B48,'Encargos e Benefícios'!$E$511:$AB$511,0),10,1)),0)+_xlfn.IFNA(SUM((N$3&gt;='Gastos com Pessoal'!$E$7:$E$506)*(N$3&lt;='Gastos com Pessoal'!$F$7:$F$506)*(IF('Gastos com Pessoal'!$G$7:$G$506&lt;=N$3,1,0))*OFFSET('Gastos com Pessoal'!$H$6,1,MATCH(1&amp;$B48,'Gastos com Pessoal'!$I$532:$AJ$532&amp;'Gastos com Pessoal'!$I$6:$AJ$6,0),500,1)),0)+_xlfn.IFNA(SUM((N$3&gt;='Gastos com Pessoal'!$E$7:$E$506)*(N$3&lt;='Gastos com Pessoal'!$F$7:$F$506)*(IF('Gastos com Pessoal'!$M$7:$M$506&lt;=N$3,1,0))*OFFSET('Gastos com Pessoal'!$H$6,1,MATCH(2&amp;$B48,'Gastos com Pessoal'!$I$532:$AJ$532&amp;'Gastos com Pessoal'!$I$6:$AJ$6,0),500,1)),0)+_xlfn.IFNA(SUM((N$3&gt;='Gastos com Pessoal'!$E$7:$E$506)*(N$3&lt;='Gastos com Pessoal'!$F$7:$F$506)*(IF('Gastos com Pessoal'!$S$7:$S$506&lt;=N$3,1,0))*OFFSET('Gastos com Pessoal'!$H$6,1,MATCH(3&amp;$B48,'Gastos com Pessoal'!$I$532:$AJ$532&amp;'Gastos com Pessoal'!$I$6:$AJ$6,0),500,1)),0)+_xlfn.IFNA(SUM((N$3&gt;='Gastos com Pessoal'!$E$7:$E$506)*(N$3&lt;='Gastos com Pessoal'!$F$7:$F$506)*(IF('Gastos com Pessoal'!$Y$7:$Y$506&lt;=N$3,1,0))*OFFSET('Gastos com Pessoal'!$H$6,1,MATCH(4&amp;$B48,'Gastos com Pessoal'!$I$532:$AJ$532&amp;'Gastos com Pessoal'!$I$6:$AJ$6,0),500,1)),0)+_xlfn.IFNA(SUM((N$3&gt;='Gastos com Pessoal'!$E$7:$E$506)*(N$3&lt;='Gastos com Pessoal'!$F$7:$F$506)*(IF('Gastos com Pessoal'!$AE$7:$AE$506&lt;=N$3,1,0))*OFFSET('Gastos com Pessoal'!$H$6,1,MATCH(5&amp;$B48,'Gastos com Pessoal'!$I$532:$AJ$532&amp;'Gastos com Pessoal'!$I$6:$AJ$6,0),500,1)),0)+_xlfn.IFNA(SUM((N$3&gt;='Gastos com Pessoal'!$E$513:$E$522)*(N$3&lt;='Gastos com Pessoal'!$F$513:$F$522)*(IF('Gastos com Pessoal'!$G$513:$G$522&lt;=N$3,1,0))*OFFSET('Gastos com Pessoal'!$H$512,1,MATCH(1&amp;$B48,'Gastos com Pessoal'!$I$532:$AJ$532&amp;'Gastos com Pessoal'!$I$512:$AJ$512,0),10,1)),0)+_xlfn.IFNA(SUM((N$3&gt;='Gastos com Pessoal'!$E$513:$E$522)*(N$3&lt;='Gastos com Pessoal'!$F$513:$F$522)*(IF('Gastos com Pessoal'!$M$513:$M$522&lt;=N$3,1,0))*OFFSET('Gastos com Pessoal'!$H$512,1,MATCH(2&amp;$B48,'Gastos com Pessoal'!$I$532:$AJ$532&amp;'Gastos com Pessoal'!$I$512:$AJ$512,0),10,1)),0)+_xlfn.IFNA(SUM((N$3&gt;='Gastos com Pessoal'!$E$513:$E$522)*(N$3&lt;='Gastos com Pessoal'!$F$513:$F$522)*(IF('Gastos com Pessoal'!$S$513:$S$522&lt;=N$3,1,0))*OFFSET('Gastos com Pessoal'!$H$512,1,MATCH(3&amp;$B48,'Gastos com Pessoal'!$I$532:$AJ$532&amp;'Gastos com Pessoal'!$I$512:$AJ$512,0),10,1)),0)+_xlfn.IFNA(SUM((N$3&gt;='Gastos com Pessoal'!$E$513:$E$522)*(N$3&lt;='Gastos com Pessoal'!$F$513:$F$522)*(IF('Gastos com Pessoal'!$Y$513:$Y$522&lt;=N$3,1,0))*OFFSET('Gastos com Pessoal'!$H$512,1,MATCH(4&amp;$B48,'Gastos com Pessoal'!$I$532:$AJ$532&amp;'Gastos com Pessoal'!$I$512:$AJ$512,0),10,1)),0)+_xlfn.IFNA(SUM((N$3&gt;='Gastos com Pessoal'!$E$513:$E$522)*(N$3&lt;='Gastos com Pessoal'!$F$513:$F$522)*(IF('Gastos com Pessoal'!$AE$513:$AE$522&lt;=N$3,1,0))*OFFSET('Gastos com Pessoal'!$H$512,1,MATCH(5&amp;$B48,'Gastos com Pessoal'!$I$532:$AJ$532&amp;'Gastos com Pessoal'!$I$512:$AJ$512,0),10,1)),0)</f>
        <v>24546.849999999922</v>
      </c>
      <c r="O48" s="188">
        <f t="array" aca="1" ref="O48" ca="1">_xlfn.IFNA(SUM((O$3&gt;='Gastos com Pessoal'!$E$7:$E$506)*(O$3&lt;='Gastos com Pessoal'!$F$7:$F$506)*OFFSET('Encargos e Benefícios'!$D$5,1,MATCH($B48,'Encargos e Benefícios'!$E$5:$AB$5,0),500,1)),0)+_xlfn.IFNA(SUM((O$3&gt;='Gastos com Pessoal'!$E$513:$E$522)*(O$3&lt;='Gastos com Pessoal'!$F$513:$F$522)*OFFSET('Encargos e Benefícios'!$D$511,1,MATCH($B48,'Encargos e Benefícios'!$E$511:$AB$511,0),10,1)),0)+_xlfn.IFNA(SUM((O$3&gt;='Gastos com Pessoal'!$E$7:$E$506)*(O$3&lt;='Gastos com Pessoal'!$F$7:$F$506)*(IF('Gastos com Pessoal'!$G$7:$G$506&lt;=O$3,1,0))*OFFSET('Gastos com Pessoal'!$H$6,1,MATCH(1&amp;$B48,'Gastos com Pessoal'!$I$532:$AJ$532&amp;'Gastos com Pessoal'!$I$6:$AJ$6,0),500,1)),0)+_xlfn.IFNA(SUM((O$3&gt;='Gastos com Pessoal'!$E$7:$E$506)*(O$3&lt;='Gastos com Pessoal'!$F$7:$F$506)*(IF('Gastos com Pessoal'!$M$7:$M$506&lt;=O$3,1,0))*OFFSET('Gastos com Pessoal'!$H$6,1,MATCH(2&amp;$B48,'Gastos com Pessoal'!$I$532:$AJ$532&amp;'Gastos com Pessoal'!$I$6:$AJ$6,0),500,1)),0)+_xlfn.IFNA(SUM((O$3&gt;='Gastos com Pessoal'!$E$7:$E$506)*(O$3&lt;='Gastos com Pessoal'!$F$7:$F$506)*(IF('Gastos com Pessoal'!$S$7:$S$506&lt;=O$3,1,0))*OFFSET('Gastos com Pessoal'!$H$6,1,MATCH(3&amp;$B48,'Gastos com Pessoal'!$I$532:$AJ$532&amp;'Gastos com Pessoal'!$I$6:$AJ$6,0),500,1)),0)+_xlfn.IFNA(SUM((O$3&gt;='Gastos com Pessoal'!$E$7:$E$506)*(O$3&lt;='Gastos com Pessoal'!$F$7:$F$506)*(IF('Gastos com Pessoal'!$Y$7:$Y$506&lt;=O$3,1,0))*OFFSET('Gastos com Pessoal'!$H$6,1,MATCH(4&amp;$B48,'Gastos com Pessoal'!$I$532:$AJ$532&amp;'Gastos com Pessoal'!$I$6:$AJ$6,0),500,1)),0)+_xlfn.IFNA(SUM((O$3&gt;='Gastos com Pessoal'!$E$7:$E$506)*(O$3&lt;='Gastos com Pessoal'!$F$7:$F$506)*(IF('Gastos com Pessoal'!$AE$7:$AE$506&lt;=O$3,1,0))*OFFSET('Gastos com Pessoal'!$H$6,1,MATCH(5&amp;$B48,'Gastos com Pessoal'!$I$532:$AJ$532&amp;'Gastos com Pessoal'!$I$6:$AJ$6,0),500,1)),0)+_xlfn.IFNA(SUM((O$3&gt;='Gastos com Pessoal'!$E$513:$E$522)*(O$3&lt;='Gastos com Pessoal'!$F$513:$F$522)*(IF('Gastos com Pessoal'!$G$513:$G$522&lt;=O$3,1,0))*OFFSET('Gastos com Pessoal'!$H$512,1,MATCH(1&amp;$B48,'Gastos com Pessoal'!$I$532:$AJ$532&amp;'Gastos com Pessoal'!$I$512:$AJ$512,0),10,1)),0)+_xlfn.IFNA(SUM((O$3&gt;='Gastos com Pessoal'!$E$513:$E$522)*(O$3&lt;='Gastos com Pessoal'!$F$513:$F$522)*(IF('Gastos com Pessoal'!$M$513:$M$522&lt;=O$3,1,0))*OFFSET('Gastos com Pessoal'!$H$512,1,MATCH(2&amp;$B48,'Gastos com Pessoal'!$I$532:$AJ$532&amp;'Gastos com Pessoal'!$I$512:$AJ$512,0),10,1)),0)+_xlfn.IFNA(SUM((O$3&gt;='Gastos com Pessoal'!$E$513:$E$522)*(O$3&lt;='Gastos com Pessoal'!$F$513:$F$522)*(IF('Gastos com Pessoal'!$S$513:$S$522&lt;=O$3,1,0))*OFFSET('Gastos com Pessoal'!$H$512,1,MATCH(3&amp;$B48,'Gastos com Pessoal'!$I$532:$AJ$532&amp;'Gastos com Pessoal'!$I$512:$AJ$512,0),10,1)),0)+_xlfn.IFNA(SUM((O$3&gt;='Gastos com Pessoal'!$E$513:$E$522)*(O$3&lt;='Gastos com Pessoal'!$F$513:$F$522)*(IF('Gastos com Pessoal'!$Y$513:$Y$522&lt;=O$3,1,0))*OFFSET('Gastos com Pessoal'!$H$512,1,MATCH(4&amp;$B48,'Gastos com Pessoal'!$I$532:$AJ$532&amp;'Gastos com Pessoal'!$I$512:$AJ$512,0),10,1)),0)+_xlfn.IFNA(SUM((O$3&gt;='Gastos com Pessoal'!$E$513:$E$522)*(O$3&lt;='Gastos com Pessoal'!$F$513:$F$522)*(IF('Gastos com Pessoal'!$AE$513:$AE$522&lt;=O$3,1,0))*OFFSET('Gastos com Pessoal'!$H$512,1,MATCH(5&amp;$B48,'Gastos com Pessoal'!$I$532:$AJ$532&amp;'Gastos com Pessoal'!$I$512:$AJ$512,0),10,1)),0)</f>
        <v>24546.849999999922</v>
      </c>
      <c r="P48" s="188">
        <f t="array" aca="1" ref="P48" ca="1">_xlfn.IFNA(SUM((P$3&gt;='Gastos com Pessoal'!$E$7:$E$506)*(P$3&lt;='Gastos com Pessoal'!$F$7:$F$506)*OFFSET('Encargos e Benefícios'!$D$5,1,MATCH($B48,'Encargos e Benefícios'!$E$5:$AB$5,0),500,1)),0)+_xlfn.IFNA(SUM((P$3&gt;='Gastos com Pessoal'!$E$513:$E$522)*(P$3&lt;='Gastos com Pessoal'!$F$513:$F$522)*OFFSET('Encargos e Benefícios'!$D$511,1,MATCH($B48,'Encargos e Benefícios'!$E$511:$AB$511,0),10,1)),0)+_xlfn.IFNA(SUM((P$3&gt;='Gastos com Pessoal'!$E$7:$E$506)*(P$3&lt;='Gastos com Pessoal'!$F$7:$F$506)*(IF('Gastos com Pessoal'!$G$7:$G$506&lt;=P$3,1,0))*OFFSET('Gastos com Pessoal'!$H$6,1,MATCH(1&amp;$B48,'Gastos com Pessoal'!$I$532:$AJ$532&amp;'Gastos com Pessoal'!$I$6:$AJ$6,0),500,1)),0)+_xlfn.IFNA(SUM((P$3&gt;='Gastos com Pessoal'!$E$7:$E$506)*(P$3&lt;='Gastos com Pessoal'!$F$7:$F$506)*(IF('Gastos com Pessoal'!$M$7:$M$506&lt;=P$3,1,0))*OFFSET('Gastos com Pessoal'!$H$6,1,MATCH(2&amp;$B48,'Gastos com Pessoal'!$I$532:$AJ$532&amp;'Gastos com Pessoal'!$I$6:$AJ$6,0),500,1)),0)+_xlfn.IFNA(SUM((P$3&gt;='Gastos com Pessoal'!$E$7:$E$506)*(P$3&lt;='Gastos com Pessoal'!$F$7:$F$506)*(IF('Gastos com Pessoal'!$S$7:$S$506&lt;=P$3,1,0))*OFFSET('Gastos com Pessoal'!$H$6,1,MATCH(3&amp;$B48,'Gastos com Pessoal'!$I$532:$AJ$532&amp;'Gastos com Pessoal'!$I$6:$AJ$6,0),500,1)),0)+_xlfn.IFNA(SUM((P$3&gt;='Gastos com Pessoal'!$E$7:$E$506)*(P$3&lt;='Gastos com Pessoal'!$F$7:$F$506)*(IF('Gastos com Pessoal'!$Y$7:$Y$506&lt;=P$3,1,0))*OFFSET('Gastos com Pessoal'!$H$6,1,MATCH(4&amp;$B48,'Gastos com Pessoal'!$I$532:$AJ$532&amp;'Gastos com Pessoal'!$I$6:$AJ$6,0),500,1)),0)+_xlfn.IFNA(SUM((P$3&gt;='Gastos com Pessoal'!$E$7:$E$506)*(P$3&lt;='Gastos com Pessoal'!$F$7:$F$506)*(IF('Gastos com Pessoal'!$AE$7:$AE$506&lt;=P$3,1,0))*OFFSET('Gastos com Pessoal'!$H$6,1,MATCH(5&amp;$B48,'Gastos com Pessoal'!$I$532:$AJ$532&amp;'Gastos com Pessoal'!$I$6:$AJ$6,0),500,1)),0)+_xlfn.IFNA(SUM((P$3&gt;='Gastos com Pessoal'!$E$513:$E$522)*(P$3&lt;='Gastos com Pessoal'!$F$513:$F$522)*(IF('Gastos com Pessoal'!$G$513:$G$522&lt;=P$3,1,0))*OFFSET('Gastos com Pessoal'!$H$512,1,MATCH(1&amp;$B48,'Gastos com Pessoal'!$I$532:$AJ$532&amp;'Gastos com Pessoal'!$I$512:$AJ$512,0),10,1)),0)+_xlfn.IFNA(SUM((P$3&gt;='Gastos com Pessoal'!$E$513:$E$522)*(P$3&lt;='Gastos com Pessoal'!$F$513:$F$522)*(IF('Gastos com Pessoal'!$M$513:$M$522&lt;=P$3,1,0))*OFFSET('Gastos com Pessoal'!$H$512,1,MATCH(2&amp;$B48,'Gastos com Pessoal'!$I$532:$AJ$532&amp;'Gastos com Pessoal'!$I$512:$AJ$512,0),10,1)),0)+_xlfn.IFNA(SUM((P$3&gt;='Gastos com Pessoal'!$E$513:$E$522)*(P$3&lt;='Gastos com Pessoal'!$F$513:$F$522)*(IF('Gastos com Pessoal'!$S$513:$S$522&lt;=P$3,1,0))*OFFSET('Gastos com Pessoal'!$H$512,1,MATCH(3&amp;$B48,'Gastos com Pessoal'!$I$532:$AJ$532&amp;'Gastos com Pessoal'!$I$512:$AJ$512,0),10,1)),0)+_xlfn.IFNA(SUM((P$3&gt;='Gastos com Pessoal'!$E$513:$E$522)*(P$3&lt;='Gastos com Pessoal'!$F$513:$F$522)*(IF('Gastos com Pessoal'!$Y$513:$Y$522&lt;=P$3,1,0))*OFFSET('Gastos com Pessoal'!$H$512,1,MATCH(4&amp;$B48,'Gastos com Pessoal'!$I$532:$AJ$532&amp;'Gastos com Pessoal'!$I$512:$AJ$512,0),10,1)),0)+_xlfn.IFNA(SUM((P$3&gt;='Gastos com Pessoal'!$E$513:$E$522)*(P$3&lt;='Gastos com Pessoal'!$F$513:$F$522)*(IF('Gastos com Pessoal'!$AE$513:$AE$522&lt;=P$3,1,0))*OFFSET('Gastos com Pessoal'!$H$512,1,MATCH(5&amp;$B48,'Gastos com Pessoal'!$I$532:$AJ$532&amp;'Gastos com Pessoal'!$I$512:$AJ$512,0),10,1)),0)</f>
        <v>24546.849999999922</v>
      </c>
      <c r="Q48" s="188">
        <f t="array" aca="1" ref="Q48" ca="1">_xlfn.IFNA(SUM((Q$3&gt;='Gastos com Pessoal'!$E$7:$E$506)*(Q$3&lt;='Gastos com Pessoal'!$F$7:$F$506)*OFFSET('Encargos e Benefícios'!$D$5,1,MATCH($B48,'Encargos e Benefícios'!$E$5:$AB$5,0),500,1)),0)+_xlfn.IFNA(SUM((Q$3&gt;='Gastos com Pessoal'!$E$513:$E$522)*(Q$3&lt;='Gastos com Pessoal'!$F$513:$F$522)*OFFSET('Encargos e Benefícios'!$D$511,1,MATCH($B48,'Encargos e Benefícios'!$E$511:$AB$511,0),10,1)),0)+_xlfn.IFNA(SUM((Q$3&gt;='Gastos com Pessoal'!$E$7:$E$506)*(Q$3&lt;='Gastos com Pessoal'!$F$7:$F$506)*(IF('Gastos com Pessoal'!$G$7:$G$506&lt;=Q$3,1,0))*OFFSET('Gastos com Pessoal'!$H$6,1,MATCH(1&amp;$B48,'Gastos com Pessoal'!$I$532:$AJ$532&amp;'Gastos com Pessoal'!$I$6:$AJ$6,0),500,1)),0)+_xlfn.IFNA(SUM((Q$3&gt;='Gastos com Pessoal'!$E$7:$E$506)*(Q$3&lt;='Gastos com Pessoal'!$F$7:$F$506)*(IF('Gastos com Pessoal'!$M$7:$M$506&lt;=Q$3,1,0))*OFFSET('Gastos com Pessoal'!$H$6,1,MATCH(2&amp;$B48,'Gastos com Pessoal'!$I$532:$AJ$532&amp;'Gastos com Pessoal'!$I$6:$AJ$6,0),500,1)),0)+_xlfn.IFNA(SUM((Q$3&gt;='Gastos com Pessoal'!$E$7:$E$506)*(Q$3&lt;='Gastos com Pessoal'!$F$7:$F$506)*(IF('Gastos com Pessoal'!$S$7:$S$506&lt;=Q$3,1,0))*OFFSET('Gastos com Pessoal'!$H$6,1,MATCH(3&amp;$B48,'Gastos com Pessoal'!$I$532:$AJ$532&amp;'Gastos com Pessoal'!$I$6:$AJ$6,0),500,1)),0)+_xlfn.IFNA(SUM((Q$3&gt;='Gastos com Pessoal'!$E$7:$E$506)*(Q$3&lt;='Gastos com Pessoal'!$F$7:$F$506)*(IF('Gastos com Pessoal'!$Y$7:$Y$506&lt;=Q$3,1,0))*OFFSET('Gastos com Pessoal'!$H$6,1,MATCH(4&amp;$B48,'Gastos com Pessoal'!$I$532:$AJ$532&amp;'Gastos com Pessoal'!$I$6:$AJ$6,0),500,1)),0)+_xlfn.IFNA(SUM((Q$3&gt;='Gastos com Pessoal'!$E$7:$E$506)*(Q$3&lt;='Gastos com Pessoal'!$F$7:$F$506)*(IF('Gastos com Pessoal'!$AE$7:$AE$506&lt;=Q$3,1,0))*OFFSET('Gastos com Pessoal'!$H$6,1,MATCH(5&amp;$B48,'Gastos com Pessoal'!$I$532:$AJ$532&amp;'Gastos com Pessoal'!$I$6:$AJ$6,0),500,1)),0)+_xlfn.IFNA(SUM((Q$3&gt;='Gastos com Pessoal'!$E$513:$E$522)*(Q$3&lt;='Gastos com Pessoal'!$F$513:$F$522)*(IF('Gastos com Pessoal'!$G$513:$G$522&lt;=Q$3,1,0))*OFFSET('Gastos com Pessoal'!$H$512,1,MATCH(1&amp;$B48,'Gastos com Pessoal'!$I$532:$AJ$532&amp;'Gastos com Pessoal'!$I$512:$AJ$512,0),10,1)),0)+_xlfn.IFNA(SUM((Q$3&gt;='Gastos com Pessoal'!$E$513:$E$522)*(Q$3&lt;='Gastos com Pessoal'!$F$513:$F$522)*(IF('Gastos com Pessoal'!$M$513:$M$522&lt;=Q$3,1,0))*OFFSET('Gastos com Pessoal'!$H$512,1,MATCH(2&amp;$B48,'Gastos com Pessoal'!$I$532:$AJ$532&amp;'Gastos com Pessoal'!$I$512:$AJ$512,0),10,1)),0)+_xlfn.IFNA(SUM((Q$3&gt;='Gastos com Pessoal'!$E$513:$E$522)*(Q$3&lt;='Gastos com Pessoal'!$F$513:$F$522)*(IF('Gastos com Pessoal'!$S$513:$S$522&lt;=Q$3,1,0))*OFFSET('Gastos com Pessoal'!$H$512,1,MATCH(3&amp;$B48,'Gastos com Pessoal'!$I$532:$AJ$532&amp;'Gastos com Pessoal'!$I$512:$AJ$512,0),10,1)),0)+_xlfn.IFNA(SUM((Q$3&gt;='Gastos com Pessoal'!$E$513:$E$522)*(Q$3&lt;='Gastos com Pessoal'!$F$513:$F$522)*(IF('Gastos com Pessoal'!$Y$513:$Y$522&lt;=Q$3,1,0))*OFFSET('Gastos com Pessoal'!$H$512,1,MATCH(4&amp;$B48,'Gastos com Pessoal'!$I$532:$AJ$532&amp;'Gastos com Pessoal'!$I$512:$AJ$512,0),10,1)),0)+_xlfn.IFNA(SUM((Q$3&gt;='Gastos com Pessoal'!$E$513:$E$522)*(Q$3&lt;='Gastos com Pessoal'!$F$513:$F$522)*(IF('Gastos com Pessoal'!$AE$513:$AE$522&lt;=Q$3,1,0))*OFFSET('Gastos com Pessoal'!$H$512,1,MATCH(5&amp;$B48,'Gastos com Pessoal'!$I$532:$AJ$532&amp;'Gastos com Pessoal'!$I$512:$AJ$512,0),10,1)),0)</f>
        <v>25856.439999999904</v>
      </c>
      <c r="R48" s="188">
        <f t="array" aca="1" ref="R48" ca="1">_xlfn.IFNA(SUM((R$3&gt;='Gastos com Pessoal'!$E$7:$E$506)*(R$3&lt;='Gastos com Pessoal'!$F$7:$F$506)*OFFSET('Encargos e Benefícios'!$D$5,1,MATCH($B48,'Encargos e Benefícios'!$E$5:$AB$5,0),500,1)),0)+_xlfn.IFNA(SUM((R$3&gt;='Gastos com Pessoal'!$E$513:$E$522)*(R$3&lt;='Gastos com Pessoal'!$F$513:$F$522)*OFFSET('Encargos e Benefícios'!$D$511,1,MATCH($B48,'Encargos e Benefícios'!$E$511:$AB$511,0),10,1)),0)+_xlfn.IFNA(SUM((R$3&gt;='Gastos com Pessoal'!$E$7:$E$506)*(R$3&lt;='Gastos com Pessoal'!$F$7:$F$506)*(IF('Gastos com Pessoal'!$G$7:$G$506&lt;=R$3,1,0))*OFFSET('Gastos com Pessoal'!$H$6,1,MATCH(1&amp;$B48,'Gastos com Pessoal'!$I$532:$AJ$532&amp;'Gastos com Pessoal'!$I$6:$AJ$6,0),500,1)),0)+_xlfn.IFNA(SUM((R$3&gt;='Gastos com Pessoal'!$E$7:$E$506)*(R$3&lt;='Gastos com Pessoal'!$F$7:$F$506)*(IF('Gastos com Pessoal'!$M$7:$M$506&lt;=R$3,1,0))*OFFSET('Gastos com Pessoal'!$H$6,1,MATCH(2&amp;$B48,'Gastos com Pessoal'!$I$532:$AJ$532&amp;'Gastos com Pessoal'!$I$6:$AJ$6,0),500,1)),0)+_xlfn.IFNA(SUM((R$3&gt;='Gastos com Pessoal'!$E$7:$E$506)*(R$3&lt;='Gastos com Pessoal'!$F$7:$F$506)*(IF('Gastos com Pessoal'!$S$7:$S$506&lt;=R$3,1,0))*OFFSET('Gastos com Pessoal'!$H$6,1,MATCH(3&amp;$B48,'Gastos com Pessoal'!$I$532:$AJ$532&amp;'Gastos com Pessoal'!$I$6:$AJ$6,0),500,1)),0)+_xlfn.IFNA(SUM((R$3&gt;='Gastos com Pessoal'!$E$7:$E$506)*(R$3&lt;='Gastos com Pessoal'!$F$7:$F$506)*(IF('Gastos com Pessoal'!$Y$7:$Y$506&lt;=R$3,1,0))*OFFSET('Gastos com Pessoal'!$H$6,1,MATCH(4&amp;$B48,'Gastos com Pessoal'!$I$532:$AJ$532&amp;'Gastos com Pessoal'!$I$6:$AJ$6,0),500,1)),0)+_xlfn.IFNA(SUM((R$3&gt;='Gastos com Pessoal'!$E$7:$E$506)*(R$3&lt;='Gastos com Pessoal'!$F$7:$F$506)*(IF('Gastos com Pessoal'!$AE$7:$AE$506&lt;=R$3,1,0))*OFFSET('Gastos com Pessoal'!$H$6,1,MATCH(5&amp;$B48,'Gastos com Pessoal'!$I$532:$AJ$532&amp;'Gastos com Pessoal'!$I$6:$AJ$6,0),500,1)),0)+_xlfn.IFNA(SUM((R$3&gt;='Gastos com Pessoal'!$E$513:$E$522)*(R$3&lt;='Gastos com Pessoal'!$F$513:$F$522)*(IF('Gastos com Pessoal'!$G$513:$G$522&lt;=R$3,1,0))*OFFSET('Gastos com Pessoal'!$H$512,1,MATCH(1&amp;$B48,'Gastos com Pessoal'!$I$532:$AJ$532&amp;'Gastos com Pessoal'!$I$512:$AJ$512,0),10,1)),0)+_xlfn.IFNA(SUM((R$3&gt;='Gastos com Pessoal'!$E$513:$E$522)*(R$3&lt;='Gastos com Pessoal'!$F$513:$F$522)*(IF('Gastos com Pessoal'!$M$513:$M$522&lt;=R$3,1,0))*OFFSET('Gastos com Pessoal'!$H$512,1,MATCH(2&amp;$B48,'Gastos com Pessoal'!$I$532:$AJ$532&amp;'Gastos com Pessoal'!$I$512:$AJ$512,0),10,1)),0)+_xlfn.IFNA(SUM((R$3&gt;='Gastos com Pessoal'!$E$513:$E$522)*(R$3&lt;='Gastos com Pessoal'!$F$513:$F$522)*(IF('Gastos com Pessoal'!$S$513:$S$522&lt;=R$3,1,0))*OFFSET('Gastos com Pessoal'!$H$512,1,MATCH(3&amp;$B48,'Gastos com Pessoal'!$I$532:$AJ$532&amp;'Gastos com Pessoal'!$I$512:$AJ$512,0),10,1)),0)+_xlfn.IFNA(SUM((R$3&gt;='Gastos com Pessoal'!$E$513:$E$522)*(R$3&lt;='Gastos com Pessoal'!$F$513:$F$522)*(IF('Gastos com Pessoal'!$Y$513:$Y$522&lt;=R$3,1,0))*OFFSET('Gastos com Pessoal'!$H$512,1,MATCH(4&amp;$B48,'Gastos com Pessoal'!$I$532:$AJ$532&amp;'Gastos com Pessoal'!$I$512:$AJ$512,0),10,1)),0)+_xlfn.IFNA(SUM((R$3&gt;='Gastos com Pessoal'!$E$513:$E$522)*(R$3&lt;='Gastos com Pessoal'!$F$513:$F$522)*(IF('Gastos com Pessoal'!$AE$513:$AE$522&lt;=R$3,1,0))*OFFSET('Gastos com Pessoal'!$H$512,1,MATCH(5&amp;$B48,'Gastos com Pessoal'!$I$532:$AJ$532&amp;'Gastos com Pessoal'!$I$512:$AJ$512,0),10,1)),0)</f>
        <v>25856.439999999904</v>
      </c>
      <c r="S48" s="188">
        <f t="array" aca="1" ref="S48" ca="1">_xlfn.IFNA(SUM((S$3&gt;='Gastos com Pessoal'!$E$7:$E$506)*(S$3&lt;='Gastos com Pessoal'!$F$7:$F$506)*OFFSET('Encargos e Benefícios'!$D$5,1,MATCH($B48,'Encargos e Benefícios'!$E$5:$AB$5,0),500,1)),0)+_xlfn.IFNA(SUM((S$3&gt;='Gastos com Pessoal'!$E$513:$E$522)*(S$3&lt;='Gastos com Pessoal'!$F$513:$F$522)*OFFSET('Encargos e Benefícios'!$D$511,1,MATCH($B48,'Encargos e Benefícios'!$E$511:$AB$511,0),10,1)),0)+_xlfn.IFNA(SUM((S$3&gt;='Gastos com Pessoal'!$E$7:$E$506)*(S$3&lt;='Gastos com Pessoal'!$F$7:$F$506)*(IF('Gastos com Pessoal'!$G$7:$G$506&lt;=S$3,1,0))*OFFSET('Gastos com Pessoal'!$H$6,1,MATCH(1&amp;$B48,'Gastos com Pessoal'!$I$532:$AJ$532&amp;'Gastos com Pessoal'!$I$6:$AJ$6,0),500,1)),0)+_xlfn.IFNA(SUM((S$3&gt;='Gastos com Pessoal'!$E$7:$E$506)*(S$3&lt;='Gastos com Pessoal'!$F$7:$F$506)*(IF('Gastos com Pessoal'!$M$7:$M$506&lt;=S$3,1,0))*OFFSET('Gastos com Pessoal'!$H$6,1,MATCH(2&amp;$B48,'Gastos com Pessoal'!$I$532:$AJ$532&amp;'Gastos com Pessoal'!$I$6:$AJ$6,0),500,1)),0)+_xlfn.IFNA(SUM((S$3&gt;='Gastos com Pessoal'!$E$7:$E$506)*(S$3&lt;='Gastos com Pessoal'!$F$7:$F$506)*(IF('Gastos com Pessoal'!$S$7:$S$506&lt;=S$3,1,0))*OFFSET('Gastos com Pessoal'!$H$6,1,MATCH(3&amp;$B48,'Gastos com Pessoal'!$I$532:$AJ$532&amp;'Gastos com Pessoal'!$I$6:$AJ$6,0),500,1)),0)+_xlfn.IFNA(SUM((S$3&gt;='Gastos com Pessoal'!$E$7:$E$506)*(S$3&lt;='Gastos com Pessoal'!$F$7:$F$506)*(IF('Gastos com Pessoal'!$Y$7:$Y$506&lt;=S$3,1,0))*OFFSET('Gastos com Pessoal'!$H$6,1,MATCH(4&amp;$B48,'Gastos com Pessoal'!$I$532:$AJ$532&amp;'Gastos com Pessoal'!$I$6:$AJ$6,0),500,1)),0)+_xlfn.IFNA(SUM((S$3&gt;='Gastos com Pessoal'!$E$7:$E$506)*(S$3&lt;='Gastos com Pessoal'!$F$7:$F$506)*(IF('Gastos com Pessoal'!$AE$7:$AE$506&lt;=S$3,1,0))*OFFSET('Gastos com Pessoal'!$H$6,1,MATCH(5&amp;$B48,'Gastos com Pessoal'!$I$532:$AJ$532&amp;'Gastos com Pessoal'!$I$6:$AJ$6,0),500,1)),0)+_xlfn.IFNA(SUM((S$3&gt;='Gastos com Pessoal'!$E$513:$E$522)*(S$3&lt;='Gastos com Pessoal'!$F$513:$F$522)*(IF('Gastos com Pessoal'!$G$513:$G$522&lt;=S$3,1,0))*OFFSET('Gastos com Pessoal'!$H$512,1,MATCH(1&amp;$B48,'Gastos com Pessoal'!$I$532:$AJ$532&amp;'Gastos com Pessoal'!$I$512:$AJ$512,0),10,1)),0)+_xlfn.IFNA(SUM((S$3&gt;='Gastos com Pessoal'!$E$513:$E$522)*(S$3&lt;='Gastos com Pessoal'!$F$513:$F$522)*(IF('Gastos com Pessoal'!$M$513:$M$522&lt;=S$3,1,0))*OFFSET('Gastos com Pessoal'!$H$512,1,MATCH(2&amp;$B48,'Gastos com Pessoal'!$I$532:$AJ$532&amp;'Gastos com Pessoal'!$I$512:$AJ$512,0),10,1)),0)+_xlfn.IFNA(SUM((S$3&gt;='Gastos com Pessoal'!$E$513:$E$522)*(S$3&lt;='Gastos com Pessoal'!$F$513:$F$522)*(IF('Gastos com Pessoal'!$S$513:$S$522&lt;=S$3,1,0))*OFFSET('Gastos com Pessoal'!$H$512,1,MATCH(3&amp;$B48,'Gastos com Pessoal'!$I$532:$AJ$532&amp;'Gastos com Pessoal'!$I$512:$AJ$512,0),10,1)),0)+_xlfn.IFNA(SUM((S$3&gt;='Gastos com Pessoal'!$E$513:$E$522)*(S$3&lt;='Gastos com Pessoal'!$F$513:$F$522)*(IF('Gastos com Pessoal'!$Y$513:$Y$522&lt;=S$3,1,0))*OFFSET('Gastos com Pessoal'!$H$512,1,MATCH(4&amp;$B48,'Gastos com Pessoal'!$I$532:$AJ$532&amp;'Gastos com Pessoal'!$I$512:$AJ$512,0),10,1)),0)+_xlfn.IFNA(SUM((S$3&gt;='Gastos com Pessoal'!$E$513:$E$522)*(S$3&lt;='Gastos com Pessoal'!$F$513:$F$522)*(IF('Gastos com Pessoal'!$AE$513:$AE$522&lt;=S$3,1,0))*OFFSET('Gastos com Pessoal'!$H$512,1,MATCH(5&amp;$B48,'Gastos com Pessoal'!$I$532:$AJ$532&amp;'Gastos com Pessoal'!$I$512:$AJ$512,0),10,1)),0)</f>
        <v>25856.439999999904</v>
      </c>
      <c r="T48" s="188">
        <f t="array" aca="1" ref="T48" ca="1">_xlfn.IFNA(SUM((T$3&gt;='Gastos com Pessoal'!$E$7:$E$506)*(T$3&lt;='Gastos com Pessoal'!$F$7:$F$506)*OFFSET('Encargos e Benefícios'!$D$5,1,MATCH($B48,'Encargos e Benefícios'!$E$5:$AB$5,0),500,1)),0)+_xlfn.IFNA(SUM((T$3&gt;='Gastos com Pessoal'!$E$513:$E$522)*(T$3&lt;='Gastos com Pessoal'!$F$513:$F$522)*OFFSET('Encargos e Benefícios'!$D$511,1,MATCH($B48,'Encargos e Benefícios'!$E$511:$AB$511,0),10,1)),0)+_xlfn.IFNA(SUM((T$3&gt;='Gastos com Pessoal'!$E$7:$E$506)*(T$3&lt;='Gastos com Pessoal'!$F$7:$F$506)*(IF('Gastos com Pessoal'!$G$7:$G$506&lt;=T$3,1,0))*OFFSET('Gastos com Pessoal'!$H$6,1,MATCH(1&amp;$B48,'Gastos com Pessoal'!$I$532:$AJ$532&amp;'Gastos com Pessoal'!$I$6:$AJ$6,0),500,1)),0)+_xlfn.IFNA(SUM((T$3&gt;='Gastos com Pessoal'!$E$7:$E$506)*(T$3&lt;='Gastos com Pessoal'!$F$7:$F$506)*(IF('Gastos com Pessoal'!$M$7:$M$506&lt;=T$3,1,0))*OFFSET('Gastos com Pessoal'!$H$6,1,MATCH(2&amp;$B48,'Gastos com Pessoal'!$I$532:$AJ$532&amp;'Gastos com Pessoal'!$I$6:$AJ$6,0),500,1)),0)+_xlfn.IFNA(SUM((T$3&gt;='Gastos com Pessoal'!$E$7:$E$506)*(T$3&lt;='Gastos com Pessoal'!$F$7:$F$506)*(IF('Gastos com Pessoal'!$S$7:$S$506&lt;=T$3,1,0))*OFFSET('Gastos com Pessoal'!$H$6,1,MATCH(3&amp;$B48,'Gastos com Pessoal'!$I$532:$AJ$532&amp;'Gastos com Pessoal'!$I$6:$AJ$6,0),500,1)),0)+_xlfn.IFNA(SUM((T$3&gt;='Gastos com Pessoal'!$E$7:$E$506)*(T$3&lt;='Gastos com Pessoal'!$F$7:$F$506)*(IF('Gastos com Pessoal'!$Y$7:$Y$506&lt;=T$3,1,0))*OFFSET('Gastos com Pessoal'!$H$6,1,MATCH(4&amp;$B48,'Gastos com Pessoal'!$I$532:$AJ$532&amp;'Gastos com Pessoal'!$I$6:$AJ$6,0),500,1)),0)+_xlfn.IFNA(SUM((T$3&gt;='Gastos com Pessoal'!$E$7:$E$506)*(T$3&lt;='Gastos com Pessoal'!$F$7:$F$506)*(IF('Gastos com Pessoal'!$AE$7:$AE$506&lt;=T$3,1,0))*OFFSET('Gastos com Pessoal'!$H$6,1,MATCH(5&amp;$B48,'Gastos com Pessoal'!$I$532:$AJ$532&amp;'Gastos com Pessoal'!$I$6:$AJ$6,0),500,1)),0)+_xlfn.IFNA(SUM((T$3&gt;='Gastos com Pessoal'!$E$513:$E$522)*(T$3&lt;='Gastos com Pessoal'!$F$513:$F$522)*(IF('Gastos com Pessoal'!$G$513:$G$522&lt;=T$3,1,0))*OFFSET('Gastos com Pessoal'!$H$512,1,MATCH(1&amp;$B48,'Gastos com Pessoal'!$I$532:$AJ$532&amp;'Gastos com Pessoal'!$I$512:$AJ$512,0),10,1)),0)+_xlfn.IFNA(SUM((T$3&gt;='Gastos com Pessoal'!$E$513:$E$522)*(T$3&lt;='Gastos com Pessoal'!$F$513:$F$522)*(IF('Gastos com Pessoal'!$M$513:$M$522&lt;=T$3,1,0))*OFFSET('Gastos com Pessoal'!$H$512,1,MATCH(2&amp;$B48,'Gastos com Pessoal'!$I$532:$AJ$532&amp;'Gastos com Pessoal'!$I$512:$AJ$512,0),10,1)),0)+_xlfn.IFNA(SUM((T$3&gt;='Gastos com Pessoal'!$E$513:$E$522)*(T$3&lt;='Gastos com Pessoal'!$F$513:$F$522)*(IF('Gastos com Pessoal'!$S$513:$S$522&lt;=T$3,1,0))*OFFSET('Gastos com Pessoal'!$H$512,1,MATCH(3&amp;$B48,'Gastos com Pessoal'!$I$532:$AJ$532&amp;'Gastos com Pessoal'!$I$512:$AJ$512,0),10,1)),0)+_xlfn.IFNA(SUM((T$3&gt;='Gastos com Pessoal'!$E$513:$E$522)*(T$3&lt;='Gastos com Pessoal'!$F$513:$F$522)*(IF('Gastos com Pessoal'!$Y$513:$Y$522&lt;=T$3,1,0))*OFFSET('Gastos com Pessoal'!$H$512,1,MATCH(4&amp;$B48,'Gastos com Pessoal'!$I$532:$AJ$532&amp;'Gastos com Pessoal'!$I$512:$AJ$512,0),10,1)),0)+_xlfn.IFNA(SUM((T$3&gt;='Gastos com Pessoal'!$E$513:$E$522)*(T$3&lt;='Gastos com Pessoal'!$F$513:$F$522)*(IF('Gastos com Pessoal'!$AE$513:$AE$522&lt;=T$3,1,0))*OFFSET('Gastos com Pessoal'!$H$512,1,MATCH(5&amp;$B48,'Gastos com Pessoal'!$I$532:$AJ$532&amp;'Gastos com Pessoal'!$I$512:$AJ$512,0),10,1)),0)</f>
        <v>25856.439999999904</v>
      </c>
      <c r="U48" s="188">
        <f t="array" aca="1" ref="U48" ca="1">_xlfn.IFNA(SUM((U$3&gt;='Gastos com Pessoal'!$E$7:$E$506)*(U$3&lt;='Gastos com Pessoal'!$F$7:$F$506)*OFFSET('Encargos e Benefícios'!$D$5,1,MATCH($B48,'Encargos e Benefícios'!$E$5:$AB$5,0),500,1)),0)+_xlfn.IFNA(SUM((U$3&gt;='Gastos com Pessoal'!$E$513:$E$522)*(U$3&lt;='Gastos com Pessoal'!$F$513:$F$522)*OFFSET('Encargos e Benefícios'!$D$511,1,MATCH($B48,'Encargos e Benefícios'!$E$511:$AB$511,0),10,1)),0)+_xlfn.IFNA(SUM((U$3&gt;='Gastos com Pessoal'!$E$7:$E$506)*(U$3&lt;='Gastos com Pessoal'!$F$7:$F$506)*(IF('Gastos com Pessoal'!$G$7:$G$506&lt;=U$3,1,0))*OFFSET('Gastos com Pessoal'!$H$6,1,MATCH(1&amp;$B48,'Gastos com Pessoal'!$I$532:$AJ$532&amp;'Gastos com Pessoal'!$I$6:$AJ$6,0),500,1)),0)+_xlfn.IFNA(SUM((U$3&gt;='Gastos com Pessoal'!$E$7:$E$506)*(U$3&lt;='Gastos com Pessoal'!$F$7:$F$506)*(IF('Gastos com Pessoal'!$M$7:$M$506&lt;=U$3,1,0))*OFFSET('Gastos com Pessoal'!$H$6,1,MATCH(2&amp;$B48,'Gastos com Pessoal'!$I$532:$AJ$532&amp;'Gastos com Pessoal'!$I$6:$AJ$6,0),500,1)),0)+_xlfn.IFNA(SUM((U$3&gt;='Gastos com Pessoal'!$E$7:$E$506)*(U$3&lt;='Gastos com Pessoal'!$F$7:$F$506)*(IF('Gastos com Pessoal'!$S$7:$S$506&lt;=U$3,1,0))*OFFSET('Gastos com Pessoal'!$H$6,1,MATCH(3&amp;$B48,'Gastos com Pessoal'!$I$532:$AJ$532&amp;'Gastos com Pessoal'!$I$6:$AJ$6,0),500,1)),0)+_xlfn.IFNA(SUM((U$3&gt;='Gastos com Pessoal'!$E$7:$E$506)*(U$3&lt;='Gastos com Pessoal'!$F$7:$F$506)*(IF('Gastos com Pessoal'!$Y$7:$Y$506&lt;=U$3,1,0))*OFFSET('Gastos com Pessoal'!$H$6,1,MATCH(4&amp;$B48,'Gastos com Pessoal'!$I$532:$AJ$532&amp;'Gastos com Pessoal'!$I$6:$AJ$6,0),500,1)),0)+_xlfn.IFNA(SUM((U$3&gt;='Gastos com Pessoal'!$E$7:$E$506)*(U$3&lt;='Gastos com Pessoal'!$F$7:$F$506)*(IF('Gastos com Pessoal'!$AE$7:$AE$506&lt;=U$3,1,0))*OFFSET('Gastos com Pessoal'!$H$6,1,MATCH(5&amp;$B48,'Gastos com Pessoal'!$I$532:$AJ$532&amp;'Gastos com Pessoal'!$I$6:$AJ$6,0),500,1)),0)+_xlfn.IFNA(SUM((U$3&gt;='Gastos com Pessoal'!$E$513:$E$522)*(U$3&lt;='Gastos com Pessoal'!$F$513:$F$522)*(IF('Gastos com Pessoal'!$G$513:$G$522&lt;=U$3,1,0))*OFFSET('Gastos com Pessoal'!$H$512,1,MATCH(1&amp;$B48,'Gastos com Pessoal'!$I$532:$AJ$532&amp;'Gastos com Pessoal'!$I$512:$AJ$512,0),10,1)),0)+_xlfn.IFNA(SUM((U$3&gt;='Gastos com Pessoal'!$E$513:$E$522)*(U$3&lt;='Gastos com Pessoal'!$F$513:$F$522)*(IF('Gastos com Pessoal'!$M$513:$M$522&lt;=U$3,1,0))*OFFSET('Gastos com Pessoal'!$H$512,1,MATCH(2&amp;$B48,'Gastos com Pessoal'!$I$532:$AJ$532&amp;'Gastos com Pessoal'!$I$512:$AJ$512,0),10,1)),0)+_xlfn.IFNA(SUM((U$3&gt;='Gastos com Pessoal'!$E$513:$E$522)*(U$3&lt;='Gastos com Pessoal'!$F$513:$F$522)*(IF('Gastos com Pessoal'!$S$513:$S$522&lt;=U$3,1,0))*OFFSET('Gastos com Pessoal'!$H$512,1,MATCH(3&amp;$B48,'Gastos com Pessoal'!$I$532:$AJ$532&amp;'Gastos com Pessoal'!$I$512:$AJ$512,0),10,1)),0)+_xlfn.IFNA(SUM((U$3&gt;='Gastos com Pessoal'!$E$513:$E$522)*(U$3&lt;='Gastos com Pessoal'!$F$513:$F$522)*(IF('Gastos com Pessoal'!$Y$513:$Y$522&lt;=U$3,1,0))*OFFSET('Gastos com Pessoal'!$H$512,1,MATCH(4&amp;$B48,'Gastos com Pessoal'!$I$532:$AJ$532&amp;'Gastos com Pessoal'!$I$512:$AJ$512,0),10,1)),0)+_xlfn.IFNA(SUM((U$3&gt;='Gastos com Pessoal'!$E$513:$E$522)*(U$3&lt;='Gastos com Pessoal'!$F$513:$F$522)*(IF('Gastos com Pessoal'!$AE$513:$AE$522&lt;=U$3,1,0))*OFFSET('Gastos com Pessoal'!$H$512,1,MATCH(5&amp;$B48,'Gastos com Pessoal'!$I$532:$AJ$532&amp;'Gastos com Pessoal'!$I$512:$AJ$512,0),10,1)),0)</f>
        <v>25856.439999999904</v>
      </c>
      <c r="V48" s="188">
        <f t="array" aca="1" ref="V48" ca="1">_xlfn.IFNA(SUM((V$3&gt;='Gastos com Pessoal'!$E$7:$E$506)*(V$3&lt;='Gastos com Pessoal'!$F$7:$F$506)*OFFSET('Encargos e Benefícios'!$D$5,1,MATCH($B48,'Encargos e Benefícios'!$E$5:$AB$5,0),500,1)),0)+_xlfn.IFNA(SUM((V$3&gt;='Gastos com Pessoal'!$E$513:$E$522)*(V$3&lt;='Gastos com Pessoal'!$F$513:$F$522)*OFFSET('Encargos e Benefícios'!$D$511,1,MATCH($B48,'Encargos e Benefícios'!$E$511:$AB$511,0),10,1)),0)+_xlfn.IFNA(SUM((V$3&gt;='Gastos com Pessoal'!$E$7:$E$506)*(V$3&lt;='Gastos com Pessoal'!$F$7:$F$506)*(IF('Gastos com Pessoal'!$G$7:$G$506&lt;=V$3,1,0))*OFFSET('Gastos com Pessoal'!$H$6,1,MATCH(1&amp;$B48,'Gastos com Pessoal'!$I$532:$AJ$532&amp;'Gastos com Pessoal'!$I$6:$AJ$6,0),500,1)),0)+_xlfn.IFNA(SUM((V$3&gt;='Gastos com Pessoal'!$E$7:$E$506)*(V$3&lt;='Gastos com Pessoal'!$F$7:$F$506)*(IF('Gastos com Pessoal'!$M$7:$M$506&lt;=V$3,1,0))*OFFSET('Gastos com Pessoal'!$H$6,1,MATCH(2&amp;$B48,'Gastos com Pessoal'!$I$532:$AJ$532&amp;'Gastos com Pessoal'!$I$6:$AJ$6,0),500,1)),0)+_xlfn.IFNA(SUM((V$3&gt;='Gastos com Pessoal'!$E$7:$E$506)*(V$3&lt;='Gastos com Pessoal'!$F$7:$F$506)*(IF('Gastos com Pessoal'!$S$7:$S$506&lt;=V$3,1,0))*OFFSET('Gastos com Pessoal'!$H$6,1,MATCH(3&amp;$B48,'Gastos com Pessoal'!$I$532:$AJ$532&amp;'Gastos com Pessoal'!$I$6:$AJ$6,0),500,1)),0)+_xlfn.IFNA(SUM((V$3&gt;='Gastos com Pessoal'!$E$7:$E$506)*(V$3&lt;='Gastos com Pessoal'!$F$7:$F$506)*(IF('Gastos com Pessoal'!$Y$7:$Y$506&lt;=V$3,1,0))*OFFSET('Gastos com Pessoal'!$H$6,1,MATCH(4&amp;$B48,'Gastos com Pessoal'!$I$532:$AJ$532&amp;'Gastos com Pessoal'!$I$6:$AJ$6,0),500,1)),0)+_xlfn.IFNA(SUM((V$3&gt;='Gastos com Pessoal'!$E$7:$E$506)*(V$3&lt;='Gastos com Pessoal'!$F$7:$F$506)*(IF('Gastos com Pessoal'!$AE$7:$AE$506&lt;=V$3,1,0))*OFFSET('Gastos com Pessoal'!$H$6,1,MATCH(5&amp;$B48,'Gastos com Pessoal'!$I$532:$AJ$532&amp;'Gastos com Pessoal'!$I$6:$AJ$6,0),500,1)),0)+_xlfn.IFNA(SUM((V$3&gt;='Gastos com Pessoal'!$E$513:$E$522)*(V$3&lt;='Gastos com Pessoal'!$F$513:$F$522)*(IF('Gastos com Pessoal'!$G$513:$G$522&lt;=V$3,1,0))*OFFSET('Gastos com Pessoal'!$H$512,1,MATCH(1&amp;$B48,'Gastos com Pessoal'!$I$532:$AJ$532&amp;'Gastos com Pessoal'!$I$512:$AJ$512,0),10,1)),0)+_xlfn.IFNA(SUM((V$3&gt;='Gastos com Pessoal'!$E$513:$E$522)*(V$3&lt;='Gastos com Pessoal'!$F$513:$F$522)*(IF('Gastos com Pessoal'!$M$513:$M$522&lt;=V$3,1,0))*OFFSET('Gastos com Pessoal'!$H$512,1,MATCH(2&amp;$B48,'Gastos com Pessoal'!$I$532:$AJ$532&amp;'Gastos com Pessoal'!$I$512:$AJ$512,0),10,1)),0)+_xlfn.IFNA(SUM((V$3&gt;='Gastos com Pessoal'!$E$513:$E$522)*(V$3&lt;='Gastos com Pessoal'!$F$513:$F$522)*(IF('Gastos com Pessoal'!$S$513:$S$522&lt;=V$3,1,0))*OFFSET('Gastos com Pessoal'!$H$512,1,MATCH(3&amp;$B48,'Gastos com Pessoal'!$I$532:$AJ$532&amp;'Gastos com Pessoal'!$I$512:$AJ$512,0),10,1)),0)+_xlfn.IFNA(SUM((V$3&gt;='Gastos com Pessoal'!$E$513:$E$522)*(V$3&lt;='Gastos com Pessoal'!$F$513:$F$522)*(IF('Gastos com Pessoal'!$Y$513:$Y$522&lt;=V$3,1,0))*OFFSET('Gastos com Pessoal'!$H$512,1,MATCH(4&amp;$B48,'Gastos com Pessoal'!$I$532:$AJ$532&amp;'Gastos com Pessoal'!$I$512:$AJ$512,0),10,1)),0)+_xlfn.IFNA(SUM((V$3&gt;='Gastos com Pessoal'!$E$513:$E$522)*(V$3&lt;='Gastos com Pessoal'!$F$513:$F$522)*(IF('Gastos com Pessoal'!$AE$513:$AE$522&lt;=V$3,1,0))*OFFSET('Gastos com Pessoal'!$H$512,1,MATCH(5&amp;$B48,'Gastos com Pessoal'!$I$532:$AJ$532&amp;'Gastos com Pessoal'!$I$512:$AJ$512,0),10,1)),0)</f>
        <v>25856.439999999904</v>
      </c>
      <c r="W48" s="188">
        <f t="array" aca="1" ref="W48" ca="1">_xlfn.IFNA(SUM((W$3&gt;='Gastos com Pessoal'!$E$7:$E$506)*(W$3&lt;='Gastos com Pessoal'!$F$7:$F$506)*OFFSET('Encargos e Benefícios'!$D$5,1,MATCH($B48,'Encargos e Benefícios'!$E$5:$AB$5,0),500,1)),0)+_xlfn.IFNA(SUM((W$3&gt;='Gastos com Pessoal'!$E$513:$E$522)*(W$3&lt;='Gastos com Pessoal'!$F$513:$F$522)*OFFSET('Encargos e Benefícios'!$D$511,1,MATCH($B48,'Encargos e Benefícios'!$E$511:$AB$511,0),10,1)),0)+_xlfn.IFNA(SUM((W$3&gt;='Gastos com Pessoal'!$E$7:$E$506)*(W$3&lt;='Gastos com Pessoal'!$F$7:$F$506)*(IF('Gastos com Pessoal'!$G$7:$G$506&lt;=W$3,1,0))*OFFSET('Gastos com Pessoal'!$H$6,1,MATCH(1&amp;$B48,'Gastos com Pessoal'!$I$532:$AJ$532&amp;'Gastos com Pessoal'!$I$6:$AJ$6,0),500,1)),0)+_xlfn.IFNA(SUM((W$3&gt;='Gastos com Pessoal'!$E$7:$E$506)*(W$3&lt;='Gastos com Pessoal'!$F$7:$F$506)*(IF('Gastos com Pessoal'!$M$7:$M$506&lt;=W$3,1,0))*OFFSET('Gastos com Pessoal'!$H$6,1,MATCH(2&amp;$B48,'Gastos com Pessoal'!$I$532:$AJ$532&amp;'Gastos com Pessoal'!$I$6:$AJ$6,0),500,1)),0)+_xlfn.IFNA(SUM((W$3&gt;='Gastos com Pessoal'!$E$7:$E$506)*(W$3&lt;='Gastos com Pessoal'!$F$7:$F$506)*(IF('Gastos com Pessoal'!$S$7:$S$506&lt;=W$3,1,0))*OFFSET('Gastos com Pessoal'!$H$6,1,MATCH(3&amp;$B48,'Gastos com Pessoal'!$I$532:$AJ$532&amp;'Gastos com Pessoal'!$I$6:$AJ$6,0),500,1)),0)+_xlfn.IFNA(SUM((W$3&gt;='Gastos com Pessoal'!$E$7:$E$506)*(W$3&lt;='Gastos com Pessoal'!$F$7:$F$506)*(IF('Gastos com Pessoal'!$Y$7:$Y$506&lt;=W$3,1,0))*OFFSET('Gastos com Pessoal'!$H$6,1,MATCH(4&amp;$B48,'Gastos com Pessoal'!$I$532:$AJ$532&amp;'Gastos com Pessoal'!$I$6:$AJ$6,0),500,1)),0)+_xlfn.IFNA(SUM((W$3&gt;='Gastos com Pessoal'!$E$7:$E$506)*(W$3&lt;='Gastos com Pessoal'!$F$7:$F$506)*(IF('Gastos com Pessoal'!$AE$7:$AE$506&lt;=W$3,1,0))*OFFSET('Gastos com Pessoal'!$H$6,1,MATCH(5&amp;$B48,'Gastos com Pessoal'!$I$532:$AJ$532&amp;'Gastos com Pessoal'!$I$6:$AJ$6,0),500,1)),0)+_xlfn.IFNA(SUM((W$3&gt;='Gastos com Pessoal'!$E$513:$E$522)*(W$3&lt;='Gastos com Pessoal'!$F$513:$F$522)*(IF('Gastos com Pessoal'!$G$513:$G$522&lt;=W$3,1,0))*OFFSET('Gastos com Pessoal'!$H$512,1,MATCH(1&amp;$B48,'Gastos com Pessoal'!$I$532:$AJ$532&amp;'Gastos com Pessoal'!$I$512:$AJ$512,0),10,1)),0)+_xlfn.IFNA(SUM((W$3&gt;='Gastos com Pessoal'!$E$513:$E$522)*(W$3&lt;='Gastos com Pessoal'!$F$513:$F$522)*(IF('Gastos com Pessoal'!$M$513:$M$522&lt;=W$3,1,0))*OFFSET('Gastos com Pessoal'!$H$512,1,MATCH(2&amp;$B48,'Gastos com Pessoal'!$I$532:$AJ$532&amp;'Gastos com Pessoal'!$I$512:$AJ$512,0),10,1)),0)+_xlfn.IFNA(SUM((W$3&gt;='Gastos com Pessoal'!$E$513:$E$522)*(W$3&lt;='Gastos com Pessoal'!$F$513:$F$522)*(IF('Gastos com Pessoal'!$S$513:$S$522&lt;=W$3,1,0))*OFFSET('Gastos com Pessoal'!$H$512,1,MATCH(3&amp;$B48,'Gastos com Pessoal'!$I$532:$AJ$532&amp;'Gastos com Pessoal'!$I$512:$AJ$512,0),10,1)),0)+_xlfn.IFNA(SUM((W$3&gt;='Gastos com Pessoal'!$E$513:$E$522)*(W$3&lt;='Gastos com Pessoal'!$F$513:$F$522)*(IF('Gastos com Pessoal'!$Y$513:$Y$522&lt;=W$3,1,0))*OFFSET('Gastos com Pessoal'!$H$512,1,MATCH(4&amp;$B48,'Gastos com Pessoal'!$I$532:$AJ$532&amp;'Gastos com Pessoal'!$I$512:$AJ$512,0),10,1)),0)+_xlfn.IFNA(SUM((W$3&gt;='Gastos com Pessoal'!$E$513:$E$522)*(W$3&lt;='Gastos com Pessoal'!$F$513:$F$522)*(IF('Gastos com Pessoal'!$AE$513:$AE$522&lt;=W$3,1,0))*OFFSET('Gastos com Pessoal'!$H$512,1,MATCH(5&amp;$B48,'Gastos com Pessoal'!$I$532:$AJ$532&amp;'Gastos com Pessoal'!$I$512:$AJ$512,0),10,1)),0)</f>
        <v>25856.439999999904</v>
      </c>
      <c r="X48" s="188">
        <f t="array" aca="1" ref="X48" ca="1">_xlfn.IFNA(SUM((X$3&gt;='Gastos com Pessoal'!$E$7:$E$506)*(X$3&lt;='Gastos com Pessoal'!$F$7:$F$506)*OFFSET('Encargos e Benefícios'!$D$5,1,MATCH($B48,'Encargos e Benefícios'!$E$5:$AB$5,0),500,1)),0)+_xlfn.IFNA(SUM((X$3&gt;='Gastos com Pessoal'!$E$513:$E$522)*(X$3&lt;='Gastos com Pessoal'!$F$513:$F$522)*OFFSET('Encargos e Benefícios'!$D$511,1,MATCH($B48,'Encargos e Benefícios'!$E$511:$AB$511,0),10,1)),0)+_xlfn.IFNA(SUM((X$3&gt;='Gastos com Pessoal'!$E$7:$E$506)*(X$3&lt;='Gastos com Pessoal'!$F$7:$F$506)*(IF('Gastos com Pessoal'!$G$7:$G$506&lt;=X$3,1,0))*OFFSET('Gastos com Pessoal'!$H$6,1,MATCH(1&amp;$B48,'Gastos com Pessoal'!$I$532:$AJ$532&amp;'Gastos com Pessoal'!$I$6:$AJ$6,0),500,1)),0)+_xlfn.IFNA(SUM((X$3&gt;='Gastos com Pessoal'!$E$7:$E$506)*(X$3&lt;='Gastos com Pessoal'!$F$7:$F$506)*(IF('Gastos com Pessoal'!$M$7:$M$506&lt;=X$3,1,0))*OFFSET('Gastos com Pessoal'!$H$6,1,MATCH(2&amp;$B48,'Gastos com Pessoal'!$I$532:$AJ$532&amp;'Gastos com Pessoal'!$I$6:$AJ$6,0),500,1)),0)+_xlfn.IFNA(SUM((X$3&gt;='Gastos com Pessoal'!$E$7:$E$506)*(X$3&lt;='Gastos com Pessoal'!$F$7:$F$506)*(IF('Gastos com Pessoal'!$S$7:$S$506&lt;=X$3,1,0))*OFFSET('Gastos com Pessoal'!$H$6,1,MATCH(3&amp;$B48,'Gastos com Pessoal'!$I$532:$AJ$532&amp;'Gastos com Pessoal'!$I$6:$AJ$6,0),500,1)),0)+_xlfn.IFNA(SUM((X$3&gt;='Gastos com Pessoal'!$E$7:$E$506)*(X$3&lt;='Gastos com Pessoal'!$F$7:$F$506)*(IF('Gastos com Pessoal'!$Y$7:$Y$506&lt;=X$3,1,0))*OFFSET('Gastos com Pessoal'!$H$6,1,MATCH(4&amp;$B48,'Gastos com Pessoal'!$I$532:$AJ$532&amp;'Gastos com Pessoal'!$I$6:$AJ$6,0),500,1)),0)+_xlfn.IFNA(SUM((X$3&gt;='Gastos com Pessoal'!$E$7:$E$506)*(X$3&lt;='Gastos com Pessoal'!$F$7:$F$506)*(IF('Gastos com Pessoal'!$AE$7:$AE$506&lt;=X$3,1,0))*OFFSET('Gastos com Pessoal'!$H$6,1,MATCH(5&amp;$B48,'Gastos com Pessoal'!$I$532:$AJ$532&amp;'Gastos com Pessoal'!$I$6:$AJ$6,0),500,1)),0)+_xlfn.IFNA(SUM((X$3&gt;='Gastos com Pessoal'!$E$513:$E$522)*(X$3&lt;='Gastos com Pessoal'!$F$513:$F$522)*(IF('Gastos com Pessoal'!$G$513:$G$522&lt;=X$3,1,0))*OFFSET('Gastos com Pessoal'!$H$512,1,MATCH(1&amp;$B48,'Gastos com Pessoal'!$I$532:$AJ$532&amp;'Gastos com Pessoal'!$I$512:$AJ$512,0),10,1)),0)+_xlfn.IFNA(SUM((X$3&gt;='Gastos com Pessoal'!$E$513:$E$522)*(X$3&lt;='Gastos com Pessoal'!$F$513:$F$522)*(IF('Gastos com Pessoal'!$M$513:$M$522&lt;=X$3,1,0))*OFFSET('Gastos com Pessoal'!$H$512,1,MATCH(2&amp;$B48,'Gastos com Pessoal'!$I$532:$AJ$532&amp;'Gastos com Pessoal'!$I$512:$AJ$512,0),10,1)),0)+_xlfn.IFNA(SUM((X$3&gt;='Gastos com Pessoal'!$E$513:$E$522)*(X$3&lt;='Gastos com Pessoal'!$F$513:$F$522)*(IF('Gastos com Pessoal'!$S$513:$S$522&lt;=X$3,1,0))*OFFSET('Gastos com Pessoal'!$H$512,1,MATCH(3&amp;$B48,'Gastos com Pessoal'!$I$532:$AJ$532&amp;'Gastos com Pessoal'!$I$512:$AJ$512,0),10,1)),0)+_xlfn.IFNA(SUM((X$3&gt;='Gastos com Pessoal'!$E$513:$E$522)*(X$3&lt;='Gastos com Pessoal'!$F$513:$F$522)*(IF('Gastos com Pessoal'!$Y$513:$Y$522&lt;=X$3,1,0))*OFFSET('Gastos com Pessoal'!$H$512,1,MATCH(4&amp;$B48,'Gastos com Pessoal'!$I$532:$AJ$532&amp;'Gastos com Pessoal'!$I$512:$AJ$512,0),10,1)),0)+_xlfn.IFNA(SUM((X$3&gt;='Gastos com Pessoal'!$E$513:$E$522)*(X$3&lt;='Gastos com Pessoal'!$F$513:$F$522)*(IF('Gastos com Pessoal'!$AE$513:$AE$522&lt;=X$3,1,0))*OFFSET('Gastos com Pessoal'!$H$512,1,MATCH(5&amp;$B48,'Gastos com Pessoal'!$I$532:$AJ$532&amp;'Gastos com Pessoal'!$I$512:$AJ$512,0),10,1)),0)</f>
        <v>25856.439999999904</v>
      </c>
      <c r="Y48" s="188">
        <f t="array" aca="1" ref="Y48" ca="1">_xlfn.IFNA(SUM((Y$3&gt;='Gastos com Pessoal'!$E$7:$E$506)*(Y$3&lt;='Gastos com Pessoal'!$F$7:$F$506)*OFFSET('Encargos e Benefícios'!$D$5,1,MATCH($B48,'Encargos e Benefícios'!$E$5:$AB$5,0),500,1)),0)+_xlfn.IFNA(SUM((Y$3&gt;='Gastos com Pessoal'!$E$513:$E$522)*(Y$3&lt;='Gastos com Pessoal'!$F$513:$F$522)*OFFSET('Encargos e Benefícios'!$D$511,1,MATCH($B48,'Encargos e Benefícios'!$E$511:$AB$511,0),10,1)),0)+_xlfn.IFNA(SUM((Y$3&gt;='Gastos com Pessoal'!$E$7:$E$506)*(Y$3&lt;='Gastos com Pessoal'!$F$7:$F$506)*(IF('Gastos com Pessoal'!$G$7:$G$506&lt;=Y$3,1,0))*OFFSET('Gastos com Pessoal'!$H$6,1,MATCH(1&amp;$B48,'Gastos com Pessoal'!$I$532:$AJ$532&amp;'Gastos com Pessoal'!$I$6:$AJ$6,0),500,1)),0)+_xlfn.IFNA(SUM((Y$3&gt;='Gastos com Pessoal'!$E$7:$E$506)*(Y$3&lt;='Gastos com Pessoal'!$F$7:$F$506)*(IF('Gastos com Pessoal'!$M$7:$M$506&lt;=Y$3,1,0))*OFFSET('Gastos com Pessoal'!$H$6,1,MATCH(2&amp;$B48,'Gastos com Pessoal'!$I$532:$AJ$532&amp;'Gastos com Pessoal'!$I$6:$AJ$6,0),500,1)),0)+_xlfn.IFNA(SUM((Y$3&gt;='Gastos com Pessoal'!$E$7:$E$506)*(Y$3&lt;='Gastos com Pessoal'!$F$7:$F$506)*(IF('Gastos com Pessoal'!$S$7:$S$506&lt;=Y$3,1,0))*OFFSET('Gastos com Pessoal'!$H$6,1,MATCH(3&amp;$B48,'Gastos com Pessoal'!$I$532:$AJ$532&amp;'Gastos com Pessoal'!$I$6:$AJ$6,0),500,1)),0)+_xlfn.IFNA(SUM((Y$3&gt;='Gastos com Pessoal'!$E$7:$E$506)*(Y$3&lt;='Gastos com Pessoal'!$F$7:$F$506)*(IF('Gastos com Pessoal'!$Y$7:$Y$506&lt;=Y$3,1,0))*OFFSET('Gastos com Pessoal'!$H$6,1,MATCH(4&amp;$B48,'Gastos com Pessoal'!$I$532:$AJ$532&amp;'Gastos com Pessoal'!$I$6:$AJ$6,0),500,1)),0)+_xlfn.IFNA(SUM((Y$3&gt;='Gastos com Pessoal'!$E$7:$E$506)*(Y$3&lt;='Gastos com Pessoal'!$F$7:$F$506)*(IF('Gastos com Pessoal'!$AE$7:$AE$506&lt;=Y$3,1,0))*OFFSET('Gastos com Pessoal'!$H$6,1,MATCH(5&amp;$B48,'Gastos com Pessoal'!$I$532:$AJ$532&amp;'Gastos com Pessoal'!$I$6:$AJ$6,0),500,1)),0)+_xlfn.IFNA(SUM((Y$3&gt;='Gastos com Pessoal'!$E$513:$E$522)*(Y$3&lt;='Gastos com Pessoal'!$F$513:$F$522)*(IF('Gastos com Pessoal'!$G$513:$G$522&lt;=Y$3,1,0))*OFFSET('Gastos com Pessoal'!$H$512,1,MATCH(1&amp;$B48,'Gastos com Pessoal'!$I$532:$AJ$532&amp;'Gastos com Pessoal'!$I$512:$AJ$512,0),10,1)),0)+_xlfn.IFNA(SUM((Y$3&gt;='Gastos com Pessoal'!$E$513:$E$522)*(Y$3&lt;='Gastos com Pessoal'!$F$513:$F$522)*(IF('Gastos com Pessoal'!$M$513:$M$522&lt;=Y$3,1,0))*OFFSET('Gastos com Pessoal'!$H$512,1,MATCH(2&amp;$B48,'Gastos com Pessoal'!$I$532:$AJ$532&amp;'Gastos com Pessoal'!$I$512:$AJ$512,0),10,1)),0)+_xlfn.IFNA(SUM((Y$3&gt;='Gastos com Pessoal'!$E$513:$E$522)*(Y$3&lt;='Gastos com Pessoal'!$F$513:$F$522)*(IF('Gastos com Pessoal'!$S$513:$S$522&lt;=Y$3,1,0))*OFFSET('Gastos com Pessoal'!$H$512,1,MATCH(3&amp;$B48,'Gastos com Pessoal'!$I$532:$AJ$532&amp;'Gastos com Pessoal'!$I$512:$AJ$512,0),10,1)),0)+_xlfn.IFNA(SUM((Y$3&gt;='Gastos com Pessoal'!$E$513:$E$522)*(Y$3&lt;='Gastos com Pessoal'!$F$513:$F$522)*(IF('Gastos com Pessoal'!$Y$513:$Y$522&lt;=Y$3,1,0))*OFFSET('Gastos com Pessoal'!$H$512,1,MATCH(4&amp;$B48,'Gastos com Pessoal'!$I$532:$AJ$532&amp;'Gastos com Pessoal'!$I$512:$AJ$512,0),10,1)),0)+_xlfn.IFNA(SUM((Y$3&gt;='Gastos com Pessoal'!$E$513:$E$522)*(Y$3&lt;='Gastos com Pessoal'!$F$513:$F$522)*(IF('Gastos com Pessoal'!$AE$513:$AE$522&lt;=Y$3,1,0))*OFFSET('Gastos com Pessoal'!$H$512,1,MATCH(5&amp;$B48,'Gastos com Pessoal'!$I$532:$AJ$532&amp;'Gastos com Pessoal'!$I$512:$AJ$512,0),10,1)),0)</f>
        <v>25856.439999999904</v>
      </c>
      <c r="Z48" s="188">
        <f t="array" aca="1" ref="Z48" ca="1">_xlfn.IFNA(SUM((Z$3&gt;='Gastos com Pessoal'!$E$7:$E$506)*(Z$3&lt;='Gastos com Pessoal'!$F$7:$F$506)*OFFSET('Encargos e Benefícios'!$D$5,1,MATCH($B48,'Encargos e Benefícios'!$E$5:$AB$5,0),500,1)),0)+_xlfn.IFNA(SUM((Z$3&gt;='Gastos com Pessoal'!$E$513:$E$522)*(Z$3&lt;='Gastos com Pessoal'!$F$513:$F$522)*OFFSET('Encargos e Benefícios'!$D$511,1,MATCH($B48,'Encargos e Benefícios'!$E$511:$AB$511,0),10,1)),0)+_xlfn.IFNA(SUM((Z$3&gt;='Gastos com Pessoal'!$E$7:$E$506)*(Z$3&lt;='Gastos com Pessoal'!$F$7:$F$506)*(IF('Gastos com Pessoal'!$G$7:$G$506&lt;=Z$3,1,0))*OFFSET('Gastos com Pessoal'!$H$6,1,MATCH(1&amp;$B48,'Gastos com Pessoal'!$I$532:$AJ$532&amp;'Gastos com Pessoal'!$I$6:$AJ$6,0),500,1)),0)+_xlfn.IFNA(SUM((Z$3&gt;='Gastos com Pessoal'!$E$7:$E$506)*(Z$3&lt;='Gastos com Pessoal'!$F$7:$F$506)*(IF('Gastos com Pessoal'!$M$7:$M$506&lt;=Z$3,1,0))*OFFSET('Gastos com Pessoal'!$H$6,1,MATCH(2&amp;$B48,'Gastos com Pessoal'!$I$532:$AJ$532&amp;'Gastos com Pessoal'!$I$6:$AJ$6,0),500,1)),0)+_xlfn.IFNA(SUM((Z$3&gt;='Gastos com Pessoal'!$E$7:$E$506)*(Z$3&lt;='Gastos com Pessoal'!$F$7:$F$506)*(IF('Gastos com Pessoal'!$S$7:$S$506&lt;=Z$3,1,0))*OFFSET('Gastos com Pessoal'!$H$6,1,MATCH(3&amp;$B48,'Gastos com Pessoal'!$I$532:$AJ$532&amp;'Gastos com Pessoal'!$I$6:$AJ$6,0),500,1)),0)+_xlfn.IFNA(SUM((Z$3&gt;='Gastos com Pessoal'!$E$7:$E$506)*(Z$3&lt;='Gastos com Pessoal'!$F$7:$F$506)*(IF('Gastos com Pessoal'!$Y$7:$Y$506&lt;=Z$3,1,0))*OFFSET('Gastos com Pessoal'!$H$6,1,MATCH(4&amp;$B48,'Gastos com Pessoal'!$I$532:$AJ$532&amp;'Gastos com Pessoal'!$I$6:$AJ$6,0),500,1)),0)+_xlfn.IFNA(SUM((Z$3&gt;='Gastos com Pessoal'!$E$7:$E$506)*(Z$3&lt;='Gastos com Pessoal'!$F$7:$F$506)*(IF('Gastos com Pessoal'!$AE$7:$AE$506&lt;=Z$3,1,0))*OFFSET('Gastos com Pessoal'!$H$6,1,MATCH(5&amp;$B48,'Gastos com Pessoal'!$I$532:$AJ$532&amp;'Gastos com Pessoal'!$I$6:$AJ$6,0),500,1)),0)+_xlfn.IFNA(SUM((Z$3&gt;='Gastos com Pessoal'!$E$513:$E$522)*(Z$3&lt;='Gastos com Pessoal'!$F$513:$F$522)*(IF('Gastos com Pessoal'!$G$513:$G$522&lt;=Z$3,1,0))*OFFSET('Gastos com Pessoal'!$H$512,1,MATCH(1&amp;$B48,'Gastos com Pessoal'!$I$532:$AJ$532&amp;'Gastos com Pessoal'!$I$512:$AJ$512,0),10,1)),0)+_xlfn.IFNA(SUM((Z$3&gt;='Gastos com Pessoal'!$E$513:$E$522)*(Z$3&lt;='Gastos com Pessoal'!$F$513:$F$522)*(IF('Gastos com Pessoal'!$M$513:$M$522&lt;=Z$3,1,0))*OFFSET('Gastos com Pessoal'!$H$512,1,MATCH(2&amp;$B48,'Gastos com Pessoal'!$I$532:$AJ$532&amp;'Gastos com Pessoal'!$I$512:$AJ$512,0),10,1)),0)+_xlfn.IFNA(SUM((Z$3&gt;='Gastos com Pessoal'!$E$513:$E$522)*(Z$3&lt;='Gastos com Pessoal'!$F$513:$F$522)*(IF('Gastos com Pessoal'!$S$513:$S$522&lt;=Z$3,1,0))*OFFSET('Gastos com Pessoal'!$H$512,1,MATCH(3&amp;$B48,'Gastos com Pessoal'!$I$532:$AJ$532&amp;'Gastos com Pessoal'!$I$512:$AJ$512,0),10,1)),0)+_xlfn.IFNA(SUM((Z$3&gt;='Gastos com Pessoal'!$E$513:$E$522)*(Z$3&lt;='Gastos com Pessoal'!$F$513:$F$522)*(IF('Gastos com Pessoal'!$Y$513:$Y$522&lt;=Z$3,1,0))*OFFSET('Gastos com Pessoal'!$H$512,1,MATCH(4&amp;$B48,'Gastos com Pessoal'!$I$532:$AJ$532&amp;'Gastos com Pessoal'!$I$512:$AJ$512,0),10,1)),0)+_xlfn.IFNA(SUM((Z$3&gt;='Gastos com Pessoal'!$E$513:$E$522)*(Z$3&lt;='Gastos com Pessoal'!$F$513:$F$522)*(IF('Gastos com Pessoal'!$AE$513:$AE$522&lt;=Z$3,1,0))*OFFSET('Gastos com Pessoal'!$H$512,1,MATCH(5&amp;$B48,'Gastos com Pessoal'!$I$532:$AJ$532&amp;'Gastos com Pessoal'!$I$512:$AJ$512,0),10,1)),0)</f>
        <v>25856.439999999904</v>
      </c>
      <c r="AA48" s="188">
        <f t="array" aca="1" ref="AA48" ca="1">_xlfn.IFNA(SUM((AA$3&gt;='Gastos com Pessoal'!$E$7:$E$506)*(AA$3&lt;='Gastos com Pessoal'!$F$7:$F$506)*OFFSET('Encargos e Benefícios'!$D$5,1,MATCH($B48,'Encargos e Benefícios'!$E$5:$AB$5,0),500,1)),0)+_xlfn.IFNA(SUM((AA$3&gt;='Gastos com Pessoal'!$E$513:$E$522)*(AA$3&lt;='Gastos com Pessoal'!$F$513:$F$522)*OFFSET('Encargos e Benefícios'!$D$511,1,MATCH($B48,'Encargos e Benefícios'!$E$511:$AB$511,0),10,1)),0)+_xlfn.IFNA(SUM((AA$3&gt;='Gastos com Pessoal'!$E$7:$E$506)*(AA$3&lt;='Gastos com Pessoal'!$F$7:$F$506)*(IF('Gastos com Pessoal'!$G$7:$G$506&lt;=AA$3,1,0))*OFFSET('Gastos com Pessoal'!$H$6,1,MATCH(1&amp;$B48,'Gastos com Pessoal'!$I$532:$AJ$532&amp;'Gastos com Pessoal'!$I$6:$AJ$6,0),500,1)),0)+_xlfn.IFNA(SUM((AA$3&gt;='Gastos com Pessoal'!$E$7:$E$506)*(AA$3&lt;='Gastos com Pessoal'!$F$7:$F$506)*(IF('Gastos com Pessoal'!$M$7:$M$506&lt;=AA$3,1,0))*OFFSET('Gastos com Pessoal'!$H$6,1,MATCH(2&amp;$B48,'Gastos com Pessoal'!$I$532:$AJ$532&amp;'Gastos com Pessoal'!$I$6:$AJ$6,0),500,1)),0)+_xlfn.IFNA(SUM((AA$3&gt;='Gastos com Pessoal'!$E$7:$E$506)*(AA$3&lt;='Gastos com Pessoal'!$F$7:$F$506)*(IF('Gastos com Pessoal'!$S$7:$S$506&lt;=AA$3,1,0))*OFFSET('Gastos com Pessoal'!$H$6,1,MATCH(3&amp;$B48,'Gastos com Pessoal'!$I$532:$AJ$532&amp;'Gastos com Pessoal'!$I$6:$AJ$6,0),500,1)),0)+_xlfn.IFNA(SUM((AA$3&gt;='Gastos com Pessoal'!$E$7:$E$506)*(AA$3&lt;='Gastos com Pessoal'!$F$7:$F$506)*(IF('Gastos com Pessoal'!$Y$7:$Y$506&lt;=AA$3,1,0))*OFFSET('Gastos com Pessoal'!$H$6,1,MATCH(4&amp;$B48,'Gastos com Pessoal'!$I$532:$AJ$532&amp;'Gastos com Pessoal'!$I$6:$AJ$6,0),500,1)),0)+_xlfn.IFNA(SUM((AA$3&gt;='Gastos com Pessoal'!$E$7:$E$506)*(AA$3&lt;='Gastos com Pessoal'!$F$7:$F$506)*(IF('Gastos com Pessoal'!$AE$7:$AE$506&lt;=AA$3,1,0))*OFFSET('Gastos com Pessoal'!$H$6,1,MATCH(5&amp;$B48,'Gastos com Pessoal'!$I$532:$AJ$532&amp;'Gastos com Pessoal'!$I$6:$AJ$6,0),500,1)),0)+_xlfn.IFNA(SUM((AA$3&gt;='Gastos com Pessoal'!$E$513:$E$522)*(AA$3&lt;='Gastos com Pessoal'!$F$513:$F$522)*(IF('Gastos com Pessoal'!$G$513:$G$522&lt;=AA$3,1,0))*OFFSET('Gastos com Pessoal'!$H$512,1,MATCH(1&amp;$B48,'Gastos com Pessoal'!$I$532:$AJ$532&amp;'Gastos com Pessoal'!$I$512:$AJ$512,0),10,1)),0)+_xlfn.IFNA(SUM((AA$3&gt;='Gastos com Pessoal'!$E$513:$E$522)*(AA$3&lt;='Gastos com Pessoal'!$F$513:$F$522)*(IF('Gastos com Pessoal'!$M$513:$M$522&lt;=AA$3,1,0))*OFFSET('Gastos com Pessoal'!$H$512,1,MATCH(2&amp;$B48,'Gastos com Pessoal'!$I$532:$AJ$532&amp;'Gastos com Pessoal'!$I$512:$AJ$512,0),10,1)),0)+_xlfn.IFNA(SUM((AA$3&gt;='Gastos com Pessoal'!$E$513:$E$522)*(AA$3&lt;='Gastos com Pessoal'!$F$513:$F$522)*(IF('Gastos com Pessoal'!$S$513:$S$522&lt;=AA$3,1,0))*OFFSET('Gastos com Pessoal'!$H$512,1,MATCH(3&amp;$B48,'Gastos com Pessoal'!$I$532:$AJ$532&amp;'Gastos com Pessoal'!$I$512:$AJ$512,0),10,1)),0)+_xlfn.IFNA(SUM((AA$3&gt;='Gastos com Pessoal'!$E$513:$E$522)*(AA$3&lt;='Gastos com Pessoal'!$F$513:$F$522)*(IF('Gastos com Pessoal'!$Y$513:$Y$522&lt;=AA$3,1,0))*OFFSET('Gastos com Pessoal'!$H$512,1,MATCH(4&amp;$B48,'Gastos com Pessoal'!$I$532:$AJ$532&amp;'Gastos com Pessoal'!$I$512:$AJ$512,0),10,1)),0)+_xlfn.IFNA(SUM((AA$3&gt;='Gastos com Pessoal'!$E$513:$E$522)*(AA$3&lt;='Gastos com Pessoal'!$F$513:$F$522)*(IF('Gastos com Pessoal'!$AE$513:$AE$522&lt;=AA$3,1,0))*OFFSET('Gastos com Pessoal'!$H$512,1,MATCH(5&amp;$B48,'Gastos com Pessoal'!$I$532:$AJ$532&amp;'Gastos com Pessoal'!$I$512:$AJ$512,0),10,1)),0)</f>
        <v>25856.439999999904</v>
      </c>
      <c r="AB48" s="188">
        <f t="array" aca="1" ref="AB48" ca="1">_xlfn.IFNA(SUM((AB$3&gt;='Gastos com Pessoal'!$E$7:$E$506)*(AB$3&lt;='Gastos com Pessoal'!$F$7:$F$506)*OFFSET('Encargos e Benefícios'!$D$5,1,MATCH($B48,'Encargos e Benefícios'!$E$5:$AB$5,0),500,1)),0)+_xlfn.IFNA(SUM((AB$3&gt;='Gastos com Pessoal'!$E$513:$E$522)*(AB$3&lt;='Gastos com Pessoal'!$F$513:$F$522)*OFFSET('Encargos e Benefícios'!$D$511,1,MATCH($B48,'Encargos e Benefícios'!$E$511:$AB$511,0),10,1)),0)+_xlfn.IFNA(SUM((AB$3&gt;='Gastos com Pessoal'!$E$7:$E$506)*(AB$3&lt;='Gastos com Pessoal'!$F$7:$F$506)*(IF('Gastos com Pessoal'!$G$7:$G$506&lt;=AB$3,1,0))*OFFSET('Gastos com Pessoal'!$H$6,1,MATCH(1&amp;$B48,'Gastos com Pessoal'!$I$532:$AJ$532&amp;'Gastos com Pessoal'!$I$6:$AJ$6,0),500,1)),0)+_xlfn.IFNA(SUM((AB$3&gt;='Gastos com Pessoal'!$E$7:$E$506)*(AB$3&lt;='Gastos com Pessoal'!$F$7:$F$506)*(IF('Gastos com Pessoal'!$M$7:$M$506&lt;=AB$3,1,0))*OFFSET('Gastos com Pessoal'!$H$6,1,MATCH(2&amp;$B48,'Gastos com Pessoal'!$I$532:$AJ$532&amp;'Gastos com Pessoal'!$I$6:$AJ$6,0),500,1)),0)+_xlfn.IFNA(SUM((AB$3&gt;='Gastos com Pessoal'!$E$7:$E$506)*(AB$3&lt;='Gastos com Pessoal'!$F$7:$F$506)*(IF('Gastos com Pessoal'!$S$7:$S$506&lt;=AB$3,1,0))*OFFSET('Gastos com Pessoal'!$H$6,1,MATCH(3&amp;$B48,'Gastos com Pessoal'!$I$532:$AJ$532&amp;'Gastos com Pessoal'!$I$6:$AJ$6,0),500,1)),0)+_xlfn.IFNA(SUM((AB$3&gt;='Gastos com Pessoal'!$E$7:$E$506)*(AB$3&lt;='Gastos com Pessoal'!$F$7:$F$506)*(IF('Gastos com Pessoal'!$Y$7:$Y$506&lt;=AB$3,1,0))*OFFSET('Gastos com Pessoal'!$H$6,1,MATCH(4&amp;$B48,'Gastos com Pessoal'!$I$532:$AJ$532&amp;'Gastos com Pessoal'!$I$6:$AJ$6,0),500,1)),0)+_xlfn.IFNA(SUM((AB$3&gt;='Gastos com Pessoal'!$E$7:$E$506)*(AB$3&lt;='Gastos com Pessoal'!$F$7:$F$506)*(IF('Gastos com Pessoal'!$AE$7:$AE$506&lt;=AB$3,1,0))*OFFSET('Gastos com Pessoal'!$H$6,1,MATCH(5&amp;$B48,'Gastos com Pessoal'!$I$532:$AJ$532&amp;'Gastos com Pessoal'!$I$6:$AJ$6,0),500,1)),0)+_xlfn.IFNA(SUM((AB$3&gt;='Gastos com Pessoal'!$E$513:$E$522)*(AB$3&lt;='Gastos com Pessoal'!$F$513:$F$522)*(IF('Gastos com Pessoal'!$G$513:$G$522&lt;=AB$3,1,0))*OFFSET('Gastos com Pessoal'!$H$512,1,MATCH(1&amp;$B48,'Gastos com Pessoal'!$I$532:$AJ$532&amp;'Gastos com Pessoal'!$I$512:$AJ$512,0),10,1)),0)+_xlfn.IFNA(SUM((AB$3&gt;='Gastos com Pessoal'!$E$513:$E$522)*(AB$3&lt;='Gastos com Pessoal'!$F$513:$F$522)*(IF('Gastos com Pessoal'!$M$513:$M$522&lt;=AB$3,1,0))*OFFSET('Gastos com Pessoal'!$H$512,1,MATCH(2&amp;$B48,'Gastos com Pessoal'!$I$532:$AJ$532&amp;'Gastos com Pessoal'!$I$512:$AJ$512,0),10,1)),0)+_xlfn.IFNA(SUM((AB$3&gt;='Gastos com Pessoal'!$E$513:$E$522)*(AB$3&lt;='Gastos com Pessoal'!$F$513:$F$522)*(IF('Gastos com Pessoal'!$S$513:$S$522&lt;=AB$3,1,0))*OFFSET('Gastos com Pessoal'!$H$512,1,MATCH(3&amp;$B48,'Gastos com Pessoal'!$I$532:$AJ$532&amp;'Gastos com Pessoal'!$I$512:$AJ$512,0),10,1)),0)+_xlfn.IFNA(SUM((AB$3&gt;='Gastos com Pessoal'!$E$513:$E$522)*(AB$3&lt;='Gastos com Pessoal'!$F$513:$F$522)*(IF('Gastos com Pessoal'!$Y$513:$Y$522&lt;=AB$3,1,0))*OFFSET('Gastos com Pessoal'!$H$512,1,MATCH(4&amp;$B48,'Gastos com Pessoal'!$I$532:$AJ$532&amp;'Gastos com Pessoal'!$I$512:$AJ$512,0),10,1)),0)+_xlfn.IFNA(SUM((AB$3&gt;='Gastos com Pessoal'!$E$513:$E$522)*(AB$3&lt;='Gastos com Pessoal'!$F$513:$F$522)*(IF('Gastos com Pessoal'!$AE$513:$AE$522&lt;=AB$3,1,0))*OFFSET('Gastos com Pessoal'!$H$512,1,MATCH(5&amp;$B48,'Gastos com Pessoal'!$I$532:$AJ$532&amp;'Gastos com Pessoal'!$I$512:$AJ$512,0),10,1)),0)</f>
        <v>25856.439999999904</v>
      </c>
      <c r="AC48" s="188">
        <f t="array" aca="1" ref="AC48" ca="1">_xlfn.IFNA(SUM((AC$3&gt;='Gastos com Pessoal'!$E$7:$E$506)*(AC$3&lt;='Gastos com Pessoal'!$F$7:$F$506)*OFFSET('Encargos e Benefícios'!$D$5,1,MATCH($B48,'Encargos e Benefícios'!$E$5:$AB$5,0),500,1)),0)+_xlfn.IFNA(SUM((AC$3&gt;='Gastos com Pessoal'!$E$513:$E$522)*(AC$3&lt;='Gastos com Pessoal'!$F$513:$F$522)*OFFSET('Encargos e Benefícios'!$D$511,1,MATCH($B48,'Encargos e Benefícios'!$E$511:$AB$511,0),10,1)),0)+_xlfn.IFNA(SUM((AC$3&gt;='Gastos com Pessoal'!$E$7:$E$506)*(AC$3&lt;='Gastos com Pessoal'!$F$7:$F$506)*(IF('Gastos com Pessoal'!$G$7:$G$506&lt;=AC$3,1,0))*OFFSET('Gastos com Pessoal'!$H$6,1,MATCH(1&amp;$B48,'Gastos com Pessoal'!$I$532:$AJ$532&amp;'Gastos com Pessoal'!$I$6:$AJ$6,0),500,1)),0)+_xlfn.IFNA(SUM((AC$3&gt;='Gastos com Pessoal'!$E$7:$E$506)*(AC$3&lt;='Gastos com Pessoal'!$F$7:$F$506)*(IF('Gastos com Pessoal'!$M$7:$M$506&lt;=AC$3,1,0))*OFFSET('Gastos com Pessoal'!$H$6,1,MATCH(2&amp;$B48,'Gastos com Pessoal'!$I$532:$AJ$532&amp;'Gastos com Pessoal'!$I$6:$AJ$6,0),500,1)),0)+_xlfn.IFNA(SUM((AC$3&gt;='Gastos com Pessoal'!$E$7:$E$506)*(AC$3&lt;='Gastos com Pessoal'!$F$7:$F$506)*(IF('Gastos com Pessoal'!$S$7:$S$506&lt;=AC$3,1,0))*OFFSET('Gastos com Pessoal'!$H$6,1,MATCH(3&amp;$B48,'Gastos com Pessoal'!$I$532:$AJ$532&amp;'Gastos com Pessoal'!$I$6:$AJ$6,0),500,1)),0)+_xlfn.IFNA(SUM((AC$3&gt;='Gastos com Pessoal'!$E$7:$E$506)*(AC$3&lt;='Gastos com Pessoal'!$F$7:$F$506)*(IF('Gastos com Pessoal'!$Y$7:$Y$506&lt;=AC$3,1,0))*OFFSET('Gastos com Pessoal'!$H$6,1,MATCH(4&amp;$B48,'Gastos com Pessoal'!$I$532:$AJ$532&amp;'Gastos com Pessoal'!$I$6:$AJ$6,0),500,1)),0)+_xlfn.IFNA(SUM((AC$3&gt;='Gastos com Pessoal'!$E$7:$E$506)*(AC$3&lt;='Gastos com Pessoal'!$F$7:$F$506)*(IF('Gastos com Pessoal'!$AE$7:$AE$506&lt;=AC$3,1,0))*OFFSET('Gastos com Pessoal'!$H$6,1,MATCH(5&amp;$B48,'Gastos com Pessoal'!$I$532:$AJ$532&amp;'Gastos com Pessoal'!$I$6:$AJ$6,0),500,1)),0)+_xlfn.IFNA(SUM((AC$3&gt;='Gastos com Pessoal'!$E$513:$E$522)*(AC$3&lt;='Gastos com Pessoal'!$F$513:$F$522)*(IF('Gastos com Pessoal'!$G$513:$G$522&lt;=AC$3,1,0))*OFFSET('Gastos com Pessoal'!$H$512,1,MATCH(1&amp;$B48,'Gastos com Pessoal'!$I$532:$AJ$532&amp;'Gastos com Pessoal'!$I$512:$AJ$512,0),10,1)),0)+_xlfn.IFNA(SUM((AC$3&gt;='Gastos com Pessoal'!$E$513:$E$522)*(AC$3&lt;='Gastos com Pessoal'!$F$513:$F$522)*(IF('Gastos com Pessoal'!$M$513:$M$522&lt;=AC$3,1,0))*OFFSET('Gastos com Pessoal'!$H$512,1,MATCH(2&amp;$B48,'Gastos com Pessoal'!$I$532:$AJ$532&amp;'Gastos com Pessoal'!$I$512:$AJ$512,0),10,1)),0)+_xlfn.IFNA(SUM((AC$3&gt;='Gastos com Pessoal'!$E$513:$E$522)*(AC$3&lt;='Gastos com Pessoal'!$F$513:$F$522)*(IF('Gastos com Pessoal'!$S$513:$S$522&lt;=AC$3,1,0))*OFFSET('Gastos com Pessoal'!$H$512,1,MATCH(3&amp;$B48,'Gastos com Pessoal'!$I$532:$AJ$532&amp;'Gastos com Pessoal'!$I$512:$AJ$512,0),10,1)),0)+_xlfn.IFNA(SUM((AC$3&gt;='Gastos com Pessoal'!$E$513:$E$522)*(AC$3&lt;='Gastos com Pessoal'!$F$513:$F$522)*(IF('Gastos com Pessoal'!$Y$513:$Y$522&lt;=AC$3,1,0))*OFFSET('Gastos com Pessoal'!$H$512,1,MATCH(4&amp;$B48,'Gastos com Pessoal'!$I$532:$AJ$532&amp;'Gastos com Pessoal'!$I$512:$AJ$512,0),10,1)),0)+_xlfn.IFNA(SUM((AC$3&gt;='Gastos com Pessoal'!$E$513:$E$522)*(AC$3&lt;='Gastos com Pessoal'!$F$513:$F$522)*(IF('Gastos com Pessoal'!$AE$513:$AE$522&lt;=AC$3,1,0))*OFFSET('Gastos com Pessoal'!$H$512,1,MATCH(5&amp;$B48,'Gastos com Pessoal'!$I$532:$AJ$532&amp;'Gastos com Pessoal'!$I$512:$AJ$512,0),10,1)),0)</f>
        <v>25856.439999999904</v>
      </c>
      <c r="AD48" s="188">
        <f t="array" aca="1" ref="AD48" ca="1">_xlfn.IFNA(SUM((AD$3&gt;='Gastos com Pessoal'!$E$7:$E$506)*(AD$3&lt;='Gastos com Pessoal'!$F$7:$F$506)*OFFSET('Encargos e Benefícios'!$D$5,1,MATCH($B48,'Encargos e Benefícios'!$E$5:$AB$5,0),500,1)),0)+_xlfn.IFNA(SUM((AD$3&gt;='Gastos com Pessoal'!$E$513:$E$522)*(AD$3&lt;='Gastos com Pessoal'!$F$513:$F$522)*OFFSET('Encargos e Benefícios'!$D$511,1,MATCH($B48,'Encargos e Benefícios'!$E$511:$AB$511,0),10,1)),0)+_xlfn.IFNA(SUM((AD$3&gt;='Gastos com Pessoal'!$E$7:$E$506)*(AD$3&lt;='Gastos com Pessoal'!$F$7:$F$506)*(IF('Gastos com Pessoal'!$G$7:$G$506&lt;=AD$3,1,0))*OFFSET('Gastos com Pessoal'!$H$6,1,MATCH(1&amp;$B48,'Gastos com Pessoal'!$I$532:$AJ$532&amp;'Gastos com Pessoal'!$I$6:$AJ$6,0),500,1)),0)+_xlfn.IFNA(SUM((AD$3&gt;='Gastos com Pessoal'!$E$7:$E$506)*(AD$3&lt;='Gastos com Pessoal'!$F$7:$F$506)*(IF('Gastos com Pessoal'!$M$7:$M$506&lt;=AD$3,1,0))*OFFSET('Gastos com Pessoal'!$H$6,1,MATCH(2&amp;$B48,'Gastos com Pessoal'!$I$532:$AJ$532&amp;'Gastos com Pessoal'!$I$6:$AJ$6,0),500,1)),0)+_xlfn.IFNA(SUM((AD$3&gt;='Gastos com Pessoal'!$E$7:$E$506)*(AD$3&lt;='Gastos com Pessoal'!$F$7:$F$506)*(IF('Gastos com Pessoal'!$S$7:$S$506&lt;=AD$3,1,0))*OFFSET('Gastos com Pessoal'!$H$6,1,MATCH(3&amp;$B48,'Gastos com Pessoal'!$I$532:$AJ$532&amp;'Gastos com Pessoal'!$I$6:$AJ$6,0),500,1)),0)+_xlfn.IFNA(SUM((AD$3&gt;='Gastos com Pessoal'!$E$7:$E$506)*(AD$3&lt;='Gastos com Pessoal'!$F$7:$F$506)*(IF('Gastos com Pessoal'!$Y$7:$Y$506&lt;=AD$3,1,0))*OFFSET('Gastos com Pessoal'!$H$6,1,MATCH(4&amp;$B48,'Gastos com Pessoal'!$I$532:$AJ$532&amp;'Gastos com Pessoal'!$I$6:$AJ$6,0),500,1)),0)+_xlfn.IFNA(SUM((AD$3&gt;='Gastos com Pessoal'!$E$7:$E$506)*(AD$3&lt;='Gastos com Pessoal'!$F$7:$F$506)*(IF('Gastos com Pessoal'!$AE$7:$AE$506&lt;=AD$3,1,0))*OFFSET('Gastos com Pessoal'!$H$6,1,MATCH(5&amp;$B48,'Gastos com Pessoal'!$I$532:$AJ$532&amp;'Gastos com Pessoal'!$I$6:$AJ$6,0),500,1)),0)+_xlfn.IFNA(SUM((AD$3&gt;='Gastos com Pessoal'!$E$513:$E$522)*(AD$3&lt;='Gastos com Pessoal'!$F$513:$F$522)*(IF('Gastos com Pessoal'!$G$513:$G$522&lt;=AD$3,1,0))*OFFSET('Gastos com Pessoal'!$H$512,1,MATCH(1&amp;$B48,'Gastos com Pessoal'!$I$532:$AJ$532&amp;'Gastos com Pessoal'!$I$512:$AJ$512,0),10,1)),0)+_xlfn.IFNA(SUM((AD$3&gt;='Gastos com Pessoal'!$E$513:$E$522)*(AD$3&lt;='Gastos com Pessoal'!$F$513:$F$522)*(IF('Gastos com Pessoal'!$M$513:$M$522&lt;=AD$3,1,0))*OFFSET('Gastos com Pessoal'!$H$512,1,MATCH(2&amp;$B48,'Gastos com Pessoal'!$I$532:$AJ$532&amp;'Gastos com Pessoal'!$I$512:$AJ$512,0),10,1)),0)+_xlfn.IFNA(SUM((AD$3&gt;='Gastos com Pessoal'!$E$513:$E$522)*(AD$3&lt;='Gastos com Pessoal'!$F$513:$F$522)*(IF('Gastos com Pessoal'!$S$513:$S$522&lt;=AD$3,1,0))*OFFSET('Gastos com Pessoal'!$H$512,1,MATCH(3&amp;$B48,'Gastos com Pessoal'!$I$532:$AJ$532&amp;'Gastos com Pessoal'!$I$512:$AJ$512,0),10,1)),0)+_xlfn.IFNA(SUM((AD$3&gt;='Gastos com Pessoal'!$E$513:$E$522)*(AD$3&lt;='Gastos com Pessoal'!$F$513:$F$522)*(IF('Gastos com Pessoal'!$Y$513:$Y$522&lt;=AD$3,1,0))*OFFSET('Gastos com Pessoal'!$H$512,1,MATCH(4&amp;$B48,'Gastos com Pessoal'!$I$532:$AJ$532&amp;'Gastos com Pessoal'!$I$512:$AJ$512,0),10,1)),0)+_xlfn.IFNA(SUM((AD$3&gt;='Gastos com Pessoal'!$E$513:$E$522)*(AD$3&lt;='Gastos com Pessoal'!$F$513:$F$522)*(IF('Gastos com Pessoal'!$AE$513:$AE$522&lt;=AD$3,1,0))*OFFSET('Gastos com Pessoal'!$H$512,1,MATCH(5&amp;$B48,'Gastos com Pessoal'!$I$532:$AJ$532&amp;'Gastos com Pessoal'!$I$512:$AJ$512,0),10,1)),0)</f>
        <v>25856.439999999904</v>
      </c>
      <c r="AE48" s="188">
        <f t="array" aca="1" ref="AE48" ca="1">_xlfn.IFNA(SUM((AE$3&gt;='Gastos com Pessoal'!$E$7:$E$506)*(AE$3&lt;='Gastos com Pessoal'!$F$7:$F$506)*OFFSET('Encargos e Benefícios'!$D$5,1,MATCH($B48,'Encargos e Benefícios'!$E$5:$AB$5,0),500,1)),0)+_xlfn.IFNA(SUM((AE$3&gt;='Gastos com Pessoal'!$E$513:$E$522)*(AE$3&lt;='Gastos com Pessoal'!$F$513:$F$522)*OFFSET('Encargos e Benefícios'!$D$511,1,MATCH($B48,'Encargos e Benefícios'!$E$511:$AB$511,0),10,1)),0)+_xlfn.IFNA(SUM((AE$3&gt;='Gastos com Pessoal'!$E$7:$E$506)*(AE$3&lt;='Gastos com Pessoal'!$F$7:$F$506)*(IF('Gastos com Pessoal'!$G$7:$G$506&lt;=AE$3,1,0))*OFFSET('Gastos com Pessoal'!$H$6,1,MATCH(1&amp;$B48,'Gastos com Pessoal'!$I$532:$AJ$532&amp;'Gastos com Pessoal'!$I$6:$AJ$6,0),500,1)),0)+_xlfn.IFNA(SUM((AE$3&gt;='Gastos com Pessoal'!$E$7:$E$506)*(AE$3&lt;='Gastos com Pessoal'!$F$7:$F$506)*(IF('Gastos com Pessoal'!$M$7:$M$506&lt;=AE$3,1,0))*OFFSET('Gastos com Pessoal'!$H$6,1,MATCH(2&amp;$B48,'Gastos com Pessoal'!$I$532:$AJ$532&amp;'Gastos com Pessoal'!$I$6:$AJ$6,0),500,1)),0)+_xlfn.IFNA(SUM((AE$3&gt;='Gastos com Pessoal'!$E$7:$E$506)*(AE$3&lt;='Gastos com Pessoal'!$F$7:$F$506)*(IF('Gastos com Pessoal'!$S$7:$S$506&lt;=AE$3,1,0))*OFFSET('Gastos com Pessoal'!$H$6,1,MATCH(3&amp;$B48,'Gastos com Pessoal'!$I$532:$AJ$532&amp;'Gastos com Pessoal'!$I$6:$AJ$6,0),500,1)),0)+_xlfn.IFNA(SUM((AE$3&gt;='Gastos com Pessoal'!$E$7:$E$506)*(AE$3&lt;='Gastos com Pessoal'!$F$7:$F$506)*(IF('Gastos com Pessoal'!$Y$7:$Y$506&lt;=AE$3,1,0))*OFFSET('Gastos com Pessoal'!$H$6,1,MATCH(4&amp;$B48,'Gastos com Pessoal'!$I$532:$AJ$532&amp;'Gastos com Pessoal'!$I$6:$AJ$6,0),500,1)),0)+_xlfn.IFNA(SUM((AE$3&gt;='Gastos com Pessoal'!$E$7:$E$506)*(AE$3&lt;='Gastos com Pessoal'!$F$7:$F$506)*(IF('Gastos com Pessoal'!$AE$7:$AE$506&lt;=AE$3,1,0))*OFFSET('Gastos com Pessoal'!$H$6,1,MATCH(5&amp;$B48,'Gastos com Pessoal'!$I$532:$AJ$532&amp;'Gastos com Pessoal'!$I$6:$AJ$6,0),500,1)),0)+_xlfn.IFNA(SUM((AE$3&gt;='Gastos com Pessoal'!$E$513:$E$522)*(AE$3&lt;='Gastos com Pessoal'!$F$513:$F$522)*(IF('Gastos com Pessoal'!$G$513:$G$522&lt;=AE$3,1,0))*OFFSET('Gastos com Pessoal'!$H$512,1,MATCH(1&amp;$B48,'Gastos com Pessoal'!$I$532:$AJ$532&amp;'Gastos com Pessoal'!$I$512:$AJ$512,0),10,1)),0)+_xlfn.IFNA(SUM((AE$3&gt;='Gastos com Pessoal'!$E$513:$E$522)*(AE$3&lt;='Gastos com Pessoal'!$F$513:$F$522)*(IF('Gastos com Pessoal'!$M$513:$M$522&lt;=AE$3,1,0))*OFFSET('Gastos com Pessoal'!$H$512,1,MATCH(2&amp;$B48,'Gastos com Pessoal'!$I$532:$AJ$532&amp;'Gastos com Pessoal'!$I$512:$AJ$512,0),10,1)),0)+_xlfn.IFNA(SUM((AE$3&gt;='Gastos com Pessoal'!$E$513:$E$522)*(AE$3&lt;='Gastos com Pessoal'!$F$513:$F$522)*(IF('Gastos com Pessoal'!$S$513:$S$522&lt;=AE$3,1,0))*OFFSET('Gastos com Pessoal'!$H$512,1,MATCH(3&amp;$B48,'Gastos com Pessoal'!$I$532:$AJ$532&amp;'Gastos com Pessoal'!$I$512:$AJ$512,0),10,1)),0)+_xlfn.IFNA(SUM((AE$3&gt;='Gastos com Pessoal'!$E$513:$E$522)*(AE$3&lt;='Gastos com Pessoal'!$F$513:$F$522)*(IF('Gastos com Pessoal'!$Y$513:$Y$522&lt;=AE$3,1,0))*OFFSET('Gastos com Pessoal'!$H$512,1,MATCH(4&amp;$B48,'Gastos com Pessoal'!$I$532:$AJ$532&amp;'Gastos com Pessoal'!$I$512:$AJ$512,0),10,1)),0)+_xlfn.IFNA(SUM((AE$3&gt;='Gastos com Pessoal'!$E$513:$E$522)*(AE$3&lt;='Gastos com Pessoal'!$F$513:$F$522)*(IF('Gastos com Pessoal'!$AE$513:$AE$522&lt;=AE$3,1,0))*OFFSET('Gastos com Pessoal'!$H$512,1,MATCH(5&amp;$B48,'Gastos com Pessoal'!$I$532:$AJ$532&amp;'Gastos com Pessoal'!$I$512:$AJ$512,0),10,1)),0)</f>
        <v>25856.439999999904</v>
      </c>
      <c r="AF48" s="188">
        <f t="array" aca="1" ref="AF48" ca="1">_xlfn.IFNA(SUM((AF$3&gt;='Gastos com Pessoal'!$E$7:$E$506)*(AF$3&lt;='Gastos com Pessoal'!$F$7:$F$506)*OFFSET('Encargos e Benefícios'!$D$5,1,MATCH($B48,'Encargos e Benefícios'!$E$5:$AB$5,0),500,1)),0)+_xlfn.IFNA(SUM((AF$3&gt;='Gastos com Pessoal'!$E$513:$E$522)*(AF$3&lt;='Gastos com Pessoal'!$F$513:$F$522)*OFFSET('Encargos e Benefícios'!$D$511,1,MATCH($B48,'Encargos e Benefícios'!$E$511:$AB$511,0),10,1)),0)+_xlfn.IFNA(SUM((AF$3&gt;='Gastos com Pessoal'!$E$7:$E$506)*(AF$3&lt;='Gastos com Pessoal'!$F$7:$F$506)*(IF('Gastos com Pessoal'!$G$7:$G$506&lt;=AF$3,1,0))*OFFSET('Gastos com Pessoal'!$H$6,1,MATCH(1&amp;$B48,'Gastos com Pessoal'!$I$532:$AJ$532&amp;'Gastos com Pessoal'!$I$6:$AJ$6,0),500,1)),0)+_xlfn.IFNA(SUM((AF$3&gt;='Gastos com Pessoal'!$E$7:$E$506)*(AF$3&lt;='Gastos com Pessoal'!$F$7:$F$506)*(IF('Gastos com Pessoal'!$M$7:$M$506&lt;=AF$3,1,0))*OFFSET('Gastos com Pessoal'!$H$6,1,MATCH(2&amp;$B48,'Gastos com Pessoal'!$I$532:$AJ$532&amp;'Gastos com Pessoal'!$I$6:$AJ$6,0),500,1)),0)+_xlfn.IFNA(SUM((AF$3&gt;='Gastos com Pessoal'!$E$7:$E$506)*(AF$3&lt;='Gastos com Pessoal'!$F$7:$F$506)*(IF('Gastos com Pessoal'!$S$7:$S$506&lt;=AF$3,1,0))*OFFSET('Gastos com Pessoal'!$H$6,1,MATCH(3&amp;$B48,'Gastos com Pessoal'!$I$532:$AJ$532&amp;'Gastos com Pessoal'!$I$6:$AJ$6,0),500,1)),0)+_xlfn.IFNA(SUM((AF$3&gt;='Gastos com Pessoal'!$E$7:$E$506)*(AF$3&lt;='Gastos com Pessoal'!$F$7:$F$506)*(IF('Gastos com Pessoal'!$Y$7:$Y$506&lt;=AF$3,1,0))*OFFSET('Gastos com Pessoal'!$H$6,1,MATCH(4&amp;$B48,'Gastos com Pessoal'!$I$532:$AJ$532&amp;'Gastos com Pessoal'!$I$6:$AJ$6,0),500,1)),0)+_xlfn.IFNA(SUM((AF$3&gt;='Gastos com Pessoal'!$E$7:$E$506)*(AF$3&lt;='Gastos com Pessoal'!$F$7:$F$506)*(IF('Gastos com Pessoal'!$AE$7:$AE$506&lt;=AF$3,1,0))*OFFSET('Gastos com Pessoal'!$H$6,1,MATCH(5&amp;$B48,'Gastos com Pessoal'!$I$532:$AJ$532&amp;'Gastos com Pessoal'!$I$6:$AJ$6,0),500,1)),0)+_xlfn.IFNA(SUM((AF$3&gt;='Gastos com Pessoal'!$E$513:$E$522)*(AF$3&lt;='Gastos com Pessoal'!$F$513:$F$522)*(IF('Gastos com Pessoal'!$G$513:$G$522&lt;=AF$3,1,0))*OFFSET('Gastos com Pessoal'!$H$512,1,MATCH(1&amp;$B48,'Gastos com Pessoal'!$I$532:$AJ$532&amp;'Gastos com Pessoal'!$I$512:$AJ$512,0),10,1)),0)+_xlfn.IFNA(SUM((AF$3&gt;='Gastos com Pessoal'!$E$513:$E$522)*(AF$3&lt;='Gastos com Pessoal'!$F$513:$F$522)*(IF('Gastos com Pessoal'!$M$513:$M$522&lt;=AF$3,1,0))*OFFSET('Gastos com Pessoal'!$H$512,1,MATCH(2&amp;$B48,'Gastos com Pessoal'!$I$532:$AJ$532&amp;'Gastos com Pessoal'!$I$512:$AJ$512,0),10,1)),0)+_xlfn.IFNA(SUM((AF$3&gt;='Gastos com Pessoal'!$E$513:$E$522)*(AF$3&lt;='Gastos com Pessoal'!$F$513:$F$522)*(IF('Gastos com Pessoal'!$S$513:$S$522&lt;=AF$3,1,0))*OFFSET('Gastos com Pessoal'!$H$512,1,MATCH(3&amp;$B48,'Gastos com Pessoal'!$I$532:$AJ$532&amp;'Gastos com Pessoal'!$I$512:$AJ$512,0),10,1)),0)+_xlfn.IFNA(SUM((AF$3&gt;='Gastos com Pessoal'!$E$513:$E$522)*(AF$3&lt;='Gastos com Pessoal'!$F$513:$F$522)*(IF('Gastos com Pessoal'!$Y$513:$Y$522&lt;=AF$3,1,0))*OFFSET('Gastos com Pessoal'!$H$512,1,MATCH(4&amp;$B48,'Gastos com Pessoal'!$I$532:$AJ$532&amp;'Gastos com Pessoal'!$I$512:$AJ$512,0),10,1)),0)+_xlfn.IFNA(SUM((AF$3&gt;='Gastos com Pessoal'!$E$513:$E$522)*(AF$3&lt;='Gastos com Pessoal'!$F$513:$F$522)*(IF('Gastos com Pessoal'!$AE$513:$AE$522&lt;=AF$3,1,0))*OFFSET('Gastos com Pessoal'!$H$512,1,MATCH(5&amp;$B48,'Gastos com Pessoal'!$I$532:$AJ$532&amp;'Gastos com Pessoal'!$I$512:$AJ$512,0),10,1)),0)</f>
        <v>25856.439999999904</v>
      </c>
      <c r="AG48" s="188">
        <f t="array" aca="1" ref="AG48" ca="1">_xlfn.IFNA(SUM((AG$3&gt;='Gastos com Pessoal'!$E$7:$E$506)*(AG$3&lt;='Gastos com Pessoal'!$F$7:$F$506)*OFFSET('Encargos e Benefícios'!$D$5,1,MATCH($B48,'Encargos e Benefícios'!$E$5:$AB$5,0),500,1)),0)+_xlfn.IFNA(SUM((AG$3&gt;='Gastos com Pessoal'!$E$513:$E$522)*(AG$3&lt;='Gastos com Pessoal'!$F$513:$F$522)*OFFSET('Encargos e Benefícios'!$D$511,1,MATCH($B48,'Encargos e Benefícios'!$E$511:$AB$511,0),10,1)),0)+_xlfn.IFNA(SUM((AG$3&gt;='Gastos com Pessoal'!$E$7:$E$506)*(AG$3&lt;='Gastos com Pessoal'!$F$7:$F$506)*(IF('Gastos com Pessoal'!$G$7:$G$506&lt;=AG$3,1,0))*OFFSET('Gastos com Pessoal'!$H$6,1,MATCH(1&amp;$B48,'Gastos com Pessoal'!$I$532:$AJ$532&amp;'Gastos com Pessoal'!$I$6:$AJ$6,0),500,1)),0)+_xlfn.IFNA(SUM((AG$3&gt;='Gastos com Pessoal'!$E$7:$E$506)*(AG$3&lt;='Gastos com Pessoal'!$F$7:$F$506)*(IF('Gastos com Pessoal'!$M$7:$M$506&lt;=AG$3,1,0))*OFFSET('Gastos com Pessoal'!$H$6,1,MATCH(2&amp;$B48,'Gastos com Pessoal'!$I$532:$AJ$532&amp;'Gastos com Pessoal'!$I$6:$AJ$6,0),500,1)),0)+_xlfn.IFNA(SUM((AG$3&gt;='Gastos com Pessoal'!$E$7:$E$506)*(AG$3&lt;='Gastos com Pessoal'!$F$7:$F$506)*(IF('Gastos com Pessoal'!$S$7:$S$506&lt;=AG$3,1,0))*OFFSET('Gastos com Pessoal'!$H$6,1,MATCH(3&amp;$B48,'Gastos com Pessoal'!$I$532:$AJ$532&amp;'Gastos com Pessoal'!$I$6:$AJ$6,0),500,1)),0)+_xlfn.IFNA(SUM((AG$3&gt;='Gastos com Pessoal'!$E$7:$E$506)*(AG$3&lt;='Gastos com Pessoal'!$F$7:$F$506)*(IF('Gastos com Pessoal'!$Y$7:$Y$506&lt;=AG$3,1,0))*OFFSET('Gastos com Pessoal'!$H$6,1,MATCH(4&amp;$B48,'Gastos com Pessoal'!$I$532:$AJ$532&amp;'Gastos com Pessoal'!$I$6:$AJ$6,0),500,1)),0)+_xlfn.IFNA(SUM((AG$3&gt;='Gastos com Pessoal'!$E$7:$E$506)*(AG$3&lt;='Gastos com Pessoal'!$F$7:$F$506)*(IF('Gastos com Pessoal'!$AE$7:$AE$506&lt;=AG$3,1,0))*OFFSET('Gastos com Pessoal'!$H$6,1,MATCH(5&amp;$B48,'Gastos com Pessoal'!$I$532:$AJ$532&amp;'Gastos com Pessoal'!$I$6:$AJ$6,0),500,1)),0)+_xlfn.IFNA(SUM((AG$3&gt;='Gastos com Pessoal'!$E$513:$E$522)*(AG$3&lt;='Gastos com Pessoal'!$F$513:$F$522)*(IF('Gastos com Pessoal'!$G$513:$G$522&lt;=AG$3,1,0))*OFFSET('Gastos com Pessoal'!$H$512,1,MATCH(1&amp;$B48,'Gastos com Pessoal'!$I$532:$AJ$532&amp;'Gastos com Pessoal'!$I$512:$AJ$512,0),10,1)),0)+_xlfn.IFNA(SUM((AG$3&gt;='Gastos com Pessoal'!$E$513:$E$522)*(AG$3&lt;='Gastos com Pessoal'!$F$513:$F$522)*(IF('Gastos com Pessoal'!$M$513:$M$522&lt;=AG$3,1,0))*OFFSET('Gastos com Pessoal'!$H$512,1,MATCH(2&amp;$B48,'Gastos com Pessoal'!$I$532:$AJ$532&amp;'Gastos com Pessoal'!$I$512:$AJ$512,0),10,1)),0)+_xlfn.IFNA(SUM((AG$3&gt;='Gastos com Pessoal'!$E$513:$E$522)*(AG$3&lt;='Gastos com Pessoal'!$F$513:$F$522)*(IF('Gastos com Pessoal'!$S$513:$S$522&lt;=AG$3,1,0))*OFFSET('Gastos com Pessoal'!$H$512,1,MATCH(3&amp;$B48,'Gastos com Pessoal'!$I$532:$AJ$532&amp;'Gastos com Pessoal'!$I$512:$AJ$512,0),10,1)),0)+_xlfn.IFNA(SUM((AG$3&gt;='Gastos com Pessoal'!$E$513:$E$522)*(AG$3&lt;='Gastos com Pessoal'!$F$513:$F$522)*(IF('Gastos com Pessoal'!$Y$513:$Y$522&lt;=AG$3,1,0))*OFFSET('Gastos com Pessoal'!$H$512,1,MATCH(4&amp;$B48,'Gastos com Pessoal'!$I$532:$AJ$532&amp;'Gastos com Pessoal'!$I$512:$AJ$512,0),10,1)),0)+_xlfn.IFNA(SUM((AG$3&gt;='Gastos com Pessoal'!$E$513:$E$522)*(AG$3&lt;='Gastos com Pessoal'!$F$513:$F$522)*(IF('Gastos com Pessoal'!$AE$513:$AE$522&lt;=AG$3,1,0))*OFFSET('Gastos com Pessoal'!$H$512,1,MATCH(5&amp;$B48,'Gastos com Pessoal'!$I$532:$AJ$532&amp;'Gastos com Pessoal'!$I$512:$AJ$512,0),10,1)),0)</f>
        <v>25856.439999999904</v>
      </c>
      <c r="AH48" s="188">
        <f t="array" aca="1" ref="AH48" ca="1">_xlfn.IFNA(SUM((AH$3&gt;='Gastos com Pessoal'!$E$7:$E$506)*(AH$3&lt;='Gastos com Pessoal'!$F$7:$F$506)*OFFSET('Encargos e Benefícios'!$D$5,1,MATCH($B48,'Encargos e Benefícios'!$E$5:$AB$5,0),500,1)),0)+_xlfn.IFNA(SUM((AH$3&gt;='Gastos com Pessoal'!$E$513:$E$522)*(AH$3&lt;='Gastos com Pessoal'!$F$513:$F$522)*OFFSET('Encargos e Benefícios'!$D$511,1,MATCH($B48,'Encargos e Benefícios'!$E$511:$AB$511,0),10,1)),0)+_xlfn.IFNA(SUM((AH$3&gt;='Gastos com Pessoal'!$E$7:$E$506)*(AH$3&lt;='Gastos com Pessoal'!$F$7:$F$506)*(IF('Gastos com Pessoal'!$G$7:$G$506&lt;=AH$3,1,0))*OFFSET('Gastos com Pessoal'!$H$6,1,MATCH(1&amp;$B48,'Gastos com Pessoal'!$I$532:$AJ$532&amp;'Gastos com Pessoal'!$I$6:$AJ$6,0),500,1)),0)+_xlfn.IFNA(SUM((AH$3&gt;='Gastos com Pessoal'!$E$7:$E$506)*(AH$3&lt;='Gastos com Pessoal'!$F$7:$F$506)*(IF('Gastos com Pessoal'!$M$7:$M$506&lt;=AH$3,1,0))*OFFSET('Gastos com Pessoal'!$H$6,1,MATCH(2&amp;$B48,'Gastos com Pessoal'!$I$532:$AJ$532&amp;'Gastos com Pessoal'!$I$6:$AJ$6,0),500,1)),0)+_xlfn.IFNA(SUM((AH$3&gt;='Gastos com Pessoal'!$E$7:$E$506)*(AH$3&lt;='Gastos com Pessoal'!$F$7:$F$506)*(IF('Gastos com Pessoal'!$S$7:$S$506&lt;=AH$3,1,0))*OFFSET('Gastos com Pessoal'!$H$6,1,MATCH(3&amp;$B48,'Gastos com Pessoal'!$I$532:$AJ$532&amp;'Gastos com Pessoal'!$I$6:$AJ$6,0),500,1)),0)+_xlfn.IFNA(SUM((AH$3&gt;='Gastos com Pessoal'!$E$7:$E$506)*(AH$3&lt;='Gastos com Pessoal'!$F$7:$F$506)*(IF('Gastos com Pessoal'!$Y$7:$Y$506&lt;=AH$3,1,0))*OFFSET('Gastos com Pessoal'!$H$6,1,MATCH(4&amp;$B48,'Gastos com Pessoal'!$I$532:$AJ$532&amp;'Gastos com Pessoal'!$I$6:$AJ$6,0),500,1)),0)+_xlfn.IFNA(SUM((AH$3&gt;='Gastos com Pessoal'!$E$7:$E$506)*(AH$3&lt;='Gastos com Pessoal'!$F$7:$F$506)*(IF('Gastos com Pessoal'!$AE$7:$AE$506&lt;=AH$3,1,0))*OFFSET('Gastos com Pessoal'!$H$6,1,MATCH(5&amp;$B48,'Gastos com Pessoal'!$I$532:$AJ$532&amp;'Gastos com Pessoal'!$I$6:$AJ$6,0),500,1)),0)+_xlfn.IFNA(SUM((AH$3&gt;='Gastos com Pessoal'!$E$513:$E$522)*(AH$3&lt;='Gastos com Pessoal'!$F$513:$F$522)*(IF('Gastos com Pessoal'!$G$513:$G$522&lt;=AH$3,1,0))*OFFSET('Gastos com Pessoal'!$H$512,1,MATCH(1&amp;$B48,'Gastos com Pessoal'!$I$532:$AJ$532&amp;'Gastos com Pessoal'!$I$512:$AJ$512,0),10,1)),0)+_xlfn.IFNA(SUM((AH$3&gt;='Gastos com Pessoal'!$E$513:$E$522)*(AH$3&lt;='Gastos com Pessoal'!$F$513:$F$522)*(IF('Gastos com Pessoal'!$M$513:$M$522&lt;=AH$3,1,0))*OFFSET('Gastos com Pessoal'!$H$512,1,MATCH(2&amp;$B48,'Gastos com Pessoal'!$I$532:$AJ$532&amp;'Gastos com Pessoal'!$I$512:$AJ$512,0),10,1)),0)+_xlfn.IFNA(SUM((AH$3&gt;='Gastos com Pessoal'!$E$513:$E$522)*(AH$3&lt;='Gastos com Pessoal'!$F$513:$F$522)*(IF('Gastos com Pessoal'!$S$513:$S$522&lt;=AH$3,1,0))*OFFSET('Gastos com Pessoal'!$H$512,1,MATCH(3&amp;$B48,'Gastos com Pessoal'!$I$532:$AJ$532&amp;'Gastos com Pessoal'!$I$512:$AJ$512,0),10,1)),0)+_xlfn.IFNA(SUM((AH$3&gt;='Gastos com Pessoal'!$E$513:$E$522)*(AH$3&lt;='Gastos com Pessoal'!$F$513:$F$522)*(IF('Gastos com Pessoal'!$Y$513:$Y$522&lt;=AH$3,1,0))*OFFSET('Gastos com Pessoal'!$H$512,1,MATCH(4&amp;$B48,'Gastos com Pessoal'!$I$532:$AJ$532&amp;'Gastos com Pessoal'!$I$512:$AJ$512,0),10,1)),0)+_xlfn.IFNA(SUM((AH$3&gt;='Gastos com Pessoal'!$E$513:$E$522)*(AH$3&lt;='Gastos com Pessoal'!$F$513:$F$522)*(IF('Gastos com Pessoal'!$AE$513:$AE$522&lt;=AH$3,1,0))*OFFSET('Gastos com Pessoal'!$H$512,1,MATCH(5&amp;$B48,'Gastos com Pessoal'!$I$532:$AJ$532&amp;'Gastos com Pessoal'!$I$512:$AJ$512,0),10,1)),0)</f>
        <v>25856.439999999904</v>
      </c>
      <c r="AI48" s="188">
        <f t="array" aca="1" ref="AI48" ca="1">_xlfn.IFNA(SUM((AI$3&gt;='Gastos com Pessoal'!$E$7:$E$506)*(AI$3&lt;='Gastos com Pessoal'!$F$7:$F$506)*OFFSET('Encargos e Benefícios'!$D$5,1,MATCH($B48,'Encargos e Benefícios'!$E$5:$AB$5,0),500,1)),0)+_xlfn.IFNA(SUM((AI$3&gt;='Gastos com Pessoal'!$E$513:$E$522)*(AI$3&lt;='Gastos com Pessoal'!$F$513:$F$522)*OFFSET('Encargos e Benefícios'!$D$511,1,MATCH($B48,'Encargos e Benefícios'!$E$511:$AB$511,0),10,1)),0)+_xlfn.IFNA(SUM((AI$3&gt;='Gastos com Pessoal'!$E$7:$E$506)*(AI$3&lt;='Gastos com Pessoal'!$F$7:$F$506)*(IF('Gastos com Pessoal'!$G$7:$G$506&lt;=AI$3,1,0))*OFFSET('Gastos com Pessoal'!$H$6,1,MATCH(1&amp;$B48,'Gastos com Pessoal'!$I$532:$AJ$532&amp;'Gastos com Pessoal'!$I$6:$AJ$6,0),500,1)),0)+_xlfn.IFNA(SUM((AI$3&gt;='Gastos com Pessoal'!$E$7:$E$506)*(AI$3&lt;='Gastos com Pessoal'!$F$7:$F$506)*(IF('Gastos com Pessoal'!$M$7:$M$506&lt;=AI$3,1,0))*OFFSET('Gastos com Pessoal'!$H$6,1,MATCH(2&amp;$B48,'Gastos com Pessoal'!$I$532:$AJ$532&amp;'Gastos com Pessoal'!$I$6:$AJ$6,0),500,1)),0)+_xlfn.IFNA(SUM((AI$3&gt;='Gastos com Pessoal'!$E$7:$E$506)*(AI$3&lt;='Gastos com Pessoal'!$F$7:$F$506)*(IF('Gastos com Pessoal'!$S$7:$S$506&lt;=AI$3,1,0))*OFFSET('Gastos com Pessoal'!$H$6,1,MATCH(3&amp;$B48,'Gastos com Pessoal'!$I$532:$AJ$532&amp;'Gastos com Pessoal'!$I$6:$AJ$6,0),500,1)),0)+_xlfn.IFNA(SUM((AI$3&gt;='Gastos com Pessoal'!$E$7:$E$506)*(AI$3&lt;='Gastos com Pessoal'!$F$7:$F$506)*(IF('Gastos com Pessoal'!$Y$7:$Y$506&lt;=AI$3,1,0))*OFFSET('Gastos com Pessoal'!$H$6,1,MATCH(4&amp;$B48,'Gastos com Pessoal'!$I$532:$AJ$532&amp;'Gastos com Pessoal'!$I$6:$AJ$6,0),500,1)),0)+_xlfn.IFNA(SUM((AI$3&gt;='Gastos com Pessoal'!$E$7:$E$506)*(AI$3&lt;='Gastos com Pessoal'!$F$7:$F$506)*(IF('Gastos com Pessoal'!$AE$7:$AE$506&lt;=AI$3,1,0))*OFFSET('Gastos com Pessoal'!$H$6,1,MATCH(5&amp;$B48,'Gastos com Pessoal'!$I$532:$AJ$532&amp;'Gastos com Pessoal'!$I$6:$AJ$6,0),500,1)),0)+_xlfn.IFNA(SUM((AI$3&gt;='Gastos com Pessoal'!$E$513:$E$522)*(AI$3&lt;='Gastos com Pessoal'!$F$513:$F$522)*(IF('Gastos com Pessoal'!$G$513:$G$522&lt;=AI$3,1,0))*OFFSET('Gastos com Pessoal'!$H$512,1,MATCH(1&amp;$B48,'Gastos com Pessoal'!$I$532:$AJ$532&amp;'Gastos com Pessoal'!$I$512:$AJ$512,0),10,1)),0)+_xlfn.IFNA(SUM((AI$3&gt;='Gastos com Pessoal'!$E$513:$E$522)*(AI$3&lt;='Gastos com Pessoal'!$F$513:$F$522)*(IF('Gastos com Pessoal'!$M$513:$M$522&lt;=AI$3,1,0))*OFFSET('Gastos com Pessoal'!$H$512,1,MATCH(2&amp;$B48,'Gastos com Pessoal'!$I$532:$AJ$532&amp;'Gastos com Pessoal'!$I$512:$AJ$512,0),10,1)),0)+_xlfn.IFNA(SUM((AI$3&gt;='Gastos com Pessoal'!$E$513:$E$522)*(AI$3&lt;='Gastos com Pessoal'!$F$513:$F$522)*(IF('Gastos com Pessoal'!$S$513:$S$522&lt;=AI$3,1,0))*OFFSET('Gastos com Pessoal'!$H$512,1,MATCH(3&amp;$B48,'Gastos com Pessoal'!$I$532:$AJ$532&amp;'Gastos com Pessoal'!$I$512:$AJ$512,0),10,1)),0)+_xlfn.IFNA(SUM((AI$3&gt;='Gastos com Pessoal'!$E$513:$E$522)*(AI$3&lt;='Gastos com Pessoal'!$F$513:$F$522)*(IF('Gastos com Pessoal'!$Y$513:$Y$522&lt;=AI$3,1,0))*OFFSET('Gastos com Pessoal'!$H$512,1,MATCH(4&amp;$B48,'Gastos com Pessoal'!$I$532:$AJ$532&amp;'Gastos com Pessoal'!$I$512:$AJ$512,0),10,1)),0)+_xlfn.IFNA(SUM((AI$3&gt;='Gastos com Pessoal'!$E$513:$E$522)*(AI$3&lt;='Gastos com Pessoal'!$F$513:$F$522)*(IF('Gastos com Pessoal'!$AE$513:$AE$522&lt;=AI$3,1,0))*OFFSET('Gastos com Pessoal'!$H$512,1,MATCH(5&amp;$B48,'Gastos com Pessoal'!$I$532:$AJ$532&amp;'Gastos com Pessoal'!$I$512:$AJ$512,0),10,1)),0)</f>
        <v>25856.439999999904</v>
      </c>
      <c r="AJ48" s="188">
        <f t="array" aca="1" ref="AJ48" ca="1">_xlfn.IFNA(SUM((AJ$3&gt;='Gastos com Pessoal'!$E$7:$E$506)*(AJ$3&lt;='Gastos com Pessoal'!$F$7:$F$506)*OFFSET('Encargos e Benefícios'!$D$5,1,MATCH($B48,'Encargos e Benefícios'!$E$5:$AB$5,0),500,1)),0)+_xlfn.IFNA(SUM((AJ$3&gt;='Gastos com Pessoal'!$E$513:$E$522)*(AJ$3&lt;='Gastos com Pessoal'!$F$513:$F$522)*OFFSET('Encargos e Benefícios'!$D$511,1,MATCH($B48,'Encargos e Benefícios'!$E$511:$AB$511,0),10,1)),0)+_xlfn.IFNA(SUM((AJ$3&gt;='Gastos com Pessoal'!$E$7:$E$506)*(AJ$3&lt;='Gastos com Pessoal'!$F$7:$F$506)*(IF('Gastos com Pessoal'!$G$7:$G$506&lt;=AJ$3,1,0))*OFFSET('Gastos com Pessoal'!$H$6,1,MATCH(1&amp;$B48,'Gastos com Pessoal'!$I$532:$AJ$532&amp;'Gastos com Pessoal'!$I$6:$AJ$6,0),500,1)),0)+_xlfn.IFNA(SUM((AJ$3&gt;='Gastos com Pessoal'!$E$7:$E$506)*(AJ$3&lt;='Gastos com Pessoal'!$F$7:$F$506)*(IF('Gastos com Pessoal'!$M$7:$M$506&lt;=AJ$3,1,0))*OFFSET('Gastos com Pessoal'!$H$6,1,MATCH(2&amp;$B48,'Gastos com Pessoal'!$I$532:$AJ$532&amp;'Gastos com Pessoal'!$I$6:$AJ$6,0),500,1)),0)+_xlfn.IFNA(SUM((AJ$3&gt;='Gastos com Pessoal'!$E$7:$E$506)*(AJ$3&lt;='Gastos com Pessoal'!$F$7:$F$506)*(IF('Gastos com Pessoal'!$S$7:$S$506&lt;=AJ$3,1,0))*OFFSET('Gastos com Pessoal'!$H$6,1,MATCH(3&amp;$B48,'Gastos com Pessoal'!$I$532:$AJ$532&amp;'Gastos com Pessoal'!$I$6:$AJ$6,0),500,1)),0)+_xlfn.IFNA(SUM((AJ$3&gt;='Gastos com Pessoal'!$E$7:$E$506)*(AJ$3&lt;='Gastos com Pessoal'!$F$7:$F$506)*(IF('Gastos com Pessoal'!$Y$7:$Y$506&lt;=AJ$3,1,0))*OFFSET('Gastos com Pessoal'!$H$6,1,MATCH(4&amp;$B48,'Gastos com Pessoal'!$I$532:$AJ$532&amp;'Gastos com Pessoal'!$I$6:$AJ$6,0),500,1)),0)+_xlfn.IFNA(SUM((AJ$3&gt;='Gastos com Pessoal'!$E$7:$E$506)*(AJ$3&lt;='Gastos com Pessoal'!$F$7:$F$506)*(IF('Gastos com Pessoal'!$AE$7:$AE$506&lt;=AJ$3,1,0))*OFFSET('Gastos com Pessoal'!$H$6,1,MATCH(5&amp;$B48,'Gastos com Pessoal'!$I$532:$AJ$532&amp;'Gastos com Pessoal'!$I$6:$AJ$6,0),500,1)),0)+_xlfn.IFNA(SUM((AJ$3&gt;='Gastos com Pessoal'!$E$513:$E$522)*(AJ$3&lt;='Gastos com Pessoal'!$F$513:$F$522)*(IF('Gastos com Pessoal'!$G$513:$G$522&lt;=AJ$3,1,0))*OFFSET('Gastos com Pessoal'!$H$512,1,MATCH(1&amp;$B48,'Gastos com Pessoal'!$I$532:$AJ$532&amp;'Gastos com Pessoal'!$I$512:$AJ$512,0),10,1)),0)+_xlfn.IFNA(SUM((AJ$3&gt;='Gastos com Pessoal'!$E$513:$E$522)*(AJ$3&lt;='Gastos com Pessoal'!$F$513:$F$522)*(IF('Gastos com Pessoal'!$M$513:$M$522&lt;=AJ$3,1,0))*OFFSET('Gastos com Pessoal'!$H$512,1,MATCH(2&amp;$B48,'Gastos com Pessoal'!$I$532:$AJ$532&amp;'Gastos com Pessoal'!$I$512:$AJ$512,0),10,1)),0)+_xlfn.IFNA(SUM((AJ$3&gt;='Gastos com Pessoal'!$E$513:$E$522)*(AJ$3&lt;='Gastos com Pessoal'!$F$513:$F$522)*(IF('Gastos com Pessoal'!$S$513:$S$522&lt;=AJ$3,1,0))*OFFSET('Gastos com Pessoal'!$H$512,1,MATCH(3&amp;$B48,'Gastos com Pessoal'!$I$532:$AJ$532&amp;'Gastos com Pessoal'!$I$512:$AJ$512,0),10,1)),0)+_xlfn.IFNA(SUM((AJ$3&gt;='Gastos com Pessoal'!$E$513:$E$522)*(AJ$3&lt;='Gastos com Pessoal'!$F$513:$F$522)*(IF('Gastos com Pessoal'!$Y$513:$Y$522&lt;=AJ$3,1,0))*OFFSET('Gastos com Pessoal'!$H$512,1,MATCH(4&amp;$B48,'Gastos com Pessoal'!$I$532:$AJ$532&amp;'Gastos com Pessoal'!$I$512:$AJ$512,0),10,1)),0)+_xlfn.IFNA(SUM((AJ$3&gt;='Gastos com Pessoal'!$E$513:$E$522)*(AJ$3&lt;='Gastos com Pessoal'!$F$513:$F$522)*(IF('Gastos com Pessoal'!$AE$513:$AE$522&lt;=AJ$3,1,0))*OFFSET('Gastos com Pessoal'!$H$512,1,MATCH(5&amp;$B48,'Gastos com Pessoal'!$I$532:$AJ$532&amp;'Gastos com Pessoal'!$I$512:$AJ$512,0),10,1)),0)</f>
        <v>25856.439999999904</v>
      </c>
      <c r="AK48" s="188">
        <f t="array" aca="1" ref="AK48" ca="1">_xlfn.IFNA(SUM((AK$3&gt;='Gastos com Pessoal'!$E$7:$E$506)*(AK$3&lt;='Gastos com Pessoal'!$F$7:$F$506)*OFFSET('Encargos e Benefícios'!$D$5,1,MATCH($B48,'Encargos e Benefícios'!$E$5:$AB$5,0),500,1)),0)+_xlfn.IFNA(SUM((AK$3&gt;='Gastos com Pessoal'!$E$513:$E$522)*(AK$3&lt;='Gastos com Pessoal'!$F$513:$F$522)*OFFSET('Encargos e Benefícios'!$D$511,1,MATCH($B48,'Encargos e Benefícios'!$E$511:$AB$511,0),10,1)),0)+_xlfn.IFNA(SUM((AK$3&gt;='Gastos com Pessoal'!$E$7:$E$506)*(AK$3&lt;='Gastos com Pessoal'!$F$7:$F$506)*(IF('Gastos com Pessoal'!$G$7:$G$506&lt;=AK$3,1,0))*OFFSET('Gastos com Pessoal'!$H$6,1,MATCH(1&amp;$B48,'Gastos com Pessoal'!$I$532:$AJ$532&amp;'Gastos com Pessoal'!$I$6:$AJ$6,0),500,1)),0)+_xlfn.IFNA(SUM((AK$3&gt;='Gastos com Pessoal'!$E$7:$E$506)*(AK$3&lt;='Gastos com Pessoal'!$F$7:$F$506)*(IF('Gastos com Pessoal'!$M$7:$M$506&lt;=AK$3,1,0))*OFFSET('Gastos com Pessoal'!$H$6,1,MATCH(2&amp;$B48,'Gastos com Pessoal'!$I$532:$AJ$532&amp;'Gastos com Pessoal'!$I$6:$AJ$6,0),500,1)),0)+_xlfn.IFNA(SUM((AK$3&gt;='Gastos com Pessoal'!$E$7:$E$506)*(AK$3&lt;='Gastos com Pessoal'!$F$7:$F$506)*(IF('Gastos com Pessoal'!$S$7:$S$506&lt;=AK$3,1,0))*OFFSET('Gastos com Pessoal'!$H$6,1,MATCH(3&amp;$B48,'Gastos com Pessoal'!$I$532:$AJ$532&amp;'Gastos com Pessoal'!$I$6:$AJ$6,0),500,1)),0)+_xlfn.IFNA(SUM((AK$3&gt;='Gastos com Pessoal'!$E$7:$E$506)*(AK$3&lt;='Gastos com Pessoal'!$F$7:$F$506)*(IF('Gastos com Pessoal'!$Y$7:$Y$506&lt;=AK$3,1,0))*OFFSET('Gastos com Pessoal'!$H$6,1,MATCH(4&amp;$B48,'Gastos com Pessoal'!$I$532:$AJ$532&amp;'Gastos com Pessoal'!$I$6:$AJ$6,0),500,1)),0)+_xlfn.IFNA(SUM((AK$3&gt;='Gastos com Pessoal'!$E$7:$E$506)*(AK$3&lt;='Gastos com Pessoal'!$F$7:$F$506)*(IF('Gastos com Pessoal'!$AE$7:$AE$506&lt;=AK$3,1,0))*OFFSET('Gastos com Pessoal'!$H$6,1,MATCH(5&amp;$B48,'Gastos com Pessoal'!$I$532:$AJ$532&amp;'Gastos com Pessoal'!$I$6:$AJ$6,0),500,1)),0)+_xlfn.IFNA(SUM((AK$3&gt;='Gastos com Pessoal'!$E$513:$E$522)*(AK$3&lt;='Gastos com Pessoal'!$F$513:$F$522)*(IF('Gastos com Pessoal'!$G$513:$G$522&lt;=AK$3,1,0))*OFFSET('Gastos com Pessoal'!$H$512,1,MATCH(1&amp;$B48,'Gastos com Pessoal'!$I$532:$AJ$532&amp;'Gastos com Pessoal'!$I$512:$AJ$512,0),10,1)),0)+_xlfn.IFNA(SUM((AK$3&gt;='Gastos com Pessoal'!$E$513:$E$522)*(AK$3&lt;='Gastos com Pessoal'!$F$513:$F$522)*(IF('Gastos com Pessoal'!$M$513:$M$522&lt;=AK$3,1,0))*OFFSET('Gastos com Pessoal'!$H$512,1,MATCH(2&amp;$B48,'Gastos com Pessoal'!$I$532:$AJ$532&amp;'Gastos com Pessoal'!$I$512:$AJ$512,0),10,1)),0)+_xlfn.IFNA(SUM((AK$3&gt;='Gastos com Pessoal'!$E$513:$E$522)*(AK$3&lt;='Gastos com Pessoal'!$F$513:$F$522)*(IF('Gastos com Pessoal'!$S$513:$S$522&lt;=AK$3,1,0))*OFFSET('Gastos com Pessoal'!$H$512,1,MATCH(3&amp;$B48,'Gastos com Pessoal'!$I$532:$AJ$532&amp;'Gastos com Pessoal'!$I$512:$AJ$512,0),10,1)),0)+_xlfn.IFNA(SUM((AK$3&gt;='Gastos com Pessoal'!$E$513:$E$522)*(AK$3&lt;='Gastos com Pessoal'!$F$513:$F$522)*(IF('Gastos com Pessoal'!$Y$513:$Y$522&lt;=AK$3,1,0))*OFFSET('Gastos com Pessoal'!$H$512,1,MATCH(4&amp;$B48,'Gastos com Pessoal'!$I$532:$AJ$532&amp;'Gastos com Pessoal'!$I$512:$AJ$512,0),10,1)),0)+_xlfn.IFNA(SUM((AK$3&gt;='Gastos com Pessoal'!$E$513:$E$522)*(AK$3&lt;='Gastos com Pessoal'!$F$513:$F$522)*(IF('Gastos com Pessoal'!$AE$513:$AE$522&lt;=AK$3,1,0))*OFFSET('Gastos com Pessoal'!$H$512,1,MATCH(5&amp;$B48,'Gastos com Pessoal'!$I$532:$AJ$532&amp;'Gastos com Pessoal'!$I$512:$AJ$512,0),10,1)),0)</f>
        <v>25856.439999999904</v>
      </c>
      <c r="AL48" s="188">
        <f t="array" aca="1" ref="AL48" ca="1">_xlfn.IFNA(SUM((AL$3&gt;='Gastos com Pessoal'!$E$7:$E$506)*(AL$3&lt;='Gastos com Pessoal'!$F$7:$F$506)*OFFSET('Encargos e Benefícios'!$D$5,1,MATCH($B48,'Encargos e Benefícios'!$E$5:$AB$5,0),500,1)),0)+_xlfn.IFNA(SUM((AL$3&gt;='Gastos com Pessoal'!$E$513:$E$522)*(AL$3&lt;='Gastos com Pessoal'!$F$513:$F$522)*OFFSET('Encargos e Benefícios'!$D$511,1,MATCH($B48,'Encargos e Benefícios'!$E$511:$AB$511,0),10,1)),0)+_xlfn.IFNA(SUM((AL$3&gt;='Gastos com Pessoal'!$E$7:$E$506)*(AL$3&lt;='Gastos com Pessoal'!$F$7:$F$506)*(IF('Gastos com Pessoal'!$G$7:$G$506&lt;=AL$3,1,0))*OFFSET('Gastos com Pessoal'!$H$6,1,MATCH(1&amp;$B48,'Gastos com Pessoal'!$I$532:$AJ$532&amp;'Gastos com Pessoal'!$I$6:$AJ$6,0),500,1)),0)+_xlfn.IFNA(SUM((AL$3&gt;='Gastos com Pessoal'!$E$7:$E$506)*(AL$3&lt;='Gastos com Pessoal'!$F$7:$F$506)*(IF('Gastos com Pessoal'!$M$7:$M$506&lt;=AL$3,1,0))*OFFSET('Gastos com Pessoal'!$H$6,1,MATCH(2&amp;$B48,'Gastos com Pessoal'!$I$532:$AJ$532&amp;'Gastos com Pessoal'!$I$6:$AJ$6,0),500,1)),0)+_xlfn.IFNA(SUM((AL$3&gt;='Gastos com Pessoal'!$E$7:$E$506)*(AL$3&lt;='Gastos com Pessoal'!$F$7:$F$506)*(IF('Gastos com Pessoal'!$S$7:$S$506&lt;=AL$3,1,0))*OFFSET('Gastos com Pessoal'!$H$6,1,MATCH(3&amp;$B48,'Gastos com Pessoal'!$I$532:$AJ$532&amp;'Gastos com Pessoal'!$I$6:$AJ$6,0),500,1)),0)+_xlfn.IFNA(SUM((AL$3&gt;='Gastos com Pessoal'!$E$7:$E$506)*(AL$3&lt;='Gastos com Pessoal'!$F$7:$F$506)*(IF('Gastos com Pessoal'!$Y$7:$Y$506&lt;=AL$3,1,0))*OFFSET('Gastos com Pessoal'!$H$6,1,MATCH(4&amp;$B48,'Gastos com Pessoal'!$I$532:$AJ$532&amp;'Gastos com Pessoal'!$I$6:$AJ$6,0),500,1)),0)+_xlfn.IFNA(SUM((AL$3&gt;='Gastos com Pessoal'!$E$7:$E$506)*(AL$3&lt;='Gastos com Pessoal'!$F$7:$F$506)*(IF('Gastos com Pessoal'!$AE$7:$AE$506&lt;=AL$3,1,0))*OFFSET('Gastos com Pessoal'!$H$6,1,MATCH(5&amp;$B48,'Gastos com Pessoal'!$I$532:$AJ$532&amp;'Gastos com Pessoal'!$I$6:$AJ$6,0),500,1)),0)+_xlfn.IFNA(SUM((AL$3&gt;='Gastos com Pessoal'!$E$513:$E$522)*(AL$3&lt;='Gastos com Pessoal'!$F$513:$F$522)*(IF('Gastos com Pessoal'!$G$513:$G$522&lt;=AL$3,1,0))*OFFSET('Gastos com Pessoal'!$H$512,1,MATCH(1&amp;$B48,'Gastos com Pessoal'!$I$532:$AJ$532&amp;'Gastos com Pessoal'!$I$512:$AJ$512,0),10,1)),0)+_xlfn.IFNA(SUM((AL$3&gt;='Gastos com Pessoal'!$E$513:$E$522)*(AL$3&lt;='Gastos com Pessoal'!$F$513:$F$522)*(IF('Gastos com Pessoal'!$M$513:$M$522&lt;=AL$3,1,0))*OFFSET('Gastos com Pessoal'!$H$512,1,MATCH(2&amp;$B48,'Gastos com Pessoal'!$I$532:$AJ$532&amp;'Gastos com Pessoal'!$I$512:$AJ$512,0),10,1)),0)+_xlfn.IFNA(SUM((AL$3&gt;='Gastos com Pessoal'!$E$513:$E$522)*(AL$3&lt;='Gastos com Pessoal'!$F$513:$F$522)*(IF('Gastos com Pessoal'!$S$513:$S$522&lt;=AL$3,1,0))*OFFSET('Gastos com Pessoal'!$H$512,1,MATCH(3&amp;$B48,'Gastos com Pessoal'!$I$532:$AJ$532&amp;'Gastos com Pessoal'!$I$512:$AJ$512,0),10,1)),0)+_xlfn.IFNA(SUM((AL$3&gt;='Gastos com Pessoal'!$E$513:$E$522)*(AL$3&lt;='Gastos com Pessoal'!$F$513:$F$522)*(IF('Gastos com Pessoal'!$Y$513:$Y$522&lt;=AL$3,1,0))*OFFSET('Gastos com Pessoal'!$H$512,1,MATCH(4&amp;$B48,'Gastos com Pessoal'!$I$532:$AJ$532&amp;'Gastos com Pessoal'!$I$512:$AJ$512,0),10,1)),0)+_xlfn.IFNA(SUM((AL$3&gt;='Gastos com Pessoal'!$E$513:$E$522)*(AL$3&lt;='Gastos com Pessoal'!$F$513:$F$522)*(IF('Gastos com Pessoal'!$AE$513:$AE$522&lt;=AL$3,1,0))*OFFSET('Gastos com Pessoal'!$H$512,1,MATCH(5&amp;$B48,'Gastos com Pessoal'!$I$532:$AJ$532&amp;'Gastos com Pessoal'!$I$512:$AJ$512,0),10,1)),0)</f>
        <v>25856.439999999904</v>
      </c>
      <c r="AM48" s="188">
        <f t="array" aca="1" ref="AM48" ca="1">_xlfn.IFNA(SUM((AM$3&gt;='Gastos com Pessoal'!$E$7:$E$506)*(AM$3&lt;='Gastos com Pessoal'!$F$7:$F$506)*OFFSET('Encargos e Benefícios'!$D$5,1,MATCH($B48,'Encargos e Benefícios'!$E$5:$AB$5,0),500,1)),0)+_xlfn.IFNA(SUM((AM$3&gt;='Gastos com Pessoal'!$E$513:$E$522)*(AM$3&lt;='Gastos com Pessoal'!$F$513:$F$522)*OFFSET('Encargos e Benefícios'!$D$511,1,MATCH($B48,'Encargos e Benefícios'!$E$511:$AB$511,0),10,1)),0)+_xlfn.IFNA(SUM((AM$3&gt;='Gastos com Pessoal'!$E$7:$E$506)*(AM$3&lt;='Gastos com Pessoal'!$F$7:$F$506)*(IF('Gastos com Pessoal'!$G$7:$G$506&lt;=AM$3,1,0))*OFFSET('Gastos com Pessoal'!$H$6,1,MATCH(1&amp;$B48,'Gastos com Pessoal'!$I$532:$AJ$532&amp;'Gastos com Pessoal'!$I$6:$AJ$6,0),500,1)),0)+_xlfn.IFNA(SUM((AM$3&gt;='Gastos com Pessoal'!$E$7:$E$506)*(AM$3&lt;='Gastos com Pessoal'!$F$7:$F$506)*(IF('Gastos com Pessoal'!$M$7:$M$506&lt;=AM$3,1,0))*OFFSET('Gastos com Pessoal'!$H$6,1,MATCH(2&amp;$B48,'Gastos com Pessoal'!$I$532:$AJ$532&amp;'Gastos com Pessoal'!$I$6:$AJ$6,0),500,1)),0)+_xlfn.IFNA(SUM((AM$3&gt;='Gastos com Pessoal'!$E$7:$E$506)*(AM$3&lt;='Gastos com Pessoal'!$F$7:$F$506)*(IF('Gastos com Pessoal'!$S$7:$S$506&lt;=AM$3,1,0))*OFFSET('Gastos com Pessoal'!$H$6,1,MATCH(3&amp;$B48,'Gastos com Pessoal'!$I$532:$AJ$532&amp;'Gastos com Pessoal'!$I$6:$AJ$6,0),500,1)),0)+_xlfn.IFNA(SUM((AM$3&gt;='Gastos com Pessoal'!$E$7:$E$506)*(AM$3&lt;='Gastos com Pessoal'!$F$7:$F$506)*(IF('Gastos com Pessoal'!$Y$7:$Y$506&lt;=AM$3,1,0))*OFFSET('Gastos com Pessoal'!$H$6,1,MATCH(4&amp;$B48,'Gastos com Pessoal'!$I$532:$AJ$532&amp;'Gastos com Pessoal'!$I$6:$AJ$6,0),500,1)),0)+_xlfn.IFNA(SUM((AM$3&gt;='Gastos com Pessoal'!$E$7:$E$506)*(AM$3&lt;='Gastos com Pessoal'!$F$7:$F$506)*(IF('Gastos com Pessoal'!$AE$7:$AE$506&lt;=AM$3,1,0))*OFFSET('Gastos com Pessoal'!$H$6,1,MATCH(5&amp;$B48,'Gastos com Pessoal'!$I$532:$AJ$532&amp;'Gastos com Pessoal'!$I$6:$AJ$6,0),500,1)),0)+_xlfn.IFNA(SUM((AM$3&gt;='Gastos com Pessoal'!$E$513:$E$522)*(AM$3&lt;='Gastos com Pessoal'!$F$513:$F$522)*(IF('Gastos com Pessoal'!$G$513:$G$522&lt;=AM$3,1,0))*OFFSET('Gastos com Pessoal'!$H$512,1,MATCH(1&amp;$B48,'Gastos com Pessoal'!$I$532:$AJ$532&amp;'Gastos com Pessoal'!$I$512:$AJ$512,0),10,1)),0)+_xlfn.IFNA(SUM((AM$3&gt;='Gastos com Pessoal'!$E$513:$E$522)*(AM$3&lt;='Gastos com Pessoal'!$F$513:$F$522)*(IF('Gastos com Pessoal'!$M$513:$M$522&lt;=AM$3,1,0))*OFFSET('Gastos com Pessoal'!$H$512,1,MATCH(2&amp;$B48,'Gastos com Pessoal'!$I$532:$AJ$532&amp;'Gastos com Pessoal'!$I$512:$AJ$512,0),10,1)),0)+_xlfn.IFNA(SUM((AM$3&gt;='Gastos com Pessoal'!$E$513:$E$522)*(AM$3&lt;='Gastos com Pessoal'!$F$513:$F$522)*(IF('Gastos com Pessoal'!$S$513:$S$522&lt;=AM$3,1,0))*OFFSET('Gastos com Pessoal'!$H$512,1,MATCH(3&amp;$B48,'Gastos com Pessoal'!$I$532:$AJ$532&amp;'Gastos com Pessoal'!$I$512:$AJ$512,0),10,1)),0)+_xlfn.IFNA(SUM((AM$3&gt;='Gastos com Pessoal'!$E$513:$E$522)*(AM$3&lt;='Gastos com Pessoal'!$F$513:$F$522)*(IF('Gastos com Pessoal'!$Y$513:$Y$522&lt;=AM$3,1,0))*OFFSET('Gastos com Pessoal'!$H$512,1,MATCH(4&amp;$B48,'Gastos com Pessoal'!$I$532:$AJ$532&amp;'Gastos com Pessoal'!$I$512:$AJ$512,0),10,1)),0)+_xlfn.IFNA(SUM((AM$3&gt;='Gastos com Pessoal'!$E$513:$E$522)*(AM$3&lt;='Gastos com Pessoal'!$F$513:$F$522)*(IF('Gastos com Pessoal'!$AE$513:$AE$522&lt;=AM$3,1,0))*OFFSET('Gastos com Pessoal'!$H$512,1,MATCH(5&amp;$B48,'Gastos com Pessoal'!$I$532:$AJ$532&amp;'Gastos com Pessoal'!$I$512:$AJ$512,0),10,1)),0)</f>
        <v>25856.439999999904</v>
      </c>
      <c r="AN48" s="188">
        <f t="array" aca="1" ref="AN48" ca="1">_xlfn.IFNA(SUM((AN$3&gt;='Gastos com Pessoal'!$E$7:$E$506)*(AN$3&lt;='Gastos com Pessoal'!$F$7:$F$506)*OFFSET('Encargos e Benefícios'!$D$5,1,MATCH($B48,'Encargos e Benefícios'!$E$5:$AB$5,0),500,1)),0)+_xlfn.IFNA(SUM((AN$3&gt;='Gastos com Pessoal'!$E$513:$E$522)*(AN$3&lt;='Gastos com Pessoal'!$F$513:$F$522)*OFFSET('Encargos e Benefícios'!$D$511,1,MATCH($B48,'Encargos e Benefícios'!$E$511:$AB$511,0),10,1)),0)+_xlfn.IFNA(SUM((AN$3&gt;='Gastos com Pessoal'!$E$7:$E$506)*(AN$3&lt;='Gastos com Pessoal'!$F$7:$F$506)*(IF('Gastos com Pessoal'!$G$7:$G$506&lt;=AN$3,1,0))*OFFSET('Gastos com Pessoal'!$H$6,1,MATCH(1&amp;$B48,'Gastos com Pessoal'!$I$532:$AJ$532&amp;'Gastos com Pessoal'!$I$6:$AJ$6,0),500,1)),0)+_xlfn.IFNA(SUM((AN$3&gt;='Gastos com Pessoal'!$E$7:$E$506)*(AN$3&lt;='Gastos com Pessoal'!$F$7:$F$506)*(IF('Gastos com Pessoal'!$M$7:$M$506&lt;=AN$3,1,0))*OFFSET('Gastos com Pessoal'!$H$6,1,MATCH(2&amp;$B48,'Gastos com Pessoal'!$I$532:$AJ$532&amp;'Gastos com Pessoal'!$I$6:$AJ$6,0),500,1)),0)+_xlfn.IFNA(SUM((AN$3&gt;='Gastos com Pessoal'!$E$7:$E$506)*(AN$3&lt;='Gastos com Pessoal'!$F$7:$F$506)*(IF('Gastos com Pessoal'!$S$7:$S$506&lt;=AN$3,1,0))*OFFSET('Gastos com Pessoal'!$H$6,1,MATCH(3&amp;$B48,'Gastos com Pessoal'!$I$532:$AJ$532&amp;'Gastos com Pessoal'!$I$6:$AJ$6,0),500,1)),0)+_xlfn.IFNA(SUM((AN$3&gt;='Gastos com Pessoal'!$E$7:$E$506)*(AN$3&lt;='Gastos com Pessoal'!$F$7:$F$506)*(IF('Gastos com Pessoal'!$Y$7:$Y$506&lt;=AN$3,1,0))*OFFSET('Gastos com Pessoal'!$H$6,1,MATCH(4&amp;$B48,'Gastos com Pessoal'!$I$532:$AJ$532&amp;'Gastos com Pessoal'!$I$6:$AJ$6,0),500,1)),0)+_xlfn.IFNA(SUM((AN$3&gt;='Gastos com Pessoal'!$E$7:$E$506)*(AN$3&lt;='Gastos com Pessoal'!$F$7:$F$506)*(IF('Gastos com Pessoal'!$AE$7:$AE$506&lt;=AN$3,1,0))*OFFSET('Gastos com Pessoal'!$H$6,1,MATCH(5&amp;$B48,'Gastos com Pessoal'!$I$532:$AJ$532&amp;'Gastos com Pessoal'!$I$6:$AJ$6,0),500,1)),0)+_xlfn.IFNA(SUM((AN$3&gt;='Gastos com Pessoal'!$E$513:$E$522)*(AN$3&lt;='Gastos com Pessoal'!$F$513:$F$522)*(IF('Gastos com Pessoal'!$G$513:$G$522&lt;=AN$3,1,0))*OFFSET('Gastos com Pessoal'!$H$512,1,MATCH(1&amp;$B48,'Gastos com Pessoal'!$I$532:$AJ$532&amp;'Gastos com Pessoal'!$I$512:$AJ$512,0),10,1)),0)+_xlfn.IFNA(SUM((AN$3&gt;='Gastos com Pessoal'!$E$513:$E$522)*(AN$3&lt;='Gastos com Pessoal'!$F$513:$F$522)*(IF('Gastos com Pessoal'!$M$513:$M$522&lt;=AN$3,1,0))*OFFSET('Gastos com Pessoal'!$H$512,1,MATCH(2&amp;$B48,'Gastos com Pessoal'!$I$532:$AJ$532&amp;'Gastos com Pessoal'!$I$512:$AJ$512,0),10,1)),0)+_xlfn.IFNA(SUM((AN$3&gt;='Gastos com Pessoal'!$E$513:$E$522)*(AN$3&lt;='Gastos com Pessoal'!$F$513:$F$522)*(IF('Gastos com Pessoal'!$S$513:$S$522&lt;=AN$3,1,0))*OFFSET('Gastos com Pessoal'!$H$512,1,MATCH(3&amp;$B48,'Gastos com Pessoal'!$I$532:$AJ$532&amp;'Gastos com Pessoal'!$I$512:$AJ$512,0),10,1)),0)+_xlfn.IFNA(SUM((AN$3&gt;='Gastos com Pessoal'!$E$513:$E$522)*(AN$3&lt;='Gastos com Pessoal'!$F$513:$F$522)*(IF('Gastos com Pessoal'!$Y$513:$Y$522&lt;=AN$3,1,0))*OFFSET('Gastos com Pessoal'!$H$512,1,MATCH(4&amp;$B48,'Gastos com Pessoal'!$I$532:$AJ$532&amp;'Gastos com Pessoal'!$I$512:$AJ$512,0),10,1)),0)+_xlfn.IFNA(SUM((AN$3&gt;='Gastos com Pessoal'!$E$513:$E$522)*(AN$3&lt;='Gastos com Pessoal'!$F$513:$F$522)*(IF('Gastos com Pessoal'!$AE$513:$AE$522&lt;=AN$3,1,0))*OFFSET('Gastos com Pessoal'!$H$512,1,MATCH(5&amp;$B48,'Gastos com Pessoal'!$I$532:$AJ$532&amp;'Gastos com Pessoal'!$I$512:$AJ$512,0),10,1)),0)</f>
        <v>25856.439999999904</v>
      </c>
      <c r="AO48" s="188">
        <f t="array" aca="1" ref="AO48" ca="1">_xlfn.IFNA(SUM((AO$3&gt;='Gastos com Pessoal'!$E$7:$E$506)*(AO$3&lt;='Gastos com Pessoal'!$F$7:$F$506)*OFFSET('Encargos e Benefícios'!$D$5,1,MATCH($B48,'Encargos e Benefícios'!$E$5:$AB$5,0),500,1)),0)+_xlfn.IFNA(SUM((AO$3&gt;='Gastos com Pessoal'!$E$513:$E$522)*(AO$3&lt;='Gastos com Pessoal'!$F$513:$F$522)*OFFSET('Encargos e Benefícios'!$D$511,1,MATCH($B48,'Encargos e Benefícios'!$E$511:$AB$511,0),10,1)),0)+_xlfn.IFNA(SUM((AO$3&gt;='Gastos com Pessoal'!$E$7:$E$506)*(AO$3&lt;='Gastos com Pessoal'!$F$7:$F$506)*(IF('Gastos com Pessoal'!$G$7:$G$506&lt;=AO$3,1,0))*OFFSET('Gastos com Pessoal'!$H$6,1,MATCH(1&amp;$B48,'Gastos com Pessoal'!$I$532:$AJ$532&amp;'Gastos com Pessoal'!$I$6:$AJ$6,0),500,1)),0)+_xlfn.IFNA(SUM((AO$3&gt;='Gastos com Pessoal'!$E$7:$E$506)*(AO$3&lt;='Gastos com Pessoal'!$F$7:$F$506)*(IF('Gastos com Pessoal'!$M$7:$M$506&lt;=AO$3,1,0))*OFFSET('Gastos com Pessoal'!$H$6,1,MATCH(2&amp;$B48,'Gastos com Pessoal'!$I$532:$AJ$532&amp;'Gastos com Pessoal'!$I$6:$AJ$6,0),500,1)),0)+_xlfn.IFNA(SUM((AO$3&gt;='Gastos com Pessoal'!$E$7:$E$506)*(AO$3&lt;='Gastos com Pessoal'!$F$7:$F$506)*(IF('Gastos com Pessoal'!$S$7:$S$506&lt;=AO$3,1,0))*OFFSET('Gastos com Pessoal'!$H$6,1,MATCH(3&amp;$B48,'Gastos com Pessoal'!$I$532:$AJ$532&amp;'Gastos com Pessoal'!$I$6:$AJ$6,0),500,1)),0)+_xlfn.IFNA(SUM((AO$3&gt;='Gastos com Pessoal'!$E$7:$E$506)*(AO$3&lt;='Gastos com Pessoal'!$F$7:$F$506)*(IF('Gastos com Pessoal'!$Y$7:$Y$506&lt;=AO$3,1,0))*OFFSET('Gastos com Pessoal'!$H$6,1,MATCH(4&amp;$B48,'Gastos com Pessoal'!$I$532:$AJ$532&amp;'Gastos com Pessoal'!$I$6:$AJ$6,0),500,1)),0)+_xlfn.IFNA(SUM((AO$3&gt;='Gastos com Pessoal'!$E$7:$E$506)*(AO$3&lt;='Gastos com Pessoal'!$F$7:$F$506)*(IF('Gastos com Pessoal'!$AE$7:$AE$506&lt;=AO$3,1,0))*OFFSET('Gastos com Pessoal'!$H$6,1,MATCH(5&amp;$B48,'Gastos com Pessoal'!$I$532:$AJ$532&amp;'Gastos com Pessoal'!$I$6:$AJ$6,0),500,1)),0)+_xlfn.IFNA(SUM((AO$3&gt;='Gastos com Pessoal'!$E$513:$E$522)*(AO$3&lt;='Gastos com Pessoal'!$F$513:$F$522)*(IF('Gastos com Pessoal'!$G$513:$G$522&lt;=AO$3,1,0))*OFFSET('Gastos com Pessoal'!$H$512,1,MATCH(1&amp;$B48,'Gastos com Pessoal'!$I$532:$AJ$532&amp;'Gastos com Pessoal'!$I$512:$AJ$512,0),10,1)),0)+_xlfn.IFNA(SUM((AO$3&gt;='Gastos com Pessoal'!$E$513:$E$522)*(AO$3&lt;='Gastos com Pessoal'!$F$513:$F$522)*(IF('Gastos com Pessoal'!$M$513:$M$522&lt;=AO$3,1,0))*OFFSET('Gastos com Pessoal'!$H$512,1,MATCH(2&amp;$B48,'Gastos com Pessoal'!$I$532:$AJ$532&amp;'Gastos com Pessoal'!$I$512:$AJ$512,0),10,1)),0)+_xlfn.IFNA(SUM((AO$3&gt;='Gastos com Pessoal'!$E$513:$E$522)*(AO$3&lt;='Gastos com Pessoal'!$F$513:$F$522)*(IF('Gastos com Pessoal'!$S$513:$S$522&lt;=AO$3,1,0))*OFFSET('Gastos com Pessoal'!$H$512,1,MATCH(3&amp;$B48,'Gastos com Pessoal'!$I$532:$AJ$532&amp;'Gastos com Pessoal'!$I$512:$AJ$512,0),10,1)),0)+_xlfn.IFNA(SUM((AO$3&gt;='Gastos com Pessoal'!$E$513:$E$522)*(AO$3&lt;='Gastos com Pessoal'!$F$513:$F$522)*(IF('Gastos com Pessoal'!$Y$513:$Y$522&lt;=AO$3,1,0))*OFFSET('Gastos com Pessoal'!$H$512,1,MATCH(4&amp;$B48,'Gastos com Pessoal'!$I$532:$AJ$532&amp;'Gastos com Pessoal'!$I$512:$AJ$512,0),10,1)),0)+_xlfn.IFNA(SUM((AO$3&gt;='Gastos com Pessoal'!$E$513:$E$522)*(AO$3&lt;='Gastos com Pessoal'!$F$513:$F$522)*(IF('Gastos com Pessoal'!$AE$513:$AE$522&lt;=AO$3,1,0))*OFFSET('Gastos com Pessoal'!$H$512,1,MATCH(5&amp;$B48,'Gastos com Pessoal'!$I$532:$AJ$532&amp;'Gastos com Pessoal'!$I$512:$AJ$512,0),10,1)),0)</f>
        <v>25856.439999999904</v>
      </c>
      <c r="AP48" s="188">
        <f t="array" aca="1" ref="AP48" ca="1">_xlfn.IFNA(SUM((AP$3&gt;='Gastos com Pessoal'!$E$7:$E$506)*(AP$3&lt;='Gastos com Pessoal'!$F$7:$F$506)*OFFSET('Encargos e Benefícios'!$D$5,1,MATCH($B48,'Encargos e Benefícios'!$E$5:$AB$5,0),500,1)),0)+_xlfn.IFNA(SUM((AP$3&gt;='Gastos com Pessoal'!$E$513:$E$522)*(AP$3&lt;='Gastos com Pessoal'!$F$513:$F$522)*OFFSET('Encargos e Benefícios'!$D$511,1,MATCH($B48,'Encargos e Benefícios'!$E$511:$AB$511,0),10,1)),0)+_xlfn.IFNA(SUM((AP$3&gt;='Gastos com Pessoal'!$E$7:$E$506)*(AP$3&lt;='Gastos com Pessoal'!$F$7:$F$506)*(IF('Gastos com Pessoal'!$G$7:$G$506&lt;=AP$3,1,0))*OFFSET('Gastos com Pessoal'!$H$6,1,MATCH(1&amp;$B48,'Gastos com Pessoal'!$I$532:$AJ$532&amp;'Gastos com Pessoal'!$I$6:$AJ$6,0),500,1)),0)+_xlfn.IFNA(SUM((AP$3&gt;='Gastos com Pessoal'!$E$7:$E$506)*(AP$3&lt;='Gastos com Pessoal'!$F$7:$F$506)*(IF('Gastos com Pessoal'!$M$7:$M$506&lt;=AP$3,1,0))*OFFSET('Gastos com Pessoal'!$H$6,1,MATCH(2&amp;$B48,'Gastos com Pessoal'!$I$532:$AJ$532&amp;'Gastos com Pessoal'!$I$6:$AJ$6,0),500,1)),0)+_xlfn.IFNA(SUM((AP$3&gt;='Gastos com Pessoal'!$E$7:$E$506)*(AP$3&lt;='Gastos com Pessoal'!$F$7:$F$506)*(IF('Gastos com Pessoal'!$S$7:$S$506&lt;=AP$3,1,0))*OFFSET('Gastos com Pessoal'!$H$6,1,MATCH(3&amp;$B48,'Gastos com Pessoal'!$I$532:$AJ$532&amp;'Gastos com Pessoal'!$I$6:$AJ$6,0),500,1)),0)+_xlfn.IFNA(SUM((AP$3&gt;='Gastos com Pessoal'!$E$7:$E$506)*(AP$3&lt;='Gastos com Pessoal'!$F$7:$F$506)*(IF('Gastos com Pessoal'!$Y$7:$Y$506&lt;=AP$3,1,0))*OFFSET('Gastos com Pessoal'!$H$6,1,MATCH(4&amp;$B48,'Gastos com Pessoal'!$I$532:$AJ$532&amp;'Gastos com Pessoal'!$I$6:$AJ$6,0),500,1)),0)+_xlfn.IFNA(SUM((AP$3&gt;='Gastos com Pessoal'!$E$7:$E$506)*(AP$3&lt;='Gastos com Pessoal'!$F$7:$F$506)*(IF('Gastos com Pessoal'!$AE$7:$AE$506&lt;=AP$3,1,0))*OFFSET('Gastos com Pessoal'!$H$6,1,MATCH(5&amp;$B48,'Gastos com Pessoal'!$I$532:$AJ$532&amp;'Gastos com Pessoal'!$I$6:$AJ$6,0),500,1)),0)+_xlfn.IFNA(SUM((AP$3&gt;='Gastos com Pessoal'!$E$513:$E$522)*(AP$3&lt;='Gastos com Pessoal'!$F$513:$F$522)*(IF('Gastos com Pessoal'!$G$513:$G$522&lt;=AP$3,1,0))*OFFSET('Gastos com Pessoal'!$H$512,1,MATCH(1&amp;$B48,'Gastos com Pessoal'!$I$532:$AJ$532&amp;'Gastos com Pessoal'!$I$512:$AJ$512,0),10,1)),0)+_xlfn.IFNA(SUM((AP$3&gt;='Gastos com Pessoal'!$E$513:$E$522)*(AP$3&lt;='Gastos com Pessoal'!$F$513:$F$522)*(IF('Gastos com Pessoal'!$M$513:$M$522&lt;=AP$3,1,0))*OFFSET('Gastos com Pessoal'!$H$512,1,MATCH(2&amp;$B48,'Gastos com Pessoal'!$I$532:$AJ$532&amp;'Gastos com Pessoal'!$I$512:$AJ$512,0),10,1)),0)+_xlfn.IFNA(SUM((AP$3&gt;='Gastos com Pessoal'!$E$513:$E$522)*(AP$3&lt;='Gastos com Pessoal'!$F$513:$F$522)*(IF('Gastos com Pessoal'!$S$513:$S$522&lt;=AP$3,1,0))*OFFSET('Gastos com Pessoal'!$H$512,1,MATCH(3&amp;$B48,'Gastos com Pessoal'!$I$532:$AJ$532&amp;'Gastos com Pessoal'!$I$512:$AJ$512,0),10,1)),0)+_xlfn.IFNA(SUM((AP$3&gt;='Gastos com Pessoal'!$E$513:$E$522)*(AP$3&lt;='Gastos com Pessoal'!$F$513:$F$522)*(IF('Gastos com Pessoal'!$Y$513:$Y$522&lt;=AP$3,1,0))*OFFSET('Gastos com Pessoal'!$H$512,1,MATCH(4&amp;$B48,'Gastos com Pessoal'!$I$532:$AJ$532&amp;'Gastos com Pessoal'!$I$512:$AJ$512,0),10,1)),0)+_xlfn.IFNA(SUM((AP$3&gt;='Gastos com Pessoal'!$E$513:$E$522)*(AP$3&lt;='Gastos com Pessoal'!$F$513:$F$522)*(IF('Gastos com Pessoal'!$AE$513:$AE$522&lt;=AP$3,1,0))*OFFSET('Gastos com Pessoal'!$H$512,1,MATCH(5&amp;$B48,'Gastos com Pessoal'!$I$532:$AJ$532&amp;'Gastos com Pessoal'!$I$512:$AJ$512,0),10,1)),0)</f>
        <v>25856.439999999904</v>
      </c>
      <c r="AQ48" s="188">
        <f t="array" aca="1" ref="AQ48" ca="1">_xlfn.IFNA(SUM((AQ$3&gt;='Gastos com Pessoal'!$E$7:$E$506)*(AQ$3&lt;='Gastos com Pessoal'!$F$7:$F$506)*OFFSET('Encargos e Benefícios'!$D$5,1,MATCH($B48,'Encargos e Benefícios'!$E$5:$AB$5,0),500,1)),0)+_xlfn.IFNA(SUM((AQ$3&gt;='Gastos com Pessoal'!$E$513:$E$522)*(AQ$3&lt;='Gastos com Pessoal'!$F$513:$F$522)*OFFSET('Encargos e Benefícios'!$D$511,1,MATCH($B48,'Encargos e Benefícios'!$E$511:$AB$511,0),10,1)),0)+_xlfn.IFNA(SUM((AQ$3&gt;='Gastos com Pessoal'!$E$7:$E$506)*(AQ$3&lt;='Gastos com Pessoal'!$F$7:$F$506)*(IF('Gastos com Pessoal'!$G$7:$G$506&lt;=AQ$3,1,0))*OFFSET('Gastos com Pessoal'!$H$6,1,MATCH(1&amp;$B48,'Gastos com Pessoal'!$I$532:$AJ$532&amp;'Gastos com Pessoal'!$I$6:$AJ$6,0),500,1)),0)+_xlfn.IFNA(SUM((AQ$3&gt;='Gastos com Pessoal'!$E$7:$E$506)*(AQ$3&lt;='Gastos com Pessoal'!$F$7:$F$506)*(IF('Gastos com Pessoal'!$M$7:$M$506&lt;=AQ$3,1,0))*OFFSET('Gastos com Pessoal'!$H$6,1,MATCH(2&amp;$B48,'Gastos com Pessoal'!$I$532:$AJ$532&amp;'Gastos com Pessoal'!$I$6:$AJ$6,0),500,1)),0)+_xlfn.IFNA(SUM((AQ$3&gt;='Gastos com Pessoal'!$E$7:$E$506)*(AQ$3&lt;='Gastos com Pessoal'!$F$7:$F$506)*(IF('Gastos com Pessoal'!$S$7:$S$506&lt;=AQ$3,1,0))*OFFSET('Gastos com Pessoal'!$H$6,1,MATCH(3&amp;$B48,'Gastos com Pessoal'!$I$532:$AJ$532&amp;'Gastos com Pessoal'!$I$6:$AJ$6,0),500,1)),0)+_xlfn.IFNA(SUM((AQ$3&gt;='Gastos com Pessoal'!$E$7:$E$506)*(AQ$3&lt;='Gastos com Pessoal'!$F$7:$F$506)*(IF('Gastos com Pessoal'!$Y$7:$Y$506&lt;=AQ$3,1,0))*OFFSET('Gastos com Pessoal'!$H$6,1,MATCH(4&amp;$B48,'Gastos com Pessoal'!$I$532:$AJ$532&amp;'Gastos com Pessoal'!$I$6:$AJ$6,0),500,1)),0)+_xlfn.IFNA(SUM((AQ$3&gt;='Gastos com Pessoal'!$E$7:$E$506)*(AQ$3&lt;='Gastos com Pessoal'!$F$7:$F$506)*(IF('Gastos com Pessoal'!$AE$7:$AE$506&lt;=AQ$3,1,0))*OFFSET('Gastos com Pessoal'!$H$6,1,MATCH(5&amp;$B48,'Gastos com Pessoal'!$I$532:$AJ$532&amp;'Gastos com Pessoal'!$I$6:$AJ$6,0),500,1)),0)+_xlfn.IFNA(SUM((AQ$3&gt;='Gastos com Pessoal'!$E$513:$E$522)*(AQ$3&lt;='Gastos com Pessoal'!$F$513:$F$522)*(IF('Gastos com Pessoal'!$G$513:$G$522&lt;=AQ$3,1,0))*OFFSET('Gastos com Pessoal'!$H$512,1,MATCH(1&amp;$B48,'Gastos com Pessoal'!$I$532:$AJ$532&amp;'Gastos com Pessoal'!$I$512:$AJ$512,0),10,1)),0)+_xlfn.IFNA(SUM((AQ$3&gt;='Gastos com Pessoal'!$E$513:$E$522)*(AQ$3&lt;='Gastos com Pessoal'!$F$513:$F$522)*(IF('Gastos com Pessoal'!$M$513:$M$522&lt;=AQ$3,1,0))*OFFSET('Gastos com Pessoal'!$H$512,1,MATCH(2&amp;$B48,'Gastos com Pessoal'!$I$532:$AJ$532&amp;'Gastos com Pessoal'!$I$512:$AJ$512,0),10,1)),0)+_xlfn.IFNA(SUM((AQ$3&gt;='Gastos com Pessoal'!$E$513:$E$522)*(AQ$3&lt;='Gastos com Pessoal'!$F$513:$F$522)*(IF('Gastos com Pessoal'!$S$513:$S$522&lt;=AQ$3,1,0))*OFFSET('Gastos com Pessoal'!$H$512,1,MATCH(3&amp;$B48,'Gastos com Pessoal'!$I$532:$AJ$532&amp;'Gastos com Pessoal'!$I$512:$AJ$512,0),10,1)),0)+_xlfn.IFNA(SUM((AQ$3&gt;='Gastos com Pessoal'!$E$513:$E$522)*(AQ$3&lt;='Gastos com Pessoal'!$F$513:$F$522)*(IF('Gastos com Pessoal'!$Y$513:$Y$522&lt;=AQ$3,1,0))*OFFSET('Gastos com Pessoal'!$H$512,1,MATCH(4&amp;$B48,'Gastos com Pessoal'!$I$532:$AJ$532&amp;'Gastos com Pessoal'!$I$512:$AJ$512,0),10,1)),0)+_xlfn.IFNA(SUM((AQ$3&gt;='Gastos com Pessoal'!$E$513:$E$522)*(AQ$3&lt;='Gastos com Pessoal'!$F$513:$F$522)*(IF('Gastos com Pessoal'!$AE$513:$AE$522&lt;=AQ$3,1,0))*OFFSET('Gastos com Pessoal'!$H$512,1,MATCH(5&amp;$B48,'Gastos com Pessoal'!$I$532:$AJ$532&amp;'Gastos com Pessoal'!$I$512:$AJ$512,0),10,1)),0)</f>
        <v>25856.439999999904</v>
      </c>
      <c r="AR48" s="188">
        <f t="array" aca="1" ref="AR48" ca="1">_xlfn.IFNA(SUM((AR$3&gt;='Gastos com Pessoal'!$E$7:$E$506)*(AR$3&lt;='Gastos com Pessoal'!$F$7:$F$506)*OFFSET('Encargos e Benefícios'!$D$5,1,MATCH($B48,'Encargos e Benefícios'!$E$5:$AB$5,0),500,1)),0)+_xlfn.IFNA(SUM((AR$3&gt;='Gastos com Pessoal'!$E$513:$E$522)*(AR$3&lt;='Gastos com Pessoal'!$F$513:$F$522)*OFFSET('Encargos e Benefícios'!$D$511,1,MATCH($B48,'Encargos e Benefícios'!$E$511:$AB$511,0),10,1)),0)+_xlfn.IFNA(SUM((AR$3&gt;='Gastos com Pessoal'!$E$7:$E$506)*(AR$3&lt;='Gastos com Pessoal'!$F$7:$F$506)*(IF('Gastos com Pessoal'!$G$7:$G$506&lt;=AR$3,1,0))*OFFSET('Gastos com Pessoal'!$H$6,1,MATCH(1&amp;$B48,'Gastos com Pessoal'!$I$532:$AJ$532&amp;'Gastos com Pessoal'!$I$6:$AJ$6,0),500,1)),0)+_xlfn.IFNA(SUM((AR$3&gt;='Gastos com Pessoal'!$E$7:$E$506)*(AR$3&lt;='Gastos com Pessoal'!$F$7:$F$506)*(IF('Gastos com Pessoal'!$M$7:$M$506&lt;=AR$3,1,0))*OFFSET('Gastos com Pessoal'!$H$6,1,MATCH(2&amp;$B48,'Gastos com Pessoal'!$I$532:$AJ$532&amp;'Gastos com Pessoal'!$I$6:$AJ$6,0),500,1)),0)+_xlfn.IFNA(SUM((AR$3&gt;='Gastos com Pessoal'!$E$7:$E$506)*(AR$3&lt;='Gastos com Pessoal'!$F$7:$F$506)*(IF('Gastos com Pessoal'!$S$7:$S$506&lt;=AR$3,1,0))*OFFSET('Gastos com Pessoal'!$H$6,1,MATCH(3&amp;$B48,'Gastos com Pessoal'!$I$532:$AJ$532&amp;'Gastos com Pessoal'!$I$6:$AJ$6,0),500,1)),0)+_xlfn.IFNA(SUM((AR$3&gt;='Gastos com Pessoal'!$E$7:$E$506)*(AR$3&lt;='Gastos com Pessoal'!$F$7:$F$506)*(IF('Gastos com Pessoal'!$Y$7:$Y$506&lt;=AR$3,1,0))*OFFSET('Gastos com Pessoal'!$H$6,1,MATCH(4&amp;$B48,'Gastos com Pessoal'!$I$532:$AJ$532&amp;'Gastos com Pessoal'!$I$6:$AJ$6,0),500,1)),0)+_xlfn.IFNA(SUM((AR$3&gt;='Gastos com Pessoal'!$E$7:$E$506)*(AR$3&lt;='Gastos com Pessoal'!$F$7:$F$506)*(IF('Gastos com Pessoal'!$AE$7:$AE$506&lt;=AR$3,1,0))*OFFSET('Gastos com Pessoal'!$H$6,1,MATCH(5&amp;$B48,'Gastos com Pessoal'!$I$532:$AJ$532&amp;'Gastos com Pessoal'!$I$6:$AJ$6,0),500,1)),0)+_xlfn.IFNA(SUM((AR$3&gt;='Gastos com Pessoal'!$E$513:$E$522)*(AR$3&lt;='Gastos com Pessoal'!$F$513:$F$522)*(IF('Gastos com Pessoal'!$G$513:$G$522&lt;=AR$3,1,0))*OFFSET('Gastos com Pessoal'!$H$512,1,MATCH(1&amp;$B48,'Gastos com Pessoal'!$I$532:$AJ$532&amp;'Gastos com Pessoal'!$I$512:$AJ$512,0),10,1)),0)+_xlfn.IFNA(SUM((AR$3&gt;='Gastos com Pessoal'!$E$513:$E$522)*(AR$3&lt;='Gastos com Pessoal'!$F$513:$F$522)*(IF('Gastos com Pessoal'!$M$513:$M$522&lt;=AR$3,1,0))*OFFSET('Gastos com Pessoal'!$H$512,1,MATCH(2&amp;$B48,'Gastos com Pessoal'!$I$532:$AJ$532&amp;'Gastos com Pessoal'!$I$512:$AJ$512,0),10,1)),0)+_xlfn.IFNA(SUM((AR$3&gt;='Gastos com Pessoal'!$E$513:$E$522)*(AR$3&lt;='Gastos com Pessoal'!$F$513:$F$522)*(IF('Gastos com Pessoal'!$S$513:$S$522&lt;=AR$3,1,0))*OFFSET('Gastos com Pessoal'!$H$512,1,MATCH(3&amp;$B48,'Gastos com Pessoal'!$I$532:$AJ$532&amp;'Gastos com Pessoal'!$I$512:$AJ$512,0),10,1)),0)+_xlfn.IFNA(SUM((AR$3&gt;='Gastos com Pessoal'!$E$513:$E$522)*(AR$3&lt;='Gastos com Pessoal'!$F$513:$F$522)*(IF('Gastos com Pessoal'!$Y$513:$Y$522&lt;=AR$3,1,0))*OFFSET('Gastos com Pessoal'!$H$512,1,MATCH(4&amp;$B48,'Gastos com Pessoal'!$I$532:$AJ$532&amp;'Gastos com Pessoal'!$I$512:$AJ$512,0),10,1)),0)+_xlfn.IFNA(SUM((AR$3&gt;='Gastos com Pessoal'!$E$513:$E$522)*(AR$3&lt;='Gastos com Pessoal'!$F$513:$F$522)*(IF('Gastos com Pessoal'!$AE$513:$AE$522&lt;=AR$3,1,0))*OFFSET('Gastos com Pessoal'!$H$512,1,MATCH(5&amp;$B48,'Gastos com Pessoal'!$I$532:$AJ$532&amp;'Gastos com Pessoal'!$I$512:$AJ$512,0),10,1)),0)</f>
        <v>25856.439999999904</v>
      </c>
      <c r="AS48" s="188">
        <f t="array" aca="1" ref="AS48" ca="1">_xlfn.IFNA(SUM((AS$3&gt;='Gastos com Pessoal'!$E$7:$E$506)*(AS$3&lt;='Gastos com Pessoal'!$F$7:$F$506)*OFFSET('Encargos e Benefícios'!$D$5,1,MATCH($B48,'Encargos e Benefícios'!$E$5:$AB$5,0),500,1)),0)+_xlfn.IFNA(SUM((AS$3&gt;='Gastos com Pessoal'!$E$513:$E$522)*(AS$3&lt;='Gastos com Pessoal'!$F$513:$F$522)*OFFSET('Encargos e Benefícios'!$D$511,1,MATCH($B48,'Encargos e Benefícios'!$E$511:$AB$511,0),10,1)),0)+_xlfn.IFNA(SUM((AS$3&gt;='Gastos com Pessoal'!$E$7:$E$506)*(AS$3&lt;='Gastos com Pessoal'!$F$7:$F$506)*(IF('Gastos com Pessoal'!$G$7:$G$506&lt;=AS$3,1,0))*OFFSET('Gastos com Pessoal'!$H$6,1,MATCH(1&amp;$B48,'Gastos com Pessoal'!$I$532:$AJ$532&amp;'Gastos com Pessoal'!$I$6:$AJ$6,0),500,1)),0)+_xlfn.IFNA(SUM((AS$3&gt;='Gastos com Pessoal'!$E$7:$E$506)*(AS$3&lt;='Gastos com Pessoal'!$F$7:$F$506)*(IF('Gastos com Pessoal'!$M$7:$M$506&lt;=AS$3,1,0))*OFFSET('Gastos com Pessoal'!$H$6,1,MATCH(2&amp;$B48,'Gastos com Pessoal'!$I$532:$AJ$532&amp;'Gastos com Pessoal'!$I$6:$AJ$6,0),500,1)),0)+_xlfn.IFNA(SUM((AS$3&gt;='Gastos com Pessoal'!$E$7:$E$506)*(AS$3&lt;='Gastos com Pessoal'!$F$7:$F$506)*(IF('Gastos com Pessoal'!$S$7:$S$506&lt;=AS$3,1,0))*OFFSET('Gastos com Pessoal'!$H$6,1,MATCH(3&amp;$B48,'Gastos com Pessoal'!$I$532:$AJ$532&amp;'Gastos com Pessoal'!$I$6:$AJ$6,0),500,1)),0)+_xlfn.IFNA(SUM((AS$3&gt;='Gastos com Pessoal'!$E$7:$E$506)*(AS$3&lt;='Gastos com Pessoal'!$F$7:$F$506)*(IF('Gastos com Pessoal'!$Y$7:$Y$506&lt;=AS$3,1,0))*OFFSET('Gastos com Pessoal'!$H$6,1,MATCH(4&amp;$B48,'Gastos com Pessoal'!$I$532:$AJ$532&amp;'Gastos com Pessoal'!$I$6:$AJ$6,0),500,1)),0)+_xlfn.IFNA(SUM((AS$3&gt;='Gastos com Pessoal'!$E$7:$E$506)*(AS$3&lt;='Gastos com Pessoal'!$F$7:$F$506)*(IF('Gastos com Pessoal'!$AE$7:$AE$506&lt;=AS$3,1,0))*OFFSET('Gastos com Pessoal'!$H$6,1,MATCH(5&amp;$B48,'Gastos com Pessoal'!$I$532:$AJ$532&amp;'Gastos com Pessoal'!$I$6:$AJ$6,0),500,1)),0)+_xlfn.IFNA(SUM((AS$3&gt;='Gastos com Pessoal'!$E$513:$E$522)*(AS$3&lt;='Gastos com Pessoal'!$F$513:$F$522)*(IF('Gastos com Pessoal'!$G$513:$G$522&lt;=AS$3,1,0))*OFFSET('Gastos com Pessoal'!$H$512,1,MATCH(1&amp;$B48,'Gastos com Pessoal'!$I$532:$AJ$532&amp;'Gastos com Pessoal'!$I$512:$AJ$512,0),10,1)),0)+_xlfn.IFNA(SUM((AS$3&gt;='Gastos com Pessoal'!$E$513:$E$522)*(AS$3&lt;='Gastos com Pessoal'!$F$513:$F$522)*(IF('Gastos com Pessoal'!$M$513:$M$522&lt;=AS$3,1,0))*OFFSET('Gastos com Pessoal'!$H$512,1,MATCH(2&amp;$B48,'Gastos com Pessoal'!$I$532:$AJ$532&amp;'Gastos com Pessoal'!$I$512:$AJ$512,0),10,1)),0)+_xlfn.IFNA(SUM((AS$3&gt;='Gastos com Pessoal'!$E$513:$E$522)*(AS$3&lt;='Gastos com Pessoal'!$F$513:$F$522)*(IF('Gastos com Pessoal'!$S$513:$S$522&lt;=AS$3,1,0))*OFFSET('Gastos com Pessoal'!$H$512,1,MATCH(3&amp;$B48,'Gastos com Pessoal'!$I$532:$AJ$532&amp;'Gastos com Pessoal'!$I$512:$AJ$512,0),10,1)),0)+_xlfn.IFNA(SUM((AS$3&gt;='Gastos com Pessoal'!$E$513:$E$522)*(AS$3&lt;='Gastos com Pessoal'!$F$513:$F$522)*(IF('Gastos com Pessoal'!$Y$513:$Y$522&lt;=AS$3,1,0))*OFFSET('Gastos com Pessoal'!$H$512,1,MATCH(4&amp;$B48,'Gastos com Pessoal'!$I$532:$AJ$532&amp;'Gastos com Pessoal'!$I$512:$AJ$512,0),10,1)),0)+_xlfn.IFNA(SUM((AS$3&gt;='Gastos com Pessoal'!$E$513:$E$522)*(AS$3&lt;='Gastos com Pessoal'!$F$513:$F$522)*(IF('Gastos com Pessoal'!$AE$513:$AE$522&lt;=AS$3,1,0))*OFFSET('Gastos com Pessoal'!$H$512,1,MATCH(5&amp;$B48,'Gastos com Pessoal'!$I$532:$AJ$532&amp;'Gastos com Pessoal'!$I$512:$AJ$512,0),10,1)),0)</f>
        <v>25856.439999999904</v>
      </c>
      <c r="AT48" s="188">
        <f t="array" aca="1" ref="AT48" ca="1">_xlfn.IFNA(SUM((AT$3&gt;='Gastos com Pessoal'!$E$7:$E$506)*(AT$3&lt;='Gastos com Pessoal'!$F$7:$F$506)*OFFSET('Encargos e Benefícios'!$D$5,1,MATCH($B48,'Encargos e Benefícios'!$E$5:$AB$5,0),500,1)),0)+_xlfn.IFNA(SUM((AT$3&gt;='Gastos com Pessoal'!$E$513:$E$522)*(AT$3&lt;='Gastos com Pessoal'!$F$513:$F$522)*OFFSET('Encargos e Benefícios'!$D$511,1,MATCH($B48,'Encargos e Benefícios'!$E$511:$AB$511,0),10,1)),0)+_xlfn.IFNA(SUM((AT$3&gt;='Gastos com Pessoal'!$E$7:$E$506)*(AT$3&lt;='Gastos com Pessoal'!$F$7:$F$506)*(IF('Gastos com Pessoal'!$G$7:$G$506&lt;=AT$3,1,0))*OFFSET('Gastos com Pessoal'!$H$6,1,MATCH(1&amp;$B48,'Gastos com Pessoal'!$I$532:$AJ$532&amp;'Gastos com Pessoal'!$I$6:$AJ$6,0),500,1)),0)+_xlfn.IFNA(SUM((AT$3&gt;='Gastos com Pessoal'!$E$7:$E$506)*(AT$3&lt;='Gastos com Pessoal'!$F$7:$F$506)*(IF('Gastos com Pessoal'!$M$7:$M$506&lt;=AT$3,1,0))*OFFSET('Gastos com Pessoal'!$H$6,1,MATCH(2&amp;$B48,'Gastos com Pessoal'!$I$532:$AJ$532&amp;'Gastos com Pessoal'!$I$6:$AJ$6,0),500,1)),0)+_xlfn.IFNA(SUM((AT$3&gt;='Gastos com Pessoal'!$E$7:$E$506)*(AT$3&lt;='Gastos com Pessoal'!$F$7:$F$506)*(IF('Gastos com Pessoal'!$S$7:$S$506&lt;=AT$3,1,0))*OFFSET('Gastos com Pessoal'!$H$6,1,MATCH(3&amp;$B48,'Gastos com Pessoal'!$I$532:$AJ$532&amp;'Gastos com Pessoal'!$I$6:$AJ$6,0),500,1)),0)+_xlfn.IFNA(SUM((AT$3&gt;='Gastos com Pessoal'!$E$7:$E$506)*(AT$3&lt;='Gastos com Pessoal'!$F$7:$F$506)*(IF('Gastos com Pessoal'!$Y$7:$Y$506&lt;=AT$3,1,0))*OFFSET('Gastos com Pessoal'!$H$6,1,MATCH(4&amp;$B48,'Gastos com Pessoal'!$I$532:$AJ$532&amp;'Gastos com Pessoal'!$I$6:$AJ$6,0),500,1)),0)+_xlfn.IFNA(SUM((AT$3&gt;='Gastos com Pessoal'!$E$7:$E$506)*(AT$3&lt;='Gastos com Pessoal'!$F$7:$F$506)*(IF('Gastos com Pessoal'!$AE$7:$AE$506&lt;=AT$3,1,0))*OFFSET('Gastos com Pessoal'!$H$6,1,MATCH(5&amp;$B48,'Gastos com Pessoal'!$I$532:$AJ$532&amp;'Gastos com Pessoal'!$I$6:$AJ$6,0),500,1)),0)+_xlfn.IFNA(SUM((AT$3&gt;='Gastos com Pessoal'!$E$513:$E$522)*(AT$3&lt;='Gastos com Pessoal'!$F$513:$F$522)*(IF('Gastos com Pessoal'!$G$513:$G$522&lt;=AT$3,1,0))*OFFSET('Gastos com Pessoal'!$H$512,1,MATCH(1&amp;$B48,'Gastos com Pessoal'!$I$532:$AJ$532&amp;'Gastos com Pessoal'!$I$512:$AJ$512,0),10,1)),0)+_xlfn.IFNA(SUM((AT$3&gt;='Gastos com Pessoal'!$E$513:$E$522)*(AT$3&lt;='Gastos com Pessoal'!$F$513:$F$522)*(IF('Gastos com Pessoal'!$M$513:$M$522&lt;=AT$3,1,0))*OFFSET('Gastos com Pessoal'!$H$512,1,MATCH(2&amp;$B48,'Gastos com Pessoal'!$I$532:$AJ$532&amp;'Gastos com Pessoal'!$I$512:$AJ$512,0),10,1)),0)+_xlfn.IFNA(SUM((AT$3&gt;='Gastos com Pessoal'!$E$513:$E$522)*(AT$3&lt;='Gastos com Pessoal'!$F$513:$F$522)*(IF('Gastos com Pessoal'!$S$513:$S$522&lt;=AT$3,1,0))*OFFSET('Gastos com Pessoal'!$H$512,1,MATCH(3&amp;$B48,'Gastos com Pessoal'!$I$532:$AJ$532&amp;'Gastos com Pessoal'!$I$512:$AJ$512,0),10,1)),0)+_xlfn.IFNA(SUM((AT$3&gt;='Gastos com Pessoal'!$E$513:$E$522)*(AT$3&lt;='Gastos com Pessoal'!$F$513:$F$522)*(IF('Gastos com Pessoal'!$Y$513:$Y$522&lt;=AT$3,1,0))*OFFSET('Gastos com Pessoal'!$H$512,1,MATCH(4&amp;$B48,'Gastos com Pessoal'!$I$532:$AJ$532&amp;'Gastos com Pessoal'!$I$512:$AJ$512,0),10,1)),0)+_xlfn.IFNA(SUM((AT$3&gt;='Gastos com Pessoal'!$E$513:$E$522)*(AT$3&lt;='Gastos com Pessoal'!$F$513:$F$522)*(IF('Gastos com Pessoal'!$AE$513:$AE$522&lt;=AT$3,1,0))*OFFSET('Gastos com Pessoal'!$H$512,1,MATCH(5&amp;$B48,'Gastos com Pessoal'!$I$532:$AJ$532&amp;'Gastos com Pessoal'!$I$512:$AJ$512,0),10,1)),0)</f>
        <v>25856.439999999904</v>
      </c>
      <c r="AU48" s="188">
        <f t="array" aca="1" ref="AU48" ca="1">_xlfn.IFNA(SUM((AU$3&gt;='Gastos com Pessoal'!$E$7:$E$506)*(AU$3&lt;='Gastos com Pessoal'!$F$7:$F$506)*OFFSET('Encargos e Benefícios'!$D$5,1,MATCH($B48,'Encargos e Benefícios'!$E$5:$AB$5,0),500,1)),0)+_xlfn.IFNA(SUM((AU$3&gt;='Gastos com Pessoal'!$E$513:$E$522)*(AU$3&lt;='Gastos com Pessoal'!$F$513:$F$522)*OFFSET('Encargos e Benefícios'!$D$511,1,MATCH($B48,'Encargos e Benefícios'!$E$511:$AB$511,0),10,1)),0)+_xlfn.IFNA(SUM((AU$3&gt;='Gastos com Pessoal'!$E$7:$E$506)*(AU$3&lt;='Gastos com Pessoal'!$F$7:$F$506)*(IF('Gastos com Pessoal'!$G$7:$G$506&lt;=AU$3,1,0))*OFFSET('Gastos com Pessoal'!$H$6,1,MATCH(1&amp;$B48,'Gastos com Pessoal'!$I$532:$AJ$532&amp;'Gastos com Pessoal'!$I$6:$AJ$6,0),500,1)),0)+_xlfn.IFNA(SUM((AU$3&gt;='Gastos com Pessoal'!$E$7:$E$506)*(AU$3&lt;='Gastos com Pessoal'!$F$7:$F$506)*(IF('Gastos com Pessoal'!$M$7:$M$506&lt;=AU$3,1,0))*OFFSET('Gastos com Pessoal'!$H$6,1,MATCH(2&amp;$B48,'Gastos com Pessoal'!$I$532:$AJ$532&amp;'Gastos com Pessoal'!$I$6:$AJ$6,0),500,1)),0)+_xlfn.IFNA(SUM((AU$3&gt;='Gastos com Pessoal'!$E$7:$E$506)*(AU$3&lt;='Gastos com Pessoal'!$F$7:$F$506)*(IF('Gastos com Pessoal'!$S$7:$S$506&lt;=AU$3,1,0))*OFFSET('Gastos com Pessoal'!$H$6,1,MATCH(3&amp;$B48,'Gastos com Pessoal'!$I$532:$AJ$532&amp;'Gastos com Pessoal'!$I$6:$AJ$6,0),500,1)),0)+_xlfn.IFNA(SUM((AU$3&gt;='Gastos com Pessoal'!$E$7:$E$506)*(AU$3&lt;='Gastos com Pessoal'!$F$7:$F$506)*(IF('Gastos com Pessoal'!$Y$7:$Y$506&lt;=AU$3,1,0))*OFFSET('Gastos com Pessoal'!$H$6,1,MATCH(4&amp;$B48,'Gastos com Pessoal'!$I$532:$AJ$532&amp;'Gastos com Pessoal'!$I$6:$AJ$6,0),500,1)),0)+_xlfn.IFNA(SUM((AU$3&gt;='Gastos com Pessoal'!$E$7:$E$506)*(AU$3&lt;='Gastos com Pessoal'!$F$7:$F$506)*(IF('Gastos com Pessoal'!$AE$7:$AE$506&lt;=AU$3,1,0))*OFFSET('Gastos com Pessoal'!$H$6,1,MATCH(5&amp;$B48,'Gastos com Pessoal'!$I$532:$AJ$532&amp;'Gastos com Pessoal'!$I$6:$AJ$6,0),500,1)),0)+_xlfn.IFNA(SUM((AU$3&gt;='Gastos com Pessoal'!$E$513:$E$522)*(AU$3&lt;='Gastos com Pessoal'!$F$513:$F$522)*(IF('Gastos com Pessoal'!$G$513:$G$522&lt;=AU$3,1,0))*OFFSET('Gastos com Pessoal'!$H$512,1,MATCH(1&amp;$B48,'Gastos com Pessoal'!$I$532:$AJ$532&amp;'Gastos com Pessoal'!$I$512:$AJ$512,0),10,1)),0)+_xlfn.IFNA(SUM((AU$3&gt;='Gastos com Pessoal'!$E$513:$E$522)*(AU$3&lt;='Gastos com Pessoal'!$F$513:$F$522)*(IF('Gastos com Pessoal'!$M$513:$M$522&lt;=AU$3,1,0))*OFFSET('Gastos com Pessoal'!$H$512,1,MATCH(2&amp;$B48,'Gastos com Pessoal'!$I$532:$AJ$532&amp;'Gastos com Pessoal'!$I$512:$AJ$512,0),10,1)),0)+_xlfn.IFNA(SUM((AU$3&gt;='Gastos com Pessoal'!$E$513:$E$522)*(AU$3&lt;='Gastos com Pessoal'!$F$513:$F$522)*(IF('Gastos com Pessoal'!$S$513:$S$522&lt;=AU$3,1,0))*OFFSET('Gastos com Pessoal'!$H$512,1,MATCH(3&amp;$B48,'Gastos com Pessoal'!$I$532:$AJ$532&amp;'Gastos com Pessoal'!$I$512:$AJ$512,0),10,1)),0)+_xlfn.IFNA(SUM((AU$3&gt;='Gastos com Pessoal'!$E$513:$E$522)*(AU$3&lt;='Gastos com Pessoal'!$F$513:$F$522)*(IF('Gastos com Pessoal'!$Y$513:$Y$522&lt;=AU$3,1,0))*OFFSET('Gastos com Pessoal'!$H$512,1,MATCH(4&amp;$B48,'Gastos com Pessoal'!$I$532:$AJ$532&amp;'Gastos com Pessoal'!$I$512:$AJ$512,0),10,1)),0)+_xlfn.IFNA(SUM((AU$3&gt;='Gastos com Pessoal'!$E$513:$E$522)*(AU$3&lt;='Gastos com Pessoal'!$F$513:$F$522)*(IF('Gastos com Pessoal'!$AE$513:$AE$522&lt;=AU$3,1,0))*OFFSET('Gastos com Pessoal'!$H$512,1,MATCH(5&amp;$B48,'Gastos com Pessoal'!$I$532:$AJ$532&amp;'Gastos com Pessoal'!$I$512:$AJ$512,0),10,1)),0)</f>
        <v>25856.439999999904</v>
      </c>
      <c r="AV48" s="188">
        <f t="array" aca="1" ref="AV48" ca="1">_xlfn.IFNA(SUM((AV$3&gt;='Gastos com Pessoal'!$E$7:$E$506)*(AV$3&lt;='Gastos com Pessoal'!$F$7:$F$506)*OFFSET('Encargos e Benefícios'!$D$5,1,MATCH($B48,'Encargos e Benefícios'!$E$5:$AB$5,0),500,1)),0)+_xlfn.IFNA(SUM((AV$3&gt;='Gastos com Pessoal'!$E$513:$E$522)*(AV$3&lt;='Gastos com Pessoal'!$F$513:$F$522)*OFFSET('Encargos e Benefícios'!$D$511,1,MATCH($B48,'Encargos e Benefícios'!$E$511:$AB$511,0),10,1)),0)+_xlfn.IFNA(SUM((AV$3&gt;='Gastos com Pessoal'!$E$7:$E$506)*(AV$3&lt;='Gastos com Pessoal'!$F$7:$F$506)*(IF('Gastos com Pessoal'!$G$7:$G$506&lt;=AV$3,1,0))*OFFSET('Gastos com Pessoal'!$H$6,1,MATCH(1&amp;$B48,'Gastos com Pessoal'!$I$532:$AJ$532&amp;'Gastos com Pessoal'!$I$6:$AJ$6,0),500,1)),0)+_xlfn.IFNA(SUM((AV$3&gt;='Gastos com Pessoal'!$E$7:$E$506)*(AV$3&lt;='Gastos com Pessoal'!$F$7:$F$506)*(IF('Gastos com Pessoal'!$M$7:$M$506&lt;=AV$3,1,0))*OFFSET('Gastos com Pessoal'!$H$6,1,MATCH(2&amp;$B48,'Gastos com Pessoal'!$I$532:$AJ$532&amp;'Gastos com Pessoal'!$I$6:$AJ$6,0),500,1)),0)+_xlfn.IFNA(SUM((AV$3&gt;='Gastos com Pessoal'!$E$7:$E$506)*(AV$3&lt;='Gastos com Pessoal'!$F$7:$F$506)*(IF('Gastos com Pessoal'!$S$7:$S$506&lt;=AV$3,1,0))*OFFSET('Gastos com Pessoal'!$H$6,1,MATCH(3&amp;$B48,'Gastos com Pessoal'!$I$532:$AJ$532&amp;'Gastos com Pessoal'!$I$6:$AJ$6,0),500,1)),0)+_xlfn.IFNA(SUM((AV$3&gt;='Gastos com Pessoal'!$E$7:$E$506)*(AV$3&lt;='Gastos com Pessoal'!$F$7:$F$506)*(IF('Gastos com Pessoal'!$Y$7:$Y$506&lt;=AV$3,1,0))*OFFSET('Gastos com Pessoal'!$H$6,1,MATCH(4&amp;$B48,'Gastos com Pessoal'!$I$532:$AJ$532&amp;'Gastos com Pessoal'!$I$6:$AJ$6,0),500,1)),0)+_xlfn.IFNA(SUM((AV$3&gt;='Gastos com Pessoal'!$E$7:$E$506)*(AV$3&lt;='Gastos com Pessoal'!$F$7:$F$506)*(IF('Gastos com Pessoal'!$AE$7:$AE$506&lt;=AV$3,1,0))*OFFSET('Gastos com Pessoal'!$H$6,1,MATCH(5&amp;$B48,'Gastos com Pessoal'!$I$532:$AJ$532&amp;'Gastos com Pessoal'!$I$6:$AJ$6,0),500,1)),0)+_xlfn.IFNA(SUM((AV$3&gt;='Gastos com Pessoal'!$E$513:$E$522)*(AV$3&lt;='Gastos com Pessoal'!$F$513:$F$522)*(IF('Gastos com Pessoal'!$G$513:$G$522&lt;=AV$3,1,0))*OFFSET('Gastos com Pessoal'!$H$512,1,MATCH(1&amp;$B48,'Gastos com Pessoal'!$I$532:$AJ$532&amp;'Gastos com Pessoal'!$I$512:$AJ$512,0),10,1)),0)+_xlfn.IFNA(SUM((AV$3&gt;='Gastos com Pessoal'!$E$513:$E$522)*(AV$3&lt;='Gastos com Pessoal'!$F$513:$F$522)*(IF('Gastos com Pessoal'!$M$513:$M$522&lt;=AV$3,1,0))*OFFSET('Gastos com Pessoal'!$H$512,1,MATCH(2&amp;$B48,'Gastos com Pessoal'!$I$532:$AJ$532&amp;'Gastos com Pessoal'!$I$512:$AJ$512,0),10,1)),0)+_xlfn.IFNA(SUM((AV$3&gt;='Gastos com Pessoal'!$E$513:$E$522)*(AV$3&lt;='Gastos com Pessoal'!$F$513:$F$522)*(IF('Gastos com Pessoal'!$S$513:$S$522&lt;=AV$3,1,0))*OFFSET('Gastos com Pessoal'!$H$512,1,MATCH(3&amp;$B48,'Gastos com Pessoal'!$I$532:$AJ$532&amp;'Gastos com Pessoal'!$I$512:$AJ$512,0),10,1)),0)+_xlfn.IFNA(SUM((AV$3&gt;='Gastos com Pessoal'!$E$513:$E$522)*(AV$3&lt;='Gastos com Pessoal'!$F$513:$F$522)*(IF('Gastos com Pessoal'!$Y$513:$Y$522&lt;=AV$3,1,0))*OFFSET('Gastos com Pessoal'!$H$512,1,MATCH(4&amp;$B48,'Gastos com Pessoal'!$I$532:$AJ$532&amp;'Gastos com Pessoal'!$I$512:$AJ$512,0),10,1)),0)+_xlfn.IFNA(SUM((AV$3&gt;='Gastos com Pessoal'!$E$513:$E$522)*(AV$3&lt;='Gastos com Pessoal'!$F$513:$F$522)*(IF('Gastos com Pessoal'!$AE$513:$AE$522&lt;=AV$3,1,0))*OFFSET('Gastos com Pessoal'!$H$512,1,MATCH(5&amp;$B48,'Gastos com Pessoal'!$I$532:$AJ$532&amp;'Gastos com Pessoal'!$I$512:$AJ$512,0),10,1)),0)</f>
        <v>25856.439999999904</v>
      </c>
      <c r="AW48" s="188">
        <f t="array" aca="1" ref="AW48" ca="1">_xlfn.IFNA(SUM((AW$3&gt;='Gastos com Pessoal'!$E$7:$E$506)*(AW$3&lt;='Gastos com Pessoal'!$F$7:$F$506)*OFFSET('Encargos e Benefícios'!$D$5,1,MATCH($B48,'Encargos e Benefícios'!$E$5:$AB$5,0),500,1)),0)+_xlfn.IFNA(SUM((AW$3&gt;='Gastos com Pessoal'!$E$513:$E$522)*(AW$3&lt;='Gastos com Pessoal'!$F$513:$F$522)*OFFSET('Encargos e Benefícios'!$D$511,1,MATCH($B48,'Encargos e Benefícios'!$E$511:$AB$511,0),10,1)),0)+_xlfn.IFNA(SUM((AW$3&gt;='Gastos com Pessoal'!$E$7:$E$506)*(AW$3&lt;='Gastos com Pessoal'!$F$7:$F$506)*(IF('Gastos com Pessoal'!$G$7:$G$506&lt;=AW$3,1,0))*OFFSET('Gastos com Pessoal'!$H$6,1,MATCH(1&amp;$B48,'Gastos com Pessoal'!$I$532:$AJ$532&amp;'Gastos com Pessoal'!$I$6:$AJ$6,0),500,1)),0)+_xlfn.IFNA(SUM((AW$3&gt;='Gastos com Pessoal'!$E$7:$E$506)*(AW$3&lt;='Gastos com Pessoal'!$F$7:$F$506)*(IF('Gastos com Pessoal'!$M$7:$M$506&lt;=AW$3,1,0))*OFFSET('Gastos com Pessoal'!$H$6,1,MATCH(2&amp;$B48,'Gastos com Pessoal'!$I$532:$AJ$532&amp;'Gastos com Pessoal'!$I$6:$AJ$6,0),500,1)),0)+_xlfn.IFNA(SUM((AW$3&gt;='Gastos com Pessoal'!$E$7:$E$506)*(AW$3&lt;='Gastos com Pessoal'!$F$7:$F$506)*(IF('Gastos com Pessoal'!$S$7:$S$506&lt;=AW$3,1,0))*OFFSET('Gastos com Pessoal'!$H$6,1,MATCH(3&amp;$B48,'Gastos com Pessoal'!$I$532:$AJ$532&amp;'Gastos com Pessoal'!$I$6:$AJ$6,0),500,1)),0)+_xlfn.IFNA(SUM((AW$3&gt;='Gastos com Pessoal'!$E$7:$E$506)*(AW$3&lt;='Gastos com Pessoal'!$F$7:$F$506)*(IF('Gastos com Pessoal'!$Y$7:$Y$506&lt;=AW$3,1,0))*OFFSET('Gastos com Pessoal'!$H$6,1,MATCH(4&amp;$B48,'Gastos com Pessoal'!$I$532:$AJ$532&amp;'Gastos com Pessoal'!$I$6:$AJ$6,0),500,1)),0)+_xlfn.IFNA(SUM((AW$3&gt;='Gastos com Pessoal'!$E$7:$E$506)*(AW$3&lt;='Gastos com Pessoal'!$F$7:$F$506)*(IF('Gastos com Pessoal'!$AE$7:$AE$506&lt;=AW$3,1,0))*OFFSET('Gastos com Pessoal'!$H$6,1,MATCH(5&amp;$B48,'Gastos com Pessoal'!$I$532:$AJ$532&amp;'Gastos com Pessoal'!$I$6:$AJ$6,0),500,1)),0)+_xlfn.IFNA(SUM((AW$3&gt;='Gastos com Pessoal'!$E$513:$E$522)*(AW$3&lt;='Gastos com Pessoal'!$F$513:$F$522)*(IF('Gastos com Pessoal'!$G$513:$G$522&lt;=AW$3,1,0))*OFFSET('Gastos com Pessoal'!$H$512,1,MATCH(1&amp;$B48,'Gastos com Pessoal'!$I$532:$AJ$532&amp;'Gastos com Pessoal'!$I$512:$AJ$512,0),10,1)),0)+_xlfn.IFNA(SUM((AW$3&gt;='Gastos com Pessoal'!$E$513:$E$522)*(AW$3&lt;='Gastos com Pessoal'!$F$513:$F$522)*(IF('Gastos com Pessoal'!$M$513:$M$522&lt;=AW$3,1,0))*OFFSET('Gastos com Pessoal'!$H$512,1,MATCH(2&amp;$B48,'Gastos com Pessoal'!$I$532:$AJ$532&amp;'Gastos com Pessoal'!$I$512:$AJ$512,0),10,1)),0)+_xlfn.IFNA(SUM((AW$3&gt;='Gastos com Pessoal'!$E$513:$E$522)*(AW$3&lt;='Gastos com Pessoal'!$F$513:$F$522)*(IF('Gastos com Pessoal'!$S$513:$S$522&lt;=AW$3,1,0))*OFFSET('Gastos com Pessoal'!$H$512,1,MATCH(3&amp;$B48,'Gastos com Pessoal'!$I$532:$AJ$532&amp;'Gastos com Pessoal'!$I$512:$AJ$512,0),10,1)),0)+_xlfn.IFNA(SUM((AW$3&gt;='Gastos com Pessoal'!$E$513:$E$522)*(AW$3&lt;='Gastos com Pessoal'!$F$513:$F$522)*(IF('Gastos com Pessoal'!$Y$513:$Y$522&lt;=AW$3,1,0))*OFFSET('Gastos com Pessoal'!$H$512,1,MATCH(4&amp;$B48,'Gastos com Pessoal'!$I$532:$AJ$532&amp;'Gastos com Pessoal'!$I$512:$AJ$512,0),10,1)),0)+_xlfn.IFNA(SUM((AW$3&gt;='Gastos com Pessoal'!$E$513:$E$522)*(AW$3&lt;='Gastos com Pessoal'!$F$513:$F$522)*(IF('Gastos com Pessoal'!$AE$513:$AE$522&lt;=AW$3,1,0))*OFFSET('Gastos com Pessoal'!$H$512,1,MATCH(5&amp;$B48,'Gastos com Pessoal'!$I$532:$AJ$532&amp;'Gastos com Pessoal'!$I$512:$AJ$512,0),10,1)),0)</f>
        <v>25856.439999999904</v>
      </c>
      <c r="AX48" s="188">
        <f t="array" aca="1" ref="AX48" ca="1">_xlfn.IFNA(SUM((AX$3&gt;='Gastos com Pessoal'!$E$7:$E$506)*(AX$3&lt;='Gastos com Pessoal'!$F$7:$F$506)*OFFSET('Encargos e Benefícios'!$D$5,1,MATCH($B48,'Encargos e Benefícios'!$E$5:$AB$5,0),500,1)),0)+_xlfn.IFNA(SUM((AX$3&gt;='Gastos com Pessoal'!$E$513:$E$522)*(AX$3&lt;='Gastos com Pessoal'!$F$513:$F$522)*OFFSET('Encargos e Benefícios'!$D$511,1,MATCH($B48,'Encargos e Benefícios'!$E$511:$AB$511,0),10,1)),0)+_xlfn.IFNA(SUM((AX$3&gt;='Gastos com Pessoal'!$E$7:$E$506)*(AX$3&lt;='Gastos com Pessoal'!$F$7:$F$506)*(IF('Gastos com Pessoal'!$G$7:$G$506&lt;=AX$3,1,0))*OFFSET('Gastos com Pessoal'!$H$6,1,MATCH(1&amp;$B48,'Gastos com Pessoal'!$I$532:$AJ$532&amp;'Gastos com Pessoal'!$I$6:$AJ$6,0),500,1)),0)+_xlfn.IFNA(SUM((AX$3&gt;='Gastos com Pessoal'!$E$7:$E$506)*(AX$3&lt;='Gastos com Pessoal'!$F$7:$F$506)*(IF('Gastos com Pessoal'!$M$7:$M$506&lt;=AX$3,1,0))*OFFSET('Gastos com Pessoal'!$H$6,1,MATCH(2&amp;$B48,'Gastos com Pessoal'!$I$532:$AJ$532&amp;'Gastos com Pessoal'!$I$6:$AJ$6,0),500,1)),0)+_xlfn.IFNA(SUM((AX$3&gt;='Gastos com Pessoal'!$E$7:$E$506)*(AX$3&lt;='Gastos com Pessoal'!$F$7:$F$506)*(IF('Gastos com Pessoal'!$S$7:$S$506&lt;=AX$3,1,0))*OFFSET('Gastos com Pessoal'!$H$6,1,MATCH(3&amp;$B48,'Gastos com Pessoal'!$I$532:$AJ$532&amp;'Gastos com Pessoal'!$I$6:$AJ$6,0),500,1)),0)+_xlfn.IFNA(SUM((AX$3&gt;='Gastos com Pessoal'!$E$7:$E$506)*(AX$3&lt;='Gastos com Pessoal'!$F$7:$F$506)*(IF('Gastos com Pessoal'!$Y$7:$Y$506&lt;=AX$3,1,0))*OFFSET('Gastos com Pessoal'!$H$6,1,MATCH(4&amp;$B48,'Gastos com Pessoal'!$I$532:$AJ$532&amp;'Gastos com Pessoal'!$I$6:$AJ$6,0),500,1)),0)+_xlfn.IFNA(SUM((AX$3&gt;='Gastos com Pessoal'!$E$7:$E$506)*(AX$3&lt;='Gastos com Pessoal'!$F$7:$F$506)*(IF('Gastos com Pessoal'!$AE$7:$AE$506&lt;=AX$3,1,0))*OFFSET('Gastos com Pessoal'!$H$6,1,MATCH(5&amp;$B48,'Gastos com Pessoal'!$I$532:$AJ$532&amp;'Gastos com Pessoal'!$I$6:$AJ$6,0),500,1)),0)+_xlfn.IFNA(SUM((AX$3&gt;='Gastos com Pessoal'!$E$513:$E$522)*(AX$3&lt;='Gastos com Pessoal'!$F$513:$F$522)*(IF('Gastos com Pessoal'!$G$513:$G$522&lt;=AX$3,1,0))*OFFSET('Gastos com Pessoal'!$H$512,1,MATCH(1&amp;$B48,'Gastos com Pessoal'!$I$532:$AJ$532&amp;'Gastos com Pessoal'!$I$512:$AJ$512,0),10,1)),0)+_xlfn.IFNA(SUM((AX$3&gt;='Gastos com Pessoal'!$E$513:$E$522)*(AX$3&lt;='Gastos com Pessoal'!$F$513:$F$522)*(IF('Gastos com Pessoal'!$M$513:$M$522&lt;=AX$3,1,0))*OFFSET('Gastos com Pessoal'!$H$512,1,MATCH(2&amp;$B48,'Gastos com Pessoal'!$I$532:$AJ$532&amp;'Gastos com Pessoal'!$I$512:$AJ$512,0),10,1)),0)+_xlfn.IFNA(SUM((AX$3&gt;='Gastos com Pessoal'!$E$513:$E$522)*(AX$3&lt;='Gastos com Pessoal'!$F$513:$F$522)*(IF('Gastos com Pessoal'!$S$513:$S$522&lt;=AX$3,1,0))*OFFSET('Gastos com Pessoal'!$H$512,1,MATCH(3&amp;$B48,'Gastos com Pessoal'!$I$532:$AJ$532&amp;'Gastos com Pessoal'!$I$512:$AJ$512,0),10,1)),0)+_xlfn.IFNA(SUM((AX$3&gt;='Gastos com Pessoal'!$E$513:$E$522)*(AX$3&lt;='Gastos com Pessoal'!$F$513:$F$522)*(IF('Gastos com Pessoal'!$Y$513:$Y$522&lt;=AX$3,1,0))*OFFSET('Gastos com Pessoal'!$H$512,1,MATCH(4&amp;$B48,'Gastos com Pessoal'!$I$532:$AJ$532&amp;'Gastos com Pessoal'!$I$512:$AJ$512,0),10,1)),0)+_xlfn.IFNA(SUM((AX$3&gt;='Gastos com Pessoal'!$E$513:$E$522)*(AX$3&lt;='Gastos com Pessoal'!$F$513:$F$522)*(IF('Gastos com Pessoal'!$AE$513:$AE$522&lt;=AX$3,1,0))*OFFSET('Gastos com Pessoal'!$H$512,1,MATCH(5&amp;$B48,'Gastos com Pessoal'!$I$532:$AJ$532&amp;'Gastos com Pessoal'!$I$512:$AJ$512,0),10,1)),0)</f>
        <v>25856.439999999904</v>
      </c>
      <c r="AY48" s="188">
        <f t="array" aca="1" ref="AY48" ca="1">_xlfn.IFNA(SUM((AY$3&gt;='Gastos com Pessoal'!$E$7:$E$506)*(AY$3&lt;='Gastos com Pessoal'!$F$7:$F$506)*OFFSET('Encargos e Benefícios'!$D$5,1,MATCH($B48,'Encargos e Benefícios'!$E$5:$AB$5,0),500,1)),0)+_xlfn.IFNA(SUM((AY$3&gt;='Gastos com Pessoal'!$E$513:$E$522)*(AY$3&lt;='Gastos com Pessoal'!$F$513:$F$522)*OFFSET('Encargos e Benefícios'!$D$511,1,MATCH($B48,'Encargos e Benefícios'!$E$511:$AB$511,0),10,1)),0)+_xlfn.IFNA(SUM((AY$3&gt;='Gastos com Pessoal'!$E$7:$E$506)*(AY$3&lt;='Gastos com Pessoal'!$F$7:$F$506)*(IF('Gastos com Pessoal'!$G$7:$G$506&lt;=AY$3,1,0))*OFFSET('Gastos com Pessoal'!$H$6,1,MATCH(1&amp;$B48,'Gastos com Pessoal'!$I$532:$AJ$532&amp;'Gastos com Pessoal'!$I$6:$AJ$6,0),500,1)),0)+_xlfn.IFNA(SUM((AY$3&gt;='Gastos com Pessoal'!$E$7:$E$506)*(AY$3&lt;='Gastos com Pessoal'!$F$7:$F$506)*(IF('Gastos com Pessoal'!$M$7:$M$506&lt;=AY$3,1,0))*OFFSET('Gastos com Pessoal'!$H$6,1,MATCH(2&amp;$B48,'Gastos com Pessoal'!$I$532:$AJ$532&amp;'Gastos com Pessoal'!$I$6:$AJ$6,0),500,1)),0)+_xlfn.IFNA(SUM((AY$3&gt;='Gastos com Pessoal'!$E$7:$E$506)*(AY$3&lt;='Gastos com Pessoal'!$F$7:$F$506)*(IF('Gastos com Pessoal'!$S$7:$S$506&lt;=AY$3,1,0))*OFFSET('Gastos com Pessoal'!$H$6,1,MATCH(3&amp;$B48,'Gastos com Pessoal'!$I$532:$AJ$532&amp;'Gastos com Pessoal'!$I$6:$AJ$6,0),500,1)),0)+_xlfn.IFNA(SUM((AY$3&gt;='Gastos com Pessoal'!$E$7:$E$506)*(AY$3&lt;='Gastos com Pessoal'!$F$7:$F$506)*(IF('Gastos com Pessoal'!$Y$7:$Y$506&lt;=AY$3,1,0))*OFFSET('Gastos com Pessoal'!$H$6,1,MATCH(4&amp;$B48,'Gastos com Pessoal'!$I$532:$AJ$532&amp;'Gastos com Pessoal'!$I$6:$AJ$6,0),500,1)),0)+_xlfn.IFNA(SUM((AY$3&gt;='Gastos com Pessoal'!$E$7:$E$506)*(AY$3&lt;='Gastos com Pessoal'!$F$7:$F$506)*(IF('Gastos com Pessoal'!$AE$7:$AE$506&lt;=AY$3,1,0))*OFFSET('Gastos com Pessoal'!$H$6,1,MATCH(5&amp;$B48,'Gastos com Pessoal'!$I$532:$AJ$532&amp;'Gastos com Pessoal'!$I$6:$AJ$6,0),500,1)),0)+_xlfn.IFNA(SUM((AY$3&gt;='Gastos com Pessoal'!$E$513:$E$522)*(AY$3&lt;='Gastos com Pessoal'!$F$513:$F$522)*(IF('Gastos com Pessoal'!$G$513:$G$522&lt;=AY$3,1,0))*OFFSET('Gastos com Pessoal'!$H$512,1,MATCH(1&amp;$B48,'Gastos com Pessoal'!$I$532:$AJ$532&amp;'Gastos com Pessoal'!$I$512:$AJ$512,0),10,1)),0)+_xlfn.IFNA(SUM((AY$3&gt;='Gastos com Pessoal'!$E$513:$E$522)*(AY$3&lt;='Gastos com Pessoal'!$F$513:$F$522)*(IF('Gastos com Pessoal'!$M$513:$M$522&lt;=AY$3,1,0))*OFFSET('Gastos com Pessoal'!$H$512,1,MATCH(2&amp;$B48,'Gastos com Pessoal'!$I$532:$AJ$532&amp;'Gastos com Pessoal'!$I$512:$AJ$512,0),10,1)),0)+_xlfn.IFNA(SUM((AY$3&gt;='Gastos com Pessoal'!$E$513:$E$522)*(AY$3&lt;='Gastos com Pessoal'!$F$513:$F$522)*(IF('Gastos com Pessoal'!$S$513:$S$522&lt;=AY$3,1,0))*OFFSET('Gastos com Pessoal'!$H$512,1,MATCH(3&amp;$B48,'Gastos com Pessoal'!$I$532:$AJ$532&amp;'Gastos com Pessoal'!$I$512:$AJ$512,0),10,1)),0)+_xlfn.IFNA(SUM((AY$3&gt;='Gastos com Pessoal'!$E$513:$E$522)*(AY$3&lt;='Gastos com Pessoal'!$F$513:$F$522)*(IF('Gastos com Pessoal'!$Y$513:$Y$522&lt;=AY$3,1,0))*OFFSET('Gastos com Pessoal'!$H$512,1,MATCH(4&amp;$B48,'Gastos com Pessoal'!$I$532:$AJ$532&amp;'Gastos com Pessoal'!$I$512:$AJ$512,0),10,1)),0)+_xlfn.IFNA(SUM((AY$3&gt;='Gastos com Pessoal'!$E$513:$E$522)*(AY$3&lt;='Gastos com Pessoal'!$F$513:$F$522)*(IF('Gastos com Pessoal'!$AE$513:$AE$522&lt;=AY$3,1,0))*OFFSET('Gastos com Pessoal'!$H$512,1,MATCH(5&amp;$B48,'Gastos com Pessoal'!$I$532:$AJ$532&amp;'Gastos com Pessoal'!$I$512:$AJ$512,0),10,1)),0)</f>
        <v>25856.439999999904</v>
      </c>
      <c r="AZ48" s="188">
        <f t="array" aca="1" ref="AZ48" ca="1">_xlfn.IFNA(SUM((AZ$3&gt;='Gastos com Pessoal'!$E$7:$E$506)*(AZ$3&lt;='Gastos com Pessoal'!$F$7:$F$506)*OFFSET('Encargos e Benefícios'!$D$5,1,MATCH($B48,'Encargos e Benefícios'!$E$5:$AB$5,0),500,1)),0)+_xlfn.IFNA(SUM((AZ$3&gt;='Gastos com Pessoal'!$E$513:$E$522)*(AZ$3&lt;='Gastos com Pessoal'!$F$513:$F$522)*OFFSET('Encargos e Benefícios'!$D$511,1,MATCH($B48,'Encargos e Benefícios'!$E$511:$AB$511,0),10,1)),0)+_xlfn.IFNA(SUM((AZ$3&gt;='Gastos com Pessoal'!$E$7:$E$506)*(AZ$3&lt;='Gastos com Pessoal'!$F$7:$F$506)*(IF('Gastos com Pessoal'!$G$7:$G$506&lt;=AZ$3,1,0))*OFFSET('Gastos com Pessoal'!$H$6,1,MATCH(1&amp;$B48,'Gastos com Pessoal'!$I$532:$AJ$532&amp;'Gastos com Pessoal'!$I$6:$AJ$6,0),500,1)),0)+_xlfn.IFNA(SUM((AZ$3&gt;='Gastos com Pessoal'!$E$7:$E$506)*(AZ$3&lt;='Gastos com Pessoal'!$F$7:$F$506)*(IF('Gastos com Pessoal'!$M$7:$M$506&lt;=AZ$3,1,0))*OFFSET('Gastos com Pessoal'!$H$6,1,MATCH(2&amp;$B48,'Gastos com Pessoal'!$I$532:$AJ$532&amp;'Gastos com Pessoal'!$I$6:$AJ$6,0),500,1)),0)+_xlfn.IFNA(SUM((AZ$3&gt;='Gastos com Pessoal'!$E$7:$E$506)*(AZ$3&lt;='Gastos com Pessoal'!$F$7:$F$506)*(IF('Gastos com Pessoal'!$S$7:$S$506&lt;=AZ$3,1,0))*OFFSET('Gastos com Pessoal'!$H$6,1,MATCH(3&amp;$B48,'Gastos com Pessoal'!$I$532:$AJ$532&amp;'Gastos com Pessoal'!$I$6:$AJ$6,0),500,1)),0)+_xlfn.IFNA(SUM((AZ$3&gt;='Gastos com Pessoal'!$E$7:$E$506)*(AZ$3&lt;='Gastos com Pessoal'!$F$7:$F$506)*(IF('Gastos com Pessoal'!$Y$7:$Y$506&lt;=AZ$3,1,0))*OFFSET('Gastos com Pessoal'!$H$6,1,MATCH(4&amp;$B48,'Gastos com Pessoal'!$I$532:$AJ$532&amp;'Gastos com Pessoal'!$I$6:$AJ$6,0),500,1)),0)+_xlfn.IFNA(SUM((AZ$3&gt;='Gastos com Pessoal'!$E$7:$E$506)*(AZ$3&lt;='Gastos com Pessoal'!$F$7:$F$506)*(IF('Gastos com Pessoal'!$AE$7:$AE$506&lt;=AZ$3,1,0))*OFFSET('Gastos com Pessoal'!$H$6,1,MATCH(5&amp;$B48,'Gastos com Pessoal'!$I$532:$AJ$532&amp;'Gastos com Pessoal'!$I$6:$AJ$6,0),500,1)),0)+_xlfn.IFNA(SUM((AZ$3&gt;='Gastos com Pessoal'!$E$513:$E$522)*(AZ$3&lt;='Gastos com Pessoal'!$F$513:$F$522)*(IF('Gastos com Pessoal'!$G$513:$G$522&lt;=AZ$3,1,0))*OFFSET('Gastos com Pessoal'!$H$512,1,MATCH(1&amp;$B48,'Gastos com Pessoal'!$I$532:$AJ$532&amp;'Gastos com Pessoal'!$I$512:$AJ$512,0),10,1)),0)+_xlfn.IFNA(SUM((AZ$3&gt;='Gastos com Pessoal'!$E$513:$E$522)*(AZ$3&lt;='Gastos com Pessoal'!$F$513:$F$522)*(IF('Gastos com Pessoal'!$M$513:$M$522&lt;=AZ$3,1,0))*OFFSET('Gastos com Pessoal'!$H$512,1,MATCH(2&amp;$B48,'Gastos com Pessoal'!$I$532:$AJ$532&amp;'Gastos com Pessoal'!$I$512:$AJ$512,0),10,1)),0)+_xlfn.IFNA(SUM((AZ$3&gt;='Gastos com Pessoal'!$E$513:$E$522)*(AZ$3&lt;='Gastos com Pessoal'!$F$513:$F$522)*(IF('Gastos com Pessoal'!$S$513:$S$522&lt;=AZ$3,1,0))*OFFSET('Gastos com Pessoal'!$H$512,1,MATCH(3&amp;$B48,'Gastos com Pessoal'!$I$532:$AJ$532&amp;'Gastos com Pessoal'!$I$512:$AJ$512,0),10,1)),0)+_xlfn.IFNA(SUM((AZ$3&gt;='Gastos com Pessoal'!$E$513:$E$522)*(AZ$3&lt;='Gastos com Pessoal'!$F$513:$F$522)*(IF('Gastos com Pessoal'!$Y$513:$Y$522&lt;=AZ$3,1,0))*OFFSET('Gastos com Pessoal'!$H$512,1,MATCH(4&amp;$B48,'Gastos com Pessoal'!$I$532:$AJ$532&amp;'Gastos com Pessoal'!$I$512:$AJ$512,0),10,1)),0)+_xlfn.IFNA(SUM((AZ$3&gt;='Gastos com Pessoal'!$E$513:$E$522)*(AZ$3&lt;='Gastos com Pessoal'!$F$513:$F$522)*(IF('Gastos com Pessoal'!$AE$513:$AE$522&lt;=AZ$3,1,0))*OFFSET('Gastos com Pessoal'!$H$512,1,MATCH(5&amp;$B48,'Gastos com Pessoal'!$I$532:$AJ$532&amp;'Gastos com Pessoal'!$I$512:$AJ$512,0),10,1)),0)</f>
        <v>25856.439999999904</v>
      </c>
      <c r="BA48" s="188">
        <f t="array" aca="1" ref="BA48" ca="1">_xlfn.IFNA(SUM((BA$3&gt;='Gastos com Pessoal'!$E$7:$E$506)*(BA$3&lt;='Gastos com Pessoal'!$F$7:$F$506)*OFFSET('Encargos e Benefícios'!$D$5,1,MATCH($B48,'Encargos e Benefícios'!$E$5:$AB$5,0),500,1)),0)+_xlfn.IFNA(SUM((BA$3&gt;='Gastos com Pessoal'!$E$513:$E$522)*(BA$3&lt;='Gastos com Pessoal'!$F$513:$F$522)*OFFSET('Encargos e Benefícios'!$D$511,1,MATCH($B48,'Encargos e Benefícios'!$E$511:$AB$511,0),10,1)),0)+_xlfn.IFNA(SUM((BA$3&gt;='Gastos com Pessoal'!$E$7:$E$506)*(BA$3&lt;='Gastos com Pessoal'!$F$7:$F$506)*(IF('Gastos com Pessoal'!$G$7:$G$506&lt;=BA$3,1,0))*OFFSET('Gastos com Pessoal'!$H$6,1,MATCH(1&amp;$B48,'Gastos com Pessoal'!$I$532:$AJ$532&amp;'Gastos com Pessoal'!$I$6:$AJ$6,0),500,1)),0)+_xlfn.IFNA(SUM((BA$3&gt;='Gastos com Pessoal'!$E$7:$E$506)*(BA$3&lt;='Gastos com Pessoal'!$F$7:$F$506)*(IF('Gastos com Pessoal'!$M$7:$M$506&lt;=BA$3,1,0))*OFFSET('Gastos com Pessoal'!$H$6,1,MATCH(2&amp;$B48,'Gastos com Pessoal'!$I$532:$AJ$532&amp;'Gastos com Pessoal'!$I$6:$AJ$6,0),500,1)),0)+_xlfn.IFNA(SUM((BA$3&gt;='Gastos com Pessoal'!$E$7:$E$506)*(BA$3&lt;='Gastos com Pessoal'!$F$7:$F$506)*(IF('Gastos com Pessoal'!$S$7:$S$506&lt;=BA$3,1,0))*OFFSET('Gastos com Pessoal'!$H$6,1,MATCH(3&amp;$B48,'Gastos com Pessoal'!$I$532:$AJ$532&amp;'Gastos com Pessoal'!$I$6:$AJ$6,0),500,1)),0)+_xlfn.IFNA(SUM((BA$3&gt;='Gastos com Pessoal'!$E$7:$E$506)*(BA$3&lt;='Gastos com Pessoal'!$F$7:$F$506)*(IF('Gastos com Pessoal'!$Y$7:$Y$506&lt;=BA$3,1,0))*OFFSET('Gastos com Pessoal'!$H$6,1,MATCH(4&amp;$B48,'Gastos com Pessoal'!$I$532:$AJ$532&amp;'Gastos com Pessoal'!$I$6:$AJ$6,0),500,1)),0)+_xlfn.IFNA(SUM((BA$3&gt;='Gastos com Pessoal'!$E$7:$E$506)*(BA$3&lt;='Gastos com Pessoal'!$F$7:$F$506)*(IF('Gastos com Pessoal'!$AE$7:$AE$506&lt;=BA$3,1,0))*OFFSET('Gastos com Pessoal'!$H$6,1,MATCH(5&amp;$B48,'Gastos com Pessoal'!$I$532:$AJ$532&amp;'Gastos com Pessoal'!$I$6:$AJ$6,0),500,1)),0)+_xlfn.IFNA(SUM((BA$3&gt;='Gastos com Pessoal'!$E$513:$E$522)*(BA$3&lt;='Gastos com Pessoal'!$F$513:$F$522)*(IF('Gastos com Pessoal'!$G$513:$G$522&lt;=BA$3,1,0))*OFFSET('Gastos com Pessoal'!$H$512,1,MATCH(1&amp;$B48,'Gastos com Pessoal'!$I$532:$AJ$532&amp;'Gastos com Pessoal'!$I$512:$AJ$512,0),10,1)),0)+_xlfn.IFNA(SUM((BA$3&gt;='Gastos com Pessoal'!$E$513:$E$522)*(BA$3&lt;='Gastos com Pessoal'!$F$513:$F$522)*(IF('Gastos com Pessoal'!$M$513:$M$522&lt;=BA$3,1,0))*OFFSET('Gastos com Pessoal'!$H$512,1,MATCH(2&amp;$B48,'Gastos com Pessoal'!$I$532:$AJ$532&amp;'Gastos com Pessoal'!$I$512:$AJ$512,0),10,1)),0)+_xlfn.IFNA(SUM((BA$3&gt;='Gastos com Pessoal'!$E$513:$E$522)*(BA$3&lt;='Gastos com Pessoal'!$F$513:$F$522)*(IF('Gastos com Pessoal'!$S$513:$S$522&lt;=BA$3,1,0))*OFFSET('Gastos com Pessoal'!$H$512,1,MATCH(3&amp;$B48,'Gastos com Pessoal'!$I$532:$AJ$532&amp;'Gastos com Pessoal'!$I$512:$AJ$512,0),10,1)),0)+_xlfn.IFNA(SUM((BA$3&gt;='Gastos com Pessoal'!$E$513:$E$522)*(BA$3&lt;='Gastos com Pessoal'!$F$513:$F$522)*(IF('Gastos com Pessoal'!$Y$513:$Y$522&lt;=BA$3,1,0))*OFFSET('Gastos com Pessoal'!$H$512,1,MATCH(4&amp;$B48,'Gastos com Pessoal'!$I$532:$AJ$532&amp;'Gastos com Pessoal'!$I$512:$AJ$512,0),10,1)),0)+_xlfn.IFNA(SUM((BA$3&gt;='Gastos com Pessoal'!$E$513:$E$522)*(BA$3&lt;='Gastos com Pessoal'!$F$513:$F$522)*(IF('Gastos com Pessoal'!$AE$513:$AE$522&lt;=BA$3,1,0))*OFFSET('Gastos com Pessoal'!$H$512,1,MATCH(5&amp;$B48,'Gastos com Pessoal'!$I$532:$AJ$532&amp;'Gastos com Pessoal'!$I$512:$AJ$512,0),10,1)),0)</f>
        <v>25856.439999999904</v>
      </c>
      <c r="BB48" s="188">
        <f t="array" aca="1" ref="BB48" ca="1">_xlfn.IFNA(SUM((BB$3&gt;='Gastos com Pessoal'!$E$7:$E$506)*(BB$3&lt;='Gastos com Pessoal'!$F$7:$F$506)*OFFSET('Encargos e Benefícios'!$D$5,1,MATCH($B48,'Encargos e Benefícios'!$E$5:$AB$5,0),500,1)),0)+_xlfn.IFNA(SUM((BB$3&gt;='Gastos com Pessoal'!$E$513:$E$522)*(BB$3&lt;='Gastos com Pessoal'!$F$513:$F$522)*OFFSET('Encargos e Benefícios'!$D$511,1,MATCH($B48,'Encargos e Benefícios'!$E$511:$AB$511,0),10,1)),0)+_xlfn.IFNA(SUM((BB$3&gt;='Gastos com Pessoal'!$E$7:$E$506)*(BB$3&lt;='Gastos com Pessoal'!$F$7:$F$506)*(IF('Gastos com Pessoal'!$G$7:$G$506&lt;=BB$3,1,0))*OFFSET('Gastos com Pessoal'!$H$6,1,MATCH(1&amp;$B48,'Gastos com Pessoal'!$I$532:$AJ$532&amp;'Gastos com Pessoal'!$I$6:$AJ$6,0),500,1)),0)+_xlfn.IFNA(SUM((BB$3&gt;='Gastos com Pessoal'!$E$7:$E$506)*(BB$3&lt;='Gastos com Pessoal'!$F$7:$F$506)*(IF('Gastos com Pessoal'!$M$7:$M$506&lt;=BB$3,1,0))*OFFSET('Gastos com Pessoal'!$H$6,1,MATCH(2&amp;$B48,'Gastos com Pessoal'!$I$532:$AJ$532&amp;'Gastos com Pessoal'!$I$6:$AJ$6,0),500,1)),0)+_xlfn.IFNA(SUM((BB$3&gt;='Gastos com Pessoal'!$E$7:$E$506)*(BB$3&lt;='Gastos com Pessoal'!$F$7:$F$506)*(IF('Gastos com Pessoal'!$S$7:$S$506&lt;=BB$3,1,0))*OFFSET('Gastos com Pessoal'!$H$6,1,MATCH(3&amp;$B48,'Gastos com Pessoal'!$I$532:$AJ$532&amp;'Gastos com Pessoal'!$I$6:$AJ$6,0),500,1)),0)+_xlfn.IFNA(SUM((BB$3&gt;='Gastos com Pessoal'!$E$7:$E$506)*(BB$3&lt;='Gastos com Pessoal'!$F$7:$F$506)*(IF('Gastos com Pessoal'!$Y$7:$Y$506&lt;=BB$3,1,0))*OFFSET('Gastos com Pessoal'!$H$6,1,MATCH(4&amp;$B48,'Gastos com Pessoal'!$I$532:$AJ$532&amp;'Gastos com Pessoal'!$I$6:$AJ$6,0),500,1)),0)+_xlfn.IFNA(SUM((BB$3&gt;='Gastos com Pessoal'!$E$7:$E$506)*(BB$3&lt;='Gastos com Pessoal'!$F$7:$F$506)*(IF('Gastos com Pessoal'!$AE$7:$AE$506&lt;=BB$3,1,0))*OFFSET('Gastos com Pessoal'!$H$6,1,MATCH(5&amp;$B48,'Gastos com Pessoal'!$I$532:$AJ$532&amp;'Gastos com Pessoal'!$I$6:$AJ$6,0),500,1)),0)+_xlfn.IFNA(SUM((BB$3&gt;='Gastos com Pessoal'!$E$513:$E$522)*(BB$3&lt;='Gastos com Pessoal'!$F$513:$F$522)*(IF('Gastos com Pessoal'!$G$513:$G$522&lt;=BB$3,1,0))*OFFSET('Gastos com Pessoal'!$H$512,1,MATCH(1&amp;$B48,'Gastos com Pessoal'!$I$532:$AJ$532&amp;'Gastos com Pessoal'!$I$512:$AJ$512,0),10,1)),0)+_xlfn.IFNA(SUM((BB$3&gt;='Gastos com Pessoal'!$E$513:$E$522)*(BB$3&lt;='Gastos com Pessoal'!$F$513:$F$522)*(IF('Gastos com Pessoal'!$M$513:$M$522&lt;=BB$3,1,0))*OFFSET('Gastos com Pessoal'!$H$512,1,MATCH(2&amp;$B48,'Gastos com Pessoal'!$I$532:$AJ$532&amp;'Gastos com Pessoal'!$I$512:$AJ$512,0),10,1)),0)+_xlfn.IFNA(SUM((BB$3&gt;='Gastos com Pessoal'!$E$513:$E$522)*(BB$3&lt;='Gastos com Pessoal'!$F$513:$F$522)*(IF('Gastos com Pessoal'!$S$513:$S$522&lt;=BB$3,1,0))*OFFSET('Gastos com Pessoal'!$H$512,1,MATCH(3&amp;$B48,'Gastos com Pessoal'!$I$532:$AJ$532&amp;'Gastos com Pessoal'!$I$512:$AJ$512,0),10,1)),0)+_xlfn.IFNA(SUM((BB$3&gt;='Gastos com Pessoal'!$E$513:$E$522)*(BB$3&lt;='Gastos com Pessoal'!$F$513:$F$522)*(IF('Gastos com Pessoal'!$Y$513:$Y$522&lt;=BB$3,1,0))*OFFSET('Gastos com Pessoal'!$H$512,1,MATCH(4&amp;$B48,'Gastos com Pessoal'!$I$532:$AJ$532&amp;'Gastos com Pessoal'!$I$512:$AJ$512,0),10,1)),0)+_xlfn.IFNA(SUM((BB$3&gt;='Gastos com Pessoal'!$E$513:$E$522)*(BB$3&lt;='Gastos com Pessoal'!$F$513:$F$522)*(IF('Gastos com Pessoal'!$AE$513:$AE$522&lt;=BB$3,1,0))*OFFSET('Gastos com Pessoal'!$H$512,1,MATCH(5&amp;$B48,'Gastos com Pessoal'!$I$532:$AJ$532&amp;'Gastos com Pessoal'!$I$512:$AJ$512,0),10,1)),0)</f>
        <v>25856.439999999904</v>
      </c>
      <c r="BC48" s="188">
        <f t="array" aca="1" ref="BC48" ca="1">_xlfn.IFNA(SUM((BC$3&gt;='Gastos com Pessoal'!$E$7:$E$506)*(BC$3&lt;='Gastos com Pessoal'!$F$7:$F$506)*OFFSET('Encargos e Benefícios'!$D$5,1,MATCH($B48,'Encargos e Benefícios'!$E$5:$AB$5,0),500,1)),0)+_xlfn.IFNA(SUM((BC$3&gt;='Gastos com Pessoal'!$E$513:$E$522)*(BC$3&lt;='Gastos com Pessoal'!$F$513:$F$522)*OFFSET('Encargos e Benefícios'!$D$511,1,MATCH($B48,'Encargos e Benefícios'!$E$511:$AB$511,0),10,1)),0)+_xlfn.IFNA(SUM((BC$3&gt;='Gastos com Pessoal'!$E$7:$E$506)*(BC$3&lt;='Gastos com Pessoal'!$F$7:$F$506)*(IF('Gastos com Pessoal'!$G$7:$G$506&lt;=BC$3,1,0))*OFFSET('Gastos com Pessoal'!$H$6,1,MATCH(1&amp;$B48,'Gastos com Pessoal'!$I$532:$AJ$532&amp;'Gastos com Pessoal'!$I$6:$AJ$6,0),500,1)),0)+_xlfn.IFNA(SUM((BC$3&gt;='Gastos com Pessoal'!$E$7:$E$506)*(BC$3&lt;='Gastos com Pessoal'!$F$7:$F$506)*(IF('Gastos com Pessoal'!$M$7:$M$506&lt;=BC$3,1,0))*OFFSET('Gastos com Pessoal'!$H$6,1,MATCH(2&amp;$B48,'Gastos com Pessoal'!$I$532:$AJ$532&amp;'Gastos com Pessoal'!$I$6:$AJ$6,0),500,1)),0)+_xlfn.IFNA(SUM((BC$3&gt;='Gastos com Pessoal'!$E$7:$E$506)*(BC$3&lt;='Gastos com Pessoal'!$F$7:$F$506)*(IF('Gastos com Pessoal'!$S$7:$S$506&lt;=BC$3,1,0))*OFFSET('Gastos com Pessoal'!$H$6,1,MATCH(3&amp;$B48,'Gastos com Pessoal'!$I$532:$AJ$532&amp;'Gastos com Pessoal'!$I$6:$AJ$6,0),500,1)),0)+_xlfn.IFNA(SUM((BC$3&gt;='Gastos com Pessoal'!$E$7:$E$506)*(BC$3&lt;='Gastos com Pessoal'!$F$7:$F$506)*(IF('Gastos com Pessoal'!$Y$7:$Y$506&lt;=BC$3,1,0))*OFFSET('Gastos com Pessoal'!$H$6,1,MATCH(4&amp;$B48,'Gastos com Pessoal'!$I$532:$AJ$532&amp;'Gastos com Pessoal'!$I$6:$AJ$6,0),500,1)),0)+_xlfn.IFNA(SUM((BC$3&gt;='Gastos com Pessoal'!$E$7:$E$506)*(BC$3&lt;='Gastos com Pessoal'!$F$7:$F$506)*(IF('Gastos com Pessoal'!$AE$7:$AE$506&lt;=BC$3,1,0))*OFFSET('Gastos com Pessoal'!$H$6,1,MATCH(5&amp;$B48,'Gastos com Pessoal'!$I$532:$AJ$532&amp;'Gastos com Pessoal'!$I$6:$AJ$6,0),500,1)),0)+_xlfn.IFNA(SUM((BC$3&gt;='Gastos com Pessoal'!$E$513:$E$522)*(BC$3&lt;='Gastos com Pessoal'!$F$513:$F$522)*(IF('Gastos com Pessoal'!$G$513:$G$522&lt;=BC$3,1,0))*OFFSET('Gastos com Pessoal'!$H$512,1,MATCH(1&amp;$B48,'Gastos com Pessoal'!$I$532:$AJ$532&amp;'Gastos com Pessoal'!$I$512:$AJ$512,0),10,1)),0)+_xlfn.IFNA(SUM((BC$3&gt;='Gastos com Pessoal'!$E$513:$E$522)*(BC$3&lt;='Gastos com Pessoal'!$F$513:$F$522)*(IF('Gastos com Pessoal'!$M$513:$M$522&lt;=BC$3,1,0))*OFFSET('Gastos com Pessoal'!$H$512,1,MATCH(2&amp;$B48,'Gastos com Pessoal'!$I$532:$AJ$532&amp;'Gastos com Pessoal'!$I$512:$AJ$512,0),10,1)),0)+_xlfn.IFNA(SUM((BC$3&gt;='Gastos com Pessoal'!$E$513:$E$522)*(BC$3&lt;='Gastos com Pessoal'!$F$513:$F$522)*(IF('Gastos com Pessoal'!$S$513:$S$522&lt;=BC$3,1,0))*OFFSET('Gastos com Pessoal'!$H$512,1,MATCH(3&amp;$B48,'Gastos com Pessoal'!$I$532:$AJ$532&amp;'Gastos com Pessoal'!$I$512:$AJ$512,0),10,1)),0)+_xlfn.IFNA(SUM((BC$3&gt;='Gastos com Pessoal'!$E$513:$E$522)*(BC$3&lt;='Gastos com Pessoal'!$F$513:$F$522)*(IF('Gastos com Pessoal'!$Y$513:$Y$522&lt;=BC$3,1,0))*OFFSET('Gastos com Pessoal'!$H$512,1,MATCH(4&amp;$B48,'Gastos com Pessoal'!$I$532:$AJ$532&amp;'Gastos com Pessoal'!$I$512:$AJ$512,0),10,1)),0)+_xlfn.IFNA(SUM((BC$3&gt;='Gastos com Pessoal'!$E$513:$E$522)*(BC$3&lt;='Gastos com Pessoal'!$F$513:$F$522)*(IF('Gastos com Pessoal'!$AE$513:$AE$522&lt;=BC$3,1,0))*OFFSET('Gastos com Pessoal'!$H$512,1,MATCH(5&amp;$B48,'Gastos com Pessoal'!$I$532:$AJ$532&amp;'Gastos com Pessoal'!$I$512:$AJ$512,0),10,1)),0)</f>
        <v>25856.439999999904</v>
      </c>
      <c r="BD48" s="188">
        <f t="array" aca="1" ref="BD48" ca="1">_xlfn.IFNA(SUM((BD$3&gt;='Gastos com Pessoal'!$E$7:$E$506)*(BD$3&lt;='Gastos com Pessoal'!$F$7:$F$506)*OFFSET('Encargos e Benefícios'!$D$5,1,MATCH($B48,'Encargos e Benefícios'!$E$5:$AB$5,0),500,1)),0)+_xlfn.IFNA(SUM((BD$3&gt;='Gastos com Pessoal'!$E$513:$E$522)*(BD$3&lt;='Gastos com Pessoal'!$F$513:$F$522)*OFFSET('Encargos e Benefícios'!$D$511,1,MATCH($B48,'Encargos e Benefícios'!$E$511:$AB$511,0),10,1)),0)+_xlfn.IFNA(SUM((BD$3&gt;='Gastos com Pessoal'!$E$7:$E$506)*(BD$3&lt;='Gastos com Pessoal'!$F$7:$F$506)*(IF('Gastos com Pessoal'!$G$7:$G$506&lt;=BD$3,1,0))*OFFSET('Gastos com Pessoal'!$H$6,1,MATCH(1&amp;$B48,'Gastos com Pessoal'!$I$532:$AJ$532&amp;'Gastos com Pessoal'!$I$6:$AJ$6,0),500,1)),0)+_xlfn.IFNA(SUM((BD$3&gt;='Gastos com Pessoal'!$E$7:$E$506)*(BD$3&lt;='Gastos com Pessoal'!$F$7:$F$506)*(IF('Gastos com Pessoal'!$M$7:$M$506&lt;=BD$3,1,0))*OFFSET('Gastos com Pessoal'!$H$6,1,MATCH(2&amp;$B48,'Gastos com Pessoal'!$I$532:$AJ$532&amp;'Gastos com Pessoal'!$I$6:$AJ$6,0),500,1)),0)+_xlfn.IFNA(SUM((BD$3&gt;='Gastos com Pessoal'!$E$7:$E$506)*(BD$3&lt;='Gastos com Pessoal'!$F$7:$F$506)*(IF('Gastos com Pessoal'!$S$7:$S$506&lt;=BD$3,1,0))*OFFSET('Gastos com Pessoal'!$H$6,1,MATCH(3&amp;$B48,'Gastos com Pessoal'!$I$532:$AJ$532&amp;'Gastos com Pessoal'!$I$6:$AJ$6,0),500,1)),0)+_xlfn.IFNA(SUM((BD$3&gt;='Gastos com Pessoal'!$E$7:$E$506)*(BD$3&lt;='Gastos com Pessoal'!$F$7:$F$506)*(IF('Gastos com Pessoal'!$Y$7:$Y$506&lt;=BD$3,1,0))*OFFSET('Gastos com Pessoal'!$H$6,1,MATCH(4&amp;$B48,'Gastos com Pessoal'!$I$532:$AJ$532&amp;'Gastos com Pessoal'!$I$6:$AJ$6,0),500,1)),0)+_xlfn.IFNA(SUM((BD$3&gt;='Gastos com Pessoal'!$E$7:$E$506)*(BD$3&lt;='Gastos com Pessoal'!$F$7:$F$506)*(IF('Gastos com Pessoal'!$AE$7:$AE$506&lt;=BD$3,1,0))*OFFSET('Gastos com Pessoal'!$H$6,1,MATCH(5&amp;$B48,'Gastos com Pessoal'!$I$532:$AJ$532&amp;'Gastos com Pessoal'!$I$6:$AJ$6,0),500,1)),0)+_xlfn.IFNA(SUM((BD$3&gt;='Gastos com Pessoal'!$E$513:$E$522)*(BD$3&lt;='Gastos com Pessoal'!$F$513:$F$522)*(IF('Gastos com Pessoal'!$G$513:$G$522&lt;=BD$3,1,0))*OFFSET('Gastos com Pessoal'!$H$512,1,MATCH(1&amp;$B48,'Gastos com Pessoal'!$I$532:$AJ$532&amp;'Gastos com Pessoal'!$I$512:$AJ$512,0),10,1)),0)+_xlfn.IFNA(SUM((BD$3&gt;='Gastos com Pessoal'!$E$513:$E$522)*(BD$3&lt;='Gastos com Pessoal'!$F$513:$F$522)*(IF('Gastos com Pessoal'!$M$513:$M$522&lt;=BD$3,1,0))*OFFSET('Gastos com Pessoal'!$H$512,1,MATCH(2&amp;$B48,'Gastos com Pessoal'!$I$532:$AJ$532&amp;'Gastos com Pessoal'!$I$512:$AJ$512,0),10,1)),0)+_xlfn.IFNA(SUM((BD$3&gt;='Gastos com Pessoal'!$E$513:$E$522)*(BD$3&lt;='Gastos com Pessoal'!$F$513:$F$522)*(IF('Gastos com Pessoal'!$S$513:$S$522&lt;=BD$3,1,0))*OFFSET('Gastos com Pessoal'!$H$512,1,MATCH(3&amp;$B48,'Gastos com Pessoal'!$I$532:$AJ$532&amp;'Gastos com Pessoal'!$I$512:$AJ$512,0),10,1)),0)+_xlfn.IFNA(SUM((BD$3&gt;='Gastos com Pessoal'!$E$513:$E$522)*(BD$3&lt;='Gastos com Pessoal'!$F$513:$F$522)*(IF('Gastos com Pessoal'!$Y$513:$Y$522&lt;=BD$3,1,0))*OFFSET('Gastos com Pessoal'!$H$512,1,MATCH(4&amp;$B48,'Gastos com Pessoal'!$I$532:$AJ$532&amp;'Gastos com Pessoal'!$I$512:$AJ$512,0),10,1)),0)+_xlfn.IFNA(SUM((BD$3&gt;='Gastos com Pessoal'!$E$513:$E$522)*(BD$3&lt;='Gastos com Pessoal'!$F$513:$F$522)*(IF('Gastos com Pessoal'!$AE$513:$AE$522&lt;=BD$3,1,0))*OFFSET('Gastos com Pessoal'!$H$512,1,MATCH(5&amp;$B48,'Gastos com Pessoal'!$I$532:$AJ$532&amp;'Gastos com Pessoal'!$I$512:$AJ$512,0),10,1)),0)</f>
        <v>25856.439999999904</v>
      </c>
      <c r="BE48" s="188">
        <f t="array" aca="1" ref="BE48" ca="1">_xlfn.IFNA(SUM((BE$3&gt;='Gastos com Pessoal'!$E$7:$E$506)*(BE$3&lt;='Gastos com Pessoal'!$F$7:$F$506)*OFFSET('Encargos e Benefícios'!$D$5,1,MATCH($B48,'Encargos e Benefícios'!$E$5:$AB$5,0),500,1)),0)+_xlfn.IFNA(SUM((BE$3&gt;='Gastos com Pessoal'!$E$513:$E$522)*(BE$3&lt;='Gastos com Pessoal'!$F$513:$F$522)*OFFSET('Encargos e Benefícios'!$D$511,1,MATCH($B48,'Encargos e Benefícios'!$E$511:$AB$511,0),10,1)),0)+_xlfn.IFNA(SUM((BE$3&gt;='Gastos com Pessoal'!$E$7:$E$506)*(BE$3&lt;='Gastos com Pessoal'!$F$7:$F$506)*(IF('Gastos com Pessoal'!$G$7:$G$506&lt;=BE$3,1,0))*OFFSET('Gastos com Pessoal'!$H$6,1,MATCH(1&amp;$B48,'Gastos com Pessoal'!$I$532:$AJ$532&amp;'Gastos com Pessoal'!$I$6:$AJ$6,0),500,1)),0)+_xlfn.IFNA(SUM((BE$3&gt;='Gastos com Pessoal'!$E$7:$E$506)*(BE$3&lt;='Gastos com Pessoal'!$F$7:$F$506)*(IF('Gastos com Pessoal'!$M$7:$M$506&lt;=BE$3,1,0))*OFFSET('Gastos com Pessoal'!$H$6,1,MATCH(2&amp;$B48,'Gastos com Pessoal'!$I$532:$AJ$532&amp;'Gastos com Pessoal'!$I$6:$AJ$6,0),500,1)),0)+_xlfn.IFNA(SUM((BE$3&gt;='Gastos com Pessoal'!$E$7:$E$506)*(BE$3&lt;='Gastos com Pessoal'!$F$7:$F$506)*(IF('Gastos com Pessoal'!$S$7:$S$506&lt;=BE$3,1,0))*OFFSET('Gastos com Pessoal'!$H$6,1,MATCH(3&amp;$B48,'Gastos com Pessoal'!$I$532:$AJ$532&amp;'Gastos com Pessoal'!$I$6:$AJ$6,0),500,1)),0)+_xlfn.IFNA(SUM((BE$3&gt;='Gastos com Pessoal'!$E$7:$E$506)*(BE$3&lt;='Gastos com Pessoal'!$F$7:$F$506)*(IF('Gastos com Pessoal'!$Y$7:$Y$506&lt;=BE$3,1,0))*OFFSET('Gastos com Pessoal'!$H$6,1,MATCH(4&amp;$B48,'Gastos com Pessoal'!$I$532:$AJ$532&amp;'Gastos com Pessoal'!$I$6:$AJ$6,0),500,1)),0)+_xlfn.IFNA(SUM((BE$3&gt;='Gastos com Pessoal'!$E$7:$E$506)*(BE$3&lt;='Gastos com Pessoal'!$F$7:$F$506)*(IF('Gastos com Pessoal'!$AE$7:$AE$506&lt;=BE$3,1,0))*OFFSET('Gastos com Pessoal'!$H$6,1,MATCH(5&amp;$B48,'Gastos com Pessoal'!$I$532:$AJ$532&amp;'Gastos com Pessoal'!$I$6:$AJ$6,0),500,1)),0)+_xlfn.IFNA(SUM((BE$3&gt;='Gastos com Pessoal'!$E$513:$E$522)*(BE$3&lt;='Gastos com Pessoal'!$F$513:$F$522)*(IF('Gastos com Pessoal'!$G$513:$G$522&lt;=BE$3,1,0))*OFFSET('Gastos com Pessoal'!$H$512,1,MATCH(1&amp;$B48,'Gastos com Pessoal'!$I$532:$AJ$532&amp;'Gastos com Pessoal'!$I$512:$AJ$512,0),10,1)),0)+_xlfn.IFNA(SUM((BE$3&gt;='Gastos com Pessoal'!$E$513:$E$522)*(BE$3&lt;='Gastos com Pessoal'!$F$513:$F$522)*(IF('Gastos com Pessoal'!$M$513:$M$522&lt;=BE$3,1,0))*OFFSET('Gastos com Pessoal'!$H$512,1,MATCH(2&amp;$B48,'Gastos com Pessoal'!$I$532:$AJ$532&amp;'Gastos com Pessoal'!$I$512:$AJ$512,0),10,1)),0)+_xlfn.IFNA(SUM((BE$3&gt;='Gastos com Pessoal'!$E$513:$E$522)*(BE$3&lt;='Gastos com Pessoal'!$F$513:$F$522)*(IF('Gastos com Pessoal'!$S$513:$S$522&lt;=BE$3,1,0))*OFFSET('Gastos com Pessoal'!$H$512,1,MATCH(3&amp;$B48,'Gastos com Pessoal'!$I$532:$AJ$532&amp;'Gastos com Pessoal'!$I$512:$AJ$512,0),10,1)),0)+_xlfn.IFNA(SUM((BE$3&gt;='Gastos com Pessoal'!$E$513:$E$522)*(BE$3&lt;='Gastos com Pessoal'!$F$513:$F$522)*(IF('Gastos com Pessoal'!$Y$513:$Y$522&lt;=BE$3,1,0))*OFFSET('Gastos com Pessoal'!$H$512,1,MATCH(4&amp;$B48,'Gastos com Pessoal'!$I$532:$AJ$532&amp;'Gastos com Pessoal'!$I$512:$AJ$512,0),10,1)),0)+_xlfn.IFNA(SUM((BE$3&gt;='Gastos com Pessoal'!$E$513:$E$522)*(BE$3&lt;='Gastos com Pessoal'!$F$513:$F$522)*(IF('Gastos com Pessoal'!$AE$513:$AE$522&lt;=BE$3,1,0))*OFFSET('Gastos com Pessoal'!$H$512,1,MATCH(5&amp;$B48,'Gastos com Pessoal'!$I$532:$AJ$532&amp;'Gastos com Pessoal'!$I$512:$AJ$512,0),10,1)),0)</f>
        <v>25856.439999999904</v>
      </c>
      <c r="BF48" s="188">
        <f t="array" aca="1" ref="BF48" ca="1">_xlfn.IFNA(SUM((BF$3&gt;='Gastos com Pessoal'!$E$7:$E$506)*(BF$3&lt;='Gastos com Pessoal'!$F$7:$F$506)*OFFSET('Encargos e Benefícios'!$D$5,1,MATCH($B48,'Encargos e Benefícios'!$E$5:$AB$5,0),500,1)),0)+_xlfn.IFNA(SUM((BF$3&gt;='Gastos com Pessoal'!$E$513:$E$522)*(BF$3&lt;='Gastos com Pessoal'!$F$513:$F$522)*OFFSET('Encargos e Benefícios'!$D$511,1,MATCH($B48,'Encargos e Benefícios'!$E$511:$AB$511,0),10,1)),0)+_xlfn.IFNA(SUM((BF$3&gt;='Gastos com Pessoal'!$E$7:$E$506)*(BF$3&lt;='Gastos com Pessoal'!$F$7:$F$506)*(IF('Gastos com Pessoal'!$G$7:$G$506&lt;=BF$3,1,0))*OFFSET('Gastos com Pessoal'!$H$6,1,MATCH(1&amp;$B48,'Gastos com Pessoal'!$I$532:$AJ$532&amp;'Gastos com Pessoal'!$I$6:$AJ$6,0),500,1)),0)+_xlfn.IFNA(SUM((BF$3&gt;='Gastos com Pessoal'!$E$7:$E$506)*(BF$3&lt;='Gastos com Pessoal'!$F$7:$F$506)*(IF('Gastos com Pessoal'!$M$7:$M$506&lt;=BF$3,1,0))*OFFSET('Gastos com Pessoal'!$H$6,1,MATCH(2&amp;$B48,'Gastos com Pessoal'!$I$532:$AJ$532&amp;'Gastos com Pessoal'!$I$6:$AJ$6,0),500,1)),0)+_xlfn.IFNA(SUM((BF$3&gt;='Gastos com Pessoal'!$E$7:$E$506)*(BF$3&lt;='Gastos com Pessoal'!$F$7:$F$506)*(IF('Gastos com Pessoal'!$S$7:$S$506&lt;=BF$3,1,0))*OFFSET('Gastos com Pessoal'!$H$6,1,MATCH(3&amp;$B48,'Gastos com Pessoal'!$I$532:$AJ$532&amp;'Gastos com Pessoal'!$I$6:$AJ$6,0),500,1)),0)+_xlfn.IFNA(SUM((BF$3&gt;='Gastos com Pessoal'!$E$7:$E$506)*(BF$3&lt;='Gastos com Pessoal'!$F$7:$F$506)*(IF('Gastos com Pessoal'!$Y$7:$Y$506&lt;=BF$3,1,0))*OFFSET('Gastos com Pessoal'!$H$6,1,MATCH(4&amp;$B48,'Gastos com Pessoal'!$I$532:$AJ$532&amp;'Gastos com Pessoal'!$I$6:$AJ$6,0),500,1)),0)+_xlfn.IFNA(SUM((BF$3&gt;='Gastos com Pessoal'!$E$7:$E$506)*(BF$3&lt;='Gastos com Pessoal'!$F$7:$F$506)*(IF('Gastos com Pessoal'!$AE$7:$AE$506&lt;=BF$3,1,0))*OFFSET('Gastos com Pessoal'!$H$6,1,MATCH(5&amp;$B48,'Gastos com Pessoal'!$I$532:$AJ$532&amp;'Gastos com Pessoal'!$I$6:$AJ$6,0),500,1)),0)+_xlfn.IFNA(SUM((BF$3&gt;='Gastos com Pessoal'!$E$513:$E$522)*(BF$3&lt;='Gastos com Pessoal'!$F$513:$F$522)*(IF('Gastos com Pessoal'!$G$513:$G$522&lt;=BF$3,1,0))*OFFSET('Gastos com Pessoal'!$H$512,1,MATCH(1&amp;$B48,'Gastos com Pessoal'!$I$532:$AJ$532&amp;'Gastos com Pessoal'!$I$512:$AJ$512,0),10,1)),0)+_xlfn.IFNA(SUM((BF$3&gt;='Gastos com Pessoal'!$E$513:$E$522)*(BF$3&lt;='Gastos com Pessoal'!$F$513:$F$522)*(IF('Gastos com Pessoal'!$M$513:$M$522&lt;=BF$3,1,0))*OFFSET('Gastos com Pessoal'!$H$512,1,MATCH(2&amp;$B48,'Gastos com Pessoal'!$I$532:$AJ$532&amp;'Gastos com Pessoal'!$I$512:$AJ$512,0),10,1)),0)+_xlfn.IFNA(SUM((BF$3&gt;='Gastos com Pessoal'!$E$513:$E$522)*(BF$3&lt;='Gastos com Pessoal'!$F$513:$F$522)*(IF('Gastos com Pessoal'!$S$513:$S$522&lt;=BF$3,1,0))*OFFSET('Gastos com Pessoal'!$H$512,1,MATCH(3&amp;$B48,'Gastos com Pessoal'!$I$532:$AJ$532&amp;'Gastos com Pessoal'!$I$512:$AJ$512,0),10,1)),0)+_xlfn.IFNA(SUM((BF$3&gt;='Gastos com Pessoal'!$E$513:$E$522)*(BF$3&lt;='Gastos com Pessoal'!$F$513:$F$522)*(IF('Gastos com Pessoal'!$Y$513:$Y$522&lt;=BF$3,1,0))*OFFSET('Gastos com Pessoal'!$H$512,1,MATCH(4&amp;$B48,'Gastos com Pessoal'!$I$532:$AJ$532&amp;'Gastos com Pessoal'!$I$512:$AJ$512,0),10,1)),0)+_xlfn.IFNA(SUM((BF$3&gt;='Gastos com Pessoal'!$E$513:$E$522)*(BF$3&lt;='Gastos com Pessoal'!$F$513:$F$522)*(IF('Gastos com Pessoal'!$AE$513:$AE$522&lt;=BF$3,1,0))*OFFSET('Gastos com Pessoal'!$H$512,1,MATCH(5&amp;$B48,'Gastos com Pessoal'!$I$532:$AJ$532&amp;'Gastos com Pessoal'!$I$512:$AJ$512,0),10,1)),0)</f>
        <v>25856.439999999904</v>
      </c>
      <c r="BG48" s="188">
        <f t="array" aca="1" ref="BG48" ca="1">_xlfn.IFNA(SUM((BG$3&gt;='Gastos com Pessoal'!$E$7:$E$506)*(BG$3&lt;='Gastos com Pessoal'!$F$7:$F$506)*OFFSET('Encargos e Benefícios'!$D$5,1,MATCH($B48,'Encargos e Benefícios'!$E$5:$AB$5,0),500,1)),0)+_xlfn.IFNA(SUM((BG$3&gt;='Gastos com Pessoal'!$E$513:$E$522)*(BG$3&lt;='Gastos com Pessoal'!$F$513:$F$522)*OFFSET('Encargos e Benefícios'!$D$511,1,MATCH($B48,'Encargos e Benefícios'!$E$511:$AB$511,0),10,1)),0)+_xlfn.IFNA(SUM((BG$3&gt;='Gastos com Pessoal'!$E$7:$E$506)*(BG$3&lt;='Gastos com Pessoal'!$F$7:$F$506)*(IF('Gastos com Pessoal'!$G$7:$G$506&lt;=BG$3,1,0))*OFFSET('Gastos com Pessoal'!$H$6,1,MATCH(1&amp;$B48,'Gastos com Pessoal'!$I$532:$AJ$532&amp;'Gastos com Pessoal'!$I$6:$AJ$6,0),500,1)),0)+_xlfn.IFNA(SUM((BG$3&gt;='Gastos com Pessoal'!$E$7:$E$506)*(BG$3&lt;='Gastos com Pessoal'!$F$7:$F$506)*(IF('Gastos com Pessoal'!$M$7:$M$506&lt;=BG$3,1,0))*OFFSET('Gastos com Pessoal'!$H$6,1,MATCH(2&amp;$B48,'Gastos com Pessoal'!$I$532:$AJ$532&amp;'Gastos com Pessoal'!$I$6:$AJ$6,0),500,1)),0)+_xlfn.IFNA(SUM((BG$3&gt;='Gastos com Pessoal'!$E$7:$E$506)*(BG$3&lt;='Gastos com Pessoal'!$F$7:$F$506)*(IF('Gastos com Pessoal'!$S$7:$S$506&lt;=BG$3,1,0))*OFFSET('Gastos com Pessoal'!$H$6,1,MATCH(3&amp;$B48,'Gastos com Pessoal'!$I$532:$AJ$532&amp;'Gastos com Pessoal'!$I$6:$AJ$6,0),500,1)),0)+_xlfn.IFNA(SUM((BG$3&gt;='Gastos com Pessoal'!$E$7:$E$506)*(BG$3&lt;='Gastos com Pessoal'!$F$7:$F$506)*(IF('Gastos com Pessoal'!$Y$7:$Y$506&lt;=BG$3,1,0))*OFFSET('Gastos com Pessoal'!$H$6,1,MATCH(4&amp;$B48,'Gastos com Pessoal'!$I$532:$AJ$532&amp;'Gastos com Pessoal'!$I$6:$AJ$6,0),500,1)),0)+_xlfn.IFNA(SUM((BG$3&gt;='Gastos com Pessoal'!$E$7:$E$506)*(BG$3&lt;='Gastos com Pessoal'!$F$7:$F$506)*(IF('Gastos com Pessoal'!$AE$7:$AE$506&lt;=BG$3,1,0))*OFFSET('Gastos com Pessoal'!$H$6,1,MATCH(5&amp;$B48,'Gastos com Pessoal'!$I$532:$AJ$532&amp;'Gastos com Pessoal'!$I$6:$AJ$6,0),500,1)),0)+_xlfn.IFNA(SUM((BG$3&gt;='Gastos com Pessoal'!$E$513:$E$522)*(BG$3&lt;='Gastos com Pessoal'!$F$513:$F$522)*(IF('Gastos com Pessoal'!$G$513:$G$522&lt;=BG$3,1,0))*OFFSET('Gastos com Pessoal'!$H$512,1,MATCH(1&amp;$B48,'Gastos com Pessoal'!$I$532:$AJ$532&amp;'Gastos com Pessoal'!$I$512:$AJ$512,0),10,1)),0)+_xlfn.IFNA(SUM((BG$3&gt;='Gastos com Pessoal'!$E$513:$E$522)*(BG$3&lt;='Gastos com Pessoal'!$F$513:$F$522)*(IF('Gastos com Pessoal'!$M$513:$M$522&lt;=BG$3,1,0))*OFFSET('Gastos com Pessoal'!$H$512,1,MATCH(2&amp;$B48,'Gastos com Pessoal'!$I$532:$AJ$532&amp;'Gastos com Pessoal'!$I$512:$AJ$512,0),10,1)),0)+_xlfn.IFNA(SUM((BG$3&gt;='Gastos com Pessoal'!$E$513:$E$522)*(BG$3&lt;='Gastos com Pessoal'!$F$513:$F$522)*(IF('Gastos com Pessoal'!$S$513:$S$522&lt;=BG$3,1,0))*OFFSET('Gastos com Pessoal'!$H$512,1,MATCH(3&amp;$B48,'Gastos com Pessoal'!$I$532:$AJ$532&amp;'Gastos com Pessoal'!$I$512:$AJ$512,0),10,1)),0)+_xlfn.IFNA(SUM((BG$3&gt;='Gastos com Pessoal'!$E$513:$E$522)*(BG$3&lt;='Gastos com Pessoal'!$F$513:$F$522)*(IF('Gastos com Pessoal'!$Y$513:$Y$522&lt;=BG$3,1,0))*OFFSET('Gastos com Pessoal'!$H$512,1,MATCH(4&amp;$B48,'Gastos com Pessoal'!$I$532:$AJ$532&amp;'Gastos com Pessoal'!$I$512:$AJ$512,0),10,1)),0)+_xlfn.IFNA(SUM((BG$3&gt;='Gastos com Pessoal'!$E$513:$E$522)*(BG$3&lt;='Gastos com Pessoal'!$F$513:$F$522)*(IF('Gastos com Pessoal'!$AE$513:$AE$522&lt;=BG$3,1,0))*OFFSET('Gastos com Pessoal'!$H$512,1,MATCH(5&amp;$B48,'Gastos com Pessoal'!$I$532:$AJ$532&amp;'Gastos com Pessoal'!$I$512:$AJ$512,0),10,1)),0)</f>
        <v>25856.439999999904</v>
      </c>
      <c r="BH48" s="188">
        <f t="array" aca="1" ref="BH48" ca="1">_xlfn.IFNA(SUM((BH$3&gt;='Gastos com Pessoal'!$E$7:$E$506)*(BH$3&lt;='Gastos com Pessoal'!$F$7:$F$506)*OFFSET('Encargos e Benefícios'!$D$5,1,MATCH($B48,'Encargos e Benefícios'!$E$5:$AB$5,0),500,1)),0)+_xlfn.IFNA(SUM((BH$3&gt;='Gastos com Pessoal'!$E$513:$E$522)*(BH$3&lt;='Gastos com Pessoal'!$F$513:$F$522)*OFFSET('Encargos e Benefícios'!$D$511,1,MATCH($B48,'Encargos e Benefícios'!$E$511:$AB$511,0),10,1)),0)+_xlfn.IFNA(SUM((BH$3&gt;='Gastos com Pessoal'!$E$7:$E$506)*(BH$3&lt;='Gastos com Pessoal'!$F$7:$F$506)*(IF('Gastos com Pessoal'!$G$7:$G$506&lt;=BH$3,1,0))*OFFSET('Gastos com Pessoal'!$H$6,1,MATCH(1&amp;$B48,'Gastos com Pessoal'!$I$532:$AJ$532&amp;'Gastos com Pessoal'!$I$6:$AJ$6,0),500,1)),0)+_xlfn.IFNA(SUM((BH$3&gt;='Gastos com Pessoal'!$E$7:$E$506)*(BH$3&lt;='Gastos com Pessoal'!$F$7:$F$506)*(IF('Gastos com Pessoal'!$M$7:$M$506&lt;=BH$3,1,0))*OFFSET('Gastos com Pessoal'!$H$6,1,MATCH(2&amp;$B48,'Gastos com Pessoal'!$I$532:$AJ$532&amp;'Gastos com Pessoal'!$I$6:$AJ$6,0),500,1)),0)+_xlfn.IFNA(SUM((BH$3&gt;='Gastos com Pessoal'!$E$7:$E$506)*(BH$3&lt;='Gastos com Pessoal'!$F$7:$F$506)*(IF('Gastos com Pessoal'!$S$7:$S$506&lt;=BH$3,1,0))*OFFSET('Gastos com Pessoal'!$H$6,1,MATCH(3&amp;$B48,'Gastos com Pessoal'!$I$532:$AJ$532&amp;'Gastos com Pessoal'!$I$6:$AJ$6,0),500,1)),0)+_xlfn.IFNA(SUM((BH$3&gt;='Gastos com Pessoal'!$E$7:$E$506)*(BH$3&lt;='Gastos com Pessoal'!$F$7:$F$506)*(IF('Gastos com Pessoal'!$Y$7:$Y$506&lt;=BH$3,1,0))*OFFSET('Gastos com Pessoal'!$H$6,1,MATCH(4&amp;$B48,'Gastos com Pessoal'!$I$532:$AJ$532&amp;'Gastos com Pessoal'!$I$6:$AJ$6,0),500,1)),0)+_xlfn.IFNA(SUM((BH$3&gt;='Gastos com Pessoal'!$E$7:$E$506)*(BH$3&lt;='Gastos com Pessoal'!$F$7:$F$506)*(IF('Gastos com Pessoal'!$AE$7:$AE$506&lt;=BH$3,1,0))*OFFSET('Gastos com Pessoal'!$H$6,1,MATCH(5&amp;$B48,'Gastos com Pessoal'!$I$532:$AJ$532&amp;'Gastos com Pessoal'!$I$6:$AJ$6,0),500,1)),0)+_xlfn.IFNA(SUM((BH$3&gt;='Gastos com Pessoal'!$E$513:$E$522)*(BH$3&lt;='Gastos com Pessoal'!$F$513:$F$522)*(IF('Gastos com Pessoal'!$G$513:$G$522&lt;=BH$3,1,0))*OFFSET('Gastos com Pessoal'!$H$512,1,MATCH(1&amp;$B48,'Gastos com Pessoal'!$I$532:$AJ$532&amp;'Gastos com Pessoal'!$I$512:$AJ$512,0),10,1)),0)+_xlfn.IFNA(SUM((BH$3&gt;='Gastos com Pessoal'!$E$513:$E$522)*(BH$3&lt;='Gastos com Pessoal'!$F$513:$F$522)*(IF('Gastos com Pessoal'!$M$513:$M$522&lt;=BH$3,1,0))*OFFSET('Gastos com Pessoal'!$H$512,1,MATCH(2&amp;$B48,'Gastos com Pessoal'!$I$532:$AJ$532&amp;'Gastos com Pessoal'!$I$512:$AJ$512,0),10,1)),0)+_xlfn.IFNA(SUM((BH$3&gt;='Gastos com Pessoal'!$E$513:$E$522)*(BH$3&lt;='Gastos com Pessoal'!$F$513:$F$522)*(IF('Gastos com Pessoal'!$S$513:$S$522&lt;=BH$3,1,0))*OFFSET('Gastos com Pessoal'!$H$512,1,MATCH(3&amp;$B48,'Gastos com Pessoal'!$I$532:$AJ$532&amp;'Gastos com Pessoal'!$I$512:$AJ$512,0),10,1)),0)+_xlfn.IFNA(SUM((BH$3&gt;='Gastos com Pessoal'!$E$513:$E$522)*(BH$3&lt;='Gastos com Pessoal'!$F$513:$F$522)*(IF('Gastos com Pessoal'!$Y$513:$Y$522&lt;=BH$3,1,0))*OFFSET('Gastos com Pessoal'!$H$512,1,MATCH(4&amp;$B48,'Gastos com Pessoal'!$I$532:$AJ$532&amp;'Gastos com Pessoal'!$I$512:$AJ$512,0),10,1)),0)+_xlfn.IFNA(SUM((BH$3&gt;='Gastos com Pessoal'!$E$513:$E$522)*(BH$3&lt;='Gastos com Pessoal'!$F$513:$F$522)*(IF('Gastos com Pessoal'!$AE$513:$AE$522&lt;=BH$3,1,0))*OFFSET('Gastos com Pessoal'!$H$512,1,MATCH(5&amp;$B48,'Gastos com Pessoal'!$I$532:$AJ$532&amp;'Gastos com Pessoal'!$I$512:$AJ$512,0),10,1)),0)</f>
        <v>25856.439999999904</v>
      </c>
      <c r="BI48" s="188">
        <f t="array" aca="1" ref="BI48" ca="1">_xlfn.IFNA(SUM((BI$3&gt;='Gastos com Pessoal'!$E$7:$E$506)*(BI$3&lt;='Gastos com Pessoal'!$F$7:$F$506)*OFFSET('Encargos e Benefícios'!$D$5,1,MATCH($B48,'Encargos e Benefícios'!$E$5:$AB$5,0),500,1)),0)+_xlfn.IFNA(SUM((BI$3&gt;='Gastos com Pessoal'!$E$513:$E$522)*(BI$3&lt;='Gastos com Pessoal'!$F$513:$F$522)*OFFSET('Encargos e Benefícios'!$D$511,1,MATCH($B48,'Encargos e Benefícios'!$E$511:$AB$511,0),10,1)),0)+_xlfn.IFNA(SUM((BI$3&gt;='Gastos com Pessoal'!$E$7:$E$506)*(BI$3&lt;='Gastos com Pessoal'!$F$7:$F$506)*(IF('Gastos com Pessoal'!$G$7:$G$506&lt;=BI$3,1,0))*OFFSET('Gastos com Pessoal'!$H$6,1,MATCH(1&amp;$B48,'Gastos com Pessoal'!$I$532:$AJ$532&amp;'Gastos com Pessoal'!$I$6:$AJ$6,0),500,1)),0)+_xlfn.IFNA(SUM((BI$3&gt;='Gastos com Pessoal'!$E$7:$E$506)*(BI$3&lt;='Gastos com Pessoal'!$F$7:$F$506)*(IF('Gastos com Pessoal'!$M$7:$M$506&lt;=BI$3,1,0))*OFFSET('Gastos com Pessoal'!$H$6,1,MATCH(2&amp;$B48,'Gastos com Pessoal'!$I$532:$AJ$532&amp;'Gastos com Pessoal'!$I$6:$AJ$6,0),500,1)),0)+_xlfn.IFNA(SUM((BI$3&gt;='Gastos com Pessoal'!$E$7:$E$506)*(BI$3&lt;='Gastos com Pessoal'!$F$7:$F$506)*(IF('Gastos com Pessoal'!$S$7:$S$506&lt;=BI$3,1,0))*OFFSET('Gastos com Pessoal'!$H$6,1,MATCH(3&amp;$B48,'Gastos com Pessoal'!$I$532:$AJ$532&amp;'Gastos com Pessoal'!$I$6:$AJ$6,0),500,1)),0)+_xlfn.IFNA(SUM((BI$3&gt;='Gastos com Pessoal'!$E$7:$E$506)*(BI$3&lt;='Gastos com Pessoal'!$F$7:$F$506)*(IF('Gastos com Pessoal'!$Y$7:$Y$506&lt;=BI$3,1,0))*OFFSET('Gastos com Pessoal'!$H$6,1,MATCH(4&amp;$B48,'Gastos com Pessoal'!$I$532:$AJ$532&amp;'Gastos com Pessoal'!$I$6:$AJ$6,0),500,1)),0)+_xlfn.IFNA(SUM((BI$3&gt;='Gastos com Pessoal'!$E$7:$E$506)*(BI$3&lt;='Gastos com Pessoal'!$F$7:$F$506)*(IF('Gastos com Pessoal'!$AE$7:$AE$506&lt;=BI$3,1,0))*OFFSET('Gastos com Pessoal'!$H$6,1,MATCH(5&amp;$B48,'Gastos com Pessoal'!$I$532:$AJ$532&amp;'Gastos com Pessoal'!$I$6:$AJ$6,0),500,1)),0)+_xlfn.IFNA(SUM((BI$3&gt;='Gastos com Pessoal'!$E$513:$E$522)*(BI$3&lt;='Gastos com Pessoal'!$F$513:$F$522)*(IF('Gastos com Pessoal'!$G$513:$G$522&lt;=BI$3,1,0))*OFFSET('Gastos com Pessoal'!$H$512,1,MATCH(1&amp;$B48,'Gastos com Pessoal'!$I$532:$AJ$532&amp;'Gastos com Pessoal'!$I$512:$AJ$512,0),10,1)),0)+_xlfn.IFNA(SUM((BI$3&gt;='Gastos com Pessoal'!$E$513:$E$522)*(BI$3&lt;='Gastos com Pessoal'!$F$513:$F$522)*(IF('Gastos com Pessoal'!$M$513:$M$522&lt;=BI$3,1,0))*OFFSET('Gastos com Pessoal'!$H$512,1,MATCH(2&amp;$B48,'Gastos com Pessoal'!$I$532:$AJ$532&amp;'Gastos com Pessoal'!$I$512:$AJ$512,0),10,1)),0)+_xlfn.IFNA(SUM((BI$3&gt;='Gastos com Pessoal'!$E$513:$E$522)*(BI$3&lt;='Gastos com Pessoal'!$F$513:$F$522)*(IF('Gastos com Pessoal'!$S$513:$S$522&lt;=BI$3,1,0))*OFFSET('Gastos com Pessoal'!$H$512,1,MATCH(3&amp;$B48,'Gastos com Pessoal'!$I$532:$AJ$532&amp;'Gastos com Pessoal'!$I$512:$AJ$512,0),10,1)),0)+_xlfn.IFNA(SUM((BI$3&gt;='Gastos com Pessoal'!$E$513:$E$522)*(BI$3&lt;='Gastos com Pessoal'!$F$513:$F$522)*(IF('Gastos com Pessoal'!$Y$513:$Y$522&lt;=BI$3,1,0))*OFFSET('Gastos com Pessoal'!$H$512,1,MATCH(4&amp;$B48,'Gastos com Pessoal'!$I$532:$AJ$532&amp;'Gastos com Pessoal'!$I$512:$AJ$512,0),10,1)),0)+_xlfn.IFNA(SUM((BI$3&gt;='Gastos com Pessoal'!$E$513:$E$522)*(BI$3&lt;='Gastos com Pessoal'!$F$513:$F$522)*(IF('Gastos com Pessoal'!$AE$513:$AE$522&lt;=BI$3,1,0))*OFFSET('Gastos com Pessoal'!$H$512,1,MATCH(5&amp;$B48,'Gastos com Pessoal'!$I$532:$AJ$532&amp;'Gastos com Pessoal'!$I$512:$AJ$512,0),10,1)),0)</f>
        <v>25856.439999999904</v>
      </c>
      <c r="BJ48" s="188">
        <f t="array" aca="1" ref="BJ48" ca="1">_xlfn.IFNA(SUM((BJ$3&gt;='Gastos com Pessoal'!$E$7:$E$506)*(BJ$3&lt;='Gastos com Pessoal'!$F$7:$F$506)*OFFSET('Encargos e Benefícios'!$D$5,1,MATCH($B48,'Encargos e Benefícios'!$E$5:$AB$5,0),500,1)),0)+_xlfn.IFNA(SUM((BJ$3&gt;='Gastos com Pessoal'!$E$513:$E$522)*(BJ$3&lt;='Gastos com Pessoal'!$F$513:$F$522)*OFFSET('Encargos e Benefícios'!$D$511,1,MATCH($B48,'Encargos e Benefícios'!$E$511:$AB$511,0),10,1)),0)+_xlfn.IFNA(SUM((BJ$3&gt;='Gastos com Pessoal'!$E$7:$E$506)*(BJ$3&lt;='Gastos com Pessoal'!$F$7:$F$506)*(IF('Gastos com Pessoal'!$G$7:$G$506&lt;=BJ$3,1,0))*OFFSET('Gastos com Pessoal'!$H$6,1,MATCH(1&amp;$B48,'Gastos com Pessoal'!$I$532:$AJ$532&amp;'Gastos com Pessoal'!$I$6:$AJ$6,0),500,1)),0)+_xlfn.IFNA(SUM((BJ$3&gt;='Gastos com Pessoal'!$E$7:$E$506)*(BJ$3&lt;='Gastos com Pessoal'!$F$7:$F$506)*(IF('Gastos com Pessoal'!$M$7:$M$506&lt;=BJ$3,1,0))*OFFSET('Gastos com Pessoal'!$H$6,1,MATCH(2&amp;$B48,'Gastos com Pessoal'!$I$532:$AJ$532&amp;'Gastos com Pessoal'!$I$6:$AJ$6,0),500,1)),0)+_xlfn.IFNA(SUM((BJ$3&gt;='Gastos com Pessoal'!$E$7:$E$506)*(BJ$3&lt;='Gastos com Pessoal'!$F$7:$F$506)*(IF('Gastos com Pessoal'!$S$7:$S$506&lt;=BJ$3,1,0))*OFFSET('Gastos com Pessoal'!$H$6,1,MATCH(3&amp;$B48,'Gastos com Pessoal'!$I$532:$AJ$532&amp;'Gastos com Pessoal'!$I$6:$AJ$6,0),500,1)),0)+_xlfn.IFNA(SUM((BJ$3&gt;='Gastos com Pessoal'!$E$7:$E$506)*(BJ$3&lt;='Gastos com Pessoal'!$F$7:$F$506)*(IF('Gastos com Pessoal'!$Y$7:$Y$506&lt;=BJ$3,1,0))*OFFSET('Gastos com Pessoal'!$H$6,1,MATCH(4&amp;$B48,'Gastos com Pessoal'!$I$532:$AJ$532&amp;'Gastos com Pessoal'!$I$6:$AJ$6,0),500,1)),0)+_xlfn.IFNA(SUM((BJ$3&gt;='Gastos com Pessoal'!$E$7:$E$506)*(BJ$3&lt;='Gastos com Pessoal'!$F$7:$F$506)*(IF('Gastos com Pessoal'!$AE$7:$AE$506&lt;=BJ$3,1,0))*OFFSET('Gastos com Pessoal'!$H$6,1,MATCH(5&amp;$B48,'Gastos com Pessoal'!$I$532:$AJ$532&amp;'Gastos com Pessoal'!$I$6:$AJ$6,0),500,1)),0)+_xlfn.IFNA(SUM((BJ$3&gt;='Gastos com Pessoal'!$E$513:$E$522)*(BJ$3&lt;='Gastos com Pessoal'!$F$513:$F$522)*(IF('Gastos com Pessoal'!$G$513:$G$522&lt;=BJ$3,1,0))*OFFSET('Gastos com Pessoal'!$H$512,1,MATCH(1&amp;$B48,'Gastos com Pessoal'!$I$532:$AJ$532&amp;'Gastos com Pessoal'!$I$512:$AJ$512,0),10,1)),0)+_xlfn.IFNA(SUM((BJ$3&gt;='Gastos com Pessoal'!$E$513:$E$522)*(BJ$3&lt;='Gastos com Pessoal'!$F$513:$F$522)*(IF('Gastos com Pessoal'!$M$513:$M$522&lt;=BJ$3,1,0))*OFFSET('Gastos com Pessoal'!$H$512,1,MATCH(2&amp;$B48,'Gastos com Pessoal'!$I$532:$AJ$532&amp;'Gastos com Pessoal'!$I$512:$AJ$512,0),10,1)),0)+_xlfn.IFNA(SUM((BJ$3&gt;='Gastos com Pessoal'!$E$513:$E$522)*(BJ$3&lt;='Gastos com Pessoal'!$F$513:$F$522)*(IF('Gastos com Pessoal'!$S$513:$S$522&lt;=BJ$3,1,0))*OFFSET('Gastos com Pessoal'!$H$512,1,MATCH(3&amp;$B48,'Gastos com Pessoal'!$I$532:$AJ$532&amp;'Gastos com Pessoal'!$I$512:$AJ$512,0),10,1)),0)+_xlfn.IFNA(SUM((BJ$3&gt;='Gastos com Pessoal'!$E$513:$E$522)*(BJ$3&lt;='Gastos com Pessoal'!$F$513:$F$522)*(IF('Gastos com Pessoal'!$Y$513:$Y$522&lt;=BJ$3,1,0))*OFFSET('Gastos com Pessoal'!$H$512,1,MATCH(4&amp;$B48,'Gastos com Pessoal'!$I$532:$AJ$532&amp;'Gastos com Pessoal'!$I$512:$AJ$512,0),10,1)),0)+_xlfn.IFNA(SUM((BJ$3&gt;='Gastos com Pessoal'!$E$513:$E$522)*(BJ$3&lt;='Gastos com Pessoal'!$F$513:$F$522)*(IF('Gastos com Pessoal'!$AE$513:$AE$522&lt;=BJ$3,1,0))*OFFSET('Gastos com Pessoal'!$H$512,1,MATCH(5&amp;$B48,'Gastos com Pessoal'!$I$532:$AJ$532&amp;'Gastos com Pessoal'!$I$512:$AJ$512,0),10,1)),0)</f>
        <v>25856.439999999904</v>
      </c>
      <c r="BK48" s="189">
        <f t="shared" ref="BK48:BK56" ca="1" si="28">SUM(C48:BJ48)</f>
        <v>1487651.2699999961</v>
      </c>
      <c r="BL48" s="136">
        <f t="shared" ref="BL48:BL58" ca="1" si="29">IF($BK$152=0,0,BK48/$BK$152)</f>
        <v>4.4462992795853938E-3</v>
      </c>
      <c r="BN48" s="188">
        <f t="array" aca="1" ref="BN48" ca="1">_xlfn.IFNA(SUM((BN$3&gt;='Gastos com Pessoal'!$E$7:$E$506)*(BN$3&lt;='Gastos com Pessoal'!$F$7:$F$506)*OFFSET('Encargos e Benefícios'!$D$5,1,MATCH($B48,'Encargos e Benefícios'!$E$5:$AB$5,0),500,1)),0)+_xlfn.IFNA(SUM((BN$3&gt;='Gastos com Pessoal'!$E$513:$E$522)*(BN$3&lt;='Gastos com Pessoal'!$F$513:$F$522)*OFFSET('Encargos e Benefícios'!$D$511,1,MATCH($B48,'Encargos e Benefícios'!$E$511:$AB$511,0),10,1)),0)+_xlfn.IFNA(SUM((BN$3&gt;='Gastos com Pessoal'!$E$7:$E$506)*(BN$3&lt;='Gastos com Pessoal'!$F$7:$F$506)*(IF('Gastos com Pessoal'!$G$7:$G$506&lt;=BN$3,1,0))*OFFSET('Gastos com Pessoal'!$H$6,1,MATCH(1&amp;$B48,'Gastos com Pessoal'!$I$532:$AJ$532&amp;'Gastos com Pessoal'!$I$6:$AJ$6,0),500,1)),0)+_xlfn.IFNA(SUM((BN$3&gt;='Gastos com Pessoal'!$E$7:$E$506)*(BN$3&lt;='Gastos com Pessoal'!$F$7:$F$506)*(IF('Gastos com Pessoal'!$M$7:$M$506&lt;=BN$3,1,0))*OFFSET('Gastos com Pessoal'!$H$6,1,MATCH(2&amp;$B48,'Gastos com Pessoal'!$I$532:$AJ$532&amp;'Gastos com Pessoal'!$I$6:$AJ$6,0),500,1)),0)+_xlfn.IFNA(SUM((BN$3&gt;='Gastos com Pessoal'!$E$7:$E$506)*(BN$3&lt;='Gastos com Pessoal'!$F$7:$F$506)*(IF('Gastos com Pessoal'!$S$7:$S$506&lt;=BN$3,1,0))*OFFSET('Gastos com Pessoal'!$H$6,1,MATCH(3&amp;$B48,'Gastos com Pessoal'!$I$532:$AJ$532&amp;'Gastos com Pessoal'!$I$6:$AJ$6,0),500,1)),0)+_xlfn.IFNA(SUM((BN$3&gt;='Gastos com Pessoal'!$E$7:$E$506)*(BN$3&lt;='Gastos com Pessoal'!$F$7:$F$506)*(IF('Gastos com Pessoal'!$Y$7:$Y$506&lt;=BN$3,1,0))*OFFSET('Gastos com Pessoal'!$H$6,1,MATCH(4&amp;$B48,'Gastos com Pessoal'!$I$532:$AJ$532&amp;'Gastos com Pessoal'!$I$6:$AJ$6,0),500,1)),0)+_xlfn.IFNA(SUM((BN$3&gt;='Gastos com Pessoal'!$E$7:$E$506)*(BN$3&lt;='Gastos com Pessoal'!$F$7:$F$506)*(IF('Gastos com Pessoal'!$AE$7:$AE$506&lt;=BN$3,1,0))*OFFSET('Gastos com Pessoal'!$H$6,1,MATCH(5&amp;$B48,'Gastos com Pessoal'!$I$532:$AJ$532&amp;'Gastos com Pessoal'!$I$6:$AJ$6,0),500,1)),0)+_xlfn.IFNA(SUM((BN$3&gt;='Gastos com Pessoal'!$E$513:$E$522)*(BN$3&lt;='Gastos com Pessoal'!$F$513:$F$522)*(IF('Gastos com Pessoal'!$G$513:$G$522&lt;=BN$3,1,0))*OFFSET('Gastos com Pessoal'!$H$512,1,MATCH(1&amp;$B48,'Gastos com Pessoal'!$I$532:$AJ$532&amp;'Gastos com Pessoal'!$I$512:$AJ$512,0),10,1)),0)+_xlfn.IFNA(SUM((BN$3&gt;='Gastos com Pessoal'!$E$513:$E$522)*(BN$3&lt;='Gastos com Pessoal'!$F$513:$F$522)*(IF('Gastos com Pessoal'!$M$513:$M$522&lt;=BN$3,1,0))*OFFSET('Gastos com Pessoal'!$H$512,1,MATCH(2&amp;$B48,'Gastos com Pessoal'!$I$532:$AJ$532&amp;'Gastos com Pessoal'!$I$512:$AJ$512,0),10,1)),0)+_xlfn.IFNA(SUM((BN$3&gt;='Gastos com Pessoal'!$E$513:$E$522)*(BN$3&lt;='Gastos com Pessoal'!$F$513:$F$522)*(IF('Gastos com Pessoal'!$S$513:$S$522&lt;=BN$3,1,0))*OFFSET('Gastos com Pessoal'!$H$512,1,MATCH(3&amp;$B48,'Gastos com Pessoal'!$I$532:$AJ$532&amp;'Gastos com Pessoal'!$I$512:$AJ$512,0),10,1)),0)+_xlfn.IFNA(SUM((BN$3&gt;='Gastos com Pessoal'!$E$513:$E$522)*(BN$3&lt;='Gastos com Pessoal'!$F$513:$F$522)*(IF('Gastos com Pessoal'!$Y$513:$Y$522&lt;=BN$3,1,0))*OFFSET('Gastos com Pessoal'!$H$512,1,MATCH(4&amp;$B48,'Gastos com Pessoal'!$I$532:$AJ$532&amp;'Gastos com Pessoal'!$I$512:$AJ$512,0),10,1)),0)+_xlfn.IFNA(SUM((BN$3&gt;='Gastos com Pessoal'!$E$513:$E$522)*(BN$3&lt;='Gastos com Pessoal'!$F$513:$F$522)*(IF('Gastos com Pessoal'!$AE$513:$AE$522&lt;=BN$3,1,0))*OFFSET('Gastos com Pessoal'!$H$512,1,MATCH(5&amp;$B48,'Gastos com Pessoal'!$I$532:$AJ$532&amp;'Gastos com Pessoal'!$I$512:$AJ$512,0),10,1)),0)</f>
        <v>19108.899999999983</v>
      </c>
    </row>
    <row r="49" spans="1:66" s="160" customFormat="1" ht="23.25" customHeight="1">
      <c r="A49" s="80" t="s">
        <v>180</v>
      </c>
      <c r="B49" s="81" t="s">
        <v>181</v>
      </c>
      <c r="C49" s="188">
        <f t="shared" ca="1" si="27"/>
        <v>34200</v>
      </c>
      <c r="D49" s="188">
        <f t="array" aca="1" ref="D49" ca="1">_xlfn.IFNA(SUM((D$3&gt;='Gastos com Pessoal'!$E$7:$E$506)*(D$3&lt;='Gastos com Pessoal'!$F$7:$F$506)*OFFSET('Encargos e Benefícios'!$D$5,1,MATCH($B49,'Encargos e Benefícios'!$E$5:$AB$5,0),500,1)),0)+_xlfn.IFNA(SUM((D$3&gt;='Gastos com Pessoal'!$E$513:$E$522)*(D$3&lt;='Gastos com Pessoal'!$F$513:$F$522)*OFFSET('Encargos e Benefícios'!$D$511,1,MATCH($B49,'Encargos e Benefícios'!$E$511:$AB$511,0),10,1)),0)+_xlfn.IFNA(SUM((D$3&gt;='Gastos com Pessoal'!$E$7:$E$506)*(D$3&lt;='Gastos com Pessoal'!$F$7:$F$506)*(IF('Gastos com Pessoal'!$G$7:$G$506&lt;=D$3,1,0))*OFFSET('Gastos com Pessoal'!$H$6,1,MATCH(1&amp;$B49,'Gastos com Pessoal'!$I$532:$AJ$532&amp;'Gastos com Pessoal'!$I$6:$AJ$6,0),500,1)),0)+_xlfn.IFNA(SUM((D$3&gt;='Gastos com Pessoal'!$E$7:$E$506)*(D$3&lt;='Gastos com Pessoal'!$F$7:$F$506)*(IF('Gastos com Pessoal'!$M$7:$M$506&lt;=D$3,1,0))*OFFSET('Gastos com Pessoal'!$H$6,1,MATCH(2&amp;$B49,'Gastos com Pessoal'!$I$532:$AJ$532&amp;'Gastos com Pessoal'!$I$6:$AJ$6,0),500,1)),0)+_xlfn.IFNA(SUM((D$3&gt;='Gastos com Pessoal'!$E$7:$E$506)*(D$3&lt;='Gastos com Pessoal'!$F$7:$F$506)*(IF('Gastos com Pessoal'!$S$7:$S$506&lt;=D$3,1,0))*OFFSET('Gastos com Pessoal'!$H$6,1,MATCH(3&amp;$B49,'Gastos com Pessoal'!$I$532:$AJ$532&amp;'Gastos com Pessoal'!$I$6:$AJ$6,0),500,1)),0)+_xlfn.IFNA(SUM((D$3&gt;='Gastos com Pessoal'!$E$7:$E$506)*(D$3&lt;='Gastos com Pessoal'!$F$7:$F$506)*(IF('Gastos com Pessoal'!$Y$7:$Y$506&lt;=D$3,1,0))*OFFSET('Gastos com Pessoal'!$H$6,1,MATCH(4&amp;$B49,'Gastos com Pessoal'!$I$532:$AJ$532&amp;'Gastos com Pessoal'!$I$6:$AJ$6,0),500,1)),0)+_xlfn.IFNA(SUM((D$3&gt;='Gastos com Pessoal'!$E$7:$E$506)*(D$3&lt;='Gastos com Pessoal'!$F$7:$F$506)*(IF('Gastos com Pessoal'!$AE$7:$AE$506&lt;=D$3,1,0))*OFFSET('Gastos com Pessoal'!$H$6,1,MATCH(5&amp;$B49,'Gastos com Pessoal'!$I$532:$AJ$532&amp;'Gastos com Pessoal'!$I$6:$AJ$6,0),500,1)),0)+_xlfn.IFNA(SUM((D$3&gt;='Gastos com Pessoal'!$E$513:$E$522)*(D$3&lt;='Gastos com Pessoal'!$F$513:$F$522)*(IF('Gastos com Pessoal'!$G$513:$G$522&lt;=D$3,1,0))*OFFSET('Gastos com Pessoal'!$H$512,1,MATCH(1&amp;$B49,'Gastos com Pessoal'!$I$532:$AJ$532&amp;'Gastos com Pessoal'!$I$512:$AJ$512,0),10,1)),0)+_xlfn.IFNA(SUM((D$3&gt;='Gastos com Pessoal'!$E$513:$E$522)*(D$3&lt;='Gastos com Pessoal'!$F$513:$F$522)*(IF('Gastos com Pessoal'!$M$513:$M$522&lt;=D$3,1,0))*OFFSET('Gastos com Pessoal'!$H$512,1,MATCH(2&amp;$B49,'Gastos com Pessoal'!$I$532:$AJ$532&amp;'Gastos com Pessoal'!$I$512:$AJ$512,0),10,1)),0)+_xlfn.IFNA(SUM((D$3&gt;='Gastos com Pessoal'!$E$513:$E$522)*(D$3&lt;='Gastos com Pessoal'!$F$513:$F$522)*(IF('Gastos com Pessoal'!$S$513:$S$522&lt;=D$3,1,0))*OFFSET('Gastos com Pessoal'!$H$512,1,MATCH(3&amp;$B49,'Gastos com Pessoal'!$I$532:$AJ$532&amp;'Gastos com Pessoal'!$I$512:$AJ$512,0),10,1)),0)+_xlfn.IFNA(SUM((D$3&gt;='Gastos com Pessoal'!$E$513:$E$522)*(D$3&lt;='Gastos com Pessoal'!$F$513:$F$522)*(IF('Gastos com Pessoal'!$Y$513:$Y$522&lt;=D$3,1,0))*OFFSET('Gastos com Pessoal'!$H$512,1,MATCH(4&amp;$B49,'Gastos com Pessoal'!$I$532:$AJ$532&amp;'Gastos com Pessoal'!$I$512:$AJ$512,0),10,1)),0)+_xlfn.IFNA(SUM((D$3&gt;='Gastos com Pessoal'!$E$513:$E$522)*(D$3&lt;='Gastos com Pessoal'!$F$513:$F$522)*(IF('Gastos com Pessoal'!$AE$513:$AE$522&lt;=D$3,1,0))*OFFSET('Gastos com Pessoal'!$H$512,1,MATCH(5&amp;$B49,'Gastos com Pessoal'!$I$532:$AJ$532&amp;'Gastos com Pessoal'!$I$512:$AJ$512,0),10,1)),0)</f>
        <v>122500</v>
      </c>
      <c r="E49" s="188">
        <f t="array" aca="1" ref="E49" ca="1">_xlfn.IFNA(SUM((E$3&gt;='Gastos com Pessoal'!$E$7:$E$506)*(E$3&lt;='Gastos com Pessoal'!$F$7:$F$506)*OFFSET('Encargos e Benefícios'!$D$5,1,MATCH($B49,'Encargos e Benefícios'!$E$5:$AB$5,0),500,1)),0)+_xlfn.IFNA(SUM((E$3&gt;='Gastos com Pessoal'!$E$513:$E$522)*(E$3&lt;='Gastos com Pessoal'!$F$513:$F$522)*OFFSET('Encargos e Benefícios'!$D$511,1,MATCH($B49,'Encargos e Benefícios'!$E$511:$AB$511,0),10,1)),0)+_xlfn.IFNA(SUM((E$3&gt;='Gastos com Pessoal'!$E$7:$E$506)*(E$3&lt;='Gastos com Pessoal'!$F$7:$F$506)*(IF('Gastos com Pessoal'!$G$7:$G$506&lt;=E$3,1,0))*OFFSET('Gastos com Pessoal'!$H$6,1,MATCH(1&amp;$B49,'Gastos com Pessoal'!$I$532:$AJ$532&amp;'Gastos com Pessoal'!$I$6:$AJ$6,0),500,1)),0)+_xlfn.IFNA(SUM((E$3&gt;='Gastos com Pessoal'!$E$7:$E$506)*(E$3&lt;='Gastos com Pessoal'!$F$7:$F$506)*(IF('Gastos com Pessoal'!$M$7:$M$506&lt;=E$3,1,0))*OFFSET('Gastos com Pessoal'!$H$6,1,MATCH(2&amp;$B49,'Gastos com Pessoal'!$I$532:$AJ$532&amp;'Gastos com Pessoal'!$I$6:$AJ$6,0),500,1)),0)+_xlfn.IFNA(SUM((E$3&gt;='Gastos com Pessoal'!$E$7:$E$506)*(E$3&lt;='Gastos com Pessoal'!$F$7:$F$506)*(IF('Gastos com Pessoal'!$S$7:$S$506&lt;=E$3,1,0))*OFFSET('Gastos com Pessoal'!$H$6,1,MATCH(3&amp;$B49,'Gastos com Pessoal'!$I$532:$AJ$532&amp;'Gastos com Pessoal'!$I$6:$AJ$6,0),500,1)),0)+_xlfn.IFNA(SUM((E$3&gt;='Gastos com Pessoal'!$E$7:$E$506)*(E$3&lt;='Gastos com Pessoal'!$F$7:$F$506)*(IF('Gastos com Pessoal'!$Y$7:$Y$506&lt;=E$3,1,0))*OFFSET('Gastos com Pessoal'!$H$6,1,MATCH(4&amp;$B49,'Gastos com Pessoal'!$I$532:$AJ$532&amp;'Gastos com Pessoal'!$I$6:$AJ$6,0),500,1)),0)+_xlfn.IFNA(SUM((E$3&gt;='Gastos com Pessoal'!$E$7:$E$506)*(E$3&lt;='Gastos com Pessoal'!$F$7:$F$506)*(IF('Gastos com Pessoal'!$AE$7:$AE$506&lt;=E$3,1,0))*OFFSET('Gastos com Pessoal'!$H$6,1,MATCH(5&amp;$B49,'Gastos com Pessoal'!$I$532:$AJ$532&amp;'Gastos com Pessoal'!$I$6:$AJ$6,0),500,1)),0)+_xlfn.IFNA(SUM((E$3&gt;='Gastos com Pessoal'!$E$513:$E$522)*(E$3&lt;='Gastos com Pessoal'!$F$513:$F$522)*(IF('Gastos com Pessoal'!$G$513:$G$522&lt;=E$3,1,0))*OFFSET('Gastos com Pessoal'!$H$512,1,MATCH(1&amp;$B49,'Gastos com Pessoal'!$I$532:$AJ$532&amp;'Gastos com Pessoal'!$I$512:$AJ$512,0),10,1)),0)+_xlfn.IFNA(SUM((E$3&gt;='Gastos com Pessoal'!$E$513:$E$522)*(E$3&lt;='Gastos com Pessoal'!$F$513:$F$522)*(IF('Gastos com Pessoal'!$M$513:$M$522&lt;=E$3,1,0))*OFFSET('Gastos com Pessoal'!$H$512,1,MATCH(2&amp;$B49,'Gastos com Pessoal'!$I$532:$AJ$532&amp;'Gastos com Pessoal'!$I$512:$AJ$512,0),10,1)),0)+_xlfn.IFNA(SUM((E$3&gt;='Gastos com Pessoal'!$E$513:$E$522)*(E$3&lt;='Gastos com Pessoal'!$F$513:$F$522)*(IF('Gastos com Pessoal'!$S$513:$S$522&lt;=E$3,1,0))*OFFSET('Gastos com Pessoal'!$H$512,1,MATCH(3&amp;$B49,'Gastos com Pessoal'!$I$532:$AJ$532&amp;'Gastos com Pessoal'!$I$512:$AJ$512,0),10,1)),0)+_xlfn.IFNA(SUM((E$3&gt;='Gastos com Pessoal'!$E$513:$E$522)*(E$3&lt;='Gastos com Pessoal'!$F$513:$F$522)*(IF('Gastos com Pessoal'!$Y$513:$Y$522&lt;=E$3,1,0))*OFFSET('Gastos com Pessoal'!$H$512,1,MATCH(4&amp;$B49,'Gastos com Pessoal'!$I$532:$AJ$532&amp;'Gastos com Pessoal'!$I$512:$AJ$512,0),10,1)),0)+_xlfn.IFNA(SUM((E$3&gt;='Gastos com Pessoal'!$E$513:$E$522)*(E$3&lt;='Gastos com Pessoal'!$F$513:$F$522)*(IF('Gastos com Pessoal'!$AE$513:$AE$522&lt;=E$3,1,0))*OFFSET('Gastos com Pessoal'!$H$512,1,MATCH(5&amp;$B49,'Gastos com Pessoal'!$I$532:$AJ$532&amp;'Gastos com Pessoal'!$I$512:$AJ$512,0),10,1)),0)</f>
        <v>129000</v>
      </c>
      <c r="F49" s="188">
        <f t="array" aca="1" ref="F49" ca="1">_xlfn.IFNA(SUM((F$3&gt;='Gastos com Pessoal'!$E$7:$E$506)*(F$3&lt;='Gastos com Pessoal'!$F$7:$F$506)*OFFSET('Encargos e Benefícios'!$D$5,1,MATCH($B49,'Encargos e Benefícios'!$E$5:$AB$5,0),500,1)),0)+_xlfn.IFNA(SUM((F$3&gt;='Gastos com Pessoal'!$E$513:$E$522)*(F$3&lt;='Gastos com Pessoal'!$F$513:$F$522)*OFFSET('Encargos e Benefícios'!$D$511,1,MATCH($B49,'Encargos e Benefícios'!$E$511:$AB$511,0),10,1)),0)+_xlfn.IFNA(SUM((F$3&gt;='Gastos com Pessoal'!$E$7:$E$506)*(F$3&lt;='Gastos com Pessoal'!$F$7:$F$506)*(IF('Gastos com Pessoal'!$G$7:$G$506&lt;=F$3,1,0))*OFFSET('Gastos com Pessoal'!$H$6,1,MATCH(1&amp;$B49,'Gastos com Pessoal'!$I$532:$AJ$532&amp;'Gastos com Pessoal'!$I$6:$AJ$6,0),500,1)),0)+_xlfn.IFNA(SUM((F$3&gt;='Gastos com Pessoal'!$E$7:$E$506)*(F$3&lt;='Gastos com Pessoal'!$F$7:$F$506)*(IF('Gastos com Pessoal'!$M$7:$M$506&lt;=F$3,1,0))*OFFSET('Gastos com Pessoal'!$H$6,1,MATCH(2&amp;$B49,'Gastos com Pessoal'!$I$532:$AJ$532&amp;'Gastos com Pessoal'!$I$6:$AJ$6,0),500,1)),0)+_xlfn.IFNA(SUM((F$3&gt;='Gastos com Pessoal'!$E$7:$E$506)*(F$3&lt;='Gastos com Pessoal'!$F$7:$F$506)*(IF('Gastos com Pessoal'!$S$7:$S$506&lt;=F$3,1,0))*OFFSET('Gastos com Pessoal'!$H$6,1,MATCH(3&amp;$B49,'Gastos com Pessoal'!$I$532:$AJ$532&amp;'Gastos com Pessoal'!$I$6:$AJ$6,0),500,1)),0)+_xlfn.IFNA(SUM((F$3&gt;='Gastos com Pessoal'!$E$7:$E$506)*(F$3&lt;='Gastos com Pessoal'!$F$7:$F$506)*(IF('Gastos com Pessoal'!$Y$7:$Y$506&lt;=F$3,1,0))*OFFSET('Gastos com Pessoal'!$H$6,1,MATCH(4&amp;$B49,'Gastos com Pessoal'!$I$532:$AJ$532&amp;'Gastos com Pessoal'!$I$6:$AJ$6,0),500,1)),0)+_xlfn.IFNA(SUM((F$3&gt;='Gastos com Pessoal'!$E$7:$E$506)*(F$3&lt;='Gastos com Pessoal'!$F$7:$F$506)*(IF('Gastos com Pessoal'!$AE$7:$AE$506&lt;=F$3,1,0))*OFFSET('Gastos com Pessoal'!$H$6,1,MATCH(5&amp;$B49,'Gastos com Pessoal'!$I$532:$AJ$532&amp;'Gastos com Pessoal'!$I$6:$AJ$6,0),500,1)),0)+_xlfn.IFNA(SUM((F$3&gt;='Gastos com Pessoal'!$E$513:$E$522)*(F$3&lt;='Gastos com Pessoal'!$F$513:$F$522)*(IF('Gastos com Pessoal'!$G$513:$G$522&lt;=F$3,1,0))*OFFSET('Gastos com Pessoal'!$H$512,1,MATCH(1&amp;$B49,'Gastos com Pessoal'!$I$532:$AJ$532&amp;'Gastos com Pessoal'!$I$512:$AJ$512,0),10,1)),0)+_xlfn.IFNA(SUM((F$3&gt;='Gastos com Pessoal'!$E$513:$E$522)*(F$3&lt;='Gastos com Pessoal'!$F$513:$F$522)*(IF('Gastos com Pessoal'!$M$513:$M$522&lt;=F$3,1,0))*OFFSET('Gastos com Pessoal'!$H$512,1,MATCH(2&amp;$B49,'Gastos com Pessoal'!$I$532:$AJ$532&amp;'Gastos com Pessoal'!$I$512:$AJ$512,0),10,1)),0)+_xlfn.IFNA(SUM((F$3&gt;='Gastos com Pessoal'!$E$513:$E$522)*(F$3&lt;='Gastos com Pessoal'!$F$513:$F$522)*(IF('Gastos com Pessoal'!$S$513:$S$522&lt;=F$3,1,0))*OFFSET('Gastos com Pessoal'!$H$512,1,MATCH(3&amp;$B49,'Gastos com Pessoal'!$I$532:$AJ$532&amp;'Gastos com Pessoal'!$I$512:$AJ$512,0),10,1)),0)+_xlfn.IFNA(SUM((F$3&gt;='Gastos com Pessoal'!$E$513:$E$522)*(F$3&lt;='Gastos com Pessoal'!$F$513:$F$522)*(IF('Gastos com Pessoal'!$Y$513:$Y$522&lt;=F$3,1,0))*OFFSET('Gastos com Pessoal'!$H$512,1,MATCH(4&amp;$B49,'Gastos com Pessoal'!$I$532:$AJ$532&amp;'Gastos com Pessoal'!$I$512:$AJ$512,0),10,1)),0)+_xlfn.IFNA(SUM((F$3&gt;='Gastos com Pessoal'!$E$513:$E$522)*(F$3&lt;='Gastos com Pessoal'!$F$513:$F$522)*(IF('Gastos com Pessoal'!$AE$513:$AE$522&lt;=F$3,1,0))*OFFSET('Gastos com Pessoal'!$H$512,1,MATCH(5&amp;$B49,'Gastos com Pessoal'!$I$532:$AJ$532&amp;'Gastos com Pessoal'!$I$512:$AJ$512,0),10,1)),0)</f>
        <v>129000</v>
      </c>
      <c r="G49" s="188">
        <f t="array" aca="1" ref="G49" ca="1">_xlfn.IFNA(SUM((G$3&gt;='Gastos com Pessoal'!$E$7:$E$506)*(G$3&lt;='Gastos com Pessoal'!$F$7:$F$506)*OFFSET('Encargos e Benefícios'!$D$5,1,MATCH($B49,'Encargos e Benefícios'!$E$5:$AB$5,0),500,1)),0)+_xlfn.IFNA(SUM((G$3&gt;='Gastos com Pessoal'!$E$513:$E$522)*(G$3&lt;='Gastos com Pessoal'!$F$513:$F$522)*OFFSET('Encargos e Benefícios'!$D$511,1,MATCH($B49,'Encargos e Benefícios'!$E$511:$AB$511,0),10,1)),0)+_xlfn.IFNA(SUM((G$3&gt;='Gastos com Pessoal'!$E$7:$E$506)*(G$3&lt;='Gastos com Pessoal'!$F$7:$F$506)*(IF('Gastos com Pessoal'!$G$7:$G$506&lt;=G$3,1,0))*OFFSET('Gastos com Pessoal'!$H$6,1,MATCH(1&amp;$B49,'Gastos com Pessoal'!$I$532:$AJ$532&amp;'Gastos com Pessoal'!$I$6:$AJ$6,0),500,1)),0)+_xlfn.IFNA(SUM((G$3&gt;='Gastos com Pessoal'!$E$7:$E$506)*(G$3&lt;='Gastos com Pessoal'!$F$7:$F$506)*(IF('Gastos com Pessoal'!$M$7:$M$506&lt;=G$3,1,0))*OFFSET('Gastos com Pessoal'!$H$6,1,MATCH(2&amp;$B49,'Gastos com Pessoal'!$I$532:$AJ$532&amp;'Gastos com Pessoal'!$I$6:$AJ$6,0),500,1)),0)+_xlfn.IFNA(SUM((G$3&gt;='Gastos com Pessoal'!$E$7:$E$506)*(G$3&lt;='Gastos com Pessoal'!$F$7:$F$506)*(IF('Gastos com Pessoal'!$S$7:$S$506&lt;=G$3,1,0))*OFFSET('Gastos com Pessoal'!$H$6,1,MATCH(3&amp;$B49,'Gastos com Pessoal'!$I$532:$AJ$532&amp;'Gastos com Pessoal'!$I$6:$AJ$6,0),500,1)),0)+_xlfn.IFNA(SUM((G$3&gt;='Gastos com Pessoal'!$E$7:$E$506)*(G$3&lt;='Gastos com Pessoal'!$F$7:$F$506)*(IF('Gastos com Pessoal'!$Y$7:$Y$506&lt;=G$3,1,0))*OFFSET('Gastos com Pessoal'!$H$6,1,MATCH(4&amp;$B49,'Gastos com Pessoal'!$I$532:$AJ$532&amp;'Gastos com Pessoal'!$I$6:$AJ$6,0),500,1)),0)+_xlfn.IFNA(SUM((G$3&gt;='Gastos com Pessoal'!$E$7:$E$506)*(G$3&lt;='Gastos com Pessoal'!$F$7:$F$506)*(IF('Gastos com Pessoal'!$AE$7:$AE$506&lt;=G$3,1,0))*OFFSET('Gastos com Pessoal'!$H$6,1,MATCH(5&amp;$B49,'Gastos com Pessoal'!$I$532:$AJ$532&amp;'Gastos com Pessoal'!$I$6:$AJ$6,0),500,1)),0)+_xlfn.IFNA(SUM((G$3&gt;='Gastos com Pessoal'!$E$513:$E$522)*(G$3&lt;='Gastos com Pessoal'!$F$513:$F$522)*(IF('Gastos com Pessoal'!$G$513:$G$522&lt;=G$3,1,0))*OFFSET('Gastos com Pessoal'!$H$512,1,MATCH(1&amp;$B49,'Gastos com Pessoal'!$I$532:$AJ$532&amp;'Gastos com Pessoal'!$I$512:$AJ$512,0),10,1)),0)+_xlfn.IFNA(SUM((G$3&gt;='Gastos com Pessoal'!$E$513:$E$522)*(G$3&lt;='Gastos com Pessoal'!$F$513:$F$522)*(IF('Gastos com Pessoal'!$M$513:$M$522&lt;=G$3,1,0))*OFFSET('Gastos com Pessoal'!$H$512,1,MATCH(2&amp;$B49,'Gastos com Pessoal'!$I$532:$AJ$532&amp;'Gastos com Pessoal'!$I$512:$AJ$512,0),10,1)),0)+_xlfn.IFNA(SUM((G$3&gt;='Gastos com Pessoal'!$E$513:$E$522)*(G$3&lt;='Gastos com Pessoal'!$F$513:$F$522)*(IF('Gastos com Pessoal'!$S$513:$S$522&lt;=G$3,1,0))*OFFSET('Gastos com Pessoal'!$H$512,1,MATCH(3&amp;$B49,'Gastos com Pessoal'!$I$532:$AJ$532&amp;'Gastos com Pessoal'!$I$512:$AJ$512,0),10,1)),0)+_xlfn.IFNA(SUM((G$3&gt;='Gastos com Pessoal'!$E$513:$E$522)*(G$3&lt;='Gastos com Pessoal'!$F$513:$F$522)*(IF('Gastos com Pessoal'!$Y$513:$Y$522&lt;=G$3,1,0))*OFFSET('Gastos com Pessoal'!$H$512,1,MATCH(4&amp;$B49,'Gastos com Pessoal'!$I$532:$AJ$532&amp;'Gastos com Pessoal'!$I$512:$AJ$512,0),10,1)),0)+_xlfn.IFNA(SUM((G$3&gt;='Gastos com Pessoal'!$E$513:$E$522)*(G$3&lt;='Gastos com Pessoal'!$F$513:$F$522)*(IF('Gastos com Pessoal'!$AE$513:$AE$522&lt;=G$3,1,0))*OFFSET('Gastos com Pessoal'!$H$512,1,MATCH(5&amp;$B49,'Gastos com Pessoal'!$I$532:$AJ$532&amp;'Gastos com Pessoal'!$I$512:$AJ$512,0),10,1)),0)</f>
        <v>129000</v>
      </c>
      <c r="H49" s="188">
        <f t="array" aca="1" ref="H49" ca="1">_xlfn.IFNA(SUM((H$3&gt;='Gastos com Pessoal'!$E$7:$E$506)*(H$3&lt;='Gastos com Pessoal'!$F$7:$F$506)*OFFSET('Encargos e Benefícios'!$D$5,1,MATCH($B49,'Encargos e Benefícios'!$E$5:$AB$5,0),500,1)),0)+_xlfn.IFNA(SUM((H$3&gt;='Gastos com Pessoal'!$E$513:$E$522)*(H$3&lt;='Gastos com Pessoal'!$F$513:$F$522)*OFFSET('Encargos e Benefícios'!$D$511,1,MATCH($B49,'Encargos e Benefícios'!$E$511:$AB$511,0),10,1)),0)+_xlfn.IFNA(SUM((H$3&gt;='Gastos com Pessoal'!$E$7:$E$506)*(H$3&lt;='Gastos com Pessoal'!$F$7:$F$506)*(IF('Gastos com Pessoal'!$G$7:$G$506&lt;=H$3,1,0))*OFFSET('Gastos com Pessoal'!$H$6,1,MATCH(1&amp;$B49,'Gastos com Pessoal'!$I$532:$AJ$532&amp;'Gastos com Pessoal'!$I$6:$AJ$6,0),500,1)),0)+_xlfn.IFNA(SUM((H$3&gt;='Gastos com Pessoal'!$E$7:$E$506)*(H$3&lt;='Gastos com Pessoal'!$F$7:$F$506)*(IF('Gastos com Pessoal'!$M$7:$M$506&lt;=H$3,1,0))*OFFSET('Gastos com Pessoal'!$H$6,1,MATCH(2&amp;$B49,'Gastos com Pessoal'!$I$532:$AJ$532&amp;'Gastos com Pessoal'!$I$6:$AJ$6,0),500,1)),0)+_xlfn.IFNA(SUM((H$3&gt;='Gastos com Pessoal'!$E$7:$E$506)*(H$3&lt;='Gastos com Pessoal'!$F$7:$F$506)*(IF('Gastos com Pessoal'!$S$7:$S$506&lt;=H$3,1,0))*OFFSET('Gastos com Pessoal'!$H$6,1,MATCH(3&amp;$B49,'Gastos com Pessoal'!$I$532:$AJ$532&amp;'Gastos com Pessoal'!$I$6:$AJ$6,0),500,1)),0)+_xlfn.IFNA(SUM((H$3&gt;='Gastos com Pessoal'!$E$7:$E$506)*(H$3&lt;='Gastos com Pessoal'!$F$7:$F$506)*(IF('Gastos com Pessoal'!$Y$7:$Y$506&lt;=H$3,1,0))*OFFSET('Gastos com Pessoal'!$H$6,1,MATCH(4&amp;$B49,'Gastos com Pessoal'!$I$532:$AJ$532&amp;'Gastos com Pessoal'!$I$6:$AJ$6,0),500,1)),0)+_xlfn.IFNA(SUM((H$3&gt;='Gastos com Pessoal'!$E$7:$E$506)*(H$3&lt;='Gastos com Pessoal'!$F$7:$F$506)*(IF('Gastos com Pessoal'!$AE$7:$AE$506&lt;=H$3,1,0))*OFFSET('Gastos com Pessoal'!$H$6,1,MATCH(5&amp;$B49,'Gastos com Pessoal'!$I$532:$AJ$532&amp;'Gastos com Pessoal'!$I$6:$AJ$6,0),500,1)),0)+_xlfn.IFNA(SUM((H$3&gt;='Gastos com Pessoal'!$E$513:$E$522)*(H$3&lt;='Gastos com Pessoal'!$F$513:$F$522)*(IF('Gastos com Pessoal'!$G$513:$G$522&lt;=H$3,1,0))*OFFSET('Gastos com Pessoal'!$H$512,1,MATCH(1&amp;$B49,'Gastos com Pessoal'!$I$532:$AJ$532&amp;'Gastos com Pessoal'!$I$512:$AJ$512,0),10,1)),0)+_xlfn.IFNA(SUM((H$3&gt;='Gastos com Pessoal'!$E$513:$E$522)*(H$3&lt;='Gastos com Pessoal'!$F$513:$F$522)*(IF('Gastos com Pessoal'!$M$513:$M$522&lt;=H$3,1,0))*OFFSET('Gastos com Pessoal'!$H$512,1,MATCH(2&amp;$B49,'Gastos com Pessoal'!$I$532:$AJ$532&amp;'Gastos com Pessoal'!$I$512:$AJ$512,0),10,1)),0)+_xlfn.IFNA(SUM((H$3&gt;='Gastos com Pessoal'!$E$513:$E$522)*(H$3&lt;='Gastos com Pessoal'!$F$513:$F$522)*(IF('Gastos com Pessoal'!$S$513:$S$522&lt;=H$3,1,0))*OFFSET('Gastos com Pessoal'!$H$512,1,MATCH(3&amp;$B49,'Gastos com Pessoal'!$I$532:$AJ$532&amp;'Gastos com Pessoal'!$I$512:$AJ$512,0),10,1)),0)+_xlfn.IFNA(SUM((H$3&gt;='Gastos com Pessoal'!$E$513:$E$522)*(H$3&lt;='Gastos com Pessoal'!$F$513:$F$522)*(IF('Gastos com Pessoal'!$Y$513:$Y$522&lt;=H$3,1,0))*OFFSET('Gastos com Pessoal'!$H$512,1,MATCH(4&amp;$B49,'Gastos com Pessoal'!$I$532:$AJ$532&amp;'Gastos com Pessoal'!$I$512:$AJ$512,0),10,1)),0)+_xlfn.IFNA(SUM((H$3&gt;='Gastos com Pessoal'!$E$513:$E$522)*(H$3&lt;='Gastos com Pessoal'!$F$513:$F$522)*(IF('Gastos com Pessoal'!$AE$513:$AE$522&lt;=H$3,1,0))*OFFSET('Gastos com Pessoal'!$H$512,1,MATCH(5&amp;$B49,'Gastos com Pessoal'!$I$532:$AJ$532&amp;'Gastos com Pessoal'!$I$512:$AJ$512,0),10,1)),0)</f>
        <v>136533.59999999998</v>
      </c>
      <c r="I49" s="188">
        <f t="array" aca="1" ref="I49" ca="1">_xlfn.IFNA(SUM((I$3&gt;='Gastos com Pessoal'!$E$7:$E$506)*(I$3&lt;='Gastos com Pessoal'!$F$7:$F$506)*OFFSET('Encargos e Benefícios'!$D$5,1,MATCH($B49,'Encargos e Benefícios'!$E$5:$AB$5,0),500,1)),0)+_xlfn.IFNA(SUM((I$3&gt;='Gastos com Pessoal'!$E$513:$E$522)*(I$3&lt;='Gastos com Pessoal'!$F$513:$F$522)*OFFSET('Encargos e Benefícios'!$D$511,1,MATCH($B49,'Encargos e Benefícios'!$E$511:$AB$511,0),10,1)),0)+_xlfn.IFNA(SUM((I$3&gt;='Gastos com Pessoal'!$E$7:$E$506)*(I$3&lt;='Gastos com Pessoal'!$F$7:$F$506)*(IF('Gastos com Pessoal'!$G$7:$G$506&lt;=I$3,1,0))*OFFSET('Gastos com Pessoal'!$H$6,1,MATCH(1&amp;$B49,'Gastos com Pessoal'!$I$532:$AJ$532&amp;'Gastos com Pessoal'!$I$6:$AJ$6,0),500,1)),0)+_xlfn.IFNA(SUM((I$3&gt;='Gastos com Pessoal'!$E$7:$E$506)*(I$3&lt;='Gastos com Pessoal'!$F$7:$F$506)*(IF('Gastos com Pessoal'!$M$7:$M$506&lt;=I$3,1,0))*OFFSET('Gastos com Pessoal'!$H$6,1,MATCH(2&amp;$B49,'Gastos com Pessoal'!$I$532:$AJ$532&amp;'Gastos com Pessoal'!$I$6:$AJ$6,0),500,1)),0)+_xlfn.IFNA(SUM((I$3&gt;='Gastos com Pessoal'!$E$7:$E$506)*(I$3&lt;='Gastos com Pessoal'!$F$7:$F$506)*(IF('Gastos com Pessoal'!$S$7:$S$506&lt;=I$3,1,0))*OFFSET('Gastos com Pessoal'!$H$6,1,MATCH(3&amp;$B49,'Gastos com Pessoal'!$I$532:$AJ$532&amp;'Gastos com Pessoal'!$I$6:$AJ$6,0),500,1)),0)+_xlfn.IFNA(SUM((I$3&gt;='Gastos com Pessoal'!$E$7:$E$506)*(I$3&lt;='Gastos com Pessoal'!$F$7:$F$506)*(IF('Gastos com Pessoal'!$Y$7:$Y$506&lt;=I$3,1,0))*OFFSET('Gastos com Pessoal'!$H$6,1,MATCH(4&amp;$B49,'Gastos com Pessoal'!$I$532:$AJ$532&amp;'Gastos com Pessoal'!$I$6:$AJ$6,0),500,1)),0)+_xlfn.IFNA(SUM((I$3&gt;='Gastos com Pessoal'!$E$7:$E$506)*(I$3&lt;='Gastos com Pessoal'!$F$7:$F$506)*(IF('Gastos com Pessoal'!$AE$7:$AE$506&lt;=I$3,1,0))*OFFSET('Gastos com Pessoal'!$H$6,1,MATCH(5&amp;$B49,'Gastos com Pessoal'!$I$532:$AJ$532&amp;'Gastos com Pessoal'!$I$6:$AJ$6,0),500,1)),0)+_xlfn.IFNA(SUM((I$3&gt;='Gastos com Pessoal'!$E$513:$E$522)*(I$3&lt;='Gastos com Pessoal'!$F$513:$F$522)*(IF('Gastos com Pessoal'!$G$513:$G$522&lt;=I$3,1,0))*OFFSET('Gastos com Pessoal'!$H$512,1,MATCH(1&amp;$B49,'Gastos com Pessoal'!$I$532:$AJ$532&amp;'Gastos com Pessoal'!$I$512:$AJ$512,0),10,1)),0)+_xlfn.IFNA(SUM((I$3&gt;='Gastos com Pessoal'!$E$513:$E$522)*(I$3&lt;='Gastos com Pessoal'!$F$513:$F$522)*(IF('Gastos com Pessoal'!$M$513:$M$522&lt;=I$3,1,0))*OFFSET('Gastos com Pessoal'!$H$512,1,MATCH(2&amp;$B49,'Gastos com Pessoal'!$I$532:$AJ$532&amp;'Gastos com Pessoal'!$I$512:$AJ$512,0),10,1)),0)+_xlfn.IFNA(SUM((I$3&gt;='Gastos com Pessoal'!$E$513:$E$522)*(I$3&lt;='Gastos com Pessoal'!$F$513:$F$522)*(IF('Gastos com Pessoal'!$S$513:$S$522&lt;=I$3,1,0))*OFFSET('Gastos com Pessoal'!$H$512,1,MATCH(3&amp;$B49,'Gastos com Pessoal'!$I$532:$AJ$532&amp;'Gastos com Pessoal'!$I$512:$AJ$512,0),10,1)),0)+_xlfn.IFNA(SUM((I$3&gt;='Gastos com Pessoal'!$E$513:$E$522)*(I$3&lt;='Gastos com Pessoal'!$F$513:$F$522)*(IF('Gastos com Pessoal'!$Y$513:$Y$522&lt;=I$3,1,0))*OFFSET('Gastos com Pessoal'!$H$512,1,MATCH(4&amp;$B49,'Gastos com Pessoal'!$I$532:$AJ$532&amp;'Gastos com Pessoal'!$I$512:$AJ$512,0),10,1)),0)+_xlfn.IFNA(SUM((I$3&gt;='Gastos com Pessoal'!$E$513:$E$522)*(I$3&lt;='Gastos com Pessoal'!$F$513:$F$522)*(IF('Gastos com Pessoal'!$AE$513:$AE$522&lt;=I$3,1,0))*OFFSET('Gastos com Pessoal'!$H$512,1,MATCH(5&amp;$B49,'Gastos com Pessoal'!$I$532:$AJ$532&amp;'Gastos com Pessoal'!$I$512:$AJ$512,0),10,1)),0)</f>
        <v>136533.59999999998</v>
      </c>
      <c r="J49" s="188">
        <f t="array" aca="1" ref="J49" ca="1">_xlfn.IFNA(SUM((J$3&gt;='Gastos com Pessoal'!$E$7:$E$506)*(J$3&lt;='Gastos com Pessoal'!$F$7:$F$506)*OFFSET('Encargos e Benefícios'!$D$5,1,MATCH($B49,'Encargos e Benefícios'!$E$5:$AB$5,0),500,1)),0)+_xlfn.IFNA(SUM((J$3&gt;='Gastos com Pessoal'!$E$513:$E$522)*(J$3&lt;='Gastos com Pessoal'!$F$513:$F$522)*OFFSET('Encargos e Benefícios'!$D$511,1,MATCH($B49,'Encargos e Benefícios'!$E$511:$AB$511,0),10,1)),0)+_xlfn.IFNA(SUM((J$3&gt;='Gastos com Pessoal'!$E$7:$E$506)*(J$3&lt;='Gastos com Pessoal'!$F$7:$F$506)*(IF('Gastos com Pessoal'!$G$7:$G$506&lt;=J$3,1,0))*OFFSET('Gastos com Pessoal'!$H$6,1,MATCH(1&amp;$B49,'Gastos com Pessoal'!$I$532:$AJ$532&amp;'Gastos com Pessoal'!$I$6:$AJ$6,0),500,1)),0)+_xlfn.IFNA(SUM((J$3&gt;='Gastos com Pessoal'!$E$7:$E$506)*(J$3&lt;='Gastos com Pessoal'!$F$7:$F$506)*(IF('Gastos com Pessoal'!$M$7:$M$506&lt;=J$3,1,0))*OFFSET('Gastos com Pessoal'!$H$6,1,MATCH(2&amp;$B49,'Gastos com Pessoal'!$I$532:$AJ$532&amp;'Gastos com Pessoal'!$I$6:$AJ$6,0),500,1)),0)+_xlfn.IFNA(SUM((J$3&gt;='Gastos com Pessoal'!$E$7:$E$506)*(J$3&lt;='Gastos com Pessoal'!$F$7:$F$506)*(IF('Gastos com Pessoal'!$S$7:$S$506&lt;=J$3,1,0))*OFFSET('Gastos com Pessoal'!$H$6,1,MATCH(3&amp;$B49,'Gastos com Pessoal'!$I$532:$AJ$532&amp;'Gastos com Pessoal'!$I$6:$AJ$6,0),500,1)),0)+_xlfn.IFNA(SUM((J$3&gt;='Gastos com Pessoal'!$E$7:$E$506)*(J$3&lt;='Gastos com Pessoal'!$F$7:$F$506)*(IF('Gastos com Pessoal'!$Y$7:$Y$506&lt;=J$3,1,0))*OFFSET('Gastos com Pessoal'!$H$6,1,MATCH(4&amp;$B49,'Gastos com Pessoal'!$I$532:$AJ$532&amp;'Gastos com Pessoal'!$I$6:$AJ$6,0),500,1)),0)+_xlfn.IFNA(SUM((J$3&gt;='Gastos com Pessoal'!$E$7:$E$506)*(J$3&lt;='Gastos com Pessoal'!$F$7:$F$506)*(IF('Gastos com Pessoal'!$AE$7:$AE$506&lt;=J$3,1,0))*OFFSET('Gastos com Pessoal'!$H$6,1,MATCH(5&amp;$B49,'Gastos com Pessoal'!$I$532:$AJ$532&amp;'Gastos com Pessoal'!$I$6:$AJ$6,0),500,1)),0)+_xlfn.IFNA(SUM((J$3&gt;='Gastos com Pessoal'!$E$513:$E$522)*(J$3&lt;='Gastos com Pessoal'!$F$513:$F$522)*(IF('Gastos com Pessoal'!$G$513:$G$522&lt;=J$3,1,0))*OFFSET('Gastos com Pessoal'!$H$512,1,MATCH(1&amp;$B49,'Gastos com Pessoal'!$I$532:$AJ$532&amp;'Gastos com Pessoal'!$I$512:$AJ$512,0),10,1)),0)+_xlfn.IFNA(SUM((J$3&gt;='Gastos com Pessoal'!$E$513:$E$522)*(J$3&lt;='Gastos com Pessoal'!$F$513:$F$522)*(IF('Gastos com Pessoal'!$M$513:$M$522&lt;=J$3,1,0))*OFFSET('Gastos com Pessoal'!$H$512,1,MATCH(2&amp;$B49,'Gastos com Pessoal'!$I$532:$AJ$532&amp;'Gastos com Pessoal'!$I$512:$AJ$512,0),10,1)),0)+_xlfn.IFNA(SUM((J$3&gt;='Gastos com Pessoal'!$E$513:$E$522)*(J$3&lt;='Gastos com Pessoal'!$F$513:$F$522)*(IF('Gastos com Pessoal'!$S$513:$S$522&lt;=J$3,1,0))*OFFSET('Gastos com Pessoal'!$H$512,1,MATCH(3&amp;$B49,'Gastos com Pessoal'!$I$532:$AJ$532&amp;'Gastos com Pessoal'!$I$512:$AJ$512,0),10,1)),0)+_xlfn.IFNA(SUM((J$3&gt;='Gastos com Pessoal'!$E$513:$E$522)*(J$3&lt;='Gastos com Pessoal'!$F$513:$F$522)*(IF('Gastos com Pessoal'!$Y$513:$Y$522&lt;=J$3,1,0))*OFFSET('Gastos com Pessoal'!$H$512,1,MATCH(4&amp;$B49,'Gastos com Pessoal'!$I$532:$AJ$532&amp;'Gastos com Pessoal'!$I$512:$AJ$512,0),10,1)),0)+_xlfn.IFNA(SUM((J$3&gt;='Gastos com Pessoal'!$E$513:$E$522)*(J$3&lt;='Gastos com Pessoal'!$F$513:$F$522)*(IF('Gastos com Pessoal'!$AE$513:$AE$522&lt;=J$3,1,0))*OFFSET('Gastos com Pessoal'!$H$512,1,MATCH(5&amp;$B49,'Gastos com Pessoal'!$I$532:$AJ$532&amp;'Gastos com Pessoal'!$I$512:$AJ$512,0),10,1)),0)</f>
        <v>136533.59999999998</v>
      </c>
      <c r="K49" s="188">
        <f t="array" aca="1" ref="K49" ca="1">_xlfn.IFNA(SUM((K$3&gt;='Gastos com Pessoal'!$E$7:$E$506)*(K$3&lt;='Gastos com Pessoal'!$F$7:$F$506)*OFFSET('Encargos e Benefícios'!$D$5,1,MATCH($B49,'Encargos e Benefícios'!$E$5:$AB$5,0),500,1)),0)+_xlfn.IFNA(SUM((K$3&gt;='Gastos com Pessoal'!$E$513:$E$522)*(K$3&lt;='Gastos com Pessoal'!$F$513:$F$522)*OFFSET('Encargos e Benefícios'!$D$511,1,MATCH($B49,'Encargos e Benefícios'!$E$511:$AB$511,0),10,1)),0)+_xlfn.IFNA(SUM((K$3&gt;='Gastos com Pessoal'!$E$7:$E$506)*(K$3&lt;='Gastos com Pessoal'!$F$7:$F$506)*(IF('Gastos com Pessoal'!$G$7:$G$506&lt;=K$3,1,0))*OFFSET('Gastos com Pessoal'!$H$6,1,MATCH(1&amp;$B49,'Gastos com Pessoal'!$I$532:$AJ$532&amp;'Gastos com Pessoal'!$I$6:$AJ$6,0),500,1)),0)+_xlfn.IFNA(SUM((K$3&gt;='Gastos com Pessoal'!$E$7:$E$506)*(K$3&lt;='Gastos com Pessoal'!$F$7:$F$506)*(IF('Gastos com Pessoal'!$M$7:$M$506&lt;=K$3,1,0))*OFFSET('Gastos com Pessoal'!$H$6,1,MATCH(2&amp;$B49,'Gastos com Pessoal'!$I$532:$AJ$532&amp;'Gastos com Pessoal'!$I$6:$AJ$6,0),500,1)),0)+_xlfn.IFNA(SUM((K$3&gt;='Gastos com Pessoal'!$E$7:$E$506)*(K$3&lt;='Gastos com Pessoal'!$F$7:$F$506)*(IF('Gastos com Pessoal'!$S$7:$S$506&lt;=K$3,1,0))*OFFSET('Gastos com Pessoal'!$H$6,1,MATCH(3&amp;$B49,'Gastos com Pessoal'!$I$532:$AJ$532&amp;'Gastos com Pessoal'!$I$6:$AJ$6,0),500,1)),0)+_xlfn.IFNA(SUM((K$3&gt;='Gastos com Pessoal'!$E$7:$E$506)*(K$3&lt;='Gastos com Pessoal'!$F$7:$F$506)*(IF('Gastos com Pessoal'!$Y$7:$Y$506&lt;=K$3,1,0))*OFFSET('Gastos com Pessoal'!$H$6,1,MATCH(4&amp;$B49,'Gastos com Pessoal'!$I$532:$AJ$532&amp;'Gastos com Pessoal'!$I$6:$AJ$6,0),500,1)),0)+_xlfn.IFNA(SUM((K$3&gt;='Gastos com Pessoal'!$E$7:$E$506)*(K$3&lt;='Gastos com Pessoal'!$F$7:$F$506)*(IF('Gastos com Pessoal'!$AE$7:$AE$506&lt;=K$3,1,0))*OFFSET('Gastos com Pessoal'!$H$6,1,MATCH(5&amp;$B49,'Gastos com Pessoal'!$I$532:$AJ$532&amp;'Gastos com Pessoal'!$I$6:$AJ$6,0),500,1)),0)+_xlfn.IFNA(SUM((K$3&gt;='Gastos com Pessoal'!$E$513:$E$522)*(K$3&lt;='Gastos com Pessoal'!$F$513:$F$522)*(IF('Gastos com Pessoal'!$G$513:$G$522&lt;=K$3,1,0))*OFFSET('Gastos com Pessoal'!$H$512,1,MATCH(1&amp;$B49,'Gastos com Pessoal'!$I$532:$AJ$532&amp;'Gastos com Pessoal'!$I$512:$AJ$512,0),10,1)),0)+_xlfn.IFNA(SUM((K$3&gt;='Gastos com Pessoal'!$E$513:$E$522)*(K$3&lt;='Gastos com Pessoal'!$F$513:$F$522)*(IF('Gastos com Pessoal'!$M$513:$M$522&lt;=K$3,1,0))*OFFSET('Gastos com Pessoal'!$H$512,1,MATCH(2&amp;$B49,'Gastos com Pessoal'!$I$532:$AJ$532&amp;'Gastos com Pessoal'!$I$512:$AJ$512,0),10,1)),0)+_xlfn.IFNA(SUM((K$3&gt;='Gastos com Pessoal'!$E$513:$E$522)*(K$3&lt;='Gastos com Pessoal'!$F$513:$F$522)*(IF('Gastos com Pessoal'!$S$513:$S$522&lt;=K$3,1,0))*OFFSET('Gastos com Pessoal'!$H$512,1,MATCH(3&amp;$B49,'Gastos com Pessoal'!$I$532:$AJ$532&amp;'Gastos com Pessoal'!$I$512:$AJ$512,0),10,1)),0)+_xlfn.IFNA(SUM((K$3&gt;='Gastos com Pessoal'!$E$513:$E$522)*(K$3&lt;='Gastos com Pessoal'!$F$513:$F$522)*(IF('Gastos com Pessoal'!$Y$513:$Y$522&lt;=K$3,1,0))*OFFSET('Gastos com Pessoal'!$H$512,1,MATCH(4&amp;$B49,'Gastos com Pessoal'!$I$532:$AJ$532&amp;'Gastos com Pessoal'!$I$512:$AJ$512,0),10,1)),0)+_xlfn.IFNA(SUM((K$3&gt;='Gastos com Pessoal'!$E$513:$E$522)*(K$3&lt;='Gastos com Pessoal'!$F$513:$F$522)*(IF('Gastos com Pessoal'!$AE$513:$AE$522&lt;=K$3,1,0))*OFFSET('Gastos com Pessoal'!$H$512,1,MATCH(5&amp;$B49,'Gastos com Pessoal'!$I$532:$AJ$532&amp;'Gastos com Pessoal'!$I$512:$AJ$512,0),10,1)),0)</f>
        <v>136533.59999999998</v>
      </c>
      <c r="L49" s="188">
        <f t="array" aca="1" ref="L49" ca="1">_xlfn.IFNA(SUM((L$3&gt;='Gastos com Pessoal'!$E$7:$E$506)*(L$3&lt;='Gastos com Pessoal'!$F$7:$F$506)*OFFSET('Encargos e Benefícios'!$D$5,1,MATCH($B49,'Encargos e Benefícios'!$E$5:$AB$5,0),500,1)),0)+_xlfn.IFNA(SUM((L$3&gt;='Gastos com Pessoal'!$E$513:$E$522)*(L$3&lt;='Gastos com Pessoal'!$F$513:$F$522)*OFFSET('Encargos e Benefícios'!$D$511,1,MATCH($B49,'Encargos e Benefícios'!$E$511:$AB$511,0),10,1)),0)+_xlfn.IFNA(SUM((L$3&gt;='Gastos com Pessoal'!$E$7:$E$506)*(L$3&lt;='Gastos com Pessoal'!$F$7:$F$506)*(IF('Gastos com Pessoal'!$G$7:$G$506&lt;=L$3,1,0))*OFFSET('Gastos com Pessoal'!$H$6,1,MATCH(1&amp;$B49,'Gastos com Pessoal'!$I$532:$AJ$532&amp;'Gastos com Pessoal'!$I$6:$AJ$6,0),500,1)),0)+_xlfn.IFNA(SUM((L$3&gt;='Gastos com Pessoal'!$E$7:$E$506)*(L$3&lt;='Gastos com Pessoal'!$F$7:$F$506)*(IF('Gastos com Pessoal'!$M$7:$M$506&lt;=L$3,1,0))*OFFSET('Gastos com Pessoal'!$H$6,1,MATCH(2&amp;$B49,'Gastos com Pessoal'!$I$532:$AJ$532&amp;'Gastos com Pessoal'!$I$6:$AJ$6,0),500,1)),0)+_xlfn.IFNA(SUM((L$3&gt;='Gastos com Pessoal'!$E$7:$E$506)*(L$3&lt;='Gastos com Pessoal'!$F$7:$F$506)*(IF('Gastos com Pessoal'!$S$7:$S$506&lt;=L$3,1,0))*OFFSET('Gastos com Pessoal'!$H$6,1,MATCH(3&amp;$B49,'Gastos com Pessoal'!$I$532:$AJ$532&amp;'Gastos com Pessoal'!$I$6:$AJ$6,0),500,1)),0)+_xlfn.IFNA(SUM((L$3&gt;='Gastos com Pessoal'!$E$7:$E$506)*(L$3&lt;='Gastos com Pessoal'!$F$7:$F$506)*(IF('Gastos com Pessoal'!$Y$7:$Y$506&lt;=L$3,1,0))*OFFSET('Gastos com Pessoal'!$H$6,1,MATCH(4&amp;$B49,'Gastos com Pessoal'!$I$532:$AJ$532&amp;'Gastos com Pessoal'!$I$6:$AJ$6,0),500,1)),0)+_xlfn.IFNA(SUM((L$3&gt;='Gastos com Pessoal'!$E$7:$E$506)*(L$3&lt;='Gastos com Pessoal'!$F$7:$F$506)*(IF('Gastos com Pessoal'!$AE$7:$AE$506&lt;=L$3,1,0))*OFFSET('Gastos com Pessoal'!$H$6,1,MATCH(5&amp;$B49,'Gastos com Pessoal'!$I$532:$AJ$532&amp;'Gastos com Pessoal'!$I$6:$AJ$6,0),500,1)),0)+_xlfn.IFNA(SUM((L$3&gt;='Gastos com Pessoal'!$E$513:$E$522)*(L$3&lt;='Gastos com Pessoal'!$F$513:$F$522)*(IF('Gastos com Pessoal'!$G$513:$G$522&lt;=L$3,1,0))*OFFSET('Gastos com Pessoal'!$H$512,1,MATCH(1&amp;$B49,'Gastos com Pessoal'!$I$532:$AJ$532&amp;'Gastos com Pessoal'!$I$512:$AJ$512,0),10,1)),0)+_xlfn.IFNA(SUM((L$3&gt;='Gastos com Pessoal'!$E$513:$E$522)*(L$3&lt;='Gastos com Pessoal'!$F$513:$F$522)*(IF('Gastos com Pessoal'!$M$513:$M$522&lt;=L$3,1,0))*OFFSET('Gastos com Pessoal'!$H$512,1,MATCH(2&amp;$B49,'Gastos com Pessoal'!$I$532:$AJ$532&amp;'Gastos com Pessoal'!$I$512:$AJ$512,0),10,1)),0)+_xlfn.IFNA(SUM((L$3&gt;='Gastos com Pessoal'!$E$513:$E$522)*(L$3&lt;='Gastos com Pessoal'!$F$513:$F$522)*(IF('Gastos com Pessoal'!$S$513:$S$522&lt;=L$3,1,0))*OFFSET('Gastos com Pessoal'!$H$512,1,MATCH(3&amp;$B49,'Gastos com Pessoal'!$I$532:$AJ$532&amp;'Gastos com Pessoal'!$I$512:$AJ$512,0),10,1)),0)+_xlfn.IFNA(SUM((L$3&gt;='Gastos com Pessoal'!$E$513:$E$522)*(L$3&lt;='Gastos com Pessoal'!$F$513:$F$522)*(IF('Gastos com Pessoal'!$Y$513:$Y$522&lt;=L$3,1,0))*OFFSET('Gastos com Pessoal'!$H$512,1,MATCH(4&amp;$B49,'Gastos com Pessoal'!$I$532:$AJ$532&amp;'Gastos com Pessoal'!$I$512:$AJ$512,0),10,1)),0)+_xlfn.IFNA(SUM((L$3&gt;='Gastos com Pessoal'!$E$513:$E$522)*(L$3&lt;='Gastos com Pessoal'!$F$513:$F$522)*(IF('Gastos com Pessoal'!$AE$513:$AE$522&lt;=L$3,1,0))*OFFSET('Gastos com Pessoal'!$H$512,1,MATCH(5&amp;$B49,'Gastos com Pessoal'!$I$532:$AJ$532&amp;'Gastos com Pessoal'!$I$512:$AJ$512,0),10,1)),0)</f>
        <v>136533.59999999998</v>
      </c>
      <c r="M49" s="188">
        <f t="array" aca="1" ref="M49" ca="1">_xlfn.IFNA(SUM((M$3&gt;='Gastos com Pessoal'!$E$7:$E$506)*(M$3&lt;='Gastos com Pessoal'!$F$7:$F$506)*OFFSET('Encargos e Benefícios'!$D$5,1,MATCH($B49,'Encargos e Benefícios'!$E$5:$AB$5,0),500,1)),0)+_xlfn.IFNA(SUM((M$3&gt;='Gastos com Pessoal'!$E$513:$E$522)*(M$3&lt;='Gastos com Pessoal'!$F$513:$F$522)*OFFSET('Encargos e Benefícios'!$D$511,1,MATCH($B49,'Encargos e Benefícios'!$E$511:$AB$511,0),10,1)),0)+_xlfn.IFNA(SUM((M$3&gt;='Gastos com Pessoal'!$E$7:$E$506)*(M$3&lt;='Gastos com Pessoal'!$F$7:$F$506)*(IF('Gastos com Pessoal'!$G$7:$G$506&lt;=M$3,1,0))*OFFSET('Gastos com Pessoal'!$H$6,1,MATCH(1&amp;$B49,'Gastos com Pessoal'!$I$532:$AJ$532&amp;'Gastos com Pessoal'!$I$6:$AJ$6,0),500,1)),0)+_xlfn.IFNA(SUM((M$3&gt;='Gastos com Pessoal'!$E$7:$E$506)*(M$3&lt;='Gastos com Pessoal'!$F$7:$F$506)*(IF('Gastos com Pessoal'!$M$7:$M$506&lt;=M$3,1,0))*OFFSET('Gastos com Pessoal'!$H$6,1,MATCH(2&amp;$B49,'Gastos com Pessoal'!$I$532:$AJ$532&amp;'Gastos com Pessoal'!$I$6:$AJ$6,0),500,1)),0)+_xlfn.IFNA(SUM((M$3&gt;='Gastos com Pessoal'!$E$7:$E$506)*(M$3&lt;='Gastos com Pessoal'!$F$7:$F$506)*(IF('Gastos com Pessoal'!$S$7:$S$506&lt;=M$3,1,0))*OFFSET('Gastos com Pessoal'!$H$6,1,MATCH(3&amp;$B49,'Gastos com Pessoal'!$I$532:$AJ$532&amp;'Gastos com Pessoal'!$I$6:$AJ$6,0),500,1)),0)+_xlfn.IFNA(SUM((M$3&gt;='Gastos com Pessoal'!$E$7:$E$506)*(M$3&lt;='Gastos com Pessoal'!$F$7:$F$506)*(IF('Gastos com Pessoal'!$Y$7:$Y$506&lt;=M$3,1,0))*OFFSET('Gastos com Pessoal'!$H$6,1,MATCH(4&amp;$B49,'Gastos com Pessoal'!$I$532:$AJ$532&amp;'Gastos com Pessoal'!$I$6:$AJ$6,0),500,1)),0)+_xlfn.IFNA(SUM((M$3&gt;='Gastos com Pessoal'!$E$7:$E$506)*(M$3&lt;='Gastos com Pessoal'!$F$7:$F$506)*(IF('Gastos com Pessoal'!$AE$7:$AE$506&lt;=M$3,1,0))*OFFSET('Gastos com Pessoal'!$H$6,1,MATCH(5&amp;$B49,'Gastos com Pessoal'!$I$532:$AJ$532&amp;'Gastos com Pessoal'!$I$6:$AJ$6,0),500,1)),0)+_xlfn.IFNA(SUM((M$3&gt;='Gastos com Pessoal'!$E$513:$E$522)*(M$3&lt;='Gastos com Pessoal'!$F$513:$F$522)*(IF('Gastos com Pessoal'!$G$513:$G$522&lt;=M$3,1,0))*OFFSET('Gastos com Pessoal'!$H$512,1,MATCH(1&amp;$B49,'Gastos com Pessoal'!$I$532:$AJ$532&amp;'Gastos com Pessoal'!$I$512:$AJ$512,0),10,1)),0)+_xlfn.IFNA(SUM((M$3&gt;='Gastos com Pessoal'!$E$513:$E$522)*(M$3&lt;='Gastos com Pessoal'!$F$513:$F$522)*(IF('Gastos com Pessoal'!$M$513:$M$522&lt;=M$3,1,0))*OFFSET('Gastos com Pessoal'!$H$512,1,MATCH(2&amp;$B49,'Gastos com Pessoal'!$I$532:$AJ$532&amp;'Gastos com Pessoal'!$I$512:$AJ$512,0),10,1)),0)+_xlfn.IFNA(SUM((M$3&gt;='Gastos com Pessoal'!$E$513:$E$522)*(M$3&lt;='Gastos com Pessoal'!$F$513:$F$522)*(IF('Gastos com Pessoal'!$S$513:$S$522&lt;=M$3,1,0))*OFFSET('Gastos com Pessoal'!$H$512,1,MATCH(3&amp;$B49,'Gastos com Pessoal'!$I$532:$AJ$532&amp;'Gastos com Pessoal'!$I$512:$AJ$512,0),10,1)),0)+_xlfn.IFNA(SUM((M$3&gt;='Gastos com Pessoal'!$E$513:$E$522)*(M$3&lt;='Gastos com Pessoal'!$F$513:$F$522)*(IF('Gastos com Pessoal'!$Y$513:$Y$522&lt;=M$3,1,0))*OFFSET('Gastos com Pessoal'!$H$512,1,MATCH(4&amp;$B49,'Gastos com Pessoal'!$I$532:$AJ$532&amp;'Gastos com Pessoal'!$I$512:$AJ$512,0),10,1)),0)+_xlfn.IFNA(SUM((M$3&gt;='Gastos com Pessoal'!$E$513:$E$522)*(M$3&lt;='Gastos com Pessoal'!$F$513:$F$522)*(IF('Gastos com Pessoal'!$AE$513:$AE$522&lt;=M$3,1,0))*OFFSET('Gastos com Pessoal'!$H$512,1,MATCH(5&amp;$B49,'Gastos com Pessoal'!$I$532:$AJ$532&amp;'Gastos com Pessoal'!$I$512:$AJ$512,0),10,1)),0)</f>
        <v>137591.99999999997</v>
      </c>
      <c r="N49" s="188">
        <f t="array" aca="1" ref="N49" ca="1">_xlfn.IFNA(SUM((N$3&gt;='Gastos com Pessoal'!$E$7:$E$506)*(N$3&lt;='Gastos com Pessoal'!$F$7:$F$506)*OFFSET('Encargos e Benefícios'!$D$5,1,MATCH($B49,'Encargos e Benefícios'!$E$5:$AB$5,0),500,1)),0)+_xlfn.IFNA(SUM((N$3&gt;='Gastos com Pessoal'!$E$513:$E$522)*(N$3&lt;='Gastos com Pessoal'!$F$513:$F$522)*OFFSET('Encargos e Benefícios'!$D$511,1,MATCH($B49,'Encargos e Benefícios'!$E$511:$AB$511,0),10,1)),0)+_xlfn.IFNA(SUM((N$3&gt;='Gastos com Pessoal'!$E$7:$E$506)*(N$3&lt;='Gastos com Pessoal'!$F$7:$F$506)*(IF('Gastos com Pessoal'!$G$7:$G$506&lt;=N$3,1,0))*OFFSET('Gastos com Pessoal'!$H$6,1,MATCH(1&amp;$B49,'Gastos com Pessoal'!$I$532:$AJ$532&amp;'Gastos com Pessoal'!$I$6:$AJ$6,0),500,1)),0)+_xlfn.IFNA(SUM((N$3&gt;='Gastos com Pessoal'!$E$7:$E$506)*(N$3&lt;='Gastos com Pessoal'!$F$7:$F$506)*(IF('Gastos com Pessoal'!$M$7:$M$506&lt;=N$3,1,0))*OFFSET('Gastos com Pessoal'!$H$6,1,MATCH(2&amp;$B49,'Gastos com Pessoal'!$I$532:$AJ$532&amp;'Gastos com Pessoal'!$I$6:$AJ$6,0),500,1)),0)+_xlfn.IFNA(SUM((N$3&gt;='Gastos com Pessoal'!$E$7:$E$506)*(N$3&lt;='Gastos com Pessoal'!$F$7:$F$506)*(IF('Gastos com Pessoal'!$S$7:$S$506&lt;=N$3,1,0))*OFFSET('Gastos com Pessoal'!$H$6,1,MATCH(3&amp;$B49,'Gastos com Pessoal'!$I$532:$AJ$532&amp;'Gastos com Pessoal'!$I$6:$AJ$6,0),500,1)),0)+_xlfn.IFNA(SUM((N$3&gt;='Gastos com Pessoal'!$E$7:$E$506)*(N$3&lt;='Gastos com Pessoal'!$F$7:$F$506)*(IF('Gastos com Pessoal'!$Y$7:$Y$506&lt;=N$3,1,0))*OFFSET('Gastos com Pessoal'!$H$6,1,MATCH(4&amp;$B49,'Gastos com Pessoal'!$I$532:$AJ$532&amp;'Gastos com Pessoal'!$I$6:$AJ$6,0),500,1)),0)+_xlfn.IFNA(SUM((N$3&gt;='Gastos com Pessoal'!$E$7:$E$506)*(N$3&lt;='Gastos com Pessoal'!$F$7:$F$506)*(IF('Gastos com Pessoal'!$AE$7:$AE$506&lt;=N$3,1,0))*OFFSET('Gastos com Pessoal'!$H$6,1,MATCH(5&amp;$B49,'Gastos com Pessoal'!$I$532:$AJ$532&amp;'Gastos com Pessoal'!$I$6:$AJ$6,0),500,1)),0)+_xlfn.IFNA(SUM((N$3&gt;='Gastos com Pessoal'!$E$513:$E$522)*(N$3&lt;='Gastos com Pessoal'!$F$513:$F$522)*(IF('Gastos com Pessoal'!$G$513:$G$522&lt;=N$3,1,0))*OFFSET('Gastos com Pessoal'!$H$512,1,MATCH(1&amp;$B49,'Gastos com Pessoal'!$I$532:$AJ$532&amp;'Gastos com Pessoal'!$I$512:$AJ$512,0),10,1)),0)+_xlfn.IFNA(SUM((N$3&gt;='Gastos com Pessoal'!$E$513:$E$522)*(N$3&lt;='Gastos com Pessoal'!$F$513:$F$522)*(IF('Gastos com Pessoal'!$M$513:$M$522&lt;=N$3,1,0))*OFFSET('Gastos com Pessoal'!$H$512,1,MATCH(2&amp;$B49,'Gastos com Pessoal'!$I$532:$AJ$532&amp;'Gastos com Pessoal'!$I$512:$AJ$512,0),10,1)),0)+_xlfn.IFNA(SUM((N$3&gt;='Gastos com Pessoal'!$E$513:$E$522)*(N$3&lt;='Gastos com Pessoal'!$F$513:$F$522)*(IF('Gastos com Pessoal'!$S$513:$S$522&lt;=N$3,1,0))*OFFSET('Gastos com Pessoal'!$H$512,1,MATCH(3&amp;$B49,'Gastos com Pessoal'!$I$532:$AJ$532&amp;'Gastos com Pessoal'!$I$512:$AJ$512,0),10,1)),0)+_xlfn.IFNA(SUM((N$3&gt;='Gastos com Pessoal'!$E$513:$E$522)*(N$3&lt;='Gastos com Pessoal'!$F$513:$F$522)*(IF('Gastos com Pessoal'!$Y$513:$Y$522&lt;=N$3,1,0))*OFFSET('Gastos com Pessoal'!$H$512,1,MATCH(4&amp;$B49,'Gastos com Pessoal'!$I$532:$AJ$532&amp;'Gastos com Pessoal'!$I$512:$AJ$512,0),10,1)),0)+_xlfn.IFNA(SUM((N$3&gt;='Gastos com Pessoal'!$E$513:$E$522)*(N$3&lt;='Gastos com Pessoal'!$F$513:$F$522)*(IF('Gastos com Pessoal'!$AE$513:$AE$522&lt;=N$3,1,0))*OFFSET('Gastos com Pessoal'!$H$512,1,MATCH(5&amp;$B49,'Gastos com Pessoal'!$I$532:$AJ$532&amp;'Gastos com Pessoal'!$I$512:$AJ$512,0),10,1)),0)</f>
        <v>144471.59999999998</v>
      </c>
      <c r="O49" s="188">
        <f t="array" aca="1" ref="O49" ca="1">_xlfn.IFNA(SUM((O$3&gt;='Gastos com Pessoal'!$E$7:$E$506)*(O$3&lt;='Gastos com Pessoal'!$F$7:$F$506)*OFFSET('Encargos e Benefícios'!$D$5,1,MATCH($B49,'Encargos e Benefícios'!$E$5:$AB$5,0),500,1)),0)+_xlfn.IFNA(SUM((O$3&gt;='Gastos com Pessoal'!$E$513:$E$522)*(O$3&lt;='Gastos com Pessoal'!$F$513:$F$522)*OFFSET('Encargos e Benefícios'!$D$511,1,MATCH($B49,'Encargos e Benefícios'!$E$511:$AB$511,0),10,1)),0)+_xlfn.IFNA(SUM((O$3&gt;='Gastos com Pessoal'!$E$7:$E$506)*(O$3&lt;='Gastos com Pessoal'!$F$7:$F$506)*(IF('Gastos com Pessoal'!$G$7:$G$506&lt;=O$3,1,0))*OFFSET('Gastos com Pessoal'!$H$6,1,MATCH(1&amp;$B49,'Gastos com Pessoal'!$I$532:$AJ$532&amp;'Gastos com Pessoal'!$I$6:$AJ$6,0),500,1)),0)+_xlfn.IFNA(SUM((O$3&gt;='Gastos com Pessoal'!$E$7:$E$506)*(O$3&lt;='Gastos com Pessoal'!$F$7:$F$506)*(IF('Gastos com Pessoal'!$M$7:$M$506&lt;=O$3,1,0))*OFFSET('Gastos com Pessoal'!$H$6,1,MATCH(2&amp;$B49,'Gastos com Pessoal'!$I$532:$AJ$532&amp;'Gastos com Pessoal'!$I$6:$AJ$6,0),500,1)),0)+_xlfn.IFNA(SUM((O$3&gt;='Gastos com Pessoal'!$E$7:$E$506)*(O$3&lt;='Gastos com Pessoal'!$F$7:$F$506)*(IF('Gastos com Pessoal'!$S$7:$S$506&lt;=O$3,1,0))*OFFSET('Gastos com Pessoal'!$H$6,1,MATCH(3&amp;$B49,'Gastos com Pessoal'!$I$532:$AJ$532&amp;'Gastos com Pessoal'!$I$6:$AJ$6,0),500,1)),0)+_xlfn.IFNA(SUM((O$3&gt;='Gastos com Pessoal'!$E$7:$E$506)*(O$3&lt;='Gastos com Pessoal'!$F$7:$F$506)*(IF('Gastos com Pessoal'!$Y$7:$Y$506&lt;=O$3,1,0))*OFFSET('Gastos com Pessoal'!$H$6,1,MATCH(4&amp;$B49,'Gastos com Pessoal'!$I$532:$AJ$532&amp;'Gastos com Pessoal'!$I$6:$AJ$6,0),500,1)),0)+_xlfn.IFNA(SUM((O$3&gt;='Gastos com Pessoal'!$E$7:$E$506)*(O$3&lt;='Gastos com Pessoal'!$F$7:$F$506)*(IF('Gastos com Pessoal'!$AE$7:$AE$506&lt;=O$3,1,0))*OFFSET('Gastos com Pessoal'!$H$6,1,MATCH(5&amp;$B49,'Gastos com Pessoal'!$I$532:$AJ$532&amp;'Gastos com Pessoal'!$I$6:$AJ$6,0),500,1)),0)+_xlfn.IFNA(SUM((O$3&gt;='Gastos com Pessoal'!$E$513:$E$522)*(O$3&lt;='Gastos com Pessoal'!$F$513:$F$522)*(IF('Gastos com Pessoal'!$G$513:$G$522&lt;=O$3,1,0))*OFFSET('Gastos com Pessoal'!$H$512,1,MATCH(1&amp;$B49,'Gastos com Pessoal'!$I$532:$AJ$532&amp;'Gastos com Pessoal'!$I$512:$AJ$512,0),10,1)),0)+_xlfn.IFNA(SUM((O$3&gt;='Gastos com Pessoal'!$E$513:$E$522)*(O$3&lt;='Gastos com Pessoal'!$F$513:$F$522)*(IF('Gastos com Pessoal'!$M$513:$M$522&lt;=O$3,1,0))*OFFSET('Gastos com Pessoal'!$H$512,1,MATCH(2&amp;$B49,'Gastos com Pessoal'!$I$532:$AJ$532&amp;'Gastos com Pessoal'!$I$512:$AJ$512,0),10,1)),0)+_xlfn.IFNA(SUM((O$3&gt;='Gastos com Pessoal'!$E$513:$E$522)*(O$3&lt;='Gastos com Pessoal'!$F$513:$F$522)*(IF('Gastos com Pessoal'!$S$513:$S$522&lt;=O$3,1,0))*OFFSET('Gastos com Pessoal'!$H$512,1,MATCH(3&amp;$B49,'Gastos com Pessoal'!$I$532:$AJ$532&amp;'Gastos com Pessoal'!$I$512:$AJ$512,0),10,1)),0)+_xlfn.IFNA(SUM((O$3&gt;='Gastos com Pessoal'!$E$513:$E$522)*(O$3&lt;='Gastos com Pessoal'!$F$513:$F$522)*(IF('Gastos com Pessoal'!$Y$513:$Y$522&lt;=O$3,1,0))*OFFSET('Gastos com Pessoal'!$H$512,1,MATCH(4&amp;$B49,'Gastos com Pessoal'!$I$532:$AJ$532&amp;'Gastos com Pessoal'!$I$512:$AJ$512,0),10,1)),0)+_xlfn.IFNA(SUM((O$3&gt;='Gastos com Pessoal'!$E$513:$E$522)*(O$3&lt;='Gastos com Pessoal'!$F$513:$F$522)*(IF('Gastos com Pessoal'!$AE$513:$AE$522&lt;=O$3,1,0))*OFFSET('Gastos com Pessoal'!$H$512,1,MATCH(5&amp;$B49,'Gastos com Pessoal'!$I$532:$AJ$532&amp;'Gastos com Pessoal'!$I$512:$AJ$512,0),10,1)),0)</f>
        <v>144471.59999999998</v>
      </c>
      <c r="P49" s="188">
        <f t="array" aca="1" ref="P49" ca="1">_xlfn.IFNA(SUM((P$3&gt;='Gastos com Pessoal'!$E$7:$E$506)*(P$3&lt;='Gastos com Pessoal'!$F$7:$F$506)*OFFSET('Encargos e Benefícios'!$D$5,1,MATCH($B49,'Encargos e Benefícios'!$E$5:$AB$5,0),500,1)),0)+_xlfn.IFNA(SUM((P$3&gt;='Gastos com Pessoal'!$E$513:$E$522)*(P$3&lt;='Gastos com Pessoal'!$F$513:$F$522)*OFFSET('Encargos e Benefícios'!$D$511,1,MATCH($B49,'Encargos e Benefícios'!$E$511:$AB$511,0),10,1)),0)+_xlfn.IFNA(SUM((P$3&gt;='Gastos com Pessoal'!$E$7:$E$506)*(P$3&lt;='Gastos com Pessoal'!$F$7:$F$506)*(IF('Gastos com Pessoal'!$G$7:$G$506&lt;=P$3,1,0))*OFFSET('Gastos com Pessoal'!$H$6,1,MATCH(1&amp;$B49,'Gastos com Pessoal'!$I$532:$AJ$532&amp;'Gastos com Pessoal'!$I$6:$AJ$6,0),500,1)),0)+_xlfn.IFNA(SUM((P$3&gt;='Gastos com Pessoal'!$E$7:$E$506)*(P$3&lt;='Gastos com Pessoal'!$F$7:$F$506)*(IF('Gastos com Pessoal'!$M$7:$M$506&lt;=P$3,1,0))*OFFSET('Gastos com Pessoal'!$H$6,1,MATCH(2&amp;$B49,'Gastos com Pessoal'!$I$532:$AJ$532&amp;'Gastos com Pessoal'!$I$6:$AJ$6,0),500,1)),0)+_xlfn.IFNA(SUM((P$3&gt;='Gastos com Pessoal'!$E$7:$E$506)*(P$3&lt;='Gastos com Pessoal'!$F$7:$F$506)*(IF('Gastos com Pessoal'!$S$7:$S$506&lt;=P$3,1,0))*OFFSET('Gastos com Pessoal'!$H$6,1,MATCH(3&amp;$B49,'Gastos com Pessoal'!$I$532:$AJ$532&amp;'Gastos com Pessoal'!$I$6:$AJ$6,0),500,1)),0)+_xlfn.IFNA(SUM((P$3&gt;='Gastos com Pessoal'!$E$7:$E$506)*(P$3&lt;='Gastos com Pessoal'!$F$7:$F$506)*(IF('Gastos com Pessoal'!$Y$7:$Y$506&lt;=P$3,1,0))*OFFSET('Gastos com Pessoal'!$H$6,1,MATCH(4&amp;$B49,'Gastos com Pessoal'!$I$532:$AJ$532&amp;'Gastos com Pessoal'!$I$6:$AJ$6,0),500,1)),0)+_xlfn.IFNA(SUM((P$3&gt;='Gastos com Pessoal'!$E$7:$E$506)*(P$3&lt;='Gastos com Pessoal'!$F$7:$F$506)*(IF('Gastos com Pessoal'!$AE$7:$AE$506&lt;=P$3,1,0))*OFFSET('Gastos com Pessoal'!$H$6,1,MATCH(5&amp;$B49,'Gastos com Pessoal'!$I$532:$AJ$532&amp;'Gastos com Pessoal'!$I$6:$AJ$6,0),500,1)),0)+_xlfn.IFNA(SUM((P$3&gt;='Gastos com Pessoal'!$E$513:$E$522)*(P$3&lt;='Gastos com Pessoal'!$F$513:$F$522)*(IF('Gastos com Pessoal'!$G$513:$G$522&lt;=P$3,1,0))*OFFSET('Gastos com Pessoal'!$H$512,1,MATCH(1&amp;$B49,'Gastos com Pessoal'!$I$532:$AJ$532&amp;'Gastos com Pessoal'!$I$512:$AJ$512,0),10,1)),0)+_xlfn.IFNA(SUM((P$3&gt;='Gastos com Pessoal'!$E$513:$E$522)*(P$3&lt;='Gastos com Pessoal'!$F$513:$F$522)*(IF('Gastos com Pessoal'!$M$513:$M$522&lt;=P$3,1,0))*OFFSET('Gastos com Pessoal'!$H$512,1,MATCH(2&amp;$B49,'Gastos com Pessoal'!$I$532:$AJ$532&amp;'Gastos com Pessoal'!$I$512:$AJ$512,0),10,1)),0)+_xlfn.IFNA(SUM((P$3&gt;='Gastos com Pessoal'!$E$513:$E$522)*(P$3&lt;='Gastos com Pessoal'!$F$513:$F$522)*(IF('Gastos com Pessoal'!$S$513:$S$522&lt;=P$3,1,0))*OFFSET('Gastos com Pessoal'!$H$512,1,MATCH(3&amp;$B49,'Gastos com Pessoal'!$I$532:$AJ$532&amp;'Gastos com Pessoal'!$I$512:$AJ$512,0),10,1)),0)+_xlfn.IFNA(SUM((P$3&gt;='Gastos com Pessoal'!$E$513:$E$522)*(P$3&lt;='Gastos com Pessoal'!$F$513:$F$522)*(IF('Gastos com Pessoal'!$Y$513:$Y$522&lt;=P$3,1,0))*OFFSET('Gastos com Pessoal'!$H$512,1,MATCH(4&amp;$B49,'Gastos com Pessoal'!$I$532:$AJ$532&amp;'Gastos com Pessoal'!$I$512:$AJ$512,0),10,1)),0)+_xlfn.IFNA(SUM((P$3&gt;='Gastos com Pessoal'!$E$513:$E$522)*(P$3&lt;='Gastos com Pessoal'!$F$513:$F$522)*(IF('Gastos com Pessoal'!$AE$513:$AE$522&lt;=P$3,1,0))*OFFSET('Gastos com Pessoal'!$H$512,1,MATCH(5&amp;$B49,'Gastos com Pessoal'!$I$532:$AJ$532&amp;'Gastos com Pessoal'!$I$512:$AJ$512,0),10,1)),0)</f>
        <v>145529.99999999997</v>
      </c>
      <c r="Q49" s="188">
        <f t="array" aca="1" ref="Q49" ca="1">_xlfn.IFNA(SUM((Q$3&gt;='Gastos com Pessoal'!$E$7:$E$506)*(Q$3&lt;='Gastos com Pessoal'!$F$7:$F$506)*OFFSET('Encargos e Benefícios'!$D$5,1,MATCH($B49,'Encargos e Benefícios'!$E$5:$AB$5,0),500,1)),0)+_xlfn.IFNA(SUM((Q$3&gt;='Gastos com Pessoal'!$E$513:$E$522)*(Q$3&lt;='Gastos com Pessoal'!$F$513:$F$522)*OFFSET('Encargos e Benefícios'!$D$511,1,MATCH($B49,'Encargos e Benefícios'!$E$511:$AB$511,0),10,1)),0)+_xlfn.IFNA(SUM((Q$3&gt;='Gastos com Pessoal'!$E$7:$E$506)*(Q$3&lt;='Gastos com Pessoal'!$F$7:$F$506)*(IF('Gastos com Pessoal'!$G$7:$G$506&lt;=Q$3,1,0))*OFFSET('Gastos com Pessoal'!$H$6,1,MATCH(1&amp;$B49,'Gastos com Pessoal'!$I$532:$AJ$532&amp;'Gastos com Pessoal'!$I$6:$AJ$6,0),500,1)),0)+_xlfn.IFNA(SUM((Q$3&gt;='Gastos com Pessoal'!$E$7:$E$506)*(Q$3&lt;='Gastos com Pessoal'!$F$7:$F$506)*(IF('Gastos com Pessoal'!$M$7:$M$506&lt;=Q$3,1,0))*OFFSET('Gastos com Pessoal'!$H$6,1,MATCH(2&amp;$B49,'Gastos com Pessoal'!$I$532:$AJ$532&amp;'Gastos com Pessoal'!$I$6:$AJ$6,0),500,1)),0)+_xlfn.IFNA(SUM((Q$3&gt;='Gastos com Pessoal'!$E$7:$E$506)*(Q$3&lt;='Gastos com Pessoal'!$F$7:$F$506)*(IF('Gastos com Pessoal'!$S$7:$S$506&lt;=Q$3,1,0))*OFFSET('Gastos com Pessoal'!$H$6,1,MATCH(3&amp;$B49,'Gastos com Pessoal'!$I$532:$AJ$532&amp;'Gastos com Pessoal'!$I$6:$AJ$6,0),500,1)),0)+_xlfn.IFNA(SUM((Q$3&gt;='Gastos com Pessoal'!$E$7:$E$506)*(Q$3&lt;='Gastos com Pessoal'!$F$7:$F$506)*(IF('Gastos com Pessoal'!$Y$7:$Y$506&lt;=Q$3,1,0))*OFFSET('Gastos com Pessoal'!$H$6,1,MATCH(4&amp;$B49,'Gastos com Pessoal'!$I$532:$AJ$532&amp;'Gastos com Pessoal'!$I$6:$AJ$6,0),500,1)),0)+_xlfn.IFNA(SUM((Q$3&gt;='Gastos com Pessoal'!$E$7:$E$506)*(Q$3&lt;='Gastos com Pessoal'!$F$7:$F$506)*(IF('Gastos com Pessoal'!$AE$7:$AE$506&lt;=Q$3,1,0))*OFFSET('Gastos com Pessoal'!$H$6,1,MATCH(5&amp;$B49,'Gastos com Pessoal'!$I$532:$AJ$532&amp;'Gastos com Pessoal'!$I$6:$AJ$6,0),500,1)),0)+_xlfn.IFNA(SUM((Q$3&gt;='Gastos com Pessoal'!$E$513:$E$522)*(Q$3&lt;='Gastos com Pessoal'!$F$513:$F$522)*(IF('Gastos com Pessoal'!$G$513:$G$522&lt;=Q$3,1,0))*OFFSET('Gastos com Pessoal'!$H$512,1,MATCH(1&amp;$B49,'Gastos com Pessoal'!$I$532:$AJ$532&amp;'Gastos com Pessoal'!$I$512:$AJ$512,0),10,1)),0)+_xlfn.IFNA(SUM((Q$3&gt;='Gastos com Pessoal'!$E$513:$E$522)*(Q$3&lt;='Gastos com Pessoal'!$F$513:$F$522)*(IF('Gastos com Pessoal'!$M$513:$M$522&lt;=Q$3,1,0))*OFFSET('Gastos com Pessoal'!$H$512,1,MATCH(2&amp;$B49,'Gastos com Pessoal'!$I$532:$AJ$532&amp;'Gastos com Pessoal'!$I$512:$AJ$512,0),10,1)),0)+_xlfn.IFNA(SUM((Q$3&gt;='Gastos com Pessoal'!$E$513:$E$522)*(Q$3&lt;='Gastos com Pessoal'!$F$513:$F$522)*(IF('Gastos com Pessoal'!$S$513:$S$522&lt;=Q$3,1,0))*OFFSET('Gastos com Pessoal'!$H$512,1,MATCH(3&amp;$B49,'Gastos com Pessoal'!$I$532:$AJ$532&amp;'Gastos com Pessoal'!$I$512:$AJ$512,0),10,1)),0)+_xlfn.IFNA(SUM((Q$3&gt;='Gastos com Pessoal'!$E$513:$E$522)*(Q$3&lt;='Gastos com Pessoal'!$F$513:$F$522)*(IF('Gastos com Pessoal'!$Y$513:$Y$522&lt;=Q$3,1,0))*OFFSET('Gastos com Pessoal'!$H$512,1,MATCH(4&amp;$B49,'Gastos com Pessoal'!$I$532:$AJ$532&amp;'Gastos com Pessoal'!$I$512:$AJ$512,0),10,1)),0)+_xlfn.IFNA(SUM((Q$3&gt;='Gastos com Pessoal'!$E$513:$E$522)*(Q$3&lt;='Gastos com Pessoal'!$F$513:$F$522)*(IF('Gastos com Pessoal'!$AE$513:$AE$522&lt;=Q$3,1,0))*OFFSET('Gastos com Pessoal'!$H$512,1,MATCH(5&amp;$B49,'Gastos com Pessoal'!$I$532:$AJ$532&amp;'Gastos com Pessoal'!$I$512:$AJ$512,0),10,1)),0)</f>
        <v>152409.59999999998</v>
      </c>
      <c r="R49" s="188">
        <f t="array" aca="1" ref="R49" ca="1">_xlfn.IFNA(SUM((R$3&gt;='Gastos com Pessoal'!$E$7:$E$506)*(R$3&lt;='Gastos com Pessoal'!$F$7:$F$506)*OFFSET('Encargos e Benefícios'!$D$5,1,MATCH($B49,'Encargos e Benefícios'!$E$5:$AB$5,0),500,1)),0)+_xlfn.IFNA(SUM((R$3&gt;='Gastos com Pessoal'!$E$513:$E$522)*(R$3&lt;='Gastos com Pessoal'!$F$513:$F$522)*OFFSET('Encargos e Benefícios'!$D$511,1,MATCH($B49,'Encargos e Benefícios'!$E$511:$AB$511,0),10,1)),0)+_xlfn.IFNA(SUM((R$3&gt;='Gastos com Pessoal'!$E$7:$E$506)*(R$3&lt;='Gastos com Pessoal'!$F$7:$F$506)*(IF('Gastos com Pessoal'!$G$7:$G$506&lt;=R$3,1,0))*OFFSET('Gastos com Pessoal'!$H$6,1,MATCH(1&amp;$B49,'Gastos com Pessoal'!$I$532:$AJ$532&amp;'Gastos com Pessoal'!$I$6:$AJ$6,0),500,1)),0)+_xlfn.IFNA(SUM((R$3&gt;='Gastos com Pessoal'!$E$7:$E$506)*(R$3&lt;='Gastos com Pessoal'!$F$7:$F$506)*(IF('Gastos com Pessoal'!$M$7:$M$506&lt;=R$3,1,0))*OFFSET('Gastos com Pessoal'!$H$6,1,MATCH(2&amp;$B49,'Gastos com Pessoal'!$I$532:$AJ$532&amp;'Gastos com Pessoal'!$I$6:$AJ$6,0),500,1)),0)+_xlfn.IFNA(SUM((R$3&gt;='Gastos com Pessoal'!$E$7:$E$506)*(R$3&lt;='Gastos com Pessoal'!$F$7:$F$506)*(IF('Gastos com Pessoal'!$S$7:$S$506&lt;=R$3,1,0))*OFFSET('Gastos com Pessoal'!$H$6,1,MATCH(3&amp;$B49,'Gastos com Pessoal'!$I$532:$AJ$532&amp;'Gastos com Pessoal'!$I$6:$AJ$6,0),500,1)),0)+_xlfn.IFNA(SUM((R$3&gt;='Gastos com Pessoal'!$E$7:$E$506)*(R$3&lt;='Gastos com Pessoal'!$F$7:$F$506)*(IF('Gastos com Pessoal'!$Y$7:$Y$506&lt;=R$3,1,0))*OFFSET('Gastos com Pessoal'!$H$6,1,MATCH(4&amp;$B49,'Gastos com Pessoal'!$I$532:$AJ$532&amp;'Gastos com Pessoal'!$I$6:$AJ$6,0),500,1)),0)+_xlfn.IFNA(SUM((R$3&gt;='Gastos com Pessoal'!$E$7:$E$506)*(R$3&lt;='Gastos com Pessoal'!$F$7:$F$506)*(IF('Gastos com Pessoal'!$AE$7:$AE$506&lt;=R$3,1,0))*OFFSET('Gastos com Pessoal'!$H$6,1,MATCH(5&amp;$B49,'Gastos com Pessoal'!$I$532:$AJ$532&amp;'Gastos com Pessoal'!$I$6:$AJ$6,0),500,1)),0)+_xlfn.IFNA(SUM((R$3&gt;='Gastos com Pessoal'!$E$513:$E$522)*(R$3&lt;='Gastos com Pessoal'!$F$513:$F$522)*(IF('Gastos com Pessoal'!$G$513:$G$522&lt;=R$3,1,0))*OFFSET('Gastos com Pessoal'!$H$512,1,MATCH(1&amp;$B49,'Gastos com Pessoal'!$I$532:$AJ$532&amp;'Gastos com Pessoal'!$I$512:$AJ$512,0),10,1)),0)+_xlfn.IFNA(SUM((R$3&gt;='Gastos com Pessoal'!$E$513:$E$522)*(R$3&lt;='Gastos com Pessoal'!$F$513:$F$522)*(IF('Gastos com Pessoal'!$M$513:$M$522&lt;=R$3,1,0))*OFFSET('Gastos com Pessoal'!$H$512,1,MATCH(2&amp;$B49,'Gastos com Pessoal'!$I$532:$AJ$532&amp;'Gastos com Pessoal'!$I$512:$AJ$512,0),10,1)),0)+_xlfn.IFNA(SUM((R$3&gt;='Gastos com Pessoal'!$E$513:$E$522)*(R$3&lt;='Gastos com Pessoal'!$F$513:$F$522)*(IF('Gastos com Pessoal'!$S$513:$S$522&lt;=R$3,1,0))*OFFSET('Gastos com Pessoal'!$H$512,1,MATCH(3&amp;$B49,'Gastos com Pessoal'!$I$532:$AJ$532&amp;'Gastos com Pessoal'!$I$512:$AJ$512,0),10,1)),0)+_xlfn.IFNA(SUM((R$3&gt;='Gastos com Pessoal'!$E$513:$E$522)*(R$3&lt;='Gastos com Pessoal'!$F$513:$F$522)*(IF('Gastos com Pessoal'!$Y$513:$Y$522&lt;=R$3,1,0))*OFFSET('Gastos com Pessoal'!$H$512,1,MATCH(4&amp;$B49,'Gastos com Pessoal'!$I$532:$AJ$532&amp;'Gastos com Pessoal'!$I$512:$AJ$512,0),10,1)),0)+_xlfn.IFNA(SUM((R$3&gt;='Gastos com Pessoal'!$E$513:$E$522)*(R$3&lt;='Gastos com Pessoal'!$F$513:$F$522)*(IF('Gastos com Pessoal'!$AE$513:$AE$522&lt;=R$3,1,0))*OFFSET('Gastos com Pessoal'!$H$512,1,MATCH(5&amp;$B49,'Gastos com Pessoal'!$I$532:$AJ$532&amp;'Gastos com Pessoal'!$I$512:$AJ$512,0),10,1)),0)</f>
        <v>152409.59999999998</v>
      </c>
      <c r="S49" s="188">
        <f t="array" aca="1" ref="S49" ca="1">_xlfn.IFNA(SUM((S$3&gt;='Gastos com Pessoal'!$E$7:$E$506)*(S$3&lt;='Gastos com Pessoal'!$F$7:$F$506)*OFFSET('Encargos e Benefícios'!$D$5,1,MATCH($B49,'Encargos e Benefícios'!$E$5:$AB$5,0),500,1)),0)+_xlfn.IFNA(SUM((S$3&gt;='Gastos com Pessoal'!$E$513:$E$522)*(S$3&lt;='Gastos com Pessoal'!$F$513:$F$522)*OFFSET('Encargos e Benefícios'!$D$511,1,MATCH($B49,'Encargos e Benefícios'!$E$511:$AB$511,0),10,1)),0)+_xlfn.IFNA(SUM((S$3&gt;='Gastos com Pessoal'!$E$7:$E$506)*(S$3&lt;='Gastos com Pessoal'!$F$7:$F$506)*(IF('Gastos com Pessoal'!$G$7:$G$506&lt;=S$3,1,0))*OFFSET('Gastos com Pessoal'!$H$6,1,MATCH(1&amp;$B49,'Gastos com Pessoal'!$I$532:$AJ$532&amp;'Gastos com Pessoal'!$I$6:$AJ$6,0),500,1)),0)+_xlfn.IFNA(SUM((S$3&gt;='Gastos com Pessoal'!$E$7:$E$506)*(S$3&lt;='Gastos com Pessoal'!$F$7:$F$506)*(IF('Gastos com Pessoal'!$M$7:$M$506&lt;=S$3,1,0))*OFFSET('Gastos com Pessoal'!$H$6,1,MATCH(2&amp;$B49,'Gastos com Pessoal'!$I$532:$AJ$532&amp;'Gastos com Pessoal'!$I$6:$AJ$6,0),500,1)),0)+_xlfn.IFNA(SUM((S$3&gt;='Gastos com Pessoal'!$E$7:$E$506)*(S$3&lt;='Gastos com Pessoal'!$F$7:$F$506)*(IF('Gastos com Pessoal'!$S$7:$S$506&lt;=S$3,1,0))*OFFSET('Gastos com Pessoal'!$H$6,1,MATCH(3&amp;$B49,'Gastos com Pessoal'!$I$532:$AJ$532&amp;'Gastos com Pessoal'!$I$6:$AJ$6,0),500,1)),0)+_xlfn.IFNA(SUM((S$3&gt;='Gastos com Pessoal'!$E$7:$E$506)*(S$3&lt;='Gastos com Pessoal'!$F$7:$F$506)*(IF('Gastos com Pessoal'!$Y$7:$Y$506&lt;=S$3,1,0))*OFFSET('Gastos com Pessoal'!$H$6,1,MATCH(4&amp;$B49,'Gastos com Pessoal'!$I$532:$AJ$532&amp;'Gastos com Pessoal'!$I$6:$AJ$6,0),500,1)),0)+_xlfn.IFNA(SUM((S$3&gt;='Gastos com Pessoal'!$E$7:$E$506)*(S$3&lt;='Gastos com Pessoal'!$F$7:$F$506)*(IF('Gastos com Pessoal'!$AE$7:$AE$506&lt;=S$3,1,0))*OFFSET('Gastos com Pessoal'!$H$6,1,MATCH(5&amp;$B49,'Gastos com Pessoal'!$I$532:$AJ$532&amp;'Gastos com Pessoal'!$I$6:$AJ$6,0),500,1)),0)+_xlfn.IFNA(SUM((S$3&gt;='Gastos com Pessoal'!$E$513:$E$522)*(S$3&lt;='Gastos com Pessoal'!$F$513:$F$522)*(IF('Gastos com Pessoal'!$G$513:$G$522&lt;=S$3,1,0))*OFFSET('Gastos com Pessoal'!$H$512,1,MATCH(1&amp;$B49,'Gastos com Pessoal'!$I$532:$AJ$532&amp;'Gastos com Pessoal'!$I$512:$AJ$512,0),10,1)),0)+_xlfn.IFNA(SUM((S$3&gt;='Gastos com Pessoal'!$E$513:$E$522)*(S$3&lt;='Gastos com Pessoal'!$F$513:$F$522)*(IF('Gastos com Pessoal'!$M$513:$M$522&lt;=S$3,1,0))*OFFSET('Gastos com Pessoal'!$H$512,1,MATCH(2&amp;$B49,'Gastos com Pessoal'!$I$532:$AJ$532&amp;'Gastos com Pessoal'!$I$512:$AJ$512,0),10,1)),0)+_xlfn.IFNA(SUM((S$3&gt;='Gastos com Pessoal'!$E$513:$E$522)*(S$3&lt;='Gastos com Pessoal'!$F$513:$F$522)*(IF('Gastos com Pessoal'!$S$513:$S$522&lt;=S$3,1,0))*OFFSET('Gastos com Pessoal'!$H$512,1,MATCH(3&amp;$B49,'Gastos com Pessoal'!$I$532:$AJ$532&amp;'Gastos com Pessoal'!$I$512:$AJ$512,0),10,1)),0)+_xlfn.IFNA(SUM((S$3&gt;='Gastos com Pessoal'!$E$513:$E$522)*(S$3&lt;='Gastos com Pessoal'!$F$513:$F$522)*(IF('Gastos com Pessoal'!$Y$513:$Y$522&lt;=S$3,1,0))*OFFSET('Gastos com Pessoal'!$H$512,1,MATCH(4&amp;$B49,'Gastos com Pessoal'!$I$532:$AJ$532&amp;'Gastos com Pessoal'!$I$512:$AJ$512,0),10,1)),0)+_xlfn.IFNA(SUM((S$3&gt;='Gastos com Pessoal'!$E$513:$E$522)*(S$3&lt;='Gastos com Pessoal'!$F$513:$F$522)*(IF('Gastos com Pessoal'!$AE$513:$AE$522&lt;=S$3,1,0))*OFFSET('Gastos com Pessoal'!$H$512,1,MATCH(5&amp;$B49,'Gastos com Pessoal'!$I$532:$AJ$532&amp;'Gastos com Pessoal'!$I$512:$AJ$512,0),10,1)),0)</f>
        <v>152409.59999999998</v>
      </c>
      <c r="T49" s="188">
        <f t="array" aca="1" ref="T49" ca="1">_xlfn.IFNA(SUM((T$3&gt;='Gastos com Pessoal'!$E$7:$E$506)*(T$3&lt;='Gastos com Pessoal'!$F$7:$F$506)*OFFSET('Encargos e Benefícios'!$D$5,1,MATCH($B49,'Encargos e Benefícios'!$E$5:$AB$5,0),500,1)),0)+_xlfn.IFNA(SUM((T$3&gt;='Gastos com Pessoal'!$E$513:$E$522)*(T$3&lt;='Gastos com Pessoal'!$F$513:$F$522)*OFFSET('Encargos e Benefícios'!$D$511,1,MATCH($B49,'Encargos e Benefícios'!$E$511:$AB$511,0),10,1)),0)+_xlfn.IFNA(SUM((T$3&gt;='Gastos com Pessoal'!$E$7:$E$506)*(T$3&lt;='Gastos com Pessoal'!$F$7:$F$506)*(IF('Gastos com Pessoal'!$G$7:$G$506&lt;=T$3,1,0))*OFFSET('Gastos com Pessoal'!$H$6,1,MATCH(1&amp;$B49,'Gastos com Pessoal'!$I$532:$AJ$532&amp;'Gastos com Pessoal'!$I$6:$AJ$6,0),500,1)),0)+_xlfn.IFNA(SUM((T$3&gt;='Gastos com Pessoal'!$E$7:$E$506)*(T$3&lt;='Gastos com Pessoal'!$F$7:$F$506)*(IF('Gastos com Pessoal'!$M$7:$M$506&lt;=T$3,1,0))*OFFSET('Gastos com Pessoal'!$H$6,1,MATCH(2&amp;$B49,'Gastos com Pessoal'!$I$532:$AJ$532&amp;'Gastos com Pessoal'!$I$6:$AJ$6,0),500,1)),0)+_xlfn.IFNA(SUM((T$3&gt;='Gastos com Pessoal'!$E$7:$E$506)*(T$3&lt;='Gastos com Pessoal'!$F$7:$F$506)*(IF('Gastos com Pessoal'!$S$7:$S$506&lt;=T$3,1,0))*OFFSET('Gastos com Pessoal'!$H$6,1,MATCH(3&amp;$B49,'Gastos com Pessoal'!$I$532:$AJ$532&amp;'Gastos com Pessoal'!$I$6:$AJ$6,0),500,1)),0)+_xlfn.IFNA(SUM((T$3&gt;='Gastos com Pessoal'!$E$7:$E$506)*(T$3&lt;='Gastos com Pessoal'!$F$7:$F$506)*(IF('Gastos com Pessoal'!$Y$7:$Y$506&lt;=T$3,1,0))*OFFSET('Gastos com Pessoal'!$H$6,1,MATCH(4&amp;$B49,'Gastos com Pessoal'!$I$532:$AJ$532&amp;'Gastos com Pessoal'!$I$6:$AJ$6,0),500,1)),0)+_xlfn.IFNA(SUM((T$3&gt;='Gastos com Pessoal'!$E$7:$E$506)*(T$3&lt;='Gastos com Pessoal'!$F$7:$F$506)*(IF('Gastos com Pessoal'!$AE$7:$AE$506&lt;=T$3,1,0))*OFFSET('Gastos com Pessoal'!$H$6,1,MATCH(5&amp;$B49,'Gastos com Pessoal'!$I$532:$AJ$532&amp;'Gastos com Pessoal'!$I$6:$AJ$6,0),500,1)),0)+_xlfn.IFNA(SUM((T$3&gt;='Gastos com Pessoal'!$E$513:$E$522)*(T$3&lt;='Gastos com Pessoal'!$F$513:$F$522)*(IF('Gastos com Pessoal'!$G$513:$G$522&lt;=T$3,1,0))*OFFSET('Gastos com Pessoal'!$H$512,1,MATCH(1&amp;$B49,'Gastos com Pessoal'!$I$532:$AJ$532&amp;'Gastos com Pessoal'!$I$512:$AJ$512,0),10,1)),0)+_xlfn.IFNA(SUM((T$3&gt;='Gastos com Pessoal'!$E$513:$E$522)*(T$3&lt;='Gastos com Pessoal'!$F$513:$F$522)*(IF('Gastos com Pessoal'!$M$513:$M$522&lt;=T$3,1,0))*OFFSET('Gastos com Pessoal'!$H$512,1,MATCH(2&amp;$B49,'Gastos com Pessoal'!$I$532:$AJ$532&amp;'Gastos com Pessoal'!$I$512:$AJ$512,0),10,1)),0)+_xlfn.IFNA(SUM((T$3&gt;='Gastos com Pessoal'!$E$513:$E$522)*(T$3&lt;='Gastos com Pessoal'!$F$513:$F$522)*(IF('Gastos com Pessoal'!$S$513:$S$522&lt;=T$3,1,0))*OFFSET('Gastos com Pessoal'!$H$512,1,MATCH(3&amp;$B49,'Gastos com Pessoal'!$I$532:$AJ$532&amp;'Gastos com Pessoal'!$I$512:$AJ$512,0),10,1)),0)+_xlfn.IFNA(SUM((T$3&gt;='Gastos com Pessoal'!$E$513:$E$522)*(T$3&lt;='Gastos com Pessoal'!$F$513:$F$522)*(IF('Gastos com Pessoal'!$Y$513:$Y$522&lt;=T$3,1,0))*OFFSET('Gastos com Pessoal'!$H$512,1,MATCH(4&amp;$B49,'Gastos com Pessoal'!$I$532:$AJ$532&amp;'Gastos com Pessoal'!$I$512:$AJ$512,0),10,1)),0)+_xlfn.IFNA(SUM((T$3&gt;='Gastos com Pessoal'!$E$513:$E$522)*(T$3&lt;='Gastos com Pessoal'!$F$513:$F$522)*(IF('Gastos com Pessoal'!$AE$513:$AE$522&lt;=T$3,1,0))*OFFSET('Gastos com Pessoal'!$H$512,1,MATCH(5&amp;$B49,'Gastos com Pessoal'!$I$532:$AJ$532&amp;'Gastos com Pessoal'!$I$512:$AJ$512,0),10,1)),0)</f>
        <v>161308.79999999993</v>
      </c>
      <c r="U49" s="188">
        <f t="array" aca="1" ref="U49" ca="1">_xlfn.IFNA(SUM((U$3&gt;='Gastos com Pessoal'!$E$7:$E$506)*(U$3&lt;='Gastos com Pessoal'!$F$7:$F$506)*OFFSET('Encargos e Benefícios'!$D$5,1,MATCH($B49,'Encargos e Benefícios'!$E$5:$AB$5,0),500,1)),0)+_xlfn.IFNA(SUM((U$3&gt;='Gastos com Pessoal'!$E$513:$E$522)*(U$3&lt;='Gastos com Pessoal'!$F$513:$F$522)*OFFSET('Encargos e Benefícios'!$D$511,1,MATCH($B49,'Encargos e Benefícios'!$E$511:$AB$511,0),10,1)),0)+_xlfn.IFNA(SUM((U$3&gt;='Gastos com Pessoal'!$E$7:$E$506)*(U$3&lt;='Gastos com Pessoal'!$F$7:$F$506)*(IF('Gastos com Pessoal'!$G$7:$G$506&lt;=U$3,1,0))*OFFSET('Gastos com Pessoal'!$H$6,1,MATCH(1&amp;$B49,'Gastos com Pessoal'!$I$532:$AJ$532&amp;'Gastos com Pessoal'!$I$6:$AJ$6,0),500,1)),0)+_xlfn.IFNA(SUM((U$3&gt;='Gastos com Pessoal'!$E$7:$E$506)*(U$3&lt;='Gastos com Pessoal'!$F$7:$F$506)*(IF('Gastos com Pessoal'!$M$7:$M$506&lt;=U$3,1,0))*OFFSET('Gastos com Pessoal'!$H$6,1,MATCH(2&amp;$B49,'Gastos com Pessoal'!$I$532:$AJ$532&amp;'Gastos com Pessoal'!$I$6:$AJ$6,0),500,1)),0)+_xlfn.IFNA(SUM((U$3&gt;='Gastos com Pessoal'!$E$7:$E$506)*(U$3&lt;='Gastos com Pessoal'!$F$7:$F$506)*(IF('Gastos com Pessoal'!$S$7:$S$506&lt;=U$3,1,0))*OFFSET('Gastos com Pessoal'!$H$6,1,MATCH(3&amp;$B49,'Gastos com Pessoal'!$I$532:$AJ$532&amp;'Gastos com Pessoal'!$I$6:$AJ$6,0),500,1)),0)+_xlfn.IFNA(SUM((U$3&gt;='Gastos com Pessoal'!$E$7:$E$506)*(U$3&lt;='Gastos com Pessoal'!$F$7:$F$506)*(IF('Gastos com Pessoal'!$Y$7:$Y$506&lt;=U$3,1,0))*OFFSET('Gastos com Pessoal'!$H$6,1,MATCH(4&amp;$B49,'Gastos com Pessoal'!$I$532:$AJ$532&amp;'Gastos com Pessoal'!$I$6:$AJ$6,0),500,1)),0)+_xlfn.IFNA(SUM((U$3&gt;='Gastos com Pessoal'!$E$7:$E$506)*(U$3&lt;='Gastos com Pessoal'!$F$7:$F$506)*(IF('Gastos com Pessoal'!$AE$7:$AE$506&lt;=U$3,1,0))*OFFSET('Gastos com Pessoal'!$H$6,1,MATCH(5&amp;$B49,'Gastos com Pessoal'!$I$532:$AJ$532&amp;'Gastos com Pessoal'!$I$6:$AJ$6,0),500,1)),0)+_xlfn.IFNA(SUM((U$3&gt;='Gastos com Pessoal'!$E$513:$E$522)*(U$3&lt;='Gastos com Pessoal'!$F$513:$F$522)*(IF('Gastos com Pessoal'!$G$513:$G$522&lt;=U$3,1,0))*OFFSET('Gastos com Pessoal'!$H$512,1,MATCH(1&amp;$B49,'Gastos com Pessoal'!$I$532:$AJ$532&amp;'Gastos com Pessoal'!$I$512:$AJ$512,0),10,1)),0)+_xlfn.IFNA(SUM((U$3&gt;='Gastos com Pessoal'!$E$513:$E$522)*(U$3&lt;='Gastos com Pessoal'!$F$513:$F$522)*(IF('Gastos com Pessoal'!$M$513:$M$522&lt;=U$3,1,0))*OFFSET('Gastos com Pessoal'!$H$512,1,MATCH(2&amp;$B49,'Gastos com Pessoal'!$I$532:$AJ$532&amp;'Gastos com Pessoal'!$I$512:$AJ$512,0),10,1)),0)+_xlfn.IFNA(SUM((U$3&gt;='Gastos com Pessoal'!$E$513:$E$522)*(U$3&lt;='Gastos com Pessoal'!$F$513:$F$522)*(IF('Gastos com Pessoal'!$S$513:$S$522&lt;=U$3,1,0))*OFFSET('Gastos com Pessoal'!$H$512,1,MATCH(3&amp;$B49,'Gastos com Pessoal'!$I$532:$AJ$532&amp;'Gastos com Pessoal'!$I$512:$AJ$512,0),10,1)),0)+_xlfn.IFNA(SUM((U$3&gt;='Gastos com Pessoal'!$E$513:$E$522)*(U$3&lt;='Gastos com Pessoal'!$F$513:$F$522)*(IF('Gastos com Pessoal'!$Y$513:$Y$522&lt;=U$3,1,0))*OFFSET('Gastos com Pessoal'!$H$512,1,MATCH(4&amp;$B49,'Gastos com Pessoal'!$I$532:$AJ$532&amp;'Gastos com Pessoal'!$I$512:$AJ$512,0),10,1)),0)+_xlfn.IFNA(SUM((U$3&gt;='Gastos com Pessoal'!$E$513:$E$522)*(U$3&lt;='Gastos com Pessoal'!$F$513:$F$522)*(IF('Gastos com Pessoal'!$AE$513:$AE$522&lt;=U$3,1,0))*OFFSET('Gastos com Pessoal'!$H$512,1,MATCH(5&amp;$B49,'Gastos com Pessoal'!$I$532:$AJ$532&amp;'Gastos com Pessoal'!$I$512:$AJ$512,0),10,1)),0)</f>
        <v>161308.79999999993</v>
      </c>
      <c r="V49" s="188">
        <f t="array" aca="1" ref="V49" ca="1">_xlfn.IFNA(SUM((V$3&gt;='Gastos com Pessoal'!$E$7:$E$506)*(V$3&lt;='Gastos com Pessoal'!$F$7:$F$506)*OFFSET('Encargos e Benefícios'!$D$5,1,MATCH($B49,'Encargos e Benefícios'!$E$5:$AB$5,0),500,1)),0)+_xlfn.IFNA(SUM((V$3&gt;='Gastos com Pessoal'!$E$513:$E$522)*(V$3&lt;='Gastos com Pessoal'!$F$513:$F$522)*OFFSET('Encargos e Benefícios'!$D$511,1,MATCH($B49,'Encargos e Benefícios'!$E$511:$AB$511,0),10,1)),0)+_xlfn.IFNA(SUM((V$3&gt;='Gastos com Pessoal'!$E$7:$E$506)*(V$3&lt;='Gastos com Pessoal'!$F$7:$F$506)*(IF('Gastos com Pessoal'!$G$7:$G$506&lt;=V$3,1,0))*OFFSET('Gastos com Pessoal'!$H$6,1,MATCH(1&amp;$B49,'Gastos com Pessoal'!$I$532:$AJ$532&amp;'Gastos com Pessoal'!$I$6:$AJ$6,0),500,1)),0)+_xlfn.IFNA(SUM((V$3&gt;='Gastos com Pessoal'!$E$7:$E$506)*(V$3&lt;='Gastos com Pessoal'!$F$7:$F$506)*(IF('Gastos com Pessoal'!$M$7:$M$506&lt;=V$3,1,0))*OFFSET('Gastos com Pessoal'!$H$6,1,MATCH(2&amp;$B49,'Gastos com Pessoal'!$I$532:$AJ$532&amp;'Gastos com Pessoal'!$I$6:$AJ$6,0),500,1)),0)+_xlfn.IFNA(SUM((V$3&gt;='Gastos com Pessoal'!$E$7:$E$506)*(V$3&lt;='Gastos com Pessoal'!$F$7:$F$506)*(IF('Gastos com Pessoal'!$S$7:$S$506&lt;=V$3,1,0))*OFFSET('Gastos com Pessoal'!$H$6,1,MATCH(3&amp;$B49,'Gastos com Pessoal'!$I$532:$AJ$532&amp;'Gastos com Pessoal'!$I$6:$AJ$6,0),500,1)),0)+_xlfn.IFNA(SUM((V$3&gt;='Gastos com Pessoal'!$E$7:$E$506)*(V$3&lt;='Gastos com Pessoal'!$F$7:$F$506)*(IF('Gastos com Pessoal'!$Y$7:$Y$506&lt;=V$3,1,0))*OFFSET('Gastos com Pessoal'!$H$6,1,MATCH(4&amp;$B49,'Gastos com Pessoal'!$I$532:$AJ$532&amp;'Gastos com Pessoal'!$I$6:$AJ$6,0),500,1)),0)+_xlfn.IFNA(SUM((V$3&gt;='Gastos com Pessoal'!$E$7:$E$506)*(V$3&lt;='Gastos com Pessoal'!$F$7:$F$506)*(IF('Gastos com Pessoal'!$AE$7:$AE$506&lt;=V$3,1,0))*OFFSET('Gastos com Pessoal'!$H$6,1,MATCH(5&amp;$B49,'Gastos com Pessoal'!$I$532:$AJ$532&amp;'Gastos com Pessoal'!$I$6:$AJ$6,0),500,1)),0)+_xlfn.IFNA(SUM((V$3&gt;='Gastos com Pessoal'!$E$513:$E$522)*(V$3&lt;='Gastos com Pessoal'!$F$513:$F$522)*(IF('Gastos com Pessoal'!$G$513:$G$522&lt;=V$3,1,0))*OFFSET('Gastos com Pessoal'!$H$512,1,MATCH(1&amp;$B49,'Gastos com Pessoal'!$I$532:$AJ$532&amp;'Gastos com Pessoal'!$I$512:$AJ$512,0),10,1)),0)+_xlfn.IFNA(SUM((V$3&gt;='Gastos com Pessoal'!$E$513:$E$522)*(V$3&lt;='Gastos com Pessoal'!$F$513:$F$522)*(IF('Gastos com Pessoal'!$M$513:$M$522&lt;=V$3,1,0))*OFFSET('Gastos com Pessoal'!$H$512,1,MATCH(2&amp;$B49,'Gastos com Pessoal'!$I$532:$AJ$532&amp;'Gastos com Pessoal'!$I$512:$AJ$512,0),10,1)),0)+_xlfn.IFNA(SUM((V$3&gt;='Gastos com Pessoal'!$E$513:$E$522)*(V$3&lt;='Gastos com Pessoal'!$F$513:$F$522)*(IF('Gastos com Pessoal'!$S$513:$S$522&lt;=V$3,1,0))*OFFSET('Gastos com Pessoal'!$H$512,1,MATCH(3&amp;$B49,'Gastos com Pessoal'!$I$532:$AJ$532&amp;'Gastos com Pessoal'!$I$512:$AJ$512,0),10,1)),0)+_xlfn.IFNA(SUM((V$3&gt;='Gastos com Pessoal'!$E$513:$E$522)*(V$3&lt;='Gastos com Pessoal'!$F$513:$F$522)*(IF('Gastos com Pessoal'!$Y$513:$Y$522&lt;=V$3,1,0))*OFFSET('Gastos com Pessoal'!$H$512,1,MATCH(4&amp;$B49,'Gastos com Pessoal'!$I$532:$AJ$532&amp;'Gastos com Pessoal'!$I$512:$AJ$512,0),10,1)),0)+_xlfn.IFNA(SUM((V$3&gt;='Gastos com Pessoal'!$E$513:$E$522)*(V$3&lt;='Gastos com Pessoal'!$F$513:$F$522)*(IF('Gastos com Pessoal'!$AE$513:$AE$522&lt;=V$3,1,0))*OFFSET('Gastos com Pessoal'!$H$512,1,MATCH(5&amp;$B49,'Gastos com Pessoal'!$I$532:$AJ$532&amp;'Gastos com Pessoal'!$I$512:$AJ$512,0),10,1)),0)</f>
        <v>161308.79999999993</v>
      </c>
      <c r="W49" s="188">
        <f t="array" aca="1" ref="W49" ca="1">_xlfn.IFNA(SUM((W$3&gt;='Gastos com Pessoal'!$E$7:$E$506)*(W$3&lt;='Gastos com Pessoal'!$F$7:$F$506)*OFFSET('Encargos e Benefícios'!$D$5,1,MATCH($B49,'Encargos e Benefícios'!$E$5:$AB$5,0),500,1)),0)+_xlfn.IFNA(SUM((W$3&gt;='Gastos com Pessoal'!$E$513:$E$522)*(W$3&lt;='Gastos com Pessoal'!$F$513:$F$522)*OFFSET('Encargos e Benefícios'!$D$511,1,MATCH($B49,'Encargos e Benefícios'!$E$511:$AB$511,0),10,1)),0)+_xlfn.IFNA(SUM((W$3&gt;='Gastos com Pessoal'!$E$7:$E$506)*(W$3&lt;='Gastos com Pessoal'!$F$7:$F$506)*(IF('Gastos com Pessoal'!$G$7:$G$506&lt;=W$3,1,0))*OFFSET('Gastos com Pessoal'!$H$6,1,MATCH(1&amp;$B49,'Gastos com Pessoal'!$I$532:$AJ$532&amp;'Gastos com Pessoal'!$I$6:$AJ$6,0),500,1)),0)+_xlfn.IFNA(SUM((W$3&gt;='Gastos com Pessoal'!$E$7:$E$506)*(W$3&lt;='Gastos com Pessoal'!$F$7:$F$506)*(IF('Gastos com Pessoal'!$M$7:$M$506&lt;=W$3,1,0))*OFFSET('Gastos com Pessoal'!$H$6,1,MATCH(2&amp;$B49,'Gastos com Pessoal'!$I$532:$AJ$532&amp;'Gastos com Pessoal'!$I$6:$AJ$6,0),500,1)),0)+_xlfn.IFNA(SUM((W$3&gt;='Gastos com Pessoal'!$E$7:$E$506)*(W$3&lt;='Gastos com Pessoal'!$F$7:$F$506)*(IF('Gastos com Pessoal'!$S$7:$S$506&lt;=W$3,1,0))*OFFSET('Gastos com Pessoal'!$H$6,1,MATCH(3&amp;$B49,'Gastos com Pessoal'!$I$532:$AJ$532&amp;'Gastos com Pessoal'!$I$6:$AJ$6,0),500,1)),0)+_xlfn.IFNA(SUM((W$3&gt;='Gastos com Pessoal'!$E$7:$E$506)*(W$3&lt;='Gastos com Pessoal'!$F$7:$F$506)*(IF('Gastos com Pessoal'!$Y$7:$Y$506&lt;=W$3,1,0))*OFFSET('Gastos com Pessoal'!$H$6,1,MATCH(4&amp;$B49,'Gastos com Pessoal'!$I$532:$AJ$532&amp;'Gastos com Pessoal'!$I$6:$AJ$6,0),500,1)),0)+_xlfn.IFNA(SUM((W$3&gt;='Gastos com Pessoal'!$E$7:$E$506)*(W$3&lt;='Gastos com Pessoal'!$F$7:$F$506)*(IF('Gastos com Pessoal'!$AE$7:$AE$506&lt;=W$3,1,0))*OFFSET('Gastos com Pessoal'!$H$6,1,MATCH(5&amp;$B49,'Gastos com Pessoal'!$I$532:$AJ$532&amp;'Gastos com Pessoal'!$I$6:$AJ$6,0),500,1)),0)+_xlfn.IFNA(SUM((W$3&gt;='Gastos com Pessoal'!$E$513:$E$522)*(W$3&lt;='Gastos com Pessoal'!$F$513:$F$522)*(IF('Gastos com Pessoal'!$G$513:$G$522&lt;=W$3,1,0))*OFFSET('Gastos com Pessoal'!$H$512,1,MATCH(1&amp;$B49,'Gastos com Pessoal'!$I$532:$AJ$532&amp;'Gastos com Pessoal'!$I$512:$AJ$512,0),10,1)),0)+_xlfn.IFNA(SUM((W$3&gt;='Gastos com Pessoal'!$E$513:$E$522)*(W$3&lt;='Gastos com Pessoal'!$F$513:$F$522)*(IF('Gastos com Pessoal'!$M$513:$M$522&lt;=W$3,1,0))*OFFSET('Gastos com Pessoal'!$H$512,1,MATCH(2&amp;$B49,'Gastos com Pessoal'!$I$532:$AJ$532&amp;'Gastos com Pessoal'!$I$512:$AJ$512,0),10,1)),0)+_xlfn.IFNA(SUM((W$3&gt;='Gastos com Pessoal'!$E$513:$E$522)*(W$3&lt;='Gastos com Pessoal'!$F$513:$F$522)*(IF('Gastos com Pessoal'!$S$513:$S$522&lt;=W$3,1,0))*OFFSET('Gastos com Pessoal'!$H$512,1,MATCH(3&amp;$B49,'Gastos com Pessoal'!$I$532:$AJ$532&amp;'Gastos com Pessoal'!$I$512:$AJ$512,0),10,1)),0)+_xlfn.IFNA(SUM((W$3&gt;='Gastos com Pessoal'!$E$513:$E$522)*(W$3&lt;='Gastos com Pessoal'!$F$513:$F$522)*(IF('Gastos com Pessoal'!$Y$513:$Y$522&lt;=W$3,1,0))*OFFSET('Gastos com Pessoal'!$H$512,1,MATCH(4&amp;$B49,'Gastos com Pessoal'!$I$532:$AJ$532&amp;'Gastos com Pessoal'!$I$512:$AJ$512,0),10,1)),0)+_xlfn.IFNA(SUM((W$3&gt;='Gastos com Pessoal'!$E$513:$E$522)*(W$3&lt;='Gastos com Pessoal'!$F$513:$F$522)*(IF('Gastos com Pessoal'!$AE$513:$AE$522&lt;=W$3,1,0))*OFFSET('Gastos com Pessoal'!$H$512,1,MATCH(5&amp;$B49,'Gastos com Pessoal'!$I$532:$AJ$532&amp;'Gastos com Pessoal'!$I$512:$AJ$512,0),10,1)),0)</f>
        <v>161308.79999999993</v>
      </c>
      <c r="X49" s="188">
        <f t="array" aca="1" ref="X49" ca="1">_xlfn.IFNA(SUM((X$3&gt;='Gastos com Pessoal'!$E$7:$E$506)*(X$3&lt;='Gastos com Pessoal'!$F$7:$F$506)*OFFSET('Encargos e Benefícios'!$D$5,1,MATCH($B49,'Encargos e Benefícios'!$E$5:$AB$5,0),500,1)),0)+_xlfn.IFNA(SUM((X$3&gt;='Gastos com Pessoal'!$E$513:$E$522)*(X$3&lt;='Gastos com Pessoal'!$F$513:$F$522)*OFFSET('Encargos e Benefícios'!$D$511,1,MATCH($B49,'Encargos e Benefícios'!$E$511:$AB$511,0),10,1)),0)+_xlfn.IFNA(SUM((X$3&gt;='Gastos com Pessoal'!$E$7:$E$506)*(X$3&lt;='Gastos com Pessoal'!$F$7:$F$506)*(IF('Gastos com Pessoal'!$G$7:$G$506&lt;=X$3,1,0))*OFFSET('Gastos com Pessoal'!$H$6,1,MATCH(1&amp;$B49,'Gastos com Pessoal'!$I$532:$AJ$532&amp;'Gastos com Pessoal'!$I$6:$AJ$6,0),500,1)),0)+_xlfn.IFNA(SUM((X$3&gt;='Gastos com Pessoal'!$E$7:$E$506)*(X$3&lt;='Gastos com Pessoal'!$F$7:$F$506)*(IF('Gastos com Pessoal'!$M$7:$M$506&lt;=X$3,1,0))*OFFSET('Gastos com Pessoal'!$H$6,1,MATCH(2&amp;$B49,'Gastos com Pessoal'!$I$532:$AJ$532&amp;'Gastos com Pessoal'!$I$6:$AJ$6,0),500,1)),0)+_xlfn.IFNA(SUM((X$3&gt;='Gastos com Pessoal'!$E$7:$E$506)*(X$3&lt;='Gastos com Pessoal'!$F$7:$F$506)*(IF('Gastos com Pessoal'!$S$7:$S$506&lt;=X$3,1,0))*OFFSET('Gastos com Pessoal'!$H$6,1,MATCH(3&amp;$B49,'Gastos com Pessoal'!$I$532:$AJ$532&amp;'Gastos com Pessoal'!$I$6:$AJ$6,0),500,1)),0)+_xlfn.IFNA(SUM((X$3&gt;='Gastos com Pessoal'!$E$7:$E$506)*(X$3&lt;='Gastos com Pessoal'!$F$7:$F$506)*(IF('Gastos com Pessoal'!$Y$7:$Y$506&lt;=X$3,1,0))*OFFSET('Gastos com Pessoal'!$H$6,1,MATCH(4&amp;$B49,'Gastos com Pessoal'!$I$532:$AJ$532&amp;'Gastos com Pessoal'!$I$6:$AJ$6,0),500,1)),0)+_xlfn.IFNA(SUM((X$3&gt;='Gastos com Pessoal'!$E$7:$E$506)*(X$3&lt;='Gastos com Pessoal'!$F$7:$F$506)*(IF('Gastos com Pessoal'!$AE$7:$AE$506&lt;=X$3,1,0))*OFFSET('Gastos com Pessoal'!$H$6,1,MATCH(5&amp;$B49,'Gastos com Pessoal'!$I$532:$AJ$532&amp;'Gastos com Pessoal'!$I$6:$AJ$6,0),500,1)),0)+_xlfn.IFNA(SUM((X$3&gt;='Gastos com Pessoal'!$E$513:$E$522)*(X$3&lt;='Gastos com Pessoal'!$F$513:$F$522)*(IF('Gastos com Pessoal'!$G$513:$G$522&lt;=X$3,1,0))*OFFSET('Gastos com Pessoal'!$H$512,1,MATCH(1&amp;$B49,'Gastos com Pessoal'!$I$532:$AJ$532&amp;'Gastos com Pessoal'!$I$512:$AJ$512,0),10,1)),0)+_xlfn.IFNA(SUM((X$3&gt;='Gastos com Pessoal'!$E$513:$E$522)*(X$3&lt;='Gastos com Pessoal'!$F$513:$F$522)*(IF('Gastos com Pessoal'!$M$513:$M$522&lt;=X$3,1,0))*OFFSET('Gastos com Pessoal'!$H$512,1,MATCH(2&amp;$B49,'Gastos com Pessoal'!$I$532:$AJ$532&amp;'Gastos com Pessoal'!$I$512:$AJ$512,0),10,1)),0)+_xlfn.IFNA(SUM((X$3&gt;='Gastos com Pessoal'!$E$513:$E$522)*(X$3&lt;='Gastos com Pessoal'!$F$513:$F$522)*(IF('Gastos com Pessoal'!$S$513:$S$522&lt;=X$3,1,0))*OFFSET('Gastos com Pessoal'!$H$512,1,MATCH(3&amp;$B49,'Gastos com Pessoal'!$I$532:$AJ$532&amp;'Gastos com Pessoal'!$I$512:$AJ$512,0),10,1)),0)+_xlfn.IFNA(SUM((X$3&gt;='Gastos com Pessoal'!$E$513:$E$522)*(X$3&lt;='Gastos com Pessoal'!$F$513:$F$522)*(IF('Gastos com Pessoal'!$Y$513:$Y$522&lt;=X$3,1,0))*OFFSET('Gastos com Pessoal'!$H$512,1,MATCH(4&amp;$B49,'Gastos com Pessoal'!$I$532:$AJ$532&amp;'Gastos com Pessoal'!$I$512:$AJ$512,0),10,1)),0)+_xlfn.IFNA(SUM((X$3&gt;='Gastos com Pessoal'!$E$513:$E$522)*(X$3&lt;='Gastos com Pessoal'!$F$513:$F$522)*(IF('Gastos com Pessoal'!$AE$513:$AE$522&lt;=X$3,1,0))*OFFSET('Gastos com Pessoal'!$H$512,1,MATCH(5&amp;$B49,'Gastos com Pessoal'!$I$532:$AJ$532&amp;'Gastos com Pessoal'!$I$512:$AJ$512,0),10,1)),0)</f>
        <v>161308.79999999993</v>
      </c>
      <c r="Y49" s="188">
        <f t="array" aca="1" ref="Y49" ca="1">_xlfn.IFNA(SUM((Y$3&gt;='Gastos com Pessoal'!$E$7:$E$506)*(Y$3&lt;='Gastos com Pessoal'!$F$7:$F$506)*OFFSET('Encargos e Benefícios'!$D$5,1,MATCH($B49,'Encargos e Benefícios'!$E$5:$AB$5,0),500,1)),0)+_xlfn.IFNA(SUM((Y$3&gt;='Gastos com Pessoal'!$E$513:$E$522)*(Y$3&lt;='Gastos com Pessoal'!$F$513:$F$522)*OFFSET('Encargos e Benefícios'!$D$511,1,MATCH($B49,'Encargos e Benefícios'!$E$511:$AB$511,0),10,1)),0)+_xlfn.IFNA(SUM((Y$3&gt;='Gastos com Pessoal'!$E$7:$E$506)*(Y$3&lt;='Gastos com Pessoal'!$F$7:$F$506)*(IF('Gastos com Pessoal'!$G$7:$G$506&lt;=Y$3,1,0))*OFFSET('Gastos com Pessoal'!$H$6,1,MATCH(1&amp;$B49,'Gastos com Pessoal'!$I$532:$AJ$532&amp;'Gastos com Pessoal'!$I$6:$AJ$6,0),500,1)),0)+_xlfn.IFNA(SUM((Y$3&gt;='Gastos com Pessoal'!$E$7:$E$506)*(Y$3&lt;='Gastos com Pessoal'!$F$7:$F$506)*(IF('Gastos com Pessoal'!$M$7:$M$506&lt;=Y$3,1,0))*OFFSET('Gastos com Pessoal'!$H$6,1,MATCH(2&amp;$B49,'Gastos com Pessoal'!$I$532:$AJ$532&amp;'Gastos com Pessoal'!$I$6:$AJ$6,0),500,1)),0)+_xlfn.IFNA(SUM((Y$3&gt;='Gastos com Pessoal'!$E$7:$E$506)*(Y$3&lt;='Gastos com Pessoal'!$F$7:$F$506)*(IF('Gastos com Pessoal'!$S$7:$S$506&lt;=Y$3,1,0))*OFFSET('Gastos com Pessoal'!$H$6,1,MATCH(3&amp;$B49,'Gastos com Pessoal'!$I$532:$AJ$532&amp;'Gastos com Pessoal'!$I$6:$AJ$6,0),500,1)),0)+_xlfn.IFNA(SUM((Y$3&gt;='Gastos com Pessoal'!$E$7:$E$506)*(Y$3&lt;='Gastos com Pessoal'!$F$7:$F$506)*(IF('Gastos com Pessoal'!$Y$7:$Y$506&lt;=Y$3,1,0))*OFFSET('Gastos com Pessoal'!$H$6,1,MATCH(4&amp;$B49,'Gastos com Pessoal'!$I$532:$AJ$532&amp;'Gastos com Pessoal'!$I$6:$AJ$6,0),500,1)),0)+_xlfn.IFNA(SUM((Y$3&gt;='Gastos com Pessoal'!$E$7:$E$506)*(Y$3&lt;='Gastos com Pessoal'!$F$7:$F$506)*(IF('Gastos com Pessoal'!$AE$7:$AE$506&lt;=Y$3,1,0))*OFFSET('Gastos com Pessoal'!$H$6,1,MATCH(5&amp;$B49,'Gastos com Pessoal'!$I$532:$AJ$532&amp;'Gastos com Pessoal'!$I$6:$AJ$6,0),500,1)),0)+_xlfn.IFNA(SUM((Y$3&gt;='Gastos com Pessoal'!$E$513:$E$522)*(Y$3&lt;='Gastos com Pessoal'!$F$513:$F$522)*(IF('Gastos com Pessoal'!$G$513:$G$522&lt;=Y$3,1,0))*OFFSET('Gastos com Pessoal'!$H$512,1,MATCH(1&amp;$B49,'Gastos com Pessoal'!$I$532:$AJ$532&amp;'Gastos com Pessoal'!$I$512:$AJ$512,0),10,1)),0)+_xlfn.IFNA(SUM((Y$3&gt;='Gastos com Pessoal'!$E$513:$E$522)*(Y$3&lt;='Gastos com Pessoal'!$F$513:$F$522)*(IF('Gastos com Pessoal'!$M$513:$M$522&lt;=Y$3,1,0))*OFFSET('Gastos com Pessoal'!$H$512,1,MATCH(2&amp;$B49,'Gastos com Pessoal'!$I$532:$AJ$532&amp;'Gastos com Pessoal'!$I$512:$AJ$512,0),10,1)),0)+_xlfn.IFNA(SUM((Y$3&gt;='Gastos com Pessoal'!$E$513:$E$522)*(Y$3&lt;='Gastos com Pessoal'!$F$513:$F$522)*(IF('Gastos com Pessoal'!$S$513:$S$522&lt;=Y$3,1,0))*OFFSET('Gastos com Pessoal'!$H$512,1,MATCH(3&amp;$B49,'Gastos com Pessoal'!$I$532:$AJ$532&amp;'Gastos com Pessoal'!$I$512:$AJ$512,0),10,1)),0)+_xlfn.IFNA(SUM((Y$3&gt;='Gastos com Pessoal'!$E$513:$E$522)*(Y$3&lt;='Gastos com Pessoal'!$F$513:$F$522)*(IF('Gastos com Pessoal'!$Y$513:$Y$522&lt;=Y$3,1,0))*OFFSET('Gastos com Pessoal'!$H$512,1,MATCH(4&amp;$B49,'Gastos com Pessoal'!$I$532:$AJ$532&amp;'Gastos com Pessoal'!$I$512:$AJ$512,0),10,1)),0)+_xlfn.IFNA(SUM((Y$3&gt;='Gastos com Pessoal'!$E$513:$E$522)*(Y$3&lt;='Gastos com Pessoal'!$F$513:$F$522)*(IF('Gastos com Pessoal'!$AE$513:$AE$522&lt;=Y$3,1,0))*OFFSET('Gastos com Pessoal'!$H$512,1,MATCH(5&amp;$B49,'Gastos com Pessoal'!$I$532:$AJ$532&amp;'Gastos com Pessoal'!$I$512:$AJ$512,0),10,1)),0)</f>
        <v>161308.79999999993</v>
      </c>
      <c r="Z49" s="188">
        <f t="array" aca="1" ref="Z49" ca="1">_xlfn.IFNA(SUM((Z$3&gt;='Gastos com Pessoal'!$E$7:$E$506)*(Z$3&lt;='Gastos com Pessoal'!$F$7:$F$506)*OFFSET('Encargos e Benefícios'!$D$5,1,MATCH($B49,'Encargos e Benefícios'!$E$5:$AB$5,0),500,1)),0)+_xlfn.IFNA(SUM((Z$3&gt;='Gastos com Pessoal'!$E$513:$E$522)*(Z$3&lt;='Gastos com Pessoal'!$F$513:$F$522)*OFFSET('Encargos e Benefícios'!$D$511,1,MATCH($B49,'Encargos e Benefícios'!$E$511:$AB$511,0),10,1)),0)+_xlfn.IFNA(SUM((Z$3&gt;='Gastos com Pessoal'!$E$7:$E$506)*(Z$3&lt;='Gastos com Pessoal'!$F$7:$F$506)*(IF('Gastos com Pessoal'!$G$7:$G$506&lt;=Z$3,1,0))*OFFSET('Gastos com Pessoal'!$H$6,1,MATCH(1&amp;$B49,'Gastos com Pessoal'!$I$532:$AJ$532&amp;'Gastos com Pessoal'!$I$6:$AJ$6,0),500,1)),0)+_xlfn.IFNA(SUM((Z$3&gt;='Gastos com Pessoal'!$E$7:$E$506)*(Z$3&lt;='Gastos com Pessoal'!$F$7:$F$506)*(IF('Gastos com Pessoal'!$M$7:$M$506&lt;=Z$3,1,0))*OFFSET('Gastos com Pessoal'!$H$6,1,MATCH(2&amp;$B49,'Gastos com Pessoal'!$I$532:$AJ$532&amp;'Gastos com Pessoal'!$I$6:$AJ$6,0),500,1)),0)+_xlfn.IFNA(SUM((Z$3&gt;='Gastos com Pessoal'!$E$7:$E$506)*(Z$3&lt;='Gastos com Pessoal'!$F$7:$F$506)*(IF('Gastos com Pessoal'!$S$7:$S$506&lt;=Z$3,1,0))*OFFSET('Gastos com Pessoal'!$H$6,1,MATCH(3&amp;$B49,'Gastos com Pessoal'!$I$532:$AJ$532&amp;'Gastos com Pessoal'!$I$6:$AJ$6,0),500,1)),0)+_xlfn.IFNA(SUM((Z$3&gt;='Gastos com Pessoal'!$E$7:$E$506)*(Z$3&lt;='Gastos com Pessoal'!$F$7:$F$506)*(IF('Gastos com Pessoal'!$Y$7:$Y$506&lt;=Z$3,1,0))*OFFSET('Gastos com Pessoal'!$H$6,1,MATCH(4&amp;$B49,'Gastos com Pessoal'!$I$532:$AJ$532&amp;'Gastos com Pessoal'!$I$6:$AJ$6,0),500,1)),0)+_xlfn.IFNA(SUM((Z$3&gt;='Gastos com Pessoal'!$E$7:$E$506)*(Z$3&lt;='Gastos com Pessoal'!$F$7:$F$506)*(IF('Gastos com Pessoal'!$AE$7:$AE$506&lt;=Z$3,1,0))*OFFSET('Gastos com Pessoal'!$H$6,1,MATCH(5&amp;$B49,'Gastos com Pessoal'!$I$532:$AJ$532&amp;'Gastos com Pessoal'!$I$6:$AJ$6,0),500,1)),0)+_xlfn.IFNA(SUM((Z$3&gt;='Gastos com Pessoal'!$E$513:$E$522)*(Z$3&lt;='Gastos com Pessoal'!$F$513:$F$522)*(IF('Gastos com Pessoal'!$G$513:$G$522&lt;=Z$3,1,0))*OFFSET('Gastos com Pessoal'!$H$512,1,MATCH(1&amp;$B49,'Gastos com Pessoal'!$I$532:$AJ$532&amp;'Gastos com Pessoal'!$I$512:$AJ$512,0),10,1)),0)+_xlfn.IFNA(SUM((Z$3&gt;='Gastos com Pessoal'!$E$513:$E$522)*(Z$3&lt;='Gastos com Pessoal'!$F$513:$F$522)*(IF('Gastos com Pessoal'!$M$513:$M$522&lt;=Z$3,1,0))*OFFSET('Gastos com Pessoal'!$H$512,1,MATCH(2&amp;$B49,'Gastos com Pessoal'!$I$532:$AJ$532&amp;'Gastos com Pessoal'!$I$512:$AJ$512,0),10,1)),0)+_xlfn.IFNA(SUM((Z$3&gt;='Gastos com Pessoal'!$E$513:$E$522)*(Z$3&lt;='Gastos com Pessoal'!$F$513:$F$522)*(IF('Gastos com Pessoal'!$S$513:$S$522&lt;=Z$3,1,0))*OFFSET('Gastos com Pessoal'!$H$512,1,MATCH(3&amp;$B49,'Gastos com Pessoal'!$I$532:$AJ$532&amp;'Gastos com Pessoal'!$I$512:$AJ$512,0),10,1)),0)+_xlfn.IFNA(SUM((Z$3&gt;='Gastos com Pessoal'!$E$513:$E$522)*(Z$3&lt;='Gastos com Pessoal'!$F$513:$F$522)*(IF('Gastos com Pessoal'!$Y$513:$Y$522&lt;=Z$3,1,0))*OFFSET('Gastos com Pessoal'!$H$512,1,MATCH(4&amp;$B49,'Gastos com Pessoal'!$I$532:$AJ$532&amp;'Gastos com Pessoal'!$I$512:$AJ$512,0),10,1)),0)+_xlfn.IFNA(SUM((Z$3&gt;='Gastos com Pessoal'!$E$513:$E$522)*(Z$3&lt;='Gastos com Pessoal'!$F$513:$F$522)*(IF('Gastos com Pessoal'!$AE$513:$AE$522&lt;=Z$3,1,0))*OFFSET('Gastos com Pessoal'!$H$512,1,MATCH(5&amp;$B49,'Gastos com Pessoal'!$I$532:$AJ$532&amp;'Gastos com Pessoal'!$I$512:$AJ$512,0),10,1)),0)</f>
        <v>161308.79999999993</v>
      </c>
      <c r="AA49" s="188">
        <f t="array" aca="1" ref="AA49" ca="1">_xlfn.IFNA(SUM((AA$3&gt;='Gastos com Pessoal'!$E$7:$E$506)*(AA$3&lt;='Gastos com Pessoal'!$F$7:$F$506)*OFFSET('Encargos e Benefícios'!$D$5,1,MATCH($B49,'Encargos e Benefícios'!$E$5:$AB$5,0),500,1)),0)+_xlfn.IFNA(SUM((AA$3&gt;='Gastos com Pessoal'!$E$513:$E$522)*(AA$3&lt;='Gastos com Pessoal'!$F$513:$F$522)*OFFSET('Encargos e Benefícios'!$D$511,1,MATCH($B49,'Encargos e Benefícios'!$E$511:$AB$511,0),10,1)),0)+_xlfn.IFNA(SUM((AA$3&gt;='Gastos com Pessoal'!$E$7:$E$506)*(AA$3&lt;='Gastos com Pessoal'!$F$7:$F$506)*(IF('Gastos com Pessoal'!$G$7:$G$506&lt;=AA$3,1,0))*OFFSET('Gastos com Pessoal'!$H$6,1,MATCH(1&amp;$B49,'Gastos com Pessoal'!$I$532:$AJ$532&amp;'Gastos com Pessoal'!$I$6:$AJ$6,0),500,1)),0)+_xlfn.IFNA(SUM((AA$3&gt;='Gastos com Pessoal'!$E$7:$E$506)*(AA$3&lt;='Gastos com Pessoal'!$F$7:$F$506)*(IF('Gastos com Pessoal'!$M$7:$M$506&lt;=AA$3,1,0))*OFFSET('Gastos com Pessoal'!$H$6,1,MATCH(2&amp;$B49,'Gastos com Pessoal'!$I$532:$AJ$532&amp;'Gastos com Pessoal'!$I$6:$AJ$6,0),500,1)),0)+_xlfn.IFNA(SUM((AA$3&gt;='Gastos com Pessoal'!$E$7:$E$506)*(AA$3&lt;='Gastos com Pessoal'!$F$7:$F$506)*(IF('Gastos com Pessoal'!$S$7:$S$506&lt;=AA$3,1,0))*OFFSET('Gastos com Pessoal'!$H$6,1,MATCH(3&amp;$B49,'Gastos com Pessoal'!$I$532:$AJ$532&amp;'Gastos com Pessoal'!$I$6:$AJ$6,0),500,1)),0)+_xlfn.IFNA(SUM((AA$3&gt;='Gastos com Pessoal'!$E$7:$E$506)*(AA$3&lt;='Gastos com Pessoal'!$F$7:$F$506)*(IF('Gastos com Pessoal'!$Y$7:$Y$506&lt;=AA$3,1,0))*OFFSET('Gastos com Pessoal'!$H$6,1,MATCH(4&amp;$B49,'Gastos com Pessoal'!$I$532:$AJ$532&amp;'Gastos com Pessoal'!$I$6:$AJ$6,0),500,1)),0)+_xlfn.IFNA(SUM((AA$3&gt;='Gastos com Pessoal'!$E$7:$E$506)*(AA$3&lt;='Gastos com Pessoal'!$F$7:$F$506)*(IF('Gastos com Pessoal'!$AE$7:$AE$506&lt;=AA$3,1,0))*OFFSET('Gastos com Pessoal'!$H$6,1,MATCH(5&amp;$B49,'Gastos com Pessoal'!$I$532:$AJ$532&amp;'Gastos com Pessoal'!$I$6:$AJ$6,0),500,1)),0)+_xlfn.IFNA(SUM((AA$3&gt;='Gastos com Pessoal'!$E$513:$E$522)*(AA$3&lt;='Gastos com Pessoal'!$F$513:$F$522)*(IF('Gastos com Pessoal'!$G$513:$G$522&lt;=AA$3,1,0))*OFFSET('Gastos com Pessoal'!$H$512,1,MATCH(1&amp;$B49,'Gastos com Pessoal'!$I$532:$AJ$532&amp;'Gastos com Pessoal'!$I$512:$AJ$512,0),10,1)),0)+_xlfn.IFNA(SUM((AA$3&gt;='Gastos com Pessoal'!$E$513:$E$522)*(AA$3&lt;='Gastos com Pessoal'!$F$513:$F$522)*(IF('Gastos com Pessoal'!$M$513:$M$522&lt;=AA$3,1,0))*OFFSET('Gastos com Pessoal'!$H$512,1,MATCH(2&amp;$B49,'Gastos com Pessoal'!$I$532:$AJ$532&amp;'Gastos com Pessoal'!$I$512:$AJ$512,0),10,1)),0)+_xlfn.IFNA(SUM((AA$3&gt;='Gastos com Pessoal'!$E$513:$E$522)*(AA$3&lt;='Gastos com Pessoal'!$F$513:$F$522)*(IF('Gastos com Pessoal'!$S$513:$S$522&lt;=AA$3,1,0))*OFFSET('Gastos com Pessoal'!$H$512,1,MATCH(3&amp;$B49,'Gastos com Pessoal'!$I$532:$AJ$532&amp;'Gastos com Pessoal'!$I$512:$AJ$512,0),10,1)),0)+_xlfn.IFNA(SUM((AA$3&gt;='Gastos com Pessoal'!$E$513:$E$522)*(AA$3&lt;='Gastos com Pessoal'!$F$513:$F$522)*(IF('Gastos com Pessoal'!$Y$513:$Y$522&lt;=AA$3,1,0))*OFFSET('Gastos com Pessoal'!$H$512,1,MATCH(4&amp;$B49,'Gastos com Pessoal'!$I$532:$AJ$532&amp;'Gastos com Pessoal'!$I$512:$AJ$512,0),10,1)),0)+_xlfn.IFNA(SUM((AA$3&gt;='Gastos com Pessoal'!$E$513:$E$522)*(AA$3&lt;='Gastos com Pessoal'!$F$513:$F$522)*(IF('Gastos com Pessoal'!$AE$513:$AE$522&lt;=AA$3,1,0))*OFFSET('Gastos com Pessoal'!$H$512,1,MATCH(5&amp;$B49,'Gastos com Pessoal'!$I$532:$AJ$532&amp;'Gastos com Pessoal'!$I$512:$AJ$512,0),10,1)),0)</f>
        <v>161308.79999999993</v>
      </c>
      <c r="AB49" s="188">
        <f t="array" aca="1" ref="AB49" ca="1">_xlfn.IFNA(SUM((AB$3&gt;='Gastos com Pessoal'!$E$7:$E$506)*(AB$3&lt;='Gastos com Pessoal'!$F$7:$F$506)*OFFSET('Encargos e Benefícios'!$D$5,1,MATCH($B49,'Encargos e Benefícios'!$E$5:$AB$5,0),500,1)),0)+_xlfn.IFNA(SUM((AB$3&gt;='Gastos com Pessoal'!$E$513:$E$522)*(AB$3&lt;='Gastos com Pessoal'!$F$513:$F$522)*OFFSET('Encargos e Benefícios'!$D$511,1,MATCH($B49,'Encargos e Benefícios'!$E$511:$AB$511,0),10,1)),0)+_xlfn.IFNA(SUM((AB$3&gt;='Gastos com Pessoal'!$E$7:$E$506)*(AB$3&lt;='Gastos com Pessoal'!$F$7:$F$506)*(IF('Gastos com Pessoal'!$G$7:$G$506&lt;=AB$3,1,0))*OFFSET('Gastos com Pessoal'!$H$6,1,MATCH(1&amp;$B49,'Gastos com Pessoal'!$I$532:$AJ$532&amp;'Gastos com Pessoal'!$I$6:$AJ$6,0),500,1)),0)+_xlfn.IFNA(SUM((AB$3&gt;='Gastos com Pessoal'!$E$7:$E$506)*(AB$3&lt;='Gastos com Pessoal'!$F$7:$F$506)*(IF('Gastos com Pessoal'!$M$7:$M$506&lt;=AB$3,1,0))*OFFSET('Gastos com Pessoal'!$H$6,1,MATCH(2&amp;$B49,'Gastos com Pessoal'!$I$532:$AJ$532&amp;'Gastos com Pessoal'!$I$6:$AJ$6,0),500,1)),0)+_xlfn.IFNA(SUM((AB$3&gt;='Gastos com Pessoal'!$E$7:$E$506)*(AB$3&lt;='Gastos com Pessoal'!$F$7:$F$506)*(IF('Gastos com Pessoal'!$S$7:$S$506&lt;=AB$3,1,0))*OFFSET('Gastos com Pessoal'!$H$6,1,MATCH(3&amp;$B49,'Gastos com Pessoal'!$I$532:$AJ$532&amp;'Gastos com Pessoal'!$I$6:$AJ$6,0),500,1)),0)+_xlfn.IFNA(SUM((AB$3&gt;='Gastos com Pessoal'!$E$7:$E$506)*(AB$3&lt;='Gastos com Pessoal'!$F$7:$F$506)*(IF('Gastos com Pessoal'!$Y$7:$Y$506&lt;=AB$3,1,0))*OFFSET('Gastos com Pessoal'!$H$6,1,MATCH(4&amp;$B49,'Gastos com Pessoal'!$I$532:$AJ$532&amp;'Gastos com Pessoal'!$I$6:$AJ$6,0),500,1)),0)+_xlfn.IFNA(SUM((AB$3&gt;='Gastos com Pessoal'!$E$7:$E$506)*(AB$3&lt;='Gastos com Pessoal'!$F$7:$F$506)*(IF('Gastos com Pessoal'!$AE$7:$AE$506&lt;=AB$3,1,0))*OFFSET('Gastos com Pessoal'!$H$6,1,MATCH(5&amp;$B49,'Gastos com Pessoal'!$I$532:$AJ$532&amp;'Gastos com Pessoal'!$I$6:$AJ$6,0),500,1)),0)+_xlfn.IFNA(SUM((AB$3&gt;='Gastos com Pessoal'!$E$513:$E$522)*(AB$3&lt;='Gastos com Pessoal'!$F$513:$F$522)*(IF('Gastos com Pessoal'!$G$513:$G$522&lt;=AB$3,1,0))*OFFSET('Gastos com Pessoal'!$H$512,1,MATCH(1&amp;$B49,'Gastos com Pessoal'!$I$532:$AJ$532&amp;'Gastos com Pessoal'!$I$512:$AJ$512,0),10,1)),0)+_xlfn.IFNA(SUM((AB$3&gt;='Gastos com Pessoal'!$E$513:$E$522)*(AB$3&lt;='Gastos com Pessoal'!$F$513:$F$522)*(IF('Gastos com Pessoal'!$M$513:$M$522&lt;=AB$3,1,0))*OFFSET('Gastos com Pessoal'!$H$512,1,MATCH(2&amp;$B49,'Gastos com Pessoal'!$I$532:$AJ$532&amp;'Gastos com Pessoal'!$I$512:$AJ$512,0),10,1)),0)+_xlfn.IFNA(SUM((AB$3&gt;='Gastos com Pessoal'!$E$513:$E$522)*(AB$3&lt;='Gastos com Pessoal'!$F$513:$F$522)*(IF('Gastos com Pessoal'!$S$513:$S$522&lt;=AB$3,1,0))*OFFSET('Gastos com Pessoal'!$H$512,1,MATCH(3&amp;$B49,'Gastos com Pessoal'!$I$532:$AJ$532&amp;'Gastos com Pessoal'!$I$512:$AJ$512,0),10,1)),0)+_xlfn.IFNA(SUM((AB$3&gt;='Gastos com Pessoal'!$E$513:$E$522)*(AB$3&lt;='Gastos com Pessoal'!$F$513:$F$522)*(IF('Gastos com Pessoal'!$Y$513:$Y$522&lt;=AB$3,1,0))*OFFSET('Gastos com Pessoal'!$H$512,1,MATCH(4&amp;$B49,'Gastos com Pessoal'!$I$532:$AJ$532&amp;'Gastos com Pessoal'!$I$512:$AJ$512,0),10,1)),0)+_xlfn.IFNA(SUM((AB$3&gt;='Gastos com Pessoal'!$E$513:$E$522)*(AB$3&lt;='Gastos com Pessoal'!$F$513:$F$522)*(IF('Gastos com Pessoal'!$AE$513:$AE$522&lt;=AB$3,1,0))*OFFSET('Gastos com Pessoal'!$H$512,1,MATCH(5&amp;$B49,'Gastos com Pessoal'!$I$532:$AJ$532&amp;'Gastos com Pessoal'!$I$512:$AJ$512,0),10,1)),0)</f>
        <v>161308.79999999993</v>
      </c>
      <c r="AC49" s="188">
        <f t="array" aca="1" ref="AC49" ca="1">_xlfn.IFNA(SUM((AC$3&gt;='Gastos com Pessoal'!$E$7:$E$506)*(AC$3&lt;='Gastos com Pessoal'!$F$7:$F$506)*OFFSET('Encargos e Benefícios'!$D$5,1,MATCH($B49,'Encargos e Benefícios'!$E$5:$AB$5,0),500,1)),0)+_xlfn.IFNA(SUM((AC$3&gt;='Gastos com Pessoal'!$E$513:$E$522)*(AC$3&lt;='Gastos com Pessoal'!$F$513:$F$522)*OFFSET('Encargos e Benefícios'!$D$511,1,MATCH($B49,'Encargos e Benefícios'!$E$511:$AB$511,0),10,1)),0)+_xlfn.IFNA(SUM((AC$3&gt;='Gastos com Pessoal'!$E$7:$E$506)*(AC$3&lt;='Gastos com Pessoal'!$F$7:$F$506)*(IF('Gastos com Pessoal'!$G$7:$G$506&lt;=AC$3,1,0))*OFFSET('Gastos com Pessoal'!$H$6,1,MATCH(1&amp;$B49,'Gastos com Pessoal'!$I$532:$AJ$532&amp;'Gastos com Pessoal'!$I$6:$AJ$6,0),500,1)),0)+_xlfn.IFNA(SUM((AC$3&gt;='Gastos com Pessoal'!$E$7:$E$506)*(AC$3&lt;='Gastos com Pessoal'!$F$7:$F$506)*(IF('Gastos com Pessoal'!$M$7:$M$506&lt;=AC$3,1,0))*OFFSET('Gastos com Pessoal'!$H$6,1,MATCH(2&amp;$B49,'Gastos com Pessoal'!$I$532:$AJ$532&amp;'Gastos com Pessoal'!$I$6:$AJ$6,0),500,1)),0)+_xlfn.IFNA(SUM((AC$3&gt;='Gastos com Pessoal'!$E$7:$E$506)*(AC$3&lt;='Gastos com Pessoal'!$F$7:$F$506)*(IF('Gastos com Pessoal'!$S$7:$S$506&lt;=AC$3,1,0))*OFFSET('Gastos com Pessoal'!$H$6,1,MATCH(3&amp;$B49,'Gastos com Pessoal'!$I$532:$AJ$532&amp;'Gastos com Pessoal'!$I$6:$AJ$6,0),500,1)),0)+_xlfn.IFNA(SUM((AC$3&gt;='Gastos com Pessoal'!$E$7:$E$506)*(AC$3&lt;='Gastos com Pessoal'!$F$7:$F$506)*(IF('Gastos com Pessoal'!$Y$7:$Y$506&lt;=AC$3,1,0))*OFFSET('Gastos com Pessoal'!$H$6,1,MATCH(4&amp;$B49,'Gastos com Pessoal'!$I$532:$AJ$532&amp;'Gastos com Pessoal'!$I$6:$AJ$6,0),500,1)),0)+_xlfn.IFNA(SUM((AC$3&gt;='Gastos com Pessoal'!$E$7:$E$506)*(AC$3&lt;='Gastos com Pessoal'!$F$7:$F$506)*(IF('Gastos com Pessoal'!$AE$7:$AE$506&lt;=AC$3,1,0))*OFFSET('Gastos com Pessoal'!$H$6,1,MATCH(5&amp;$B49,'Gastos com Pessoal'!$I$532:$AJ$532&amp;'Gastos com Pessoal'!$I$6:$AJ$6,0),500,1)),0)+_xlfn.IFNA(SUM((AC$3&gt;='Gastos com Pessoal'!$E$513:$E$522)*(AC$3&lt;='Gastos com Pessoal'!$F$513:$F$522)*(IF('Gastos com Pessoal'!$G$513:$G$522&lt;=AC$3,1,0))*OFFSET('Gastos com Pessoal'!$H$512,1,MATCH(1&amp;$B49,'Gastos com Pessoal'!$I$532:$AJ$532&amp;'Gastos com Pessoal'!$I$512:$AJ$512,0),10,1)),0)+_xlfn.IFNA(SUM((AC$3&gt;='Gastos com Pessoal'!$E$513:$E$522)*(AC$3&lt;='Gastos com Pessoal'!$F$513:$F$522)*(IF('Gastos com Pessoal'!$M$513:$M$522&lt;=AC$3,1,0))*OFFSET('Gastos com Pessoal'!$H$512,1,MATCH(2&amp;$B49,'Gastos com Pessoal'!$I$532:$AJ$532&amp;'Gastos com Pessoal'!$I$512:$AJ$512,0),10,1)),0)+_xlfn.IFNA(SUM((AC$3&gt;='Gastos com Pessoal'!$E$513:$E$522)*(AC$3&lt;='Gastos com Pessoal'!$F$513:$F$522)*(IF('Gastos com Pessoal'!$S$513:$S$522&lt;=AC$3,1,0))*OFFSET('Gastos com Pessoal'!$H$512,1,MATCH(3&amp;$B49,'Gastos com Pessoal'!$I$532:$AJ$532&amp;'Gastos com Pessoal'!$I$512:$AJ$512,0),10,1)),0)+_xlfn.IFNA(SUM((AC$3&gt;='Gastos com Pessoal'!$E$513:$E$522)*(AC$3&lt;='Gastos com Pessoal'!$F$513:$F$522)*(IF('Gastos com Pessoal'!$Y$513:$Y$522&lt;=AC$3,1,0))*OFFSET('Gastos com Pessoal'!$H$512,1,MATCH(4&amp;$B49,'Gastos com Pessoal'!$I$532:$AJ$532&amp;'Gastos com Pessoal'!$I$512:$AJ$512,0),10,1)),0)+_xlfn.IFNA(SUM((AC$3&gt;='Gastos com Pessoal'!$E$513:$E$522)*(AC$3&lt;='Gastos com Pessoal'!$F$513:$F$522)*(IF('Gastos com Pessoal'!$AE$513:$AE$522&lt;=AC$3,1,0))*OFFSET('Gastos com Pessoal'!$H$512,1,MATCH(5&amp;$B49,'Gastos com Pessoal'!$I$532:$AJ$532&amp;'Gastos com Pessoal'!$I$512:$AJ$512,0),10,1)),0)</f>
        <v>161308.79999999993</v>
      </c>
      <c r="AD49" s="188">
        <f t="array" aca="1" ref="AD49" ca="1">_xlfn.IFNA(SUM((AD$3&gt;='Gastos com Pessoal'!$E$7:$E$506)*(AD$3&lt;='Gastos com Pessoal'!$F$7:$F$506)*OFFSET('Encargos e Benefícios'!$D$5,1,MATCH($B49,'Encargos e Benefícios'!$E$5:$AB$5,0),500,1)),0)+_xlfn.IFNA(SUM((AD$3&gt;='Gastos com Pessoal'!$E$513:$E$522)*(AD$3&lt;='Gastos com Pessoal'!$F$513:$F$522)*OFFSET('Encargos e Benefícios'!$D$511,1,MATCH($B49,'Encargos e Benefícios'!$E$511:$AB$511,0),10,1)),0)+_xlfn.IFNA(SUM((AD$3&gt;='Gastos com Pessoal'!$E$7:$E$506)*(AD$3&lt;='Gastos com Pessoal'!$F$7:$F$506)*(IF('Gastos com Pessoal'!$G$7:$G$506&lt;=AD$3,1,0))*OFFSET('Gastos com Pessoal'!$H$6,1,MATCH(1&amp;$B49,'Gastos com Pessoal'!$I$532:$AJ$532&amp;'Gastos com Pessoal'!$I$6:$AJ$6,0),500,1)),0)+_xlfn.IFNA(SUM((AD$3&gt;='Gastos com Pessoal'!$E$7:$E$506)*(AD$3&lt;='Gastos com Pessoal'!$F$7:$F$506)*(IF('Gastos com Pessoal'!$M$7:$M$506&lt;=AD$3,1,0))*OFFSET('Gastos com Pessoal'!$H$6,1,MATCH(2&amp;$B49,'Gastos com Pessoal'!$I$532:$AJ$532&amp;'Gastos com Pessoal'!$I$6:$AJ$6,0),500,1)),0)+_xlfn.IFNA(SUM((AD$3&gt;='Gastos com Pessoal'!$E$7:$E$506)*(AD$3&lt;='Gastos com Pessoal'!$F$7:$F$506)*(IF('Gastos com Pessoal'!$S$7:$S$506&lt;=AD$3,1,0))*OFFSET('Gastos com Pessoal'!$H$6,1,MATCH(3&amp;$B49,'Gastos com Pessoal'!$I$532:$AJ$532&amp;'Gastos com Pessoal'!$I$6:$AJ$6,0),500,1)),0)+_xlfn.IFNA(SUM((AD$3&gt;='Gastos com Pessoal'!$E$7:$E$506)*(AD$3&lt;='Gastos com Pessoal'!$F$7:$F$506)*(IF('Gastos com Pessoal'!$Y$7:$Y$506&lt;=AD$3,1,0))*OFFSET('Gastos com Pessoal'!$H$6,1,MATCH(4&amp;$B49,'Gastos com Pessoal'!$I$532:$AJ$532&amp;'Gastos com Pessoal'!$I$6:$AJ$6,0),500,1)),0)+_xlfn.IFNA(SUM((AD$3&gt;='Gastos com Pessoal'!$E$7:$E$506)*(AD$3&lt;='Gastos com Pessoal'!$F$7:$F$506)*(IF('Gastos com Pessoal'!$AE$7:$AE$506&lt;=AD$3,1,0))*OFFSET('Gastos com Pessoal'!$H$6,1,MATCH(5&amp;$B49,'Gastos com Pessoal'!$I$532:$AJ$532&amp;'Gastos com Pessoal'!$I$6:$AJ$6,0),500,1)),0)+_xlfn.IFNA(SUM((AD$3&gt;='Gastos com Pessoal'!$E$513:$E$522)*(AD$3&lt;='Gastos com Pessoal'!$F$513:$F$522)*(IF('Gastos com Pessoal'!$G$513:$G$522&lt;=AD$3,1,0))*OFFSET('Gastos com Pessoal'!$H$512,1,MATCH(1&amp;$B49,'Gastos com Pessoal'!$I$532:$AJ$532&amp;'Gastos com Pessoal'!$I$512:$AJ$512,0),10,1)),0)+_xlfn.IFNA(SUM((AD$3&gt;='Gastos com Pessoal'!$E$513:$E$522)*(AD$3&lt;='Gastos com Pessoal'!$F$513:$F$522)*(IF('Gastos com Pessoal'!$M$513:$M$522&lt;=AD$3,1,0))*OFFSET('Gastos com Pessoal'!$H$512,1,MATCH(2&amp;$B49,'Gastos com Pessoal'!$I$532:$AJ$532&amp;'Gastos com Pessoal'!$I$512:$AJ$512,0),10,1)),0)+_xlfn.IFNA(SUM((AD$3&gt;='Gastos com Pessoal'!$E$513:$E$522)*(AD$3&lt;='Gastos com Pessoal'!$F$513:$F$522)*(IF('Gastos com Pessoal'!$S$513:$S$522&lt;=AD$3,1,0))*OFFSET('Gastos com Pessoal'!$H$512,1,MATCH(3&amp;$B49,'Gastos com Pessoal'!$I$532:$AJ$532&amp;'Gastos com Pessoal'!$I$512:$AJ$512,0),10,1)),0)+_xlfn.IFNA(SUM((AD$3&gt;='Gastos com Pessoal'!$E$513:$E$522)*(AD$3&lt;='Gastos com Pessoal'!$F$513:$F$522)*(IF('Gastos com Pessoal'!$Y$513:$Y$522&lt;=AD$3,1,0))*OFFSET('Gastos com Pessoal'!$H$512,1,MATCH(4&amp;$B49,'Gastos com Pessoal'!$I$532:$AJ$532&amp;'Gastos com Pessoal'!$I$512:$AJ$512,0),10,1)),0)+_xlfn.IFNA(SUM((AD$3&gt;='Gastos com Pessoal'!$E$513:$E$522)*(AD$3&lt;='Gastos com Pessoal'!$F$513:$F$522)*(IF('Gastos com Pessoal'!$AE$513:$AE$522&lt;=AD$3,1,0))*OFFSET('Gastos com Pessoal'!$H$512,1,MATCH(5&amp;$B49,'Gastos com Pessoal'!$I$532:$AJ$532&amp;'Gastos com Pessoal'!$I$512:$AJ$512,0),10,1)),0)</f>
        <v>161308.79999999993</v>
      </c>
      <c r="AE49" s="188">
        <f t="array" aca="1" ref="AE49" ca="1">_xlfn.IFNA(SUM((AE$3&gt;='Gastos com Pessoal'!$E$7:$E$506)*(AE$3&lt;='Gastos com Pessoal'!$F$7:$F$506)*OFFSET('Encargos e Benefícios'!$D$5,1,MATCH($B49,'Encargos e Benefícios'!$E$5:$AB$5,0),500,1)),0)+_xlfn.IFNA(SUM((AE$3&gt;='Gastos com Pessoal'!$E$513:$E$522)*(AE$3&lt;='Gastos com Pessoal'!$F$513:$F$522)*OFFSET('Encargos e Benefícios'!$D$511,1,MATCH($B49,'Encargos e Benefícios'!$E$511:$AB$511,0),10,1)),0)+_xlfn.IFNA(SUM((AE$3&gt;='Gastos com Pessoal'!$E$7:$E$506)*(AE$3&lt;='Gastos com Pessoal'!$F$7:$F$506)*(IF('Gastos com Pessoal'!$G$7:$G$506&lt;=AE$3,1,0))*OFFSET('Gastos com Pessoal'!$H$6,1,MATCH(1&amp;$B49,'Gastos com Pessoal'!$I$532:$AJ$532&amp;'Gastos com Pessoal'!$I$6:$AJ$6,0),500,1)),0)+_xlfn.IFNA(SUM((AE$3&gt;='Gastos com Pessoal'!$E$7:$E$506)*(AE$3&lt;='Gastos com Pessoal'!$F$7:$F$506)*(IF('Gastos com Pessoal'!$M$7:$M$506&lt;=AE$3,1,0))*OFFSET('Gastos com Pessoal'!$H$6,1,MATCH(2&amp;$B49,'Gastos com Pessoal'!$I$532:$AJ$532&amp;'Gastos com Pessoal'!$I$6:$AJ$6,0),500,1)),0)+_xlfn.IFNA(SUM((AE$3&gt;='Gastos com Pessoal'!$E$7:$E$506)*(AE$3&lt;='Gastos com Pessoal'!$F$7:$F$506)*(IF('Gastos com Pessoal'!$S$7:$S$506&lt;=AE$3,1,0))*OFFSET('Gastos com Pessoal'!$H$6,1,MATCH(3&amp;$B49,'Gastos com Pessoal'!$I$532:$AJ$532&amp;'Gastos com Pessoal'!$I$6:$AJ$6,0),500,1)),0)+_xlfn.IFNA(SUM((AE$3&gt;='Gastos com Pessoal'!$E$7:$E$506)*(AE$3&lt;='Gastos com Pessoal'!$F$7:$F$506)*(IF('Gastos com Pessoal'!$Y$7:$Y$506&lt;=AE$3,1,0))*OFFSET('Gastos com Pessoal'!$H$6,1,MATCH(4&amp;$B49,'Gastos com Pessoal'!$I$532:$AJ$532&amp;'Gastos com Pessoal'!$I$6:$AJ$6,0),500,1)),0)+_xlfn.IFNA(SUM((AE$3&gt;='Gastos com Pessoal'!$E$7:$E$506)*(AE$3&lt;='Gastos com Pessoal'!$F$7:$F$506)*(IF('Gastos com Pessoal'!$AE$7:$AE$506&lt;=AE$3,1,0))*OFFSET('Gastos com Pessoal'!$H$6,1,MATCH(5&amp;$B49,'Gastos com Pessoal'!$I$532:$AJ$532&amp;'Gastos com Pessoal'!$I$6:$AJ$6,0),500,1)),0)+_xlfn.IFNA(SUM((AE$3&gt;='Gastos com Pessoal'!$E$513:$E$522)*(AE$3&lt;='Gastos com Pessoal'!$F$513:$F$522)*(IF('Gastos com Pessoal'!$G$513:$G$522&lt;=AE$3,1,0))*OFFSET('Gastos com Pessoal'!$H$512,1,MATCH(1&amp;$B49,'Gastos com Pessoal'!$I$532:$AJ$532&amp;'Gastos com Pessoal'!$I$512:$AJ$512,0),10,1)),0)+_xlfn.IFNA(SUM((AE$3&gt;='Gastos com Pessoal'!$E$513:$E$522)*(AE$3&lt;='Gastos com Pessoal'!$F$513:$F$522)*(IF('Gastos com Pessoal'!$M$513:$M$522&lt;=AE$3,1,0))*OFFSET('Gastos com Pessoal'!$H$512,1,MATCH(2&amp;$B49,'Gastos com Pessoal'!$I$532:$AJ$532&amp;'Gastos com Pessoal'!$I$512:$AJ$512,0),10,1)),0)+_xlfn.IFNA(SUM((AE$3&gt;='Gastos com Pessoal'!$E$513:$E$522)*(AE$3&lt;='Gastos com Pessoal'!$F$513:$F$522)*(IF('Gastos com Pessoal'!$S$513:$S$522&lt;=AE$3,1,0))*OFFSET('Gastos com Pessoal'!$H$512,1,MATCH(3&amp;$B49,'Gastos com Pessoal'!$I$532:$AJ$532&amp;'Gastos com Pessoal'!$I$512:$AJ$512,0),10,1)),0)+_xlfn.IFNA(SUM((AE$3&gt;='Gastos com Pessoal'!$E$513:$E$522)*(AE$3&lt;='Gastos com Pessoal'!$F$513:$F$522)*(IF('Gastos com Pessoal'!$Y$513:$Y$522&lt;=AE$3,1,0))*OFFSET('Gastos com Pessoal'!$H$512,1,MATCH(4&amp;$B49,'Gastos com Pessoal'!$I$532:$AJ$532&amp;'Gastos com Pessoal'!$I$512:$AJ$512,0),10,1)),0)+_xlfn.IFNA(SUM((AE$3&gt;='Gastos com Pessoal'!$E$513:$E$522)*(AE$3&lt;='Gastos com Pessoal'!$F$513:$F$522)*(IF('Gastos com Pessoal'!$AE$513:$AE$522&lt;=AE$3,1,0))*OFFSET('Gastos com Pessoal'!$H$512,1,MATCH(5&amp;$B49,'Gastos com Pessoal'!$I$532:$AJ$532&amp;'Gastos com Pessoal'!$I$512:$AJ$512,0),10,1)),0)</f>
        <v>161308.79999999993</v>
      </c>
      <c r="AF49" s="188">
        <f t="array" aca="1" ref="AF49" ca="1">_xlfn.IFNA(SUM((AF$3&gt;='Gastos com Pessoal'!$E$7:$E$506)*(AF$3&lt;='Gastos com Pessoal'!$F$7:$F$506)*OFFSET('Encargos e Benefícios'!$D$5,1,MATCH($B49,'Encargos e Benefícios'!$E$5:$AB$5,0),500,1)),0)+_xlfn.IFNA(SUM((AF$3&gt;='Gastos com Pessoal'!$E$513:$E$522)*(AF$3&lt;='Gastos com Pessoal'!$F$513:$F$522)*OFFSET('Encargos e Benefícios'!$D$511,1,MATCH($B49,'Encargos e Benefícios'!$E$511:$AB$511,0),10,1)),0)+_xlfn.IFNA(SUM((AF$3&gt;='Gastos com Pessoal'!$E$7:$E$506)*(AF$3&lt;='Gastos com Pessoal'!$F$7:$F$506)*(IF('Gastos com Pessoal'!$G$7:$G$506&lt;=AF$3,1,0))*OFFSET('Gastos com Pessoal'!$H$6,1,MATCH(1&amp;$B49,'Gastos com Pessoal'!$I$532:$AJ$532&amp;'Gastos com Pessoal'!$I$6:$AJ$6,0),500,1)),0)+_xlfn.IFNA(SUM((AF$3&gt;='Gastos com Pessoal'!$E$7:$E$506)*(AF$3&lt;='Gastos com Pessoal'!$F$7:$F$506)*(IF('Gastos com Pessoal'!$M$7:$M$506&lt;=AF$3,1,0))*OFFSET('Gastos com Pessoal'!$H$6,1,MATCH(2&amp;$B49,'Gastos com Pessoal'!$I$532:$AJ$532&amp;'Gastos com Pessoal'!$I$6:$AJ$6,0),500,1)),0)+_xlfn.IFNA(SUM((AF$3&gt;='Gastos com Pessoal'!$E$7:$E$506)*(AF$3&lt;='Gastos com Pessoal'!$F$7:$F$506)*(IF('Gastos com Pessoal'!$S$7:$S$506&lt;=AF$3,1,0))*OFFSET('Gastos com Pessoal'!$H$6,1,MATCH(3&amp;$B49,'Gastos com Pessoal'!$I$532:$AJ$532&amp;'Gastos com Pessoal'!$I$6:$AJ$6,0),500,1)),0)+_xlfn.IFNA(SUM((AF$3&gt;='Gastos com Pessoal'!$E$7:$E$506)*(AF$3&lt;='Gastos com Pessoal'!$F$7:$F$506)*(IF('Gastos com Pessoal'!$Y$7:$Y$506&lt;=AF$3,1,0))*OFFSET('Gastos com Pessoal'!$H$6,1,MATCH(4&amp;$B49,'Gastos com Pessoal'!$I$532:$AJ$532&amp;'Gastos com Pessoal'!$I$6:$AJ$6,0),500,1)),0)+_xlfn.IFNA(SUM((AF$3&gt;='Gastos com Pessoal'!$E$7:$E$506)*(AF$3&lt;='Gastos com Pessoal'!$F$7:$F$506)*(IF('Gastos com Pessoal'!$AE$7:$AE$506&lt;=AF$3,1,0))*OFFSET('Gastos com Pessoal'!$H$6,1,MATCH(5&amp;$B49,'Gastos com Pessoal'!$I$532:$AJ$532&amp;'Gastos com Pessoal'!$I$6:$AJ$6,0),500,1)),0)+_xlfn.IFNA(SUM((AF$3&gt;='Gastos com Pessoal'!$E$513:$E$522)*(AF$3&lt;='Gastos com Pessoal'!$F$513:$F$522)*(IF('Gastos com Pessoal'!$G$513:$G$522&lt;=AF$3,1,0))*OFFSET('Gastos com Pessoal'!$H$512,1,MATCH(1&amp;$B49,'Gastos com Pessoal'!$I$532:$AJ$532&amp;'Gastos com Pessoal'!$I$512:$AJ$512,0),10,1)),0)+_xlfn.IFNA(SUM((AF$3&gt;='Gastos com Pessoal'!$E$513:$E$522)*(AF$3&lt;='Gastos com Pessoal'!$F$513:$F$522)*(IF('Gastos com Pessoal'!$M$513:$M$522&lt;=AF$3,1,0))*OFFSET('Gastos com Pessoal'!$H$512,1,MATCH(2&amp;$B49,'Gastos com Pessoal'!$I$532:$AJ$532&amp;'Gastos com Pessoal'!$I$512:$AJ$512,0),10,1)),0)+_xlfn.IFNA(SUM((AF$3&gt;='Gastos com Pessoal'!$E$513:$E$522)*(AF$3&lt;='Gastos com Pessoal'!$F$513:$F$522)*(IF('Gastos com Pessoal'!$S$513:$S$522&lt;=AF$3,1,0))*OFFSET('Gastos com Pessoal'!$H$512,1,MATCH(3&amp;$B49,'Gastos com Pessoal'!$I$532:$AJ$532&amp;'Gastos com Pessoal'!$I$512:$AJ$512,0),10,1)),0)+_xlfn.IFNA(SUM((AF$3&gt;='Gastos com Pessoal'!$E$513:$E$522)*(AF$3&lt;='Gastos com Pessoal'!$F$513:$F$522)*(IF('Gastos com Pessoal'!$Y$513:$Y$522&lt;=AF$3,1,0))*OFFSET('Gastos com Pessoal'!$H$512,1,MATCH(4&amp;$B49,'Gastos com Pessoal'!$I$532:$AJ$532&amp;'Gastos com Pessoal'!$I$512:$AJ$512,0),10,1)),0)+_xlfn.IFNA(SUM((AF$3&gt;='Gastos com Pessoal'!$E$513:$E$522)*(AF$3&lt;='Gastos com Pessoal'!$F$513:$F$522)*(IF('Gastos com Pessoal'!$AE$513:$AE$522&lt;=AF$3,1,0))*OFFSET('Gastos com Pessoal'!$H$512,1,MATCH(5&amp;$B49,'Gastos com Pessoal'!$I$532:$AJ$532&amp;'Gastos com Pessoal'!$I$512:$AJ$512,0),10,1)),0)</f>
        <v>170729.27999999991</v>
      </c>
      <c r="AG49" s="188">
        <f t="array" aca="1" ref="AG49" ca="1">_xlfn.IFNA(SUM((AG$3&gt;='Gastos com Pessoal'!$E$7:$E$506)*(AG$3&lt;='Gastos com Pessoal'!$F$7:$F$506)*OFFSET('Encargos e Benefícios'!$D$5,1,MATCH($B49,'Encargos e Benefícios'!$E$5:$AB$5,0),500,1)),0)+_xlfn.IFNA(SUM((AG$3&gt;='Gastos com Pessoal'!$E$513:$E$522)*(AG$3&lt;='Gastos com Pessoal'!$F$513:$F$522)*OFFSET('Encargos e Benefícios'!$D$511,1,MATCH($B49,'Encargos e Benefícios'!$E$511:$AB$511,0),10,1)),0)+_xlfn.IFNA(SUM((AG$3&gt;='Gastos com Pessoal'!$E$7:$E$506)*(AG$3&lt;='Gastos com Pessoal'!$F$7:$F$506)*(IF('Gastos com Pessoal'!$G$7:$G$506&lt;=AG$3,1,0))*OFFSET('Gastos com Pessoal'!$H$6,1,MATCH(1&amp;$B49,'Gastos com Pessoal'!$I$532:$AJ$532&amp;'Gastos com Pessoal'!$I$6:$AJ$6,0),500,1)),0)+_xlfn.IFNA(SUM((AG$3&gt;='Gastos com Pessoal'!$E$7:$E$506)*(AG$3&lt;='Gastos com Pessoal'!$F$7:$F$506)*(IF('Gastos com Pessoal'!$M$7:$M$506&lt;=AG$3,1,0))*OFFSET('Gastos com Pessoal'!$H$6,1,MATCH(2&amp;$B49,'Gastos com Pessoal'!$I$532:$AJ$532&amp;'Gastos com Pessoal'!$I$6:$AJ$6,0),500,1)),0)+_xlfn.IFNA(SUM((AG$3&gt;='Gastos com Pessoal'!$E$7:$E$506)*(AG$3&lt;='Gastos com Pessoal'!$F$7:$F$506)*(IF('Gastos com Pessoal'!$S$7:$S$506&lt;=AG$3,1,0))*OFFSET('Gastos com Pessoal'!$H$6,1,MATCH(3&amp;$B49,'Gastos com Pessoal'!$I$532:$AJ$532&amp;'Gastos com Pessoal'!$I$6:$AJ$6,0),500,1)),0)+_xlfn.IFNA(SUM((AG$3&gt;='Gastos com Pessoal'!$E$7:$E$506)*(AG$3&lt;='Gastos com Pessoal'!$F$7:$F$506)*(IF('Gastos com Pessoal'!$Y$7:$Y$506&lt;=AG$3,1,0))*OFFSET('Gastos com Pessoal'!$H$6,1,MATCH(4&amp;$B49,'Gastos com Pessoal'!$I$532:$AJ$532&amp;'Gastos com Pessoal'!$I$6:$AJ$6,0),500,1)),0)+_xlfn.IFNA(SUM((AG$3&gt;='Gastos com Pessoal'!$E$7:$E$506)*(AG$3&lt;='Gastos com Pessoal'!$F$7:$F$506)*(IF('Gastos com Pessoal'!$AE$7:$AE$506&lt;=AG$3,1,0))*OFFSET('Gastos com Pessoal'!$H$6,1,MATCH(5&amp;$B49,'Gastos com Pessoal'!$I$532:$AJ$532&amp;'Gastos com Pessoal'!$I$6:$AJ$6,0),500,1)),0)+_xlfn.IFNA(SUM((AG$3&gt;='Gastos com Pessoal'!$E$513:$E$522)*(AG$3&lt;='Gastos com Pessoal'!$F$513:$F$522)*(IF('Gastos com Pessoal'!$G$513:$G$522&lt;=AG$3,1,0))*OFFSET('Gastos com Pessoal'!$H$512,1,MATCH(1&amp;$B49,'Gastos com Pessoal'!$I$532:$AJ$532&amp;'Gastos com Pessoal'!$I$512:$AJ$512,0),10,1)),0)+_xlfn.IFNA(SUM((AG$3&gt;='Gastos com Pessoal'!$E$513:$E$522)*(AG$3&lt;='Gastos com Pessoal'!$F$513:$F$522)*(IF('Gastos com Pessoal'!$M$513:$M$522&lt;=AG$3,1,0))*OFFSET('Gastos com Pessoal'!$H$512,1,MATCH(2&amp;$B49,'Gastos com Pessoal'!$I$532:$AJ$532&amp;'Gastos com Pessoal'!$I$512:$AJ$512,0),10,1)),0)+_xlfn.IFNA(SUM((AG$3&gt;='Gastos com Pessoal'!$E$513:$E$522)*(AG$3&lt;='Gastos com Pessoal'!$F$513:$F$522)*(IF('Gastos com Pessoal'!$S$513:$S$522&lt;=AG$3,1,0))*OFFSET('Gastos com Pessoal'!$H$512,1,MATCH(3&amp;$B49,'Gastos com Pessoal'!$I$532:$AJ$532&amp;'Gastos com Pessoal'!$I$512:$AJ$512,0),10,1)),0)+_xlfn.IFNA(SUM((AG$3&gt;='Gastos com Pessoal'!$E$513:$E$522)*(AG$3&lt;='Gastos com Pessoal'!$F$513:$F$522)*(IF('Gastos com Pessoal'!$Y$513:$Y$522&lt;=AG$3,1,0))*OFFSET('Gastos com Pessoal'!$H$512,1,MATCH(4&amp;$B49,'Gastos com Pessoal'!$I$532:$AJ$532&amp;'Gastos com Pessoal'!$I$512:$AJ$512,0),10,1)),0)+_xlfn.IFNA(SUM((AG$3&gt;='Gastos com Pessoal'!$E$513:$E$522)*(AG$3&lt;='Gastos com Pessoal'!$F$513:$F$522)*(IF('Gastos com Pessoal'!$AE$513:$AE$522&lt;=AG$3,1,0))*OFFSET('Gastos com Pessoal'!$H$512,1,MATCH(5&amp;$B49,'Gastos com Pessoal'!$I$532:$AJ$532&amp;'Gastos com Pessoal'!$I$512:$AJ$512,0),10,1)),0)</f>
        <v>170729.27999999991</v>
      </c>
      <c r="AH49" s="188">
        <f t="array" aca="1" ref="AH49" ca="1">_xlfn.IFNA(SUM((AH$3&gt;='Gastos com Pessoal'!$E$7:$E$506)*(AH$3&lt;='Gastos com Pessoal'!$F$7:$F$506)*OFFSET('Encargos e Benefícios'!$D$5,1,MATCH($B49,'Encargos e Benefícios'!$E$5:$AB$5,0),500,1)),0)+_xlfn.IFNA(SUM((AH$3&gt;='Gastos com Pessoal'!$E$513:$E$522)*(AH$3&lt;='Gastos com Pessoal'!$F$513:$F$522)*OFFSET('Encargos e Benefícios'!$D$511,1,MATCH($B49,'Encargos e Benefícios'!$E$511:$AB$511,0),10,1)),0)+_xlfn.IFNA(SUM((AH$3&gt;='Gastos com Pessoal'!$E$7:$E$506)*(AH$3&lt;='Gastos com Pessoal'!$F$7:$F$506)*(IF('Gastos com Pessoal'!$G$7:$G$506&lt;=AH$3,1,0))*OFFSET('Gastos com Pessoal'!$H$6,1,MATCH(1&amp;$B49,'Gastos com Pessoal'!$I$532:$AJ$532&amp;'Gastos com Pessoal'!$I$6:$AJ$6,0),500,1)),0)+_xlfn.IFNA(SUM((AH$3&gt;='Gastos com Pessoal'!$E$7:$E$506)*(AH$3&lt;='Gastos com Pessoal'!$F$7:$F$506)*(IF('Gastos com Pessoal'!$M$7:$M$506&lt;=AH$3,1,0))*OFFSET('Gastos com Pessoal'!$H$6,1,MATCH(2&amp;$B49,'Gastos com Pessoal'!$I$532:$AJ$532&amp;'Gastos com Pessoal'!$I$6:$AJ$6,0),500,1)),0)+_xlfn.IFNA(SUM((AH$3&gt;='Gastos com Pessoal'!$E$7:$E$506)*(AH$3&lt;='Gastos com Pessoal'!$F$7:$F$506)*(IF('Gastos com Pessoal'!$S$7:$S$506&lt;=AH$3,1,0))*OFFSET('Gastos com Pessoal'!$H$6,1,MATCH(3&amp;$B49,'Gastos com Pessoal'!$I$532:$AJ$532&amp;'Gastos com Pessoal'!$I$6:$AJ$6,0),500,1)),0)+_xlfn.IFNA(SUM((AH$3&gt;='Gastos com Pessoal'!$E$7:$E$506)*(AH$3&lt;='Gastos com Pessoal'!$F$7:$F$506)*(IF('Gastos com Pessoal'!$Y$7:$Y$506&lt;=AH$3,1,0))*OFFSET('Gastos com Pessoal'!$H$6,1,MATCH(4&amp;$B49,'Gastos com Pessoal'!$I$532:$AJ$532&amp;'Gastos com Pessoal'!$I$6:$AJ$6,0),500,1)),0)+_xlfn.IFNA(SUM((AH$3&gt;='Gastos com Pessoal'!$E$7:$E$506)*(AH$3&lt;='Gastos com Pessoal'!$F$7:$F$506)*(IF('Gastos com Pessoal'!$AE$7:$AE$506&lt;=AH$3,1,0))*OFFSET('Gastos com Pessoal'!$H$6,1,MATCH(5&amp;$B49,'Gastos com Pessoal'!$I$532:$AJ$532&amp;'Gastos com Pessoal'!$I$6:$AJ$6,0),500,1)),0)+_xlfn.IFNA(SUM((AH$3&gt;='Gastos com Pessoal'!$E$513:$E$522)*(AH$3&lt;='Gastos com Pessoal'!$F$513:$F$522)*(IF('Gastos com Pessoal'!$G$513:$G$522&lt;=AH$3,1,0))*OFFSET('Gastos com Pessoal'!$H$512,1,MATCH(1&amp;$B49,'Gastos com Pessoal'!$I$532:$AJ$532&amp;'Gastos com Pessoal'!$I$512:$AJ$512,0),10,1)),0)+_xlfn.IFNA(SUM((AH$3&gt;='Gastos com Pessoal'!$E$513:$E$522)*(AH$3&lt;='Gastos com Pessoal'!$F$513:$F$522)*(IF('Gastos com Pessoal'!$M$513:$M$522&lt;=AH$3,1,0))*OFFSET('Gastos com Pessoal'!$H$512,1,MATCH(2&amp;$B49,'Gastos com Pessoal'!$I$532:$AJ$532&amp;'Gastos com Pessoal'!$I$512:$AJ$512,0),10,1)),0)+_xlfn.IFNA(SUM((AH$3&gt;='Gastos com Pessoal'!$E$513:$E$522)*(AH$3&lt;='Gastos com Pessoal'!$F$513:$F$522)*(IF('Gastos com Pessoal'!$S$513:$S$522&lt;=AH$3,1,0))*OFFSET('Gastos com Pessoal'!$H$512,1,MATCH(3&amp;$B49,'Gastos com Pessoal'!$I$532:$AJ$532&amp;'Gastos com Pessoal'!$I$512:$AJ$512,0),10,1)),0)+_xlfn.IFNA(SUM((AH$3&gt;='Gastos com Pessoal'!$E$513:$E$522)*(AH$3&lt;='Gastos com Pessoal'!$F$513:$F$522)*(IF('Gastos com Pessoal'!$Y$513:$Y$522&lt;=AH$3,1,0))*OFFSET('Gastos com Pessoal'!$H$512,1,MATCH(4&amp;$B49,'Gastos com Pessoal'!$I$532:$AJ$532&amp;'Gastos com Pessoal'!$I$512:$AJ$512,0),10,1)),0)+_xlfn.IFNA(SUM((AH$3&gt;='Gastos com Pessoal'!$E$513:$E$522)*(AH$3&lt;='Gastos com Pessoal'!$F$513:$F$522)*(IF('Gastos com Pessoal'!$AE$513:$AE$522&lt;=AH$3,1,0))*OFFSET('Gastos com Pessoal'!$H$512,1,MATCH(5&amp;$B49,'Gastos com Pessoal'!$I$532:$AJ$532&amp;'Gastos com Pessoal'!$I$512:$AJ$512,0),10,1)),0)</f>
        <v>170729.27999999991</v>
      </c>
      <c r="AI49" s="188">
        <f t="array" aca="1" ref="AI49" ca="1">_xlfn.IFNA(SUM((AI$3&gt;='Gastos com Pessoal'!$E$7:$E$506)*(AI$3&lt;='Gastos com Pessoal'!$F$7:$F$506)*OFFSET('Encargos e Benefícios'!$D$5,1,MATCH($B49,'Encargos e Benefícios'!$E$5:$AB$5,0),500,1)),0)+_xlfn.IFNA(SUM((AI$3&gt;='Gastos com Pessoal'!$E$513:$E$522)*(AI$3&lt;='Gastos com Pessoal'!$F$513:$F$522)*OFFSET('Encargos e Benefícios'!$D$511,1,MATCH($B49,'Encargos e Benefícios'!$E$511:$AB$511,0),10,1)),0)+_xlfn.IFNA(SUM((AI$3&gt;='Gastos com Pessoal'!$E$7:$E$506)*(AI$3&lt;='Gastos com Pessoal'!$F$7:$F$506)*(IF('Gastos com Pessoal'!$G$7:$G$506&lt;=AI$3,1,0))*OFFSET('Gastos com Pessoal'!$H$6,1,MATCH(1&amp;$B49,'Gastos com Pessoal'!$I$532:$AJ$532&amp;'Gastos com Pessoal'!$I$6:$AJ$6,0),500,1)),0)+_xlfn.IFNA(SUM((AI$3&gt;='Gastos com Pessoal'!$E$7:$E$506)*(AI$3&lt;='Gastos com Pessoal'!$F$7:$F$506)*(IF('Gastos com Pessoal'!$M$7:$M$506&lt;=AI$3,1,0))*OFFSET('Gastos com Pessoal'!$H$6,1,MATCH(2&amp;$B49,'Gastos com Pessoal'!$I$532:$AJ$532&amp;'Gastos com Pessoal'!$I$6:$AJ$6,0),500,1)),0)+_xlfn.IFNA(SUM((AI$3&gt;='Gastos com Pessoal'!$E$7:$E$506)*(AI$3&lt;='Gastos com Pessoal'!$F$7:$F$506)*(IF('Gastos com Pessoal'!$S$7:$S$506&lt;=AI$3,1,0))*OFFSET('Gastos com Pessoal'!$H$6,1,MATCH(3&amp;$B49,'Gastos com Pessoal'!$I$532:$AJ$532&amp;'Gastos com Pessoal'!$I$6:$AJ$6,0),500,1)),0)+_xlfn.IFNA(SUM((AI$3&gt;='Gastos com Pessoal'!$E$7:$E$506)*(AI$3&lt;='Gastos com Pessoal'!$F$7:$F$506)*(IF('Gastos com Pessoal'!$Y$7:$Y$506&lt;=AI$3,1,0))*OFFSET('Gastos com Pessoal'!$H$6,1,MATCH(4&amp;$B49,'Gastos com Pessoal'!$I$532:$AJ$532&amp;'Gastos com Pessoal'!$I$6:$AJ$6,0),500,1)),0)+_xlfn.IFNA(SUM((AI$3&gt;='Gastos com Pessoal'!$E$7:$E$506)*(AI$3&lt;='Gastos com Pessoal'!$F$7:$F$506)*(IF('Gastos com Pessoal'!$AE$7:$AE$506&lt;=AI$3,1,0))*OFFSET('Gastos com Pessoal'!$H$6,1,MATCH(5&amp;$B49,'Gastos com Pessoal'!$I$532:$AJ$532&amp;'Gastos com Pessoal'!$I$6:$AJ$6,0),500,1)),0)+_xlfn.IFNA(SUM((AI$3&gt;='Gastos com Pessoal'!$E$513:$E$522)*(AI$3&lt;='Gastos com Pessoal'!$F$513:$F$522)*(IF('Gastos com Pessoal'!$G$513:$G$522&lt;=AI$3,1,0))*OFFSET('Gastos com Pessoal'!$H$512,1,MATCH(1&amp;$B49,'Gastos com Pessoal'!$I$532:$AJ$532&amp;'Gastos com Pessoal'!$I$512:$AJ$512,0),10,1)),0)+_xlfn.IFNA(SUM((AI$3&gt;='Gastos com Pessoal'!$E$513:$E$522)*(AI$3&lt;='Gastos com Pessoal'!$F$513:$F$522)*(IF('Gastos com Pessoal'!$M$513:$M$522&lt;=AI$3,1,0))*OFFSET('Gastos com Pessoal'!$H$512,1,MATCH(2&amp;$B49,'Gastos com Pessoal'!$I$532:$AJ$532&amp;'Gastos com Pessoal'!$I$512:$AJ$512,0),10,1)),0)+_xlfn.IFNA(SUM((AI$3&gt;='Gastos com Pessoal'!$E$513:$E$522)*(AI$3&lt;='Gastos com Pessoal'!$F$513:$F$522)*(IF('Gastos com Pessoal'!$S$513:$S$522&lt;=AI$3,1,0))*OFFSET('Gastos com Pessoal'!$H$512,1,MATCH(3&amp;$B49,'Gastos com Pessoal'!$I$532:$AJ$532&amp;'Gastos com Pessoal'!$I$512:$AJ$512,0),10,1)),0)+_xlfn.IFNA(SUM((AI$3&gt;='Gastos com Pessoal'!$E$513:$E$522)*(AI$3&lt;='Gastos com Pessoal'!$F$513:$F$522)*(IF('Gastos com Pessoal'!$Y$513:$Y$522&lt;=AI$3,1,0))*OFFSET('Gastos com Pessoal'!$H$512,1,MATCH(4&amp;$B49,'Gastos com Pessoal'!$I$532:$AJ$532&amp;'Gastos com Pessoal'!$I$512:$AJ$512,0),10,1)),0)+_xlfn.IFNA(SUM((AI$3&gt;='Gastos com Pessoal'!$E$513:$E$522)*(AI$3&lt;='Gastos com Pessoal'!$F$513:$F$522)*(IF('Gastos com Pessoal'!$AE$513:$AE$522&lt;=AI$3,1,0))*OFFSET('Gastos com Pessoal'!$H$512,1,MATCH(5&amp;$B49,'Gastos com Pessoal'!$I$532:$AJ$532&amp;'Gastos com Pessoal'!$I$512:$AJ$512,0),10,1)),0)</f>
        <v>170729.27999999991</v>
      </c>
      <c r="AJ49" s="188">
        <f t="array" aca="1" ref="AJ49" ca="1">_xlfn.IFNA(SUM((AJ$3&gt;='Gastos com Pessoal'!$E$7:$E$506)*(AJ$3&lt;='Gastos com Pessoal'!$F$7:$F$506)*OFFSET('Encargos e Benefícios'!$D$5,1,MATCH($B49,'Encargos e Benefícios'!$E$5:$AB$5,0),500,1)),0)+_xlfn.IFNA(SUM((AJ$3&gt;='Gastos com Pessoal'!$E$513:$E$522)*(AJ$3&lt;='Gastos com Pessoal'!$F$513:$F$522)*OFFSET('Encargos e Benefícios'!$D$511,1,MATCH($B49,'Encargos e Benefícios'!$E$511:$AB$511,0),10,1)),0)+_xlfn.IFNA(SUM((AJ$3&gt;='Gastos com Pessoal'!$E$7:$E$506)*(AJ$3&lt;='Gastos com Pessoal'!$F$7:$F$506)*(IF('Gastos com Pessoal'!$G$7:$G$506&lt;=AJ$3,1,0))*OFFSET('Gastos com Pessoal'!$H$6,1,MATCH(1&amp;$B49,'Gastos com Pessoal'!$I$532:$AJ$532&amp;'Gastos com Pessoal'!$I$6:$AJ$6,0),500,1)),0)+_xlfn.IFNA(SUM((AJ$3&gt;='Gastos com Pessoal'!$E$7:$E$506)*(AJ$3&lt;='Gastos com Pessoal'!$F$7:$F$506)*(IF('Gastos com Pessoal'!$M$7:$M$506&lt;=AJ$3,1,0))*OFFSET('Gastos com Pessoal'!$H$6,1,MATCH(2&amp;$B49,'Gastos com Pessoal'!$I$532:$AJ$532&amp;'Gastos com Pessoal'!$I$6:$AJ$6,0),500,1)),0)+_xlfn.IFNA(SUM((AJ$3&gt;='Gastos com Pessoal'!$E$7:$E$506)*(AJ$3&lt;='Gastos com Pessoal'!$F$7:$F$506)*(IF('Gastos com Pessoal'!$S$7:$S$506&lt;=AJ$3,1,0))*OFFSET('Gastos com Pessoal'!$H$6,1,MATCH(3&amp;$B49,'Gastos com Pessoal'!$I$532:$AJ$532&amp;'Gastos com Pessoal'!$I$6:$AJ$6,0),500,1)),0)+_xlfn.IFNA(SUM((AJ$3&gt;='Gastos com Pessoal'!$E$7:$E$506)*(AJ$3&lt;='Gastos com Pessoal'!$F$7:$F$506)*(IF('Gastos com Pessoal'!$Y$7:$Y$506&lt;=AJ$3,1,0))*OFFSET('Gastos com Pessoal'!$H$6,1,MATCH(4&amp;$B49,'Gastos com Pessoal'!$I$532:$AJ$532&amp;'Gastos com Pessoal'!$I$6:$AJ$6,0),500,1)),0)+_xlfn.IFNA(SUM((AJ$3&gt;='Gastos com Pessoal'!$E$7:$E$506)*(AJ$3&lt;='Gastos com Pessoal'!$F$7:$F$506)*(IF('Gastos com Pessoal'!$AE$7:$AE$506&lt;=AJ$3,1,0))*OFFSET('Gastos com Pessoal'!$H$6,1,MATCH(5&amp;$B49,'Gastos com Pessoal'!$I$532:$AJ$532&amp;'Gastos com Pessoal'!$I$6:$AJ$6,0),500,1)),0)+_xlfn.IFNA(SUM((AJ$3&gt;='Gastos com Pessoal'!$E$513:$E$522)*(AJ$3&lt;='Gastos com Pessoal'!$F$513:$F$522)*(IF('Gastos com Pessoal'!$G$513:$G$522&lt;=AJ$3,1,0))*OFFSET('Gastos com Pessoal'!$H$512,1,MATCH(1&amp;$B49,'Gastos com Pessoal'!$I$532:$AJ$532&amp;'Gastos com Pessoal'!$I$512:$AJ$512,0),10,1)),0)+_xlfn.IFNA(SUM((AJ$3&gt;='Gastos com Pessoal'!$E$513:$E$522)*(AJ$3&lt;='Gastos com Pessoal'!$F$513:$F$522)*(IF('Gastos com Pessoal'!$M$513:$M$522&lt;=AJ$3,1,0))*OFFSET('Gastos com Pessoal'!$H$512,1,MATCH(2&amp;$B49,'Gastos com Pessoal'!$I$532:$AJ$532&amp;'Gastos com Pessoal'!$I$512:$AJ$512,0),10,1)),0)+_xlfn.IFNA(SUM((AJ$3&gt;='Gastos com Pessoal'!$E$513:$E$522)*(AJ$3&lt;='Gastos com Pessoal'!$F$513:$F$522)*(IF('Gastos com Pessoal'!$S$513:$S$522&lt;=AJ$3,1,0))*OFFSET('Gastos com Pessoal'!$H$512,1,MATCH(3&amp;$B49,'Gastos com Pessoal'!$I$532:$AJ$532&amp;'Gastos com Pessoal'!$I$512:$AJ$512,0),10,1)),0)+_xlfn.IFNA(SUM((AJ$3&gt;='Gastos com Pessoal'!$E$513:$E$522)*(AJ$3&lt;='Gastos com Pessoal'!$F$513:$F$522)*(IF('Gastos com Pessoal'!$Y$513:$Y$522&lt;=AJ$3,1,0))*OFFSET('Gastos com Pessoal'!$H$512,1,MATCH(4&amp;$B49,'Gastos com Pessoal'!$I$532:$AJ$532&amp;'Gastos com Pessoal'!$I$512:$AJ$512,0),10,1)),0)+_xlfn.IFNA(SUM((AJ$3&gt;='Gastos com Pessoal'!$E$513:$E$522)*(AJ$3&lt;='Gastos com Pessoal'!$F$513:$F$522)*(IF('Gastos com Pessoal'!$AE$513:$AE$522&lt;=AJ$3,1,0))*OFFSET('Gastos com Pessoal'!$H$512,1,MATCH(5&amp;$B49,'Gastos com Pessoal'!$I$532:$AJ$532&amp;'Gastos com Pessoal'!$I$512:$AJ$512,0),10,1)),0)</f>
        <v>170729.27999999991</v>
      </c>
      <c r="AK49" s="188">
        <f t="array" aca="1" ref="AK49" ca="1">_xlfn.IFNA(SUM((AK$3&gt;='Gastos com Pessoal'!$E$7:$E$506)*(AK$3&lt;='Gastos com Pessoal'!$F$7:$F$506)*OFFSET('Encargos e Benefícios'!$D$5,1,MATCH($B49,'Encargos e Benefícios'!$E$5:$AB$5,0),500,1)),0)+_xlfn.IFNA(SUM((AK$3&gt;='Gastos com Pessoal'!$E$513:$E$522)*(AK$3&lt;='Gastos com Pessoal'!$F$513:$F$522)*OFFSET('Encargos e Benefícios'!$D$511,1,MATCH($B49,'Encargos e Benefícios'!$E$511:$AB$511,0),10,1)),0)+_xlfn.IFNA(SUM((AK$3&gt;='Gastos com Pessoal'!$E$7:$E$506)*(AK$3&lt;='Gastos com Pessoal'!$F$7:$F$506)*(IF('Gastos com Pessoal'!$G$7:$G$506&lt;=AK$3,1,0))*OFFSET('Gastos com Pessoal'!$H$6,1,MATCH(1&amp;$B49,'Gastos com Pessoal'!$I$532:$AJ$532&amp;'Gastos com Pessoal'!$I$6:$AJ$6,0),500,1)),0)+_xlfn.IFNA(SUM((AK$3&gt;='Gastos com Pessoal'!$E$7:$E$506)*(AK$3&lt;='Gastos com Pessoal'!$F$7:$F$506)*(IF('Gastos com Pessoal'!$M$7:$M$506&lt;=AK$3,1,0))*OFFSET('Gastos com Pessoal'!$H$6,1,MATCH(2&amp;$B49,'Gastos com Pessoal'!$I$532:$AJ$532&amp;'Gastos com Pessoal'!$I$6:$AJ$6,0),500,1)),0)+_xlfn.IFNA(SUM((AK$3&gt;='Gastos com Pessoal'!$E$7:$E$506)*(AK$3&lt;='Gastos com Pessoal'!$F$7:$F$506)*(IF('Gastos com Pessoal'!$S$7:$S$506&lt;=AK$3,1,0))*OFFSET('Gastos com Pessoal'!$H$6,1,MATCH(3&amp;$B49,'Gastos com Pessoal'!$I$532:$AJ$532&amp;'Gastos com Pessoal'!$I$6:$AJ$6,0),500,1)),0)+_xlfn.IFNA(SUM((AK$3&gt;='Gastos com Pessoal'!$E$7:$E$506)*(AK$3&lt;='Gastos com Pessoal'!$F$7:$F$506)*(IF('Gastos com Pessoal'!$Y$7:$Y$506&lt;=AK$3,1,0))*OFFSET('Gastos com Pessoal'!$H$6,1,MATCH(4&amp;$B49,'Gastos com Pessoal'!$I$532:$AJ$532&amp;'Gastos com Pessoal'!$I$6:$AJ$6,0),500,1)),0)+_xlfn.IFNA(SUM((AK$3&gt;='Gastos com Pessoal'!$E$7:$E$506)*(AK$3&lt;='Gastos com Pessoal'!$F$7:$F$506)*(IF('Gastos com Pessoal'!$AE$7:$AE$506&lt;=AK$3,1,0))*OFFSET('Gastos com Pessoal'!$H$6,1,MATCH(5&amp;$B49,'Gastos com Pessoal'!$I$532:$AJ$532&amp;'Gastos com Pessoal'!$I$6:$AJ$6,0),500,1)),0)+_xlfn.IFNA(SUM((AK$3&gt;='Gastos com Pessoal'!$E$513:$E$522)*(AK$3&lt;='Gastos com Pessoal'!$F$513:$F$522)*(IF('Gastos com Pessoal'!$G$513:$G$522&lt;=AK$3,1,0))*OFFSET('Gastos com Pessoal'!$H$512,1,MATCH(1&amp;$B49,'Gastos com Pessoal'!$I$532:$AJ$532&amp;'Gastos com Pessoal'!$I$512:$AJ$512,0),10,1)),0)+_xlfn.IFNA(SUM((AK$3&gt;='Gastos com Pessoal'!$E$513:$E$522)*(AK$3&lt;='Gastos com Pessoal'!$F$513:$F$522)*(IF('Gastos com Pessoal'!$M$513:$M$522&lt;=AK$3,1,0))*OFFSET('Gastos com Pessoal'!$H$512,1,MATCH(2&amp;$B49,'Gastos com Pessoal'!$I$532:$AJ$532&amp;'Gastos com Pessoal'!$I$512:$AJ$512,0),10,1)),0)+_xlfn.IFNA(SUM((AK$3&gt;='Gastos com Pessoal'!$E$513:$E$522)*(AK$3&lt;='Gastos com Pessoal'!$F$513:$F$522)*(IF('Gastos com Pessoal'!$S$513:$S$522&lt;=AK$3,1,0))*OFFSET('Gastos com Pessoal'!$H$512,1,MATCH(3&amp;$B49,'Gastos com Pessoal'!$I$532:$AJ$532&amp;'Gastos com Pessoal'!$I$512:$AJ$512,0),10,1)),0)+_xlfn.IFNA(SUM((AK$3&gt;='Gastos com Pessoal'!$E$513:$E$522)*(AK$3&lt;='Gastos com Pessoal'!$F$513:$F$522)*(IF('Gastos com Pessoal'!$Y$513:$Y$522&lt;=AK$3,1,0))*OFFSET('Gastos com Pessoal'!$H$512,1,MATCH(4&amp;$B49,'Gastos com Pessoal'!$I$532:$AJ$532&amp;'Gastos com Pessoal'!$I$512:$AJ$512,0),10,1)),0)+_xlfn.IFNA(SUM((AK$3&gt;='Gastos com Pessoal'!$E$513:$E$522)*(AK$3&lt;='Gastos com Pessoal'!$F$513:$F$522)*(IF('Gastos com Pessoal'!$AE$513:$AE$522&lt;=AK$3,1,0))*OFFSET('Gastos com Pessoal'!$H$512,1,MATCH(5&amp;$B49,'Gastos com Pessoal'!$I$532:$AJ$532&amp;'Gastos com Pessoal'!$I$512:$AJ$512,0),10,1)),0)</f>
        <v>170729.27999999991</v>
      </c>
      <c r="AL49" s="188">
        <f t="array" aca="1" ref="AL49" ca="1">_xlfn.IFNA(SUM((AL$3&gt;='Gastos com Pessoal'!$E$7:$E$506)*(AL$3&lt;='Gastos com Pessoal'!$F$7:$F$506)*OFFSET('Encargos e Benefícios'!$D$5,1,MATCH($B49,'Encargos e Benefícios'!$E$5:$AB$5,0),500,1)),0)+_xlfn.IFNA(SUM((AL$3&gt;='Gastos com Pessoal'!$E$513:$E$522)*(AL$3&lt;='Gastos com Pessoal'!$F$513:$F$522)*OFFSET('Encargos e Benefícios'!$D$511,1,MATCH($B49,'Encargos e Benefícios'!$E$511:$AB$511,0),10,1)),0)+_xlfn.IFNA(SUM((AL$3&gt;='Gastos com Pessoal'!$E$7:$E$506)*(AL$3&lt;='Gastos com Pessoal'!$F$7:$F$506)*(IF('Gastos com Pessoal'!$G$7:$G$506&lt;=AL$3,1,0))*OFFSET('Gastos com Pessoal'!$H$6,1,MATCH(1&amp;$B49,'Gastos com Pessoal'!$I$532:$AJ$532&amp;'Gastos com Pessoal'!$I$6:$AJ$6,0),500,1)),0)+_xlfn.IFNA(SUM((AL$3&gt;='Gastos com Pessoal'!$E$7:$E$506)*(AL$3&lt;='Gastos com Pessoal'!$F$7:$F$506)*(IF('Gastos com Pessoal'!$M$7:$M$506&lt;=AL$3,1,0))*OFFSET('Gastos com Pessoal'!$H$6,1,MATCH(2&amp;$B49,'Gastos com Pessoal'!$I$532:$AJ$532&amp;'Gastos com Pessoal'!$I$6:$AJ$6,0),500,1)),0)+_xlfn.IFNA(SUM((AL$3&gt;='Gastos com Pessoal'!$E$7:$E$506)*(AL$3&lt;='Gastos com Pessoal'!$F$7:$F$506)*(IF('Gastos com Pessoal'!$S$7:$S$506&lt;=AL$3,1,0))*OFFSET('Gastos com Pessoal'!$H$6,1,MATCH(3&amp;$B49,'Gastos com Pessoal'!$I$532:$AJ$532&amp;'Gastos com Pessoal'!$I$6:$AJ$6,0),500,1)),0)+_xlfn.IFNA(SUM((AL$3&gt;='Gastos com Pessoal'!$E$7:$E$506)*(AL$3&lt;='Gastos com Pessoal'!$F$7:$F$506)*(IF('Gastos com Pessoal'!$Y$7:$Y$506&lt;=AL$3,1,0))*OFFSET('Gastos com Pessoal'!$H$6,1,MATCH(4&amp;$B49,'Gastos com Pessoal'!$I$532:$AJ$532&amp;'Gastos com Pessoal'!$I$6:$AJ$6,0),500,1)),0)+_xlfn.IFNA(SUM((AL$3&gt;='Gastos com Pessoal'!$E$7:$E$506)*(AL$3&lt;='Gastos com Pessoal'!$F$7:$F$506)*(IF('Gastos com Pessoal'!$AE$7:$AE$506&lt;=AL$3,1,0))*OFFSET('Gastos com Pessoal'!$H$6,1,MATCH(5&amp;$B49,'Gastos com Pessoal'!$I$532:$AJ$532&amp;'Gastos com Pessoal'!$I$6:$AJ$6,0),500,1)),0)+_xlfn.IFNA(SUM((AL$3&gt;='Gastos com Pessoal'!$E$513:$E$522)*(AL$3&lt;='Gastos com Pessoal'!$F$513:$F$522)*(IF('Gastos com Pessoal'!$G$513:$G$522&lt;=AL$3,1,0))*OFFSET('Gastos com Pessoal'!$H$512,1,MATCH(1&amp;$B49,'Gastos com Pessoal'!$I$532:$AJ$532&amp;'Gastos com Pessoal'!$I$512:$AJ$512,0),10,1)),0)+_xlfn.IFNA(SUM((AL$3&gt;='Gastos com Pessoal'!$E$513:$E$522)*(AL$3&lt;='Gastos com Pessoal'!$F$513:$F$522)*(IF('Gastos com Pessoal'!$M$513:$M$522&lt;=AL$3,1,0))*OFFSET('Gastos com Pessoal'!$H$512,1,MATCH(2&amp;$B49,'Gastos com Pessoal'!$I$532:$AJ$532&amp;'Gastos com Pessoal'!$I$512:$AJ$512,0),10,1)),0)+_xlfn.IFNA(SUM((AL$3&gt;='Gastos com Pessoal'!$E$513:$E$522)*(AL$3&lt;='Gastos com Pessoal'!$F$513:$F$522)*(IF('Gastos com Pessoal'!$S$513:$S$522&lt;=AL$3,1,0))*OFFSET('Gastos com Pessoal'!$H$512,1,MATCH(3&amp;$B49,'Gastos com Pessoal'!$I$532:$AJ$532&amp;'Gastos com Pessoal'!$I$512:$AJ$512,0),10,1)),0)+_xlfn.IFNA(SUM((AL$3&gt;='Gastos com Pessoal'!$E$513:$E$522)*(AL$3&lt;='Gastos com Pessoal'!$F$513:$F$522)*(IF('Gastos com Pessoal'!$Y$513:$Y$522&lt;=AL$3,1,0))*OFFSET('Gastos com Pessoal'!$H$512,1,MATCH(4&amp;$B49,'Gastos com Pessoal'!$I$532:$AJ$532&amp;'Gastos com Pessoal'!$I$512:$AJ$512,0),10,1)),0)+_xlfn.IFNA(SUM((AL$3&gt;='Gastos com Pessoal'!$E$513:$E$522)*(AL$3&lt;='Gastos com Pessoal'!$F$513:$F$522)*(IF('Gastos com Pessoal'!$AE$513:$AE$522&lt;=AL$3,1,0))*OFFSET('Gastos com Pessoal'!$H$512,1,MATCH(5&amp;$B49,'Gastos com Pessoal'!$I$532:$AJ$532&amp;'Gastos com Pessoal'!$I$512:$AJ$512,0),10,1)),0)</f>
        <v>170729.27999999991</v>
      </c>
      <c r="AM49" s="188">
        <f t="array" aca="1" ref="AM49" ca="1">_xlfn.IFNA(SUM((AM$3&gt;='Gastos com Pessoal'!$E$7:$E$506)*(AM$3&lt;='Gastos com Pessoal'!$F$7:$F$506)*OFFSET('Encargos e Benefícios'!$D$5,1,MATCH($B49,'Encargos e Benefícios'!$E$5:$AB$5,0),500,1)),0)+_xlfn.IFNA(SUM((AM$3&gt;='Gastos com Pessoal'!$E$513:$E$522)*(AM$3&lt;='Gastos com Pessoal'!$F$513:$F$522)*OFFSET('Encargos e Benefícios'!$D$511,1,MATCH($B49,'Encargos e Benefícios'!$E$511:$AB$511,0),10,1)),0)+_xlfn.IFNA(SUM((AM$3&gt;='Gastos com Pessoal'!$E$7:$E$506)*(AM$3&lt;='Gastos com Pessoal'!$F$7:$F$506)*(IF('Gastos com Pessoal'!$G$7:$G$506&lt;=AM$3,1,0))*OFFSET('Gastos com Pessoal'!$H$6,1,MATCH(1&amp;$B49,'Gastos com Pessoal'!$I$532:$AJ$532&amp;'Gastos com Pessoal'!$I$6:$AJ$6,0),500,1)),0)+_xlfn.IFNA(SUM((AM$3&gt;='Gastos com Pessoal'!$E$7:$E$506)*(AM$3&lt;='Gastos com Pessoal'!$F$7:$F$506)*(IF('Gastos com Pessoal'!$M$7:$M$506&lt;=AM$3,1,0))*OFFSET('Gastos com Pessoal'!$H$6,1,MATCH(2&amp;$B49,'Gastos com Pessoal'!$I$532:$AJ$532&amp;'Gastos com Pessoal'!$I$6:$AJ$6,0),500,1)),0)+_xlfn.IFNA(SUM((AM$3&gt;='Gastos com Pessoal'!$E$7:$E$506)*(AM$3&lt;='Gastos com Pessoal'!$F$7:$F$506)*(IF('Gastos com Pessoal'!$S$7:$S$506&lt;=AM$3,1,0))*OFFSET('Gastos com Pessoal'!$H$6,1,MATCH(3&amp;$B49,'Gastos com Pessoal'!$I$532:$AJ$532&amp;'Gastos com Pessoal'!$I$6:$AJ$6,0),500,1)),0)+_xlfn.IFNA(SUM((AM$3&gt;='Gastos com Pessoal'!$E$7:$E$506)*(AM$3&lt;='Gastos com Pessoal'!$F$7:$F$506)*(IF('Gastos com Pessoal'!$Y$7:$Y$506&lt;=AM$3,1,0))*OFFSET('Gastos com Pessoal'!$H$6,1,MATCH(4&amp;$B49,'Gastos com Pessoal'!$I$532:$AJ$532&amp;'Gastos com Pessoal'!$I$6:$AJ$6,0),500,1)),0)+_xlfn.IFNA(SUM((AM$3&gt;='Gastos com Pessoal'!$E$7:$E$506)*(AM$3&lt;='Gastos com Pessoal'!$F$7:$F$506)*(IF('Gastos com Pessoal'!$AE$7:$AE$506&lt;=AM$3,1,0))*OFFSET('Gastos com Pessoal'!$H$6,1,MATCH(5&amp;$B49,'Gastos com Pessoal'!$I$532:$AJ$532&amp;'Gastos com Pessoal'!$I$6:$AJ$6,0),500,1)),0)+_xlfn.IFNA(SUM((AM$3&gt;='Gastos com Pessoal'!$E$513:$E$522)*(AM$3&lt;='Gastos com Pessoal'!$F$513:$F$522)*(IF('Gastos com Pessoal'!$G$513:$G$522&lt;=AM$3,1,0))*OFFSET('Gastos com Pessoal'!$H$512,1,MATCH(1&amp;$B49,'Gastos com Pessoal'!$I$532:$AJ$532&amp;'Gastos com Pessoal'!$I$512:$AJ$512,0),10,1)),0)+_xlfn.IFNA(SUM((AM$3&gt;='Gastos com Pessoal'!$E$513:$E$522)*(AM$3&lt;='Gastos com Pessoal'!$F$513:$F$522)*(IF('Gastos com Pessoal'!$M$513:$M$522&lt;=AM$3,1,0))*OFFSET('Gastos com Pessoal'!$H$512,1,MATCH(2&amp;$B49,'Gastos com Pessoal'!$I$532:$AJ$532&amp;'Gastos com Pessoal'!$I$512:$AJ$512,0),10,1)),0)+_xlfn.IFNA(SUM((AM$3&gt;='Gastos com Pessoal'!$E$513:$E$522)*(AM$3&lt;='Gastos com Pessoal'!$F$513:$F$522)*(IF('Gastos com Pessoal'!$S$513:$S$522&lt;=AM$3,1,0))*OFFSET('Gastos com Pessoal'!$H$512,1,MATCH(3&amp;$B49,'Gastos com Pessoal'!$I$532:$AJ$532&amp;'Gastos com Pessoal'!$I$512:$AJ$512,0),10,1)),0)+_xlfn.IFNA(SUM((AM$3&gt;='Gastos com Pessoal'!$E$513:$E$522)*(AM$3&lt;='Gastos com Pessoal'!$F$513:$F$522)*(IF('Gastos com Pessoal'!$Y$513:$Y$522&lt;=AM$3,1,0))*OFFSET('Gastos com Pessoal'!$H$512,1,MATCH(4&amp;$B49,'Gastos com Pessoal'!$I$532:$AJ$532&amp;'Gastos com Pessoal'!$I$512:$AJ$512,0),10,1)),0)+_xlfn.IFNA(SUM((AM$3&gt;='Gastos com Pessoal'!$E$513:$E$522)*(AM$3&lt;='Gastos com Pessoal'!$F$513:$F$522)*(IF('Gastos com Pessoal'!$AE$513:$AE$522&lt;=AM$3,1,0))*OFFSET('Gastos com Pessoal'!$H$512,1,MATCH(5&amp;$B49,'Gastos com Pessoal'!$I$532:$AJ$532&amp;'Gastos com Pessoal'!$I$512:$AJ$512,0),10,1)),0)</f>
        <v>170729.27999999991</v>
      </c>
      <c r="AN49" s="188">
        <f t="array" aca="1" ref="AN49" ca="1">_xlfn.IFNA(SUM((AN$3&gt;='Gastos com Pessoal'!$E$7:$E$506)*(AN$3&lt;='Gastos com Pessoal'!$F$7:$F$506)*OFFSET('Encargos e Benefícios'!$D$5,1,MATCH($B49,'Encargos e Benefícios'!$E$5:$AB$5,0),500,1)),0)+_xlfn.IFNA(SUM((AN$3&gt;='Gastos com Pessoal'!$E$513:$E$522)*(AN$3&lt;='Gastos com Pessoal'!$F$513:$F$522)*OFFSET('Encargos e Benefícios'!$D$511,1,MATCH($B49,'Encargos e Benefícios'!$E$511:$AB$511,0),10,1)),0)+_xlfn.IFNA(SUM((AN$3&gt;='Gastos com Pessoal'!$E$7:$E$506)*(AN$3&lt;='Gastos com Pessoal'!$F$7:$F$506)*(IF('Gastos com Pessoal'!$G$7:$G$506&lt;=AN$3,1,0))*OFFSET('Gastos com Pessoal'!$H$6,1,MATCH(1&amp;$B49,'Gastos com Pessoal'!$I$532:$AJ$532&amp;'Gastos com Pessoal'!$I$6:$AJ$6,0),500,1)),0)+_xlfn.IFNA(SUM((AN$3&gt;='Gastos com Pessoal'!$E$7:$E$506)*(AN$3&lt;='Gastos com Pessoal'!$F$7:$F$506)*(IF('Gastos com Pessoal'!$M$7:$M$506&lt;=AN$3,1,0))*OFFSET('Gastos com Pessoal'!$H$6,1,MATCH(2&amp;$B49,'Gastos com Pessoal'!$I$532:$AJ$532&amp;'Gastos com Pessoal'!$I$6:$AJ$6,0),500,1)),0)+_xlfn.IFNA(SUM((AN$3&gt;='Gastos com Pessoal'!$E$7:$E$506)*(AN$3&lt;='Gastos com Pessoal'!$F$7:$F$506)*(IF('Gastos com Pessoal'!$S$7:$S$506&lt;=AN$3,1,0))*OFFSET('Gastos com Pessoal'!$H$6,1,MATCH(3&amp;$B49,'Gastos com Pessoal'!$I$532:$AJ$532&amp;'Gastos com Pessoal'!$I$6:$AJ$6,0),500,1)),0)+_xlfn.IFNA(SUM((AN$3&gt;='Gastos com Pessoal'!$E$7:$E$506)*(AN$3&lt;='Gastos com Pessoal'!$F$7:$F$506)*(IF('Gastos com Pessoal'!$Y$7:$Y$506&lt;=AN$3,1,0))*OFFSET('Gastos com Pessoal'!$H$6,1,MATCH(4&amp;$B49,'Gastos com Pessoal'!$I$532:$AJ$532&amp;'Gastos com Pessoal'!$I$6:$AJ$6,0),500,1)),0)+_xlfn.IFNA(SUM((AN$3&gt;='Gastos com Pessoal'!$E$7:$E$506)*(AN$3&lt;='Gastos com Pessoal'!$F$7:$F$506)*(IF('Gastos com Pessoal'!$AE$7:$AE$506&lt;=AN$3,1,0))*OFFSET('Gastos com Pessoal'!$H$6,1,MATCH(5&amp;$B49,'Gastos com Pessoal'!$I$532:$AJ$532&amp;'Gastos com Pessoal'!$I$6:$AJ$6,0),500,1)),0)+_xlfn.IFNA(SUM((AN$3&gt;='Gastos com Pessoal'!$E$513:$E$522)*(AN$3&lt;='Gastos com Pessoal'!$F$513:$F$522)*(IF('Gastos com Pessoal'!$G$513:$G$522&lt;=AN$3,1,0))*OFFSET('Gastos com Pessoal'!$H$512,1,MATCH(1&amp;$B49,'Gastos com Pessoal'!$I$532:$AJ$532&amp;'Gastos com Pessoal'!$I$512:$AJ$512,0),10,1)),0)+_xlfn.IFNA(SUM((AN$3&gt;='Gastos com Pessoal'!$E$513:$E$522)*(AN$3&lt;='Gastos com Pessoal'!$F$513:$F$522)*(IF('Gastos com Pessoal'!$M$513:$M$522&lt;=AN$3,1,0))*OFFSET('Gastos com Pessoal'!$H$512,1,MATCH(2&amp;$B49,'Gastos com Pessoal'!$I$532:$AJ$532&amp;'Gastos com Pessoal'!$I$512:$AJ$512,0),10,1)),0)+_xlfn.IFNA(SUM((AN$3&gt;='Gastos com Pessoal'!$E$513:$E$522)*(AN$3&lt;='Gastos com Pessoal'!$F$513:$F$522)*(IF('Gastos com Pessoal'!$S$513:$S$522&lt;=AN$3,1,0))*OFFSET('Gastos com Pessoal'!$H$512,1,MATCH(3&amp;$B49,'Gastos com Pessoal'!$I$532:$AJ$532&amp;'Gastos com Pessoal'!$I$512:$AJ$512,0),10,1)),0)+_xlfn.IFNA(SUM((AN$3&gt;='Gastos com Pessoal'!$E$513:$E$522)*(AN$3&lt;='Gastos com Pessoal'!$F$513:$F$522)*(IF('Gastos com Pessoal'!$Y$513:$Y$522&lt;=AN$3,1,0))*OFFSET('Gastos com Pessoal'!$H$512,1,MATCH(4&amp;$B49,'Gastos com Pessoal'!$I$532:$AJ$532&amp;'Gastos com Pessoal'!$I$512:$AJ$512,0),10,1)),0)+_xlfn.IFNA(SUM((AN$3&gt;='Gastos com Pessoal'!$E$513:$E$522)*(AN$3&lt;='Gastos com Pessoal'!$F$513:$F$522)*(IF('Gastos com Pessoal'!$AE$513:$AE$522&lt;=AN$3,1,0))*OFFSET('Gastos com Pessoal'!$H$512,1,MATCH(5&amp;$B49,'Gastos com Pessoal'!$I$532:$AJ$532&amp;'Gastos com Pessoal'!$I$512:$AJ$512,0),10,1)),0)</f>
        <v>170729.27999999991</v>
      </c>
      <c r="AO49" s="188">
        <f t="array" aca="1" ref="AO49" ca="1">_xlfn.IFNA(SUM((AO$3&gt;='Gastos com Pessoal'!$E$7:$E$506)*(AO$3&lt;='Gastos com Pessoal'!$F$7:$F$506)*OFFSET('Encargos e Benefícios'!$D$5,1,MATCH($B49,'Encargos e Benefícios'!$E$5:$AB$5,0),500,1)),0)+_xlfn.IFNA(SUM((AO$3&gt;='Gastos com Pessoal'!$E$513:$E$522)*(AO$3&lt;='Gastos com Pessoal'!$F$513:$F$522)*OFFSET('Encargos e Benefícios'!$D$511,1,MATCH($B49,'Encargos e Benefícios'!$E$511:$AB$511,0),10,1)),0)+_xlfn.IFNA(SUM((AO$3&gt;='Gastos com Pessoal'!$E$7:$E$506)*(AO$3&lt;='Gastos com Pessoal'!$F$7:$F$506)*(IF('Gastos com Pessoal'!$G$7:$G$506&lt;=AO$3,1,0))*OFFSET('Gastos com Pessoal'!$H$6,1,MATCH(1&amp;$B49,'Gastos com Pessoal'!$I$532:$AJ$532&amp;'Gastos com Pessoal'!$I$6:$AJ$6,0),500,1)),0)+_xlfn.IFNA(SUM((AO$3&gt;='Gastos com Pessoal'!$E$7:$E$506)*(AO$3&lt;='Gastos com Pessoal'!$F$7:$F$506)*(IF('Gastos com Pessoal'!$M$7:$M$506&lt;=AO$3,1,0))*OFFSET('Gastos com Pessoal'!$H$6,1,MATCH(2&amp;$B49,'Gastos com Pessoal'!$I$532:$AJ$532&amp;'Gastos com Pessoal'!$I$6:$AJ$6,0),500,1)),0)+_xlfn.IFNA(SUM((AO$3&gt;='Gastos com Pessoal'!$E$7:$E$506)*(AO$3&lt;='Gastos com Pessoal'!$F$7:$F$506)*(IF('Gastos com Pessoal'!$S$7:$S$506&lt;=AO$3,1,0))*OFFSET('Gastos com Pessoal'!$H$6,1,MATCH(3&amp;$B49,'Gastos com Pessoal'!$I$532:$AJ$532&amp;'Gastos com Pessoal'!$I$6:$AJ$6,0),500,1)),0)+_xlfn.IFNA(SUM((AO$3&gt;='Gastos com Pessoal'!$E$7:$E$506)*(AO$3&lt;='Gastos com Pessoal'!$F$7:$F$506)*(IF('Gastos com Pessoal'!$Y$7:$Y$506&lt;=AO$3,1,0))*OFFSET('Gastos com Pessoal'!$H$6,1,MATCH(4&amp;$B49,'Gastos com Pessoal'!$I$532:$AJ$532&amp;'Gastos com Pessoal'!$I$6:$AJ$6,0),500,1)),0)+_xlfn.IFNA(SUM((AO$3&gt;='Gastos com Pessoal'!$E$7:$E$506)*(AO$3&lt;='Gastos com Pessoal'!$F$7:$F$506)*(IF('Gastos com Pessoal'!$AE$7:$AE$506&lt;=AO$3,1,0))*OFFSET('Gastos com Pessoal'!$H$6,1,MATCH(5&amp;$B49,'Gastos com Pessoal'!$I$532:$AJ$532&amp;'Gastos com Pessoal'!$I$6:$AJ$6,0),500,1)),0)+_xlfn.IFNA(SUM((AO$3&gt;='Gastos com Pessoal'!$E$513:$E$522)*(AO$3&lt;='Gastos com Pessoal'!$F$513:$F$522)*(IF('Gastos com Pessoal'!$G$513:$G$522&lt;=AO$3,1,0))*OFFSET('Gastos com Pessoal'!$H$512,1,MATCH(1&amp;$B49,'Gastos com Pessoal'!$I$532:$AJ$532&amp;'Gastos com Pessoal'!$I$512:$AJ$512,0),10,1)),0)+_xlfn.IFNA(SUM((AO$3&gt;='Gastos com Pessoal'!$E$513:$E$522)*(AO$3&lt;='Gastos com Pessoal'!$F$513:$F$522)*(IF('Gastos com Pessoal'!$M$513:$M$522&lt;=AO$3,1,0))*OFFSET('Gastos com Pessoal'!$H$512,1,MATCH(2&amp;$B49,'Gastos com Pessoal'!$I$532:$AJ$532&amp;'Gastos com Pessoal'!$I$512:$AJ$512,0),10,1)),0)+_xlfn.IFNA(SUM((AO$3&gt;='Gastos com Pessoal'!$E$513:$E$522)*(AO$3&lt;='Gastos com Pessoal'!$F$513:$F$522)*(IF('Gastos com Pessoal'!$S$513:$S$522&lt;=AO$3,1,0))*OFFSET('Gastos com Pessoal'!$H$512,1,MATCH(3&amp;$B49,'Gastos com Pessoal'!$I$532:$AJ$532&amp;'Gastos com Pessoal'!$I$512:$AJ$512,0),10,1)),0)+_xlfn.IFNA(SUM((AO$3&gt;='Gastos com Pessoal'!$E$513:$E$522)*(AO$3&lt;='Gastos com Pessoal'!$F$513:$F$522)*(IF('Gastos com Pessoal'!$Y$513:$Y$522&lt;=AO$3,1,0))*OFFSET('Gastos com Pessoal'!$H$512,1,MATCH(4&amp;$B49,'Gastos com Pessoal'!$I$532:$AJ$532&amp;'Gastos com Pessoal'!$I$512:$AJ$512,0),10,1)),0)+_xlfn.IFNA(SUM((AO$3&gt;='Gastos com Pessoal'!$E$513:$E$522)*(AO$3&lt;='Gastos com Pessoal'!$F$513:$F$522)*(IF('Gastos com Pessoal'!$AE$513:$AE$522&lt;=AO$3,1,0))*OFFSET('Gastos com Pessoal'!$H$512,1,MATCH(5&amp;$B49,'Gastos com Pessoal'!$I$532:$AJ$532&amp;'Gastos com Pessoal'!$I$512:$AJ$512,0),10,1)),0)</f>
        <v>170729.27999999991</v>
      </c>
      <c r="AP49" s="188">
        <f t="array" aca="1" ref="AP49" ca="1">_xlfn.IFNA(SUM((AP$3&gt;='Gastos com Pessoal'!$E$7:$E$506)*(AP$3&lt;='Gastos com Pessoal'!$F$7:$F$506)*OFFSET('Encargos e Benefícios'!$D$5,1,MATCH($B49,'Encargos e Benefícios'!$E$5:$AB$5,0),500,1)),0)+_xlfn.IFNA(SUM((AP$3&gt;='Gastos com Pessoal'!$E$513:$E$522)*(AP$3&lt;='Gastos com Pessoal'!$F$513:$F$522)*OFFSET('Encargos e Benefícios'!$D$511,1,MATCH($B49,'Encargos e Benefícios'!$E$511:$AB$511,0),10,1)),0)+_xlfn.IFNA(SUM((AP$3&gt;='Gastos com Pessoal'!$E$7:$E$506)*(AP$3&lt;='Gastos com Pessoal'!$F$7:$F$506)*(IF('Gastos com Pessoal'!$G$7:$G$506&lt;=AP$3,1,0))*OFFSET('Gastos com Pessoal'!$H$6,1,MATCH(1&amp;$B49,'Gastos com Pessoal'!$I$532:$AJ$532&amp;'Gastos com Pessoal'!$I$6:$AJ$6,0),500,1)),0)+_xlfn.IFNA(SUM((AP$3&gt;='Gastos com Pessoal'!$E$7:$E$506)*(AP$3&lt;='Gastos com Pessoal'!$F$7:$F$506)*(IF('Gastos com Pessoal'!$M$7:$M$506&lt;=AP$3,1,0))*OFFSET('Gastos com Pessoal'!$H$6,1,MATCH(2&amp;$B49,'Gastos com Pessoal'!$I$532:$AJ$532&amp;'Gastos com Pessoal'!$I$6:$AJ$6,0),500,1)),0)+_xlfn.IFNA(SUM((AP$3&gt;='Gastos com Pessoal'!$E$7:$E$506)*(AP$3&lt;='Gastos com Pessoal'!$F$7:$F$506)*(IF('Gastos com Pessoal'!$S$7:$S$506&lt;=AP$3,1,0))*OFFSET('Gastos com Pessoal'!$H$6,1,MATCH(3&amp;$B49,'Gastos com Pessoal'!$I$532:$AJ$532&amp;'Gastos com Pessoal'!$I$6:$AJ$6,0),500,1)),0)+_xlfn.IFNA(SUM((AP$3&gt;='Gastos com Pessoal'!$E$7:$E$506)*(AP$3&lt;='Gastos com Pessoal'!$F$7:$F$506)*(IF('Gastos com Pessoal'!$Y$7:$Y$506&lt;=AP$3,1,0))*OFFSET('Gastos com Pessoal'!$H$6,1,MATCH(4&amp;$B49,'Gastos com Pessoal'!$I$532:$AJ$532&amp;'Gastos com Pessoal'!$I$6:$AJ$6,0),500,1)),0)+_xlfn.IFNA(SUM((AP$3&gt;='Gastos com Pessoal'!$E$7:$E$506)*(AP$3&lt;='Gastos com Pessoal'!$F$7:$F$506)*(IF('Gastos com Pessoal'!$AE$7:$AE$506&lt;=AP$3,1,0))*OFFSET('Gastos com Pessoal'!$H$6,1,MATCH(5&amp;$B49,'Gastos com Pessoal'!$I$532:$AJ$532&amp;'Gastos com Pessoal'!$I$6:$AJ$6,0),500,1)),0)+_xlfn.IFNA(SUM((AP$3&gt;='Gastos com Pessoal'!$E$513:$E$522)*(AP$3&lt;='Gastos com Pessoal'!$F$513:$F$522)*(IF('Gastos com Pessoal'!$G$513:$G$522&lt;=AP$3,1,0))*OFFSET('Gastos com Pessoal'!$H$512,1,MATCH(1&amp;$B49,'Gastos com Pessoal'!$I$532:$AJ$532&amp;'Gastos com Pessoal'!$I$512:$AJ$512,0),10,1)),0)+_xlfn.IFNA(SUM((AP$3&gt;='Gastos com Pessoal'!$E$513:$E$522)*(AP$3&lt;='Gastos com Pessoal'!$F$513:$F$522)*(IF('Gastos com Pessoal'!$M$513:$M$522&lt;=AP$3,1,0))*OFFSET('Gastos com Pessoal'!$H$512,1,MATCH(2&amp;$B49,'Gastos com Pessoal'!$I$532:$AJ$532&amp;'Gastos com Pessoal'!$I$512:$AJ$512,0),10,1)),0)+_xlfn.IFNA(SUM((AP$3&gt;='Gastos com Pessoal'!$E$513:$E$522)*(AP$3&lt;='Gastos com Pessoal'!$F$513:$F$522)*(IF('Gastos com Pessoal'!$S$513:$S$522&lt;=AP$3,1,0))*OFFSET('Gastos com Pessoal'!$H$512,1,MATCH(3&amp;$B49,'Gastos com Pessoal'!$I$532:$AJ$532&amp;'Gastos com Pessoal'!$I$512:$AJ$512,0),10,1)),0)+_xlfn.IFNA(SUM((AP$3&gt;='Gastos com Pessoal'!$E$513:$E$522)*(AP$3&lt;='Gastos com Pessoal'!$F$513:$F$522)*(IF('Gastos com Pessoal'!$Y$513:$Y$522&lt;=AP$3,1,0))*OFFSET('Gastos com Pessoal'!$H$512,1,MATCH(4&amp;$B49,'Gastos com Pessoal'!$I$532:$AJ$532&amp;'Gastos com Pessoal'!$I$512:$AJ$512,0),10,1)),0)+_xlfn.IFNA(SUM((AP$3&gt;='Gastos com Pessoal'!$E$513:$E$522)*(AP$3&lt;='Gastos com Pessoal'!$F$513:$F$522)*(IF('Gastos com Pessoal'!$AE$513:$AE$522&lt;=AP$3,1,0))*OFFSET('Gastos com Pessoal'!$H$512,1,MATCH(5&amp;$B49,'Gastos com Pessoal'!$I$532:$AJ$532&amp;'Gastos com Pessoal'!$I$512:$AJ$512,0),10,1)),0)</f>
        <v>170729.27999999991</v>
      </c>
      <c r="AQ49" s="188">
        <f t="array" aca="1" ref="AQ49" ca="1">_xlfn.IFNA(SUM((AQ$3&gt;='Gastos com Pessoal'!$E$7:$E$506)*(AQ$3&lt;='Gastos com Pessoal'!$F$7:$F$506)*OFFSET('Encargos e Benefícios'!$D$5,1,MATCH($B49,'Encargos e Benefícios'!$E$5:$AB$5,0),500,1)),0)+_xlfn.IFNA(SUM((AQ$3&gt;='Gastos com Pessoal'!$E$513:$E$522)*(AQ$3&lt;='Gastos com Pessoal'!$F$513:$F$522)*OFFSET('Encargos e Benefícios'!$D$511,1,MATCH($B49,'Encargos e Benefícios'!$E$511:$AB$511,0),10,1)),0)+_xlfn.IFNA(SUM((AQ$3&gt;='Gastos com Pessoal'!$E$7:$E$506)*(AQ$3&lt;='Gastos com Pessoal'!$F$7:$F$506)*(IF('Gastos com Pessoal'!$G$7:$G$506&lt;=AQ$3,1,0))*OFFSET('Gastos com Pessoal'!$H$6,1,MATCH(1&amp;$B49,'Gastos com Pessoal'!$I$532:$AJ$532&amp;'Gastos com Pessoal'!$I$6:$AJ$6,0),500,1)),0)+_xlfn.IFNA(SUM((AQ$3&gt;='Gastos com Pessoal'!$E$7:$E$506)*(AQ$3&lt;='Gastos com Pessoal'!$F$7:$F$506)*(IF('Gastos com Pessoal'!$M$7:$M$506&lt;=AQ$3,1,0))*OFFSET('Gastos com Pessoal'!$H$6,1,MATCH(2&amp;$B49,'Gastos com Pessoal'!$I$532:$AJ$532&amp;'Gastos com Pessoal'!$I$6:$AJ$6,0),500,1)),0)+_xlfn.IFNA(SUM((AQ$3&gt;='Gastos com Pessoal'!$E$7:$E$506)*(AQ$3&lt;='Gastos com Pessoal'!$F$7:$F$506)*(IF('Gastos com Pessoal'!$S$7:$S$506&lt;=AQ$3,1,0))*OFFSET('Gastos com Pessoal'!$H$6,1,MATCH(3&amp;$B49,'Gastos com Pessoal'!$I$532:$AJ$532&amp;'Gastos com Pessoal'!$I$6:$AJ$6,0),500,1)),0)+_xlfn.IFNA(SUM((AQ$3&gt;='Gastos com Pessoal'!$E$7:$E$506)*(AQ$3&lt;='Gastos com Pessoal'!$F$7:$F$506)*(IF('Gastos com Pessoal'!$Y$7:$Y$506&lt;=AQ$3,1,0))*OFFSET('Gastos com Pessoal'!$H$6,1,MATCH(4&amp;$B49,'Gastos com Pessoal'!$I$532:$AJ$532&amp;'Gastos com Pessoal'!$I$6:$AJ$6,0),500,1)),0)+_xlfn.IFNA(SUM((AQ$3&gt;='Gastos com Pessoal'!$E$7:$E$506)*(AQ$3&lt;='Gastos com Pessoal'!$F$7:$F$506)*(IF('Gastos com Pessoal'!$AE$7:$AE$506&lt;=AQ$3,1,0))*OFFSET('Gastos com Pessoal'!$H$6,1,MATCH(5&amp;$B49,'Gastos com Pessoal'!$I$532:$AJ$532&amp;'Gastos com Pessoal'!$I$6:$AJ$6,0),500,1)),0)+_xlfn.IFNA(SUM((AQ$3&gt;='Gastos com Pessoal'!$E$513:$E$522)*(AQ$3&lt;='Gastos com Pessoal'!$F$513:$F$522)*(IF('Gastos com Pessoal'!$G$513:$G$522&lt;=AQ$3,1,0))*OFFSET('Gastos com Pessoal'!$H$512,1,MATCH(1&amp;$B49,'Gastos com Pessoal'!$I$532:$AJ$532&amp;'Gastos com Pessoal'!$I$512:$AJ$512,0),10,1)),0)+_xlfn.IFNA(SUM((AQ$3&gt;='Gastos com Pessoal'!$E$513:$E$522)*(AQ$3&lt;='Gastos com Pessoal'!$F$513:$F$522)*(IF('Gastos com Pessoal'!$M$513:$M$522&lt;=AQ$3,1,0))*OFFSET('Gastos com Pessoal'!$H$512,1,MATCH(2&amp;$B49,'Gastos com Pessoal'!$I$532:$AJ$532&amp;'Gastos com Pessoal'!$I$512:$AJ$512,0),10,1)),0)+_xlfn.IFNA(SUM((AQ$3&gt;='Gastos com Pessoal'!$E$513:$E$522)*(AQ$3&lt;='Gastos com Pessoal'!$F$513:$F$522)*(IF('Gastos com Pessoal'!$S$513:$S$522&lt;=AQ$3,1,0))*OFFSET('Gastos com Pessoal'!$H$512,1,MATCH(3&amp;$B49,'Gastos com Pessoal'!$I$532:$AJ$532&amp;'Gastos com Pessoal'!$I$512:$AJ$512,0),10,1)),0)+_xlfn.IFNA(SUM((AQ$3&gt;='Gastos com Pessoal'!$E$513:$E$522)*(AQ$3&lt;='Gastos com Pessoal'!$F$513:$F$522)*(IF('Gastos com Pessoal'!$Y$513:$Y$522&lt;=AQ$3,1,0))*OFFSET('Gastos com Pessoal'!$H$512,1,MATCH(4&amp;$B49,'Gastos com Pessoal'!$I$532:$AJ$532&amp;'Gastos com Pessoal'!$I$512:$AJ$512,0),10,1)),0)+_xlfn.IFNA(SUM((AQ$3&gt;='Gastos com Pessoal'!$E$513:$E$522)*(AQ$3&lt;='Gastos com Pessoal'!$F$513:$F$522)*(IF('Gastos com Pessoal'!$AE$513:$AE$522&lt;=AQ$3,1,0))*OFFSET('Gastos com Pessoal'!$H$512,1,MATCH(5&amp;$B49,'Gastos com Pessoal'!$I$532:$AJ$532&amp;'Gastos com Pessoal'!$I$512:$AJ$512,0),10,1)),0)</f>
        <v>170729.27999999991</v>
      </c>
      <c r="AR49" s="188">
        <f t="array" aca="1" ref="AR49" ca="1">_xlfn.IFNA(SUM((AR$3&gt;='Gastos com Pessoal'!$E$7:$E$506)*(AR$3&lt;='Gastos com Pessoal'!$F$7:$F$506)*OFFSET('Encargos e Benefícios'!$D$5,1,MATCH($B49,'Encargos e Benefícios'!$E$5:$AB$5,0),500,1)),0)+_xlfn.IFNA(SUM((AR$3&gt;='Gastos com Pessoal'!$E$513:$E$522)*(AR$3&lt;='Gastos com Pessoal'!$F$513:$F$522)*OFFSET('Encargos e Benefícios'!$D$511,1,MATCH($B49,'Encargos e Benefícios'!$E$511:$AB$511,0),10,1)),0)+_xlfn.IFNA(SUM((AR$3&gt;='Gastos com Pessoal'!$E$7:$E$506)*(AR$3&lt;='Gastos com Pessoal'!$F$7:$F$506)*(IF('Gastos com Pessoal'!$G$7:$G$506&lt;=AR$3,1,0))*OFFSET('Gastos com Pessoal'!$H$6,1,MATCH(1&amp;$B49,'Gastos com Pessoal'!$I$532:$AJ$532&amp;'Gastos com Pessoal'!$I$6:$AJ$6,0),500,1)),0)+_xlfn.IFNA(SUM((AR$3&gt;='Gastos com Pessoal'!$E$7:$E$506)*(AR$3&lt;='Gastos com Pessoal'!$F$7:$F$506)*(IF('Gastos com Pessoal'!$M$7:$M$506&lt;=AR$3,1,0))*OFFSET('Gastos com Pessoal'!$H$6,1,MATCH(2&amp;$B49,'Gastos com Pessoal'!$I$532:$AJ$532&amp;'Gastos com Pessoal'!$I$6:$AJ$6,0),500,1)),0)+_xlfn.IFNA(SUM((AR$3&gt;='Gastos com Pessoal'!$E$7:$E$506)*(AR$3&lt;='Gastos com Pessoal'!$F$7:$F$506)*(IF('Gastos com Pessoal'!$S$7:$S$506&lt;=AR$3,1,0))*OFFSET('Gastos com Pessoal'!$H$6,1,MATCH(3&amp;$B49,'Gastos com Pessoal'!$I$532:$AJ$532&amp;'Gastos com Pessoal'!$I$6:$AJ$6,0),500,1)),0)+_xlfn.IFNA(SUM((AR$3&gt;='Gastos com Pessoal'!$E$7:$E$506)*(AR$3&lt;='Gastos com Pessoal'!$F$7:$F$506)*(IF('Gastos com Pessoal'!$Y$7:$Y$506&lt;=AR$3,1,0))*OFFSET('Gastos com Pessoal'!$H$6,1,MATCH(4&amp;$B49,'Gastos com Pessoal'!$I$532:$AJ$532&amp;'Gastos com Pessoal'!$I$6:$AJ$6,0),500,1)),0)+_xlfn.IFNA(SUM((AR$3&gt;='Gastos com Pessoal'!$E$7:$E$506)*(AR$3&lt;='Gastos com Pessoal'!$F$7:$F$506)*(IF('Gastos com Pessoal'!$AE$7:$AE$506&lt;=AR$3,1,0))*OFFSET('Gastos com Pessoal'!$H$6,1,MATCH(5&amp;$B49,'Gastos com Pessoal'!$I$532:$AJ$532&amp;'Gastos com Pessoal'!$I$6:$AJ$6,0),500,1)),0)+_xlfn.IFNA(SUM((AR$3&gt;='Gastos com Pessoal'!$E$513:$E$522)*(AR$3&lt;='Gastos com Pessoal'!$F$513:$F$522)*(IF('Gastos com Pessoal'!$G$513:$G$522&lt;=AR$3,1,0))*OFFSET('Gastos com Pessoal'!$H$512,1,MATCH(1&amp;$B49,'Gastos com Pessoal'!$I$532:$AJ$532&amp;'Gastos com Pessoal'!$I$512:$AJ$512,0),10,1)),0)+_xlfn.IFNA(SUM((AR$3&gt;='Gastos com Pessoal'!$E$513:$E$522)*(AR$3&lt;='Gastos com Pessoal'!$F$513:$F$522)*(IF('Gastos com Pessoal'!$M$513:$M$522&lt;=AR$3,1,0))*OFFSET('Gastos com Pessoal'!$H$512,1,MATCH(2&amp;$B49,'Gastos com Pessoal'!$I$532:$AJ$532&amp;'Gastos com Pessoal'!$I$512:$AJ$512,0),10,1)),0)+_xlfn.IFNA(SUM((AR$3&gt;='Gastos com Pessoal'!$E$513:$E$522)*(AR$3&lt;='Gastos com Pessoal'!$F$513:$F$522)*(IF('Gastos com Pessoal'!$S$513:$S$522&lt;=AR$3,1,0))*OFFSET('Gastos com Pessoal'!$H$512,1,MATCH(3&amp;$B49,'Gastos com Pessoal'!$I$532:$AJ$532&amp;'Gastos com Pessoal'!$I$512:$AJ$512,0),10,1)),0)+_xlfn.IFNA(SUM((AR$3&gt;='Gastos com Pessoal'!$E$513:$E$522)*(AR$3&lt;='Gastos com Pessoal'!$F$513:$F$522)*(IF('Gastos com Pessoal'!$Y$513:$Y$522&lt;=AR$3,1,0))*OFFSET('Gastos com Pessoal'!$H$512,1,MATCH(4&amp;$B49,'Gastos com Pessoal'!$I$532:$AJ$532&amp;'Gastos com Pessoal'!$I$512:$AJ$512,0),10,1)),0)+_xlfn.IFNA(SUM((AR$3&gt;='Gastos com Pessoal'!$E$513:$E$522)*(AR$3&lt;='Gastos com Pessoal'!$F$513:$F$522)*(IF('Gastos com Pessoal'!$AE$513:$AE$522&lt;=AR$3,1,0))*OFFSET('Gastos com Pessoal'!$H$512,1,MATCH(5&amp;$B49,'Gastos com Pessoal'!$I$532:$AJ$532&amp;'Gastos com Pessoal'!$I$512:$AJ$512,0),10,1)),0)</f>
        <v>180699.83999999994</v>
      </c>
      <c r="AS49" s="188">
        <f t="array" aca="1" ref="AS49" ca="1">_xlfn.IFNA(SUM((AS$3&gt;='Gastos com Pessoal'!$E$7:$E$506)*(AS$3&lt;='Gastos com Pessoal'!$F$7:$F$506)*OFFSET('Encargos e Benefícios'!$D$5,1,MATCH($B49,'Encargos e Benefícios'!$E$5:$AB$5,0),500,1)),0)+_xlfn.IFNA(SUM((AS$3&gt;='Gastos com Pessoal'!$E$513:$E$522)*(AS$3&lt;='Gastos com Pessoal'!$F$513:$F$522)*OFFSET('Encargos e Benefícios'!$D$511,1,MATCH($B49,'Encargos e Benefícios'!$E$511:$AB$511,0),10,1)),0)+_xlfn.IFNA(SUM((AS$3&gt;='Gastos com Pessoal'!$E$7:$E$506)*(AS$3&lt;='Gastos com Pessoal'!$F$7:$F$506)*(IF('Gastos com Pessoal'!$G$7:$G$506&lt;=AS$3,1,0))*OFFSET('Gastos com Pessoal'!$H$6,1,MATCH(1&amp;$B49,'Gastos com Pessoal'!$I$532:$AJ$532&amp;'Gastos com Pessoal'!$I$6:$AJ$6,0),500,1)),0)+_xlfn.IFNA(SUM((AS$3&gt;='Gastos com Pessoal'!$E$7:$E$506)*(AS$3&lt;='Gastos com Pessoal'!$F$7:$F$506)*(IF('Gastos com Pessoal'!$M$7:$M$506&lt;=AS$3,1,0))*OFFSET('Gastos com Pessoal'!$H$6,1,MATCH(2&amp;$B49,'Gastos com Pessoal'!$I$532:$AJ$532&amp;'Gastos com Pessoal'!$I$6:$AJ$6,0),500,1)),0)+_xlfn.IFNA(SUM((AS$3&gt;='Gastos com Pessoal'!$E$7:$E$506)*(AS$3&lt;='Gastos com Pessoal'!$F$7:$F$506)*(IF('Gastos com Pessoal'!$S$7:$S$506&lt;=AS$3,1,0))*OFFSET('Gastos com Pessoal'!$H$6,1,MATCH(3&amp;$B49,'Gastos com Pessoal'!$I$532:$AJ$532&amp;'Gastos com Pessoal'!$I$6:$AJ$6,0),500,1)),0)+_xlfn.IFNA(SUM((AS$3&gt;='Gastos com Pessoal'!$E$7:$E$506)*(AS$3&lt;='Gastos com Pessoal'!$F$7:$F$506)*(IF('Gastos com Pessoal'!$Y$7:$Y$506&lt;=AS$3,1,0))*OFFSET('Gastos com Pessoal'!$H$6,1,MATCH(4&amp;$B49,'Gastos com Pessoal'!$I$532:$AJ$532&amp;'Gastos com Pessoal'!$I$6:$AJ$6,0),500,1)),0)+_xlfn.IFNA(SUM((AS$3&gt;='Gastos com Pessoal'!$E$7:$E$506)*(AS$3&lt;='Gastos com Pessoal'!$F$7:$F$506)*(IF('Gastos com Pessoal'!$AE$7:$AE$506&lt;=AS$3,1,0))*OFFSET('Gastos com Pessoal'!$H$6,1,MATCH(5&amp;$B49,'Gastos com Pessoal'!$I$532:$AJ$532&amp;'Gastos com Pessoal'!$I$6:$AJ$6,0),500,1)),0)+_xlfn.IFNA(SUM((AS$3&gt;='Gastos com Pessoal'!$E$513:$E$522)*(AS$3&lt;='Gastos com Pessoal'!$F$513:$F$522)*(IF('Gastos com Pessoal'!$G$513:$G$522&lt;=AS$3,1,0))*OFFSET('Gastos com Pessoal'!$H$512,1,MATCH(1&amp;$B49,'Gastos com Pessoal'!$I$532:$AJ$532&amp;'Gastos com Pessoal'!$I$512:$AJ$512,0),10,1)),0)+_xlfn.IFNA(SUM((AS$3&gt;='Gastos com Pessoal'!$E$513:$E$522)*(AS$3&lt;='Gastos com Pessoal'!$F$513:$F$522)*(IF('Gastos com Pessoal'!$M$513:$M$522&lt;=AS$3,1,0))*OFFSET('Gastos com Pessoal'!$H$512,1,MATCH(2&amp;$B49,'Gastos com Pessoal'!$I$532:$AJ$532&amp;'Gastos com Pessoal'!$I$512:$AJ$512,0),10,1)),0)+_xlfn.IFNA(SUM((AS$3&gt;='Gastos com Pessoal'!$E$513:$E$522)*(AS$3&lt;='Gastos com Pessoal'!$F$513:$F$522)*(IF('Gastos com Pessoal'!$S$513:$S$522&lt;=AS$3,1,0))*OFFSET('Gastos com Pessoal'!$H$512,1,MATCH(3&amp;$B49,'Gastos com Pessoal'!$I$532:$AJ$532&amp;'Gastos com Pessoal'!$I$512:$AJ$512,0),10,1)),0)+_xlfn.IFNA(SUM((AS$3&gt;='Gastos com Pessoal'!$E$513:$E$522)*(AS$3&lt;='Gastos com Pessoal'!$F$513:$F$522)*(IF('Gastos com Pessoal'!$Y$513:$Y$522&lt;=AS$3,1,0))*OFFSET('Gastos com Pessoal'!$H$512,1,MATCH(4&amp;$B49,'Gastos com Pessoal'!$I$532:$AJ$532&amp;'Gastos com Pessoal'!$I$512:$AJ$512,0),10,1)),0)+_xlfn.IFNA(SUM((AS$3&gt;='Gastos com Pessoal'!$E$513:$E$522)*(AS$3&lt;='Gastos com Pessoal'!$F$513:$F$522)*(IF('Gastos com Pessoal'!$AE$513:$AE$522&lt;=AS$3,1,0))*OFFSET('Gastos com Pessoal'!$H$512,1,MATCH(5&amp;$B49,'Gastos com Pessoal'!$I$532:$AJ$532&amp;'Gastos com Pessoal'!$I$512:$AJ$512,0),10,1)),0)</f>
        <v>180699.83999999994</v>
      </c>
      <c r="AT49" s="188">
        <f t="array" aca="1" ref="AT49" ca="1">_xlfn.IFNA(SUM((AT$3&gt;='Gastos com Pessoal'!$E$7:$E$506)*(AT$3&lt;='Gastos com Pessoal'!$F$7:$F$506)*OFFSET('Encargos e Benefícios'!$D$5,1,MATCH($B49,'Encargos e Benefícios'!$E$5:$AB$5,0),500,1)),0)+_xlfn.IFNA(SUM((AT$3&gt;='Gastos com Pessoal'!$E$513:$E$522)*(AT$3&lt;='Gastos com Pessoal'!$F$513:$F$522)*OFFSET('Encargos e Benefícios'!$D$511,1,MATCH($B49,'Encargos e Benefícios'!$E$511:$AB$511,0),10,1)),0)+_xlfn.IFNA(SUM((AT$3&gt;='Gastos com Pessoal'!$E$7:$E$506)*(AT$3&lt;='Gastos com Pessoal'!$F$7:$F$506)*(IF('Gastos com Pessoal'!$G$7:$G$506&lt;=AT$3,1,0))*OFFSET('Gastos com Pessoal'!$H$6,1,MATCH(1&amp;$B49,'Gastos com Pessoal'!$I$532:$AJ$532&amp;'Gastos com Pessoal'!$I$6:$AJ$6,0),500,1)),0)+_xlfn.IFNA(SUM((AT$3&gt;='Gastos com Pessoal'!$E$7:$E$506)*(AT$3&lt;='Gastos com Pessoal'!$F$7:$F$506)*(IF('Gastos com Pessoal'!$M$7:$M$506&lt;=AT$3,1,0))*OFFSET('Gastos com Pessoal'!$H$6,1,MATCH(2&amp;$B49,'Gastos com Pessoal'!$I$532:$AJ$532&amp;'Gastos com Pessoal'!$I$6:$AJ$6,0),500,1)),0)+_xlfn.IFNA(SUM((AT$3&gt;='Gastos com Pessoal'!$E$7:$E$506)*(AT$3&lt;='Gastos com Pessoal'!$F$7:$F$506)*(IF('Gastos com Pessoal'!$S$7:$S$506&lt;=AT$3,1,0))*OFFSET('Gastos com Pessoal'!$H$6,1,MATCH(3&amp;$B49,'Gastos com Pessoal'!$I$532:$AJ$532&amp;'Gastos com Pessoal'!$I$6:$AJ$6,0),500,1)),0)+_xlfn.IFNA(SUM((AT$3&gt;='Gastos com Pessoal'!$E$7:$E$506)*(AT$3&lt;='Gastos com Pessoal'!$F$7:$F$506)*(IF('Gastos com Pessoal'!$Y$7:$Y$506&lt;=AT$3,1,0))*OFFSET('Gastos com Pessoal'!$H$6,1,MATCH(4&amp;$B49,'Gastos com Pessoal'!$I$532:$AJ$532&amp;'Gastos com Pessoal'!$I$6:$AJ$6,0),500,1)),0)+_xlfn.IFNA(SUM((AT$3&gt;='Gastos com Pessoal'!$E$7:$E$506)*(AT$3&lt;='Gastos com Pessoal'!$F$7:$F$506)*(IF('Gastos com Pessoal'!$AE$7:$AE$506&lt;=AT$3,1,0))*OFFSET('Gastos com Pessoal'!$H$6,1,MATCH(5&amp;$B49,'Gastos com Pessoal'!$I$532:$AJ$532&amp;'Gastos com Pessoal'!$I$6:$AJ$6,0),500,1)),0)+_xlfn.IFNA(SUM((AT$3&gt;='Gastos com Pessoal'!$E$513:$E$522)*(AT$3&lt;='Gastos com Pessoal'!$F$513:$F$522)*(IF('Gastos com Pessoal'!$G$513:$G$522&lt;=AT$3,1,0))*OFFSET('Gastos com Pessoal'!$H$512,1,MATCH(1&amp;$B49,'Gastos com Pessoal'!$I$532:$AJ$532&amp;'Gastos com Pessoal'!$I$512:$AJ$512,0),10,1)),0)+_xlfn.IFNA(SUM((AT$3&gt;='Gastos com Pessoal'!$E$513:$E$522)*(AT$3&lt;='Gastos com Pessoal'!$F$513:$F$522)*(IF('Gastos com Pessoal'!$M$513:$M$522&lt;=AT$3,1,0))*OFFSET('Gastos com Pessoal'!$H$512,1,MATCH(2&amp;$B49,'Gastos com Pessoal'!$I$532:$AJ$532&amp;'Gastos com Pessoal'!$I$512:$AJ$512,0),10,1)),0)+_xlfn.IFNA(SUM((AT$3&gt;='Gastos com Pessoal'!$E$513:$E$522)*(AT$3&lt;='Gastos com Pessoal'!$F$513:$F$522)*(IF('Gastos com Pessoal'!$S$513:$S$522&lt;=AT$3,1,0))*OFFSET('Gastos com Pessoal'!$H$512,1,MATCH(3&amp;$B49,'Gastos com Pessoal'!$I$532:$AJ$532&amp;'Gastos com Pessoal'!$I$512:$AJ$512,0),10,1)),0)+_xlfn.IFNA(SUM((AT$3&gt;='Gastos com Pessoal'!$E$513:$E$522)*(AT$3&lt;='Gastos com Pessoal'!$F$513:$F$522)*(IF('Gastos com Pessoal'!$Y$513:$Y$522&lt;=AT$3,1,0))*OFFSET('Gastos com Pessoal'!$H$512,1,MATCH(4&amp;$B49,'Gastos com Pessoal'!$I$532:$AJ$532&amp;'Gastos com Pessoal'!$I$512:$AJ$512,0),10,1)),0)+_xlfn.IFNA(SUM((AT$3&gt;='Gastos com Pessoal'!$E$513:$E$522)*(AT$3&lt;='Gastos com Pessoal'!$F$513:$F$522)*(IF('Gastos com Pessoal'!$AE$513:$AE$522&lt;=AT$3,1,0))*OFFSET('Gastos com Pessoal'!$H$512,1,MATCH(5&amp;$B49,'Gastos com Pessoal'!$I$532:$AJ$532&amp;'Gastos com Pessoal'!$I$512:$AJ$512,0),10,1)),0)</f>
        <v>180699.83999999994</v>
      </c>
      <c r="AU49" s="188">
        <f t="array" aca="1" ref="AU49" ca="1">_xlfn.IFNA(SUM((AU$3&gt;='Gastos com Pessoal'!$E$7:$E$506)*(AU$3&lt;='Gastos com Pessoal'!$F$7:$F$506)*OFFSET('Encargos e Benefícios'!$D$5,1,MATCH($B49,'Encargos e Benefícios'!$E$5:$AB$5,0),500,1)),0)+_xlfn.IFNA(SUM((AU$3&gt;='Gastos com Pessoal'!$E$513:$E$522)*(AU$3&lt;='Gastos com Pessoal'!$F$513:$F$522)*OFFSET('Encargos e Benefícios'!$D$511,1,MATCH($B49,'Encargos e Benefícios'!$E$511:$AB$511,0),10,1)),0)+_xlfn.IFNA(SUM((AU$3&gt;='Gastos com Pessoal'!$E$7:$E$506)*(AU$3&lt;='Gastos com Pessoal'!$F$7:$F$506)*(IF('Gastos com Pessoal'!$G$7:$G$506&lt;=AU$3,1,0))*OFFSET('Gastos com Pessoal'!$H$6,1,MATCH(1&amp;$B49,'Gastos com Pessoal'!$I$532:$AJ$532&amp;'Gastos com Pessoal'!$I$6:$AJ$6,0),500,1)),0)+_xlfn.IFNA(SUM((AU$3&gt;='Gastos com Pessoal'!$E$7:$E$506)*(AU$3&lt;='Gastos com Pessoal'!$F$7:$F$506)*(IF('Gastos com Pessoal'!$M$7:$M$506&lt;=AU$3,1,0))*OFFSET('Gastos com Pessoal'!$H$6,1,MATCH(2&amp;$B49,'Gastos com Pessoal'!$I$532:$AJ$532&amp;'Gastos com Pessoal'!$I$6:$AJ$6,0),500,1)),0)+_xlfn.IFNA(SUM((AU$3&gt;='Gastos com Pessoal'!$E$7:$E$506)*(AU$3&lt;='Gastos com Pessoal'!$F$7:$F$506)*(IF('Gastos com Pessoal'!$S$7:$S$506&lt;=AU$3,1,0))*OFFSET('Gastos com Pessoal'!$H$6,1,MATCH(3&amp;$B49,'Gastos com Pessoal'!$I$532:$AJ$532&amp;'Gastos com Pessoal'!$I$6:$AJ$6,0),500,1)),0)+_xlfn.IFNA(SUM((AU$3&gt;='Gastos com Pessoal'!$E$7:$E$506)*(AU$3&lt;='Gastos com Pessoal'!$F$7:$F$506)*(IF('Gastos com Pessoal'!$Y$7:$Y$506&lt;=AU$3,1,0))*OFFSET('Gastos com Pessoal'!$H$6,1,MATCH(4&amp;$B49,'Gastos com Pessoal'!$I$532:$AJ$532&amp;'Gastos com Pessoal'!$I$6:$AJ$6,0),500,1)),0)+_xlfn.IFNA(SUM((AU$3&gt;='Gastos com Pessoal'!$E$7:$E$506)*(AU$3&lt;='Gastos com Pessoal'!$F$7:$F$506)*(IF('Gastos com Pessoal'!$AE$7:$AE$506&lt;=AU$3,1,0))*OFFSET('Gastos com Pessoal'!$H$6,1,MATCH(5&amp;$B49,'Gastos com Pessoal'!$I$532:$AJ$532&amp;'Gastos com Pessoal'!$I$6:$AJ$6,0),500,1)),0)+_xlfn.IFNA(SUM((AU$3&gt;='Gastos com Pessoal'!$E$513:$E$522)*(AU$3&lt;='Gastos com Pessoal'!$F$513:$F$522)*(IF('Gastos com Pessoal'!$G$513:$G$522&lt;=AU$3,1,0))*OFFSET('Gastos com Pessoal'!$H$512,1,MATCH(1&amp;$B49,'Gastos com Pessoal'!$I$532:$AJ$532&amp;'Gastos com Pessoal'!$I$512:$AJ$512,0),10,1)),0)+_xlfn.IFNA(SUM((AU$3&gt;='Gastos com Pessoal'!$E$513:$E$522)*(AU$3&lt;='Gastos com Pessoal'!$F$513:$F$522)*(IF('Gastos com Pessoal'!$M$513:$M$522&lt;=AU$3,1,0))*OFFSET('Gastos com Pessoal'!$H$512,1,MATCH(2&amp;$B49,'Gastos com Pessoal'!$I$532:$AJ$532&amp;'Gastos com Pessoal'!$I$512:$AJ$512,0),10,1)),0)+_xlfn.IFNA(SUM((AU$3&gt;='Gastos com Pessoal'!$E$513:$E$522)*(AU$3&lt;='Gastos com Pessoal'!$F$513:$F$522)*(IF('Gastos com Pessoal'!$S$513:$S$522&lt;=AU$3,1,0))*OFFSET('Gastos com Pessoal'!$H$512,1,MATCH(3&amp;$B49,'Gastos com Pessoal'!$I$532:$AJ$532&amp;'Gastos com Pessoal'!$I$512:$AJ$512,0),10,1)),0)+_xlfn.IFNA(SUM((AU$3&gt;='Gastos com Pessoal'!$E$513:$E$522)*(AU$3&lt;='Gastos com Pessoal'!$F$513:$F$522)*(IF('Gastos com Pessoal'!$Y$513:$Y$522&lt;=AU$3,1,0))*OFFSET('Gastos com Pessoal'!$H$512,1,MATCH(4&amp;$B49,'Gastos com Pessoal'!$I$532:$AJ$532&amp;'Gastos com Pessoal'!$I$512:$AJ$512,0),10,1)),0)+_xlfn.IFNA(SUM((AU$3&gt;='Gastos com Pessoal'!$E$513:$E$522)*(AU$3&lt;='Gastos com Pessoal'!$F$513:$F$522)*(IF('Gastos com Pessoal'!$AE$513:$AE$522&lt;=AU$3,1,0))*OFFSET('Gastos com Pessoal'!$H$512,1,MATCH(5&amp;$B49,'Gastos com Pessoal'!$I$532:$AJ$532&amp;'Gastos com Pessoal'!$I$512:$AJ$512,0),10,1)),0)</f>
        <v>180699.83999999994</v>
      </c>
      <c r="AV49" s="188">
        <f t="array" aca="1" ref="AV49" ca="1">_xlfn.IFNA(SUM((AV$3&gt;='Gastos com Pessoal'!$E$7:$E$506)*(AV$3&lt;='Gastos com Pessoal'!$F$7:$F$506)*OFFSET('Encargos e Benefícios'!$D$5,1,MATCH($B49,'Encargos e Benefícios'!$E$5:$AB$5,0),500,1)),0)+_xlfn.IFNA(SUM((AV$3&gt;='Gastos com Pessoal'!$E$513:$E$522)*(AV$3&lt;='Gastos com Pessoal'!$F$513:$F$522)*OFFSET('Encargos e Benefícios'!$D$511,1,MATCH($B49,'Encargos e Benefícios'!$E$511:$AB$511,0),10,1)),0)+_xlfn.IFNA(SUM((AV$3&gt;='Gastos com Pessoal'!$E$7:$E$506)*(AV$3&lt;='Gastos com Pessoal'!$F$7:$F$506)*(IF('Gastos com Pessoal'!$G$7:$G$506&lt;=AV$3,1,0))*OFFSET('Gastos com Pessoal'!$H$6,1,MATCH(1&amp;$B49,'Gastos com Pessoal'!$I$532:$AJ$532&amp;'Gastos com Pessoal'!$I$6:$AJ$6,0),500,1)),0)+_xlfn.IFNA(SUM((AV$3&gt;='Gastos com Pessoal'!$E$7:$E$506)*(AV$3&lt;='Gastos com Pessoal'!$F$7:$F$506)*(IF('Gastos com Pessoal'!$M$7:$M$506&lt;=AV$3,1,0))*OFFSET('Gastos com Pessoal'!$H$6,1,MATCH(2&amp;$B49,'Gastos com Pessoal'!$I$532:$AJ$532&amp;'Gastos com Pessoal'!$I$6:$AJ$6,0),500,1)),0)+_xlfn.IFNA(SUM((AV$3&gt;='Gastos com Pessoal'!$E$7:$E$506)*(AV$3&lt;='Gastos com Pessoal'!$F$7:$F$506)*(IF('Gastos com Pessoal'!$S$7:$S$506&lt;=AV$3,1,0))*OFFSET('Gastos com Pessoal'!$H$6,1,MATCH(3&amp;$B49,'Gastos com Pessoal'!$I$532:$AJ$532&amp;'Gastos com Pessoal'!$I$6:$AJ$6,0),500,1)),0)+_xlfn.IFNA(SUM((AV$3&gt;='Gastos com Pessoal'!$E$7:$E$506)*(AV$3&lt;='Gastos com Pessoal'!$F$7:$F$506)*(IF('Gastos com Pessoal'!$Y$7:$Y$506&lt;=AV$3,1,0))*OFFSET('Gastos com Pessoal'!$H$6,1,MATCH(4&amp;$B49,'Gastos com Pessoal'!$I$532:$AJ$532&amp;'Gastos com Pessoal'!$I$6:$AJ$6,0),500,1)),0)+_xlfn.IFNA(SUM((AV$3&gt;='Gastos com Pessoal'!$E$7:$E$506)*(AV$3&lt;='Gastos com Pessoal'!$F$7:$F$506)*(IF('Gastos com Pessoal'!$AE$7:$AE$506&lt;=AV$3,1,0))*OFFSET('Gastos com Pessoal'!$H$6,1,MATCH(5&amp;$B49,'Gastos com Pessoal'!$I$532:$AJ$532&amp;'Gastos com Pessoal'!$I$6:$AJ$6,0),500,1)),0)+_xlfn.IFNA(SUM((AV$3&gt;='Gastos com Pessoal'!$E$513:$E$522)*(AV$3&lt;='Gastos com Pessoal'!$F$513:$F$522)*(IF('Gastos com Pessoal'!$G$513:$G$522&lt;=AV$3,1,0))*OFFSET('Gastos com Pessoal'!$H$512,1,MATCH(1&amp;$B49,'Gastos com Pessoal'!$I$532:$AJ$532&amp;'Gastos com Pessoal'!$I$512:$AJ$512,0),10,1)),0)+_xlfn.IFNA(SUM((AV$3&gt;='Gastos com Pessoal'!$E$513:$E$522)*(AV$3&lt;='Gastos com Pessoal'!$F$513:$F$522)*(IF('Gastos com Pessoal'!$M$513:$M$522&lt;=AV$3,1,0))*OFFSET('Gastos com Pessoal'!$H$512,1,MATCH(2&amp;$B49,'Gastos com Pessoal'!$I$532:$AJ$532&amp;'Gastos com Pessoal'!$I$512:$AJ$512,0),10,1)),0)+_xlfn.IFNA(SUM((AV$3&gt;='Gastos com Pessoal'!$E$513:$E$522)*(AV$3&lt;='Gastos com Pessoal'!$F$513:$F$522)*(IF('Gastos com Pessoal'!$S$513:$S$522&lt;=AV$3,1,0))*OFFSET('Gastos com Pessoal'!$H$512,1,MATCH(3&amp;$B49,'Gastos com Pessoal'!$I$532:$AJ$532&amp;'Gastos com Pessoal'!$I$512:$AJ$512,0),10,1)),0)+_xlfn.IFNA(SUM((AV$3&gt;='Gastos com Pessoal'!$E$513:$E$522)*(AV$3&lt;='Gastos com Pessoal'!$F$513:$F$522)*(IF('Gastos com Pessoal'!$Y$513:$Y$522&lt;=AV$3,1,0))*OFFSET('Gastos com Pessoal'!$H$512,1,MATCH(4&amp;$B49,'Gastos com Pessoal'!$I$532:$AJ$532&amp;'Gastos com Pessoal'!$I$512:$AJ$512,0),10,1)),0)+_xlfn.IFNA(SUM((AV$3&gt;='Gastos com Pessoal'!$E$513:$E$522)*(AV$3&lt;='Gastos com Pessoal'!$F$513:$F$522)*(IF('Gastos com Pessoal'!$AE$513:$AE$522&lt;=AV$3,1,0))*OFFSET('Gastos com Pessoal'!$H$512,1,MATCH(5&amp;$B49,'Gastos com Pessoal'!$I$532:$AJ$532&amp;'Gastos com Pessoal'!$I$512:$AJ$512,0),10,1)),0)</f>
        <v>180699.83999999994</v>
      </c>
      <c r="AW49" s="188">
        <f t="array" aca="1" ref="AW49" ca="1">_xlfn.IFNA(SUM((AW$3&gt;='Gastos com Pessoal'!$E$7:$E$506)*(AW$3&lt;='Gastos com Pessoal'!$F$7:$F$506)*OFFSET('Encargos e Benefícios'!$D$5,1,MATCH($B49,'Encargos e Benefícios'!$E$5:$AB$5,0),500,1)),0)+_xlfn.IFNA(SUM((AW$3&gt;='Gastos com Pessoal'!$E$513:$E$522)*(AW$3&lt;='Gastos com Pessoal'!$F$513:$F$522)*OFFSET('Encargos e Benefícios'!$D$511,1,MATCH($B49,'Encargos e Benefícios'!$E$511:$AB$511,0),10,1)),0)+_xlfn.IFNA(SUM((AW$3&gt;='Gastos com Pessoal'!$E$7:$E$506)*(AW$3&lt;='Gastos com Pessoal'!$F$7:$F$506)*(IF('Gastos com Pessoal'!$G$7:$G$506&lt;=AW$3,1,0))*OFFSET('Gastos com Pessoal'!$H$6,1,MATCH(1&amp;$B49,'Gastos com Pessoal'!$I$532:$AJ$532&amp;'Gastos com Pessoal'!$I$6:$AJ$6,0),500,1)),0)+_xlfn.IFNA(SUM((AW$3&gt;='Gastos com Pessoal'!$E$7:$E$506)*(AW$3&lt;='Gastos com Pessoal'!$F$7:$F$506)*(IF('Gastos com Pessoal'!$M$7:$M$506&lt;=AW$3,1,0))*OFFSET('Gastos com Pessoal'!$H$6,1,MATCH(2&amp;$B49,'Gastos com Pessoal'!$I$532:$AJ$532&amp;'Gastos com Pessoal'!$I$6:$AJ$6,0),500,1)),0)+_xlfn.IFNA(SUM((AW$3&gt;='Gastos com Pessoal'!$E$7:$E$506)*(AW$3&lt;='Gastos com Pessoal'!$F$7:$F$506)*(IF('Gastos com Pessoal'!$S$7:$S$506&lt;=AW$3,1,0))*OFFSET('Gastos com Pessoal'!$H$6,1,MATCH(3&amp;$B49,'Gastos com Pessoal'!$I$532:$AJ$532&amp;'Gastos com Pessoal'!$I$6:$AJ$6,0),500,1)),0)+_xlfn.IFNA(SUM((AW$3&gt;='Gastos com Pessoal'!$E$7:$E$506)*(AW$3&lt;='Gastos com Pessoal'!$F$7:$F$506)*(IF('Gastos com Pessoal'!$Y$7:$Y$506&lt;=AW$3,1,0))*OFFSET('Gastos com Pessoal'!$H$6,1,MATCH(4&amp;$B49,'Gastos com Pessoal'!$I$532:$AJ$532&amp;'Gastos com Pessoal'!$I$6:$AJ$6,0),500,1)),0)+_xlfn.IFNA(SUM((AW$3&gt;='Gastos com Pessoal'!$E$7:$E$506)*(AW$3&lt;='Gastos com Pessoal'!$F$7:$F$506)*(IF('Gastos com Pessoal'!$AE$7:$AE$506&lt;=AW$3,1,0))*OFFSET('Gastos com Pessoal'!$H$6,1,MATCH(5&amp;$B49,'Gastos com Pessoal'!$I$532:$AJ$532&amp;'Gastos com Pessoal'!$I$6:$AJ$6,0),500,1)),0)+_xlfn.IFNA(SUM((AW$3&gt;='Gastos com Pessoal'!$E$513:$E$522)*(AW$3&lt;='Gastos com Pessoal'!$F$513:$F$522)*(IF('Gastos com Pessoal'!$G$513:$G$522&lt;=AW$3,1,0))*OFFSET('Gastos com Pessoal'!$H$512,1,MATCH(1&amp;$B49,'Gastos com Pessoal'!$I$532:$AJ$532&amp;'Gastos com Pessoal'!$I$512:$AJ$512,0),10,1)),0)+_xlfn.IFNA(SUM((AW$3&gt;='Gastos com Pessoal'!$E$513:$E$522)*(AW$3&lt;='Gastos com Pessoal'!$F$513:$F$522)*(IF('Gastos com Pessoal'!$M$513:$M$522&lt;=AW$3,1,0))*OFFSET('Gastos com Pessoal'!$H$512,1,MATCH(2&amp;$B49,'Gastos com Pessoal'!$I$532:$AJ$532&amp;'Gastos com Pessoal'!$I$512:$AJ$512,0),10,1)),0)+_xlfn.IFNA(SUM((AW$3&gt;='Gastos com Pessoal'!$E$513:$E$522)*(AW$3&lt;='Gastos com Pessoal'!$F$513:$F$522)*(IF('Gastos com Pessoal'!$S$513:$S$522&lt;=AW$3,1,0))*OFFSET('Gastos com Pessoal'!$H$512,1,MATCH(3&amp;$B49,'Gastos com Pessoal'!$I$532:$AJ$532&amp;'Gastos com Pessoal'!$I$512:$AJ$512,0),10,1)),0)+_xlfn.IFNA(SUM((AW$3&gt;='Gastos com Pessoal'!$E$513:$E$522)*(AW$3&lt;='Gastos com Pessoal'!$F$513:$F$522)*(IF('Gastos com Pessoal'!$Y$513:$Y$522&lt;=AW$3,1,0))*OFFSET('Gastos com Pessoal'!$H$512,1,MATCH(4&amp;$B49,'Gastos com Pessoal'!$I$532:$AJ$532&amp;'Gastos com Pessoal'!$I$512:$AJ$512,0),10,1)),0)+_xlfn.IFNA(SUM((AW$3&gt;='Gastos com Pessoal'!$E$513:$E$522)*(AW$3&lt;='Gastos com Pessoal'!$F$513:$F$522)*(IF('Gastos com Pessoal'!$AE$513:$AE$522&lt;=AW$3,1,0))*OFFSET('Gastos com Pessoal'!$H$512,1,MATCH(5&amp;$B49,'Gastos com Pessoal'!$I$532:$AJ$532&amp;'Gastos com Pessoal'!$I$512:$AJ$512,0),10,1)),0)</f>
        <v>180699.83999999994</v>
      </c>
      <c r="AX49" s="188">
        <f t="array" aca="1" ref="AX49" ca="1">_xlfn.IFNA(SUM((AX$3&gt;='Gastos com Pessoal'!$E$7:$E$506)*(AX$3&lt;='Gastos com Pessoal'!$F$7:$F$506)*OFFSET('Encargos e Benefícios'!$D$5,1,MATCH($B49,'Encargos e Benefícios'!$E$5:$AB$5,0),500,1)),0)+_xlfn.IFNA(SUM((AX$3&gt;='Gastos com Pessoal'!$E$513:$E$522)*(AX$3&lt;='Gastos com Pessoal'!$F$513:$F$522)*OFFSET('Encargos e Benefícios'!$D$511,1,MATCH($B49,'Encargos e Benefícios'!$E$511:$AB$511,0),10,1)),0)+_xlfn.IFNA(SUM((AX$3&gt;='Gastos com Pessoal'!$E$7:$E$506)*(AX$3&lt;='Gastos com Pessoal'!$F$7:$F$506)*(IF('Gastos com Pessoal'!$G$7:$G$506&lt;=AX$3,1,0))*OFFSET('Gastos com Pessoal'!$H$6,1,MATCH(1&amp;$B49,'Gastos com Pessoal'!$I$532:$AJ$532&amp;'Gastos com Pessoal'!$I$6:$AJ$6,0),500,1)),0)+_xlfn.IFNA(SUM((AX$3&gt;='Gastos com Pessoal'!$E$7:$E$506)*(AX$3&lt;='Gastos com Pessoal'!$F$7:$F$506)*(IF('Gastos com Pessoal'!$M$7:$M$506&lt;=AX$3,1,0))*OFFSET('Gastos com Pessoal'!$H$6,1,MATCH(2&amp;$B49,'Gastos com Pessoal'!$I$532:$AJ$532&amp;'Gastos com Pessoal'!$I$6:$AJ$6,0),500,1)),0)+_xlfn.IFNA(SUM((AX$3&gt;='Gastos com Pessoal'!$E$7:$E$506)*(AX$3&lt;='Gastos com Pessoal'!$F$7:$F$506)*(IF('Gastos com Pessoal'!$S$7:$S$506&lt;=AX$3,1,0))*OFFSET('Gastos com Pessoal'!$H$6,1,MATCH(3&amp;$B49,'Gastos com Pessoal'!$I$532:$AJ$532&amp;'Gastos com Pessoal'!$I$6:$AJ$6,0),500,1)),0)+_xlfn.IFNA(SUM((AX$3&gt;='Gastos com Pessoal'!$E$7:$E$506)*(AX$3&lt;='Gastos com Pessoal'!$F$7:$F$506)*(IF('Gastos com Pessoal'!$Y$7:$Y$506&lt;=AX$3,1,0))*OFFSET('Gastos com Pessoal'!$H$6,1,MATCH(4&amp;$B49,'Gastos com Pessoal'!$I$532:$AJ$532&amp;'Gastos com Pessoal'!$I$6:$AJ$6,0),500,1)),0)+_xlfn.IFNA(SUM((AX$3&gt;='Gastos com Pessoal'!$E$7:$E$506)*(AX$3&lt;='Gastos com Pessoal'!$F$7:$F$506)*(IF('Gastos com Pessoal'!$AE$7:$AE$506&lt;=AX$3,1,0))*OFFSET('Gastos com Pessoal'!$H$6,1,MATCH(5&amp;$B49,'Gastos com Pessoal'!$I$532:$AJ$532&amp;'Gastos com Pessoal'!$I$6:$AJ$6,0),500,1)),0)+_xlfn.IFNA(SUM((AX$3&gt;='Gastos com Pessoal'!$E$513:$E$522)*(AX$3&lt;='Gastos com Pessoal'!$F$513:$F$522)*(IF('Gastos com Pessoal'!$G$513:$G$522&lt;=AX$3,1,0))*OFFSET('Gastos com Pessoal'!$H$512,1,MATCH(1&amp;$B49,'Gastos com Pessoal'!$I$532:$AJ$532&amp;'Gastos com Pessoal'!$I$512:$AJ$512,0),10,1)),0)+_xlfn.IFNA(SUM((AX$3&gt;='Gastos com Pessoal'!$E$513:$E$522)*(AX$3&lt;='Gastos com Pessoal'!$F$513:$F$522)*(IF('Gastos com Pessoal'!$M$513:$M$522&lt;=AX$3,1,0))*OFFSET('Gastos com Pessoal'!$H$512,1,MATCH(2&amp;$B49,'Gastos com Pessoal'!$I$532:$AJ$532&amp;'Gastos com Pessoal'!$I$512:$AJ$512,0),10,1)),0)+_xlfn.IFNA(SUM((AX$3&gt;='Gastos com Pessoal'!$E$513:$E$522)*(AX$3&lt;='Gastos com Pessoal'!$F$513:$F$522)*(IF('Gastos com Pessoal'!$S$513:$S$522&lt;=AX$3,1,0))*OFFSET('Gastos com Pessoal'!$H$512,1,MATCH(3&amp;$B49,'Gastos com Pessoal'!$I$532:$AJ$532&amp;'Gastos com Pessoal'!$I$512:$AJ$512,0),10,1)),0)+_xlfn.IFNA(SUM((AX$3&gt;='Gastos com Pessoal'!$E$513:$E$522)*(AX$3&lt;='Gastos com Pessoal'!$F$513:$F$522)*(IF('Gastos com Pessoal'!$Y$513:$Y$522&lt;=AX$3,1,0))*OFFSET('Gastos com Pessoal'!$H$512,1,MATCH(4&amp;$B49,'Gastos com Pessoal'!$I$532:$AJ$532&amp;'Gastos com Pessoal'!$I$512:$AJ$512,0),10,1)),0)+_xlfn.IFNA(SUM((AX$3&gt;='Gastos com Pessoal'!$E$513:$E$522)*(AX$3&lt;='Gastos com Pessoal'!$F$513:$F$522)*(IF('Gastos com Pessoal'!$AE$513:$AE$522&lt;=AX$3,1,0))*OFFSET('Gastos com Pessoal'!$H$512,1,MATCH(5&amp;$B49,'Gastos com Pessoal'!$I$532:$AJ$532&amp;'Gastos com Pessoal'!$I$512:$AJ$512,0),10,1)),0)</f>
        <v>180699.83999999994</v>
      </c>
      <c r="AY49" s="188">
        <f t="array" aca="1" ref="AY49" ca="1">_xlfn.IFNA(SUM((AY$3&gt;='Gastos com Pessoal'!$E$7:$E$506)*(AY$3&lt;='Gastos com Pessoal'!$F$7:$F$506)*OFFSET('Encargos e Benefícios'!$D$5,1,MATCH($B49,'Encargos e Benefícios'!$E$5:$AB$5,0),500,1)),0)+_xlfn.IFNA(SUM((AY$3&gt;='Gastos com Pessoal'!$E$513:$E$522)*(AY$3&lt;='Gastos com Pessoal'!$F$513:$F$522)*OFFSET('Encargos e Benefícios'!$D$511,1,MATCH($B49,'Encargos e Benefícios'!$E$511:$AB$511,0),10,1)),0)+_xlfn.IFNA(SUM((AY$3&gt;='Gastos com Pessoal'!$E$7:$E$506)*(AY$3&lt;='Gastos com Pessoal'!$F$7:$F$506)*(IF('Gastos com Pessoal'!$G$7:$G$506&lt;=AY$3,1,0))*OFFSET('Gastos com Pessoal'!$H$6,1,MATCH(1&amp;$B49,'Gastos com Pessoal'!$I$532:$AJ$532&amp;'Gastos com Pessoal'!$I$6:$AJ$6,0),500,1)),0)+_xlfn.IFNA(SUM((AY$3&gt;='Gastos com Pessoal'!$E$7:$E$506)*(AY$3&lt;='Gastos com Pessoal'!$F$7:$F$506)*(IF('Gastos com Pessoal'!$M$7:$M$506&lt;=AY$3,1,0))*OFFSET('Gastos com Pessoal'!$H$6,1,MATCH(2&amp;$B49,'Gastos com Pessoal'!$I$532:$AJ$532&amp;'Gastos com Pessoal'!$I$6:$AJ$6,0),500,1)),0)+_xlfn.IFNA(SUM((AY$3&gt;='Gastos com Pessoal'!$E$7:$E$506)*(AY$3&lt;='Gastos com Pessoal'!$F$7:$F$506)*(IF('Gastos com Pessoal'!$S$7:$S$506&lt;=AY$3,1,0))*OFFSET('Gastos com Pessoal'!$H$6,1,MATCH(3&amp;$B49,'Gastos com Pessoal'!$I$532:$AJ$532&amp;'Gastos com Pessoal'!$I$6:$AJ$6,0),500,1)),0)+_xlfn.IFNA(SUM((AY$3&gt;='Gastos com Pessoal'!$E$7:$E$506)*(AY$3&lt;='Gastos com Pessoal'!$F$7:$F$506)*(IF('Gastos com Pessoal'!$Y$7:$Y$506&lt;=AY$3,1,0))*OFFSET('Gastos com Pessoal'!$H$6,1,MATCH(4&amp;$B49,'Gastos com Pessoal'!$I$532:$AJ$532&amp;'Gastos com Pessoal'!$I$6:$AJ$6,0),500,1)),0)+_xlfn.IFNA(SUM((AY$3&gt;='Gastos com Pessoal'!$E$7:$E$506)*(AY$3&lt;='Gastos com Pessoal'!$F$7:$F$506)*(IF('Gastos com Pessoal'!$AE$7:$AE$506&lt;=AY$3,1,0))*OFFSET('Gastos com Pessoal'!$H$6,1,MATCH(5&amp;$B49,'Gastos com Pessoal'!$I$532:$AJ$532&amp;'Gastos com Pessoal'!$I$6:$AJ$6,0),500,1)),0)+_xlfn.IFNA(SUM((AY$3&gt;='Gastos com Pessoal'!$E$513:$E$522)*(AY$3&lt;='Gastos com Pessoal'!$F$513:$F$522)*(IF('Gastos com Pessoal'!$G$513:$G$522&lt;=AY$3,1,0))*OFFSET('Gastos com Pessoal'!$H$512,1,MATCH(1&amp;$B49,'Gastos com Pessoal'!$I$532:$AJ$532&amp;'Gastos com Pessoal'!$I$512:$AJ$512,0),10,1)),0)+_xlfn.IFNA(SUM((AY$3&gt;='Gastos com Pessoal'!$E$513:$E$522)*(AY$3&lt;='Gastos com Pessoal'!$F$513:$F$522)*(IF('Gastos com Pessoal'!$M$513:$M$522&lt;=AY$3,1,0))*OFFSET('Gastos com Pessoal'!$H$512,1,MATCH(2&amp;$B49,'Gastos com Pessoal'!$I$532:$AJ$532&amp;'Gastos com Pessoal'!$I$512:$AJ$512,0),10,1)),0)+_xlfn.IFNA(SUM((AY$3&gt;='Gastos com Pessoal'!$E$513:$E$522)*(AY$3&lt;='Gastos com Pessoal'!$F$513:$F$522)*(IF('Gastos com Pessoal'!$S$513:$S$522&lt;=AY$3,1,0))*OFFSET('Gastos com Pessoal'!$H$512,1,MATCH(3&amp;$B49,'Gastos com Pessoal'!$I$532:$AJ$532&amp;'Gastos com Pessoal'!$I$512:$AJ$512,0),10,1)),0)+_xlfn.IFNA(SUM((AY$3&gt;='Gastos com Pessoal'!$E$513:$E$522)*(AY$3&lt;='Gastos com Pessoal'!$F$513:$F$522)*(IF('Gastos com Pessoal'!$Y$513:$Y$522&lt;=AY$3,1,0))*OFFSET('Gastos com Pessoal'!$H$512,1,MATCH(4&amp;$B49,'Gastos com Pessoal'!$I$532:$AJ$532&amp;'Gastos com Pessoal'!$I$512:$AJ$512,0),10,1)),0)+_xlfn.IFNA(SUM((AY$3&gt;='Gastos com Pessoal'!$E$513:$E$522)*(AY$3&lt;='Gastos com Pessoal'!$F$513:$F$522)*(IF('Gastos com Pessoal'!$AE$513:$AE$522&lt;=AY$3,1,0))*OFFSET('Gastos com Pessoal'!$H$512,1,MATCH(5&amp;$B49,'Gastos com Pessoal'!$I$532:$AJ$532&amp;'Gastos com Pessoal'!$I$512:$AJ$512,0),10,1)),0)</f>
        <v>180699.83999999994</v>
      </c>
      <c r="AZ49" s="188">
        <f t="array" aca="1" ref="AZ49" ca="1">_xlfn.IFNA(SUM((AZ$3&gt;='Gastos com Pessoal'!$E$7:$E$506)*(AZ$3&lt;='Gastos com Pessoal'!$F$7:$F$506)*OFFSET('Encargos e Benefícios'!$D$5,1,MATCH($B49,'Encargos e Benefícios'!$E$5:$AB$5,0),500,1)),0)+_xlfn.IFNA(SUM((AZ$3&gt;='Gastos com Pessoal'!$E$513:$E$522)*(AZ$3&lt;='Gastos com Pessoal'!$F$513:$F$522)*OFFSET('Encargos e Benefícios'!$D$511,1,MATCH($B49,'Encargos e Benefícios'!$E$511:$AB$511,0),10,1)),0)+_xlfn.IFNA(SUM((AZ$3&gt;='Gastos com Pessoal'!$E$7:$E$506)*(AZ$3&lt;='Gastos com Pessoal'!$F$7:$F$506)*(IF('Gastos com Pessoal'!$G$7:$G$506&lt;=AZ$3,1,0))*OFFSET('Gastos com Pessoal'!$H$6,1,MATCH(1&amp;$B49,'Gastos com Pessoal'!$I$532:$AJ$532&amp;'Gastos com Pessoal'!$I$6:$AJ$6,0),500,1)),0)+_xlfn.IFNA(SUM((AZ$3&gt;='Gastos com Pessoal'!$E$7:$E$506)*(AZ$3&lt;='Gastos com Pessoal'!$F$7:$F$506)*(IF('Gastos com Pessoal'!$M$7:$M$506&lt;=AZ$3,1,0))*OFFSET('Gastos com Pessoal'!$H$6,1,MATCH(2&amp;$B49,'Gastos com Pessoal'!$I$532:$AJ$532&amp;'Gastos com Pessoal'!$I$6:$AJ$6,0),500,1)),0)+_xlfn.IFNA(SUM((AZ$3&gt;='Gastos com Pessoal'!$E$7:$E$506)*(AZ$3&lt;='Gastos com Pessoal'!$F$7:$F$506)*(IF('Gastos com Pessoal'!$S$7:$S$506&lt;=AZ$3,1,0))*OFFSET('Gastos com Pessoal'!$H$6,1,MATCH(3&amp;$B49,'Gastos com Pessoal'!$I$532:$AJ$532&amp;'Gastos com Pessoal'!$I$6:$AJ$6,0),500,1)),0)+_xlfn.IFNA(SUM((AZ$3&gt;='Gastos com Pessoal'!$E$7:$E$506)*(AZ$3&lt;='Gastos com Pessoal'!$F$7:$F$506)*(IF('Gastos com Pessoal'!$Y$7:$Y$506&lt;=AZ$3,1,0))*OFFSET('Gastos com Pessoal'!$H$6,1,MATCH(4&amp;$B49,'Gastos com Pessoal'!$I$532:$AJ$532&amp;'Gastos com Pessoal'!$I$6:$AJ$6,0),500,1)),0)+_xlfn.IFNA(SUM((AZ$3&gt;='Gastos com Pessoal'!$E$7:$E$506)*(AZ$3&lt;='Gastos com Pessoal'!$F$7:$F$506)*(IF('Gastos com Pessoal'!$AE$7:$AE$506&lt;=AZ$3,1,0))*OFFSET('Gastos com Pessoal'!$H$6,1,MATCH(5&amp;$B49,'Gastos com Pessoal'!$I$532:$AJ$532&amp;'Gastos com Pessoal'!$I$6:$AJ$6,0),500,1)),0)+_xlfn.IFNA(SUM((AZ$3&gt;='Gastos com Pessoal'!$E$513:$E$522)*(AZ$3&lt;='Gastos com Pessoal'!$F$513:$F$522)*(IF('Gastos com Pessoal'!$G$513:$G$522&lt;=AZ$3,1,0))*OFFSET('Gastos com Pessoal'!$H$512,1,MATCH(1&amp;$B49,'Gastos com Pessoal'!$I$532:$AJ$532&amp;'Gastos com Pessoal'!$I$512:$AJ$512,0),10,1)),0)+_xlfn.IFNA(SUM((AZ$3&gt;='Gastos com Pessoal'!$E$513:$E$522)*(AZ$3&lt;='Gastos com Pessoal'!$F$513:$F$522)*(IF('Gastos com Pessoal'!$M$513:$M$522&lt;=AZ$3,1,0))*OFFSET('Gastos com Pessoal'!$H$512,1,MATCH(2&amp;$B49,'Gastos com Pessoal'!$I$532:$AJ$532&amp;'Gastos com Pessoal'!$I$512:$AJ$512,0),10,1)),0)+_xlfn.IFNA(SUM((AZ$3&gt;='Gastos com Pessoal'!$E$513:$E$522)*(AZ$3&lt;='Gastos com Pessoal'!$F$513:$F$522)*(IF('Gastos com Pessoal'!$S$513:$S$522&lt;=AZ$3,1,0))*OFFSET('Gastos com Pessoal'!$H$512,1,MATCH(3&amp;$B49,'Gastos com Pessoal'!$I$532:$AJ$532&amp;'Gastos com Pessoal'!$I$512:$AJ$512,0),10,1)),0)+_xlfn.IFNA(SUM((AZ$3&gt;='Gastos com Pessoal'!$E$513:$E$522)*(AZ$3&lt;='Gastos com Pessoal'!$F$513:$F$522)*(IF('Gastos com Pessoal'!$Y$513:$Y$522&lt;=AZ$3,1,0))*OFFSET('Gastos com Pessoal'!$H$512,1,MATCH(4&amp;$B49,'Gastos com Pessoal'!$I$532:$AJ$532&amp;'Gastos com Pessoal'!$I$512:$AJ$512,0),10,1)),0)+_xlfn.IFNA(SUM((AZ$3&gt;='Gastos com Pessoal'!$E$513:$E$522)*(AZ$3&lt;='Gastos com Pessoal'!$F$513:$F$522)*(IF('Gastos com Pessoal'!$AE$513:$AE$522&lt;=AZ$3,1,0))*OFFSET('Gastos com Pessoal'!$H$512,1,MATCH(5&amp;$B49,'Gastos com Pessoal'!$I$532:$AJ$532&amp;'Gastos com Pessoal'!$I$512:$AJ$512,0),10,1)),0)</f>
        <v>180699.83999999994</v>
      </c>
      <c r="BA49" s="188">
        <f t="array" aca="1" ref="BA49" ca="1">_xlfn.IFNA(SUM((BA$3&gt;='Gastos com Pessoal'!$E$7:$E$506)*(BA$3&lt;='Gastos com Pessoal'!$F$7:$F$506)*OFFSET('Encargos e Benefícios'!$D$5,1,MATCH($B49,'Encargos e Benefícios'!$E$5:$AB$5,0),500,1)),0)+_xlfn.IFNA(SUM((BA$3&gt;='Gastos com Pessoal'!$E$513:$E$522)*(BA$3&lt;='Gastos com Pessoal'!$F$513:$F$522)*OFFSET('Encargos e Benefícios'!$D$511,1,MATCH($B49,'Encargos e Benefícios'!$E$511:$AB$511,0),10,1)),0)+_xlfn.IFNA(SUM((BA$3&gt;='Gastos com Pessoal'!$E$7:$E$506)*(BA$3&lt;='Gastos com Pessoal'!$F$7:$F$506)*(IF('Gastos com Pessoal'!$G$7:$G$506&lt;=BA$3,1,0))*OFFSET('Gastos com Pessoal'!$H$6,1,MATCH(1&amp;$B49,'Gastos com Pessoal'!$I$532:$AJ$532&amp;'Gastos com Pessoal'!$I$6:$AJ$6,0),500,1)),0)+_xlfn.IFNA(SUM((BA$3&gt;='Gastos com Pessoal'!$E$7:$E$506)*(BA$3&lt;='Gastos com Pessoal'!$F$7:$F$506)*(IF('Gastos com Pessoal'!$M$7:$M$506&lt;=BA$3,1,0))*OFFSET('Gastos com Pessoal'!$H$6,1,MATCH(2&amp;$B49,'Gastos com Pessoal'!$I$532:$AJ$532&amp;'Gastos com Pessoal'!$I$6:$AJ$6,0),500,1)),0)+_xlfn.IFNA(SUM((BA$3&gt;='Gastos com Pessoal'!$E$7:$E$506)*(BA$3&lt;='Gastos com Pessoal'!$F$7:$F$506)*(IF('Gastos com Pessoal'!$S$7:$S$506&lt;=BA$3,1,0))*OFFSET('Gastos com Pessoal'!$H$6,1,MATCH(3&amp;$B49,'Gastos com Pessoal'!$I$532:$AJ$532&amp;'Gastos com Pessoal'!$I$6:$AJ$6,0),500,1)),0)+_xlfn.IFNA(SUM((BA$3&gt;='Gastos com Pessoal'!$E$7:$E$506)*(BA$3&lt;='Gastos com Pessoal'!$F$7:$F$506)*(IF('Gastos com Pessoal'!$Y$7:$Y$506&lt;=BA$3,1,0))*OFFSET('Gastos com Pessoal'!$H$6,1,MATCH(4&amp;$B49,'Gastos com Pessoal'!$I$532:$AJ$532&amp;'Gastos com Pessoal'!$I$6:$AJ$6,0),500,1)),0)+_xlfn.IFNA(SUM((BA$3&gt;='Gastos com Pessoal'!$E$7:$E$506)*(BA$3&lt;='Gastos com Pessoal'!$F$7:$F$506)*(IF('Gastos com Pessoal'!$AE$7:$AE$506&lt;=BA$3,1,0))*OFFSET('Gastos com Pessoal'!$H$6,1,MATCH(5&amp;$B49,'Gastos com Pessoal'!$I$532:$AJ$532&amp;'Gastos com Pessoal'!$I$6:$AJ$6,0),500,1)),0)+_xlfn.IFNA(SUM((BA$3&gt;='Gastos com Pessoal'!$E$513:$E$522)*(BA$3&lt;='Gastos com Pessoal'!$F$513:$F$522)*(IF('Gastos com Pessoal'!$G$513:$G$522&lt;=BA$3,1,0))*OFFSET('Gastos com Pessoal'!$H$512,1,MATCH(1&amp;$B49,'Gastos com Pessoal'!$I$532:$AJ$532&amp;'Gastos com Pessoal'!$I$512:$AJ$512,0),10,1)),0)+_xlfn.IFNA(SUM((BA$3&gt;='Gastos com Pessoal'!$E$513:$E$522)*(BA$3&lt;='Gastos com Pessoal'!$F$513:$F$522)*(IF('Gastos com Pessoal'!$M$513:$M$522&lt;=BA$3,1,0))*OFFSET('Gastos com Pessoal'!$H$512,1,MATCH(2&amp;$B49,'Gastos com Pessoal'!$I$532:$AJ$532&amp;'Gastos com Pessoal'!$I$512:$AJ$512,0),10,1)),0)+_xlfn.IFNA(SUM((BA$3&gt;='Gastos com Pessoal'!$E$513:$E$522)*(BA$3&lt;='Gastos com Pessoal'!$F$513:$F$522)*(IF('Gastos com Pessoal'!$S$513:$S$522&lt;=BA$3,1,0))*OFFSET('Gastos com Pessoal'!$H$512,1,MATCH(3&amp;$B49,'Gastos com Pessoal'!$I$532:$AJ$532&amp;'Gastos com Pessoal'!$I$512:$AJ$512,0),10,1)),0)+_xlfn.IFNA(SUM((BA$3&gt;='Gastos com Pessoal'!$E$513:$E$522)*(BA$3&lt;='Gastos com Pessoal'!$F$513:$F$522)*(IF('Gastos com Pessoal'!$Y$513:$Y$522&lt;=BA$3,1,0))*OFFSET('Gastos com Pessoal'!$H$512,1,MATCH(4&amp;$B49,'Gastos com Pessoal'!$I$532:$AJ$532&amp;'Gastos com Pessoal'!$I$512:$AJ$512,0),10,1)),0)+_xlfn.IFNA(SUM((BA$3&gt;='Gastos com Pessoal'!$E$513:$E$522)*(BA$3&lt;='Gastos com Pessoal'!$F$513:$F$522)*(IF('Gastos com Pessoal'!$AE$513:$AE$522&lt;=BA$3,1,0))*OFFSET('Gastos com Pessoal'!$H$512,1,MATCH(5&amp;$B49,'Gastos com Pessoal'!$I$532:$AJ$532&amp;'Gastos com Pessoal'!$I$512:$AJ$512,0),10,1)),0)</f>
        <v>180699.83999999994</v>
      </c>
      <c r="BB49" s="188">
        <f t="array" aca="1" ref="BB49" ca="1">_xlfn.IFNA(SUM((BB$3&gt;='Gastos com Pessoal'!$E$7:$E$506)*(BB$3&lt;='Gastos com Pessoal'!$F$7:$F$506)*OFFSET('Encargos e Benefícios'!$D$5,1,MATCH($B49,'Encargos e Benefícios'!$E$5:$AB$5,0),500,1)),0)+_xlfn.IFNA(SUM((BB$3&gt;='Gastos com Pessoal'!$E$513:$E$522)*(BB$3&lt;='Gastos com Pessoal'!$F$513:$F$522)*OFFSET('Encargos e Benefícios'!$D$511,1,MATCH($B49,'Encargos e Benefícios'!$E$511:$AB$511,0),10,1)),0)+_xlfn.IFNA(SUM((BB$3&gt;='Gastos com Pessoal'!$E$7:$E$506)*(BB$3&lt;='Gastos com Pessoal'!$F$7:$F$506)*(IF('Gastos com Pessoal'!$G$7:$G$506&lt;=BB$3,1,0))*OFFSET('Gastos com Pessoal'!$H$6,1,MATCH(1&amp;$B49,'Gastos com Pessoal'!$I$532:$AJ$532&amp;'Gastos com Pessoal'!$I$6:$AJ$6,0),500,1)),0)+_xlfn.IFNA(SUM((BB$3&gt;='Gastos com Pessoal'!$E$7:$E$506)*(BB$3&lt;='Gastos com Pessoal'!$F$7:$F$506)*(IF('Gastos com Pessoal'!$M$7:$M$506&lt;=BB$3,1,0))*OFFSET('Gastos com Pessoal'!$H$6,1,MATCH(2&amp;$B49,'Gastos com Pessoal'!$I$532:$AJ$532&amp;'Gastos com Pessoal'!$I$6:$AJ$6,0),500,1)),0)+_xlfn.IFNA(SUM((BB$3&gt;='Gastos com Pessoal'!$E$7:$E$506)*(BB$3&lt;='Gastos com Pessoal'!$F$7:$F$506)*(IF('Gastos com Pessoal'!$S$7:$S$506&lt;=BB$3,1,0))*OFFSET('Gastos com Pessoal'!$H$6,1,MATCH(3&amp;$B49,'Gastos com Pessoal'!$I$532:$AJ$532&amp;'Gastos com Pessoal'!$I$6:$AJ$6,0),500,1)),0)+_xlfn.IFNA(SUM((BB$3&gt;='Gastos com Pessoal'!$E$7:$E$506)*(BB$3&lt;='Gastos com Pessoal'!$F$7:$F$506)*(IF('Gastos com Pessoal'!$Y$7:$Y$506&lt;=BB$3,1,0))*OFFSET('Gastos com Pessoal'!$H$6,1,MATCH(4&amp;$B49,'Gastos com Pessoal'!$I$532:$AJ$532&amp;'Gastos com Pessoal'!$I$6:$AJ$6,0),500,1)),0)+_xlfn.IFNA(SUM((BB$3&gt;='Gastos com Pessoal'!$E$7:$E$506)*(BB$3&lt;='Gastos com Pessoal'!$F$7:$F$506)*(IF('Gastos com Pessoal'!$AE$7:$AE$506&lt;=BB$3,1,0))*OFFSET('Gastos com Pessoal'!$H$6,1,MATCH(5&amp;$B49,'Gastos com Pessoal'!$I$532:$AJ$532&amp;'Gastos com Pessoal'!$I$6:$AJ$6,0),500,1)),0)+_xlfn.IFNA(SUM((BB$3&gt;='Gastos com Pessoal'!$E$513:$E$522)*(BB$3&lt;='Gastos com Pessoal'!$F$513:$F$522)*(IF('Gastos com Pessoal'!$G$513:$G$522&lt;=BB$3,1,0))*OFFSET('Gastos com Pessoal'!$H$512,1,MATCH(1&amp;$B49,'Gastos com Pessoal'!$I$532:$AJ$532&amp;'Gastos com Pessoal'!$I$512:$AJ$512,0),10,1)),0)+_xlfn.IFNA(SUM((BB$3&gt;='Gastos com Pessoal'!$E$513:$E$522)*(BB$3&lt;='Gastos com Pessoal'!$F$513:$F$522)*(IF('Gastos com Pessoal'!$M$513:$M$522&lt;=BB$3,1,0))*OFFSET('Gastos com Pessoal'!$H$512,1,MATCH(2&amp;$B49,'Gastos com Pessoal'!$I$532:$AJ$532&amp;'Gastos com Pessoal'!$I$512:$AJ$512,0),10,1)),0)+_xlfn.IFNA(SUM((BB$3&gt;='Gastos com Pessoal'!$E$513:$E$522)*(BB$3&lt;='Gastos com Pessoal'!$F$513:$F$522)*(IF('Gastos com Pessoal'!$S$513:$S$522&lt;=BB$3,1,0))*OFFSET('Gastos com Pessoal'!$H$512,1,MATCH(3&amp;$B49,'Gastos com Pessoal'!$I$532:$AJ$532&amp;'Gastos com Pessoal'!$I$512:$AJ$512,0),10,1)),0)+_xlfn.IFNA(SUM((BB$3&gt;='Gastos com Pessoal'!$E$513:$E$522)*(BB$3&lt;='Gastos com Pessoal'!$F$513:$F$522)*(IF('Gastos com Pessoal'!$Y$513:$Y$522&lt;=BB$3,1,0))*OFFSET('Gastos com Pessoal'!$H$512,1,MATCH(4&amp;$B49,'Gastos com Pessoal'!$I$532:$AJ$532&amp;'Gastos com Pessoal'!$I$512:$AJ$512,0),10,1)),0)+_xlfn.IFNA(SUM((BB$3&gt;='Gastos com Pessoal'!$E$513:$E$522)*(BB$3&lt;='Gastos com Pessoal'!$F$513:$F$522)*(IF('Gastos com Pessoal'!$AE$513:$AE$522&lt;=BB$3,1,0))*OFFSET('Gastos com Pessoal'!$H$512,1,MATCH(5&amp;$B49,'Gastos com Pessoal'!$I$532:$AJ$532&amp;'Gastos com Pessoal'!$I$512:$AJ$512,0),10,1)),0)</f>
        <v>180699.83999999994</v>
      </c>
      <c r="BC49" s="188">
        <f t="array" aca="1" ref="BC49" ca="1">_xlfn.IFNA(SUM((BC$3&gt;='Gastos com Pessoal'!$E$7:$E$506)*(BC$3&lt;='Gastos com Pessoal'!$F$7:$F$506)*OFFSET('Encargos e Benefícios'!$D$5,1,MATCH($B49,'Encargos e Benefícios'!$E$5:$AB$5,0),500,1)),0)+_xlfn.IFNA(SUM((BC$3&gt;='Gastos com Pessoal'!$E$513:$E$522)*(BC$3&lt;='Gastos com Pessoal'!$F$513:$F$522)*OFFSET('Encargos e Benefícios'!$D$511,1,MATCH($B49,'Encargos e Benefícios'!$E$511:$AB$511,0),10,1)),0)+_xlfn.IFNA(SUM((BC$3&gt;='Gastos com Pessoal'!$E$7:$E$506)*(BC$3&lt;='Gastos com Pessoal'!$F$7:$F$506)*(IF('Gastos com Pessoal'!$G$7:$G$506&lt;=BC$3,1,0))*OFFSET('Gastos com Pessoal'!$H$6,1,MATCH(1&amp;$B49,'Gastos com Pessoal'!$I$532:$AJ$532&amp;'Gastos com Pessoal'!$I$6:$AJ$6,0),500,1)),0)+_xlfn.IFNA(SUM((BC$3&gt;='Gastos com Pessoal'!$E$7:$E$506)*(BC$3&lt;='Gastos com Pessoal'!$F$7:$F$506)*(IF('Gastos com Pessoal'!$M$7:$M$506&lt;=BC$3,1,0))*OFFSET('Gastos com Pessoal'!$H$6,1,MATCH(2&amp;$B49,'Gastos com Pessoal'!$I$532:$AJ$532&amp;'Gastos com Pessoal'!$I$6:$AJ$6,0),500,1)),0)+_xlfn.IFNA(SUM((BC$3&gt;='Gastos com Pessoal'!$E$7:$E$506)*(BC$3&lt;='Gastos com Pessoal'!$F$7:$F$506)*(IF('Gastos com Pessoal'!$S$7:$S$506&lt;=BC$3,1,0))*OFFSET('Gastos com Pessoal'!$H$6,1,MATCH(3&amp;$B49,'Gastos com Pessoal'!$I$532:$AJ$532&amp;'Gastos com Pessoal'!$I$6:$AJ$6,0),500,1)),0)+_xlfn.IFNA(SUM((BC$3&gt;='Gastos com Pessoal'!$E$7:$E$506)*(BC$3&lt;='Gastos com Pessoal'!$F$7:$F$506)*(IF('Gastos com Pessoal'!$Y$7:$Y$506&lt;=BC$3,1,0))*OFFSET('Gastos com Pessoal'!$H$6,1,MATCH(4&amp;$B49,'Gastos com Pessoal'!$I$532:$AJ$532&amp;'Gastos com Pessoal'!$I$6:$AJ$6,0),500,1)),0)+_xlfn.IFNA(SUM((BC$3&gt;='Gastos com Pessoal'!$E$7:$E$506)*(BC$3&lt;='Gastos com Pessoal'!$F$7:$F$506)*(IF('Gastos com Pessoal'!$AE$7:$AE$506&lt;=BC$3,1,0))*OFFSET('Gastos com Pessoal'!$H$6,1,MATCH(5&amp;$B49,'Gastos com Pessoal'!$I$532:$AJ$532&amp;'Gastos com Pessoal'!$I$6:$AJ$6,0),500,1)),0)+_xlfn.IFNA(SUM((BC$3&gt;='Gastos com Pessoal'!$E$513:$E$522)*(BC$3&lt;='Gastos com Pessoal'!$F$513:$F$522)*(IF('Gastos com Pessoal'!$G$513:$G$522&lt;=BC$3,1,0))*OFFSET('Gastos com Pessoal'!$H$512,1,MATCH(1&amp;$B49,'Gastos com Pessoal'!$I$532:$AJ$532&amp;'Gastos com Pessoal'!$I$512:$AJ$512,0),10,1)),0)+_xlfn.IFNA(SUM((BC$3&gt;='Gastos com Pessoal'!$E$513:$E$522)*(BC$3&lt;='Gastos com Pessoal'!$F$513:$F$522)*(IF('Gastos com Pessoal'!$M$513:$M$522&lt;=BC$3,1,0))*OFFSET('Gastos com Pessoal'!$H$512,1,MATCH(2&amp;$B49,'Gastos com Pessoal'!$I$532:$AJ$532&amp;'Gastos com Pessoal'!$I$512:$AJ$512,0),10,1)),0)+_xlfn.IFNA(SUM((BC$3&gt;='Gastos com Pessoal'!$E$513:$E$522)*(BC$3&lt;='Gastos com Pessoal'!$F$513:$F$522)*(IF('Gastos com Pessoal'!$S$513:$S$522&lt;=BC$3,1,0))*OFFSET('Gastos com Pessoal'!$H$512,1,MATCH(3&amp;$B49,'Gastos com Pessoal'!$I$532:$AJ$532&amp;'Gastos com Pessoal'!$I$512:$AJ$512,0),10,1)),0)+_xlfn.IFNA(SUM((BC$3&gt;='Gastos com Pessoal'!$E$513:$E$522)*(BC$3&lt;='Gastos com Pessoal'!$F$513:$F$522)*(IF('Gastos com Pessoal'!$Y$513:$Y$522&lt;=BC$3,1,0))*OFFSET('Gastos com Pessoal'!$H$512,1,MATCH(4&amp;$B49,'Gastos com Pessoal'!$I$532:$AJ$532&amp;'Gastos com Pessoal'!$I$512:$AJ$512,0),10,1)),0)+_xlfn.IFNA(SUM((BC$3&gt;='Gastos com Pessoal'!$E$513:$E$522)*(BC$3&lt;='Gastos com Pessoal'!$F$513:$F$522)*(IF('Gastos com Pessoal'!$AE$513:$AE$522&lt;=BC$3,1,0))*OFFSET('Gastos com Pessoal'!$H$512,1,MATCH(5&amp;$B49,'Gastos com Pessoal'!$I$532:$AJ$532&amp;'Gastos com Pessoal'!$I$512:$AJ$512,0),10,1)),0)</f>
        <v>180699.83999999994</v>
      </c>
      <c r="BD49" s="188">
        <f t="array" aca="1" ref="BD49" ca="1">_xlfn.IFNA(SUM((BD$3&gt;='Gastos com Pessoal'!$E$7:$E$506)*(BD$3&lt;='Gastos com Pessoal'!$F$7:$F$506)*OFFSET('Encargos e Benefícios'!$D$5,1,MATCH($B49,'Encargos e Benefícios'!$E$5:$AB$5,0),500,1)),0)+_xlfn.IFNA(SUM((BD$3&gt;='Gastos com Pessoal'!$E$513:$E$522)*(BD$3&lt;='Gastos com Pessoal'!$F$513:$F$522)*OFFSET('Encargos e Benefícios'!$D$511,1,MATCH($B49,'Encargos e Benefícios'!$E$511:$AB$511,0),10,1)),0)+_xlfn.IFNA(SUM((BD$3&gt;='Gastos com Pessoal'!$E$7:$E$506)*(BD$3&lt;='Gastos com Pessoal'!$F$7:$F$506)*(IF('Gastos com Pessoal'!$G$7:$G$506&lt;=BD$3,1,0))*OFFSET('Gastos com Pessoal'!$H$6,1,MATCH(1&amp;$B49,'Gastos com Pessoal'!$I$532:$AJ$532&amp;'Gastos com Pessoal'!$I$6:$AJ$6,0),500,1)),0)+_xlfn.IFNA(SUM((BD$3&gt;='Gastos com Pessoal'!$E$7:$E$506)*(BD$3&lt;='Gastos com Pessoal'!$F$7:$F$506)*(IF('Gastos com Pessoal'!$M$7:$M$506&lt;=BD$3,1,0))*OFFSET('Gastos com Pessoal'!$H$6,1,MATCH(2&amp;$B49,'Gastos com Pessoal'!$I$532:$AJ$532&amp;'Gastos com Pessoal'!$I$6:$AJ$6,0),500,1)),0)+_xlfn.IFNA(SUM((BD$3&gt;='Gastos com Pessoal'!$E$7:$E$506)*(BD$3&lt;='Gastos com Pessoal'!$F$7:$F$506)*(IF('Gastos com Pessoal'!$S$7:$S$506&lt;=BD$3,1,0))*OFFSET('Gastos com Pessoal'!$H$6,1,MATCH(3&amp;$B49,'Gastos com Pessoal'!$I$532:$AJ$532&amp;'Gastos com Pessoal'!$I$6:$AJ$6,0),500,1)),0)+_xlfn.IFNA(SUM((BD$3&gt;='Gastos com Pessoal'!$E$7:$E$506)*(BD$3&lt;='Gastos com Pessoal'!$F$7:$F$506)*(IF('Gastos com Pessoal'!$Y$7:$Y$506&lt;=BD$3,1,0))*OFFSET('Gastos com Pessoal'!$H$6,1,MATCH(4&amp;$B49,'Gastos com Pessoal'!$I$532:$AJ$532&amp;'Gastos com Pessoal'!$I$6:$AJ$6,0),500,1)),0)+_xlfn.IFNA(SUM((BD$3&gt;='Gastos com Pessoal'!$E$7:$E$506)*(BD$3&lt;='Gastos com Pessoal'!$F$7:$F$506)*(IF('Gastos com Pessoal'!$AE$7:$AE$506&lt;=BD$3,1,0))*OFFSET('Gastos com Pessoal'!$H$6,1,MATCH(5&amp;$B49,'Gastos com Pessoal'!$I$532:$AJ$532&amp;'Gastos com Pessoal'!$I$6:$AJ$6,0),500,1)),0)+_xlfn.IFNA(SUM((BD$3&gt;='Gastos com Pessoal'!$E$513:$E$522)*(BD$3&lt;='Gastos com Pessoal'!$F$513:$F$522)*(IF('Gastos com Pessoal'!$G$513:$G$522&lt;=BD$3,1,0))*OFFSET('Gastos com Pessoal'!$H$512,1,MATCH(1&amp;$B49,'Gastos com Pessoal'!$I$532:$AJ$532&amp;'Gastos com Pessoal'!$I$512:$AJ$512,0),10,1)),0)+_xlfn.IFNA(SUM((BD$3&gt;='Gastos com Pessoal'!$E$513:$E$522)*(BD$3&lt;='Gastos com Pessoal'!$F$513:$F$522)*(IF('Gastos com Pessoal'!$M$513:$M$522&lt;=BD$3,1,0))*OFFSET('Gastos com Pessoal'!$H$512,1,MATCH(2&amp;$B49,'Gastos com Pessoal'!$I$532:$AJ$532&amp;'Gastos com Pessoal'!$I$512:$AJ$512,0),10,1)),0)+_xlfn.IFNA(SUM((BD$3&gt;='Gastos com Pessoal'!$E$513:$E$522)*(BD$3&lt;='Gastos com Pessoal'!$F$513:$F$522)*(IF('Gastos com Pessoal'!$S$513:$S$522&lt;=BD$3,1,0))*OFFSET('Gastos com Pessoal'!$H$512,1,MATCH(3&amp;$B49,'Gastos com Pessoal'!$I$532:$AJ$532&amp;'Gastos com Pessoal'!$I$512:$AJ$512,0),10,1)),0)+_xlfn.IFNA(SUM((BD$3&gt;='Gastos com Pessoal'!$E$513:$E$522)*(BD$3&lt;='Gastos com Pessoal'!$F$513:$F$522)*(IF('Gastos com Pessoal'!$Y$513:$Y$522&lt;=BD$3,1,0))*OFFSET('Gastos com Pessoal'!$H$512,1,MATCH(4&amp;$B49,'Gastos com Pessoal'!$I$532:$AJ$532&amp;'Gastos com Pessoal'!$I$512:$AJ$512,0),10,1)),0)+_xlfn.IFNA(SUM((BD$3&gt;='Gastos com Pessoal'!$E$513:$E$522)*(BD$3&lt;='Gastos com Pessoal'!$F$513:$F$522)*(IF('Gastos com Pessoal'!$AE$513:$AE$522&lt;=BD$3,1,0))*OFFSET('Gastos com Pessoal'!$H$512,1,MATCH(5&amp;$B49,'Gastos com Pessoal'!$I$532:$AJ$532&amp;'Gastos com Pessoal'!$I$512:$AJ$512,0),10,1)),0)</f>
        <v>191252.15999999995</v>
      </c>
      <c r="BE49" s="188">
        <f t="array" aca="1" ref="BE49" ca="1">_xlfn.IFNA(SUM((BE$3&gt;='Gastos com Pessoal'!$E$7:$E$506)*(BE$3&lt;='Gastos com Pessoal'!$F$7:$F$506)*OFFSET('Encargos e Benefícios'!$D$5,1,MATCH($B49,'Encargos e Benefícios'!$E$5:$AB$5,0),500,1)),0)+_xlfn.IFNA(SUM((BE$3&gt;='Gastos com Pessoal'!$E$513:$E$522)*(BE$3&lt;='Gastos com Pessoal'!$F$513:$F$522)*OFFSET('Encargos e Benefícios'!$D$511,1,MATCH($B49,'Encargos e Benefícios'!$E$511:$AB$511,0),10,1)),0)+_xlfn.IFNA(SUM((BE$3&gt;='Gastos com Pessoal'!$E$7:$E$506)*(BE$3&lt;='Gastos com Pessoal'!$F$7:$F$506)*(IF('Gastos com Pessoal'!$G$7:$G$506&lt;=BE$3,1,0))*OFFSET('Gastos com Pessoal'!$H$6,1,MATCH(1&amp;$B49,'Gastos com Pessoal'!$I$532:$AJ$532&amp;'Gastos com Pessoal'!$I$6:$AJ$6,0),500,1)),0)+_xlfn.IFNA(SUM((BE$3&gt;='Gastos com Pessoal'!$E$7:$E$506)*(BE$3&lt;='Gastos com Pessoal'!$F$7:$F$506)*(IF('Gastos com Pessoal'!$M$7:$M$506&lt;=BE$3,1,0))*OFFSET('Gastos com Pessoal'!$H$6,1,MATCH(2&amp;$B49,'Gastos com Pessoal'!$I$532:$AJ$532&amp;'Gastos com Pessoal'!$I$6:$AJ$6,0),500,1)),0)+_xlfn.IFNA(SUM((BE$3&gt;='Gastos com Pessoal'!$E$7:$E$506)*(BE$3&lt;='Gastos com Pessoal'!$F$7:$F$506)*(IF('Gastos com Pessoal'!$S$7:$S$506&lt;=BE$3,1,0))*OFFSET('Gastos com Pessoal'!$H$6,1,MATCH(3&amp;$B49,'Gastos com Pessoal'!$I$532:$AJ$532&amp;'Gastos com Pessoal'!$I$6:$AJ$6,0),500,1)),0)+_xlfn.IFNA(SUM((BE$3&gt;='Gastos com Pessoal'!$E$7:$E$506)*(BE$3&lt;='Gastos com Pessoal'!$F$7:$F$506)*(IF('Gastos com Pessoal'!$Y$7:$Y$506&lt;=BE$3,1,0))*OFFSET('Gastos com Pessoal'!$H$6,1,MATCH(4&amp;$B49,'Gastos com Pessoal'!$I$532:$AJ$532&amp;'Gastos com Pessoal'!$I$6:$AJ$6,0),500,1)),0)+_xlfn.IFNA(SUM((BE$3&gt;='Gastos com Pessoal'!$E$7:$E$506)*(BE$3&lt;='Gastos com Pessoal'!$F$7:$F$506)*(IF('Gastos com Pessoal'!$AE$7:$AE$506&lt;=BE$3,1,0))*OFFSET('Gastos com Pessoal'!$H$6,1,MATCH(5&amp;$B49,'Gastos com Pessoal'!$I$532:$AJ$532&amp;'Gastos com Pessoal'!$I$6:$AJ$6,0),500,1)),0)+_xlfn.IFNA(SUM((BE$3&gt;='Gastos com Pessoal'!$E$513:$E$522)*(BE$3&lt;='Gastos com Pessoal'!$F$513:$F$522)*(IF('Gastos com Pessoal'!$G$513:$G$522&lt;=BE$3,1,0))*OFFSET('Gastos com Pessoal'!$H$512,1,MATCH(1&amp;$B49,'Gastos com Pessoal'!$I$532:$AJ$532&amp;'Gastos com Pessoal'!$I$512:$AJ$512,0),10,1)),0)+_xlfn.IFNA(SUM((BE$3&gt;='Gastos com Pessoal'!$E$513:$E$522)*(BE$3&lt;='Gastos com Pessoal'!$F$513:$F$522)*(IF('Gastos com Pessoal'!$M$513:$M$522&lt;=BE$3,1,0))*OFFSET('Gastos com Pessoal'!$H$512,1,MATCH(2&amp;$B49,'Gastos com Pessoal'!$I$532:$AJ$532&amp;'Gastos com Pessoal'!$I$512:$AJ$512,0),10,1)),0)+_xlfn.IFNA(SUM((BE$3&gt;='Gastos com Pessoal'!$E$513:$E$522)*(BE$3&lt;='Gastos com Pessoal'!$F$513:$F$522)*(IF('Gastos com Pessoal'!$S$513:$S$522&lt;=BE$3,1,0))*OFFSET('Gastos com Pessoal'!$H$512,1,MATCH(3&amp;$B49,'Gastos com Pessoal'!$I$532:$AJ$532&amp;'Gastos com Pessoal'!$I$512:$AJ$512,0),10,1)),0)+_xlfn.IFNA(SUM((BE$3&gt;='Gastos com Pessoal'!$E$513:$E$522)*(BE$3&lt;='Gastos com Pessoal'!$F$513:$F$522)*(IF('Gastos com Pessoal'!$Y$513:$Y$522&lt;=BE$3,1,0))*OFFSET('Gastos com Pessoal'!$H$512,1,MATCH(4&amp;$B49,'Gastos com Pessoal'!$I$532:$AJ$532&amp;'Gastos com Pessoal'!$I$512:$AJ$512,0),10,1)),0)+_xlfn.IFNA(SUM((BE$3&gt;='Gastos com Pessoal'!$E$513:$E$522)*(BE$3&lt;='Gastos com Pessoal'!$F$513:$F$522)*(IF('Gastos com Pessoal'!$AE$513:$AE$522&lt;=BE$3,1,0))*OFFSET('Gastos com Pessoal'!$H$512,1,MATCH(5&amp;$B49,'Gastos com Pessoal'!$I$532:$AJ$532&amp;'Gastos com Pessoal'!$I$512:$AJ$512,0),10,1)),0)</f>
        <v>191252.15999999995</v>
      </c>
      <c r="BF49" s="188">
        <f t="array" aca="1" ref="BF49" ca="1">_xlfn.IFNA(SUM((BF$3&gt;='Gastos com Pessoal'!$E$7:$E$506)*(BF$3&lt;='Gastos com Pessoal'!$F$7:$F$506)*OFFSET('Encargos e Benefícios'!$D$5,1,MATCH($B49,'Encargos e Benefícios'!$E$5:$AB$5,0),500,1)),0)+_xlfn.IFNA(SUM((BF$3&gt;='Gastos com Pessoal'!$E$513:$E$522)*(BF$3&lt;='Gastos com Pessoal'!$F$513:$F$522)*OFFSET('Encargos e Benefícios'!$D$511,1,MATCH($B49,'Encargos e Benefícios'!$E$511:$AB$511,0),10,1)),0)+_xlfn.IFNA(SUM((BF$3&gt;='Gastos com Pessoal'!$E$7:$E$506)*(BF$3&lt;='Gastos com Pessoal'!$F$7:$F$506)*(IF('Gastos com Pessoal'!$G$7:$G$506&lt;=BF$3,1,0))*OFFSET('Gastos com Pessoal'!$H$6,1,MATCH(1&amp;$B49,'Gastos com Pessoal'!$I$532:$AJ$532&amp;'Gastos com Pessoal'!$I$6:$AJ$6,0),500,1)),0)+_xlfn.IFNA(SUM((BF$3&gt;='Gastos com Pessoal'!$E$7:$E$506)*(BF$3&lt;='Gastos com Pessoal'!$F$7:$F$506)*(IF('Gastos com Pessoal'!$M$7:$M$506&lt;=BF$3,1,0))*OFFSET('Gastos com Pessoal'!$H$6,1,MATCH(2&amp;$B49,'Gastos com Pessoal'!$I$532:$AJ$532&amp;'Gastos com Pessoal'!$I$6:$AJ$6,0),500,1)),0)+_xlfn.IFNA(SUM((BF$3&gt;='Gastos com Pessoal'!$E$7:$E$506)*(BF$3&lt;='Gastos com Pessoal'!$F$7:$F$506)*(IF('Gastos com Pessoal'!$S$7:$S$506&lt;=BF$3,1,0))*OFFSET('Gastos com Pessoal'!$H$6,1,MATCH(3&amp;$B49,'Gastos com Pessoal'!$I$532:$AJ$532&amp;'Gastos com Pessoal'!$I$6:$AJ$6,0),500,1)),0)+_xlfn.IFNA(SUM((BF$3&gt;='Gastos com Pessoal'!$E$7:$E$506)*(BF$3&lt;='Gastos com Pessoal'!$F$7:$F$506)*(IF('Gastos com Pessoal'!$Y$7:$Y$506&lt;=BF$3,1,0))*OFFSET('Gastos com Pessoal'!$H$6,1,MATCH(4&amp;$B49,'Gastos com Pessoal'!$I$532:$AJ$532&amp;'Gastos com Pessoal'!$I$6:$AJ$6,0),500,1)),0)+_xlfn.IFNA(SUM((BF$3&gt;='Gastos com Pessoal'!$E$7:$E$506)*(BF$3&lt;='Gastos com Pessoal'!$F$7:$F$506)*(IF('Gastos com Pessoal'!$AE$7:$AE$506&lt;=BF$3,1,0))*OFFSET('Gastos com Pessoal'!$H$6,1,MATCH(5&amp;$B49,'Gastos com Pessoal'!$I$532:$AJ$532&amp;'Gastos com Pessoal'!$I$6:$AJ$6,0),500,1)),0)+_xlfn.IFNA(SUM((BF$3&gt;='Gastos com Pessoal'!$E$513:$E$522)*(BF$3&lt;='Gastos com Pessoal'!$F$513:$F$522)*(IF('Gastos com Pessoal'!$G$513:$G$522&lt;=BF$3,1,0))*OFFSET('Gastos com Pessoal'!$H$512,1,MATCH(1&amp;$B49,'Gastos com Pessoal'!$I$532:$AJ$532&amp;'Gastos com Pessoal'!$I$512:$AJ$512,0),10,1)),0)+_xlfn.IFNA(SUM((BF$3&gt;='Gastos com Pessoal'!$E$513:$E$522)*(BF$3&lt;='Gastos com Pessoal'!$F$513:$F$522)*(IF('Gastos com Pessoal'!$M$513:$M$522&lt;=BF$3,1,0))*OFFSET('Gastos com Pessoal'!$H$512,1,MATCH(2&amp;$B49,'Gastos com Pessoal'!$I$532:$AJ$532&amp;'Gastos com Pessoal'!$I$512:$AJ$512,0),10,1)),0)+_xlfn.IFNA(SUM((BF$3&gt;='Gastos com Pessoal'!$E$513:$E$522)*(BF$3&lt;='Gastos com Pessoal'!$F$513:$F$522)*(IF('Gastos com Pessoal'!$S$513:$S$522&lt;=BF$3,1,0))*OFFSET('Gastos com Pessoal'!$H$512,1,MATCH(3&amp;$B49,'Gastos com Pessoal'!$I$532:$AJ$532&amp;'Gastos com Pessoal'!$I$512:$AJ$512,0),10,1)),0)+_xlfn.IFNA(SUM((BF$3&gt;='Gastos com Pessoal'!$E$513:$E$522)*(BF$3&lt;='Gastos com Pessoal'!$F$513:$F$522)*(IF('Gastos com Pessoal'!$Y$513:$Y$522&lt;=BF$3,1,0))*OFFSET('Gastos com Pessoal'!$H$512,1,MATCH(4&amp;$B49,'Gastos com Pessoal'!$I$532:$AJ$532&amp;'Gastos com Pessoal'!$I$512:$AJ$512,0),10,1)),0)+_xlfn.IFNA(SUM((BF$3&gt;='Gastos com Pessoal'!$E$513:$E$522)*(BF$3&lt;='Gastos com Pessoal'!$F$513:$F$522)*(IF('Gastos com Pessoal'!$AE$513:$AE$522&lt;=BF$3,1,0))*OFFSET('Gastos com Pessoal'!$H$512,1,MATCH(5&amp;$B49,'Gastos com Pessoal'!$I$532:$AJ$532&amp;'Gastos com Pessoal'!$I$512:$AJ$512,0),10,1)),0)</f>
        <v>191252.15999999995</v>
      </c>
      <c r="BG49" s="188">
        <f t="array" aca="1" ref="BG49" ca="1">_xlfn.IFNA(SUM((BG$3&gt;='Gastos com Pessoal'!$E$7:$E$506)*(BG$3&lt;='Gastos com Pessoal'!$F$7:$F$506)*OFFSET('Encargos e Benefícios'!$D$5,1,MATCH($B49,'Encargos e Benefícios'!$E$5:$AB$5,0),500,1)),0)+_xlfn.IFNA(SUM((BG$3&gt;='Gastos com Pessoal'!$E$513:$E$522)*(BG$3&lt;='Gastos com Pessoal'!$F$513:$F$522)*OFFSET('Encargos e Benefícios'!$D$511,1,MATCH($B49,'Encargos e Benefícios'!$E$511:$AB$511,0),10,1)),0)+_xlfn.IFNA(SUM((BG$3&gt;='Gastos com Pessoal'!$E$7:$E$506)*(BG$3&lt;='Gastos com Pessoal'!$F$7:$F$506)*(IF('Gastos com Pessoal'!$G$7:$G$506&lt;=BG$3,1,0))*OFFSET('Gastos com Pessoal'!$H$6,1,MATCH(1&amp;$B49,'Gastos com Pessoal'!$I$532:$AJ$532&amp;'Gastos com Pessoal'!$I$6:$AJ$6,0),500,1)),0)+_xlfn.IFNA(SUM((BG$3&gt;='Gastos com Pessoal'!$E$7:$E$506)*(BG$3&lt;='Gastos com Pessoal'!$F$7:$F$506)*(IF('Gastos com Pessoal'!$M$7:$M$506&lt;=BG$3,1,0))*OFFSET('Gastos com Pessoal'!$H$6,1,MATCH(2&amp;$B49,'Gastos com Pessoal'!$I$532:$AJ$532&amp;'Gastos com Pessoal'!$I$6:$AJ$6,0),500,1)),0)+_xlfn.IFNA(SUM((BG$3&gt;='Gastos com Pessoal'!$E$7:$E$506)*(BG$3&lt;='Gastos com Pessoal'!$F$7:$F$506)*(IF('Gastos com Pessoal'!$S$7:$S$506&lt;=BG$3,1,0))*OFFSET('Gastos com Pessoal'!$H$6,1,MATCH(3&amp;$B49,'Gastos com Pessoal'!$I$532:$AJ$532&amp;'Gastos com Pessoal'!$I$6:$AJ$6,0),500,1)),0)+_xlfn.IFNA(SUM((BG$3&gt;='Gastos com Pessoal'!$E$7:$E$506)*(BG$3&lt;='Gastos com Pessoal'!$F$7:$F$506)*(IF('Gastos com Pessoal'!$Y$7:$Y$506&lt;=BG$3,1,0))*OFFSET('Gastos com Pessoal'!$H$6,1,MATCH(4&amp;$B49,'Gastos com Pessoal'!$I$532:$AJ$532&amp;'Gastos com Pessoal'!$I$6:$AJ$6,0),500,1)),0)+_xlfn.IFNA(SUM((BG$3&gt;='Gastos com Pessoal'!$E$7:$E$506)*(BG$3&lt;='Gastos com Pessoal'!$F$7:$F$506)*(IF('Gastos com Pessoal'!$AE$7:$AE$506&lt;=BG$3,1,0))*OFFSET('Gastos com Pessoal'!$H$6,1,MATCH(5&amp;$B49,'Gastos com Pessoal'!$I$532:$AJ$532&amp;'Gastos com Pessoal'!$I$6:$AJ$6,0),500,1)),0)+_xlfn.IFNA(SUM((BG$3&gt;='Gastos com Pessoal'!$E$513:$E$522)*(BG$3&lt;='Gastos com Pessoal'!$F$513:$F$522)*(IF('Gastos com Pessoal'!$G$513:$G$522&lt;=BG$3,1,0))*OFFSET('Gastos com Pessoal'!$H$512,1,MATCH(1&amp;$B49,'Gastos com Pessoal'!$I$532:$AJ$532&amp;'Gastos com Pessoal'!$I$512:$AJ$512,0),10,1)),0)+_xlfn.IFNA(SUM((BG$3&gt;='Gastos com Pessoal'!$E$513:$E$522)*(BG$3&lt;='Gastos com Pessoal'!$F$513:$F$522)*(IF('Gastos com Pessoal'!$M$513:$M$522&lt;=BG$3,1,0))*OFFSET('Gastos com Pessoal'!$H$512,1,MATCH(2&amp;$B49,'Gastos com Pessoal'!$I$532:$AJ$532&amp;'Gastos com Pessoal'!$I$512:$AJ$512,0),10,1)),0)+_xlfn.IFNA(SUM((BG$3&gt;='Gastos com Pessoal'!$E$513:$E$522)*(BG$3&lt;='Gastos com Pessoal'!$F$513:$F$522)*(IF('Gastos com Pessoal'!$S$513:$S$522&lt;=BG$3,1,0))*OFFSET('Gastos com Pessoal'!$H$512,1,MATCH(3&amp;$B49,'Gastos com Pessoal'!$I$532:$AJ$532&amp;'Gastos com Pessoal'!$I$512:$AJ$512,0),10,1)),0)+_xlfn.IFNA(SUM((BG$3&gt;='Gastos com Pessoal'!$E$513:$E$522)*(BG$3&lt;='Gastos com Pessoal'!$F$513:$F$522)*(IF('Gastos com Pessoal'!$Y$513:$Y$522&lt;=BG$3,1,0))*OFFSET('Gastos com Pessoal'!$H$512,1,MATCH(4&amp;$B49,'Gastos com Pessoal'!$I$532:$AJ$532&amp;'Gastos com Pessoal'!$I$512:$AJ$512,0),10,1)),0)+_xlfn.IFNA(SUM((BG$3&gt;='Gastos com Pessoal'!$E$513:$E$522)*(BG$3&lt;='Gastos com Pessoal'!$F$513:$F$522)*(IF('Gastos com Pessoal'!$AE$513:$AE$522&lt;=BG$3,1,0))*OFFSET('Gastos com Pessoal'!$H$512,1,MATCH(5&amp;$B49,'Gastos com Pessoal'!$I$532:$AJ$532&amp;'Gastos com Pessoal'!$I$512:$AJ$512,0),10,1)),0)</f>
        <v>191252.15999999995</v>
      </c>
      <c r="BH49" s="188">
        <f t="array" aca="1" ref="BH49" ca="1">_xlfn.IFNA(SUM((BH$3&gt;='Gastos com Pessoal'!$E$7:$E$506)*(BH$3&lt;='Gastos com Pessoal'!$F$7:$F$506)*OFFSET('Encargos e Benefícios'!$D$5,1,MATCH($B49,'Encargos e Benefícios'!$E$5:$AB$5,0),500,1)),0)+_xlfn.IFNA(SUM((BH$3&gt;='Gastos com Pessoal'!$E$513:$E$522)*(BH$3&lt;='Gastos com Pessoal'!$F$513:$F$522)*OFFSET('Encargos e Benefícios'!$D$511,1,MATCH($B49,'Encargos e Benefícios'!$E$511:$AB$511,0),10,1)),0)+_xlfn.IFNA(SUM((BH$3&gt;='Gastos com Pessoal'!$E$7:$E$506)*(BH$3&lt;='Gastos com Pessoal'!$F$7:$F$506)*(IF('Gastos com Pessoal'!$G$7:$G$506&lt;=BH$3,1,0))*OFFSET('Gastos com Pessoal'!$H$6,1,MATCH(1&amp;$B49,'Gastos com Pessoal'!$I$532:$AJ$532&amp;'Gastos com Pessoal'!$I$6:$AJ$6,0),500,1)),0)+_xlfn.IFNA(SUM((BH$3&gt;='Gastos com Pessoal'!$E$7:$E$506)*(BH$3&lt;='Gastos com Pessoal'!$F$7:$F$506)*(IF('Gastos com Pessoal'!$M$7:$M$506&lt;=BH$3,1,0))*OFFSET('Gastos com Pessoal'!$H$6,1,MATCH(2&amp;$B49,'Gastos com Pessoal'!$I$532:$AJ$532&amp;'Gastos com Pessoal'!$I$6:$AJ$6,0),500,1)),0)+_xlfn.IFNA(SUM((BH$3&gt;='Gastos com Pessoal'!$E$7:$E$506)*(BH$3&lt;='Gastos com Pessoal'!$F$7:$F$506)*(IF('Gastos com Pessoal'!$S$7:$S$506&lt;=BH$3,1,0))*OFFSET('Gastos com Pessoal'!$H$6,1,MATCH(3&amp;$B49,'Gastos com Pessoal'!$I$532:$AJ$532&amp;'Gastos com Pessoal'!$I$6:$AJ$6,0),500,1)),0)+_xlfn.IFNA(SUM((BH$3&gt;='Gastos com Pessoal'!$E$7:$E$506)*(BH$3&lt;='Gastos com Pessoal'!$F$7:$F$506)*(IF('Gastos com Pessoal'!$Y$7:$Y$506&lt;=BH$3,1,0))*OFFSET('Gastos com Pessoal'!$H$6,1,MATCH(4&amp;$B49,'Gastos com Pessoal'!$I$532:$AJ$532&amp;'Gastos com Pessoal'!$I$6:$AJ$6,0),500,1)),0)+_xlfn.IFNA(SUM((BH$3&gt;='Gastos com Pessoal'!$E$7:$E$506)*(BH$3&lt;='Gastos com Pessoal'!$F$7:$F$506)*(IF('Gastos com Pessoal'!$AE$7:$AE$506&lt;=BH$3,1,0))*OFFSET('Gastos com Pessoal'!$H$6,1,MATCH(5&amp;$B49,'Gastos com Pessoal'!$I$532:$AJ$532&amp;'Gastos com Pessoal'!$I$6:$AJ$6,0),500,1)),0)+_xlfn.IFNA(SUM((BH$3&gt;='Gastos com Pessoal'!$E$513:$E$522)*(BH$3&lt;='Gastos com Pessoal'!$F$513:$F$522)*(IF('Gastos com Pessoal'!$G$513:$G$522&lt;=BH$3,1,0))*OFFSET('Gastos com Pessoal'!$H$512,1,MATCH(1&amp;$B49,'Gastos com Pessoal'!$I$532:$AJ$532&amp;'Gastos com Pessoal'!$I$512:$AJ$512,0),10,1)),0)+_xlfn.IFNA(SUM((BH$3&gt;='Gastos com Pessoal'!$E$513:$E$522)*(BH$3&lt;='Gastos com Pessoal'!$F$513:$F$522)*(IF('Gastos com Pessoal'!$M$513:$M$522&lt;=BH$3,1,0))*OFFSET('Gastos com Pessoal'!$H$512,1,MATCH(2&amp;$B49,'Gastos com Pessoal'!$I$532:$AJ$532&amp;'Gastos com Pessoal'!$I$512:$AJ$512,0),10,1)),0)+_xlfn.IFNA(SUM((BH$3&gt;='Gastos com Pessoal'!$E$513:$E$522)*(BH$3&lt;='Gastos com Pessoal'!$F$513:$F$522)*(IF('Gastos com Pessoal'!$S$513:$S$522&lt;=BH$3,1,0))*OFFSET('Gastos com Pessoal'!$H$512,1,MATCH(3&amp;$B49,'Gastos com Pessoal'!$I$532:$AJ$532&amp;'Gastos com Pessoal'!$I$512:$AJ$512,0),10,1)),0)+_xlfn.IFNA(SUM((BH$3&gt;='Gastos com Pessoal'!$E$513:$E$522)*(BH$3&lt;='Gastos com Pessoal'!$F$513:$F$522)*(IF('Gastos com Pessoal'!$Y$513:$Y$522&lt;=BH$3,1,0))*OFFSET('Gastos com Pessoal'!$H$512,1,MATCH(4&amp;$B49,'Gastos com Pessoal'!$I$532:$AJ$532&amp;'Gastos com Pessoal'!$I$512:$AJ$512,0),10,1)),0)+_xlfn.IFNA(SUM((BH$3&gt;='Gastos com Pessoal'!$E$513:$E$522)*(BH$3&lt;='Gastos com Pessoal'!$F$513:$F$522)*(IF('Gastos com Pessoal'!$AE$513:$AE$522&lt;=BH$3,1,0))*OFFSET('Gastos com Pessoal'!$H$512,1,MATCH(5&amp;$B49,'Gastos com Pessoal'!$I$532:$AJ$532&amp;'Gastos com Pessoal'!$I$512:$AJ$512,0),10,1)),0)</f>
        <v>191252.15999999995</v>
      </c>
      <c r="BI49" s="188">
        <f t="array" aca="1" ref="BI49" ca="1">_xlfn.IFNA(SUM((BI$3&gt;='Gastos com Pessoal'!$E$7:$E$506)*(BI$3&lt;='Gastos com Pessoal'!$F$7:$F$506)*OFFSET('Encargos e Benefícios'!$D$5,1,MATCH($B49,'Encargos e Benefícios'!$E$5:$AB$5,0),500,1)),0)+_xlfn.IFNA(SUM((BI$3&gt;='Gastos com Pessoal'!$E$513:$E$522)*(BI$3&lt;='Gastos com Pessoal'!$F$513:$F$522)*OFFSET('Encargos e Benefícios'!$D$511,1,MATCH($B49,'Encargos e Benefícios'!$E$511:$AB$511,0),10,1)),0)+_xlfn.IFNA(SUM((BI$3&gt;='Gastos com Pessoal'!$E$7:$E$506)*(BI$3&lt;='Gastos com Pessoal'!$F$7:$F$506)*(IF('Gastos com Pessoal'!$G$7:$G$506&lt;=BI$3,1,0))*OFFSET('Gastos com Pessoal'!$H$6,1,MATCH(1&amp;$B49,'Gastos com Pessoal'!$I$532:$AJ$532&amp;'Gastos com Pessoal'!$I$6:$AJ$6,0),500,1)),0)+_xlfn.IFNA(SUM((BI$3&gt;='Gastos com Pessoal'!$E$7:$E$506)*(BI$3&lt;='Gastos com Pessoal'!$F$7:$F$506)*(IF('Gastos com Pessoal'!$M$7:$M$506&lt;=BI$3,1,0))*OFFSET('Gastos com Pessoal'!$H$6,1,MATCH(2&amp;$B49,'Gastos com Pessoal'!$I$532:$AJ$532&amp;'Gastos com Pessoal'!$I$6:$AJ$6,0),500,1)),0)+_xlfn.IFNA(SUM((BI$3&gt;='Gastos com Pessoal'!$E$7:$E$506)*(BI$3&lt;='Gastos com Pessoal'!$F$7:$F$506)*(IF('Gastos com Pessoal'!$S$7:$S$506&lt;=BI$3,1,0))*OFFSET('Gastos com Pessoal'!$H$6,1,MATCH(3&amp;$B49,'Gastos com Pessoal'!$I$532:$AJ$532&amp;'Gastos com Pessoal'!$I$6:$AJ$6,0),500,1)),0)+_xlfn.IFNA(SUM((BI$3&gt;='Gastos com Pessoal'!$E$7:$E$506)*(BI$3&lt;='Gastos com Pessoal'!$F$7:$F$506)*(IF('Gastos com Pessoal'!$Y$7:$Y$506&lt;=BI$3,1,0))*OFFSET('Gastos com Pessoal'!$H$6,1,MATCH(4&amp;$B49,'Gastos com Pessoal'!$I$532:$AJ$532&amp;'Gastos com Pessoal'!$I$6:$AJ$6,0),500,1)),0)+_xlfn.IFNA(SUM((BI$3&gt;='Gastos com Pessoal'!$E$7:$E$506)*(BI$3&lt;='Gastos com Pessoal'!$F$7:$F$506)*(IF('Gastos com Pessoal'!$AE$7:$AE$506&lt;=BI$3,1,0))*OFFSET('Gastos com Pessoal'!$H$6,1,MATCH(5&amp;$B49,'Gastos com Pessoal'!$I$532:$AJ$532&amp;'Gastos com Pessoal'!$I$6:$AJ$6,0),500,1)),0)+_xlfn.IFNA(SUM((BI$3&gt;='Gastos com Pessoal'!$E$513:$E$522)*(BI$3&lt;='Gastos com Pessoal'!$F$513:$F$522)*(IF('Gastos com Pessoal'!$G$513:$G$522&lt;=BI$3,1,0))*OFFSET('Gastos com Pessoal'!$H$512,1,MATCH(1&amp;$B49,'Gastos com Pessoal'!$I$532:$AJ$532&amp;'Gastos com Pessoal'!$I$512:$AJ$512,0),10,1)),0)+_xlfn.IFNA(SUM((BI$3&gt;='Gastos com Pessoal'!$E$513:$E$522)*(BI$3&lt;='Gastos com Pessoal'!$F$513:$F$522)*(IF('Gastos com Pessoal'!$M$513:$M$522&lt;=BI$3,1,0))*OFFSET('Gastos com Pessoal'!$H$512,1,MATCH(2&amp;$B49,'Gastos com Pessoal'!$I$532:$AJ$532&amp;'Gastos com Pessoal'!$I$512:$AJ$512,0),10,1)),0)+_xlfn.IFNA(SUM((BI$3&gt;='Gastos com Pessoal'!$E$513:$E$522)*(BI$3&lt;='Gastos com Pessoal'!$F$513:$F$522)*(IF('Gastos com Pessoal'!$S$513:$S$522&lt;=BI$3,1,0))*OFFSET('Gastos com Pessoal'!$H$512,1,MATCH(3&amp;$B49,'Gastos com Pessoal'!$I$532:$AJ$532&amp;'Gastos com Pessoal'!$I$512:$AJ$512,0),10,1)),0)+_xlfn.IFNA(SUM((BI$3&gt;='Gastos com Pessoal'!$E$513:$E$522)*(BI$3&lt;='Gastos com Pessoal'!$F$513:$F$522)*(IF('Gastos com Pessoal'!$Y$513:$Y$522&lt;=BI$3,1,0))*OFFSET('Gastos com Pessoal'!$H$512,1,MATCH(4&amp;$B49,'Gastos com Pessoal'!$I$532:$AJ$532&amp;'Gastos com Pessoal'!$I$512:$AJ$512,0),10,1)),0)+_xlfn.IFNA(SUM((BI$3&gt;='Gastos com Pessoal'!$E$513:$E$522)*(BI$3&lt;='Gastos com Pessoal'!$F$513:$F$522)*(IF('Gastos com Pessoal'!$AE$513:$AE$522&lt;=BI$3,1,0))*OFFSET('Gastos com Pessoal'!$H$512,1,MATCH(5&amp;$B49,'Gastos com Pessoal'!$I$532:$AJ$532&amp;'Gastos com Pessoal'!$I$512:$AJ$512,0),10,1)),0)</f>
        <v>191252.15999999995</v>
      </c>
      <c r="BJ49" s="188">
        <f t="array" aca="1" ref="BJ49" ca="1">_xlfn.IFNA(SUM((BJ$3&gt;='Gastos com Pessoal'!$E$7:$E$506)*(BJ$3&lt;='Gastos com Pessoal'!$F$7:$F$506)*OFFSET('Encargos e Benefícios'!$D$5,1,MATCH($B49,'Encargos e Benefícios'!$E$5:$AB$5,0),500,1)),0)+_xlfn.IFNA(SUM((BJ$3&gt;='Gastos com Pessoal'!$E$513:$E$522)*(BJ$3&lt;='Gastos com Pessoal'!$F$513:$F$522)*OFFSET('Encargos e Benefícios'!$D$511,1,MATCH($B49,'Encargos e Benefícios'!$E$511:$AB$511,0),10,1)),0)+_xlfn.IFNA(SUM((BJ$3&gt;='Gastos com Pessoal'!$E$7:$E$506)*(BJ$3&lt;='Gastos com Pessoal'!$F$7:$F$506)*(IF('Gastos com Pessoal'!$G$7:$G$506&lt;=BJ$3,1,0))*OFFSET('Gastos com Pessoal'!$H$6,1,MATCH(1&amp;$B49,'Gastos com Pessoal'!$I$532:$AJ$532&amp;'Gastos com Pessoal'!$I$6:$AJ$6,0),500,1)),0)+_xlfn.IFNA(SUM((BJ$3&gt;='Gastos com Pessoal'!$E$7:$E$506)*(BJ$3&lt;='Gastos com Pessoal'!$F$7:$F$506)*(IF('Gastos com Pessoal'!$M$7:$M$506&lt;=BJ$3,1,0))*OFFSET('Gastos com Pessoal'!$H$6,1,MATCH(2&amp;$B49,'Gastos com Pessoal'!$I$532:$AJ$532&amp;'Gastos com Pessoal'!$I$6:$AJ$6,0),500,1)),0)+_xlfn.IFNA(SUM((BJ$3&gt;='Gastos com Pessoal'!$E$7:$E$506)*(BJ$3&lt;='Gastos com Pessoal'!$F$7:$F$506)*(IF('Gastos com Pessoal'!$S$7:$S$506&lt;=BJ$3,1,0))*OFFSET('Gastos com Pessoal'!$H$6,1,MATCH(3&amp;$B49,'Gastos com Pessoal'!$I$532:$AJ$532&amp;'Gastos com Pessoal'!$I$6:$AJ$6,0),500,1)),0)+_xlfn.IFNA(SUM((BJ$3&gt;='Gastos com Pessoal'!$E$7:$E$506)*(BJ$3&lt;='Gastos com Pessoal'!$F$7:$F$506)*(IF('Gastos com Pessoal'!$Y$7:$Y$506&lt;=BJ$3,1,0))*OFFSET('Gastos com Pessoal'!$H$6,1,MATCH(4&amp;$B49,'Gastos com Pessoal'!$I$532:$AJ$532&amp;'Gastos com Pessoal'!$I$6:$AJ$6,0),500,1)),0)+_xlfn.IFNA(SUM((BJ$3&gt;='Gastos com Pessoal'!$E$7:$E$506)*(BJ$3&lt;='Gastos com Pessoal'!$F$7:$F$506)*(IF('Gastos com Pessoal'!$AE$7:$AE$506&lt;=BJ$3,1,0))*OFFSET('Gastos com Pessoal'!$H$6,1,MATCH(5&amp;$B49,'Gastos com Pessoal'!$I$532:$AJ$532&amp;'Gastos com Pessoal'!$I$6:$AJ$6,0),500,1)),0)+_xlfn.IFNA(SUM((BJ$3&gt;='Gastos com Pessoal'!$E$513:$E$522)*(BJ$3&lt;='Gastos com Pessoal'!$F$513:$F$522)*(IF('Gastos com Pessoal'!$G$513:$G$522&lt;=BJ$3,1,0))*OFFSET('Gastos com Pessoal'!$H$512,1,MATCH(1&amp;$B49,'Gastos com Pessoal'!$I$532:$AJ$532&amp;'Gastos com Pessoal'!$I$512:$AJ$512,0),10,1)),0)+_xlfn.IFNA(SUM((BJ$3&gt;='Gastos com Pessoal'!$E$513:$E$522)*(BJ$3&lt;='Gastos com Pessoal'!$F$513:$F$522)*(IF('Gastos com Pessoal'!$M$513:$M$522&lt;=BJ$3,1,0))*OFFSET('Gastos com Pessoal'!$H$512,1,MATCH(2&amp;$B49,'Gastos com Pessoal'!$I$532:$AJ$532&amp;'Gastos com Pessoal'!$I$512:$AJ$512,0),10,1)),0)+_xlfn.IFNA(SUM((BJ$3&gt;='Gastos com Pessoal'!$E$513:$E$522)*(BJ$3&lt;='Gastos com Pessoal'!$F$513:$F$522)*(IF('Gastos com Pessoal'!$S$513:$S$522&lt;=BJ$3,1,0))*OFFSET('Gastos com Pessoal'!$H$512,1,MATCH(3&amp;$B49,'Gastos com Pessoal'!$I$532:$AJ$532&amp;'Gastos com Pessoal'!$I$512:$AJ$512,0),10,1)),0)+_xlfn.IFNA(SUM((BJ$3&gt;='Gastos com Pessoal'!$E$513:$E$522)*(BJ$3&lt;='Gastos com Pessoal'!$F$513:$F$522)*(IF('Gastos com Pessoal'!$Y$513:$Y$522&lt;=BJ$3,1,0))*OFFSET('Gastos com Pessoal'!$H$512,1,MATCH(4&amp;$B49,'Gastos com Pessoal'!$I$532:$AJ$532&amp;'Gastos com Pessoal'!$I$512:$AJ$512,0),10,1)),0)+_xlfn.IFNA(SUM((BJ$3&gt;='Gastos com Pessoal'!$E$513:$E$522)*(BJ$3&lt;='Gastos com Pessoal'!$F$513:$F$522)*(IF('Gastos com Pessoal'!$AE$513:$AE$522&lt;=BJ$3,1,0))*OFFSET('Gastos com Pessoal'!$H$512,1,MATCH(5&amp;$B49,'Gastos com Pessoal'!$I$532:$AJ$532&amp;'Gastos com Pessoal'!$I$512:$AJ$512,0),10,1)),0)</f>
        <v>191252.15999999995</v>
      </c>
      <c r="BK49" s="189">
        <f t="shared" ca="1" si="28"/>
        <v>9747282.1600000001</v>
      </c>
      <c r="BL49" s="136">
        <f t="shared" ca="1" si="29"/>
        <v>2.9132723858007175E-2</v>
      </c>
      <c r="BN49" s="188">
        <f t="array" aca="1" ref="BN49" ca="1">_xlfn.IFNA(SUM((BN$3&gt;='Gastos com Pessoal'!$E$7:$E$506)*(BN$3&lt;='Gastos com Pessoal'!$F$7:$F$506)*OFFSET('Encargos e Benefícios'!$D$5,1,MATCH($B49,'Encargos e Benefícios'!$E$5:$AB$5,0),500,1)),0)+_xlfn.IFNA(SUM((BN$3&gt;='Gastos com Pessoal'!$E$513:$E$522)*(BN$3&lt;='Gastos com Pessoal'!$F$513:$F$522)*OFFSET('Encargos e Benefícios'!$D$511,1,MATCH($B49,'Encargos e Benefícios'!$E$511:$AB$511,0),10,1)),0)+_xlfn.IFNA(SUM((BN$3&gt;='Gastos com Pessoal'!$E$7:$E$506)*(BN$3&lt;='Gastos com Pessoal'!$F$7:$F$506)*(IF('Gastos com Pessoal'!$G$7:$G$506&lt;=BN$3,1,0))*OFFSET('Gastos com Pessoal'!$H$6,1,MATCH(1&amp;$B49,'Gastos com Pessoal'!$I$532:$AJ$532&amp;'Gastos com Pessoal'!$I$6:$AJ$6,0),500,1)),0)+_xlfn.IFNA(SUM((BN$3&gt;='Gastos com Pessoal'!$E$7:$E$506)*(BN$3&lt;='Gastos com Pessoal'!$F$7:$F$506)*(IF('Gastos com Pessoal'!$M$7:$M$506&lt;=BN$3,1,0))*OFFSET('Gastos com Pessoal'!$H$6,1,MATCH(2&amp;$B49,'Gastos com Pessoal'!$I$532:$AJ$532&amp;'Gastos com Pessoal'!$I$6:$AJ$6,0),500,1)),0)+_xlfn.IFNA(SUM((BN$3&gt;='Gastos com Pessoal'!$E$7:$E$506)*(BN$3&lt;='Gastos com Pessoal'!$F$7:$F$506)*(IF('Gastos com Pessoal'!$S$7:$S$506&lt;=BN$3,1,0))*OFFSET('Gastos com Pessoal'!$H$6,1,MATCH(3&amp;$B49,'Gastos com Pessoal'!$I$532:$AJ$532&amp;'Gastos com Pessoal'!$I$6:$AJ$6,0),500,1)),0)+_xlfn.IFNA(SUM((BN$3&gt;='Gastos com Pessoal'!$E$7:$E$506)*(BN$3&lt;='Gastos com Pessoal'!$F$7:$F$506)*(IF('Gastos com Pessoal'!$Y$7:$Y$506&lt;=BN$3,1,0))*OFFSET('Gastos com Pessoal'!$H$6,1,MATCH(4&amp;$B49,'Gastos com Pessoal'!$I$532:$AJ$532&amp;'Gastos com Pessoal'!$I$6:$AJ$6,0),500,1)),0)+_xlfn.IFNA(SUM((BN$3&gt;='Gastos com Pessoal'!$E$7:$E$506)*(BN$3&lt;='Gastos com Pessoal'!$F$7:$F$506)*(IF('Gastos com Pessoal'!$AE$7:$AE$506&lt;=BN$3,1,0))*OFFSET('Gastos com Pessoal'!$H$6,1,MATCH(5&amp;$B49,'Gastos com Pessoal'!$I$532:$AJ$532&amp;'Gastos com Pessoal'!$I$6:$AJ$6,0),500,1)),0)+_xlfn.IFNA(SUM((BN$3&gt;='Gastos com Pessoal'!$E$513:$E$522)*(BN$3&lt;='Gastos com Pessoal'!$F$513:$F$522)*(IF('Gastos com Pessoal'!$G$513:$G$522&lt;=BN$3,1,0))*OFFSET('Gastos com Pessoal'!$H$512,1,MATCH(1&amp;$B49,'Gastos com Pessoal'!$I$532:$AJ$532&amp;'Gastos com Pessoal'!$I$512:$AJ$512,0),10,1)),0)+_xlfn.IFNA(SUM((BN$3&gt;='Gastos com Pessoal'!$E$513:$E$522)*(BN$3&lt;='Gastos com Pessoal'!$F$513:$F$522)*(IF('Gastos com Pessoal'!$M$513:$M$522&lt;=BN$3,1,0))*OFFSET('Gastos com Pessoal'!$H$512,1,MATCH(2&amp;$B49,'Gastos com Pessoal'!$I$532:$AJ$532&amp;'Gastos com Pessoal'!$I$512:$AJ$512,0),10,1)),0)+_xlfn.IFNA(SUM((BN$3&gt;='Gastos com Pessoal'!$E$513:$E$522)*(BN$3&lt;='Gastos com Pessoal'!$F$513:$F$522)*(IF('Gastos com Pessoal'!$S$513:$S$522&lt;=BN$3,1,0))*OFFSET('Gastos com Pessoal'!$H$512,1,MATCH(3&amp;$B49,'Gastos com Pessoal'!$I$532:$AJ$532&amp;'Gastos com Pessoal'!$I$512:$AJ$512,0),10,1)),0)+_xlfn.IFNA(SUM((BN$3&gt;='Gastos com Pessoal'!$E$513:$E$522)*(BN$3&lt;='Gastos com Pessoal'!$F$513:$F$522)*(IF('Gastos com Pessoal'!$Y$513:$Y$522&lt;=BN$3,1,0))*OFFSET('Gastos com Pessoal'!$H$512,1,MATCH(4&amp;$B49,'Gastos com Pessoal'!$I$532:$AJ$532&amp;'Gastos com Pessoal'!$I$512:$AJ$512,0),10,1)),0)+_xlfn.IFNA(SUM((BN$3&gt;='Gastos com Pessoal'!$E$513:$E$522)*(BN$3&lt;='Gastos com Pessoal'!$F$513:$F$522)*(IF('Gastos com Pessoal'!$AE$513:$AE$522&lt;=BN$3,1,0))*OFFSET('Gastos com Pessoal'!$H$512,1,MATCH(5&amp;$B49,'Gastos com Pessoal'!$I$532:$AJ$532&amp;'Gastos com Pessoal'!$I$512:$AJ$512,0),10,1)),0)</f>
        <v>114000</v>
      </c>
    </row>
    <row r="50" spans="1:66" s="160" customFormat="1" ht="23.25" customHeight="1">
      <c r="A50" s="80" t="s">
        <v>182</v>
      </c>
      <c r="B50" s="81" t="s">
        <v>183</v>
      </c>
      <c r="C50" s="188">
        <f t="shared" ca="1" si="27"/>
        <v>3646.4039999999968</v>
      </c>
      <c r="D50" s="188">
        <f t="array" aca="1" ref="D50" ca="1">_xlfn.IFNA(SUM((D$3&gt;='Gastos com Pessoal'!$E$7:$E$506)*(D$3&lt;='Gastos com Pessoal'!$F$7:$F$506)*OFFSET('Encargos e Benefícios'!$D$5,1,MATCH($B50,'Encargos e Benefícios'!$E$5:$AB$5,0),500,1)),0)+_xlfn.IFNA(SUM((D$3&gt;='Gastos com Pessoal'!$E$513:$E$522)*(D$3&lt;='Gastos com Pessoal'!$F$513:$F$522)*OFFSET('Encargos e Benefícios'!$D$511,1,MATCH($B50,'Encargos e Benefícios'!$E$511:$AB$511,0),10,1)),0)+_xlfn.IFNA(SUM((D$3&gt;='Gastos com Pessoal'!$E$7:$E$506)*(D$3&lt;='Gastos com Pessoal'!$F$7:$F$506)*(IF('Gastos com Pessoal'!$G$7:$G$506&lt;=D$3,1,0))*OFFSET('Gastos com Pessoal'!$H$6,1,MATCH(1&amp;$B50,'Gastos com Pessoal'!$I$532:$AJ$532&amp;'Gastos com Pessoal'!$I$6:$AJ$6,0),500,1)),0)+_xlfn.IFNA(SUM((D$3&gt;='Gastos com Pessoal'!$E$7:$E$506)*(D$3&lt;='Gastos com Pessoal'!$F$7:$F$506)*(IF('Gastos com Pessoal'!$M$7:$M$506&lt;=D$3,1,0))*OFFSET('Gastos com Pessoal'!$H$6,1,MATCH(2&amp;$B50,'Gastos com Pessoal'!$I$532:$AJ$532&amp;'Gastos com Pessoal'!$I$6:$AJ$6,0),500,1)),0)+_xlfn.IFNA(SUM((D$3&gt;='Gastos com Pessoal'!$E$7:$E$506)*(D$3&lt;='Gastos com Pessoal'!$F$7:$F$506)*(IF('Gastos com Pessoal'!$S$7:$S$506&lt;=D$3,1,0))*OFFSET('Gastos com Pessoal'!$H$6,1,MATCH(3&amp;$B50,'Gastos com Pessoal'!$I$532:$AJ$532&amp;'Gastos com Pessoal'!$I$6:$AJ$6,0),500,1)),0)+_xlfn.IFNA(SUM((D$3&gt;='Gastos com Pessoal'!$E$7:$E$506)*(D$3&lt;='Gastos com Pessoal'!$F$7:$F$506)*(IF('Gastos com Pessoal'!$Y$7:$Y$506&lt;=D$3,1,0))*OFFSET('Gastos com Pessoal'!$H$6,1,MATCH(4&amp;$B50,'Gastos com Pessoal'!$I$532:$AJ$532&amp;'Gastos com Pessoal'!$I$6:$AJ$6,0),500,1)),0)+_xlfn.IFNA(SUM((D$3&gt;='Gastos com Pessoal'!$E$7:$E$506)*(D$3&lt;='Gastos com Pessoal'!$F$7:$F$506)*(IF('Gastos com Pessoal'!$AE$7:$AE$506&lt;=D$3,1,0))*OFFSET('Gastos com Pessoal'!$H$6,1,MATCH(5&amp;$B50,'Gastos com Pessoal'!$I$532:$AJ$532&amp;'Gastos com Pessoal'!$I$6:$AJ$6,0),500,1)),0)+_xlfn.IFNA(SUM((D$3&gt;='Gastos com Pessoal'!$E$513:$E$522)*(D$3&lt;='Gastos com Pessoal'!$F$513:$F$522)*(IF('Gastos com Pessoal'!$G$513:$G$522&lt;=D$3,1,0))*OFFSET('Gastos com Pessoal'!$H$512,1,MATCH(1&amp;$B50,'Gastos com Pessoal'!$I$532:$AJ$532&amp;'Gastos com Pessoal'!$I$512:$AJ$512,0),10,1)),0)+_xlfn.IFNA(SUM((D$3&gt;='Gastos com Pessoal'!$E$513:$E$522)*(D$3&lt;='Gastos com Pessoal'!$F$513:$F$522)*(IF('Gastos com Pessoal'!$M$513:$M$522&lt;=D$3,1,0))*OFFSET('Gastos com Pessoal'!$H$512,1,MATCH(2&amp;$B50,'Gastos com Pessoal'!$I$532:$AJ$532&amp;'Gastos com Pessoal'!$I$512:$AJ$512,0),10,1)),0)+_xlfn.IFNA(SUM((D$3&gt;='Gastos com Pessoal'!$E$513:$E$522)*(D$3&lt;='Gastos com Pessoal'!$F$513:$F$522)*(IF('Gastos com Pessoal'!$S$513:$S$522&lt;=D$3,1,0))*OFFSET('Gastos com Pessoal'!$H$512,1,MATCH(3&amp;$B50,'Gastos com Pessoal'!$I$532:$AJ$532&amp;'Gastos com Pessoal'!$I$512:$AJ$512,0),10,1)),0)+_xlfn.IFNA(SUM((D$3&gt;='Gastos com Pessoal'!$E$513:$E$522)*(D$3&lt;='Gastos com Pessoal'!$F$513:$F$522)*(IF('Gastos com Pessoal'!$Y$513:$Y$522&lt;=D$3,1,0))*OFFSET('Gastos com Pessoal'!$H$512,1,MATCH(4&amp;$B50,'Gastos com Pessoal'!$I$532:$AJ$532&amp;'Gastos com Pessoal'!$I$512:$AJ$512,0),10,1)),0)+_xlfn.IFNA(SUM((D$3&gt;='Gastos com Pessoal'!$E$513:$E$522)*(D$3&lt;='Gastos com Pessoal'!$F$513:$F$522)*(IF('Gastos com Pessoal'!$AE$513:$AE$522&lt;=D$3,1,0))*OFFSET('Gastos com Pessoal'!$H$512,1,MATCH(5&amp;$B50,'Gastos com Pessoal'!$I$532:$AJ$532&amp;'Gastos com Pessoal'!$I$512:$AJ$512,0),10,1)),0)</f>
        <v>13060.949999999981</v>
      </c>
      <c r="E50" s="188">
        <f t="array" aca="1" ref="E50" ca="1">_xlfn.IFNA(SUM((E$3&gt;='Gastos com Pessoal'!$E$7:$E$506)*(E$3&lt;='Gastos com Pessoal'!$F$7:$F$506)*OFFSET('Encargos e Benefícios'!$D$5,1,MATCH($B50,'Encargos e Benefícios'!$E$5:$AB$5,0),500,1)),0)+_xlfn.IFNA(SUM((E$3&gt;='Gastos com Pessoal'!$E$513:$E$522)*(E$3&lt;='Gastos com Pessoal'!$F$513:$F$522)*OFFSET('Encargos e Benefícios'!$D$511,1,MATCH($B50,'Encargos e Benefícios'!$E$511:$AB$511,0),10,1)),0)+_xlfn.IFNA(SUM((E$3&gt;='Gastos com Pessoal'!$E$7:$E$506)*(E$3&lt;='Gastos com Pessoal'!$F$7:$F$506)*(IF('Gastos com Pessoal'!$G$7:$G$506&lt;=E$3,1,0))*OFFSET('Gastos com Pessoal'!$H$6,1,MATCH(1&amp;$B50,'Gastos com Pessoal'!$I$532:$AJ$532&amp;'Gastos com Pessoal'!$I$6:$AJ$6,0),500,1)),0)+_xlfn.IFNA(SUM((E$3&gt;='Gastos com Pessoal'!$E$7:$E$506)*(E$3&lt;='Gastos com Pessoal'!$F$7:$F$506)*(IF('Gastos com Pessoal'!$M$7:$M$506&lt;=E$3,1,0))*OFFSET('Gastos com Pessoal'!$H$6,1,MATCH(2&amp;$B50,'Gastos com Pessoal'!$I$532:$AJ$532&amp;'Gastos com Pessoal'!$I$6:$AJ$6,0),500,1)),0)+_xlfn.IFNA(SUM((E$3&gt;='Gastos com Pessoal'!$E$7:$E$506)*(E$3&lt;='Gastos com Pessoal'!$F$7:$F$506)*(IF('Gastos com Pessoal'!$S$7:$S$506&lt;=E$3,1,0))*OFFSET('Gastos com Pessoal'!$H$6,1,MATCH(3&amp;$B50,'Gastos com Pessoal'!$I$532:$AJ$532&amp;'Gastos com Pessoal'!$I$6:$AJ$6,0),500,1)),0)+_xlfn.IFNA(SUM((E$3&gt;='Gastos com Pessoal'!$E$7:$E$506)*(E$3&lt;='Gastos com Pessoal'!$F$7:$F$506)*(IF('Gastos com Pessoal'!$Y$7:$Y$506&lt;=E$3,1,0))*OFFSET('Gastos com Pessoal'!$H$6,1,MATCH(4&amp;$B50,'Gastos com Pessoal'!$I$532:$AJ$532&amp;'Gastos com Pessoal'!$I$6:$AJ$6,0),500,1)),0)+_xlfn.IFNA(SUM((E$3&gt;='Gastos com Pessoal'!$E$7:$E$506)*(E$3&lt;='Gastos com Pessoal'!$F$7:$F$506)*(IF('Gastos com Pessoal'!$AE$7:$AE$506&lt;=E$3,1,0))*OFFSET('Gastos com Pessoal'!$H$6,1,MATCH(5&amp;$B50,'Gastos com Pessoal'!$I$532:$AJ$532&amp;'Gastos com Pessoal'!$I$6:$AJ$6,0),500,1)),0)+_xlfn.IFNA(SUM((E$3&gt;='Gastos com Pessoal'!$E$513:$E$522)*(E$3&lt;='Gastos com Pessoal'!$F$513:$F$522)*(IF('Gastos com Pessoal'!$G$513:$G$522&lt;=E$3,1,0))*OFFSET('Gastos com Pessoal'!$H$512,1,MATCH(1&amp;$B50,'Gastos com Pessoal'!$I$532:$AJ$532&amp;'Gastos com Pessoal'!$I$512:$AJ$512,0),10,1)),0)+_xlfn.IFNA(SUM((E$3&gt;='Gastos com Pessoal'!$E$513:$E$522)*(E$3&lt;='Gastos com Pessoal'!$F$513:$F$522)*(IF('Gastos com Pessoal'!$M$513:$M$522&lt;=E$3,1,0))*OFFSET('Gastos com Pessoal'!$H$512,1,MATCH(2&amp;$B50,'Gastos com Pessoal'!$I$532:$AJ$532&amp;'Gastos com Pessoal'!$I$512:$AJ$512,0),10,1)),0)+_xlfn.IFNA(SUM((E$3&gt;='Gastos com Pessoal'!$E$513:$E$522)*(E$3&lt;='Gastos com Pessoal'!$F$513:$F$522)*(IF('Gastos com Pessoal'!$S$513:$S$522&lt;=E$3,1,0))*OFFSET('Gastos com Pessoal'!$H$512,1,MATCH(3&amp;$B50,'Gastos com Pessoal'!$I$532:$AJ$532&amp;'Gastos com Pessoal'!$I$512:$AJ$512,0),10,1)),0)+_xlfn.IFNA(SUM((E$3&gt;='Gastos com Pessoal'!$E$513:$E$522)*(E$3&lt;='Gastos com Pessoal'!$F$513:$F$522)*(IF('Gastos com Pessoal'!$Y$513:$Y$522&lt;=E$3,1,0))*OFFSET('Gastos com Pessoal'!$H$512,1,MATCH(4&amp;$B50,'Gastos com Pessoal'!$I$532:$AJ$532&amp;'Gastos com Pessoal'!$I$512:$AJ$512,0),10,1)),0)+_xlfn.IFNA(SUM((E$3&gt;='Gastos com Pessoal'!$E$513:$E$522)*(E$3&lt;='Gastos com Pessoal'!$F$513:$F$522)*(IF('Gastos com Pessoal'!$AE$513:$AE$522&lt;=E$3,1,0))*OFFSET('Gastos com Pessoal'!$H$512,1,MATCH(5&amp;$B50,'Gastos com Pessoal'!$I$532:$AJ$532&amp;'Gastos com Pessoal'!$I$512:$AJ$512,0),10,1)),0)</f>
        <v>13753.979999999974</v>
      </c>
      <c r="F50" s="188">
        <f t="array" aca="1" ref="F50" ca="1">_xlfn.IFNA(SUM((F$3&gt;='Gastos com Pessoal'!$E$7:$E$506)*(F$3&lt;='Gastos com Pessoal'!$F$7:$F$506)*OFFSET('Encargos e Benefícios'!$D$5,1,MATCH($B50,'Encargos e Benefícios'!$E$5:$AB$5,0),500,1)),0)+_xlfn.IFNA(SUM((F$3&gt;='Gastos com Pessoal'!$E$513:$E$522)*(F$3&lt;='Gastos com Pessoal'!$F$513:$F$522)*OFFSET('Encargos e Benefícios'!$D$511,1,MATCH($B50,'Encargos e Benefícios'!$E$511:$AB$511,0),10,1)),0)+_xlfn.IFNA(SUM((F$3&gt;='Gastos com Pessoal'!$E$7:$E$506)*(F$3&lt;='Gastos com Pessoal'!$F$7:$F$506)*(IF('Gastos com Pessoal'!$G$7:$G$506&lt;=F$3,1,0))*OFFSET('Gastos com Pessoal'!$H$6,1,MATCH(1&amp;$B50,'Gastos com Pessoal'!$I$532:$AJ$532&amp;'Gastos com Pessoal'!$I$6:$AJ$6,0),500,1)),0)+_xlfn.IFNA(SUM((F$3&gt;='Gastos com Pessoal'!$E$7:$E$506)*(F$3&lt;='Gastos com Pessoal'!$F$7:$F$506)*(IF('Gastos com Pessoal'!$M$7:$M$506&lt;=F$3,1,0))*OFFSET('Gastos com Pessoal'!$H$6,1,MATCH(2&amp;$B50,'Gastos com Pessoal'!$I$532:$AJ$532&amp;'Gastos com Pessoal'!$I$6:$AJ$6,0),500,1)),0)+_xlfn.IFNA(SUM((F$3&gt;='Gastos com Pessoal'!$E$7:$E$506)*(F$3&lt;='Gastos com Pessoal'!$F$7:$F$506)*(IF('Gastos com Pessoal'!$S$7:$S$506&lt;=F$3,1,0))*OFFSET('Gastos com Pessoal'!$H$6,1,MATCH(3&amp;$B50,'Gastos com Pessoal'!$I$532:$AJ$532&amp;'Gastos com Pessoal'!$I$6:$AJ$6,0),500,1)),0)+_xlfn.IFNA(SUM((F$3&gt;='Gastos com Pessoal'!$E$7:$E$506)*(F$3&lt;='Gastos com Pessoal'!$F$7:$F$506)*(IF('Gastos com Pessoal'!$Y$7:$Y$506&lt;=F$3,1,0))*OFFSET('Gastos com Pessoal'!$H$6,1,MATCH(4&amp;$B50,'Gastos com Pessoal'!$I$532:$AJ$532&amp;'Gastos com Pessoal'!$I$6:$AJ$6,0),500,1)),0)+_xlfn.IFNA(SUM((F$3&gt;='Gastos com Pessoal'!$E$7:$E$506)*(F$3&lt;='Gastos com Pessoal'!$F$7:$F$506)*(IF('Gastos com Pessoal'!$AE$7:$AE$506&lt;=F$3,1,0))*OFFSET('Gastos com Pessoal'!$H$6,1,MATCH(5&amp;$B50,'Gastos com Pessoal'!$I$532:$AJ$532&amp;'Gastos com Pessoal'!$I$6:$AJ$6,0),500,1)),0)+_xlfn.IFNA(SUM((F$3&gt;='Gastos com Pessoal'!$E$513:$E$522)*(F$3&lt;='Gastos com Pessoal'!$F$513:$F$522)*(IF('Gastos com Pessoal'!$G$513:$G$522&lt;=F$3,1,0))*OFFSET('Gastos com Pessoal'!$H$512,1,MATCH(1&amp;$B50,'Gastos com Pessoal'!$I$532:$AJ$532&amp;'Gastos com Pessoal'!$I$512:$AJ$512,0),10,1)),0)+_xlfn.IFNA(SUM((F$3&gt;='Gastos com Pessoal'!$E$513:$E$522)*(F$3&lt;='Gastos com Pessoal'!$F$513:$F$522)*(IF('Gastos com Pessoal'!$M$513:$M$522&lt;=F$3,1,0))*OFFSET('Gastos com Pessoal'!$H$512,1,MATCH(2&amp;$B50,'Gastos com Pessoal'!$I$532:$AJ$532&amp;'Gastos com Pessoal'!$I$512:$AJ$512,0),10,1)),0)+_xlfn.IFNA(SUM((F$3&gt;='Gastos com Pessoal'!$E$513:$E$522)*(F$3&lt;='Gastos com Pessoal'!$F$513:$F$522)*(IF('Gastos com Pessoal'!$S$513:$S$522&lt;=F$3,1,0))*OFFSET('Gastos com Pessoal'!$H$512,1,MATCH(3&amp;$B50,'Gastos com Pessoal'!$I$532:$AJ$532&amp;'Gastos com Pessoal'!$I$512:$AJ$512,0),10,1)),0)+_xlfn.IFNA(SUM((F$3&gt;='Gastos com Pessoal'!$E$513:$E$522)*(F$3&lt;='Gastos com Pessoal'!$F$513:$F$522)*(IF('Gastos com Pessoal'!$Y$513:$Y$522&lt;=F$3,1,0))*OFFSET('Gastos com Pessoal'!$H$512,1,MATCH(4&amp;$B50,'Gastos com Pessoal'!$I$532:$AJ$532&amp;'Gastos com Pessoal'!$I$512:$AJ$512,0),10,1)),0)+_xlfn.IFNA(SUM((F$3&gt;='Gastos com Pessoal'!$E$513:$E$522)*(F$3&lt;='Gastos com Pessoal'!$F$513:$F$522)*(IF('Gastos com Pessoal'!$AE$513:$AE$522&lt;=F$3,1,0))*OFFSET('Gastos com Pessoal'!$H$512,1,MATCH(5&amp;$B50,'Gastos com Pessoal'!$I$532:$AJ$532&amp;'Gastos com Pessoal'!$I$512:$AJ$512,0),10,1)),0)</f>
        <v>13753.979999999974</v>
      </c>
      <c r="G50" s="188">
        <f t="array" aca="1" ref="G50" ca="1">_xlfn.IFNA(SUM((G$3&gt;='Gastos com Pessoal'!$E$7:$E$506)*(G$3&lt;='Gastos com Pessoal'!$F$7:$F$506)*OFFSET('Encargos e Benefícios'!$D$5,1,MATCH($B50,'Encargos e Benefícios'!$E$5:$AB$5,0),500,1)),0)+_xlfn.IFNA(SUM((G$3&gt;='Gastos com Pessoal'!$E$513:$E$522)*(G$3&lt;='Gastos com Pessoal'!$F$513:$F$522)*OFFSET('Encargos e Benefícios'!$D$511,1,MATCH($B50,'Encargos e Benefícios'!$E$511:$AB$511,0),10,1)),0)+_xlfn.IFNA(SUM((G$3&gt;='Gastos com Pessoal'!$E$7:$E$506)*(G$3&lt;='Gastos com Pessoal'!$F$7:$F$506)*(IF('Gastos com Pessoal'!$G$7:$G$506&lt;=G$3,1,0))*OFFSET('Gastos com Pessoal'!$H$6,1,MATCH(1&amp;$B50,'Gastos com Pessoal'!$I$532:$AJ$532&amp;'Gastos com Pessoal'!$I$6:$AJ$6,0),500,1)),0)+_xlfn.IFNA(SUM((G$3&gt;='Gastos com Pessoal'!$E$7:$E$506)*(G$3&lt;='Gastos com Pessoal'!$F$7:$F$506)*(IF('Gastos com Pessoal'!$M$7:$M$506&lt;=G$3,1,0))*OFFSET('Gastos com Pessoal'!$H$6,1,MATCH(2&amp;$B50,'Gastos com Pessoal'!$I$532:$AJ$532&amp;'Gastos com Pessoal'!$I$6:$AJ$6,0),500,1)),0)+_xlfn.IFNA(SUM((G$3&gt;='Gastos com Pessoal'!$E$7:$E$506)*(G$3&lt;='Gastos com Pessoal'!$F$7:$F$506)*(IF('Gastos com Pessoal'!$S$7:$S$506&lt;=G$3,1,0))*OFFSET('Gastos com Pessoal'!$H$6,1,MATCH(3&amp;$B50,'Gastos com Pessoal'!$I$532:$AJ$532&amp;'Gastos com Pessoal'!$I$6:$AJ$6,0),500,1)),0)+_xlfn.IFNA(SUM((G$3&gt;='Gastos com Pessoal'!$E$7:$E$506)*(G$3&lt;='Gastos com Pessoal'!$F$7:$F$506)*(IF('Gastos com Pessoal'!$Y$7:$Y$506&lt;=G$3,1,0))*OFFSET('Gastos com Pessoal'!$H$6,1,MATCH(4&amp;$B50,'Gastos com Pessoal'!$I$532:$AJ$532&amp;'Gastos com Pessoal'!$I$6:$AJ$6,0),500,1)),0)+_xlfn.IFNA(SUM((G$3&gt;='Gastos com Pessoal'!$E$7:$E$506)*(G$3&lt;='Gastos com Pessoal'!$F$7:$F$506)*(IF('Gastos com Pessoal'!$AE$7:$AE$506&lt;=G$3,1,0))*OFFSET('Gastos com Pessoal'!$H$6,1,MATCH(5&amp;$B50,'Gastos com Pessoal'!$I$532:$AJ$532&amp;'Gastos com Pessoal'!$I$6:$AJ$6,0),500,1)),0)+_xlfn.IFNA(SUM((G$3&gt;='Gastos com Pessoal'!$E$513:$E$522)*(G$3&lt;='Gastos com Pessoal'!$F$513:$F$522)*(IF('Gastos com Pessoal'!$G$513:$G$522&lt;=G$3,1,0))*OFFSET('Gastos com Pessoal'!$H$512,1,MATCH(1&amp;$B50,'Gastos com Pessoal'!$I$532:$AJ$532&amp;'Gastos com Pessoal'!$I$512:$AJ$512,0),10,1)),0)+_xlfn.IFNA(SUM((G$3&gt;='Gastos com Pessoal'!$E$513:$E$522)*(G$3&lt;='Gastos com Pessoal'!$F$513:$F$522)*(IF('Gastos com Pessoal'!$M$513:$M$522&lt;=G$3,1,0))*OFFSET('Gastos com Pessoal'!$H$512,1,MATCH(2&amp;$B50,'Gastos com Pessoal'!$I$532:$AJ$532&amp;'Gastos com Pessoal'!$I$512:$AJ$512,0),10,1)),0)+_xlfn.IFNA(SUM((G$3&gt;='Gastos com Pessoal'!$E$513:$E$522)*(G$3&lt;='Gastos com Pessoal'!$F$513:$F$522)*(IF('Gastos com Pessoal'!$S$513:$S$522&lt;=G$3,1,0))*OFFSET('Gastos com Pessoal'!$H$512,1,MATCH(3&amp;$B50,'Gastos com Pessoal'!$I$532:$AJ$532&amp;'Gastos com Pessoal'!$I$512:$AJ$512,0),10,1)),0)+_xlfn.IFNA(SUM((G$3&gt;='Gastos com Pessoal'!$E$513:$E$522)*(G$3&lt;='Gastos com Pessoal'!$F$513:$F$522)*(IF('Gastos com Pessoal'!$Y$513:$Y$522&lt;=G$3,1,0))*OFFSET('Gastos com Pessoal'!$H$512,1,MATCH(4&amp;$B50,'Gastos com Pessoal'!$I$532:$AJ$532&amp;'Gastos com Pessoal'!$I$512:$AJ$512,0),10,1)),0)+_xlfn.IFNA(SUM((G$3&gt;='Gastos com Pessoal'!$E$513:$E$522)*(G$3&lt;='Gastos com Pessoal'!$F$513:$F$522)*(IF('Gastos com Pessoal'!$AE$513:$AE$522&lt;=G$3,1,0))*OFFSET('Gastos com Pessoal'!$H$512,1,MATCH(5&amp;$B50,'Gastos com Pessoal'!$I$532:$AJ$532&amp;'Gastos com Pessoal'!$I$512:$AJ$512,0),10,1)),0)</f>
        <v>13753.979999999974</v>
      </c>
      <c r="H50" s="188">
        <f t="array" aca="1" ref="H50" ca="1">_xlfn.IFNA(SUM((H$3&gt;='Gastos com Pessoal'!$E$7:$E$506)*(H$3&lt;='Gastos com Pessoal'!$F$7:$F$506)*OFFSET('Encargos e Benefícios'!$D$5,1,MATCH($B50,'Encargos e Benefícios'!$E$5:$AB$5,0),500,1)),0)+_xlfn.IFNA(SUM((H$3&gt;='Gastos com Pessoal'!$E$513:$E$522)*(H$3&lt;='Gastos com Pessoal'!$F$513:$F$522)*OFFSET('Encargos e Benefícios'!$D$511,1,MATCH($B50,'Encargos e Benefícios'!$E$511:$AB$511,0),10,1)),0)+_xlfn.IFNA(SUM((H$3&gt;='Gastos com Pessoal'!$E$7:$E$506)*(H$3&lt;='Gastos com Pessoal'!$F$7:$F$506)*(IF('Gastos com Pessoal'!$G$7:$G$506&lt;=H$3,1,0))*OFFSET('Gastos com Pessoal'!$H$6,1,MATCH(1&amp;$B50,'Gastos com Pessoal'!$I$532:$AJ$532&amp;'Gastos com Pessoal'!$I$6:$AJ$6,0),500,1)),0)+_xlfn.IFNA(SUM((H$3&gt;='Gastos com Pessoal'!$E$7:$E$506)*(H$3&lt;='Gastos com Pessoal'!$F$7:$F$506)*(IF('Gastos com Pessoal'!$M$7:$M$506&lt;=H$3,1,0))*OFFSET('Gastos com Pessoal'!$H$6,1,MATCH(2&amp;$B50,'Gastos com Pessoal'!$I$532:$AJ$532&amp;'Gastos com Pessoal'!$I$6:$AJ$6,0),500,1)),0)+_xlfn.IFNA(SUM((H$3&gt;='Gastos com Pessoal'!$E$7:$E$506)*(H$3&lt;='Gastos com Pessoal'!$F$7:$F$506)*(IF('Gastos com Pessoal'!$S$7:$S$506&lt;=H$3,1,0))*OFFSET('Gastos com Pessoal'!$H$6,1,MATCH(3&amp;$B50,'Gastos com Pessoal'!$I$532:$AJ$532&amp;'Gastos com Pessoal'!$I$6:$AJ$6,0),500,1)),0)+_xlfn.IFNA(SUM((H$3&gt;='Gastos com Pessoal'!$E$7:$E$506)*(H$3&lt;='Gastos com Pessoal'!$F$7:$F$506)*(IF('Gastos com Pessoal'!$Y$7:$Y$506&lt;=H$3,1,0))*OFFSET('Gastos com Pessoal'!$H$6,1,MATCH(4&amp;$B50,'Gastos com Pessoal'!$I$532:$AJ$532&amp;'Gastos com Pessoal'!$I$6:$AJ$6,0),500,1)),0)+_xlfn.IFNA(SUM((H$3&gt;='Gastos com Pessoal'!$E$7:$E$506)*(H$3&lt;='Gastos com Pessoal'!$F$7:$F$506)*(IF('Gastos com Pessoal'!$AE$7:$AE$506&lt;=H$3,1,0))*OFFSET('Gastos com Pessoal'!$H$6,1,MATCH(5&amp;$B50,'Gastos com Pessoal'!$I$532:$AJ$532&amp;'Gastos com Pessoal'!$I$6:$AJ$6,0),500,1)),0)+_xlfn.IFNA(SUM((H$3&gt;='Gastos com Pessoal'!$E$513:$E$522)*(H$3&lt;='Gastos com Pessoal'!$F$513:$F$522)*(IF('Gastos com Pessoal'!$G$513:$G$522&lt;=H$3,1,0))*OFFSET('Gastos com Pessoal'!$H$512,1,MATCH(1&amp;$B50,'Gastos com Pessoal'!$I$532:$AJ$532&amp;'Gastos com Pessoal'!$I$512:$AJ$512,0),10,1)),0)+_xlfn.IFNA(SUM((H$3&gt;='Gastos com Pessoal'!$E$513:$E$522)*(H$3&lt;='Gastos com Pessoal'!$F$513:$F$522)*(IF('Gastos com Pessoal'!$M$513:$M$522&lt;=H$3,1,0))*OFFSET('Gastos com Pessoal'!$H$512,1,MATCH(2&amp;$B50,'Gastos com Pessoal'!$I$532:$AJ$532&amp;'Gastos com Pessoal'!$I$512:$AJ$512,0),10,1)),0)+_xlfn.IFNA(SUM((H$3&gt;='Gastos com Pessoal'!$E$513:$E$522)*(H$3&lt;='Gastos com Pessoal'!$F$513:$F$522)*(IF('Gastos com Pessoal'!$S$513:$S$522&lt;=H$3,1,0))*OFFSET('Gastos com Pessoal'!$H$512,1,MATCH(3&amp;$B50,'Gastos com Pessoal'!$I$532:$AJ$532&amp;'Gastos com Pessoal'!$I$512:$AJ$512,0),10,1)),0)+_xlfn.IFNA(SUM((H$3&gt;='Gastos com Pessoal'!$E$513:$E$522)*(H$3&lt;='Gastos com Pessoal'!$F$513:$F$522)*(IF('Gastos com Pessoal'!$Y$513:$Y$522&lt;=H$3,1,0))*OFFSET('Gastos com Pessoal'!$H$512,1,MATCH(4&amp;$B50,'Gastos com Pessoal'!$I$532:$AJ$532&amp;'Gastos com Pessoal'!$I$512:$AJ$512,0),10,1)),0)+_xlfn.IFNA(SUM((H$3&gt;='Gastos com Pessoal'!$E$513:$E$522)*(H$3&lt;='Gastos com Pessoal'!$F$513:$F$522)*(IF('Gastos com Pessoal'!$AE$513:$AE$522&lt;=H$3,1,0))*OFFSET('Gastos com Pessoal'!$H$512,1,MATCH(5&amp;$B50,'Gastos com Pessoal'!$I$532:$AJ$532&amp;'Gastos com Pessoal'!$I$512:$AJ$512,0),10,1)),0)</f>
        <v>13753.979999999974</v>
      </c>
      <c r="I50" s="188">
        <f t="array" aca="1" ref="I50" ca="1">_xlfn.IFNA(SUM((I$3&gt;='Gastos com Pessoal'!$E$7:$E$506)*(I$3&lt;='Gastos com Pessoal'!$F$7:$F$506)*OFFSET('Encargos e Benefícios'!$D$5,1,MATCH($B50,'Encargos e Benefícios'!$E$5:$AB$5,0),500,1)),0)+_xlfn.IFNA(SUM((I$3&gt;='Gastos com Pessoal'!$E$513:$E$522)*(I$3&lt;='Gastos com Pessoal'!$F$513:$F$522)*OFFSET('Encargos e Benefícios'!$D$511,1,MATCH($B50,'Encargos e Benefícios'!$E$511:$AB$511,0),10,1)),0)+_xlfn.IFNA(SUM((I$3&gt;='Gastos com Pessoal'!$E$7:$E$506)*(I$3&lt;='Gastos com Pessoal'!$F$7:$F$506)*(IF('Gastos com Pessoal'!$G$7:$G$506&lt;=I$3,1,0))*OFFSET('Gastos com Pessoal'!$H$6,1,MATCH(1&amp;$B50,'Gastos com Pessoal'!$I$532:$AJ$532&amp;'Gastos com Pessoal'!$I$6:$AJ$6,0),500,1)),0)+_xlfn.IFNA(SUM((I$3&gt;='Gastos com Pessoal'!$E$7:$E$506)*(I$3&lt;='Gastos com Pessoal'!$F$7:$F$506)*(IF('Gastos com Pessoal'!$M$7:$M$506&lt;=I$3,1,0))*OFFSET('Gastos com Pessoal'!$H$6,1,MATCH(2&amp;$B50,'Gastos com Pessoal'!$I$532:$AJ$532&amp;'Gastos com Pessoal'!$I$6:$AJ$6,0),500,1)),0)+_xlfn.IFNA(SUM((I$3&gt;='Gastos com Pessoal'!$E$7:$E$506)*(I$3&lt;='Gastos com Pessoal'!$F$7:$F$506)*(IF('Gastos com Pessoal'!$S$7:$S$506&lt;=I$3,1,0))*OFFSET('Gastos com Pessoal'!$H$6,1,MATCH(3&amp;$B50,'Gastos com Pessoal'!$I$532:$AJ$532&amp;'Gastos com Pessoal'!$I$6:$AJ$6,0),500,1)),0)+_xlfn.IFNA(SUM((I$3&gt;='Gastos com Pessoal'!$E$7:$E$506)*(I$3&lt;='Gastos com Pessoal'!$F$7:$F$506)*(IF('Gastos com Pessoal'!$Y$7:$Y$506&lt;=I$3,1,0))*OFFSET('Gastos com Pessoal'!$H$6,1,MATCH(4&amp;$B50,'Gastos com Pessoal'!$I$532:$AJ$532&amp;'Gastos com Pessoal'!$I$6:$AJ$6,0),500,1)),0)+_xlfn.IFNA(SUM((I$3&gt;='Gastos com Pessoal'!$E$7:$E$506)*(I$3&lt;='Gastos com Pessoal'!$F$7:$F$506)*(IF('Gastos com Pessoal'!$AE$7:$AE$506&lt;=I$3,1,0))*OFFSET('Gastos com Pessoal'!$H$6,1,MATCH(5&amp;$B50,'Gastos com Pessoal'!$I$532:$AJ$532&amp;'Gastos com Pessoal'!$I$6:$AJ$6,0),500,1)),0)+_xlfn.IFNA(SUM((I$3&gt;='Gastos com Pessoal'!$E$513:$E$522)*(I$3&lt;='Gastos com Pessoal'!$F$513:$F$522)*(IF('Gastos com Pessoal'!$G$513:$G$522&lt;=I$3,1,0))*OFFSET('Gastos com Pessoal'!$H$512,1,MATCH(1&amp;$B50,'Gastos com Pessoal'!$I$532:$AJ$532&amp;'Gastos com Pessoal'!$I$512:$AJ$512,0),10,1)),0)+_xlfn.IFNA(SUM((I$3&gt;='Gastos com Pessoal'!$E$513:$E$522)*(I$3&lt;='Gastos com Pessoal'!$F$513:$F$522)*(IF('Gastos com Pessoal'!$M$513:$M$522&lt;=I$3,1,0))*OFFSET('Gastos com Pessoal'!$H$512,1,MATCH(2&amp;$B50,'Gastos com Pessoal'!$I$532:$AJ$532&amp;'Gastos com Pessoal'!$I$512:$AJ$512,0),10,1)),0)+_xlfn.IFNA(SUM((I$3&gt;='Gastos com Pessoal'!$E$513:$E$522)*(I$3&lt;='Gastos com Pessoal'!$F$513:$F$522)*(IF('Gastos com Pessoal'!$S$513:$S$522&lt;=I$3,1,0))*OFFSET('Gastos com Pessoal'!$H$512,1,MATCH(3&amp;$B50,'Gastos com Pessoal'!$I$532:$AJ$532&amp;'Gastos com Pessoal'!$I$512:$AJ$512,0),10,1)),0)+_xlfn.IFNA(SUM((I$3&gt;='Gastos com Pessoal'!$E$513:$E$522)*(I$3&lt;='Gastos com Pessoal'!$F$513:$F$522)*(IF('Gastos com Pessoal'!$Y$513:$Y$522&lt;=I$3,1,0))*OFFSET('Gastos com Pessoal'!$H$512,1,MATCH(4&amp;$B50,'Gastos com Pessoal'!$I$532:$AJ$532&amp;'Gastos com Pessoal'!$I$512:$AJ$512,0),10,1)),0)+_xlfn.IFNA(SUM((I$3&gt;='Gastos com Pessoal'!$E$513:$E$522)*(I$3&lt;='Gastos com Pessoal'!$F$513:$F$522)*(IF('Gastos com Pessoal'!$AE$513:$AE$522&lt;=I$3,1,0))*OFFSET('Gastos com Pessoal'!$H$512,1,MATCH(5&amp;$B50,'Gastos com Pessoal'!$I$532:$AJ$532&amp;'Gastos com Pessoal'!$I$512:$AJ$512,0),10,1)),0)</f>
        <v>13753.979999999974</v>
      </c>
      <c r="J50" s="188">
        <f t="array" aca="1" ref="J50" ca="1">_xlfn.IFNA(SUM((J$3&gt;='Gastos com Pessoal'!$E$7:$E$506)*(J$3&lt;='Gastos com Pessoal'!$F$7:$F$506)*OFFSET('Encargos e Benefícios'!$D$5,1,MATCH($B50,'Encargos e Benefícios'!$E$5:$AB$5,0),500,1)),0)+_xlfn.IFNA(SUM((J$3&gt;='Gastos com Pessoal'!$E$513:$E$522)*(J$3&lt;='Gastos com Pessoal'!$F$513:$F$522)*OFFSET('Encargos e Benefícios'!$D$511,1,MATCH($B50,'Encargos e Benefícios'!$E$511:$AB$511,0),10,1)),0)+_xlfn.IFNA(SUM((J$3&gt;='Gastos com Pessoal'!$E$7:$E$506)*(J$3&lt;='Gastos com Pessoal'!$F$7:$F$506)*(IF('Gastos com Pessoal'!$G$7:$G$506&lt;=J$3,1,0))*OFFSET('Gastos com Pessoal'!$H$6,1,MATCH(1&amp;$B50,'Gastos com Pessoal'!$I$532:$AJ$532&amp;'Gastos com Pessoal'!$I$6:$AJ$6,0),500,1)),0)+_xlfn.IFNA(SUM((J$3&gt;='Gastos com Pessoal'!$E$7:$E$506)*(J$3&lt;='Gastos com Pessoal'!$F$7:$F$506)*(IF('Gastos com Pessoal'!$M$7:$M$506&lt;=J$3,1,0))*OFFSET('Gastos com Pessoal'!$H$6,1,MATCH(2&amp;$B50,'Gastos com Pessoal'!$I$532:$AJ$532&amp;'Gastos com Pessoal'!$I$6:$AJ$6,0),500,1)),0)+_xlfn.IFNA(SUM((J$3&gt;='Gastos com Pessoal'!$E$7:$E$506)*(J$3&lt;='Gastos com Pessoal'!$F$7:$F$506)*(IF('Gastos com Pessoal'!$S$7:$S$506&lt;=J$3,1,0))*OFFSET('Gastos com Pessoal'!$H$6,1,MATCH(3&amp;$B50,'Gastos com Pessoal'!$I$532:$AJ$532&amp;'Gastos com Pessoal'!$I$6:$AJ$6,0),500,1)),0)+_xlfn.IFNA(SUM((J$3&gt;='Gastos com Pessoal'!$E$7:$E$506)*(J$3&lt;='Gastos com Pessoal'!$F$7:$F$506)*(IF('Gastos com Pessoal'!$Y$7:$Y$506&lt;=J$3,1,0))*OFFSET('Gastos com Pessoal'!$H$6,1,MATCH(4&amp;$B50,'Gastos com Pessoal'!$I$532:$AJ$532&amp;'Gastos com Pessoal'!$I$6:$AJ$6,0),500,1)),0)+_xlfn.IFNA(SUM((J$3&gt;='Gastos com Pessoal'!$E$7:$E$506)*(J$3&lt;='Gastos com Pessoal'!$F$7:$F$506)*(IF('Gastos com Pessoal'!$AE$7:$AE$506&lt;=J$3,1,0))*OFFSET('Gastos com Pessoal'!$H$6,1,MATCH(5&amp;$B50,'Gastos com Pessoal'!$I$532:$AJ$532&amp;'Gastos com Pessoal'!$I$6:$AJ$6,0),500,1)),0)+_xlfn.IFNA(SUM((J$3&gt;='Gastos com Pessoal'!$E$513:$E$522)*(J$3&lt;='Gastos com Pessoal'!$F$513:$F$522)*(IF('Gastos com Pessoal'!$G$513:$G$522&lt;=J$3,1,0))*OFFSET('Gastos com Pessoal'!$H$512,1,MATCH(1&amp;$B50,'Gastos com Pessoal'!$I$532:$AJ$532&amp;'Gastos com Pessoal'!$I$512:$AJ$512,0),10,1)),0)+_xlfn.IFNA(SUM((J$3&gt;='Gastos com Pessoal'!$E$513:$E$522)*(J$3&lt;='Gastos com Pessoal'!$F$513:$F$522)*(IF('Gastos com Pessoal'!$M$513:$M$522&lt;=J$3,1,0))*OFFSET('Gastos com Pessoal'!$H$512,1,MATCH(2&amp;$B50,'Gastos com Pessoal'!$I$532:$AJ$532&amp;'Gastos com Pessoal'!$I$512:$AJ$512,0),10,1)),0)+_xlfn.IFNA(SUM((J$3&gt;='Gastos com Pessoal'!$E$513:$E$522)*(J$3&lt;='Gastos com Pessoal'!$F$513:$F$522)*(IF('Gastos com Pessoal'!$S$513:$S$522&lt;=J$3,1,0))*OFFSET('Gastos com Pessoal'!$H$512,1,MATCH(3&amp;$B50,'Gastos com Pessoal'!$I$532:$AJ$532&amp;'Gastos com Pessoal'!$I$512:$AJ$512,0),10,1)),0)+_xlfn.IFNA(SUM((J$3&gt;='Gastos com Pessoal'!$E$513:$E$522)*(J$3&lt;='Gastos com Pessoal'!$F$513:$F$522)*(IF('Gastos com Pessoal'!$Y$513:$Y$522&lt;=J$3,1,0))*OFFSET('Gastos com Pessoal'!$H$512,1,MATCH(4&amp;$B50,'Gastos com Pessoal'!$I$532:$AJ$532&amp;'Gastos com Pessoal'!$I$512:$AJ$512,0),10,1)),0)+_xlfn.IFNA(SUM((J$3&gt;='Gastos com Pessoal'!$E$513:$E$522)*(J$3&lt;='Gastos com Pessoal'!$F$513:$F$522)*(IF('Gastos com Pessoal'!$AE$513:$AE$522&lt;=J$3,1,0))*OFFSET('Gastos com Pessoal'!$H$512,1,MATCH(5&amp;$B50,'Gastos com Pessoal'!$I$532:$AJ$532&amp;'Gastos com Pessoal'!$I$512:$AJ$512,0),10,1)),0)</f>
        <v>13753.979999999974</v>
      </c>
      <c r="K50" s="188">
        <f t="array" aca="1" ref="K50" ca="1">_xlfn.IFNA(SUM((K$3&gt;='Gastos com Pessoal'!$E$7:$E$506)*(K$3&lt;='Gastos com Pessoal'!$F$7:$F$506)*OFFSET('Encargos e Benefícios'!$D$5,1,MATCH($B50,'Encargos e Benefícios'!$E$5:$AB$5,0),500,1)),0)+_xlfn.IFNA(SUM((K$3&gt;='Gastos com Pessoal'!$E$513:$E$522)*(K$3&lt;='Gastos com Pessoal'!$F$513:$F$522)*OFFSET('Encargos e Benefícios'!$D$511,1,MATCH($B50,'Encargos e Benefícios'!$E$511:$AB$511,0),10,1)),0)+_xlfn.IFNA(SUM((K$3&gt;='Gastos com Pessoal'!$E$7:$E$506)*(K$3&lt;='Gastos com Pessoal'!$F$7:$F$506)*(IF('Gastos com Pessoal'!$G$7:$G$506&lt;=K$3,1,0))*OFFSET('Gastos com Pessoal'!$H$6,1,MATCH(1&amp;$B50,'Gastos com Pessoal'!$I$532:$AJ$532&amp;'Gastos com Pessoal'!$I$6:$AJ$6,0),500,1)),0)+_xlfn.IFNA(SUM((K$3&gt;='Gastos com Pessoal'!$E$7:$E$506)*(K$3&lt;='Gastos com Pessoal'!$F$7:$F$506)*(IF('Gastos com Pessoal'!$M$7:$M$506&lt;=K$3,1,0))*OFFSET('Gastos com Pessoal'!$H$6,1,MATCH(2&amp;$B50,'Gastos com Pessoal'!$I$532:$AJ$532&amp;'Gastos com Pessoal'!$I$6:$AJ$6,0),500,1)),0)+_xlfn.IFNA(SUM((K$3&gt;='Gastos com Pessoal'!$E$7:$E$506)*(K$3&lt;='Gastos com Pessoal'!$F$7:$F$506)*(IF('Gastos com Pessoal'!$S$7:$S$506&lt;=K$3,1,0))*OFFSET('Gastos com Pessoal'!$H$6,1,MATCH(3&amp;$B50,'Gastos com Pessoal'!$I$532:$AJ$532&amp;'Gastos com Pessoal'!$I$6:$AJ$6,0),500,1)),0)+_xlfn.IFNA(SUM((K$3&gt;='Gastos com Pessoal'!$E$7:$E$506)*(K$3&lt;='Gastos com Pessoal'!$F$7:$F$506)*(IF('Gastos com Pessoal'!$Y$7:$Y$506&lt;=K$3,1,0))*OFFSET('Gastos com Pessoal'!$H$6,1,MATCH(4&amp;$B50,'Gastos com Pessoal'!$I$532:$AJ$532&amp;'Gastos com Pessoal'!$I$6:$AJ$6,0),500,1)),0)+_xlfn.IFNA(SUM((K$3&gt;='Gastos com Pessoal'!$E$7:$E$506)*(K$3&lt;='Gastos com Pessoal'!$F$7:$F$506)*(IF('Gastos com Pessoal'!$AE$7:$AE$506&lt;=K$3,1,0))*OFFSET('Gastos com Pessoal'!$H$6,1,MATCH(5&amp;$B50,'Gastos com Pessoal'!$I$532:$AJ$532&amp;'Gastos com Pessoal'!$I$6:$AJ$6,0),500,1)),0)+_xlfn.IFNA(SUM((K$3&gt;='Gastos com Pessoal'!$E$513:$E$522)*(K$3&lt;='Gastos com Pessoal'!$F$513:$F$522)*(IF('Gastos com Pessoal'!$G$513:$G$522&lt;=K$3,1,0))*OFFSET('Gastos com Pessoal'!$H$512,1,MATCH(1&amp;$B50,'Gastos com Pessoal'!$I$532:$AJ$532&amp;'Gastos com Pessoal'!$I$512:$AJ$512,0),10,1)),0)+_xlfn.IFNA(SUM((K$3&gt;='Gastos com Pessoal'!$E$513:$E$522)*(K$3&lt;='Gastos com Pessoal'!$F$513:$F$522)*(IF('Gastos com Pessoal'!$M$513:$M$522&lt;=K$3,1,0))*OFFSET('Gastos com Pessoal'!$H$512,1,MATCH(2&amp;$B50,'Gastos com Pessoal'!$I$532:$AJ$532&amp;'Gastos com Pessoal'!$I$512:$AJ$512,0),10,1)),0)+_xlfn.IFNA(SUM((K$3&gt;='Gastos com Pessoal'!$E$513:$E$522)*(K$3&lt;='Gastos com Pessoal'!$F$513:$F$522)*(IF('Gastos com Pessoal'!$S$513:$S$522&lt;=K$3,1,0))*OFFSET('Gastos com Pessoal'!$H$512,1,MATCH(3&amp;$B50,'Gastos com Pessoal'!$I$532:$AJ$532&amp;'Gastos com Pessoal'!$I$512:$AJ$512,0),10,1)),0)+_xlfn.IFNA(SUM((K$3&gt;='Gastos com Pessoal'!$E$513:$E$522)*(K$3&lt;='Gastos com Pessoal'!$F$513:$F$522)*(IF('Gastos com Pessoal'!$Y$513:$Y$522&lt;=K$3,1,0))*OFFSET('Gastos com Pessoal'!$H$512,1,MATCH(4&amp;$B50,'Gastos com Pessoal'!$I$532:$AJ$532&amp;'Gastos com Pessoal'!$I$512:$AJ$512,0),10,1)),0)+_xlfn.IFNA(SUM((K$3&gt;='Gastos com Pessoal'!$E$513:$E$522)*(K$3&lt;='Gastos com Pessoal'!$F$513:$F$522)*(IF('Gastos com Pessoal'!$AE$513:$AE$522&lt;=K$3,1,0))*OFFSET('Gastos com Pessoal'!$H$512,1,MATCH(5&amp;$B50,'Gastos com Pessoal'!$I$532:$AJ$532&amp;'Gastos com Pessoal'!$I$512:$AJ$512,0),10,1)),0)</f>
        <v>13753.979999999974</v>
      </c>
      <c r="L50" s="188">
        <f t="array" aca="1" ref="L50" ca="1">_xlfn.IFNA(SUM((L$3&gt;='Gastos com Pessoal'!$E$7:$E$506)*(L$3&lt;='Gastos com Pessoal'!$F$7:$F$506)*OFFSET('Encargos e Benefícios'!$D$5,1,MATCH($B50,'Encargos e Benefícios'!$E$5:$AB$5,0),500,1)),0)+_xlfn.IFNA(SUM((L$3&gt;='Gastos com Pessoal'!$E$513:$E$522)*(L$3&lt;='Gastos com Pessoal'!$F$513:$F$522)*OFFSET('Encargos e Benefícios'!$D$511,1,MATCH($B50,'Encargos e Benefícios'!$E$511:$AB$511,0),10,1)),0)+_xlfn.IFNA(SUM((L$3&gt;='Gastos com Pessoal'!$E$7:$E$506)*(L$3&lt;='Gastos com Pessoal'!$F$7:$F$506)*(IF('Gastos com Pessoal'!$G$7:$G$506&lt;=L$3,1,0))*OFFSET('Gastos com Pessoal'!$H$6,1,MATCH(1&amp;$B50,'Gastos com Pessoal'!$I$532:$AJ$532&amp;'Gastos com Pessoal'!$I$6:$AJ$6,0),500,1)),0)+_xlfn.IFNA(SUM((L$3&gt;='Gastos com Pessoal'!$E$7:$E$506)*(L$3&lt;='Gastos com Pessoal'!$F$7:$F$506)*(IF('Gastos com Pessoal'!$M$7:$M$506&lt;=L$3,1,0))*OFFSET('Gastos com Pessoal'!$H$6,1,MATCH(2&amp;$B50,'Gastos com Pessoal'!$I$532:$AJ$532&amp;'Gastos com Pessoal'!$I$6:$AJ$6,0),500,1)),0)+_xlfn.IFNA(SUM((L$3&gt;='Gastos com Pessoal'!$E$7:$E$506)*(L$3&lt;='Gastos com Pessoal'!$F$7:$F$506)*(IF('Gastos com Pessoal'!$S$7:$S$506&lt;=L$3,1,0))*OFFSET('Gastos com Pessoal'!$H$6,1,MATCH(3&amp;$B50,'Gastos com Pessoal'!$I$532:$AJ$532&amp;'Gastos com Pessoal'!$I$6:$AJ$6,0),500,1)),0)+_xlfn.IFNA(SUM((L$3&gt;='Gastos com Pessoal'!$E$7:$E$506)*(L$3&lt;='Gastos com Pessoal'!$F$7:$F$506)*(IF('Gastos com Pessoal'!$Y$7:$Y$506&lt;=L$3,1,0))*OFFSET('Gastos com Pessoal'!$H$6,1,MATCH(4&amp;$B50,'Gastos com Pessoal'!$I$532:$AJ$532&amp;'Gastos com Pessoal'!$I$6:$AJ$6,0),500,1)),0)+_xlfn.IFNA(SUM((L$3&gt;='Gastos com Pessoal'!$E$7:$E$506)*(L$3&lt;='Gastos com Pessoal'!$F$7:$F$506)*(IF('Gastos com Pessoal'!$AE$7:$AE$506&lt;=L$3,1,0))*OFFSET('Gastos com Pessoal'!$H$6,1,MATCH(5&amp;$B50,'Gastos com Pessoal'!$I$532:$AJ$532&amp;'Gastos com Pessoal'!$I$6:$AJ$6,0),500,1)),0)+_xlfn.IFNA(SUM((L$3&gt;='Gastos com Pessoal'!$E$513:$E$522)*(L$3&lt;='Gastos com Pessoal'!$F$513:$F$522)*(IF('Gastos com Pessoal'!$G$513:$G$522&lt;=L$3,1,0))*OFFSET('Gastos com Pessoal'!$H$512,1,MATCH(1&amp;$B50,'Gastos com Pessoal'!$I$532:$AJ$532&amp;'Gastos com Pessoal'!$I$512:$AJ$512,0),10,1)),0)+_xlfn.IFNA(SUM((L$3&gt;='Gastos com Pessoal'!$E$513:$E$522)*(L$3&lt;='Gastos com Pessoal'!$F$513:$F$522)*(IF('Gastos com Pessoal'!$M$513:$M$522&lt;=L$3,1,0))*OFFSET('Gastos com Pessoal'!$H$512,1,MATCH(2&amp;$B50,'Gastos com Pessoal'!$I$532:$AJ$532&amp;'Gastos com Pessoal'!$I$512:$AJ$512,0),10,1)),0)+_xlfn.IFNA(SUM((L$3&gt;='Gastos com Pessoal'!$E$513:$E$522)*(L$3&lt;='Gastos com Pessoal'!$F$513:$F$522)*(IF('Gastos com Pessoal'!$S$513:$S$522&lt;=L$3,1,0))*OFFSET('Gastos com Pessoal'!$H$512,1,MATCH(3&amp;$B50,'Gastos com Pessoal'!$I$532:$AJ$532&amp;'Gastos com Pessoal'!$I$512:$AJ$512,0),10,1)),0)+_xlfn.IFNA(SUM((L$3&gt;='Gastos com Pessoal'!$E$513:$E$522)*(L$3&lt;='Gastos com Pessoal'!$F$513:$F$522)*(IF('Gastos com Pessoal'!$Y$513:$Y$522&lt;=L$3,1,0))*OFFSET('Gastos com Pessoal'!$H$512,1,MATCH(4&amp;$B50,'Gastos com Pessoal'!$I$532:$AJ$532&amp;'Gastos com Pessoal'!$I$512:$AJ$512,0),10,1)),0)+_xlfn.IFNA(SUM((L$3&gt;='Gastos com Pessoal'!$E$513:$E$522)*(L$3&lt;='Gastos com Pessoal'!$F$513:$F$522)*(IF('Gastos com Pessoal'!$AE$513:$AE$522&lt;=L$3,1,0))*OFFSET('Gastos com Pessoal'!$H$512,1,MATCH(5&amp;$B50,'Gastos com Pessoal'!$I$532:$AJ$532&amp;'Gastos com Pessoal'!$I$512:$AJ$512,0),10,1)),0)</f>
        <v>13753.979999999974</v>
      </c>
      <c r="M50" s="188">
        <f t="array" aca="1" ref="M50" ca="1">_xlfn.IFNA(SUM((M$3&gt;='Gastos com Pessoal'!$E$7:$E$506)*(M$3&lt;='Gastos com Pessoal'!$F$7:$F$506)*OFFSET('Encargos e Benefícios'!$D$5,1,MATCH($B50,'Encargos e Benefícios'!$E$5:$AB$5,0),500,1)),0)+_xlfn.IFNA(SUM((M$3&gt;='Gastos com Pessoal'!$E$513:$E$522)*(M$3&lt;='Gastos com Pessoal'!$F$513:$F$522)*OFFSET('Encargos e Benefícios'!$D$511,1,MATCH($B50,'Encargos e Benefícios'!$E$511:$AB$511,0),10,1)),0)+_xlfn.IFNA(SUM((M$3&gt;='Gastos com Pessoal'!$E$7:$E$506)*(M$3&lt;='Gastos com Pessoal'!$F$7:$F$506)*(IF('Gastos com Pessoal'!$G$7:$G$506&lt;=M$3,1,0))*OFFSET('Gastos com Pessoal'!$H$6,1,MATCH(1&amp;$B50,'Gastos com Pessoal'!$I$532:$AJ$532&amp;'Gastos com Pessoal'!$I$6:$AJ$6,0),500,1)),0)+_xlfn.IFNA(SUM((M$3&gt;='Gastos com Pessoal'!$E$7:$E$506)*(M$3&lt;='Gastos com Pessoal'!$F$7:$F$506)*(IF('Gastos com Pessoal'!$M$7:$M$506&lt;=M$3,1,0))*OFFSET('Gastos com Pessoal'!$H$6,1,MATCH(2&amp;$B50,'Gastos com Pessoal'!$I$532:$AJ$532&amp;'Gastos com Pessoal'!$I$6:$AJ$6,0),500,1)),0)+_xlfn.IFNA(SUM((M$3&gt;='Gastos com Pessoal'!$E$7:$E$506)*(M$3&lt;='Gastos com Pessoal'!$F$7:$F$506)*(IF('Gastos com Pessoal'!$S$7:$S$506&lt;=M$3,1,0))*OFFSET('Gastos com Pessoal'!$H$6,1,MATCH(3&amp;$B50,'Gastos com Pessoal'!$I$532:$AJ$532&amp;'Gastos com Pessoal'!$I$6:$AJ$6,0),500,1)),0)+_xlfn.IFNA(SUM((M$3&gt;='Gastos com Pessoal'!$E$7:$E$506)*(M$3&lt;='Gastos com Pessoal'!$F$7:$F$506)*(IF('Gastos com Pessoal'!$Y$7:$Y$506&lt;=M$3,1,0))*OFFSET('Gastos com Pessoal'!$H$6,1,MATCH(4&amp;$B50,'Gastos com Pessoal'!$I$532:$AJ$532&amp;'Gastos com Pessoal'!$I$6:$AJ$6,0),500,1)),0)+_xlfn.IFNA(SUM((M$3&gt;='Gastos com Pessoal'!$E$7:$E$506)*(M$3&lt;='Gastos com Pessoal'!$F$7:$F$506)*(IF('Gastos com Pessoal'!$AE$7:$AE$506&lt;=M$3,1,0))*OFFSET('Gastos com Pessoal'!$H$6,1,MATCH(5&amp;$B50,'Gastos com Pessoal'!$I$532:$AJ$532&amp;'Gastos com Pessoal'!$I$6:$AJ$6,0),500,1)),0)+_xlfn.IFNA(SUM((M$3&gt;='Gastos com Pessoal'!$E$513:$E$522)*(M$3&lt;='Gastos com Pessoal'!$F$513:$F$522)*(IF('Gastos com Pessoal'!$G$513:$G$522&lt;=M$3,1,0))*OFFSET('Gastos com Pessoal'!$H$512,1,MATCH(1&amp;$B50,'Gastos com Pessoal'!$I$532:$AJ$532&amp;'Gastos com Pessoal'!$I$512:$AJ$512,0),10,1)),0)+_xlfn.IFNA(SUM((M$3&gt;='Gastos com Pessoal'!$E$513:$E$522)*(M$3&lt;='Gastos com Pessoal'!$F$513:$F$522)*(IF('Gastos com Pessoal'!$M$513:$M$522&lt;=M$3,1,0))*OFFSET('Gastos com Pessoal'!$H$512,1,MATCH(2&amp;$B50,'Gastos com Pessoal'!$I$532:$AJ$532&amp;'Gastos com Pessoal'!$I$512:$AJ$512,0),10,1)),0)+_xlfn.IFNA(SUM((M$3&gt;='Gastos com Pessoal'!$E$513:$E$522)*(M$3&lt;='Gastos com Pessoal'!$F$513:$F$522)*(IF('Gastos com Pessoal'!$S$513:$S$522&lt;=M$3,1,0))*OFFSET('Gastos com Pessoal'!$H$512,1,MATCH(3&amp;$B50,'Gastos com Pessoal'!$I$532:$AJ$532&amp;'Gastos com Pessoal'!$I$512:$AJ$512,0),10,1)),0)+_xlfn.IFNA(SUM((M$3&gt;='Gastos com Pessoal'!$E$513:$E$522)*(M$3&lt;='Gastos com Pessoal'!$F$513:$F$522)*(IF('Gastos com Pessoal'!$Y$513:$Y$522&lt;=M$3,1,0))*OFFSET('Gastos com Pessoal'!$H$512,1,MATCH(4&amp;$B50,'Gastos com Pessoal'!$I$532:$AJ$532&amp;'Gastos com Pessoal'!$I$512:$AJ$512,0),10,1)),0)+_xlfn.IFNA(SUM((M$3&gt;='Gastos com Pessoal'!$E$513:$E$522)*(M$3&lt;='Gastos com Pessoal'!$F$513:$F$522)*(IF('Gastos com Pessoal'!$AE$513:$AE$522&lt;=M$3,1,0))*OFFSET('Gastos com Pessoal'!$H$512,1,MATCH(5&amp;$B50,'Gastos com Pessoal'!$I$532:$AJ$532&amp;'Gastos com Pessoal'!$I$512:$AJ$512,0),10,1)),0)</f>
        <v>13860.599999999973</v>
      </c>
      <c r="N50" s="188">
        <f t="array" aca="1" ref="N50" ca="1">_xlfn.IFNA(SUM((N$3&gt;='Gastos com Pessoal'!$E$7:$E$506)*(N$3&lt;='Gastos com Pessoal'!$F$7:$F$506)*OFFSET('Encargos e Benefícios'!$D$5,1,MATCH($B50,'Encargos e Benefícios'!$E$5:$AB$5,0),500,1)),0)+_xlfn.IFNA(SUM((N$3&gt;='Gastos com Pessoal'!$E$513:$E$522)*(N$3&lt;='Gastos com Pessoal'!$F$513:$F$522)*OFFSET('Encargos e Benefícios'!$D$511,1,MATCH($B50,'Encargos e Benefícios'!$E$511:$AB$511,0),10,1)),0)+_xlfn.IFNA(SUM((N$3&gt;='Gastos com Pessoal'!$E$7:$E$506)*(N$3&lt;='Gastos com Pessoal'!$F$7:$F$506)*(IF('Gastos com Pessoal'!$G$7:$G$506&lt;=N$3,1,0))*OFFSET('Gastos com Pessoal'!$H$6,1,MATCH(1&amp;$B50,'Gastos com Pessoal'!$I$532:$AJ$532&amp;'Gastos com Pessoal'!$I$6:$AJ$6,0),500,1)),0)+_xlfn.IFNA(SUM((N$3&gt;='Gastos com Pessoal'!$E$7:$E$506)*(N$3&lt;='Gastos com Pessoal'!$F$7:$F$506)*(IF('Gastos com Pessoal'!$M$7:$M$506&lt;=N$3,1,0))*OFFSET('Gastos com Pessoal'!$H$6,1,MATCH(2&amp;$B50,'Gastos com Pessoal'!$I$532:$AJ$532&amp;'Gastos com Pessoal'!$I$6:$AJ$6,0),500,1)),0)+_xlfn.IFNA(SUM((N$3&gt;='Gastos com Pessoal'!$E$7:$E$506)*(N$3&lt;='Gastos com Pessoal'!$F$7:$F$506)*(IF('Gastos com Pessoal'!$S$7:$S$506&lt;=N$3,1,0))*OFFSET('Gastos com Pessoal'!$H$6,1,MATCH(3&amp;$B50,'Gastos com Pessoal'!$I$532:$AJ$532&amp;'Gastos com Pessoal'!$I$6:$AJ$6,0),500,1)),0)+_xlfn.IFNA(SUM((N$3&gt;='Gastos com Pessoal'!$E$7:$E$506)*(N$3&lt;='Gastos com Pessoal'!$F$7:$F$506)*(IF('Gastos com Pessoal'!$Y$7:$Y$506&lt;=N$3,1,0))*OFFSET('Gastos com Pessoal'!$H$6,1,MATCH(4&amp;$B50,'Gastos com Pessoal'!$I$532:$AJ$532&amp;'Gastos com Pessoal'!$I$6:$AJ$6,0),500,1)),0)+_xlfn.IFNA(SUM((N$3&gt;='Gastos com Pessoal'!$E$7:$E$506)*(N$3&lt;='Gastos com Pessoal'!$F$7:$F$506)*(IF('Gastos com Pessoal'!$AE$7:$AE$506&lt;=N$3,1,0))*OFFSET('Gastos com Pessoal'!$H$6,1,MATCH(5&amp;$B50,'Gastos com Pessoal'!$I$532:$AJ$532&amp;'Gastos com Pessoal'!$I$6:$AJ$6,0),500,1)),0)+_xlfn.IFNA(SUM((N$3&gt;='Gastos com Pessoal'!$E$513:$E$522)*(N$3&lt;='Gastos com Pessoal'!$F$513:$F$522)*(IF('Gastos com Pessoal'!$G$513:$G$522&lt;=N$3,1,0))*OFFSET('Gastos com Pessoal'!$H$512,1,MATCH(1&amp;$B50,'Gastos com Pessoal'!$I$532:$AJ$532&amp;'Gastos com Pessoal'!$I$512:$AJ$512,0),10,1)),0)+_xlfn.IFNA(SUM((N$3&gt;='Gastos com Pessoal'!$E$513:$E$522)*(N$3&lt;='Gastos com Pessoal'!$F$513:$F$522)*(IF('Gastos com Pessoal'!$M$513:$M$522&lt;=N$3,1,0))*OFFSET('Gastos com Pessoal'!$H$512,1,MATCH(2&amp;$B50,'Gastos com Pessoal'!$I$532:$AJ$532&amp;'Gastos com Pessoal'!$I$512:$AJ$512,0),10,1)),0)+_xlfn.IFNA(SUM((N$3&gt;='Gastos com Pessoal'!$E$513:$E$522)*(N$3&lt;='Gastos com Pessoal'!$F$513:$F$522)*(IF('Gastos com Pessoal'!$S$513:$S$522&lt;=N$3,1,0))*OFFSET('Gastos com Pessoal'!$H$512,1,MATCH(3&amp;$B50,'Gastos com Pessoal'!$I$532:$AJ$532&amp;'Gastos com Pessoal'!$I$512:$AJ$512,0),10,1)),0)+_xlfn.IFNA(SUM((N$3&gt;='Gastos com Pessoal'!$E$513:$E$522)*(N$3&lt;='Gastos com Pessoal'!$F$513:$F$522)*(IF('Gastos com Pessoal'!$Y$513:$Y$522&lt;=N$3,1,0))*OFFSET('Gastos com Pessoal'!$H$512,1,MATCH(4&amp;$B50,'Gastos com Pessoal'!$I$532:$AJ$532&amp;'Gastos com Pessoal'!$I$512:$AJ$512,0),10,1)),0)+_xlfn.IFNA(SUM((N$3&gt;='Gastos com Pessoal'!$E$513:$E$522)*(N$3&lt;='Gastos com Pessoal'!$F$513:$F$522)*(IF('Gastos com Pessoal'!$AE$513:$AE$522&lt;=N$3,1,0))*OFFSET('Gastos com Pessoal'!$H$512,1,MATCH(5&amp;$B50,'Gastos com Pessoal'!$I$532:$AJ$532&amp;'Gastos com Pessoal'!$I$512:$AJ$512,0),10,1)),0)</f>
        <v>14553.629999999966</v>
      </c>
      <c r="O50" s="188">
        <f t="array" aca="1" ref="O50" ca="1">_xlfn.IFNA(SUM((O$3&gt;='Gastos com Pessoal'!$E$7:$E$506)*(O$3&lt;='Gastos com Pessoal'!$F$7:$F$506)*OFFSET('Encargos e Benefícios'!$D$5,1,MATCH($B50,'Encargos e Benefícios'!$E$5:$AB$5,0),500,1)),0)+_xlfn.IFNA(SUM((O$3&gt;='Gastos com Pessoal'!$E$513:$E$522)*(O$3&lt;='Gastos com Pessoal'!$F$513:$F$522)*OFFSET('Encargos e Benefícios'!$D$511,1,MATCH($B50,'Encargos e Benefícios'!$E$511:$AB$511,0),10,1)),0)+_xlfn.IFNA(SUM((O$3&gt;='Gastos com Pessoal'!$E$7:$E$506)*(O$3&lt;='Gastos com Pessoal'!$F$7:$F$506)*(IF('Gastos com Pessoal'!$G$7:$G$506&lt;=O$3,1,0))*OFFSET('Gastos com Pessoal'!$H$6,1,MATCH(1&amp;$B50,'Gastos com Pessoal'!$I$532:$AJ$532&amp;'Gastos com Pessoal'!$I$6:$AJ$6,0),500,1)),0)+_xlfn.IFNA(SUM((O$3&gt;='Gastos com Pessoal'!$E$7:$E$506)*(O$3&lt;='Gastos com Pessoal'!$F$7:$F$506)*(IF('Gastos com Pessoal'!$M$7:$M$506&lt;=O$3,1,0))*OFFSET('Gastos com Pessoal'!$H$6,1,MATCH(2&amp;$B50,'Gastos com Pessoal'!$I$532:$AJ$532&amp;'Gastos com Pessoal'!$I$6:$AJ$6,0),500,1)),0)+_xlfn.IFNA(SUM((O$3&gt;='Gastos com Pessoal'!$E$7:$E$506)*(O$3&lt;='Gastos com Pessoal'!$F$7:$F$506)*(IF('Gastos com Pessoal'!$S$7:$S$506&lt;=O$3,1,0))*OFFSET('Gastos com Pessoal'!$H$6,1,MATCH(3&amp;$B50,'Gastos com Pessoal'!$I$532:$AJ$532&amp;'Gastos com Pessoal'!$I$6:$AJ$6,0),500,1)),0)+_xlfn.IFNA(SUM((O$3&gt;='Gastos com Pessoal'!$E$7:$E$506)*(O$3&lt;='Gastos com Pessoal'!$F$7:$F$506)*(IF('Gastos com Pessoal'!$Y$7:$Y$506&lt;=O$3,1,0))*OFFSET('Gastos com Pessoal'!$H$6,1,MATCH(4&amp;$B50,'Gastos com Pessoal'!$I$532:$AJ$532&amp;'Gastos com Pessoal'!$I$6:$AJ$6,0),500,1)),0)+_xlfn.IFNA(SUM((O$3&gt;='Gastos com Pessoal'!$E$7:$E$506)*(O$3&lt;='Gastos com Pessoal'!$F$7:$F$506)*(IF('Gastos com Pessoal'!$AE$7:$AE$506&lt;=O$3,1,0))*OFFSET('Gastos com Pessoal'!$H$6,1,MATCH(5&amp;$B50,'Gastos com Pessoal'!$I$532:$AJ$532&amp;'Gastos com Pessoal'!$I$6:$AJ$6,0),500,1)),0)+_xlfn.IFNA(SUM((O$3&gt;='Gastos com Pessoal'!$E$513:$E$522)*(O$3&lt;='Gastos com Pessoal'!$F$513:$F$522)*(IF('Gastos com Pessoal'!$G$513:$G$522&lt;=O$3,1,0))*OFFSET('Gastos com Pessoal'!$H$512,1,MATCH(1&amp;$B50,'Gastos com Pessoal'!$I$532:$AJ$532&amp;'Gastos com Pessoal'!$I$512:$AJ$512,0),10,1)),0)+_xlfn.IFNA(SUM((O$3&gt;='Gastos com Pessoal'!$E$513:$E$522)*(O$3&lt;='Gastos com Pessoal'!$F$513:$F$522)*(IF('Gastos com Pessoal'!$M$513:$M$522&lt;=O$3,1,0))*OFFSET('Gastos com Pessoal'!$H$512,1,MATCH(2&amp;$B50,'Gastos com Pessoal'!$I$532:$AJ$532&amp;'Gastos com Pessoal'!$I$512:$AJ$512,0),10,1)),0)+_xlfn.IFNA(SUM((O$3&gt;='Gastos com Pessoal'!$E$513:$E$522)*(O$3&lt;='Gastos com Pessoal'!$F$513:$F$522)*(IF('Gastos com Pessoal'!$S$513:$S$522&lt;=O$3,1,0))*OFFSET('Gastos com Pessoal'!$H$512,1,MATCH(3&amp;$B50,'Gastos com Pessoal'!$I$532:$AJ$532&amp;'Gastos com Pessoal'!$I$512:$AJ$512,0),10,1)),0)+_xlfn.IFNA(SUM((O$3&gt;='Gastos com Pessoal'!$E$513:$E$522)*(O$3&lt;='Gastos com Pessoal'!$F$513:$F$522)*(IF('Gastos com Pessoal'!$Y$513:$Y$522&lt;=O$3,1,0))*OFFSET('Gastos com Pessoal'!$H$512,1,MATCH(4&amp;$B50,'Gastos com Pessoal'!$I$532:$AJ$532&amp;'Gastos com Pessoal'!$I$512:$AJ$512,0),10,1)),0)+_xlfn.IFNA(SUM((O$3&gt;='Gastos com Pessoal'!$E$513:$E$522)*(O$3&lt;='Gastos com Pessoal'!$F$513:$F$522)*(IF('Gastos com Pessoal'!$AE$513:$AE$522&lt;=O$3,1,0))*OFFSET('Gastos com Pessoal'!$H$512,1,MATCH(5&amp;$B50,'Gastos com Pessoal'!$I$532:$AJ$532&amp;'Gastos com Pessoal'!$I$512:$AJ$512,0),10,1)),0)</f>
        <v>14553.629999999966</v>
      </c>
      <c r="P50" s="188">
        <f t="array" aca="1" ref="P50" ca="1">_xlfn.IFNA(SUM((P$3&gt;='Gastos com Pessoal'!$E$7:$E$506)*(P$3&lt;='Gastos com Pessoal'!$F$7:$F$506)*OFFSET('Encargos e Benefícios'!$D$5,1,MATCH($B50,'Encargos e Benefícios'!$E$5:$AB$5,0),500,1)),0)+_xlfn.IFNA(SUM((P$3&gt;='Gastos com Pessoal'!$E$513:$E$522)*(P$3&lt;='Gastos com Pessoal'!$F$513:$F$522)*OFFSET('Encargos e Benefícios'!$D$511,1,MATCH($B50,'Encargos e Benefícios'!$E$511:$AB$511,0),10,1)),0)+_xlfn.IFNA(SUM((P$3&gt;='Gastos com Pessoal'!$E$7:$E$506)*(P$3&lt;='Gastos com Pessoal'!$F$7:$F$506)*(IF('Gastos com Pessoal'!$G$7:$G$506&lt;=P$3,1,0))*OFFSET('Gastos com Pessoal'!$H$6,1,MATCH(1&amp;$B50,'Gastos com Pessoal'!$I$532:$AJ$532&amp;'Gastos com Pessoal'!$I$6:$AJ$6,0),500,1)),0)+_xlfn.IFNA(SUM((P$3&gt;='Gastos com Pessoal'!$E$7:$E$506)*(P$3&lt;='Gastos com Pessoal'!$F$7:$F$506)*(IF('Gastos com Pessoal'!$M$7:$M$506&lt;=P$3,1,0))*OFFSET('Gastos com Pessoal'!$H$6,1,MATCH(2&amp;$B50,'Gastos com Pessoal'!$I$532:$AJ$532&amp;'Gastos com Pessoal'!$I$6:$AJ$6,0),500,1)),0)+_xlfn.IFNA(SUM((P$3&gt;='Gastos com Pessoal'!$E$7:$E$506)*(P$3&lt;='Gastos com Pessoal'!$F$7:$F$506)*(IF('Gastos com Pessoal'!$S$7:$S$506&lt;=P$3,1,0))*OFFSET('Gastos com Pessoal'!$H$6,1,MATCH(3&amp;$B50,'Gastos com Pessoal'!$I$532:$AJ$532&amp;'Gastos com Pessoal'!$I$6:$AJ$6,0),500,1)),0)+_xlfn.IFNA(SUM((P$3&gt;='Gastos com Pessoal'!$E$7:$E$506)*(P$3&lt;='Gastos com Pessoal'!$F$7:$F$506)*(IF('Gastos com Pessoal'!$Y$7:$Y$506&lt;=P$3,1,0))*OFFSET('Gastos com Pessoal'!$H$6,1,MATCH(4&amp;$B50,'Gastos com Pessoal'!$I$532:$AJ$532&amp;'Gastos com Pessoal'!$I$6:$AJ$6,0),500,1)),0)+_xlfn.IFNA(SUM((P$3&gt;='Gastos com Pessoal'!$E$7:$E$506)*(P$3&lt;='Gastos com Pessoal'!$F$7:$F$506)*(IF('Gastos com Pessoal'!$AE$7:$AE$506&lt;=P$3,1,0))*OFFSET('Gastos com Pessoal'!$H$6,1,MATCH(5&amp;$B50,'Gastos com Pessoal'!$I$532:$AJ$532&amp;'Gastos com Pessoal'!$I$6:$AJ$6,0),500,1)),0)+_xlfn.IFNA(SUM((P$3&gt;='Gastos com Pessoal'!$E$513:$E$522)*(P$3&lt;='Gastos com Pessoal'!$F$513:$F$522)*(IF('Gastos com Pessoal'!$G$513:$G$522&lt;=P$3,1,0))*OFFSET('Gastos com Pessoal'!$H$512,1,MATCH(1&amp;$B50,'Gastos com Pessoal'!$I$532:$AJ$532&amp;'Gastos com Pessoal'!$I$512:$AJ$512,0),10,1)),0)+_xlfn.IFNA(SUM((P$3&gt;='Gastos com Pessoal'!$E$513:$E$522)*(P$3&lt;='Gastos com Pessoal'!$F$513:$F$522)*(IF('Gastos com Pessoal'!$M$513:$M$522&lt;=P$3,1,0))*OFFSET('Gastos com Pessoal'!$H$512,1,MATCH(2&amp;$B50,'Gastos com Pessoal'!$I$532:$AJ$532&amp;'Gastos com Pessoal'!$I$512:$AJ$512,0),10,1)),0)+_xlfn.IFNA(SUM((P$3&gt;='Gastos com Pessoal'!$E$513:$E$522)*(P$3&lt;='Gastos com Pessoal'!$F$513:$F$522)*(IF('Gastos com Pessoal'!$S$513:$S$522&lt;=P$3,1,0))*OFFSET('Gastos com Pessoal'!$H$512,1,MATCH(3&amp;$B50,'Gastos com Pessoal'!$I$532:$AJ$532&amp;'Gastos com Pessoal'!$I$512:$AJ$512,0),10,1)),0)+_xlfn.IFNA(SUM((P$3&gt;='Gastos com Pessoal'!$E$513:$E$522)*(P$3&lt;='Gastos com Pessoal'!$F$513:$F$522)*(IF('Gastos com Pessoal'!$Y$513:$Y$522&lt;=P$3,1,0))*OFFSET('Gastos com Pessoal'!$H$512,1,MATCH(4&amp;$B50,'Gastos com Pessoal'!$I$532:$AJ$532&amp;'Gastos com Pessoal'!$I$512:$AJ$512,0),10,1)),0)+_xlfn.IFNA(SUM((P$3&gt;='Gastos com Pessoal'!$E$513:$E$522)*(P$3&lt;='Gastos com Pessoal'!$F$513:$F$522)*(IF('Gastos com Pessoal'!$AE$513:$AE$522&lt;=P$3,1,0))*OFFSET('Gastos com Pessoal'!$H$512,1,MATCH(5&amp;$B50,'Gastos com Pessoal'!$I$532:$AJ$532&amp;'Gastos com Pessoal'!$I$512:$AJ$512,0),10,1)),0)</f>
        <v>14660.249999999965</v>
      </c>
      <c r="Q50" s="188">
        <f t="array" aca="1" ref="Q50" ca="1">_xlfn.IFNA(SUM((Q$3&gt;='Gastos com Pessoal'!$E$7:$E$506)*(Q$3&lt;='Gastos com Pessoal'!$F$7:$F$506)*OFFSET('Encargos e Benefícios'!$D$5,1,MATCH($B50,'Encargos e Benefícios'!$E$5:$AB$5,0),500,1)),0)+_xlfn.IFNA(SUM((Q$3&gt;='Gastos com Pessoal'!$E$513:$E$522)*(Q$3&lt;='Gastos com Pessoal'!$F$513:$F$522)*OFFSET('Encargos e Benefícios'!$D$511,1,MATCH($B50,'Encargos e Benefícios'!$E$511:$AB$511,0),10,1)),0)+_xlfn.IFNA(SUM((Q$3&gt;='Gastos com Pessoal'!$E$7:$E$506)*(Q$3&lt;='Gastos com Pessoal'!$F$7:$F$506)*(IF('Gastos com Pessoal'!$G$7:$G$506&lt;=Q$3,1,0))*OFFSET('Gastos com Pessoal'!$H$6,1,MATCH(1&amp;$B50,'Gastos com Pessoal'!$I$532:$AJ$532&amp;'Gastos com Pessoal'!$I$6:$AJ$6,0),500,1)),0)+_xlfn.IFNA(SUM((Q$3&gt;='Gastos com Pessoal'!$E$7:$E$506)*(Q$3&lt;='Gastos com Pessoal'!$F$7:$F$506)*(IF('Gastos com Pessoal'!$M$7:$M$506&lt;=Q$3,1,0))*OFFSET('Gastos com Pessoal'!$H$6,1,MATCH(2&amp;$B50,'Gastos com Pessoal'!$I$532:$AJ$532&amp;'Gastos com Pessoal'!$I$6:$AJ$6,0),500,1)),0)+_xlfn.IFNA(SUM((Q$3&gt;='Gastos com Pessoal'!$E$7:$E$506)*(Q$3&lt;='Gastos com Pessoal'!$F$7:$F$506)*(IF('Gastos com Pessoal'!$S$7:$S$506&lt;=Q$3,1,0))*OFFSET('Gastos com Pessoal'!$H$6,1,MATCH(3&amp;$B50,'Gastos com Pessoal'!$I$532:$AJ$532&amp;'Gastos com Pessoal'!$I$6:$AJ$6,0),500,1)),0)+_xlfn.IFNA(SUM((Q$3&gt;='Gastos com Pessoal'!$E$7:$E$506)*(Q$3&lt;='Gastos com Pessoal'!$F$7:$F$506)*(IF('Gastos com Pessoal'!$Y$7:$Y$506&lt;=Q$3,1,0))*OFFSET('Gastos com Pessoal'!$H$6,1,MATCH(4&amp;$B50,'Gastos com Pessoal'!$I$532:$AJ$532&amp;'Gastos com Pessoal'!$I$6:$AJ$6,0),500,1)),0)+_xlfn.IFNA(SUM((Q$3&gt;='Gastos com Pessoal'!$E$7:$E$506)*(Q$3&lt;='Gastos com Pessoal'!$F$7:$F$506)*(IF('Gastos com Pessoal'!$AE$7:$AE$506&lt;=Q$3,1,0))*OFFSET('Gastos com Pessoal'!$H$6,1,MATCH(5&amp;$B50,'Gastos com Pessoal'!$I$532:$AJ$532&amp;'Gastos com Pessoal'!$I$6:$AJ$6,0),500,1)),0)+_xlfn.IFNA(SUM((Q$3&gt;='Gastos com Pessoal'!$E$513:$E$522)*(Q$3&lt;='Gastos com Pessoal'!$F$513:$F$522)*(IF('Gastos com Pessoal'!$G$513:$G$522&lt;=Q$3,1,0))*OFFSET('Gastos com Pessoal'!$H$512,1,MATCH(1&amp;$B50,'Gastos com Pessoal'!$I$532:$AJ$532&amp;'Gastos com Pessoal'!$I$512:$AJ$512,0),10,1)),0)+_xlfn.IFNA(SUM((Q$3&gt;='Gastos com Pessoal'!$E$513:$E$522)*(Q$3&lt;='Gastos com Pessoal'!$F$513:$F$522)*(IF('Gastos com Pessoal'!$M$513:$M$522&lt;=Q$3,1,0))*OFFSET('Gastos com Pessoal'!$H$512,1,MATCH(2&amp;$B50,'Gastos com Pessoal'!$I$532:$AJ$532&amp;'Gastos com Pessoal'!$I$512:$AJ$512,0),10,1)),0)+_xlfn.IFNA(SUM((Q$3&gt;='Gastos com Pessoal'!$E$513:$E$522)*(Q$3&lt;='Gastos com Pessoal'!$F$513:$F$522)*(IF('Gastos com Pessoal'!$S$513:$S$522&lt;=Q$3,1,0))*OFFSET('Gastos com Pessoal'!$H$512,1,MATCH(3&amp;$B50,'Gastos com Pessoal'!$I$532:$AJ$532&amp;'Gastos com Pessoal'!$I$512:$AJ$512,0),10,1)),0)+_xlfn.IFNA(SUM((Q$3&gt;='Gastos com Pessoal'!$E$513:$E$522)*(Q$3&lt;='Gastos com Pessoal'!$F$513:$F$522)*(IF('Gastos com Pessoal'!$Y$513:$Y$522&lt;=Q$3,1,0))*OFFSET('Gastos com Pessoal'!$H$512,1,MATCH(4&amp;$B50,'Gastos com Pessoal'!$I$532:$AJ$532&amp;'Gastos com Pessoal'!$I$512:$AJ$512,0),10,1)),0)+_xlfn.IFNA(SUM((Q$3&gt;='Gastos com Pessoal'!$E$513:$E$522)*(Q$3&lt;='Gastos com Pessoal'!$F$513:$F$522)*(IF('Gastos com Pessoal'!$AE$513:$AE$522&lt;=Q$3,1,0))*OFFSET('Gastos com Pessoal'!$H$512,1,MATCH(5&amp;$B50,'Gastos com Pessoal'!$I$532:$AJ$532&amp;'Gastos com Pessoal'!$I$512:$AJ$512,0),10,1)),0)</f>
        <v>15353.279999999959</v>
      </c>
      <c r="R50" s="188">
        <f t="array" aca="1" ref="R50" ca="1">_xlfn.IFNA(SUM((R$3&gt;='Gastos com Pessoal'!$E$7:$E$506)*(R$3&lt;='Gastos com Pessoal'!$F$7:$F$506)*OFFSET('Encargos e Benefícios'!$D$5,1,MATCH($B50,'Encargos e Benefícios'!$E$5:$AB$5,0),500,1)),0)+_xlfn.IFNA(SUM((R$3&gt;='Gastos com Pessoal'!$E$513:$E$522)*(R$3&lt;='Gastos com Pessoal'!$F$513:$F$522)*OFFSET('Encargos e Benefícios'!$D$511,1,MATCH($B50,'Encargos e Benefícios'!$E$511:$AB$511,0),10,1)),0)+_xlfn.IFNA(SUM((R$3&gt;='Gastos com Pessoal'!$E$7:$E$506)*(R$3&lt;='Gastos com Pessoal'!$F$7:$F$506)*(IF('Gastos com Pessoal'!$G$7:$G$506&lt;=R$3,1,0))*OFFSET('Gastos com Pessoal'!$H$6,1,MATCH(1&amp;$B50,'Gastos com Pessoal'!$I$532:$AJ$532&amp;'Gastos com Pessoal'!$I$6:$AJ$6,0),500,1)),0)+_xlfn.IFNA(SUM((R$3&gt;='Gastos com Pessoal'!$E$7:$E$506)*(R$3&lt;='Gastos com Pessoal'!$F$7:$F$506)*(IF('Gastos com Pessoal'!$M$7:$M$506&lt;=R$3,1,0))*OFFSET('Gastos com Pessoal'!$H$6,1,MATCH(2&amp;$B50,'Gastos com Pessoal'!$I$532:$AJ$532&amp;'Gastos com Pessoal'!$I$6:$AJ$6,0),500,1)),0)+_xlfn.IFNA(SUM((R$3&gt;='Gastos com Pessoal'!$E$7:$E$506)*(R$3&lt;='Gastos com Pessoal'!$F$7:$F$506)*(IF('Gastos com Pessoal'!$S$7:$S$506&lt;=R$3,1,0))*OFFSET('Gastos com Pessoal'!$H$6,1,MATCH(3&amp;$B50,'Gastos com Pessoal'!$I$532:$AJ$532&amp;'Gastos com Pessoal'!$I$6:$AJ$6,0),500,1)),0)+_xlfn.IFNA(SUM((R$3&gt;='Gastos com Pessoal'!$E$7:$E$506)*(R$3&lt;='Gastos com Pessoal'!$F$7:$F$506)*(IF('Gastos com Pessoal'!$Y$7:$Y$506&lt;=R$3,1,0))*OFFSET('Gastos com Pessoal'!$H$6,1,MATCH(4&amp;$B50,'Gastos com Pessoal'!$I$532:$AJ$532&amp;'Gastos com Pessoal'!$I$6:$AJ$6,0),500,1)),0)+_xlfn.IFNA(SUM((R$3&gt;='Gastos com Pessoal'!$E$7:$E$506)*(R$3&lt;='Gastos com Pessoal'!$F$7:$F$506)*(IF('Gastos com Pessoal'!$AE$7:$AE$506&lt;=R$3,1,0))*OFFSET('Gastos com Pessoal'!$H$6,1,MATCH(5&amp;$B50,'Gastos com Pessoal'!$I$532:$AJ$532&amp;'Gastos com Pessoal'!$I$6:$AJ$6,0),500,1)),0)+_xlfn.IFNA(SUM((R$3&gt;='Gastos com Pessoal'!$E$513:$E$522)*(R$3&lt;='Gastos com Pessoal'!$F$513:$F$522)*(IF('Gastos com Pessoal'!$G$513:$G$522&lt;=R$3,1,0))*OFFSET('Gastos com Pessoal'!$H$512,1,MATCH(1&amp;$B50,'Gastos com Pessoal'!$I$532:$AJ$532&amp;'Gastos com Pessoal'!$I$512:$AJ$512,0),10,1)),0)+_xlfn.IFNA(SUM((R$3&gt;='Gastos com Pessoal'!$E$513:$E$522)*(R$3&lt;='Gastos com Pessoal'!$F$513:$F$522)*(IF('Gastos com Pessoal'!$M$513:$M$522&lt;=R$3,1,0))*OFFSET('Gastos com Pessoal'!$H$512,1,MATCH(2&amp;$B50,'Gastos com Pessoal'!$I$532:$AJ$532&amp;'Gastos com Pessoal'!$I$512:$AJ$512,0),10,1)),0)+_xlfn.IFNA(SUM((R$3&gt;='Gastos com Pessoal'!$E$513:$E$522)*(R$3&lt;='Gastos com Pessoal'!$F$513:$F$522)*(IF('Gastos com Pessoal'!$S$513:$S$522&lt;=R$3,1,0))*OFFSET('Gastos com Pessoal'!$H$512,1,MATCH(3&amp;$B50,'Gastos com Pessoal'!$I$532:$AJ$532&amp;'Gastos com Pessoal'!$I$512:$AJ$512,0),10,1)),0)+_xlfn.IFNA(SUM((R$3&gt;='Gastos com Pessoal'!$E$513:$E$522)*(R$3&lt;='Gastos com Pessoal'!$F$513:$F$522)*(IF('Gastos com Pessoal'!$Y$513:$Y$522&lt;=R$3,1,0))*OFFSET('Gastos com Pessoal'!$H$512,1,MATCH(4&amp;$B50,'Gastos com Pessoal'!$I$532:$AJ$532&amp;'Gastos com Pessoal'!$I$512:$AJ$512,0),10,1)),0)+_xlfn.IFNA(SUM((R$3&gt;='Gastos com Pessoal'!$E$513:$E$522)*(R$3&lt;='Gastos com Pessoal'!$F$513:$F$522)*(IF('Gastos com Pessoal'!$AE$513:$AE$522&lt;=R$3,1,0))*OFFSET('Gastos com Pessoal'!$H$512,1,MATCH(5&amp;$B50,'Gastos com Pessoal'!$I$532:$AJ$532&amp;'Gastos com Pessoal'!$I$512:$AJ$512,0),10,1)),0)</f>
        <v>15353.279999999959</v>
      </c>
      <c r="S50" s="188">
        <f t="array" aca="1" ref="S50" ca="1">_xlfn.IFNA(SUM((S$3&gt;='Gastos com Pessoal'!$E$7:$E$506)*(S$3&lt;='Gastos com Pessoal'!$F$7:$F$506)*OFFSET('Encargos e Benefícios'!$D$5,1,MATCH($B50,'Encargos e Benefícios'!$E$5:$AB$5,0),500,1)),0)+_xlfn.IFNA(SUM((S$3&gt;='Gastos com Pessoal'!$E$513:$E$522)*(S$3&lt;='Gastos com Pessoal'!$F$513:$F$522)*OFFSET('Encargos e Benefícios'!$D$511,1,MATCH($B50,'Encargos e Benefícios'!$E$511:$AB$511,0),10,1)),0)+_xlfn.IFNA(SUM((S$3&gt;='Gastos com Pessoal'!$E$7:$E$506)*(S$3&lt;='Gastos com Pessoal'!$F$7:$F$506)*(IF('Gastos com Pessoal'!$G$7:$G$506&lt;=S$3,1,0))*OFFSET('Gastos com Pessoal'!$H$6,1,MATCH(1&amp;$B50,'Gastos com Pessoal'!$I$532:$AJ$532&amp;'Gastos com Pessoal'!$I$6:$AJ$6,0),500,1)),0)+_xlfn.IFNA(SUM((S$3&gt;='Gastos com Pessoal'!$E$7:$E$506)*(S$3&lt;='Gastos com Pessoal'!$F$7:$F$506)*(IF('Gastos com Pessoal'!$M$7:$M$506&lt;=S$3,1,0))*OFFSET('Gastos com Pessoal'!$H$6,1,MATCH(2&amp;$B50,'Gastos com Pessoal'!$I$532:$AJ$532&amp;'Gastos com Pessoal'!$I$6:$AJ$6,0),500,1)),0)+_xlfn.IFNA(SUM((S$3&gt;='Gastos com Pessoal'!$E$7:$E$506)*(S$3&lt;='Gastos com Pessoal'!$F$7:$F$506)*(IF('Gastos com Pessoal'!$S$7:$S$506&lt;=S$3,1,0))*OFFSET('Gastos com Pessoal'!$H$6,1,MATCH(3&amp;$B50,'Gastos com Pessoal'!$I$532:$AJ$532&amp;'Gastos com Pessoal'!$I$6:$AJ$6,0),500,1)),0)+_xlfn.IFNA(SUM((S$3&gt;='Gastos com Pessoal'!$E$7:$E$506)*(S$3&lt;='Gastos com Pessoal'!$F$7:$F$506)*(IF('Gastos com Pessoal'!$Y$7:$Y$506&lt;=S$3,1,0))*OFFSET('Gastos com Pessoal'!$H$6,1,MATCH(4&amp;$B50,'Gastos com Pessoal'!$I$532:$AJ$532&amp;'Gastos com Pessoal'!$I$6:$AJ$6,0),500,1)),0)+_xlfn.IFNA(SUM((S$3&gt;='Gastos com Pessoal'!$E$7:$E$506)*(S$3&lt;='Gastos com Pessoal'!$F$7:$F$506)*(IF('Gastos com Pessoal'!$AE$7:$AE$506&lt;=S$3,1,0))*OFFSET('Gastos com Pessoal'!$H$6,1,MATCH(5&amp;$B50,'Gastos com Pessoal'!$I$532:$AJ$532&amp;'Gastos com Pessoal'!$I$6:$AJ$6,0),500,1)),0)+_xlfn.IFNA(SUM((S$3&gt;='Gastos com Pessoal'!$E$513:$E$522)*(S$3&lt;='Gastos com Pessoal'!$F$513:$F$522)*(IF('Gastos com Pessoal'!$G$513:$G$522&lt;=S$3,1,0))*OFFSET('Gastos com Pessoal'!$H$512,1,MATCH(1&amp;$B50,'Gastos com Pessoal'!$I$532:$AJ$532&amp;'Gastos com Pessoal'!$I$512:$AJ$512,0),10,1)),0)+_xlfn.IFNA(SUM((S$3&gt;='Gastos com Pessoal'!$E$513:$E$522)*(S$3&lt;='Gastos com Pessoal'!$F$513:$F$522)*(IF('Gastos com Pessoal'!$M$513:$M$522&lt;=S$3,1,0))*OFFSET('Gastos com Pessoal'!$H$512,1,MATCH(2&amp;$B50,'Gastos com Pessoal'!$I$532:$AJ$532&amp;'Gastos com Pessoal'!$I$512:$AJ$512,0),10,1)),0)+_xlfn.IFNA(SUM((S$3&gt;='Gastos com Pessoal'!$E$513:$E$522)*(S$3&lt;='Gastos com Pessoal'!$F$513:$F$522)*(IF('Gastos com Pessoal'!$S$513:$S$522&lt;=S$3,1,0))*OFFSET('Gastos com Pessoal'!$H$512,1,MATCH(3&amp;$B50,'Gastos com Pessoal'!$I$532:$AJ$532&amp;'Gastos com Pessoal'!$I$512:$AJ$512,0),10,1)),0)+_xlfn.IFNA(SUM((S$3&gt;='Gastos com Pessoal'!$E$513:$E$522)*(S$3&lt;='Gastos com Pessoal'!$F$513:$F$522)*(IF('Gastos com Pessoal'!$Y$513:$Y$522&lt;=S$3,1,0))*OFFSET('Gastos com Pessoal'!$H$512,1,MATCH(4&amp;$B50,'Gastos com Pessoal'!$I$532:$AJ$532&amp;'Gastos com Pessoal'!$I$512:$AJ$512,0),10,1)),0)+_xlfn.IFNA(SUM((S$3&gt;='Gastos com Pessoal'!$E$513:$E$522)*(S$3&lt;='Gastos com Pessoal'!$F$513:$F$522)*(IF('Gastos com Pessoal'!$AE$513:$AE$522&lt;=S$3,1,0))*OFFSET('Gastos com Pessoal'!$H$512,1,MATCH(5&amp;$B50,'Gastos com Pessoal'!$I$532:$AJ$532&amp;'Gastos com Pessoal'!$I$512:$AJ$512,0),10,1)),0)</f>
        <v>15353.279999999959</v>
      </c>
      <c r="T50" s="188">
        <f t="array" aca="1" ref="T50" ca="1">_xlfn.IFNA(SUM((T$3&gt;='Gastos com Pessoal'!$E$7:$E$506)*(T$3&lt;='Gastos com Pessoal'!$F$7:$F$506)*OFFSET('Encargos e Benefícios'!$D$5,1,MATCH($B50,'Encargos e Benefícios'!$E$5:$AB$5,0),500,1)),0)+_xlfn.IFNA(SUM((T$3&gt;='Gastos com Pessoal'!$E$513:$E$522)*(T$3&lt;='Gastos com Pessoal'!$F$513:$F$522)*OFFSET('Encargos e Benefícios'!$D$511,1,MATCH($B50,'Encargos e Benefícios'!$E$511:$AB$511,0),10,1)),0)+_xlfn.IFNA(SUM((T$3&gt;='Gastos com Pessoal'!$E$7:$E$506)*(T$3&lt;='Gastos com Pessoal'!$F$7:$F$506)*(IF('Gastos com Pessoal'!$G$7:$G$506&lt;=T$3,1,0))*OFFSET('Gastos com Pessoal'!$H$6,1,MATCH(1&amp;$B50,'Gastos com Pessoal'!$I$532:$AJ$532&amp;'Gastos com Pessoal'!$I$6:$AJ$6,0),500,1)),0)+_xlfn.IFNA(SUM((T$3&gt;='Gastos com Pessoal'!$E$7:$E$506)*(T$3&lt;='Gastos com Pessoal'!$F$7:$F$506)*(IF('Gastos com Pessoal'!$M$7:$M$506&lt;=T$3,1,0))*OFFSET('Gastos com Pessoal'!$H$6,1,MATCH(2&amp;$B50,'Gastos com Pessoal'!$I$532:$AJ$532&amp;'Gastos com Pessoal'!$I$6:$AJ$6,0),500,1)),0)+_xlfn.IFNA(SUM((T$3&gt;='Gastos com Pessoal'!$E$7:$E$506)*(T$3&lt;='Gastos com Pessoal'!$F$7:$F$506)*(IF('Gastos com Pessoal'!$S$7:$S$506&lt;=T$3,1,0))*OFFSET('Gastos com Pessoal'!$H$6,1,MATCH(3&amp;$B50,'Gastos com Pessoal'!$I$532:$AJ$532&amp;'Gastos com Pessoal'!$I$6:$AJ$6,0),500,1)),0)+_xlfn.IFNA(SUM((T$3&gt;='Gastos com Pessoal'!$E$7:$E$506)*(T$3&lt;='Gastos com Pessoal'!$F$7:$F$506)*(IF('Gastos com Pessoal'!$Y$7:$Y$506&lt;=T$3,1,0))*OFFSET('Gastos com Pessoal'!$H$6,1,MATCH(4&amp;$B50,'Gastos com Pessoal'!$I$532:$AJ$532&amp;'Gastos com Pessoal'!$I$6:$AJ$6,0),500,1)),0)+_xlfn.IFNA(SUM((T$3&gt;='Gastos com Pessoal'!$E$7:$E$506)*(T$3&lt;='Gastos com Pessoal'!$F$7:$F$506)*(IF('Gastos com Pessoal'!$AE$7:$AE$506&lt;=T$3,1,0))*OFFSET('Gastos com Pessoal'!$H$6,1,MATCH(5&amp;$B50,'Gastos com Pessoal'!$I$532:$AJ$532&amp;'Gastos com Pessoal'!$I$6:$AJ$6,0),500,1)),0)+_xlfn.IFNA(SUM((T$3&gt;='Gastos com Pessoal'!$E$513:$E$522)*(T$3&lt;='Gastos com Pessoal'!$F$513:$F$522)*(IF('Gastos com Pessoal'!$G$513:$G$522&lt;=T$3,1,0))*OFFSET('Gastos com Pessoal'!$H$512,1,MATCH(1&amp;$B50,'Gastos com Pessoal'!$I$532:$AJ$532&amp;'Gastos com Pessoal'!$I$512:$AJ$512,0),10,1)),0)+_xlfn.IFNA(SUM((T$3&gt;='Gastos com Pessoal'!$E$513:$E$522)*(T$3&lt;='Gastos com Pessoal'!$F$513:$F$522)*(IF('Gastos com Pessoal'!$M$513:$M$522&lt;=T$3,1,0))*OFFSET('Gastos com Pessoal'!$H$512,1,MATCH(2&amp;$B50,'Gastos com Pessoal'!$I$532:$AJ$532&amp;'Gastos com Pessoal'!$I$512:$AJ$512,0),10,1)),0)+_xlfn.IFNA(SUM((T$3&gt;='Gastos com Pessoal'!$E$513:$E$522)*(T$3&lt;='Gastos com Pessoal'!$F$513:$F$522)*(IF('Gastos com Pessoal'!$S$513:$S$522&lt;=T$3,1,0))*OFFSET('Gastos com Pessoal'!$H$512,1,MATCH(3&amp;$B50,'Gastos com Pessoal'!$I$532:$AJ$532&amp;'Gastos com Pessoal'!$I$512:$AJ$512,0),10,1)),0)+_xlfn.IFNA(SUM((T$3&gt;='Gastos com Pessoal'!$E$513:$E$522)*(T$3&lt;='Gastos com Pessoal'!$F$513:$F$522)*(IF('Gastos com Pessoal'!$Y$513:$Y$522&lt;=T$3,1,0))*OFFSET('Gastos com Pessoal'!$H$512,1,MATCH(4&amp;$B50,'Gastos com Pessoal'!$I$532:$AJ$532&amp;'Gastos com Pessoal'!$I$512:$AJ$512,0),10,1)),0)+_xlfn.IFNA(SUM((T$3&gt;='Gastos com Pessoal'!$E$513:$E$522)*(T$3&lt;='Gastos com Pessoal'!$F$513:$F$522)*(IF('Gastos com Pessoal'!$AE$513:$AE$522&lt;=T$3,1,0))*OFFSET('Gastos com Pessoal'!$H$512,1,MATCH(5&amp;$B50,'Gastos com Pessoal'!$I$532:$AJ$532&amp;'Gastos com Pessoal'!$I$512:$AJ$512,0),10,1)),0)</f>
        <v>15353.279999999959</v>
      </c>
      <c r="U50" s="188">
        <f t="array" aca="1" ref="U50" ca="1">_xlfn.IFNA(SUM((U$3&gt;='Gastos com Pessoal'!$E$7:$E$506)*(U$3&lt;='Gastos com Pessoal'!$F$7:$F$506)*OFFSET('Encargos e Benefícios'!$D$5,1,MATCH($B50,'Encargos e Benefícios'!$E$5:$AB$5,0),500,1)),0)+_xlfn.IFNA(SUM((U$3&gt;='Gastos com Pessoal'!$E$513:$E$522)*(U$3&lt;='Gastos com Pessoal'!$F$513:$F$522)*OFFSET('Encargos e Benefícios'!$D$511,1,MATCH($B50,'Encargos e Benefícios'!$E$511:$AB$511,0),10,1)),0)+_xlfn.IFNA(SUM((U$3&gt;='Gastos com Pessoal'!$E$7:$E$506)*(U$3&lt;='Gastos com Pessoal'!$F$7:$F$506)*(IF('Gastos com Pessoal'!$G$7:$G$506&lt;=U$3,1,0))*OFFSET('Gastos com Pessoal'!$H$6,1,MATCH(1&amp;$B50,'Gastos com Pessoal'!$I$532:$AJ$532&amp;'Gastos com Pessoal'!$I$6:$AJ$6,0),500,1)),0)+_xlfn.IFNA(SUM((U$3&gt;='Gastos com Pessoal'!$E$7:$E$506)*(U$3&lt;='Gastos com Pessoal'!$F$7:$F$506)*(IF('Gastos com Pessoal'!$M$7:$M$506&lt;=U$3,1,0))*OFFSET('Gastos com Pessoal'!$H$6,1,MATCH(2&amp;$B50,'Gastos com Pessoal'!$I$532:$AJ$532&amp;'Gastos com Pessoal'!$I$6:$AJ$6,0),500,1)),0)+_xlfn.IFNA(SUM((U$3&gt;='Gastos com Pessoal'!$E$7:$E$506)*(U$3&lt;='Gastos com Pessoal'!$F$7:$F$506)*(IF('Gastos com Pessoal'!$S$7:$S$506&lt;=U$3,1,0))*OFFSET('Gastos com Pessoal'!$H$6,1,MATCH(3&amp;$B50,'Gastos com Pessoal'!$I$532:$AJ$532&amp;'Gastos com Pessoal'!$I$6:$AJ$6,0),500,1)),0)+_xlfn.IFNA(SUM((U$3&gt;='Gastos com Pessoal'!$E$7:$E$506)*(U$3&lt;='Gastos com Pessoal'!$F$7:$F$506)*(IF('Gastos com Pessoal'!$Y$7:$Y$506&lt;=U$3,1,0))*OFFSET('Gastos com Pessoal'!$H$6,1,MATCH(4&amp;$B50,'Gastos com Pessoal'!$I$532:$AJ$532&amp;'Gastos com Pessoal'!$I$6:$AJ$6,0),500,1)),0)+_xlfn.IFNA(SUM((U$3&gt;='Gastos com Pessoal'!$E$7:$E$506)*(U$3&lt;='Gastos com Pessoal'!$F$7:$F$506)*(IF('Gastos com Pessoal'!$AE$7:$AE$506&lt;=U$3,1,0))*OFFSET('Gastos com Pessoal'!$H$6,1,MATCH(5&amp;$B50,'Gastos com Pessoal'!$I$532:$AJ$532&amp;'Gastos com Pessoal'!$I$6:$AJ$6,0),500,1)),0)+_xlfn.IFNA(SUM((U$3&gt;='Gastos com Pessoal'!$E$513:$E$522)*(U$3&lt;='Gastos com Pessoal'!$F$513:$F$522)*(IF('Gastos com Pessoal'!$G$513:$G$522&lt;=U$3,1,0))*OFFSET('Gastos com Pessoal'!$H$512,1,MATCH(1&amp;$B50,'Gastos com Pessoal'!$I$532:$AJ$532&amp;'Gastos com Pessoal'!$I$512:$AJ$512,0),10,1)),0)+_xlfn.IFNA(SUM((U$3&gt;='Gastos com Pessoal'!$E$513:$E$522)*(U$3&lt;='Gastos com Pessoal'!$F$513:$F$522)*(IF('Gastos com Pessoal'!$M$513:$M$522&lt;=U$3,1,0))*OFFSET('Gastos com Pessoal'!$H$512,1,MATCH(2&amp;$B50,'Gastos com Pessoal'!$I$532:$AJ$532&amp;'Gastos com Pessoal'!$I$512:$AJ$512,0),10,1)),0)+_xlfn.IFNA(SUM((U$3&gt;='Gastos com Pessoal'!$E$513:$E$522)*(U$3&lt;='Gastos com Pessoal'!$F$513:$F$522)*(IF('Gastos com Pessoal'!$S$513:$S$522&lt;=U$3,1,0))*OFFSET('Gastos com Pessoal'!$H$512,1,MATCH(3&amp;$B50,'Gastos com Pessoal'!$I$532:$AJ$532&amp;'Gastos com Pessoal'!$I$512:$AJ$512,0),10,1)),0)+_xlfn.IFNA(SUM((U$3&gt;='Gastos com Pessoal'!$E$513:$E$522)*(U$3&lt;='Gastos com Pessoal'!$F$513:$F$522)*(IF('Gastos com Pessoal'!$Y$513:$Y$522&lt;=U$3,1,0))*OFFSET('Gastos com Pessoal'!$H$512,1,MATCH(4&amp;$B50,'Gastos com Pessoal'!$I$532:$AJ$532&amp;'Gastos com Pessoal'!$I$512:$AJ$512,0),10,1)),0)+_xlfn.IFNA(SUM((U$3&gt;='Gastos com Pessoal'!$E$513:$E$522)*(U$3&lt;='Gastos com Pessoal'!$F$513:$F$522)*(IF('Gastos com Pessoal'!$AE$513:$AE$522&lt;=U$3,1,0))*OFFSET('Gastos com Pessoal'!$H$512,1,MATCH(5&amp;$B50,'Gastos com Pessoal'!$I$532:$AJ$532&amp;'Gastos com Pessoal'!$I$512:$AJ$512,0),10,1)),0)</f>
        <v>15353.279999999959</v>
      </c>
      <c r="V50" s="188">
        <f t="array" aca="1" ref="V50" ca="1">_xlfn.IFNA(SUM((V$3&gt;='Gastos com Pessoal'!$E$7:$E$506)*(V$3&lt;='Gastos com Pessoal'!$F$7:$F$506)*OFFSET('Encargos e Benefícios'!$D$5,1,MATCH($B50,'Encargos e Benefícios'!$E$5:$AB$5,0),500,1)),0)+_xlfn.IFNA(SUM((V$3&gt;='Gastos com Pessoal'!$E$513:$E$522)*(V$3&lt;='Gastos com Pessoal'!$F$513:$F$522)*OFFSET('Encargos e Benefícios'!$D$511,1,MATCH($B50,'Encargos e Benefícios'!$E$511:$AB$511,0),10,1)),0)+_xlfn.IFNA(SUM((V$3&gt;='Gastos com Pessoal'!$E$7:$E$506)*(V$3&lt;='Gastos com Pessoal'!$F$7:$F$506)*(IF('Gastos com Pessoal'!$G$7:$G$506&lt;=V$3,1,0))*OFFSET('Gastos com Pessoal'!$H$6,1,MATCH(1&amp;$B50,'Gastos com Pessoal'!$I$532:$AJ$532&amp;'Gastos com Pessoal'!$I$6:$AJ$6,0),500,1)),0)+_xlfn.IFNA(SUM((V$3&gt;='Gastos com Pessoal'!$E$7:$E$506)*(V$3&lt;='Gastos com Pessoal'!$F$7:$F$506)*(IF('Gastos com Pessoal'!$M$7:$M$506&lt;=V$3,1,0))*OFFSET('Gastos com Pessoal'!$H$6,1,MATCH(2&amp;$B50,'Gastos com Pessoal'!$I$532:$AJ$532&amp;'Gastos com Pessoal'!$I$6:$AJ$6,0),500,1)),0)+_xlfn.IFNA(SUM((V$3&gt;='Gastos com Pessoal'!$E$7:$E$506)*(V$3&lt;='Gastos com Pessoal'!$F$7:$F$506)*(IF('Gastos com Pessoal'!$S$7:$S$506&lt;=V$3,1,0))*OFFSET('Gastos com Pessoal'!$H$6,1,MATCH(3&amp;$B50,'Gastos com Pessoal'!$I$532:$AJ$532&amp;'Gastos com Pessoal'!$I$6:$AJ$6,0),500,1)),0)+_xlfn.IFNA(SUM((V$3&gt;='Gastos com Pessoal'!$E$7:$E$506)*(V$3&lt;='Gastos com Pessoal'!$F$7:$F$506)*(IF('Gastos com Pessoal'!$Y$7:$Y$506&lt;=V$3,1,0))*OFFSET('Gastos com Pessoal'!$H$6,1,MATCH(4&amp;$B50,'Gastos com Pessoal'!$I$532:$AJ$532&amp;'Gastos com Pessoal'!$I$6:$AJ$6,0),500,1)),0)+_xlfn.IFNA(SUM((V$3&gt;='Gastos com Pessoal'!$E$7:$E$506)*(V$3&lt;='Gastos com Pessoal'!$F$7:$F$506)*(IF('Gastos com Pessoal'!$AE$7:$AE$506&lt;=V$3,1,0))*OFFSET('Gastos com Pessoal'!$H$6,1,MATCH(5&amp;$B50,'Gastos com Pessoal'!$I$532:$AJ$532&amp;'Gastos com Pessoal'!$I$6:$AJ$6,0),500,1)),0)+_xlfn.IFNA(SUM((V$3&gt;='Gastos com Pessoal'!$E$513:$E$522)*(V$3&lt;='Gastos com Pessoal'!$F$513:$F$522)*(IF('Gastos com Pessoal'!$G$513:$G$522&lt;=V$3,1,0))*OFFSET('Gastos com Pessoal'!$H$512,1,MATCH(1&amp;$B50,'Gastos com Pessoal'!$I$532:$AJ$532&amp;'Gastos com Pessoal'!$I$512:$AJ$512,0),10,1)),0)+_xlfn.IFNA(SUM((V$3&gt;='Gastos com Pessoal'!$E$513:$E$522)*(V$3&lt;='Gastos com Pessoal'!$F$513:$F$522)*(IF('Gastos com Pessoal'!$M$513:$M$522&lt;=V$3,1,0))*OFFSET('Gastos com Pessoal'!$H$512,1,MATCH(2&amp;$B50,'Gastos com Pessoal'!$I$532:$AJ$532&amp;'Gastos com Pessoal'!$I$512:$AJ$512,0),10,1)),0)+_xlfn.IFNA(SUM((V$3&gt;='Gastos com Pessoal'!$E$513:$E$522)*(V$3&lt;='Gastos com Pessoal'!$F$513:$F$522)*(IF('Gastos com Pessoal'!$S$513:$S$522&lt;=V$3,1,0))*OFFSET('Gastos com Pessoal'!$H$512,1,MATCH(3&amp;$B50,'Gastos com Pessoal'!$I$532:$AJ$532&amp;'Gastos com Pessoal'!$I$512:$AJ$512,0),10,1)),0)+_xlfn.IFNA(SUM((V$3&gt;='Gastos com Pessoal'!$E$513:$E$522)*(V$3&lt;='Gastos com Pessoal'!$F$513:$F$522)*(IF('Gastos com Pessoal'!$Y$513:$Y$522&lt;=V$3,1,0))*OFFSET('Gastos com Pessoal'!$H$512,1,MATCH(4&amp;$B50,'Gastos com Pessoal'!$I$532:$AJ$532&amp;'Gastos com Pessoal'!$I$512:$AJ$512,0),10,1)),0)+_xlfn.IFNA(SUM((V$3&gt;='Gastos com Pessoal'!$E$513:$E$522)*(V$3&lt;='Gastos com Pessoal'!$F$513:$F$522)*(IF('Gastos com Pessoal'!$AE$513:$AE$522&lt;=V$3,1,0))*OFFSET('Gastos com Pessoal'!$H$512,1,MATCH(5&amp;$B50,'Gastos com Pessoal'!$I$532:$AJ$532&amp;'Gastos com Pessoal'!$I$512:$AJ$512,0),10,1)),0)</f>
        <v>15353.279999999959</v>
      </c>
      <c r="W50" s="188">
        <f t="array" aca="1" ref="W50" ca="1">_xlfn.IFNA(SUM((W$3&gt;='Gastos com Pessoal'!$E$7:$E$506)*(W$3&lt;='Gastos com Pessoal'!$F$7:$F$506)*OFFSET('Encargos e Benefícios'!$D$5,1,MATCH($B50,'Encargos e Benefícios'!$E$5:$AB$5,0),500,1)),0)+_xlfn.IFNA(SUM((W$3&gt;='Gastos com Pessoal'!$E$513:$E$522)*(W$3&lt;='Gastos com Pessoal'!$F$513:$F$522)*OFFSET('Encargos e Benefícios'!$D$511,1,MATCH($B50,'Encargos e Benefícios'!$E$511:$AB$511,0),10,1)),0)+_xlfn.IFNA(SUM((W$3&gt;='Gastos com Pessoal'!$E$7:$E$506)*(W$3&lt;='Gastos com Pessoal'!$F$7:$F$506)*(IF('Gastos com Pessoal'!$G$7:$G$506&lt;=W$3,1,0))*OFFSET('Gastos com Pessoal'!$H$6,1,MATCH(1&amp;$B50,'Gastos com Pessoal'!$I$532:$AJ$532&amp;'Gastos com Pessoal'!$I$6:$AJ$6,0),500,1)),0)+_xlfn.IFNA(SUM((W$3&gt;='Gastos com Pessoal'!$E$7:$E$506)*(W$3&lt;='Gastos com Pessoal'!$F$7:$F$506)*(IF('Gastos com Pessoal'!$M$7:$M$506&lt;=W$3,1,0))*OFFSET('Gastos com Pessoal'!$H$6,1,MATCH(2&amp;$B50,'Gastos com Pessoal'!$I$532:$AJ$532&amp;'Gastos com Pessoal'!$I$6:$AJ$6,0),500,1)),0)+_xlfn.IFNA(SUM((W$3&gt;='Gastos com Pessoal'!$E$7:$E$506)*(W$3&lt;='Gastos com Pessoal'!$F$7:$F$506)*(IF('Gastos com Pessoal'!$S$7:$S$506&lt;=W$3,1,0))*OFFSET('Gastos com Pessoal'!$H$6,1,MATCH(3&amp;$B50,'Gastos com Pessoal'!$I$532:$AJ$532&amp;'Gastos com Pessoal'!$I$6:$AJ$6,0),500,1)),0)+_xlfn.IFNA(SUM((W$3&gt;='Gastos com Pessoal'!$E$7:$E$506)*(W$3&lt;='Gastos com Pessoal'!$F$7:$F$506)*(IF('Gastos com Pessoal'!$Y$7:$Y$506&lt;=W$3,1,0))*OFFSET('Gastos com Pessoal'!$H$6,1,MATCH(4&amp;$B50,'Gastos com Pessoal'!$I$532:$AJ$532&amp;'Gastos com Pessoal'!$I$6:$AJ$6,0),500,1)),0)+_xlfn.IFNA(SUM((W$3&gt;='Gastos com Pessoal'!$E$7:$E$506)*(W$3&lt;='Gastos com Pessoal'!$F$7:$F$506)*(IF('Gastos com Pessoal'!$AE$7:$AE$506&lt;=W$3,1,0))*OFFSET('Gastos com Pessoal'!$H$6,1,MATCH(5&amp;$B50,'Gastos com Pessoal'!$I$532:$AJ$532&amp;'Gastos com Pessoal'!$I$6:$AJ$6,0),500,1)),0)+_xlfn.IFNA(SUM((W$3&gt;='Gastos com Pessoal'!$E$513:$E$522)*(W$3&lt;='Gastos com Pessoal'!$F$513:$F$522)*(IF('Gastos com Pessoal'!$G$513:$G$522&lt;=W$3,1,0))*OFFSET('Gastos com Pessoal'!$H$512,1,MATCH(1&amp;$B50,'Gastos com Pessoal'!$I$532:$AJ$532&amp;'Gastos com Pessoal'!$I$512:$AJ$512,0),10,1)),0)+_xlfn.IFNA(SUM((W$3&gt;='Gastos com Pessoal'!$E$513:$E$522)*(W$3&lt;='Gastos com Pessoal'!$F$513:$F$522)*(IF('Gastos com Pessoal'!$M$513:$M$522&lt;=W$3,1,0))*OFFSET('Gastos com Pessoal'!$H$512,1,MATCH(2&amp;$B50,'Gastos com Pessoal'!$I$532:$AJ$532&amp;'Gastos com Pessoal'!$I$512:$AJ$512,0),10,1)),0)+_xlfn.IFNA(SUM((W$3&gt;='Gastos com Pessoal'!$E$513:$E$522)*(W$3&lt;='Gastos com Pessoal'!$F$513:$F$522)*(IF('Gastos com Pessoal'!$S$513:$S$522&lt;=W$3,1,0))*OFFSET('Gastos com Pessoal'!$H$512,1,MATCH(3&amp;$B50,'Gastos com Pessoal'!$I$532:$AJ$532&amp;'Gastos com Pessoal'!$I$512:$AJ$512,0),10,1)),0)+_xlfn.IFNA(SUM((W$3&gt;='Gastos com Pessoal'!$E$513:$E$522)*(W$3&lt;='Gastos com Pessoal'!$F$513:$F$522)*(IF('Gastos com Pessoal'!$Y$513:$Y$522&lt;=W$3,1,0))*OFFSET('Gastos com Pessoal'!$H$512,1,MATCH(4&amp;$B50,'Gastos com Pessoal'!$I$532:$AJ$532&amp;'Gastos com Pessoal'!$I$512:$AJ$512,0),10,1)),0)+_xlfn.IFNA(SUM((W$3&gt;='Gastos com Pessoal'!$E$513:$E$522)*(W$3&lt;='Gastos com Pessoal'!$F$513:$F$522)*(IF('Gastos com Pessoal'!$AE$513:$AE$522&lt;=W$3,1,0))*OFFSET('Gastos com Pessoal'!$H$512,1,MATCH(5&amp;$B50,'Gastos com Pessoal'!$I$532:$AJ$532&amp;'Gastos com Pessoal'!$I$512:$AJ$512,0),10,1)),0)</f>
        <v>15353.279999999959</v>
      </c>
      <c r="X50" s="188">
        <f t="array" aca="1" ref="X50" ca="1">_xlfn.IFNA(SUM((X$3&gt;='Gastos com Pessoal'!$E$7:$E$506)*(X$3&lt;='Gastos com Pessoal'!$F$7:$F$506)*OFFSET('Encargos e Benefícios'!$D$5,1,MATCH($B50,'Encargos e Benefícios'!$E$5:$AB$5,0),500,1)),0)+_xlfn.IFNA(SUM((X$3&gt;='Gastos com Pessoal'!$E$513:$E$522)*(X$3&lt;='Gastos com Pessoal'!$F$513:$F$522)*OFFSET('Encargos e Benefícios'!$D$511,1,MATCH($B50,'Encargos e Benefícios'!$E$511:$AB$511,0),10,1)),0)+_xlfn.IFNA(SUM((X$3&gt;='Gastos com Pessoal'!$E$7:$E$506)*(X$3&lt;='Gastos com Pessoal'!$F$7:$F$506)*(IF('Gastos com Pessoal'!$G$7:$G$506&lt;=X$3,1,0))*OFFSET('Gastos com Pessoal'!$H$6,1,MATCH(1&amp;$B50,'Gastos com Pessoal'!$I$532:$AJ$532&amp;'Gastos com Pessoal'!$I$6:$AJ$6,0),500,1)),0)+_xlfn.IFNA(SUM((X$3&gt;='Gastos com Pessoal'!$E$7:$E$506)*(X$3&lt;='Gastos com Pessoal'!$F$7:$F$506)*(IF('Gastos com Pessoal'!$M$7:$M$506&lt;=X$3,1,0))*OFFSET('Gastos com Pessoal'!$H$6,1,MATCH(2&amp;$B50,'Gastos com Pessoal'!$I$532:$AJ$532&amp;'Gastos com Pessoal'!$I$6:$AJ$6,0),500,1)),0)+_xlfn.IFNA(SUM((X$3&gt;='Gastos com Pessoal'!$E$7:$E$506)*(X$3&lt;='Gastos com Pessoal'!$F$7:$F$506)*(IF('Gastos com Pessoal'!$S$7:$S$506&lt;=X$3,1,0))*OFFSET('Gastos com Pessoal'!$H$6,1,MATCH(3&amp;$B50,'Gastos com Pessoal'!$I$532:$AJ$532&amp;'Gastos com Pessoal'!$I$6:$AJ$6,0),500,1)),0)+_xlfn.IFNA(SUM((X$3&gt;='Gastos com Pessoal'!$E$7:$E$506)*(X$3&lt;='Gastos com Pessoal'!$F$7:$F$506)*(IF('Gastos com Pessoal'!$Y$7:$Y$506&lt;=X$3,1,0))*OFFSET('Gastos com Pessoal'!$H$6,1,MATCH(4&amp;$B50,'Gastos com Pessoal'!$I$532:$AJ$532&amp;'Gastos com Pessoal'!$I$6:$AJ$6,0),500,1)),0)+_xlfn.IFNA(SUM((X$3&gt;='Gastos com Pessoal'!$E$7:$E$506)*(X$3&lt;='Gastos com Pessoal'!$F$7:$F$506)*(IF('Gastos com Pessoal'!$AE$7:$AE$506&lt;=X$3,1,0))*OFFSET('Gastos com Pessoal'!$H$6,1,MATCH(5&amp;$B50,'Gastos com Pessoal'!$I$532:$AJ$532&amp;'Gastos com Pessoal'!$I$6:$AJ$6,0),500,1)),0)+_xlfn.IFNA(SUM((X$3&gt;='Gastos com Pessoal'!$E$513:$E$522)*(X$3&lt;='Gastos com Pessoal'!$F$513:$F$522)*(IF('Gastos com Pessoal'!$G$513:$G$522&lt;=X$3,1,0))*OFFSET('Gastos com Pessoal'!$H$512,1,MATCH(1&amp;$B50,'Gastos com Pessoal'!$I$532:$AJ$532&amp;'Gastos com Pessoal'!$I$512:$AJ$512,0),10,1)),0)+_xlfn.IFNA(SUM((X$3&gt;='Gastos com Pessoal'!$E$513:$E$522)*(X$3&lt;='Gastos com Pessoal'!$F$513:$F$522)*(IF('Gastos com Pessoal'!$M$513:$M$522&lt;=X$3,1,0))*OFFSET('Gastos com Pessoal'!$H$512,1,MATCH(2&amp;$B50,'Gastos com Pessoal'!$I$532:$AJ$532&amp;'Gastos com Pessoal'!$I$512:$AJ$512,0),10,1)),0)+_xlfn.IFNA(SUM((X$3&gt;='Gastos com Pessoal'!$E$513:$E$522)*(X$3&lt;='Gastos com Pessoal'!$F$513:$F$522)*(IF('Gastos com Pessoal'!$S$513:$S$522&lt;=X$3,1,0))*OFFSET('Gastos com Pessoal'!$H$512,1,MATCH(3&amp;$B50,'Gastos com Pessoal'!$I$532:$AJ$532&amp;'Gastos com Pessoal'!$I$512:$AJ$512,0),10,1)),0)+_xlfn.IFNA(SUM((X$3&gt;='Gastos com Pessoal'!$E$513:$E$522)*(X$3&lt;='Gastos com Pessoal'!$F$513:$F$522)*(IF('Gastos com Pessoal'!$Y$513:$Y$522&lt;=X$3,1,0))*OFFSET('Gastos com Pessoal'!$H$512,1,MATCH(4&amp;$B50,'Gastos com Pessoal'!$I$532:$AJ$532&amp;'Gastos com Pessoal'!$I$512:$AJ$512,0),10,1)),0)+_xlfn.IFNA(SUM((X$3&gt;='Gastos com Pessoal'!$E$513:$E$522)*(X$3&lt;='Gastos com Pessoal'!$F$513:$F$522)*(IF('Gastos com Pessoal'!$AE$513:$AE$522&lt;=X$3,1,0))*OFFSET('Gastos com Pessoal'!$H$512,1,MATCH(5&amp;$B50,'Gastos com Pessoal'!$I$532:$AJ$532&amp;'Gastos com Pessoal'!$I$512:$AJ$512,0),10,1)),0)</f>
        <v>15353.279999999959</v>
      </c>
      <c r="Y50" s="188">
        <f t="array" aca="1" ref="Y50" ca="1">_xlfn.IFNA(SUM((Y$3&gt;='Gastos com Pessoal'!$E$7:$E$506)*(Y$3&lt;='Gastos com Pessoal'!$F$7:$F$506)*OFFSET('Encargos e Benefícios'!$D$5,1,MATCH($B50,'Encargos e Benefícios'!$E$5:$AB$5,0),500,1)),0)+_xlfn.IFNA(SUM((Y$3&gt;='Gastos com Pessoal'!$E$513:$E$522)*(Y$3&lt;='Gastos com Pessoal'!$F$513:$F$522)*OFFSET('Encargos e Benefícios'!$D$511,1,MATCH($B50,'Encargos e Benefícios'!$E$511:$AB$511,0),10,1)),0)+_xlfn.IFNA(SUM((Y$3&gt;='Gastos com Pessoal'!$E$7:$E$506)*(Y$3&lt;='Gastos com Pessoal'!$F$7:$F$506)*(IF('Gastos com Pessoal'!$G$7:$G$506&lt;=Y$3,1,0))*OFFSET('Gastos com Pessoal'!$H$6,1,MATCH(1&amp;$B50,'Gastos com Pessoal'!$I$532:$AJ$532&amp;'Gastos com Pessoal'!$I$6:$AJ$6,0),500,1)),0)+_xlfn.IFNA(SUM((Y$3&gt;='Gastos com Pessoal'!$E$7:$E$506)*(Y$3&lt;='Gastos com Pessoal'!$F$7:$F$506)*(IF('Gastos com Pessoal'!$M$7:$M$506&lt;=Y$3,1,0))*OFFSET('Gastos com Pessoal'!$H$6,1,MATCH(2&amp;$B50,'Gastos com Pessoal'!$I$532:$AJ$532&amp;'Gastos com Pessoal'!$I$6:$AJ$6,0),500,1)),0)+_xlfn.IFNA(SUM((Y$3&gt;='Gastos com Pessoal'!$E$7:$E$506)*(Y$3&lt;='Gastos com Pessoal'!$F$7:$F$506)*(IF('Gastos com Pessoal'!$S$7:$S$506&lt;=Y$3,1,0))*OFFSET('Gastos com Pessoal'!$H$6,1,MATCH(3&amp;$B50,'Gastos com Pessoal'!$I$532:$AJ$532&amp;'Gastos com Pessoal'!$I$6:$AJ$6,0),500,1)),0)+_xlfn.IFNA(SUM((Y$3&gt;='Gastos com Pessoal'!$E$7:$E$506)*(Y$3&lt;='Gastos com Pessoal'!$F$7:$F$506)*(IF('Gastos com Pessoal'!$Y$7:$Y$506&lt;=Y$3,1,0))*OFFSET('Gastos com Pessoal'!$H$6,1,MATCH(4&amp;$B50,'Gastos com Pessoal'!$I$532:$AJ$532&amp;'Gastos com Pessoal'!$I$6:$AJ$6,0),500,1)),0)+_xlfn.IFNA(SUM((Y$3&gt;='Gastos com Pessoal'!$E$7:$E$506)*(Y$3&lt;='Gastos com Pessoal'!$F$7:$F$506)*(IF('Gastos com Pessoal'!$AE$7:$AE$506&lt;=Y$3,1,0))*OFFSET('Gastos com Pessoal'!$H$6,1,MATCH(5&amp;$B50,'Gastos com Pessoal'!$I$532:$AJ$532&amp;'Gastos com Pessoal'!$I$6:$AJ$6,0),500,1)),0)+_xlfn.IFNA(SUM((Y$3&gt;='Gastos com Pessoal'!$E$513:$E$522)*(Y$3&lt;='Gastos com Pessoal'!$F$513:$F$522)*(IF('Gastos com Pessoal'!$G$513:$G$522&lt;=Y$3,1,0))*OFFSET('Gastos com Pessoal'!$H$512,1,MATCH(1&amp;$B50,'Gastos com Pessoal'!$I$532:$AJ$532&amp;'Gastos com Pessoal'!$I$512:$AJ$512,0),10,1)),0)+_xlfn.IFNA(SUM((Y$3&gt;='Gastos com Pessoal'!$E$513:$E$522)*(Y$3&lt;='Gastos com Pessoal'!$F$513:$F$522)*(IF('Gastos com Pessoal'!$M$513:$M$522&lt;=Y$3,1,0))*OFFSET('Gastos com Pessoal'!$H$512,1,MATCH(2&amp;$B50,'Gastos com Pessoal'!$I$532:$AJ$532&amp;'Gastos com Pessoal'!$I$512:$AJ$512,0),10,1)),0)+_xlfn.IFNA(SUM((Y$3&gt;='Gastos com Pessoal'!$E$513:$E$522)*(Y$3&lt;='Gastos com Pessoal'!$F$513:$F$522)*(IF('Gastos com Pessoal'!$S$513:$S$522&lt;=Y$3,1,0))*OFFSET('Gastos com Pessoal'!$H$512,1,MATCH(3&amp;$B50,'Gastos com Pessoal'!$I$532:$AJ$532&amp;'Gastos com Pessoal'!$I$512:$AJ$512,0),10,1)),0)+_xlfn.IFNA(SUM((Y$3&gt;='Gastos com Pessoal'!$E$513:$E$522)*(Y$3&lt;='Gastos com Pessoal'!$F$513:$F$522)*(IF('Gastos com Pessoal'!$Y$513:$Y$522&lt;=Y$3,1,0))*OFFSET('Gastos com Pessoal'!$H$512,1,MATCH(4&amp;$B50,'Gastos com Pessoal'!$I$532:$AJ$532&amp;'Gastos com Pessoal'!$I$512:$AJ$512,0),10,1)),0)+_xlfn.IFNA(SUM((Y$3&gt;='Gastos com Pessoal'!$E$513:$E$522)*(Y$3&lt;='Gastos com Pessoal'!$F$513:$F$522)*(IF('Gastos com Pessoal'!$AE$513:$AE$522&lt;=Y$3,1,0))*OFFSET('Gastos com Pessoal'!$H$512,1,MATCH(5&amp;$B50,'Gastos com Pessoal'!$I$532:$AJ$532&amp;'Gastos com Pessoal'!$I$512:$AJ$512,0),10,1)),0)</f>
        <v>15353.279999999959</v>
      </c>
      <c r="Z50" s="188">
        <f t="array" aca="1" ref="Z50" ca="1">_xlfn.IFNA(SUM((Z$3&gt;='Gastos com Pessoal'!$E$7:$E$506)*(Z$3&lt;='Gastos com Pessoal'!$F$7:$F$506)*OFFSET('Encargos e Benefícios'!$D$5,1,MATCH($B50,'Encargos e Benefícios'!$E$5:$AB$5,0),500,1)),0)+_xlfn.IFNA(SUM((Z$3&gt;='Gastos com Pessoal'!$E$513:$E$522)*(Z$3&lt;='Gastos com Pessoal'!$F$513:$F$522)*OFFSET('Encargos e Benefícios'!$D$511,1,MATCH($B50,'Encargos e Benefícios'!$E$511:$AB$511,0),10,1)),0)+_xlfn.IFNA(SUM((Z$3&gt;='Gastos com Pessoal'!$E$7:$E$506)*(Z$3&lt;='Gastos com Pessoal'!$F$7:$F$506)*(IF('Gastos com Pessoal'!$G$7:$G$506&lt;=Z$3,1,0))*OFFSET('Gastos com Pessoal'!$H$6,1,MATCH(1&amp;$B50,'Gastos com Pessoal'!$I$532:$AJ$532&amp;'Gastos com Pessoal'!$I$6:$AJ$6,0),500,1)),0)+_xlfn.IFNA(SUM((Z$3&gt;='Gastos com Pessoal'!$E$7:$E$506)*(Z$3&lt;='Gastos com Pessoal'!$F$7:$F$506)*(IF('Gastos com Pessoal'!$M$7:$M$506&lt;=Z$3,1,0))*OFFSET('Gastos com Pessoal'!$H$6,1,MATCH(2&amp;$B50,'Gastos com Pessoal'!$I$532:$AJ$532&amp;'Gastos com Pessoal'!$I$6:$AJ$6,0),500,1)),0)+_xlfn.IFNA(SUM((Z$3&gt;='Gastos com Pessoal'!$E$7:$E$506)*(Z$3&lt;='Gastos com Pessoal'!$F$7:$F$506)*(IF('Gastos com Pessoal'!$S$7:$S$506&lt;=Z$3,1,0))*OFFSET('Gastos com Pessoal'!$H$6,1,MATCH(3&amp;$B50,'Gastos com Pessoal'!$I$532:$AJ$532&amp;'Gastos com Pessoal'!$I$6:$AJ$6,0),500,1)),0)+_xlfn.IFNA(SUM((Z$3&gt;='Gastos com Pessoal'!$E$7:$E$506)*(Z$3&lt;='Gastos com Pessoal'!$F$7:$F$506)*(IF('Gastos com Pessoal'!$Y$7:$Y$506&lt;=Z$3,1,0))*OFFSET('Gastos com Pessoal'!$H$6,1,MATCH(4&amp;$B50,'Gastos com Pessoal'!$I$532:$AJ$532&amp;'Gastos com Pessoal'!$I$6:$AJ$6,0),500,1)),0)+_xlfn.IFNA(SUM((Z$3&gt;='Gastos com Pessoal'!$E$7:$E$506)*(Z$3&lt;='Gastos com Pessoal'!$F$7:$F$506)*(IF('Gastos com Pessoal'!$AE$7:$AE$506&lt;=Z$3,1,0))*OFFSET('Gastos com Pessoal'!$H$6,1,MATCH(5&amp;$B50,'Gastos com Pessoal'!$I$532:$AJ$532&amp;'Gastos com Pessoal'!$I$6:$AJ$6,0),500,1)),0)+_xlfn.IFNA(SUM((Z$3&gt;='Gastos com Pessoal'!$E$513:$E$522)*(Z$3&lt;='Gastos com Pessoal'!$F$513:$F$522)*(IF('Gastos com Pessoal'!$G$513:$G$522&lt;=Z$3,1,0))*OFFSET('Gastos com Pessoal'!$H$512,1,MATCH(1&amp;$B50,'Gastos com Pessoal'!$I$532:$AJ$532&amp;'Gastos com Pessoal'!$I$512:$AJ$512,0),10,1)),0)+_xlfn.IFNA(SUM((Z$3&gt;='Gastos com Pessoal'!$E$513:$E$522)*(Z$3&lt;='Gastos com Pessoal'!$F$513:$F$522)*(IF('Gastos com Pessoal'!$M$513:$M$522&lt;=Z$3,1,0))*OFFSET('Gastos com Pessoal'!$H$512,1,MATCH(2&amp;$B50,'Gastos com Pessoal'!$I$532:$AJ$532&amp;'Gastos com Pessoal'!$I$512:$AJ$512,0),10,1)),0)+_xlfn.IFNA(SUM((Z$3&gt;='Gastos com Pessoal'!$E$513:$E$522)*(Z$3&lt;='Gastos com Pessoal'!$F$513:$F$522)*(IF('Gastos com Pessoal'!$S$513:$S$522&lt;=Z$3,1,0))*OFFSET('Gastos com Pessoal'!$H$512,1,MATCH(3&amp;$B50,'Gastos com Pessoal'!$I$532:$AJ$532&amp;'Gastos com Pessoal'!$I$512:$AJ$512,0),10,1)),0)+_xlfn.IFNA(SUM((Z$3&gt;='Gastos com Pessoal'!$E$513:$E$522)*(Z$3&lt;='Gastos com Pessoal'!$F$513:$F$522)*(IF('Gastos com Pessoal'!$Y$513:$Y$522&lt;=Z$3,1,0))*OFFSET('Gastos com Pessoal'!$H$512,1,MATCH(4&amp;$B50,'Gastos com Pessoal'!$I$532:$AJ$532&amp;'Gastos com Pessoal'!$I$512:$AJ$512,0),10,1)),0)+_xlfn.IFNA(SUM((Z$3&gt;='Gastos com Pessoal'!$E$513:$E$522)*(Z$3&lt;='Gastos com Pessoal'!$F$513:$F$522)*(IF('Gastos com Pessoal'!$AE$513:$AE$522&lt;=Z$3,1,0))*OFFSET('Gastos com Pessoal'!$H$512,1,MATCH(5&amp;$B50,'Gastos com Pessoal'!$I$532:$AJ$532&amp;'Gastos com Pessoal'!$I$512:$AJ$512,0),10,1)),0)</f>
        <v>15353.279999999959</v>
      </c>
      <c r="AA50" s="188">
        <f t="array" aca="1" ref="AA50" ca="1">_xlfn.IFNA(SUM((AA$3&gt;='Gastos com Pessoal'!$E$7:$E$506)*(AA$3&lt;='Gastos com Pessoal'!$F$7:$F$506)*OFFSET('Encargos e Benefícios'!$D$5,1,MATCH($B50,'Encargos e Benefícios'!$E$5:$AB$5,0),500,1)),0)+_xlfn.IFNA(SUM((AA$3&gt;='Gastos com Pessoal'!$E$513:$E$522)*(AA$3&lt;='Gastos com Pessoal'!$F$513:$F$522)*OFFSET('Encargos e Benefícios'!$D$511,1,MATCH($B50,'Encargos e Benefícios'!$E$511:$AB$511,0),10,1)),0)+_xlfn.IFNA(SUM((AA$3&gt;='Gastos com Pessoal'!$E$7:$E$506)*(AA$3&lt;='Gastos com Pessoal'!$F$7:$F$506)*(IF('Gastos com Pessoal'!$G$7:$G$506&lt;=AA$3,1,0))*OFFSET('Gastos com Pessoal'!$H$6,1,MATCH(1&amp;$B50,'Gastos com Pessoal'!$I$532:$AJ$532&amp;'Gastos com Pessoal'!$I$6:$AJ$6,0),500,1)),0)+_xlfn.IFNA(SUM((AA$3&gt;='Gastos com Pessoal'!$E$7:$E$506)*(AA$3&lt;='Gastos com Pessoal'!$F$7:$F$506)*(IF('Gastos com Pessoal'!$M$7:$M$506&lt;=AA$3,1,0))*OFFSET('Gastos com Pessoal'!$H$6,1,MATCH(2&amp;$B50,'Gastos com Pessoal'!$I$532:$AJ$532&amp;'Gastos com Pessoal'!$I$6:$AJ$6,0),500,1)),0)+_xlfn.IFNA(SUM((AA$3&gt;='Gastos com Pessoal'!$E$7:$E$506)*(AA$3&lt;='Gastos com Pessoal'!$F$7:$F$506)*(IF('Gastos com Pessoal'!$S$7:$S$506&lt;=AA$3,1,0))*OFFSET('Gastos com Pessoal'!$H$6,1,MATCH(3&amp;$B50,'Gastos com Pessoal'!$I$532:$AJ$532&amp;'Gastos com Pessoal'!$I$6:$AJ$6,0),500,1)),0)+_xlfn.IFNA(SUM((AA$3&gt;='Gastos com Pessoal'!$E$7:$E$506)*(AA$3&lt;='Gastos com Pessoal'!$F$7:$F$506)*(IF('Gastos com Pessoal'!$Y$7:$Y$506&lt;=AA$3,1,0))*OFFSET('Gastos com Pessoal'!$H$6,1,MATCH(4&amp;$B50,'Gastos com Pessoal'!$I$532:$AJ$532&amp;'Gastos com Pessoal'!$I$6:$AJ$6,0),500,1)),0)+_xlfn.IFNA(SUM((AA$3&gt;='Gastos com Pessoal'!$E$7:$E$506)*(AA$3&lt;='Gastos com Pessoal'!$F$7:$F$506)*(IF('Gastos com Pessoal'!$AE$7:$AE$506&lt;=AA$3,1,0))*OFFSET('Gastos com Pessoal'!$H$6,1,MATCH(5&amp;$B50,'Gastos com Pessoal'!$I$532:$AJ$532&amp;'Gastos com Pessoal'!$I$6:$AJ$6,0),500,1)),0)+_xlfn.IFNA(SUM((AA$3&gt;='Gastos com Pessoal'!$E$513:$E$522)*(AA$3&lt;='Gastos com Pessoal'!$F$513:$F$522)*(IF('Gastos com Pessoal'!$G$513:$G$522&lt;=AA$3,1,0))*OFFSET('Gastos com Pessoal'!$H$512,1,MATCH(1&amp;$B50,'Gastos com Pessoal'!$I$532:$AJ$532&amp;'Gastos com Pessoal'!$I$512:$AJ$512,0),10,1)),0)+_xlfn.IFNA(SUM((AA$3&gt;='Gastos com Pessoal'!$E$513:$E$522)*(AA$3&lt;='Gastos com Pessoal'!$F$513:$F$522)*(IF('Gastos com Pessoal'!$M$513:$M$522&lt;=AA$3,1,0))*OFFSET('Gastos com Pessoal'!$H$512,1,MATCH(2&amp;$B50,'Gastos com Pessoal'!$I$532:$AJ$532&amp;'Gastos com Pessoal'!$I$512:$AJ$512,0),10,1)),0)+_xlfn.IFNA(SUM((AA$3&gt;='Gastos com Pessoal'!$E$513:$E$522)*(AA$3&lt;='Gastos com Pessoal'!$F$513:$F$522)*(IF('Gastos com Pessoal'!$S$513:$S$522&lt;=AA$3,1,0))*OFFSET('Gastos com Pessoal'!$H$512,1,MATCH(3&amp;$B50,'Gastos com Pessoal'!$I$532:$AJ$532&amp;'Gastos com Pessoal'!$I$512:$AJ$512,0),10,1)),0)+_xlfn.IFNA(SUM((AA$3&gt;='Gastos com Pessoal'!$E$513:$E$522)*(AA$3&lt;='Gastos com Pessoal'!$F$513:$F$522)*(IF('Gastos com Pessoal'!$Y$513:$Y$522&lt;=AA$3,1,0))*OFFSET('Gastos com Pessoal'!$H$512,1,MATCH(4&amp;$B50,'Gastos com Pessoal'!$I$532:$AJ$532&amp;'Gastos com Pessoal'!$I$512:$AJ$512,0),10,1)),0)+_xlfn.IFNA(SUM((AA$3&gt;='Gastos com Pessoal'!$E$513:$E$522)*(AA$3&lt;='Gastos com Pessoal'!$F$513:$F$522)*(IF('Gastos com Pessoal'!$AE$513:$AE$522&lt;=AA$3,1,0))*OFFSET('Gastos com Pessoal'!$H$512,1,MATCH(5&amp;$B50,'Gastos com Pessoal'!$I$532:$AJ$532&amp;'Gastos com Pessoal'!$I$512:$AJ$512,0),10,1)),0)</f>
        <v>15353.279999999959</v>
      </c>
      <c r="AB50" s="188">
        <f t="array" aca="1" ref="AB50" ca="1">_xlfn.IFNA(SUM((AB$3&gt;='Gastos com Pessoal'!$E$7:$E$506)*(AB$3&lt;='Gastos com Pessoal'!$F$7:$F$506)*OFFSET('Encargos e Benefícios'!$D$5,1,MATCH($B50,'Encargos e Benefícios'!$E$5:$AB$5,0),500,1)),0)+_xlfn.IFNA(SUM((AB$3&gt;='Gastos com Pessoal'!$E$513:$E$522)*(AB$3&lt;='Gastos com Pessoal'!$F$513:$F$522)*OFFSET('Encargos e Benefícios'!$D$511,1,MATCH($B50,'Encargos e Benefícios'!$E$511:$AB$511,0),10,1)),0)+_xlfn.IFNA(SUM((AB$3&gt;='Gastos com Pessoal'!$E$7:$E$506)*(AB$3&lt;='Gastos com Pessoal'!$F$7:$F$506)*(IF('Gastos com Pessoal'!$G$7:$G$506&lt;=AB$3,1,0))*OFFSET('Gastos com Pessoal'!$H$6,1,MATCH(1&amp;$B50,'Gastos com Pessoal'!$I$532:$AJ$532&amp;'Gastos com Pessoal'!$I$6:$AJ$6,0),500,1)),0)+_xlfn.IFNA(SUM((AB$3&gt;='Gastos com Pessoal'!$E$7:$E$506)*(AB$3&lt;='Gastos com Pessoal'!$F$7:$F$506)*(IF('Gastos com Pessoal'!$M$7:$M$506&lt;=AB$3,1,0))*OFFSET('Gastos com Pessoal'!$H$6,1,MATCH(2&amp;$B50,'Gastos com Pessoal'!$I$532:$AJ$532&amp;'Gastos com Pessoal'!$I$6:$AJ$6,0),500,1)),0)+_xlfn.IFNA(SUM((AB$3&gt;='Gastos com Pessoal'!$E$7:$E$506)*(AB$3&lt;='Gastos com Pessoal'!$F$7:$F$506)*(IF('Gastos com Pessoal'!$S$7:$S$506&lt;=AB$3,1,0))*OFFSET('Gastos com Pessoal'!$H$6,1,MATCH(3&amp;$B50,'Gastos com Pessoal'!$I$532:$AJ$532&amp;'Gastos com Pessoal'!$I$6:$AJ$6,0),500,1)),0)+_xlfn.IFNA(SUM((AB$3&gt;='Gastos com Pessoal'!$E$7:$E$506)*(AB$3&lt;='Gastos com Pessoal'!$F$7:$F$506)*(IF('Gastos com Pessoal'!$Y$7:$Y$506&lt;=AB$3,1,0))*OFFSET('Gastos com Pessoal'!$H$6,1,MATCH(4&amp;$B50,'Gastos com Pessoal'!$I$532:$AJ$532&amp;'Gastos com Pessoal'!$I$6:$AJ$6,0),500,1)),0)+_xlfn.IFNA(SUM((AB$3&gt;='Gastos com Pessoal'!$E$7:$E$506)*(AB$3&lt;='Gastos com Pessoal'!$F$7:$F$506)*(IF('Gastos com Pessoal'!$AE$7:$AE$506&lt;=AB$3,1,0))*OFFSET('Gastos com Pessoal'!$H$6,1,MATCH(5&amp;$B50,'Gastos com Pessoal'!$I$532:$AJ$532&amp;'Gastos com Pessoal'!$I$6:$AJ$6,0),500,1)),0)+_xlfn.IFNA(SUM((AB$3&gt;='Gastos com Pessoal'!$E$513:$E$522)*(AB$3&lt;='Gastos com Pessoal'!$F$513:$F$522)*(IF('Gastos com Pessoal'!$G$513:$G$522&lt;=AB$3,1,0))*OFFSET('Gastos com Pessoal'!$H$512,1,MATCH(1&amp;$B50,'Gastos com Pessoal'!$I$532:$AJ$532&amp;'Gastos com Pessoal'!$I$512:$AJ$512,0),10,1)),0)+_xlfn.IFNA(SUM((AB$3&gt;='Gastos com Pessoal'!$E$513:$E$522)*(AB$3&lt;='Gastos com Pessoal'!$F$513:$F$522)*(IF('Gastos com Pessoal'!$M$513:$M$522&lt;=AB$3,1,0))*OFFSET('Gastos com Pessoal'!$H$512,1,MATCH(2&amp;$B50,'Gastos com Pessoal'!$I$532:$AJ$532&amp;'Gastos com Pessoal'!$I$512:$AJ$512,0),10,1)),0)+_xlfn.IFNA(SUM((AB$3&gt;='Gastos com Pessoal'!$E$513:$E$522)*(AB$3&lt;='Gastos com Pessoal'!$F$513:$F$522)*(IF('Gastos com Pessoal'!$S$513:$S$522&lt;=AB$3,1,0))*OFFSET('Gastos com Pessoal'!$H$512,1,MATCH(3&amp;$B50,'Gastos com Pessoal'!$I$532:$AJ$532&amp;'Gastos com Pessoal'!$I$512:$AJ$512,0),10,1)),0)+_xlfn.IFNA(SUM((AB$3&gt;='Gastos com Pessoal'!$E$513:$E$522)*(AB$3&lt;='Gastos com Pessoal'!$F$513:$F$522)*(IF('Gastos com Pessoal'!$Y$513:$Y$522&lt;=AB$3,1,0))*OFFSET('Gastos com Pessoal'!$H$512,1,MATCH(4&amp;$B50,'Gastos com Pessoal'!$I$532:$AJ$532&amp;'Gastos com Pessoal'!$I$512:$AJ$512,0),10,1)),0)+_xlfn.IFNA(SUM((AB$3&gt;='Gastos com Pessoal'!$E$513:$E$522)*(AB$3&lt;='Gastos com Pessoal'!$F$513:$F$522)*(IF('Gastos com Pessoal'!$AE$513:$AE$522&lt;=AB$3,1,0))*OFFSET('Gastos com Pessoal'!$H$512,1,MATCH(5&amp;$B50,'Gastos com Pessoal'!$I$532:$AJ$532&amp;'Gastos com Pessoal'!$I$512:$AJ$512,0),10,1)),0)</f>
        <v>15353.279999999959</v>
      </c>
      <c r="AC50" s="188">
        <f t="array" aca="1" ref="AC50" ca="1">_xlfn.IFNA(SUM((AC$3&gt;='Gastos com Pessoal'!$E$7:$E$506)*(AC$3&lt;='Gastos com Pessoal'!$F$7:$F$506)*OFFSET('Encargos e Benefícios'!$D$5,1,MATCH($B50,'Encargos e Benefícios'!$E$5:$AB$5,0),500,1)),0)+_xlfn.IFNA(SUM((AC$3&gt;='Gastos com Pessoal'!$E$513:$E$522)*(AC$3&lt;='Gastos com Pessoal'!$F$513:$F$522)*OFFSET('Encargos e Benefícios'!$D$511,1,MATCH($B50,'Encargos e Benefícios'!$E$511:$AB$511,0),10,1)),0)+_xlfn.IFNA(SUM((AC$3&gt;='Gastos com Pessoal'!$E$7:$E$506)*(AC$3&lt;='Gastos com Pessoal'!$F$7:$F$506)*(IF('Gastos com Pessoal'!$G$7:$G$506&lt;=AC$3,1,0))*OFFSET('Gastos com Pessoal'!$H$6,1,MATCH(1&amp;$B50,'Gastos com Pessoal'!$I$532:$AJ$532&amp;'Gastos com Pessoal'!$I$6:$AJ$6,0),500,1)),0)+_xlfn.IFNA(SUM((AC$3&gt;='Gastos com Pessoal'!$E$7:$E$506)*(AC$3&lt;='Gastos com Pessoal'!$F$7:$F$506)*(IF('Gastos com Pessoal'!$M$7:$M$506&lt;=AC$3,1,0))*OFFSET('Gastos com Pessoal'!$H$6,1,MATCH(2&amp;$B50,'Gastos com Pessoal'!$I$532:$AJ$532&amp;'Gastos com Pessoal'!$I$6:$AJ$6,0),500,1)),0)+_xlfn.IFNA(SUM((AC$3&gt;='Gastos com Pessoal'!$E$7:$E$506)*(AC$3&lt;='Gastos com Pessoal'!$F$7:$F$506)*(IF('Gastos com Pessoal'!$S$7:$S$506&lt;=AC$3,1,0))*OFFSET('Gastos com Pessoal'!$H$6,1,MATCH(3&amp;$B50,'Gastos com Pessoal'!$I$532:$AJ$532&amp;'Gastos com Pessoal'!$I$6:$AJ$6,0),500,1)),0)+_xlfn.IFNA(SUM((AC$3&gt;='Gastos com Pessoal'!$E$7:$E$506)*(AC$3&lt;='Gastos com Pessoal'!$F$7:$F$506)*(IF('Gastos com Pessoal'!$Y$7:$Y$506&lt;=AC$3,1,0))*OFFSET('Gastos com Pessoal'!$H$6,1,MATCH(4&amp;$B50,'Gastos com Pessoal'!$I$532:$AJ$532&amp;'Gastos com Pessoal'!$I$6:$AJ$6,0),500,1)),0)+_xlfn.IFNA(SUM((AC$3&gt;='Gastos com Pessoal'!$E$7:$E$506)*(AC$3&lt;='Gastos com Pessoal'!$F$7:$F$506)*(IF('Gastos com Pessoal'!$AE$7:$AE$506&lt;=AC$3,1,0))*OFFSET('Gastos com Pessoal'!$H$6,1,MATCH(5&amp;$B50,'Gastos com Pessoal'!$I$532:$AJ$532&amp;'Gastos com Pessoal'!$I$6:$AJ$6,0),500,1)),0)+_xlfn.IFNA(SUM((AC$3&gt;='Gastos com Pessoal'!$E$513:$E$522)*(AC$3&lt;='Gastos com Pessoal'!$F$513:$F$522)*(IF('Gastos com Pessoal'!$G$513:$G$522&lt;=AC$3,1,0))*OFFSET('Gastos com Pessoal'!$H$512,1,MATCH(1&amp;$B50,'Gastos com Pessoal'!$I$532:$AJ$532&amp;'Gastos com Pessoal'!$I$512:$AJ$512,0),10,1)),0)+_xlfn.IFNA(SUM((AC$3&gt;='Gastos com Pessoal'!$E$513:$E$522)*(AC$3&lt;='Gastos com Pessoal'!$F$513:$F$522)*(IF('Gastos com Pessoal'!$M$513:$M$522&lt;=AC$3,1,0))*OFFSET('Gastos com Pessoal'!$H$512,1,MATCH(2&amp;$B50,'Gastos com Pessoal'!$I$532:$AJ$532&amp;'Gastos com Pessoal'!$I$512:$AJ$512,0),10,1)),0)+_xlfn.IFNA(SUM((AC$3&gt;='Gastos com Pessoal'!$E$513:$E$522)*(AC$3&lt;='Gastos com Pessoal'!$F$513:$F$522)*(IF('Gastos com Pessoal'!$S$513:$S$522&lt;=AC$3,1,0))*OFFSET('Gastos com Pessoal'!$H$512,1,MATCH(3&amp;$B50,'Gastos com Pessoal'!$I$532:$AJ$532&amp;'Gastos com Pessoal'!$I$512:$AJ$512,0),10,1)),0)+_xlfn.IFNA(SUM((AC$3&gt;='Gastos com Pessoal'!$E$513:$E$522)*(AC$3&lt;='Gastos com Pessoal'!$F$513:$F$522)*(IF('Gastos com Pessoal'!$Y$513:$Y$522&lt;=AC$3,1,0))*OFFSET('Gastos com Pessoal'!$H$512,1,MATCH(4&amp;$B50,'Gastos com Pessoal'!$I$532:$AJ$532&amp;'Gastos com Pessoal'!$I$512:$AJ$512,0),10,1)),0)+_xlfn.IFNA(SUM((AC$3&gt;='Gastos com Pessoal'!$E$513:$E$522)*(AC$3&lt;='Gastos com Pessoal'!$F$513:$F$522)*(IF('Gastos com Pessoal'!$AE$513:$AE$522&lt;=AC$3,1,0))*OFFSET('Gastos com Pessoal'!$H$512,1,MATCH(5&amp;$B50,'Gastos com Pessoal'!$I$532:$AJ$532&amp;'Gastos com Pessoal'!$I$512:$AJ$512,0),10,1)),0)</f>
        <v>15353.279999999959</v>
      </c>
      <c r="AD50" s="188">
        <f t="array" aca="1" ref="AD50" ca="1">_xlfn.IFNA(SUM((AD$3&gt;='Gastos com Pessoal'!$E$7:$E$506)*(AD$3&lt;='Gastos com Pessoal'!$F$7:$F$506)*OFFSET('Encargos e Benefícios'!$D$5,1,MATCH($B50,'Encargos e Benefícios'!$E$5:$AB$5,0),500,1)),0)+_xlfn.IFNA(SUM((AD$3&gt;='Gastos com Pessoal'!$E$513:$E$522)*(AD$3&lt;='Gastos com Pessoal'!$F$513:$F$522)*OFFSET('Encargos e Benefícios'!$D$511,1,MATCH($B50,'Encargos e Benefícios'!$E$511:$AB$511,0),10,1)),0)+_xlfn.IFNA(SUM((AD$3&gt;='Gastos com Pessoal'!$E$7:$E$506)*(AD$3&lt;='Gastos com Pessoal'!$F$7:$F$506)*(IF('Gastos com Pessoal'!$G$7:$G$506&lt;=AD$3,1,0))*OFFSET('Gastos com Pessoal'!$H$6,1,MATCH(1&amp;$B50,'Gastos com Pessoal'!$I$532:$AJ$532&amp;'Gastos com Pessoal'!$I$6:$AJ$6,0),500,1)),0)+_xlfn.IFNA(SUM((AD$3&gt;='Gastos com Pessoal'!$E$7:$E$506)*(AD$3&lt;='Gastos com Pessoal'!$F$7:$F$506)*(IF('Gastos com Pessoal'!$M$7:$M$506&lt;=AD$3,1,0))*OFFSET('Gastos com Pessoal'!$H$6,1,MATCH(2&amp;$B50,'Gastos com Pessoal'!$I$532:$AJ$532&amp;'Gastos com Pessoal'!$I$6:$AJ$6,0),500,1)),0)+_xlfn.IFNA(SUM((AD$3&gt;='Gastos com Pessoal'!$E$7:$E$506)*(AD$3&lt;='Gastos com Pessoal'!$F$7:$F$506)*(IF('Gastos com Pessoal'!$S$7:$S$506&lt;=AD$3,1,0))*OFFSET('Gastos com Pessoal'!$H$6,1,MATCH(3&amp;$B50,'Gastos com Pessoal'!$I$532:$AJ$532&amp;'Gastos com Pessoal'!$I$6:$AJ$6,0),500,1)),0)+_xlfn.IFNA(SUM((AD$3&gt;='Gastos com Pessoal'!$E$7:$E$506)*(AD$3&lt;='Gastos com Pessoal'!$F$7:$F$506)*(IF('Gastos com Pessoal'!$Y$7:$Y$506&lt;=AD$3,1,0))*OFFSET('Gastos com Pessoal'!$H$6,1,MATCH(4&amp;$B50,'Gastos com Pessoal'!$I$532:$AJ$532&amp;'Gastos com Pessoal'!$I$6:$AJ$6,0),500,1)),0)+_xlfn.IFNA(SUM((AD$3&gt;='Gastos com Pessoal'!$E$7:$E$506)*(AD$3&lt;='Gastos com Pessoal'!$F$7:$F$506)*(IF('Gastos com Pessoal'!$AE$7:$AE$506&lt;=AD$3,1,0))*OFFSET('Gastos com Pessoal'!$H$6,1,MATCH(5&amp;$B50,'Gastos com Pessoal'!$I$532:$AJ$532&amp;'Gastos com Pessoal'!$I$6:$AJ$6,0),500,1)),0)+_xlfn.IFNA(SUM((AD$3&gt;='Gastos com Pessoal'!$E$513:$E$522)*(AD$3&lt;='Gastos com Pessoal'!$F$513:$F$522)*(IF('Gastos com Pessoal'!$G$513:$G$522&lt;=AD$3,1,0))*OFFSET('Gastos com Pessoal'!$H$512,1,MATCH(1&amp;$B50,'Gastos com Pessoal'!$I$532:$AJ$532&amp;'Gastos com Pessoal'!$I$512:$AJ$512,0),10,1)),0)+_xlfn.IFNA(SUM((AD$3&gt;='Gastos com Pessoal'!$E$513:$E$522)*(AD$3&lt;='Gastos com Pessoal'!$F$513:$F$522)*(IF('Gastos com Pessoal'!$M$513:$M$522&lt;=AD$3,1,0))*OFFSET('Gastos com Pessoal'!$H$512,1,MATCH(2&amp;$B50,'Gastos com Pessoal'!$I$532:$AJ$532&amp;'Gastos com Pessoal'!$I$512:$AJ$512,0),10,1)),0)+_xlfn.IFNA(SUM((AD$3&gt;='Gastos com Pessoal'!$E$513:$E$522)*(AD$3&lt;='Gastos com Pessoal'!$F$513:$F$522)*(IF('Gastos com Pessoal'!$S$513:$S$522&lt;=AD$3,1,0))*OFFSET('Gastos com Pessoal'!$H$512,1,MATCH(3&amp;$B50,'Gastos com Pessoal'!$I$532:$AJ$532&amp;'Gastos com Pessoal'!$I$512:$AJ$512,0),10,1)),0)+_xlfn.IFNA(SUM((AD$3&gt;='Gastos com Pessoal'!$E$513:$E$522)*(AD$3&lt;='Gastos com Pessoal'!$F$513:$F$522)*(IF('Gastos com Pessoal'!$Y$513:$Y$522&lt;=AD$3,1,0))*OFFSET('Gastos com Pessoal'!$H$512,1,MATCH(4&amp;$B50,'Gastos com Pessoal'!$I$532:$AJ$532&amp;'Gastos com Pessoal'!$I$512:$AJ$512,0),10,1)),0)+_xlfn.IFNA(SUM((AD$3&gt;='Gastos com Pessoal'!$E$513:$E$522)*(AD$3&lt;='Gastos com Pessoal'!$F$513:$F$522)*(IF('Gastos com Pessoal'!$AE$513:$AE$522&lt;=AD$3,1,0))*OFFSET('Gastos com Pessoal'!$H$512,1,MATCH(5&amp;$B50,'Gastos com Pessoal'!$I$532:$AJ$532&amp;'Gastos com Pessoal'!$I$512:$AJ$512,0),10,1)),0)</f>
        <v>15353.279999999959</v>
      </c>
      <c r="AE50" s="188">
        <f t="array" aca="1" ref="AE50" ca="1">_xlfn.IFNA(SUM((AE$3&gt;='Gastos com Pessoal'!$E$7:$E$506)*(AE$3&lt;='Gastos com Pessoal'!$F$7:$F$506)*OFFSET('Encargos e Benefícios'!$D$5,1,MATCH($B50,'Encargos e Benefícios'!$E$5:$AB$5,0),500,1)),0)+_xlfn.IFNA(SUM((AE$3&gt;='Gastos com Pessoal'!$E$513:$E$522)*(AE$3&lt;='Gastos com Pessoal'!$F$513:$F$522)*OFFSET('Encargos e Benefícios'!$D$511,1,MATCH($B50,'Encargos e Benefícios'!$E$511:$AB$511,0),10,1)),0)+_xlfn.IFNA(SUM((AE$3&gt;='Gastos com Pessoal'!$E$7:$E$506)*(AE$3&lt;='Gastos com Pessoal'!$F$7:$F$506)*(IF('Gastos com Pessoal'!$G$7:$G$506&lt;=AE$3,1,0))*OFFSET('Gastos com Pessoal'!$H$6,1,MATCH(1&amp;$B50,'Gastos com Pessoal'!$I$532:$AJ$532&amp;'Gastos com Pessoal'!$I$6:$AJ$6,0),500,1)),0)+_xlfn.IFNA(SUM((AE$3&gt;='Gastos com Pessoal'!$E$7:$E$506)*(AE$3&lt;='Gastos com Pessoal'!$F$7:$F$506)*(IF('Gastos com Pessoal'!$M$7:$M$506&lt;=AE$3,1,0))*OFFSET('Gastos com Pessoal'!$H$6,1,MATCH(2&amp;$B50,'Gastos com Pessoal'!$I$532:$AJ$532&amp;'Gastos com Pessoal'!$I$6:$AJ$6,0),500,1)),0)+_xlfn.IFNA(SUM((AE$3&gt;='Gastos com Pessoal'!$E$7:$E$506)*(AE$3&lt;='Gastos com Pessoal'!$F$7:$F$506)*(IF('Gastos com Pessoal'!$S$7:$S$506&lt;=AE$3,1,0))*OFFSET('Gastos com Pessoal'!$H$6,1,MATCH(3&amp;$B50,'Gastos com Pessoal'!$I$532:$AJ$532&amp;'Gastos com Pessoal'!$I$6:$AJ$6,0),500,1)),0)+_xlfn.IFNA(SUM((AE$3&gt;='Gastos com Pessoal'!$E$7:$E$506)*(AE$3&lt;='Gastos com Pessoal'!$F$7:$F$506)*(IF('Gastos com Pessoal'!$Y$7:$Y$506&lt;=AE$3,1,0))*OFFSET('Gastos com Pessoal'!$H$6,1,MATCH(4&amp;$B50,'Gastos com Pessoal'!$I$532:$AJ$532&amp;'Gastos com Pessoal'!$I$6:$AJ$6,0),500,1)),0)+_xlfn.IFNA(SUM((AE$3&gt;='Gastos com Pessoal'!$E$7:$E$506)*(AE$3&lt;='Gastos com Pessoal'!$F$7:$F$506)*(IF('Gastos com Pessoal'!$AE$7:$AE$506&lt;=AE$3,1,0))*OFFSET('Gastos com Pessoal'!$H$6,1,MATCH(5&amp;$B50,'Gastos com Pessoal'!$I$532:$AJ$532&amp;'Gastos com Pessoal'!$I$6:$AJ$6,0),500,1)),0)+_xlfn.IFNA(SUM((AE$3&gt;='Gastos com Pessoal'!$E$513:$E$522)*(AE$3&lt;='Gastos com Pessoal'!$F$513:$F$522)*(IF('Gastos com Pessoal'!$G$513:$G$522&lt;=AE$3,1,0))*OFFSET('Gastos com Pessoal'!$H$512,1,MATCH(1&amp;$B50,'Gastos com Pessoal'!$I$532:$AJ$532&amp;'Gastos com Pessoal'!$I$512:$AJ$512,0),10,1)),0)+_xlfn.IFNA(SUM((AE$3&gt;='Gastos com Pessoal'!$E$513:$E$522)*(AE$3&lt;='Gastos com Pessoal'!$F$513:$F$522)*(IF('Gastos com Pessoal'!$M$513:$M$522&lt;=AE$3,1,0))*OFFSET('Gastos com Pessoal'!$H$512,1,MATCH(2&amp;$B50,'Gastos com Pessoal'!$I$532:$AJ$532&amp;'Gastos com Pessoal'!$I$512:$AJ$512,0),10,1)),0)+_xlfn.IFNA(SUM((AE$3&gt;='Gastos com Pessoal'!$E$513:$E$522)*(AE$3&lt;='Gastos com Pessoal'!$F$513:$F$522)*(IF('Gastos com Pessoal'!$S$513:$S$522&lt;=AE$3,1,0))*OFFSET('Gastos com Pessoal'!$H$512,1,MATCH(3&amp;$B50,'Gastos com Pessoal'!$I$532:$AJ$532&amp;'Gastos com Pessoal'!$I$512:$AJ$512,0),10,1)),0)+_xlfn.IFNA(SUM((AE$3&gt;='Gastos com Pessoal'!$E$513:$E$522)*(AE$3&lt;='Gastos com Pessoal'!$F$513:$F$522)*(IF('Gastos com Pessoal'!$Y$513:$Y$522&lt;=AE$3,1,0))*OFFSET('Gastos com Pessoal'!$H$512,1,MATCH(4&amp;$B50,'Gastos com Pessoal'!$I$532:$AJ$532&amp;'Gastos com Pessoal'!$I$512:$AJ$512,0),10,1)),0)+_xlfn.IFNA(SUM((AE$3&gt;='Gastos com Pessoal'!$E$513:$E$522)*(AE$3&lt;='Gastos com Pessoal'!$F$513:$F$522)*(IF('Gastos com Pessoal'!$AE$513:$AE$522&lt;=AE$3,1,0))*OFFSET('Gastos com Pessoal'!$H$512,1,MATCH(5&amp;$B50,'Gastos com Pessoal'!$I$532:$AJ$532&amp;'Gastos com Pessoal'!$I$512:$AJ$512,0),10,1)),0)</f>
        <v>15353.279999999959</v>
      </c>
      <c r="AF50" s="188">
        <f t="array" aca="1" ref="AF50" ca="1">_xlfn.IFNA(SUM((AF$3&gt;='Gastos com Pessoal'!$E$7:$E$506)*(AF$3&lt;='Gastos com Pessoal'!$F$7:$F$506)*OFFSET('Encargos e Benefícios'!$D$5,1,MATCH($B50,'Encargos e Benefícios'!$E$5:$AB$5,0),500,1)),0)+_xlfn.IFNA(SUM((AF$3&gt;='Gastos com Pessoal'!$E$513:$E$522)*(AF$3&lt;='Gastos com Pessoal'!$F$513:$F$522)*OFFSET('Encargos e Benefícios'!$D$511,1,MATCH($B50,'Encargos e Benefícios'!$E$511:$AB$511,0),10,1)),0)+_xlfn.IFNA(SUM((AF$3&gt;='Gastos com Pessoal'!$E$7:$E$506)*(AF$3&lt;='Gastos com Pessoal'!$F$7:$F$506)*(IF('Gastos com Pessoal'!$G$7:$G$506&lt;=AF$3,1,0))*OFFSET('Gastos com Pessoal'!$H$6,1,MATCH(1&amp;$B50,'Gastos com Pessoal'!$I$532:$AJ$532&amp;'Gastos com Pessoal'!$I$6:$AJ$6,0),500,1)),0)+_xlfn.IFNA(SUM((AF$3&gt;='Gastos com Pessoal'!$E$7:$E$506)*(AF$3&lt;='Gastos com Pessoal'!$F$7:$F$506)*(IF('Gastos com Pessoal'!$M$7:$M$506&lt;=AF$3,1,0))*OFFSET('Gastos com Pessoal'!$H$6,1,MATCH(2&amp;$B50,'Gastos com Pessoal'!$I$532:$AJ$532&amp;'Gastos com Pessoal'!$I$6:$AJ$6,0),500,1)),0)+_xlfn.IFNA(SUM((AF$3&gt;='Gastos com Pessoal'!$E$7:$E$506)*(AF$3&lt;='Gastos com Pessoal'!$F$7:$F$506)*(IF('Gastos com Pessoal'!$S$7:$S$506&lt;=AF$3,1,0))*OFFSET('Gastos com Pessoal'!$H$6,1,MATCH(3&amp;$B50,'Gastos com Pessoal'!$I$532:$AJ$532&amp;'Gastos com Pessoal'!$I$6:$AJ$6,0),500,1)),0)+_xlfn.IFNA(SUM((AF$3&gt;='Gastos com Pessoal'!$E$7:$E$506)*(AF$3&lt;='Gastos com Pessoal'!$F$7:$F$506)*(IF('Gastos com Pessoal'!$Y$7:$Y$506&lt;=AF$3,1,0))*OFFSET('Gastos com Pessoal'!$H$6,1,MATCH(4&amp;$B50,'Gastos com Pessoal'!$I$532:$AJ$532&amp;'Gastos com Pessoal'!$I$6:$AJ$6,0),500,1)),0)+_xlfn.IFNA(SUM((AF$3&gt;='Gastos com Pessoal'!$E$7:$E$506)*(AF$3&lt;='Gastos com Pessoal'!$F$7:$F$506)*(IF('Gastos com Pessoal'!$AE$7:$AE$506&lt;=AF$3,1,0))*OFFSET('Gastos com Pessoal'!$H$6,1,MATCH(5&amp;$B50,'Gastos com Pessoal'!$I$532:$AJ$532&amp;'Gastos com Pessoal'!$I$6:$AJ$6,0),500,1)),0)+_xlfn.IFNA(SUM((AF$3&gt;='Gastos com Pessoal'!$E$513:$E$522)*(AF$3&lt;='Gastos com Pessoal'!$F$513:$F$522)*(IF('Gastos com Pessoal'!$G$513:$G$522&lt;=AF$3,1,0))*OFFSET('Gastos com Pessoal'!$H$512,1,MATCH(1&amp;$B50,'Gastos com Pessoal'!$I$532:$AJ$532&amp;'Gastos com Pessoal'!$I$512:$AJ$512,0),10,1)),0)+_xlfn.IFNA(SUM((AF$3&gt;='Gastos com Pessoal'!$E$513:$E$522)*(AF$3&lt;='Gastos com Pessoal'!$F$513:$F$522)*(IF('Gastos com Pessoal'!$M$513:$M$522&lt;=AF$3,1,0))*OFFSET('Gastos com Pessoal'!$H$512,1,MATCH(2&amp;$B50,'Gastos com Pessoal'!$I$532:$AJ$532&amp;'Gastos com Pessoal'!$I$512:$AJ$512,0),10,1)),0)+_xlfn.IFNA(SUM((AF$3&gt;='Gastos com Pessoal'!$E$513:$E$522)*(AF$3&lt;='Gastos com Pessoal'!$F$513:$F$522)*(IF('Gastos com Pessoal'!$S$513:$S$522&lt;=AF$3,1,0))*OFFSET('Gastos com Pessoal'!$H$512,1,MATCH(3&amp;$B50,'Gastos com Pessoal'!$I$532:$AJ$532&amp;'Gastos com Pessoal'!$I$512:$AJ$512,0),10,1)),0)+_xlfn.IFNA(SUM((AF$3&gt;='Gastos com Pessoal'!$E$513:$E$522)*(AF$3&lt;='Gastos com Pessoal'!$F$513:$F$522)*(IF('Gastos com Pessoal'!$Y$513:$Y$522&lt;=AF$3,1,0))*OFFSET('Gastos com Pessoal'!$H$512,1,MATCH(4&amp;$B50,'Gastos com Pessoal'!$I$532:$AJ$532&amp;'Gastos com Pessoal'!$I$512:$AJ$512,0),10,1)),0)+_xlfn.IFNA(SUM((AF$3&gt;='Gastos com Pessoal'!$E$513:$E$522)*(AF$3&lt;='Gastos com Pessoal'!$F$513:$F$522)*(IF('Gastos com Pessoal'!$AE$513:$AE$522&lt;=AF$3,1,0))*OFFSET('Gastos com Pessoal'!$H$512,1,MATCH(5&amp;$B50,'Gastos com Pessoal'!$I$532:$AJ$532&amp;'Gastos com Pessoal'!$I$512:$AJ$512,0),10,1)),0)</f>
        <v>15353.279999999959</v>
      </c>
      <c r="AG50" s="188">
        <f t="array" aca="1" ref="AG50" ca="1">_xlfn.IFNA(SUM((AG$3&gt;='Gastos com Pessoal'!$E$7:$E$506)*(AG$3&lt;='Gastos com Pessoal'!$F$7:$F$506)*OFFSET('Encargos e Benefícios'!$D$5,1,MATCH($B50,'Encargos e Benefícios'!$E$5:$AB$5,0),500,1)),0)+_xlfn.IFNA(SUM((AG$3&gt;='Gastos com Pessoal'!$E$513:$E$522)*(AG$3&lt;='Gastos com Pessoal'!$F$513:$F$522)*OFFSET('Encargos e Benefícios'!$D$511,1,MATCH($B50,'Encargos e Benefícios'!$E$511:$AB$511,0),10,1)),0)+_xlfn.IFNA(SUM((AG$3&gt;='Gastos com Pessoal'!$E$7:$E$506)*(AG$3&lt;='Gastos com Pessoal'!$F$7:$F$506)*(IF('Gastos com Pessoal'!$G$7:$G$506&lt;=AG$3,1,0))*OFFSET('Gastos com Pessoal'!$H$6,1,MATCH(1&amp;$B50,'Gastos com Pessoal'!$I$532:$AJ$532&amp;'Gastos com Pessoal'!$I$6:$AJ$6,0),500,1)),0)+_xlfn.IFNA(SUM((AG$3&gt;='Gastos com Pessoal'!$E$7:$E$506)*(AG$3&lt;='Gastos com Pessoal'!$F$7:$F$506)*(IF('Gastos com Pessoal'!$M$7:$M$506&lt;=AG$3,1,0))*OFFSET('Gastos com Pessoal'!$H$6,1,MATCH(2&amp;$B50,'Gastos com Pessoal'!$I$532:$AJ$532&amp;'Gastos com Pessoal'!$I$6:$AJ$6,0),500,1)),0)+_xlfn.IFNA(SUM((AG$3&gt;='Gastos com Pessoal'!$E$7:$E$506)*(AG$3&lt;='Gastos com Pessoal'!$F$7:$F$506)*(IF('Gastos com Pessoal'!$S$7:$S$506&lt;=AG$3,1,0))*OFFSET('Gastos com Pessoal'!$H$6,1,MATCH(3&amp;$B50,'Gastos com Pessoal'!$I$532:$AJ$532&amp;'Gastos com Pessoal'!$I$6:$AJ$6,0),500,1)),0)+_xlfn.IFNA(SUM((AG$3&gt;='Gastos com Pessoal'!$E$7:$E$506)*(AG$3&lt;='Gastos com Pessoal'!$F$7:$F$506)*(IF('Gastos com Pessoal'!$Y$7:$Y$506&lt;=AG$3,1,0))*OFFSET('Gastos com Pessoal'!$H$6,1,MATCH(4&amp;$B50,'Gastos com Pessoal'!$I$532:$AJ$532&amp;'Gastos com Pessoal'!$I$6:$AJ$6,0),500,1)),0)+_xlfn.IFNA(SUM((AG$3&gt;='Gastos com Pessoal'!$E$7:$E$506)*(AG$3&lt;='Gastos com Pessoal'!$F$7:$F$506)*(IF('Gastos com Pessoal'!$AE$7:$AE$506&lt;=AG$3,1,0))*OFFSET('Gastos com Pessoal'!$H$6,1,MATCH(5&amp;$B50,'Gastos com Pessoal'!$I$532:$AJ$532&amp;'Gastos com Pessoal'!$I$6:$AJ$6,0),500,1)),0)+_xlfn.IFNA(SUM((AG$3&gt;='Gastos com Pessoal'!$E$513:$E$522)*(AG$3&lt;='Gastos com Pessoal'!$F$513:$F$522)*(IF('Gastos com Pessoal'!$G$513:$G$522&lt;=AG$3,1,0))*OFFSET('Gastos com Pessoal'!$H$512,1,MATCH(1&amp;$B50,'Gastos com Pessoal'!$I$532:$AJ$532&amp;'Gastos com Pessoal'!$I$512:$AJ$512,0),10,1)),0)+_xlfn.IFNA(SUM((AG$3&gt;='Gastos com Pessoal'!$E$513:$E$522)*(AG$3&lt;='Gastos com Pessoal'!$F$513:$F$522)*(IF('Gastos com Pessoal'!$M$513:$M$522&lt;=AG$3,1,0))*OFFSET('Gastos com Pessoal'!$H$512,1,MATCH(2&amp;$B50,'Gastos com Pessoal'!$I$532:$AJ$532&amp;'Gastos com Pessoal'!$I$512:$AJ$512,0),10,1)),0)+_xlfn.IFNA(SUM((AG$3&gt;='Gastos com Pessoal'!$E$513:$E$522)*(AG$3&lt;='Gastos com Pessoal'!$F$513:$F$522)*(IF('Gastos com Pessoal'!$S$513:$S$522&lt;=AG$3,1,0))*OFFSET('Gastos com Pessoal'!$H$512,1,MATCH(3&amp;$B50,'Gastos com Pessoal'!$I$532:$AJ$532&amp;'Gastos com Pessoal'!$I$512:$AJ$512,0),10,1)),0)+_xlfn.IFNA(SUM((AG$3&gt;='Gastos com Pessoal'!$E$513:$E$522)*(AG$3&lt;='Gastos com Pessoal'!$F$513:$F$522)*(IF('Gastos com Pessoal'!$Y$513:$Y$522&lt;=AG$3,1,0))*OFFSET('Gastos com Pessoal'!$H$512,1,MATCH(4&amp;$B50,'Gastos com Pessoal'!$I$532:$AJ$532&amp;'Gastos com Pessoal'!$I$512:$AJ$512,0),10,1)),0)+_xlfn.IFNA(SUM((AG$3&gt;='Gastos com Pessoal'!$E$513:$E$522)*(AG$3&lt;='Gastos com Pessoal'!$F$513:$F$522)*(IF('Gastos com Pessoal'!$AE$513:$AE$522&lt;=AG$3,1,0))*OFFSET('Gastos com Pessoal'!$H$512,1,MATCH(5&amp;$B50,'Gastos com Pessoal'!$I$532:$AJ$532&amp;'Gastos com Pessoal'!$I$512:$AJ$512,0),10,1)),0)</f>
        <v>15353.279999999959</v>
      </c>
      <c r="AH50" s="188">
        <f t="array" aca="1" ref="AH50" ca="1">_xlfn.IFNA(SUM((AH$3&gt;='Gastos com Pessoal'!$E$7:$E$506)*(AH$3&lt;='Gastos com Pessoal'!$F$7:$F$506)*OFFSET('Encargos e Benefícios'!$D$5,1,MATCH($B50,'Encargos e Benefícios'!$E$5:$AB$5,0),500,1)),0)+_xlfn.IFNA(SUM((AH$3&gt;='Gastos com Pessoal'!$E$513:$E$522)*(AH$3&lt;='Gastos com Pessoal'!$F$513:$F$522)*OFFSET('Encargos e Benefícios'!$D$511,1,MATCH($B50,'Encargos e Benefícios'!$E$511:$AB$511,0),10,1)),0)+_xlfn.IFNA(SUM((AH$3&gt;='Gastos com Pessoal'!$E$7:$E$506)*(AH$3&lt;='Gastos com Pessoal'!$F$7:$F$506)*(IF('Gastos com Pessoal'!$G$7:$G$506&lt;=AH$3,1,0))*OFFSET('Gastos com Pessoal'!$H$6,1,MATCH(1&amp;$B50,'Gastos com Pessoal'!$I$532:$AJ$532&amp;'Gastos com Pessoal'!$I$6:$AJ$6,0),500,1)),0)+_xlfn.IFNA(SUM((AH$3&gt;='Gastos com Pessoal'!$E$7:$E$506)*(AH$3&lt;='Gastos com Pessoal'!$F$7:$F$506)*(IF('Gastos com Pessoal'!$M$7:$M$506&lt;=AH$3,1,0))*OFFSET('Gastos com Pessoal'!$H$6,1,MATCH(2&amp;$B50,'Gastos com Pessoal'!$I$532:$AJ$532&amp;'Gastos com Pessoal'!$I$6:$AJ$6,0),500,1)),0)+_xlfn.IFNA(SUM((AH$3&gt;='Gastos com Pessoal'!$E$7:$E$506)*(AH$3&lt;='Gastos com Pessoal'!$F$7:$F$506)*(IF('Gastos com Pessoal'!$S$7:$S$506&lt;=AH$3,1,0))*OFFSET('Gastos com Pessoal'!$H$6,1,MATCH(3&amp;$B50,'Gastos com Pessoal'!$I$532:$AJ$532&amp;'Gastos com Pessoal'!$I$6:$AJ$6,0),500,1)),0)+_xlfn.IFNA(SUM((AH$3&gt;='Gastos com Pessoal'!$E$7:$E$506)*(AH$3&lt;='Gastos com Pessoal'!$F$7:$F$506)*(IF('Gastos com Pessoal'!$Y$7:$Y$506&lt;=AH$3,1,0))*OFFSET('Gastos com Pessoal'!$H$6,1,MATCH(4&amp;$B50,'Gastos com Pessoal'!$I$532:$AJ$532&amp;'Gastos com Pessoal'!$I$6:$AJ$6,0),500,1)),0)+_xlfn.IFNA(SUM((AH$3&gt;='Gastos com Pessoal'!$E$7:$E$506)*(AH$3&lt;='Gastos com Pessoal'!$F$7:$F$506)*(IF('Gastos com Pessoal'!$AE$7:$AE$506&lt;=AH$3,1,0))*OFFSET('Gastos com Pessoal'!$H$6,1,MATCH(5&amp;$B50,'Gastos com Pessoal'!$I$532:$AJ$532&amp;'Gastos com Pessoal'!$I$6:$AJ$6,0),500,1)),0)+_xlfn.IFNA(SUM((AH$3&gt;='Gastos com Pessoal'!$E$513:$E$522)*(AH$3&lt;='Gastos com Pessoal'!$F$513:$F$522)*(IF('Gastos com Pessoal'!$G$513:$G$522&lt;=AH$3,1,0))*OFFSET('Gastos com Pessoal'!$H$512,1,MATCH(1&amp;$B50,'Gastos com Pessoal'!$I$532:$AJ$532&amp;'Gastos com Pessoal'!$I$512:$AJ$512,0),10,1)),0)+_xlfn.IFNA(SUM((AH$3&gt;='Gastos com Pessoal'!$E$513:$E$522)*(AH$3&lt;='Gastos com Pessoal'!$F$513:$F$522)*(IF('Gastos com Pessoal'!$M$513:$M$522&lt;=AH$3,1,0))*OFFSET('Gastos com Pessoal'!$H$512,1,MATCH(2&amp;$B50,'Gastos com Pessoal'!$I$532:$AJ$532&amp;'Gastos com Pessoal'!$I$512:$AJ$512,0),10,1)),0)+_xlfn.IFNA(SUM((AH$3&gt;='Gastos com Pessoal'!$E$513:$E$522)*(AH$3&lt;='Gastos com Pessoal'!$F$513:$F$522)*(IF('Gastos com Pessoal'!$S$513:$S$522&lt;=AH$3,1,0))*OFFSET('Gastos com Pessoal'!$H$512,1,MATCH(3&amp;$B50,'Gastos com Pessoal'!$I$532:$AJ$532&amp;'Gastos com Pessoal'!$I$512:$AJ$512,0),10,1)),0)+_xlfn.IFNA(SUM((AH$3&gt;='Gastos com Pessoal'!$E$513:$E$522)*(AH$3&lt;='Gastos com Pessoal'!$F$513:$F$522)*(IF('Gastos com Pessoal'!$Y$513:$Y$522&lt;=AH$3,1,0))*OFFSET('Gastos com Pessoal'!$H$512,1,MATCH(4&amp;$B50,'Gastos com Pessoal'!$I$532:$AJ$532&amp;'Gastos com Pessoal'!$I$512:$AJ$512,0),10,1)),0)+_xlfn.IFNA(SUM((AH$3&gt;='Gastos com Pessoal'!$E$513:$E$522)*(AH$3&lt;='Gastos com Pessoal'!$F$513:$F$522)*(IF('Gastos com Pessoal'!$AE$513:$AE$522&lt;=AH$3,1,0))*OFFSET('Gastos com Pessoal'!$H$512,1,MATCH(5&amp;$B50,'Gastos com Pessoal'!$I$532:$AJ$532&amp;'Gastos com Pessoal'!$I$512:$AJ$512,0),10,1)),0)</f>
        <v>15353.279999999959</v>
      </c>
      <c r="AI50" s="188">
        <f t="array" aca="1" ref="AI50" ca="1">_xlfn.IFNA(SUM((AI$3&gt;='Gastos com Pessoal'!$E$7:$E$506)*(AI$3&lt;='Gastos com Pessoal'!$F$7:$F$506)*OFFSET('Encargos e Benefícios'!$D$5,1,MATCH($B50,'Encargos e Benefícios'!$E$5:$AB$5,0),500,1)),0)+_xlfn.IFNA(SUM((AI$3&gt;='Gastos com Pessoal'!$E$513:$E$522)*(AI$3&lt;='Gastos com Pessoal'!$F$513:$F$522)*OFFSET('Encargos e Benefícios'!$D$511,1,MATCH($B50,'Encargos e Benefícios'!$E$511:$AB$511,0),10,1)),0)+_xlfn.IFNA(SUM((AI$3&gt;='Gastos com Pessoal'!$E$7:$E$506)*(AI$3&lt;='Gastos com Pessoal'!$F$7:$F$506)*(IF('Gastos com Pessoal'!$G$7:$G$506&lt;=AI$3,1,0))*OFFSET('Gastos com Pessoal'!$H$6,1,MATCH(1&amp;$B50,'Gastos com Pessoal'!$I$532:$AJ$532&amp;'Gastos com Pessoal'!$I$6:$AJ$6,0),500,1)),0)+_xlfn.IFNA(SUM((AI$3&gt;='Gastos com Pessoal'!$E$7:$E$506)*(AI$3&lt;='Gastos com Pessoal'!$F$7:$F$506)*(IF('Gastos com Pessoal'!$M$7:$M$506&lt;=AI$3,1,0))*OFFSET('Gastos com Pessoal'!$H$6,1,MATCH(2&amp;$B50,'Gastos com Pessoal'!$I$532:$AJ$532&amp;'Gastos com Pessoal'!$I$6:$AJ$6,0),500,1)),0)+_xlfn.IFNA(SUM((AI$3&gt;='Gastos com Pessoal'!$E$7:$E$506)*(AI$3&lt;='Gastos com Pessoal'!$F$7:$F$506)*(IF('Gastos com Pessoal'!$S$7:$S$506&lt;=AI$3,1,0))*OFFSET('Gastos com Pessoal'!$H$6,1,MATCH(3&amp;$B50,'Gastos com Pessoal'!$I$532:$AJ$532&amp;'Gastos com Pessoal'!$I$6:$AJ$6,0),500,1)),0)+_xlfn.IFNA(SUM((AI$3&gt;='Gastos com Pessoal'!$E$7:$E$506)*(AI$3&lt;='Gastos com Pessoal'!$F$7:$F$506)*(IF('Gastos com Pessoal'!$Y$7:$Y$506&lt;=AI$3,1,0))*OFFSET('Gastos com Pessoal'!$H$6,1,MATCH(4&amp;$B50,'Gastos com Pessoal'!$I$532:$AJ$532&amp;'Gastos com Pessoal'!$I$6:$AJ$6,0),500,1)),0)+_xlfn.IFNA(SUM((AI$3&gt;='Gastos com Pessoal'!$E$7:$E$506)*(AI$3&lt;='Gastos com Pessoal'!$F$7:$F$506)*(IF('Gastos com Pessoal'!$AE$7:$AE$506&lt;=AI$3,1,0))*OFFSET('Gastos com Pessoal'!$H$6,1,MATCH(5&amp;$B50,'Gastos com Pessoal'!$I$532:$AJ$532&amp;'Gastos com Pessoal'!$I$6:$AJ$6,0),500,1)),0)+_xlfn.IFNA(SUM((AI$3&gt;='Gastos com Pessoal'!$E$513:$E$522)*(AI$3&lt;='Gastos com Pessoal'!$F$513:$F$522)*(IF('Gastos com Pessoal'!$G$513:$G$522&lt;=AI$3,1,0))*OFFSET('Gastos com Pessoal'!$H$512,1,MATCH(1&amp;$B50,'Gastos com Pessoal'!$I$532:$AJ$532&amp;'Gastos com Pessoal'!$I$512:$AJ$512,0),10,1)),0)+_xlfn.IFNA(SUM((AI$3&gt;='Gastos com Pessoal'!$E$513:$E$522)*(AI$3&lt;='Gastos com Pessoal'!$F$513:$F$522)*(IF('Gastos com Pessoal'!$M$513:$M$522&lt;=AI$3,1,0))*OFFSET('Gastos com Pessoal'!$H$512,1,MATCH(2&amp;$B50,'Gastos com Pessoal'!$I$532:$AJ$532&amp;'Gastos com Pessoal'!$I$512:$AJ$512,0),10,1)),0)+_xlfn.IFNA(SUM((AI$3&gt;='Gastos com Pessoal'!$E$513:$E$522)*(AI$3&lt;='Gastos com Pessoal'!$F$513:$F$522)*(IF('Gastos com Pessoal'!$S$513:$S$522&lt;=AI$3,1,0))*OFFSET('Gastos com Pessoal'!$H$512,1,MATCH(3&amp;$B50,'Gastos com Pessoal'!$I$532:$AJ$532&amp;'Gastos com Pessoal'!$I$512:$AJ$512,0),10,1)),0)+_xlfn.IFNA(SUM((AI$3&gt;='Gastos com Pessoal'!$E$513:$E$522)*(AI$3&lt;='Gastos com Pessoal'!$F$513:$F$522)*(IF('Gastos com Pessoal'!$Y$513:$Y$522&lt;=AI$3,1,0))*OFFSET('Gastos com Pessoal'!$H$512,1,MATCH(4&amp;$B50,'Gastos com Pessoal'!$I$532:$AJ$532&amp;'Gastos com Pessoal'!$I$512:$AJ$512,0),10,1)),0)+_xlfn.IFNA(SUM((AI$3&gt;='Gastos com Pessoal'!$E$513:$E$522)*(AI$3&lt;='Gastos com Pessoal'!$F$513:$F$522)*(IF('Gastos com Pessoal'!$AE$513:$AE$522&lt;=AI$3,1,0))*OFFSET('Gastos com Pessoal'!$H$512,1,MATCH(5&amp;$B50,'Gastos com Pessoal'!$I$532:$AJ$532&amp;'Gastos com Pessoal'!$I$512:$AJ$512,0),10,1)),0)</f>
        <v>15353.279999999959</v>
      </c>
      <c r="AJ50" s="188">
        <f t="array" aca="1" ref="AJ50" ca="1">_xlfn.IFNA(SUM((AJ$3&gt;='Gastos com Pessoal'!$E$7:$E$506)*(AJ$3&lt;='Gastos com Pessoal'!$F$7:$F$506)*OFFSET('Encargos e Benefícios'!$D$5,1,MATCH($B50,'Encargos e Benefícios'!$E$5:$AB$5,0),500,1)),0)+_xlfn.IFNA(SUM((AJ$3&gt;='Gastos com Pessoal'!$E$513:$E$522)*(AJ$3&lt;='Gastos com Pessoal'!$F$513:$F$522)*OFFSET('Encargos e Benefícios'!$D$511,1,MATCH($B50,'Encargos e Benefícios'!$E$511:$AB$511,0),10,1)),0)+_xlfn.IFNA(SUM((AJ$3&gt;='Gastos com Pessoal'!$E$7:$E$506)*(AJ$3&lt;='Gastos com Pessoal'!$F$7:$F$506)*(IF('Gastos com Pessoal'!$G$7:$G$506&lt;=AJ$3,1,0))*OFFSET('Gastos com Pessoal'!$H$6,1,MATCH(1&amp;$B50,'Gastos com Pessoal'!$I$532:$AJ$532&amp;'Gastos com Pessoal'!$I$6:$AJ$6,0),500,1)),0)+_xlfn.IFNA(SUM((AJ$3&gt;='Gastos com Pessoal'!$E$7:$E$506)*(AJ$3&lt;='Gastos com Pessoal'!$F$7:$F$506)*(IF('Gastos com Pessoal'!$M$7:$M$506&lt;=AJ$3,1,0))*OFFSET('Gastos com Pessoal'!$H$6,1,MATCH(2&amp;$B50,'Gastos com Pessoal'!$I$532:$AJ$532&amp;'Gastos com Pessoal'!$I$6:$AJ$6,0),500,1)),0)+_xlfn.IFNA(SUM((AJ$3&gt;='Gastos com Pessoal'!$E$7:$E$506)*(AJ$3&lt;='Gastos com Pessoal'!$F$7:$F$506)*(IF('Gastos com Pessoal'!$S$7:$S$506&lt;=AJ$3,1,0))*OFFSET('Gastos com Pessoal'!$H$6,1,MATCH(3&amp;$B50,'Gastos com Pessoal'!$I$532:$AJ$532&amp;'Gastos com Pessoal'!$I$6:$AJ$6,0),500,1)),0)+_xlfn.IFNA(SUM((AJ$3&gt;='Gastos com Pessoal'!$E$7:$E$506)*(AJ$3&lt;='Gastos com Pessoal'!$F$7:$F$506)*(IF('Gastos com Pessoal'!$Y$7:$Y$506&lt;=AJ$3,1,0))*OFFSET('Gastos com Pessoal'!$H$6,1,MATCH(4&amp;$B50,'Gastos com Pessoal'!$I$532:$AJ$532&amp;'Gastos com Pessoal'!$I$6:$AJ$6,0),500,1)),0)+_xlfn.IFNA(SUM((AJ$3&gt;='Gastos com Pessoal'!$E$7:$E$506)*(AJ$3&lt;='Gastos com Pessoal'!$F$7:$F$506)*(IF('Gastos com Pessoal'!$AE$7:$AE$506&lt;=AJ$3,1,0))*OFFSET('Gastos com Pessoal'!$H$6,1,MATCH(5&amp;$B50,'Gastos com Pessoal'!$I$532:$AJ$532&amp;'Gastos com Pessoal'!$I$6:$AJ$6,0),500,1)),0)+_xlfn.IFNA(SUM((AJ$3&gt;='Gastos com Pessoal'!$E$513:$E$522)*(AJ$3&lt;='Gastos com Pessoal'!$F$513:$F$522)*(IF('Gastos com Pessoal'!$G$513:$G$522&lt;=AJ$3,1,0))*OFFSET('Gastos com Pessoal'!$H$512,1,MATCH(1&amp;$B50,'Gastos com Pessoal'!$I$532:$AJ$532&amp;'Gastos com Pessoal'!$I$512:$AJ$512,0),10,1)),0)+_xlfn.IFNA(SUM((AJ$3&gt;='Gastos com Pessoal'!$E$513:$E$522)*(AJ$3&lt;='Gastos com Pessoal'!$F$513:$F$522)*(IF('Gastos com Pessoal'!$M$513:$M$522&lt;=AJ$3,1,0))*OFFSET('Gastos com Pessoal'!$H$512,1,MATCH(2&amp;$B50,'Gastos com Pessoal'!$I$532:$AJ$532&amp;'Gastos com Pessoal'!$I$512:$AJ$512,0),10,1)),0)+_xlfn.IFNA(SUM((AJ$3&gt;='Gastos com Pessoal'!$E$513:$E$522)*(AJ$3&lt;='Gastos com Pessoal'!$F$513:$F$522)*(IF('Gastos com Pessoal'!$S$513:$S$522&lt;=AJ$3,1,0))*OFFSET('Gastos com Pessoal'!$H$512,1,MATCH(3&amp;$B50,'Gastos com Pessoal'!$I$532:$AJ$532&amp;'Gastos com Pessoal'!$I$512:$AJ$512,0),10,1)),0)+_xlfn.IFNA(SUM((AJ$3&gt;='Gastos com Pessoal'!$E$513:$E$522)*(AJ$3&lt;='Gastos com Pessoal'!$F$513:$F$522)*(IF('Gastos com Pessoal'!$Y$513:$Y$522&lt;=AJ$3,1,0))*OFFSET('Gastos com Pessoal'!$H$512,1,MATCH(4&amp;$B50,'Gastos com Pessoal'!$I$532:$AJ$532&amp;'Gastos com Pessoal'!$I$512:$AJ$512,0),10,1)),0)+_xlfn.IFNA(SUM((AJ$3&gt;='Gastos com Pessoal'!$E$513:$E$522)*(AJ$3&lt;='Gastos com Pessoal'!$F$513:$F$522)*(IF('Gastos com Pessoal'!$AE$513:$AE$522&lt;=AJ$3,1,0))*OFFSET('Gastos com Pessoal'!$H$512,1,MATCH(5&amp;$B50,'Gastos com Pessoal'!$I$532:$AJ$532&amp;'Gastos com Pessoal'!$I$512:$AJ$512,0),10,1)),0)</f>
        <v>15353.279999999959</v>
      </c>
      <c r="AK50" s="188">
        <f t="array" aca="1" ref="AK50" ca="1">_xlfn.IFNA(SUM((AK$3&gt;='Gastos com Pessoal'!$E$7:$E$506)*(AK$3&lt;='Gastos com Pessoal'!$F$7:$F$506)*OFFSET('Encargos e Benefícios'!$D$5,1,MATCH($B50,'Encargos e Benefícios'!$E$5:$AB$5,0),500,1)),0)+_xlfn.IFNA(SUM((AK$3&gt;='Gastos com Pessoal'!$E$513:$E$522)*(AK$3&lt;='Gastos com Pessoal'!$F$513:$F$522)*OFFSET('Encargos e Benefícios'!$D$511,1,MATCH($B50,'Encargos e Benefícios'!$E$511:$AB$511,0),10,1)),0)+_xlfn.IFNA(SUM((AK$3&gt;='Gastos com Pessoal'!$E$7:$E$506)*(AK$3&lt;='Gastos com Pessoal'!$F$7:$F$506)*(IF('Gastos com Pessoal'!$G$7:$G$506&lt;=AK$3,1,0))*OFFSET('Gastos com Pessoal'!$H$6,1,MATCH(1&amp;$B50,'Gastos com Pessoal'!$I$532:$AJ$532&amp;'Gastos com Pessoal'!$I$6:$AJ$6,0),500,1)),0)+_xlfn.IFNA(SUM((AK$3&gt;='Gastos com Pessoal'!$E$7:$E$506)*(AK$3&lt;='Gastos com Pessoal'!$F$7:$F$506)*(IF('Gastos com Pessoal'!$M$7:$M$506&lt;=AK$3,1,0))*OFFSET('Gastos com Pessoal'!$H$6,1,MATCH(2&amp;$B50,'Gastos com Pessoal'!$I$532:$AJ$532&amp;'Gastos com Pessoal'!$I$6:$AJ$6,0),500,1)),0)+_xlfn.IFNA(SUM((AK$3&gt;='Gastos com Pessoal'!$E$7:$E$506)*(AK$3&lt;='Gastos com Pessoal'!$F$7:$F$506)*(IF('Gastos com Pessoal'!$S$7:$S$506&lt;=AK$3,1,0))*OFFSET('Gastos com Pessoal'!$H$6,1,MATCH(3&amp;$B50,'Gastos com Pessoal'!$I$532:$AJ$532&amp;'Gastos com Pessoal'!$I$6:$AJ$6,0),500,1)),0)+_xlfn.IFNA(SUM((AK$3&gt;='Gastos com Pessoal'!$E$7:$E$506)*(AK$3&lt;='Gastos com Pessoal'!$F$7:$F$506)*(IF('Gastos com Pessoal'!$Y$7:$Y$506&lt;=AK$3,1,0))*OFFSET('Gastos com Pessoal'!$H$6,1,MATCH(4&amp;$B50,'Gastos com Pessoal'!$I$532:$AJ$532&amp;'Gastos com Pessoal'!$I$6:$AJ$6,0),500,1)),0)+_xlfn.IFNA(SUM((AK$3&gt;='Gastos com Pessoal'!$E$7:$E$506)*(AK$3&lt;='Gastos com Pessoal'!$F$7:$F$506)*(IF('Gastos com Pessoal'!$AE$7:$AE$506&lt;=AK$3,1,0))*OFFSET('Gastos com Pessoal'!$H$6,1,MATCH(5&amp;$B50,'Gastos com Pessoal'!$I$532:$AJ$532&amp;'Gastos com Pessoal'!$I$6:$AJ$6,0),500,1)),0)+_xlfn.IFNA(SUM((AK$3&gt;='Gastos com Pessoal'!$E$513:$E$522)*(AK$3&lt;='Gastos com Pessoal'!$F$513:$F$522)*(IF('Gastos com Pessoal'!$G$513:$G$522&lt;=AK$3,1,0))*OFFSET('Gastos com Pessoal'!$H$512,1,MATCH(1&amp;$B50,'Gastos com Pessoal'!$I$532:$AJ$532&amp;'Gastos com Pessoal'!$I$512:$AJ$512,0),10,1)),0)+_xlfn.IFNA(SUM((AK$3&gt;='Gastos com Pessoal'!$E$513:$E$522)*(AK$3&lt;='Gastos com Pessoal'!$F$513:$F$522)*(IF('Gastos com Pessoal'!$M$513:$M$522&lt;=AK$3,1,0))*OFFSET('Gastos com Pessoal'!$H$512,1,MATCH(2&amp;$B50,'Gastos com Pessoal'!$I$532:$AJ$532&amp;'Gastos com Pessoal'!$I$512:$AJ$512,0),10,1)),0)+_xlfn.IFNA(SUM((AK$3&gt;='Gastos com Pessoal'!$E$513:$E$522)*(AK$3&lt;='Gastos com Pessoal'!$F$513:$F$522)*(IF('Gastos com Pessoal'!$S$513:$S$522&lt;=AK$3,1,0))*OFFSET('Gastos com Pessoal'!$H$512,1,MATCH(3&amp;$B50,'Gastos com Pessoal'!$I$532:$AJ$532&amp;'Gastos com Pessoal'!$I$512:$AJ$512,0),10,1)),0)+_xlfn.IFNA(SUM((AK$3&gt;='Gastos com Pessoal'!$E$513:$E$522)*(AK$3&lt;='Gastos com Pessoal'!$F$513:$F$522)*(IF('Gastos com Pessoal'!$Y$513:$Y$522&lt;=AK$3,1,0))*OFFSET('Gastos com Pessoal'!$H$512,1,MATCH(4&amp;$B50,'Gastos com Pessoal'!$I$532:$AJ$532&amp;'Gastos com Pessoal'!$I$512:$AJ$512,0),10,1)),0)+_xlfn.IFNA(SUM((AK$3&gt;='Gastos com Pessoal'!$E$513:$E$522)*(AK$3&lt;='Gastos com Pessoal'!$F$513:$F$522)*(IF('Gastos com Pessoal'!$AE$513:$AE$522&lt;=AK$3,1,0))*OFFSET('Gastos com Pessoal'!$H$512,1,MATCH(5&amp;$B50,'Gastos com Pessoal'!$I$532:$AJ$532&amp;'Gastos com Pessoal'!$I$512:$AJ$512,0),10,1)),0)</f>
        <v>15353.279999999959</v>
      </c>
      <c r="AL50" s="188">
        <f t="array" aca="1" ref="AL50" ca="1">_xlfn.IFNA(SUM((AL$3&gt;='Gastos com Pessoal'!$E$7:$E$506)*(AL$3&lt;='Gastos com Pessoal'!$F$7:$F$506)*OFFSET('Encargos e Benefícios'!$D$5,1,MATCH($B50,'Encargos e Benefícios'!$E$5:$AB$5,0),500,1)),0)+_xlfn.IFNA(SUM((AL$3&gt;='Gastos com Pessoal'!$E$513:$E$522)*(AL$3&lt;='Gastos com Pessoal'!$F$513:$F$522)*OFFSET('Encargos e Benefícios'!$D$511,1,MATCH($B50,'Encargos e Benefícios'!$E$511:$AB$511,0),10,1)),0)+_xlfn.IFNA(SUM((AL$3&gt;='Gastos com Pessoal'!$E$7:$E$506)*(AL$3&lt;='Gastos com Pessoal'!$F$7:$F$506)*(IF('Gastos com Pessoal'!$G$7:$G$506&lt;=AL$3,1,0))*OFFSET('Gastos com Pessoal'!$H$6,1,MATCH(1&amp;$B50,'Gastos com Pessoal'!$I$532:$AJ$532&amp;'Gastos com Pessoal'!$I$6:$AJ$6,0),500,1)),0)+_xlfn.IFNA(SUM((AL$3&gt;='Gastos com Pessoal'!$E$7:$E$506)*(AL$3&lt;='Gastos com Pessoal'!$F$7:$F$506)*(IF('Gastos com Pessoal'!$M$7:$M$506&lt;=AL$3,1,0))*OFFSET('Gastos com Pessoal'!$H$6,1,MATCH(2&amp;$B50,'Gastos com Pessoal'!$I$532:$AJ$532&amp;'Gastos com Pessoal'!$I$6:$AJ$6,0),500,1)),0)+_xlfn.IFNA(SUM((AL$3&gt;='Gastos com Pessoal'!$E$7:$E$506)*(AL$3&lt;='Gastos com Pessoal'!$F$7:$F$506)*(IF('Gastos com Pessoal'!$S$7:$S$506&lt;=AL$3,1,0))*OFFSET('Gastos com Pessoal'!$H$6,1,MATCH(3&amp;$B50,'Gastos com Pessoal'!$I$532:$AJ$532&amp;'Gastos com Pessoal'!$I$6:$AJ$6,0),500,1)),0)+_xlfn.IFNA(SUM((AL$3&gt;='Gastos com Pessoal'!$E$7:$E$506)*(AL$3&lt;='Gastos com Pessoal'!$F$7:$F$506)*(IF('Gastos com Pessoal'!$Y$7:$Y$506&lt;=AL$3,1,0))*OFFSET('Gastos com Pessoal'!$H$6,1,MATCH(4&amp;$B50,'Gastos com Pessoal'!$I$532:$AJ$532&amp;'Gastos com Pessoal'!$I$6:$AJ$6,0),500,1)),0)+_xlfn.IFNA(SUM((AL$3&gt;='Gastos com Pessoal'!$E$7:$E$506)*(AL$3&lt;='Gastos com Pessoal'!$F$7:$F$506)*(IF('Gastos com Pessoal'!$AE$7:$AE$506&lt;=AL$3,1,0))*OFFSET('Gastos com Pessoal'!$H$6,1,MATCH(5&amp;$B50,'Gastos com Pessoal'!$I$532:$AJ$532&amp;'Gastos com Pessoal'!$I$6:$AJ$6,0),500,1)),0)+_xlfn.IFNA(SUM((AL$3&gt;='Gastos com Pessoal'!$E$513:$E$522)*(AL$3&lt;='Gastos com Pessoal'!$F$513:$F$522)*(IF('Gastos com Pessoal'!$G$513:$G$522&lt;=AL$3,1,0))*OFFSET('Gastos com Pessoal'!$H$512,1,MATCH(1&amp;$B50,'Gastos com Pessoal'!$I$532:$AJ$532&amp;'Gastos com Pessoal'!$I$512:$AJ$512,0),10,1)),0)+_xlfn.IFNA(SUM((AL$3&gt;='Gastos com Pessoal'!$E$513:$E$522)*(AL$3&lt;='Gastos com Pessoal'!$F$513:$F$522)*(IF('Gastos com Pessoal'!$M$513:$M$522&lt;=AL$3,1,0))*OFFSET('Gastos com Pessoal'!$H$512,1,MATCH(2&amp;$B50,'Gastos com Pessoal'!$I$532:$AJ$532&amp;'Gastos com Pessoal'!$I$512:$AJ$512,0),10,1)),0)+_xlfn.IFNA(SUM((AL$3&gt;='Gastos com Pessoal'!$E$513:$E$522)*(AL$3&lt;='Gastos com Pessoal'!$F$513:$F$522)*(IF('Gastos com Pessoal'!$S$513:$S$522&lt;=AL$3,1,0))*OFFSET('Gastos com Pessoal'!$H$512,1,MATCH(3&amp;$B50,'Gastos com Pessoal'!$I$532:$AJ$532&amp;'Gastos com Pessoal'!$I$512:$AJ$512,0),10,1)),0)+_xlfn.IFNA(SUM((AL$3&gt;='Gastos com Pessoal'!$E$513:$E$522)*(AL$3&lt;='Gastos com Pessoal'!$F$513:$F$522)*(IF('Gastos com Pessoal'!$Y$513:$Y$522&lt;=AL$3,1,0))*OFFSET('Gastos com Pessoal'!$H$512,1,MATCH(4&amp;$B50,'Gastos com Pessoal'!$I$532:$AJ$532&amp;'Gastos com Pessoal'!$I$512:$AJ$512,0),10,1)),0)+_xlfn.IFNA(SUM((AL$3&gt;='Gastos com Pessoal'!$E$513:$E$522)*(AL$3&lt;='Gastos com Pessoal'!$F$513:$F$522)*(IF('Gastos com Pessoal'!$AE$513:$AE$522&lt;=AL$3,1,0))*OFFSET('Gastos com Pessoal'!$H$512,1,MATCH(5&amp;$B50,'Gastos com Pessoal'!$I$532:$AJ$532&amp;'Gastos com Pessoal'!$I$512:$AJ$512,0),10,1)),0)</f>
        <v>15353.279999999959</v>
      </c>
      <c r="AM50" s="188">
        <f t="array" aca="1" ref="AM50" ca="1">_xlfn.IFNA(SUM((AM$3&gt;='Gastos com Pessoal'!$E$7:$E$506)*(AM$3&lt;='Gastos com Pessoal'!$F$7:$F$506)*OFFSET('Encargos e Benefícios'!$D$5,1,MATCH($B50,'Encargos e Benefícios'!$E$5:$AB$5,0),500,1)),0)+_xlfn.IFNA(SUM((AM$3&gt;='Gastos com Pessoal'!$E$513:$E$522)*(AM$3&lt;='Gastos com Pessoal'!$F$513:$F$522)*OFFSET('Encargos e Benefícios'!$D$511,1,MATCH($B50,'Encargos e Benefícios'!$E$511:$AB$511,0),10,1)),0)+_xlfn.IFNA(SUM((AM$3&gt;='Gastos com Pessoal'!$E$7:$E$506)*(AM$3&lt;='Gastos com Pessoal'!$F$7:$F$506)*(IF('Gastos com Pessoal'!$G$7:$G$506&lt;=AM$3,1,0))*OFFSET('Gastos com Pessoal'!$H$6,1,MATCH(1&amp;$B50,'Gastos com Pessoal'!$I$532:$AJ$532&amp;'Gastos com Pessoal'!$I$6:$AJ$6,0),500,1)),0)+_xlfn.IFNA(SUM((AM$3&gt;='Gastos com Pessoal'!$E$7:$E$506)*(AM$3&lt;='Gastos com Pessoal'!$F$7:$F$506)*(IF('Gastos com Pessoal'!$M$7:$M$506&lt;=AM$3,1,0))*OFFSET('Gastos com Pessoal'!$H$6,1,MATCH(2&amp;$B50,'Gastos com Pessoal'!$I$532:$AJ$532&amp;'Gastos com Pessoal'!$I$6:$AJ$6,0),500,1)),0)+_xlfn.IFNA(SUM((AM$3&gt;='Gastos com Pessoal'!$E$7:$E$506)*(AM$3&lt;='Gastos com Pessoal'!$F$7:$F$506)*(IF('Gastos com Pessoal'!$S$7:$S$506&lt;=AM$3,1,0))*OFFSET('Gastos com Pessoal'!$H$6,1,MATCH(3&amp;$B50,'Gastos com Pessoal'!$I$532:$AJ$532&amp;'Gastos com Pessoal'!$I$6:$AJ$6,0),500,1)),0)+_xlfn.IFNA(SUM((AM$3&gt;='Gastos com Pessoal'!$E$7:$E$506)*(AM$3&lt;='Gastos com Pessoal'!$F$7:$F$506)*(IF('Gastos com Pessoal'!$Y$7:$Y$506&lt;=AM$3,1,0))*OFFSET('Gastos com Pessoal'!$H$6,1,MATCH(4&amp;$B50,'Gastos com Pessoal'!$I$532:$AJ$532&amp;'Gastos com Pessoal'!$I$6:$AJ$6,0),500,1)),0)+_xlfn.IFNA(SUM((AM$3&gt;='Gastos com Pessoal'!$E$7:$E$506)*(AM$3&lt;='Gastos com Pessoal'!$F$7:$F$506)*(IF('Gastos com Pessoal'!$AE$7:$AE$506&lt;=AM$3,1,0))*OFFSET('Gastos com Pessoal'!$H$6,1,MATCH(5&amp;$B50,'Gastos com Pessoal'!$I$532:$AJ$532&amp;'Gastos com Pessoal'!$I$6:$AJ$6,0),500,1)),0)+_xlfn.IFNA(SUM((AM$3&gt;='Gastos com Pessoal'!$E$513:$E$522)*(AM$3&lt;='Gastos com Pessoal'!$F$513:$F$522)*(IF('Gastos com Pessoal'!$G$513:$G$522&lt;=AM$3,1,0))*OFFSET('Gastos com Pessoal'!$H$512,1,MATCH(1&amp;$B50,'Gastos com Pessoal'!$I$532:$AJ$532&amp;'Gastos com Pessoal'!$I$512:$AJ$512,0),10,1)),0)+_xlfn.IFNA(SUM((AM$3&gt;='Gastos com Pessoal'!$E$513:$E$522)*(AM$3&lt;='Gastos com Pessoal'!$F$513:$F$522)*(IF('Gastos com Pessoal'!$M$513:$M$522&lt;=AM$3,1,0))*OFFSET('Gastos com Pessoal'!$H$512,1,MATCH(2&amp;$B50,'Gastos com Pessoal'!$I$532:$AJ$532&amp;'Gastos com Pessoal'!$I$512:$AJ$512,0),10,1)),0)+_xlfn.IFNA(SUM((AM$3&gt;='Gastos com Pessoal'!$E$513:$E$522)*(AM$3&lt;='Gastos com Pessoal'!$F$513:$F$522)*(IF('Gastos com Pessoal'!$S$513:$S$522&lt;=AM$3,1,0))*OFFSET('Gastos com Pessoal'!$H$512,1,MATCH(3&amp;$B50,'Gastos com Pessoal'!$I$532:$AJ$532&amp;'Gastos com Pessoal'!$I$512:$AJ$512,0),10,1)),0)+_xlfn.IFNA(SUM((AM$3&gt;='Gastos com Pessoal'!$E$513:$E$522)*(AM$3&lt;='Gastos com Pessoal'!$F$513:$F$522)*(IF('Gastos com Pessoal'!$Y$513:$Y$522&lt;=AM$3,1,0))*OFFSET('Gastos com Pessoal'!$H$512,1,MATCH(4&amp;$B50,'Gastos com Pessoal'!$I$532:$AJ$532&amp;'Gastos com Pessoal'!$I$512:$AJ$512,0),10,1)),0)+_xlfn.IFNA(SUM((AM$3&gt;='Gastos com Pessoal'!$E$513:$E$522)*(AM$3&lt;='Gastos com Pessoal'!$F$513:$F$522)*(IF('Gastos com Pessoal'!$AE$513:$AE$522&lt;=AM$3,1,0))*OFFSET('Gastos com Pessoal'!$H$512,1,MATCH(5&amp;$B50,'Gastos com Pessoal'!$I$532:$AJ$532&amp;'Gastos com Pessoal'!$I$512:$AJ$512,0),10,1)),0)</f>
        <v>15353.279999999959</v>
      </c>
      <c r="AN50" s="188">
        <f t="array" aca="1" ref="AN50" ca="1">_xlfn.IFNA(SUM((AN$3&gt;='Gastos com Pessoal'!$E$7:$E$506)*(AN$3&lt;='Gastos com Pessoal'!$F$7:$F$506)*OFFSET('Encargos e Benefícios'!$D$5,1,MATCH($B50,'Encargos e Benefícios'!$E$5:$AB$5,0),500,1)),0)+_xlfn.IFNA(SUM((AN$3&gt;='Gastos com Pessoal'!$E$513:$E$522)*(AN$3&lt;='Gastos com Pessoal'!$F$513:$F$522)*OFFSET('Encargos e Benefícios'!$D$511,1,MATCH($B50,'Encargos e Benefícios'!$E$511:$AB$511,0),10,1)),0)+_xlfn.IFNA(SUM((AN$3&gt;='Gastos com Pessoal'!$E$7:$E$506)*(AN$3&lt;='Gastos com Pessoal'!$F$7:$F$506)*(IF('Gastos com Pessoal'!$G$7:$G$506&lt;=AN$3,1,0))*OFFSET('Gastos com Pessoal'!$H$6,1,MATCH(1&amp;$B50,'Gastos com Pessoal'!$I$532:$AJ$532&amp;'Gastos com Pessoal'!$I$6:$AJ$6,0),500,1)),0)+_xlfn.IFNA(SUM((AN$3&gt;='Gastos com Pessoal'!$E$7:$E$506)*(AN$3&lt;='Gastos com Pessoal'!$F$7:$F$506)*(IF('Gastos com Pessoal'!$M$7:$M$506&lt;=AN$3,1,0))*OFFSET('Gastos com Pessoal'!$H$6,1,MATCH(2&amp;$B50,'Gastos com Pessoal'!$I$532:$AJ$532&amp;'Gastos com Pessoal'!$I$6:$AJ$6,0),500,1)),0)+_xlfn.IFNA(SUM((AN$3&gt;='Gastos com Pessoal'!$E$7:$E$506)*(AN$3&lt;='Gastos com Pessoal'!$F$7:$F$506)*(IF('Gastos com Pessoal'!$S$7:$S$506&lt;=AN$3,1,0))*OFFSET('Gastos com Pessoal'!$H$6,1,MATCH(3&amp;$B50,'Gastos com Pessoal'!$I$532:$AJ$532&amp;'Gastos com Pessoal'!$I$6:$AJ$6,0),500,1)),0)+_xlfn.IFNA(SUM((AN$3&gt;='Gastos com Pessoal'!$E$7:$E$506)*(AN$3&lt;='Gastos com Pessoal'!$F$7:$F$506)*(IF('Gastos com Pessoal'!$Y$7:$Y$506&lt;=AN$3,1,0))*OFFSET('Gastos com Pessoal'!$H$6,1,MATCH(4&amp;$B50,'Gastos com Pessoal'!$I$532:$AJ$532&amp;'Gastos com Pessoal'!$I$6:$AJ$6,0),500,1)),0)+_xlfn.IFNA(SUM((AN$3&gt;='Gastos com Pessoal'!$E$7:$E$506)*(AN$3&lt;='Gastos com Pessoal'!$F$7:$F$506)*(IF('Gastos com Pessoal'!$AE$7:$AE$506&lt;=AN$3,1,0))*OFFSET('Gastos com Pessoal'!$H$6,1,MATCH(5&amp;$B50,'Gastos com Pessoal'!$I$532:$AJ$532&amp;'Gastos com Pessoal'!$I$6:$AJ$6,0),500,1)),0)+_xlfn.IFNA(SUM((AN$3&gt;='Gastos com Pessoal'!$E$513:$E$522)*(AN$3&lt;='Gastos com Pessoal'!$F$513:$F$522)*(IF('Gastos com Pessoal'!$G$513:$G$522&lt;=AN$3,1,0))*OFFSET('Gastos com Pessoal'!$H$512,1,MATCH(1&amp;$B50,'Gastos com Pessoal'!$I$532:$AJ$532&amp;'Gastos com Pessoal'!$I$512:$AJ$512,0),10,1)),0)+_xlfn.IFNA(SUM((AN$3&gt;='Gastos com Pessoal'!$E$513:$E$522)*(AN$3&lt;='Gastos com Pessoal'!$F$513:$F$522)*(IF('Gastos com Pessoal'!$M$513:$M$522&lt;=AN$3,1,0))*OFFSET('Gastos com Pessoal'!$H$512,1,MATCH(2&amp;$B50,'Gastos com Pessoal'!$I$532:$AJ$532&amp;'Gastos com Pessoal'!$I$512:$AJ$512,0),10,1)),0)+_xlfn.IFNA(SUM((AN$3&gt;='Gastos com Pessoal'!$E$513:$E$522)*(AN$3&lt;='Gastos com Pessoal'!$F$513:$F$522)*(IF('Gastos com Pessoal'!$S$513:$S$522&lt;=AN$3,1,0))*OFFSET('Gastos com Pessoal'!$H$512,1,MATCH(3&amp;$B50,'Gastos com Pessoal'!$I$532:$AJ$532&amp;'Gastos com Pessoal'!$I$512:$AJ$512,0),10,1)),0)+_xlfn.IFNA(SUM((AN$3&gt;='Gastos com Pessoal'!$E$513:$E$522)*(AN$3&lt;='Gastos com Pessoal'!$F$513:$F$522)*(IF('Gastos com Pessoal'!$Y$513:$Y$522&lt;=AN$3,1,0))*OFFSET('Gastos com Pessoal'!$H$512,1,MATCH(4&amp;$B50,'Gastos com Pessoal'!$I$532:$AJ$532&amp;'Gastos com Pessoal'!$I$512:$AJ$512,0),10,1)),0)+_xlfn.IFNA(SUM((AN$3&gt;='Gastos com Pessoal'!$E$513:$E$522)*(AN$3&lt;='Gastos com Pessoal'!$F$513:$F$522)*(IF('Gastos com Pessoal'!$AE$513:$AE$522&lt;=AN$3,1,0))*OFFSET('Gastos com Pessoal'!$H$512,1,MATCH(5&amp;$B50,'Gastos com Pessoal'!$I$532:$AJ$532&amp;'Gastos com Pessoal'!$I$512:$AJ$512,0),10,1)),0)</f>
        <v>15353.279999999959</v>
      </c>
      <c r="AO50" s="188">
        <f t="array" aca="1" ref="AO50" ca="1">_xlfn.IFNA(SUM((AO$3&gt;='Gastos com Pessoal'!$E$7:$E$506)*(AO$3&lt;='Gastos com Pessoal'!$F$7:$F$506)*OFFSET('Encargos e Benefícios'!$D$5,1,MATCH($B50,'Encargos e Benefícios'!$E$5:$AB$5,0),500,1)),0)+_xlfn.IFNA(SUM((AO$3&gt;='Gastos com Pessoal'!$E$513:$E$522)*(AO$3&lt;='Gastos com Pessoal'!$F$513:$F$522)*OFFSET('Encargos e Benefícios'!$D$511,1,MATCH($B50,'Encargos e Benefícios'!$E$511:$AB$511,0),10,1)),0)+_xlfn.IFNA(SUM((AO$3&gt;='Gastos com Pessoal'!$E$7:$E$506)*(AO$3&lt;='Gastos com Pessoal'!$F$7:$F$506)*(IF('Gastos com Pessoal'!$G$7:$G$506&lt;=AO$3,1,0))*OFFSET('Gastos com Pessoal'!$H$6,1,MATCH(1&amp;$B50,'Gastos com Pessoal'!$I$532:$AJ$532&amp;'Gastos com Pessoal'!$I$6:$AJ$6,0),500,1)),0)+_xlfn.IFNA(SUM((AO$3&gt;='Gastos com Pessoal'!$E$7:$E$506)*(AO$3&lt;='Gastos com Pessoal'!$F$7:$F$506)*(IF('Gastos com Pessoal'!$M$7:$M$506&lt;=AO$3,1,0))*OFFSET('Gastos com Pessoal'!$H$6,1,MATCH(2&amp;$B50,'Gastos com Pessoal'!$I$532:$AJ$532&amp;'Gastos com Pessoal'!$I$6:$AJ$6,0),500,1)),0)+_xlfn.IFNA(SUM((AO$3&gt;='Gastos com Pessoal'!$E$7:$E$506)*(AO$3&lt;='Gastos com Pessoal'!$F$7:$F$506)*(IF('Gastos com Pessoal'!$S$7:$S$506&lt;=AO$3,1,0))*OFFSET('Gastos com Pessoal'!$H$6,1,MATCH(3&amp;$B50,'Gastos com Pessoal'!$I$532:$AJ$532&amp;'Gastos com Pessoal'!$I$6:$AJ$6,0),500,1)),0)+_xlfn.IFNA(SUM((AO$3&gt;='Gastos com Pessoal'!$E$7:$E$506)*(AO$3&lt;='Gastos com Pessoal'!$F$7:$F$506)*(IF('Gastos com Pessoal'!$Y$7:$Y$506&lt;=AO$3,1,0))*OFFSET('Gastos com Pessoal'!$H$6,1,MATCH(4&amp;$B50,'Gastos com Pessoal'!$I$532:$AJ$532&amp;'Gastos com Pessoal'!$I$6:$AJ$6,0),500,1)),0)+_xlfn.IFNA(SUM((AO$3&gt;='Gastos com Pessoal'!$E$7:$E$506)*(AO$3&lt;='Gastos com Pessoal'!$F$7:$F$506)*(IF('Gastos com Pessoal'!$AE$7:$AE$506&lt;=AO$3,1,0))*OFFSET('Gastos com Pessoal'!$H$6,1,MATCH(5&amp;$B50,'Gastos com Pessoal'!$I$532:$AJ$532&amp;'Gastos com Pessoal'!$I$6:$AJ$6,0),500,1)),0)+_xlfn.IFNA(SUM((AO$3&gt;='Gastos com Pessoal'!$E$513:$E$522)*(AO$3&lt;='Gastos com Pessoal'!$F$513:$F$522)*(IF('Gastos com Pessoal'!$G$513:$G$522&lt;=AO$3,1,0))*OFFSET('Gastos com Pessoal'!$H$512,1,MATCH(1&amp;$B50,'Gastos com Pessoal'!$I$532:$AJ$532&amp;'Gastos com Pessoal'!$I$512:$AJ$512,0),10,1)),0)+_xlfn.IFNA(SUM((AO$3&gt;='Gastos com Pessoal'!$E$513:$E$522)*(AO$3&lt;='Gastos com Pessoal'!$F$513:$F$522)*(IF('Gastos com Pessoal'!$M$513:$M$522&lt;=AO$3,1,0))*OFFSET('Gastos com Pessoal'!$H$512,1,MATCH(2&amp;$B50,'Gastos com Pessoal'!$I$532:$AJ$532&amp;'Gastos com Pessoal'!$I$512:$AJ$512,0),10,1)),0)+_xlfn.IFNA(SUM((AO$3&gt;='Gastos com Pessoal'!$E$513:$E$522)*(AO$3&lt;='Gastos com Pessoal'!$F$513:$F$522)*(IF('Gastos com Pessoal'!$S$513:$S$522&lt;=AO$3,1,0))*OFFSET('Gastos com Pessoal'!$H$512,1,MATCH(3&amp;$B50,'Gastos com Pessoal'!$I$532:$AJ$532&amp;'Gastos com Pessoal'!$I$512:$AJ$512,0),10,1)),0)+_xlfn.IFNA(SUM((AO$3&gt;='Gastos com Pessoal'!$E$513:$E$522)*(AO$3&lt;='Gastos com Pessoal'!$F$513:$F$522)*(IF('Gastos com Pessoal'!$Y$513:$Y$522&lt;=AO$3,1,0))*OFFSET('Gastos com Pessoal'!$H$512,1,MATCH(4&amp;$B50,'Gastos com Pessoal'!$I$532:$AJ$532&amp;'Gastos com Pessoal'!$I$512:$AJ$512,0),10,1)),0)+_xlfn.IFNA(SUM((AO$3&gt;='Gastos com Pessoal'!$E$513:$E$522)*(AO$3&lt;='Gastos com Pessoal'!$F$513:$F$522)*(IF('Gastos com Pessoal'!$AE$513:$AE$522&lt;=AO$3,1,0))*OFFSET('Gastos com Pessoal'!$H$512,1,MATCH(5&amp;$B50,'Gastos com Pessoal'!$I$532:$AJ$532&amp;'Gastos com Pessoal'!$I$512:$AJ$512,0),10,1)),0)</f>
        <v>15353.279999999959</v>
      </c>
      <c r="AP50" s="188">
        <f t="array" aca="1" ref="AP50" ca="1">_xlfn.IFNA(SUM((AP$3&gt;='Gastos com Pessoal'!$E$7:$E$506)*(AP$3&lt;='Gastos com Pessoal'!$F$7:$F$506)*OFFSET('Encargos e Benefícios'!$D$5,1,MATCH($B50,'Encargos e Benefícios'!$E$5:$AB$5,0),500,1)),0)+_xlfn.IFNA(SUM((AP$3&gt;='Gastos com Pessoal'!$E$513:$E$522)*(AP$3&lt;='Gastos com Pessoal'!$F$513:$F$522)*OFFSET('Encargos e Benefícios'!$D$511,1,MATCH($B50,'Encargos e Benefícios'!$E$511:$AB$511,0),10,1)),0)+_xlfn.IFNA(SUM((AP$3&gt;='Gastos com Pessoal'!$E$7:$E$506)*(AP$3&lt;='Gastos com Pessoal'!$F$7:$F$506)*(IF('Gastos com Pessoal'!$G$7:$G$506&lt;=AP$3,1,0))*OFFSET('Gastos com Pessoal'!$H$6,1,MATCH(1&amp;$B50,'Gastos com Pessoal'!$I$532:$AJ$532&amp;'Gastos com Pessoal'!$I$6:$AJ$6,0),500,1)),0)+_xlfn.IFNA(SUM((AP$3&gt;='Gastos com Pessoal'!$E$7:$E$506)*(AP$3&lt;='Gastos com Pessoal'!$F$7:$F$506)*(IF('Gastos com Pessoal'!$M$7:$M$506&lt;=AP$3,1,0))*OFFSET('Gastos com Pessoal'!$H$6,1,MATCH(2&amp;$B50,'Gastos com Pessoal'!$I$532:$AJ$532&amp;'Gastos com Pessoal'!$I$6:$AJ$6,0),500,1)),0)+_xlfn.IFNA(SUM((AP$3&gt;='Gastos com Pessoal'!$E$7:$E$506)*(AP$3&lt;='Gastos com Pessoal'!$F$7:$F$506)*(IF('Gastos com Pessoal'!$S$7:$S$506&lt;=AP$3,1,0))*OFFSET('Gastos com Pessoal'!$H$6,1,MATCH(3&amp;$B50,'Gastos com Pessoal'!$I$532:$AJ$532&amp;'Gastos com Pessoal'!$I$6:$AJ$6,0),500,1)),0)+_xlfn.IFNA(SUM((AP$3&gt;='Gastos com Pessoal'!$E$7:$E$506)*(AP$3&lt;='Gastos com Pessoal'!$F$7:$F$506)*(IF('Gastos com Pessoal'!$Y$7:$Y$506&lt;=AP$3,1,0))*OFFSET('Gastos com Pessoal'!$H$6,1,MATCH(4&amp;$B50,'Gastos com Pessoal'!$I$532:$AJ$532&amp;'Gastos com Pessoal'!$I$6:$AJ$6,0),500,1)),0)+_xlfn.IFNA(SUM((AP$3&gt;='Gastos com Pessoal'!$E$7:$E$506)*(AP$3&lt;='Gastos com Pessoal'!$F$7:$F$506)*(IF('Gastos com Pessoal'!$AE$7:$AE$506&lt;=AP$3,1,0))*OFFSET('Gastos com Pessoal'!$H$6,1,MATCH(5&amp;$B50,'Gastos com Pessoal'!$I$532:$AJ$532&amp;'Gastos com Pessoal'!$I$6:$AJ$6,0),500,1)),0)+_xlfn.IFNA(SUM((AP$3&gt;='Gastos com Pessoal'!$E$513:$E$522)*(AP$3&lt;='Gastos com Pessoal'!$F$513:$F$522)*(IF('Gastos com Pessoal'!$G$513:$G$522&lt;=AP$3,1,0))*OFFSET('Gastos com Pessoal'!$H$512,1,MATCH(1&amp;$B50,'Gastos com Pessoal'!$I$532:$AJ$532&amp;'Gastos com Pessoal'!$I$512:$AJ$512,0),10,1)),0)+_xlfn.IFNA(SUM((AP$3&gt;='Gastos com Pessoal'!$E$513:$E$522)*(AP$3&lt;='Gastos com Pessoal'!$F$513:$F$522)*(IF('Gastos com Pessoal'!$M$513:$M$522&lt;=AP$3,1,0))*OFFSET('Gastos com Pessoal'!$H$512,1,MATCH(2&amp;$B50,'Gastos com Pessoal'!$I$532:$AJ$532&amp;'Gastos com Pessoal'!$I$512:$AJ$512,0),10,1)),0)+_xlfn.IFNA(SUM((AP$3&gt;='Gastos com Pessoal'!$E$513:$E$522)*(AP$3&lt;='Gastos com Pessoal'!$F$513:$F$522)*(IF('Gastos com Pessoal'!$S$513:$S$522&lt;=AP$3,1,0))*OFFSET('Gastos com Pessoal'!$H$512,1,MATCH(3&amp;$B50,'Gastos com Pessoal'!$I$532:$AJ$532&amp;'Gastos com Pessoal'!$I$512:$AJ$512,0),10,1)),0)+_xlfn.IFNA(SUM((AP$3&gt;='Gastos com Pessoal'!$E$513:$E$522)*(AP$3&lt;='Gastos com Pessoal'!$F$513:$F$522)*(IF('Gastos com Pessoal'!$Y$513:$Y$522&lt;=AP$3,1,0))*OFFSET('Gastos com Pessoal'!$H$512,1,MATCH(4&amp;$B50,'Gastos com Pessoal'!$I$532:$AJ$532&amp;'Gastos com Pessoal'!$I$512:$AJ$512,0),10,1)),0)+_xlfn.IFNA(SUM((AP$3&gt;='Gastos com Pessoal'!$E$513:$E$522)*(AP$3&lt;='Gastos com Pessoal'!$F$513:$F$522)*(IF('Gastos com Pessoal'!$AE$513:$AE$522&lt;=AP$3,1,0))*OFFSET('Gastos com Pessoal'!$H$512,1,MATCH(5&amp;$B50,'Gastos com Pessoal'!$I$532:$AJ$532&amp;'Gastos com Pessoal'!$I$512:$AJ$512,0),10,1)),0)</f>
        <v>15353.279999999959</v>
      </c>
      <c r="AQ50" s="188">
        <f t="array" aca="1" ref="AQ50" ca="1">_xlfn.IFNA(SUM((AQ$3&gt;='Gastos com Pessoal'!$E$7:$E$506)*(AQ$3&lt;='Gastos com Pessoal'!$F$7:$F$506)*OFFSET('Encargos e Benefícios'!$D$5,1,MATCH($B50,'Encargos e Benefícios'!$E$5:$AB$5,0),500,1)),0)+_xlfn.IFNA(SUM((AQ$3&gt;='Gastos com Pessoal'!$E$513:$E$522)*(AQ$3&lt;='Gastos com Pessoal'!$F$513:$F$522)*OFFSET('Encargos e Benefícios'!$D$511,1,MATCH($B50,'Encargos e Benefícios'!$E$511:$AB$511,0),10,1)),0)+_xlfn.IFNA(SUM((AQ$3&gt;='Gastos com Pessoal'!$E$7:$E$506)*(AQ$3&lt;='Gastos com Pessoal'!$F$7:$F$506)*(IF('Gastos com Pessoal'!$G$7:$G$506&lt;=AQ$3,1,0))*OFFSET('Gastos com Pessoal'!$H$6,1,MATCH(1&amp;$B50,'Gastos com Pessoal'!$I$532:$AJ$532&amp;'Gastos com Pessoal'!$I$6:$AJ$6,0),500,1)),0)+_xlfn.IFNA(SUM((AQ$3&gt;='Gastos com Pessoal'!$E$7:$E$506)*(AQ$3&lt;='Gastos com Pessoal'!$F$7:$F$506)*(IF('Gastos com Pessoal'!$M$7:$M$506&lt;=AQ$3,1,0))*OFFSET('Gastos com Pessoal'!$H$6,1,MATCH(2&amp;$B50,'Gastos com Pessoal'!$I$532:$AJ$532&amp;'Gastos com Pessoal'!$I$6:$AJ$6,0),500,1)),0)+_xlfn.IFNA(SUM((AQ$3&gt;='Gastos com Pessoal'!$E$7:$E$506)*(AQ$3&lt;='Gastos com Pessoal'!$F$7:$F$506)*(IF('Gastos com Pessoal'!$S$7:$S$506&lt;=AQ$3,1,0))*OFFSET('Gastos com Pessoal'!$H$6,1,MATCH(3&amp;$B50,'Gastos com Pessoal'!$I$532:$AJ$532&amp;'Gastos com Pessoal'!$I$6:$AJ$6,0),500,1)),0)+_xlfn.IFNA(SUM((AQ$3&gt;='Gastos com Pessoal'!$E$7:$E$506)*(AQ$3&lt;='Gastos com Pessoal'!$F$7:$F$506)*(IF('Gastos com Pessoal'!$Y$7:$Y$506&lt;=AQ$3,1,0))*OFFSET('Gastos com Pessoal'!$H$6,1,MATCH(4&amp;$B50,'Gastos com Pessoal'!$I$532:$AJ$532&amp;'Gastos com Pessoal'!$I$6:$AJ$6,0),500,1)),0)+_xlfn.IFNA(SUM((AQ$3&gt;='Gastos com Pessoal'!$E$7:$E$506)*(AQ$3&lt;='Gastos com Pessoal'!$F$7:$F$506)*(IF('Gastos com Pessoal'!$AE$7:$AE$506&lt;=AQ$3,1,0))*OFFSET('Gastos com Pessoal'!$H$6,1,MATCH(5&amp;$B50,'Gastos com Pessoal'!$I$532:$AJ$532&amp;'Gastos com Pessoal'!$I$6:$AJ$6,0),500,1)),0)+_xlfn.IFNA(SUM((AQ$3&gt;='Gastos com Pessoal'!$E$513:$E$522)*(AQ$3&lt;='Gastos com Pessoal'!$F$513:$F$522)*(IF('Gastos com Pessoal'!$G$513:$G$522&lt;=AQ$3,1,0))*OFFSET('Gastos com Pessoal'!$H$512,1,MATCH(1&amp;$B50,'Gastos com Pessoal'!$I$532:$AJ$532&amp;'Gastos com Pessoal'!$I$512:$AJ$512,0),10,1)),0)+_xlfn.IFNA(SUM((AQ$3&gt;='Gastos com Pessoal'!$E$513:$E$522)*(AQ$3&lt;='Gastos com Pessoal'!$F$513:$F$522)*(IF('Gastos com Pessoal'!$M$513:$M$522&lt;=AQ$3,1,0))*OFFSET('Gastos com Pessoal'!$H$512,1,MATCH(2&amp;$B50,'Gastos com Pessoal'!$I$532:$AJ$532&amp;'Gastos com Pessoal'!$I$512:$AJ$512,0),10,1)),0)+_xlfn.IFNA(SUM((AQ$3&gt;='Gastos com Pessoal'!$E$513:$E$522)*(AQ$3&lt;='Gastos com Pessoal'!$F$513:$F$522)*(IF('Gastos com Pessoal'!$S$513:$S$522&lt;=AQ$3,1,0))*OFFSET('Gastos com Pessoal'!$H$512,1,MATCH(3&amp;$B50,'Gastos com Pessoal'!$I$532:$AJ$532&amp;'Gastos com Pessoal'!$I$512:$AJ$512,0),10,1)),0)+_xlfn.IFNA(SUM((AQ$3&gt;='Gastos com Pessoal'!$E$513:$E$522)*(AQ$3&lt;='Gastos com Pessoal'!$F$513:$F$522)*(IF('Gastos com Pessoal'!$Y$513:$Y$522&lt;=AQ$3,1,0))*OFFSET('Gastos com Pessoal'!$H$512,1,MATCH(4&amp;$B50,'Gastos com Pessoal'!$I$532:$AJ$532&amp;'Gastos com Pessoal'!$I$512:$AJ$512,0),10,1)),0)+_xlfn.IFNA(SUM((AQ$3&gt;='Gastos com Pessoal'!$E$513:$E$522)*(AQ$3&lt;='Gastos com Pessoal'!$F$513:$F$522)*(IF('Gastos com Pessoal'!$AE$513:$AE$522&lt;=AQ$3,1,0))*OFFSET('Gastos com Pessoal'!$H$512,1,MATCH(5&amp;$B50,'Gastos com Pessoal'!$I$532:$AJ$532&amp;'Gastos com Pessoal'!$I$512:$AJ$512,0),10,1)),0)</f>
        <v>15353.279999999959</v>
      </c>
      <c r="AR50" s="188">
        <f t="array" aca="1" ref="AR50" ca="1">_xlfn.IFNA(SUM((AR$3&gt;='Gastos com Pessoal'!$E$7:$E$506)*(AR$3&lt;='Gastos com Pessoal'!$F$7:$F$506)*OFFSET('Encargos e Benefícios'!$D$5,1,MATCH($B50,'Encargos e Benefícios'!$E$5:$AB$5,0),500,1)),0)+_xlfn.IFNA(SUM((AR$3&gt;='Gastos com Pessoal'!$E$513:$E$522)*(AR$3&lt;='Gastos com Pessoal'!$F$513:$F$522)*OFFSET('Encargos e Benefícios'!$D$511,1,MATCH($B50,'Encargos e Benefícios'!$E$511:$AB$511,0),10,1)),0)+_xlfn.IFNA(SUM((AR$3&gt;='Gastos com Pessoal'!$E$7:$E$506)*(AR$3&lt;='Gastos com Pessoal'!$F$7:$F$506)*(IF('Gastos com Pessoal'!$G$7:$G$506&lt;=AR$3,1,0))*OFFSET('Gastos com Pessoal'!$H$6,1,MATCH(1&amp;$B50,'Gastos com Pessoal'!$I$532:$AJ$532&amp;'Gastos com Pessoal'!$I$6:$AJ$6,0),500,1)),0)+_xlfn.IFNA(SUM((AR$3&gt;='Gastos com Pessoal'!$E$7:$E$506)*(AR$3&lt;='Gastos com Pessoal'!$F$7:$F$506)*(IF('Gastos com Pessoal'!$M$7:$M$506&lt;=AR$3,1,0))*OFFSET('Gastos com Pessoal'!$H$6,1,MATCH(2&amp;$B50,'Gastos com Pessoal'!$I$532:$AJ$532&amp;'Gastos com Pessoal'!$I$6:$AJ$6,0),500,1)),0)+_xlfn.IFNA(SUM((AR$3&gt;='Gastos com Pessoal'!$E$7:$E$506)*(AR$3&lt;='Gastos com Pessoal'!$F$7:$F$506)*(IF('Gastos com Pessoal'!$S$7:$S$506&lt;=AR$3,1,0))*OFFSET('Gastos com Pessoal'!$H$6,1,MATCH(3&amp;$B50,'Gastos com Pessoal'!$I$532:$AJ$532&amp;'Gastos com Pessoal'!$I$6:$AJ$6,0),500,1)),0)+_xlfn.IFNA(SUM((AR$3&gt;='Gastos com Pessoal'!$E$7:$E$506)*(AR$3&lt;='Gastos com Pessoal'!$F$7:$F$506)*(IF('Gastos com Pessoal'!$Y$7:$Y$506&lt;=AR$3,1,0))*OFFSET('Gastos com Pessoal'!$H$6,1,MATCH(4&amp;$B50,'Gastos com Pessoal'!$I$532:$AJ$532&amp;'Gastos com Pessoal'!$I$6:$AJ$6,0),500,1)),0)+_xlfn.IFNA(SUM((AR$3&gt;='Gastos com Pessoal'!$E$7:$E$506)*(AR$3&lt;='Gastos com Pessoal'!$F$7:$F$506)*(IF('Gastos com Pessoal'!$AE$7:$AE$506&lt;=AR$3,1,0))*OFFSET('Gastos com Pessoal'!$H$6,1,MATCH(5&amp;$B50,'Gastos com Pessoal'!$I$532:$AJ$532&amp;'Gastos com Pessoal'!$I$6:$AJ$6,0),500,1)),0)+_xlfn.IFNA(SUM((AR$3&gt;='Gastos com Pessoal'!$E$513:$E$522)*(AR$3&lt;='Gastos com Pessoal'!$F$513:$F$522)*(IF('Gastos com Pessoal'!$G$513:$G$522&lt;=AR$3,1,0))*OFFSET('Gastos com Pessoal'!$H$512,1,MATCH(1&amp;$B50,'Gastos com Pessoal'!$I$532:$AJ$532&amp;'Gastos com Pessoal'!$I$512:$AJ$512,0),10,1)),0)+_xlfn.IFNA(SUM((AR$3&gt;='Gastos com Pessoal'!$E$513:$E$522)*(AR$3&lt;='Gastos com Pessoal'!$F$513:$F$522)*(IF('Gastos com Pessoal'!$M$513:$M$522&lt;=AR$3,1,0))*OFFSET('Gastos com Pessoal'!$H$512,1,MATCH(2&amp;$B50,'Gastos com Pessoal'!$I$532:$AJ$532&amp;'Gastos com Pessoal'!$I$512:$AJ$512,0),10,1)),0)+_xlfn.IFNA(SUM((AR$3&gt;='Gastos com Pessoal'!$E$513:$E$522)*(AR$3&lt;='Gastos com Pessoal'!$F$513:$F$522)*(IF('Gastos com Pessoal'!$S$513:$S$522&lt;=AR$3,1,0))*OFFSET('Gastos com Pessoal'!$H$512,1,MATCH(3&amp;$B50,'Gastos com Pessoal'!$I$532:$AJ$532&amp;'Gastos com Pessoal'!$I$512:$AJ$512,0),10,1)),0)+_xlfn.IFNA(SUM((AR$3&gt;='Gastos com Pessoal'!$E$513:$E$522)*(AR$3&lt;='Gastos com Pessoal'!$F$513:$F$522)*(IF('Gastos com Pessoal'!$Y$513:$Y$522&lt;=AR$3,1,0))*OFFSET('Gastos com Pessoal'!$H$512,1,MATCH(4&amp;$B50,'Gastos com Pessoal'!$I$532:$AJ$532&amp;'Gastos com Pessoal'!$I$512:$AJ$512,0),10,1)),0)+_xlfn.IFNA(SUM((AR$3&gt;='Gastos com Pessoal'!$E$513:$E$522)*(AR$3&lt;='Gastos com Pessoal'!$F$513:$F$522)*(IF('Gastos com Pessoal'!$AE$513:$AE$522&lt;=AR$3,1,0))*OFFSET('Gastos com Pessoal'!$H$512,1,MATCH(5&amp;$B50,'Gastos com Pessoal'!$I$532:$AJ$532&amp;'Gastos com Pessoal'!$I$512:$AJ$512,0),10,1)),0)</f>
        <v>15353.279999999959</v>
      </c>
      <c r="AS50" s="188">
        <f t="array" aca="1" ref="AS50" ca="1">_xlfn.IFNA(SUM((AS$3&gt;='Gastos com Pessoal'!$E$7:$E$506)*(AS$3&lt;='Gastos com Pessoal'!$F$7:$F$506)*OFFSET('Encargos e Benefícios'!$D$5,1,MATCH($B50,'Encargos e Benefícios'!$E$5:$AB$5,0),500,1)),0)+_xlfn.IFNA(SUM((AS$3&gt;='Gastos com Pessoal'!$E$513:$E$522)*(AS$3&lt;='Gastos com Pessoal'!$F$513:$F$522)*OFFSET('Encargos e Benefícios'!$D$511,1,MATCH($B50,'Encargos e Benefícios'!$E$511:$AB$511,0),10,1)),0)+_xlfn.IFNA(SUM((AS$3&gt;='Gastos com Pessoal'!$E$7:$E$506)*(AS$3&lt;='Gastos com Pessoal'!$F$7:$F$506)*(IF('Gastos com Pessoal'!$G$7:$G$506&lt;=AS$3,1,0))*OFFSET('Gastos com Pessoal'!$H$6,1,MATCH(1&amp;$B50,'Gastos com Pessoal'!$I$532:$AJ$532&amp;'Gastos com Pessoal'!$I$6:$AJ$6,0),500,1)),0)+_xlfn.IFNA(SUM((AS$3&gt;='Gastos com Pessoal'!$E$7:$E$506)*(AS$3&lt;='Gastos com Pessoal'!$F$7:$F$506)*(IF('Gastos com Pessoal'!$M$7:$M$506&lt;=AS$3,1,0))*OFFSET('Gastos com Pessoal'!$H$6,1,MATCH(2&amp;$B50,'Gastos com Pessoal'!$I$532:$AJ$532&amp;'Gastos com Pessoal'!$I$6:$AJ$6,0),500,1)),0)+_xlfn.IFNA(SUM((AS$3&gt;='Gastos com Pessoal'!$E$7:$E$506)*(AS$3&lt;='Gastos com Pessoal'!$F$7:$F$506)*(IF('Gastos com Pessoal'!$S$7:$S$506&lt;=AS$3,1,0))*OFFSET('Gastos com Pessoal'!$H$6,1,MATCH(3&amp;$B50,'Gastos com Pessoal'!$I$532:$AJ$532&amp;'Gastos com Pessoal'!$I$6:$AJ$6,0),500,1)),0)+_xlfn.IFNA(SUM((AS$3&gt;='Gastos com Pessoal'!$E$7:$E$506)*(AS$3&lt;='Gastos com Pessoal'!$F$7:$F$506)*(IF('Gastos com Pessoal'!$Y$7:$Y$506&lt;=AS$3,1,0))*OFFSET('Gastos com Pessoal'!$H$6,1,MATCH(4&amp;$B50,'Gastos com Pessoal'!$I$532:$AJ$532&amp;'Gastos com Pessoal'!$I$6:$AJ$6,0),500,1)),0)+_xlfn.IFNA(SUM((AS$3&gt;='Gastos com Pessoal'!$E$7:$E$506)*(AS$3&lt;='Gastos com Pessoal'!$F$7:$F$506)*(IF('Gastos com Pessoal'!$AE$7:$AE$506&lt;=AS$3,1,0))*OFFSET('Gastos com Pessoal'!$H$6,1,MATCH(5&amp;$B50,'Gastos com Pessoal'!$I$532:$AJ$532&amp;'Gastos com Pessoal'!$I$6:$AJ$6,0),500,1)),0)+_xlfn.IFNA(SUM((AS$3&gt;='Gastos com Pessoal'!$E$513:$E$522)*(AS$3&lt;='Gastos com Pessoal'!$F$513:$F$522)*(IF('Gastos com Pessoal'!$G$513:$G$522&lt;=AS$3,1,0))*OFFSET('Gastos com Pessoal'!$H$512,1,MATCH(1&amp;$B50,'Gastos com Pessoal'!$I$532:$AJ$532&amp;'Gastos com Pessoal'!$I$512:$AJ$512,0),10,1)),0)+_xlfn.IFNA(SUM((AS$3&gt;='Gastos com Pessoal'!$E$513:$E$522)*(AS$3&lt;='Gastos com Pessoal'!$F$513:$F$522)*(IF('Gastos com Pessoal'!$M$513:$M$522&lt;=AS$3,1,0))*OFFSET('Gastos com Pessoal'!$H$512,1,MATCH(2&amp;$B50,'Gastos com Pessoal'!$I$532:$AJ$532&amp;'Gastos com Pessoal'!$I$512:$AJ$512,0),10,1)),0)+_xlfn.IFNA(SUM((AS$3&gt;='Gastos com Pessoal'!$E$513:$E$522)*(AS$3&lt;='Gastos com Pessoal'!$F$513:$F$522)*(IF('Gastos com Pessoal'!$S$513:$S$522&lt;=AS$3,1,0))*OFFSET('Gastos com Pessoal'!$H$512,1,MATCH(3&amp;$B50,'Gastos com Pessoal'!$I$532:$AJ$532&amp;'Gastos com Pessoal'!$I$512:$AJ$512,0),10,1)),0)+_xlfn.IFNA(SUM((AS$3&gt;='Gastos com Pessoal'!$E$513:$E$522)*(AS$3&lt;='Gastos com Pessoal'!$F$513:$F$522)*(IF('Gastos com Pessoal'!$Y$513:$Y$522&lt;=AS$3,1,0))*OFFSET('Gastos com Pessoal'!$H$512,1,MATCH(4&amp;$B50,'Gastos com Pessoal'!$I$532:$AJ$532&amp;'Gastos com Pessoal'!$I$512:$AJ$512,0),10,1)),0)+_xlfn.IFNA(SUM((AS$3&gt;='Gastos com Pessoal'!$E$513:$E$522)*(AS$3&lt;='Gastos com Pessoal'!$F$513:$F$522)*(IF('Gastos com Pessoal'!$AE$513:$AE$522&lt;=AS$3,1,0))*OFFSET('Gastos com Pessoal'!$H$512,1,MATCH(5&amp;$B50,'Gastos com Pessoal'!$I$532:$AJ$532&amp;'Gastos com Pessoal'!$I$512:$AJ$512,0),10,1)),0)</f>
        <v>15353.279999999959</v>
      </c>
      <c r="AT50" s="188">
        <f t="array" aca="1" ref="AT50" ca="1">_xlfn.IFNA(SUM((AT$3&gt;='Gastos com Pessoal'!$E$7:$E$506)*(AT$3&lt;='Gastos com Pessoal'!$F$7:$F$506)*OFFSET('Encargos e Benefícios'!$D$5,1,MATCH($B50,'Encargos e Benefícios'!$E$5:$AB$5,0),500,1)),0)+_xlfn.IFNA(SUM((AT$3&gt;='Gastos com Pessoal'!$E$513:$E$522)*(AT$3&lt;='Gastos com Pessoal'!$F$513:$F$522)*OFFSET('Encargos e Benefícios'!$D$511,1,MATCH($B50,'Encargos e Benefícios'!$E$511:$AB$511,0),10,1)),0)+_xlfn.IFNA(SUM((AT$3&gt;='Gastos com Pessoal'!$E$7:$E$506)*(AT$3&lt;='Gastos com Pessoal'!$F$7:$F$506)*(IF('Gastos com Pessoal'!$G$7:$G$506&lt;=AT$3,1,0))*OFFSET('Gastos com Pessoal'!$H$6,1,MATCH(1&amp;$B50,'Gastos com Pessoal'!$I$532:$AJ$532&amp;'Gastos com Pessoal'!$I$6:$AJ$6,0),500,1)),0)+_xlfn.IFNA(SUM((AT$3&gt;='Gastos com Pessoal'!$E$7:$E$506)*(AT$3&lt;='Gastos com Pessoal'!$F$7:$F$506)*(IF('Gastos com Pessoal'!$M$7:$M$506&lt;=AT$3,1,0))*OFFSET('Gastos com Pessoal'!$H$6,1,MATCH(2&amp;$B50,'Gastos com Pessoal'!$I$532:$AJ$532&amp;'Gastos com Pessoal'!$I$6:$AJ$6,0),500,1)),0)+_xlfn.IFNA(SUM((AT$3&gt;='Gastos com Pessoal'!$E$7:$E$506)*(AT$3&lt;='Gastos com Pessoal'!$F$7:$F$506)*(IF('Gastos com Pessoal'!$S$7:$S$506&lt;=AT$3,1,0))*OFFSET('Gastos com Pessoal'!$H$6,1,MATCH(3&amp;$B50,'Gastos com Pessoal'!$I$532:$AJ$532&amp;'Gastos com Pessoal'!$I$6:$AJ$6,0),500,1)),0)+_xlfn.IFNA(SUM((AT$3&gt;='Gastos com Pessoal'!$E$7:$E$506)*(AT$3&lt;='Gastos com Pessoal'!$F$7:$F$506)*(IF('Gastos com Pessoal'!$Y$7:$Y$506&lt;=AT$3,1,0))*OFFSET('Gastos com Pessoal'!$H$6,1,MATCH(4&amp;$B50,'Gastos com Pessoal'!$I$532:$AJ$532&amp;'Gastos com Pessoal'!$I$6:$AJ$6,0),500,1)),0)+_xlfn.IFNA(SUM((AT$3&gt;='Gastos com Pessoal'!$E$7:$E$506)*(AT$3&lt;='Gastos com Pessoal'!$F$7:$F$506)*(IF('Gastos com Pessoal'!$AE$7:$AE$506&lt;=AT$3,1,0))*OFFSET('Gastos com Pessoal'!$H$6,1,MATCH(5&amp;$B50,'Gastos com Pessoal'!$I$532:$AJ$532&amp;'Gastos com Pessoal'!$I$6:$AJ$6,0),500,1)),0)+_xlfn.IFNA(SUM((AT$3&gt;='Gastos com Pessoal'!$E$513:$E$522)*(AT$3&lt;='Gastos com Pessoal'!$F$513:$F$522)*(IF('Gastos com Pessoal'!$G$513:$G$522&lt;=AT$3,1,0))*OFFSET('Gastos com Pessoal'!$H$512,1,MATCH(1&amp;$B50,'Gastos com Pessoal'!$I$532:$AJ$532&amp;'Gastos com Pessoal'!$I$512:$AJ$512,0),10,1)),0)+_xlfn.IFNA(SUM((AT$3&gt;='Gastos com Pessoal'!$E$513:$E$522)*(AT$3&lt;='Gastos com Pessoal'!$F$513:$F$522)*(IF('Gastos com Pessoal'!$M$513:$M$522&lt;=AT$3,1,0))*OFFSET('Gastos com Pessoal'!$H$512,1,MATCH(2&amp;$B50,'Gastos com Pessoal'!$I$532:$AJ$532&amp;'Gastos com Pessoal'!$I$512:$AJ$512,0),10,1)),0)+_xlfn.IFNA(SUM((AT$3&gt;='Gastos com Pessoal'!$E$513:$E$522)*(AT$3&lt;='Gastos com Pessoal'!$F$513:$F$522)*(IF('Gastos com Pessoal'!$S$513:$S$522&lt;=AT$3,1,0))*OFFSET('Gastos com Pessoal'!$H$512,1,MATCH(3&amp;$B50,'Gastos com Pessoal'!$I$532:$AJ$532&amp;'Gastos com Pessoal'!$I$512:$AJ$512,0),10,1)),0)+_xlfn.IFNA(SUM((AT$3&gt;='Gastos com Pessoal'!$E$513:$E$522)*(AT$3&lt;='Gastos com Pessoal'!$F$513:$F$522)*(IF('Gastos com Pessoal'!$Y$513:$Y$522&lt;=AT$3,1,0))*OFFSET('Gastos com Pessoal'!$H$512,1,MATCH(4&amp;$B50,'Gastos com Pessoal'!$I$532:$AJ$532&amp;'Gastos com Pessoal'!$I$512:$AJ$512,0),10,1)),0)+_xlfn.IFNA(SUM((AT$3&gt;='Gastos com Pessoal'!$E$513:$E$522)*(AT$3&lt;='Gastos com Pessoal'!$F$513:$F$522)*(IF('Gastos com Pessoal'!$AE$513:$AE$522&lt;=AT$3,1,0))*OFFSET('Gastos com Pessoal'!$H$512,1,MATCH(5&amp;$B50,'Gastos com Pessoal'!$I$532:$AJ$532&amp;'Gastos com Pessoal'!$I$512:$AJ$512,0),10,1)),0)</f>
        <v>15353.279999999959</v>
      </c>
      <c r="AU50" s="188">
        <f t="array" aca="1" ref="AU50" ca="1">_xlfn.IFNA(SUM((AU$3&gt;='Gastos com Pessoal'!$E$7:$E$506)*(AU$3&lt;='Gastos com Pessoal'!$F$7:$F$506)*OFFSET('Encargos e Benefícios'!$D$5,1,MATCH($B50,'Encargos e Benefícios'!$E$5:$AB$5,0),500,1)),0)+_xlfn.IFNA(SUM((AU$3&gt;='Gastos com Pessoal'!$E$513:$E$522)*(AU$3&lt;='Gastos com Pessoal'!$F$513:$F$522)*OFFSET('Encargos e Benefícios'!$D$511,1,MATCH($B50,'Encargos e Benefícios'!$E$511:$AB$511,0),10,1)),0)+_xlfn.IFNA(SUM((AU$3&gt;='Gastos com Pessoal'!$E$7:$E$506)*(AU$3&lt;='Gastos com Pessoal'!$F$7:$F$506)*(IF('Gastos com Pessoal'!$G$7:$G$506&lt;=AU$3,1,0))*OFFSET('Gastos com Pessoal'!$H$6,1,MATCH(1&amp;$B50,'Gastos com Pessoal'!$I$532:$AJ$532&amp;'Gastos com Pessoal'!$I$6:$AJ$6,0),500,1)),0)+_xlfn.IFNA(SUM((AU$3&gt;='Gastos com Pessoal'!$E$7:$E$506)*(AU$3&lt;='Gastos com Pessoal'!$F$7:$F$506)*(IF('Gastos com Pessoal'!$M$7:$M$506&lt;=AU$3,1,0))*OFFSET('Gastos com Pessoal'!$H$6,1,MATCH(2&amp;$B50,'Gastos com Pessoal'!$I$532:$AJ$532&amp;'Gastos com Pessoal'!$I$6:$AJ$6,0),500,1)),0)+_xlfn.IFNA(SUM((AU$3&gt;='Gastos com Pessoal'!$E$7:$E$506)*(AU$3&lt;='Gastos com Pessoal'!$F$7:$F$506)*(IF('Gastos com Pessoal'!$S$7:$S$506&lt;=AU$3,1,0))*OFFSET('Gastos com Pessoal'!$H$6,1,MATCH(3&amp;$B50,'Gastos com Pessoal'!$I$532:$AJ$532&amp;'Gastos com Pessoal'!$I$6:$AJ$6,0),500,1)),0)+_xlfn.IFNA(SUM((AU$3&gt;='Gastos com Pessoal'!$E$7:$E$506)*(AU$3&lt;='Gastos com Pessoal'!$F$7:$F$506)*(IF('Gastos com Pessoal'!$Y$7:$Y$506&lt;=AU$3,1,0))*OFFSET('Gastos com Pessoal'!$H$6,1,MATCH(4&amp;$B50,'Gastos com Pessoal'!$I$532:$AJ$532&amp;'Gastos com Pessoal'!$I$6:$AJ$6,0),500,1)),0)+_xlfn.IFNA(SUM((AU$3&gt;='Gastos com Pessoal'!$E$7:$E$506)*(AU$3&lt;='Gastos com Pessoal'!$F$7:$F$506)*(IF('Gastos com Pessoal'!$AE$7:$AE$506&lt;=AU$3,1,0))*OFFSET('Gastos com Pessoal'!$H$6,1,MATCH(5&amp;$B50,'Gastos com Pessoal'!$I$532:$AJ$532&amp;'Gastos com Pessoal'!$I$6:$AJ$6,0),500,1)),0)+_xlfn.IFNA(SUM((AU$3&gt;='Gastos com Pessoal'!$E$513:$E$522)*(AU$3&lt;='Gastos com Pessoal'!$F$513:$F$522)*(IF('Gastos com Pessoal'!$G$513:$G$522&lt;=AU$3,1,0))*OFFSET('Gastos com Pessoal'!$H$512,1,MATCH(1&amp;$B50,'Gastos com Pessoal'!$I$532:$AJ$532&amp;'Gastos com Pessoal'!$I$512:$AJ$512,0),10,1)),0)+_xlfn.IFNA(SUM((AU$3&gt;='Gastos com Pessoal'!$E$513:$E$522)*(AU$3&lt;='Gastos com Pessoal'!$F$513:$F$522)*(IF('Gastos com Pessoal'!$M$513:$M$522&lt;=AU$3,1,0))*OFFSET('Gastos com Pessoal'!$H$512,1,MATCH(2&amp;$B50,'Gastos com Pessoal'!$I$532:$AJ$532&amp;'Gastos com Pessoal'!$I$512:$AJ$512,0),10,1)),0)+_xlfn.IFNA(SUM((AU$3&gt;='Gastos com Pessoal'!$E$513:$E$522)*(AU$3&lt;='Gastos com Pessoal'!$F$513:$F$522)*(IF('Gastos com Pessoal'!$S$513:$S$522&lt;=AU$3,1,0))*OFFSET('Gastos com Pessoal'!$H$512,1,MATCH(3&amp;$B50,'Gastos com Pessoal'!$I$532:$AJ$532&amp;'Gastos com Pessoal'!$I$512:$AJ$512,0),10,1)),0)+_xlfn.IFNA(SUM((AU$3&gt;='Gastos com Pessoal'!$E$513:$E$522)*(AU$3&lt;='Gastos com Pessoal'!$F$513:$F$522)*(IF('Gastos com Pessoal'!$Y$513:$Y$522&lt;=AU$3,1,0))*OFFSET('Gastos com Pessoal'!$H$512,1,MATCH(4&amp;$B50,'Gastos com Pessoal'!$I$532:$AJ$532&amp;'Gastos com Pessoal'!$I$512:$AJ$512,0),10,1)),0)+_xlfn.IFNA(SUM((AU$3&gt;='Gastos com Pessoal'!$E$513:$E$522)*(AU$3&lt;='Gastos com Pessoal'!$F$513:$F$522)*(IF('Gastos com Pessoal'!$AE$513:$AE$522&lt;=AU$3,1,0))*OFFSET('Gastos com Pessoal'!$H$512,1,MATCH(5&amp;$B50,'Gastos com Pessoal'!$I$532:$AJ$532&amp;'Gastos com Pessoal'!$I$512:$AJ$512,0),10,1)),0)</f>
        <v>15353.279999999959</v>
      </c>
      <c r="AV50" s="188">
        <f t="array" aca="1" ref="AV50" ca="1">_xlfn.IFNA(SUM((AV$3&gt;='Gastos com Pessoal'!$E$7:$E$506)*(AV$3&lt;='Gastos com Pessoal'!$F$7:$F$506)*OFFSET('Encargos e Benefícios'!$D$5,1,MATCH($B50,'Encargos e Benefícios'!$E$5:$AB$5,0),500,1)),0)+_xlfn.IFNA(SUM((AV$3&gt;='Gastos com Pessoal'!$E$513:$E$522)*(AV$3&lt;='Gastos com Pessoal'!$F$513:$F$522)*OFFSET('Encargos e Benefícios'!$D$511,1,MATCH($B50,'Encargos e Benefícios'!$E$511:$AB$511,0),10,1)),0)+_xlfn.IFNA(SUM((AV$3&gt;='Gastos com Pessoal'!$E$7:$E$506)*(AV$3&lt;='Gastos com Pessoal'!$F$7:$F$506)*(IF('Gastos com Pessoal'!$G$7:$G$506&lt;=AV$3,1,0))*OFFSET('Gastos com Pessoal'!$H$6,1,MATCH(1&amp;$B50,'Gastos com Pessoal'!$I$532:$AJ$532&amp;'Gastos com Pessoal'!$I$6:$AJ$6,0),500,1)),0)+_xlfn.IFNA(SUM((AV$3&gt;='Gastos com Pessoal'!$E$7:$E$506)*(AV$3&lt;='Gastos com Pessoal'!$F$7:$F$506)*(IF('Gastos com Pessoal'!$M$7:$M$506&lt;=AV$3,1,0))*OFFSET('Gastos com Pessoal'!$H$6,1,MATCH(2&amp;$B50,'Gastos com Pessoal'!$I$532:$AJ$532&amp;'Gastos com Pessoal'!$I$6:$AJ$6,0),500,1)),0)+_xlfn.IFNA(SUM((AV$3&gt;='Gastos com Pessoal'!$E$7:$E$506)*(AV$3&lt;='Gastos com Pessoal'!$F$7:$F$506)*(IF('Gastos com Pessoal'!$S$7:$S$506&lt;=AV$3,1,0))*OFFSET('Gastos com Pessoal'!$H$6,1,MATCH(3&amp;$B50,'Gastos com Pessoal'!$I$532:$AJ$532&amp;'Gastos com Pessoal'!$I$6:$AJ$6,0),500,1)),0)+_xlfn.IFNA(SUM((AV$3&gt;='Gastos com Pessoal'!$E$7:$E$506)*(AV$3&lt;='Gastos com Pessoal'!$F$7:$F$506)*(IF('Gastos com Pessoal'!$Y$7:$Y$506&lt;=AV$3,1,0))*OFFSET('Gastos com Pessoal'!$H$6,1,MATCH(4&amp;$B50,'Gastos com Pessoal'!$I$532:$AJ$532&amp;'Gastos com Pessoal'!$I$6:$AJ$6,0),500,1)),0)+_xlfn.IFNA(SUM((AV$3&gt;='Gastos com Pessoal'!$E$7:$E$506)*(AV$3&lt;='Gastos com Pessoal'!$F$7:$F$506)*(IF('Gastos com Pessoal'!$AE$7:$AE$506&lt;=AV$3,1,0))*OFFSET('Gastos com Pessoal'!$H$6,1,MATCH(5&amp;$B50,'Gastos com Pessoal'!$I$532:$AJ$532&amp;'Gastos com Pessoal'!$I$6:$AJ$6,0),500,1)),0)+_xlfn.IFNA(SUM((AV$3&gt;='Gastos com Pessoal'!$E$513:$E$522)*(AV$3&lt;='Gastos com Pessoal'!$F$513:$F$522)*(IF('Gastos com Pessoal'!$G$513:$G$522&lt;=AV$3,1,0))*OFFSET('Gastos com Pessoal'!$H$512,1,MATCH(1&amp;$B50,'Gastos com Pessoal'!$I$532:$AJ$532&amp;'Gastos com Pessoal'!$I$512:$AJ$512,0),10,1)),0)+_xlfn.IFNA(SUM((AV$3&gt;='Gastos com Pessoal'!$E$513:$E$522)*(AV$3&lt;='Gastos com Pessoal'!$F$513:$F$522)*(IF('Gastos com Pessoal'!$M$513:$M$522&lt;=AV$3,1,0))*OFFSET('Gastos com Pessoal'!$H$512,1,MATCH(2&amp;$B50,'Gastos com Pessoal'!$I$532:$AJ$532&amp;'Gastos com Pessoal'!$I$512:$AJ$512,0),10,1)),0)+_xlfn.IFNA(SUM((AV$3&gt;='Gastos com Pessoal'!$E$513:$E$522)*(AV$3&lt;='Gastos com Pessoal'!$F$513:$F$522)*(IF('Gastos com Pessoal'!$S$513:$S$522&lt;=AV$3,1,0))*OFFSET('Gastos com Pessoal'!$H$512,1,MATCH(3&amp;$B50,'Gastos com Pessoal'!$I$532:$AJ$532&amp;'Gastos com Pessoal'!$I$512:$AJ$512,0),10,1)),0)+_xlfn.IFNA(SUM((AV$3&gt;='Gastos com Pessoal'!$E$513:$E$522)*(AV$3&lt;='Gastos com Pessoal'!$F$513:$F$522)*(IF('Gastos com Pessoal'!$Y$513:$Y$522&lt;=AV$3,1,0))*OFFSET('Gastos com Pessoal'!$H$512,1,MATCH(4&amp;$B50,'Gastos com Pessoal'!$I$532:$AJ$532&amp;'Gastos com Pessoal'!$I$512:$AJ$512,0),10,1)),0)+_xlfn.IFNA(SUM((AV$3&gt;='Gastos com Pessoal'!$E$513:$E$522)*(AV$3&lt;='Gastos com Pessoal'!$F$513:$F$522)*(IF('Gastos com Pessoal'!$AE$513:$AE$522&lt;=AV$3,1,0))*OFFSET('Gastos com Pessoal'!$H$512,1,MATCH(5&amp;$B50,'Gastos com Pessoal'!$I$532:$AJ$532&amp;'Gastos com Pessoal'!$I$512:$AJ$512,0),10,1)),0)</f>
        <v>15353.279999999959</v>
      </c>
      <c r="AW50" s="188">
        <f t="array" aca="1" ref="AW50" ca="1">_xlfn.IFNA(SUM((AW$3&gt;='Gastos com Pessoal'!$E$7:$E$506)*(AW$3&lt;='Gastos com Pessoal'!$F$7:$F$506)*OFFSET('Encargos e Benefícios'!$D$5,1,MATCH($B50,'Encargos e Benefícios'!$E$5:$AB$5,0),500,1)),0)+_xlfn.IFNA(SUM((AW$3&gt;='Gastos com Pessoal'!$E$513:$E$522)*(AW$3&lt;='Gastos com Pessoal'!$F$513:$F$522)*OFFSET('Encargos e Benefícios'!$D$511,1,MATCH($B50,'Encargos e Benefícios'!$E$511:$AB$511,0),10,1)),0)+_xlfn.IFNA(SUM((AW$3&gt;='Gastos com Pessoal'!$E$7:$E$506)*(AW$3&lt;='Gastos com Pessoal'!$F$7:$F$506)*(IF('Gastos com Pessoal'!$G$7:$G$506&lt;=AW$3,1,0))*OFFSET('Gastos com Pessoal'!$H$6,1,MATCH(1&amp;$B50,'Gastos com Pessoal'!$I$532:$AJ$532&amp;'Gastos com Pessoal'!$I$6:$AJ$6,0),500,1)),0)+_xlfn.IFNA(SUM((AW$3&gt;='Gastos com Pessoal'!$E$7:$E$506)*(AW$3&lt;='Gastos com Pessoal'!$F$7:$F$506)*(IF('Gastos com Pessoal'!$M$7:$M$506&lt;=AW$3,1,0))*OFFSET('Gastos com Pessoal'!$H$6,1,MATCH(2&amp;$B50,'Gastos com Pessoal'!$I$532:$AJ$532&amp;'Gastos com Pessoal'!$I$6:$AJ$6,0),500,1)),0)+_xlfn.IFNA(SUM((AW$3&gt;='Gastos com Pessoal'!$E$7:$E$506)*(AW$3&lt;='Gastos com Pessoal'!$F$7:$F$506)*(IF('Gastos com Pessoal'!$S$7:$S$506&lt;=AW$3,1,0))*OFFSET('Gastos com Pessoal'!$H$6,1,MATCH(3&amp;$B50,'Gastos com Pessoal'!$I$532:$AJ$532&amp;'Gastos com Pessoal'!$I$6:$AJ$6,0),500,1)),0)+_xlfn.IFNA(SUM((AW$3&gt;='Gastos com Pessoal'!$E$7:$E$506)*(AW$3&lt;='Gastos com Pessoal'!$F$7:$F$506)*(IF('Gastos com Pessoal'!$Y$7:$Y$506&lt;=AW$3,1,0))*OFFSET('Gastos com Pessoal'!$H$6,1,MATCH(4&amp;$B50,'Gastos com Pessoal'!$I$532:$AJ$532&amp;'Gastos com Pessoal'!$I$6:$AJ$6,0),500,1)),0)+_xlfn.IFNA(SUM((AW$3&gt;='Gastos com Pessoal'!$E$7:$E$506)*(AW$3&lt;='Gastos com Pessoal'!$F$7:$F$506)*(IF('Gastos com Pessoal'!$AE$7:$AE$506&lt;=AW$3,1,0))*OFFSET('Gastos com Pessoal'!$H$6,1,MATCH(5&amp;$B50,'Gastos com Pessoal'!$I$532:$AJ$532&amp;'Gastos com Pessoal'!$I$6:$AJ$6,0),500,1)),0)+_xlfn.IFNA(SUM((AW$3&gt;='Gastos com Pessoal'!$E$513:$E$522)*(AW$3&lt;='Gastos com Pessoal'!$F$513:$F$522)*(IF('Gastos com Pessoal'!$G$513:$G$522&lt;=AW$3,1,0))*OFFSET('Gastos com Pessoal'!$H$512,1,MATCH(1&amp;$B50,'Gastos com Pessoal'!$I$532:$AJ$532&amp;'Gastos com Pessoal'!$I$512:$AJ$512,0),10,1)),0)+_xlfn.IFNA(SUM((AW$3&gt;='Gastos com Pessoal'!$E$513:$E$522)*(AW$3&lt;='Gastos com Pessoal'!$F$513:$F$522)*(IF('Gastos com Pessoal'!$M$513:$M$522&lt;=AW$3,1,0))*OFFSET('Gastos com Pessoal'!$H$512,1,MATCH(2&amp;$B50,'Gastos com Pessoal'!$I$532:$AJ$532&amp;'Gastos com Pessoal'!$I$512:$AJ$512,0),10,1)),0)+_xlfn.IFNA(SUM((AW$3&gt;='Gastos com Pessoal'!$E$513:$E$522)*(AW$3&lt;='Gastos com Pessoal'!$F$513:$F$522)*(IF('Gastos com Pessoal'!$S$513:$S$522&lt;=AW$3,1,0))*OFFSET('Gastos com Pessoal'!$H$512,1,MATCH(3&amp;$B50,'Gastos com Pessoal'!$I$532:$AJ$532&amp;'Gastos com Pessoal'!$I$512:$AJ$512,0),10,1)),0)+_xlfn.IFNA(SUM((AW$3&gt;='Gastos com Pessoal'!$E$513:$E$522)*(AW$3&lt;='Gastos com Pessoal'!$F$513:$F$522)*(IF('Gastos com Pessoal'!$Y$513:$Y$522&lt;=AW$3,1,0))*OFFSET('Gastos com Pessoal'!$H$512,1,MATCH(4&amp;$B50,'Gastos com Pessoal'!$I$532:$AJ$532&amp;'Gastos com Pessoal'!$I$512:$AJ$512,0),10,1)),0)+_xlfn.IFNA(SUM((AW$3&gt;='Gastos com Pessoal'!$E$513:$E$522)*(AW$3&lt;='Gastos com Pessoal'!$F$513:$F$522)*(IF('Gastos com Pessoal'!$AE$513:$AE$522&lt;=AW$3,1,0))*OFFSET('Gastos com Pessoal'!$H$512,1,MATCH(5&amp;$B50,'Gastos com Pessoal'!$I$532:$AJ$532&amp;'Gastos com Pessoal'!$I$512:$AJ$512,0),10,1)),0)</f>
        <v>15353.279999999959</v>
      </c>
      <c r="AX50" s="188">
        <f t="array" aca="1" ref="AX50" ca="1">_xlfn.IFNA(SUM((AX$3&gt;='Gastos com Pessoal'!$E$7:$E$506)*(AX$3&lt;='Gastos com Pessoal'!$F$7:$F$506)*OFFSET('Encargos e Benefícios'!$D$5,1,MATCH($B50,'Encargos e Benefícios'!$E$5:$AB$5,0),500,1)),0)+_xlfn.IFNA(SUM((AX$3&gt;='Gastos com Pessoal'!$E$513:$E$522)*(AX$3&lt;='Gastos com Pessoal'!$F$513:$F$522)*OFFSET('Encargos e Benefícios'!$D$511,1,MATCH($B50,'Encargos e Benefícios'!$E$511:$AB$511,0),10,1)),0)+_xlfn.IFNA(SUM((AX$3&gt;='Gastos com Pessoal'!$E$7:$E$506)*(AX$3&lt;='Gastos com Pessoal'!$F$7:$F$506)*(IF('Gastos com Pessoal'!$G$7:$G$506&lt;=AX$3,1,0))*OFFSET('Gastos com Pessoal'!$H$6,1,MATCH(1&amp;$B50,'Gastos com Pessoal'!$I$532:$AJ$532&amp;'Gastos com Pessoal'!$I$6:$AJ$6,0),500,1)),0)+_xlfn.IFNA(SUM((AX$3&gt;='Gastos com Pessoal'!$E$7:$E$506)*(AX$3&lt;='Gastos com Pessoal'!$F$7:$F$506)*(IF('Gastos com Pessoal'!$M$7:$M$506&lt;=AX$3,1,0))*OFFSET('Gastos com Pessoal'!$H$6,1,MATCH(2&amp;$B50,'Gastos com Pessoal'!$I$532:$AJ$532&amp;'Gastos com Pessoal'!$I$6:$AJ$6,0),500,1)),0)+_xlfn.IFNA(SUM((AX$3&gt;='Gastos com Pessoal'!$E$7:$E$506)*(AX$3&lt;='Gastos com Pessoal'!$F$7:$F$506)*(IF('Gastos com Pessoal'!$S$7:$S$506&lt;=AX$3,1,0))*OFFSET('Gastos com Pessoal'!$H$6,1,MATCH(3&amp;$B50,'Gastos com Pessoal'!$I$532:$AJ$532&amp;'Gastos com Pessoal'!$I$6:$AJ$6,0),500,1)),0)+_xlfn.IFNA(SUM((AX$3&gt;='Gastos com Pessoal'!$E$7:$E$506)*(AX$3&lt;='Gastos com Pessoal'!$F$7:$F$506)*(IF('Gastos com Pessoal'!$Y$7:$Y$506&lt;=AX$3,1,0))*OFFSET('Gastos com Pessoal'!$H$6,1,MATCH(4&amp;$B50,'Gastos com Pessoal'!$I$532:$AJ$532&amp;'Gastos com Pessoal'!$I$6:$AJ$6,0),500,1)),0)+_xlfn.IFNA(SUM((AX$3&gt;='Gastos com Pessoal'!$E$7:$E$506)*(AX$3&lt;='Gastos com Pessoal'!$F$7:$F$506)*(IF('Gastos com Pessoal'!$AE$7:$AE$506&lt;=AX$3,1,0))*OFFSET('Gastos com Pessoal'!$H$6,1,MATCH(5&amp;$B50,'Gastos com Pessoal'!$I$532:$AJ$532&amp;'Gastos com Pessoal'!$I$6:$AJ$6,0),500,1)),0)+_xlfn.IFNA(SUM((AX$3&gt;='Gastos com Pessoal'!$E$513:$E$522)*(AX$3&lt;='Gastos com Pessoal'!$F$513:$F$522)*(IF('Gastos com Pessoal'!$G$513:$G$522&lt;=AX$3,1,0))*OFFSET('Gastos com Pessoal'!$H$512,1,MATCH(1&amp;$B50,'Gastos com Pessoal'!$I$532:$AJ$532&amp;'Gastos com Pessoal'!$I$512:$AJ$512,0),10,1)),0)+_xlfn.IFNA(SUM((AX$3&gt;='Gastos com Pessoal'!$E$513:$E$522)*(AX$3&lt;='Gastos com Pessoal'!$F$513:$F$522)*(IF('Gastos com Pessoal'!$M$513:$M$522&lt;=AX$3,1,0))*OFFSET('Gastos com Pessoal'!$H$512,1,MATCH(2&amp;$B50,'Gastos com Pessoal'!$I$532:$AJ$532&amp;'Gastos com Pessoal'!$I$512:$AJ$512,0),10,1)),0)+_xlfn.IFNA(SUM((AX$3&gt;='Gastos com Pessoal'!$E$513:$E$522)*(AX$3&lt;='Gastos com Pessoal'!$F$513:$F$522)*(IF('Gastos com Pessoal'!$S$513:$S$522&lt;=AX$3,1,0))*OFFSET('Gastos com Pessoal'!$H$512,1,MATCH(3&amp;$B50,'Gastos com Pessoal'!$I$532:$AJ$532&amp;'Gastos com Pessoal'!$I$512:$AJ$512,0),10,1)),0)+_xlfn.IFNA(SUM((AX$3&gt;='Gastos com Pessoal'!$E$513:$E$522)*(AX$3&lt;='Gastos com Pessoal'!$F$513:$F$522)*(IF('Gastos com Pessoal'!$Y$513:$Y$522&lt;=AX$3,1,0))*OFFSET('Gastos com Pessoal'!$H$512,1,MATCH(4&amp;$B50,'Gastos com Pessoal'!$I$532:$AJ$532&amp;'Gastos com Pessoal'!$I$512:$AJ$512,0),10,1)),0)+_xlfn.IFNA(SUM((AX$3&gt;='Gastos com Pessoal'!$E$513:$E$522)*(AX$3&lt;='Gastos com Pessoal'!$F$513:$F$522)*(IF('Gastos com Pessoal'!$AE$513:$AE$522&lt;=AX$3,1,0))*OFFSET('Gastos com Pessoal'!$H$512,1,MATCH(5&amp;$B50,'Gastos com Pessoal'!$I$532:$AJ$532&amp;'Gastos com Pessoal'!$I$512:$AJ$512,0),10,1)),0)</f>
        <v>15353.279999999959</v>
      </c>
      <c r="AY50" s="188">
        <f t="array" aca="1" ref="AY50" ca="1">_xlfn.IFNA(SUM((AY$3&gt;='Gastos com Pessoal'!$E$7:$E$506)*(AY$3&lt;='Gastos com Pessoal'!$F$7:$F$506)*OFFSET('Encargos e Benefícios'!$D$5,1,MATCH($B50,'Encargos e Benefícios'!$E$5:$AB$5,0),500,1)),0)+_xlfn.IFNA(SUM((AY$3&gt;='Gastos com Pessoal'!$E$513:$E$522)*(AY$3&lt;='Gastos com Pessoal'!$F$513:$F$522)*OFFSET('Encargos e Benefícios'!$D$511,1,MATCH($B50,'Encargos e Benefícios'!$E$511:$AB$511,0),10,1)),0)+_xlfn.IFNA(SUM((AY$3&gt;='Gastos com Pessoal'!$E$7:$E$506)*(AY$3&lt;='Gastos com Pessoal'!$F$7:$F$506)*(IF('Gastos com Pessoal'!$G$7:$G$506&lt;=AY$3,1,0))*OFFSET('Gastos com Pessoal'!$H$6,1,MATCH(1&amp;$B50,'Gastos com Pessoal'!$I$532:$AJ$532&amp;'Gastos com Pessoal'!$I$6:$AJ$6,0),500,1)),0)+_xlfn.IFNA(SUM((AY$3&gt;='Gastos com Pessoal'!$E$7:$E$506)*(AY$3&lt;='Gastos com Pessoal'!$F$7:$F$506)*(IF('Gastos com Pessoal'!$M$7:$M$506&lt;=AY$3,1,0))*OFFSET('Gastos com Pessoal'!$H$6,1,MATCH(2&amp;$B50,'Gastos com Pessoal'!$I$532:$AJ$532&amp;'Gastos com Pessoal'!$I$6:$AJ$6,0),500,1)),0)+_xlfn.IFNA(SUM((AY$3&gt;='Gastos com Pessoal'!$E$7:$E$506)*(AY$3&lt;='Gastos com Pessoal'!$F$7:$F$506)*(IF('Gastos com Pessoal'!$S$7:$S$506&lt;=AY$3,1,0))*OFFSET('Gastos com Pessoal'!$H$6,1,MATCH(3&amp;$B50,'Gastos com Pessoal'!$I$532:$AJ$532&amp;'Gastos com Pessoal'!$I$6:$AJ$6,0),500,1)),0)+_xlfn.IFNA(SUM((AY$3&gt;='Gastos com Pessoal'!$E$7:$E$506)*(AY$3&lt;='Gastos com Pessoal'!$F$7:$F$506)*(IF('Gastos com Pessoal'!$Y$7:$Y$506&lt;=AY$3,1,0))*OFFSET('Gastos com Pessoal'!$H$6,1,MATCH(4&amp;$B50,'Gastos com Pessoal'!$I$532:$AJ$532&amp;'Gastos com Pessoal'!$I$6:$AJ$6,0),500,1)),0)+_xlfn.IFNA(SUM((AY$3&gt;='Gastos com Pessoal'!$E$7:$E$506)*(AY$3&lt;='Gastos com Pessoal'!$F$7:$F$506)*(IF('Gastos com Pessoal'!$AE$7:$AE$506&lt;=AY$3,1,0))*OFFSET('Gastos com Pessoal'!$H$6,1,MATCH(5&amp;$B50,'Gastos com Pessoal'!$I$532:$AJ$532&amp;'Gastos com Pessoal'!$I$6:$AJ$6,0),500,1)),0)+_xlfn.IFNA(SUM((AY$3&gt;='Gastos com Pessoal'!$E$513:$E$522)*(AY$3&lt;='Gastos com Pessoal'!$F$513:$F$522)*(IF('Gastos com Pessoal'!$G$513:$G$522&lt;=AY$3,1,0))*OFFSET('Gastos com Pessoal'!$H$512,1,MATCH(1&amp;$B50,'Gastos com Pessoal'!$I$532:$AJ$532&amp;'Gastos com Pessoal'!$I$512:$AJ$512,0),10,1)),0)+_xlfn.IFNA(SUM((AY$3&gt;='Gastos com Pessoal'!$E$513:$E$522)*(AY$3&lt;='Gastos com Pessoal'!$F$513:$F$522)*(IF('Gastos com Pessoal'!$M$513:$M$522&lt;=AY$3,1,0))*OFFSET('Gastos com Pessoal'!$H$512,1,MATCH(2&amp;$B50,'Gastos com Pessoal'!$I$532:$AJ$532&amp;'Gastos com Pessoal'!$I$512:$AJ$512,0),10,1)),0)+_xlfn.IFNA(SUM((AY$3&gt;='Gastos com Pessoal'!$E$513:$E$522)*(AY$3&lt;='Gastos com Pessoal'!$F$513:$F$522)*(IF('Gastos com Pessoal'!$S$513:$S$522&lt;=AY$3,1,0))*OFFSET('Gastos com Pessoal'!$H$512,1,MATCH(3&amp;$B50,'Gastos com Pessoal'!$I$532:$AJ$532&amp;'Gastos com Pessoal'!$I$512:$AJ$512,0),10,1)),0)+_xlfn.IFNA(SUM((AY$3&gt;='Gastos com Pessoal'!$E$513:$E$522)*(AY$3&lt;='Gastos com Pessoal'!$F$513:$F$522)*(IF('Gastos com Pessoal'!$Y$513:$Y$522&lt;=AY$3,1,0))*OFFSET('Gastos com Pessoal'!$H$512,1,MATCH(4&amp;$B50,'Gastos com Pessoal'!$I$532:$AJ$532&amp;'Gastos com Pessoal'!$I$512:$AJ$512,0),10,1)),0)+_xlfn.IFNA(SUM((AY$3&gt;='Gastos com Pessoal'!$E$513:$E$522)*(AY$3&lt;='Gastos com Pessoal'!$F$513:$F$522)*(IF('Gastos com Pessoal'!$AE$513:$AE$522&lt;=AY$3,1,0))*OFFSET('Gastos com Pessoal'!$H$512,1,MATCH(5&amp;$B50,'Gastos com Pessoal'!$I$532:$AJ$532&amp;'Gastos com Pessoal'!$I$512:$AJ$512,0),10,1)),0)</f>
        <v>15353.279999999959</v>
      </c>
      <c r="AZ50" s="188">
        <f t="array" aca="1" ref="AZ50" ca="1">_xlfn.IFNA(SUM((AZ$3&gt;='Gastos com Pessoal'!$E$7:$E$506)*(AZ$3&lt;='Gastos com Pessoal'!$F$7:$F$506)*OFFSET('Encargos e Benefícios'!$D$5,1,MATCH($B50,'Encargos e Benefícios'!$E$5:$AB$5,0),500,1)),0)+_xlfn.IFNA(SUM((AZ$3&gt;='Gastos com Pessoal'!$E$513:$E$522)*(AZ$3&lt;='Gastos com Pessoal'!$F$513:$F$522)*OFFSET('Encargos e Benefícios'!$D$511,1,MATCH($B50,'Encargos e Benefícios'!$E$511:$AB$511,0),10,1)),0)+_xlfn.IFNA(SUM((AZ$3&gt;='Gastos com Pessoal'!$E$7:$E$506)*(AZ$3&lt;='Gastos com Pessoal'!$F$7:$F$506)*(IF('Gastos com Pessoal'!$G$7:$G$506&lt;=AZ$3,1,0))*OFFSET('Gastos com Pessoal'!$H$6,1,MATCH(1&amp;$B50,'Gastos com Pessoal'!$I$532:$AJ$532&amp;'Gastos com Pessoal'!$I$6:$AJ$6,0),500,1)),0)+_xlfn.IFNA(SUM((AZ$3&gt;='Gastos com Pessoal'!$E$7:$E$506)*(AZ$3&lt;='Gastos com Pessoal'!$F$7:$F$506)*(IF('Gastos com Pessoal'!$M$7:$M$506&lt;=AZ$3,1,0))*OFFSET('Gastos com Pessoal'!$H$6,1,MATCH(2&amp;$B50,'Gastos com Pessoal'!$I$532:$AJ$532&amp;'Gastos com Pessoal'!$I$6:$AJ$6,0),500,1)),0)+_xlfn.IFNA(SUM((AZ$3&gt;='Gastos com Pessoal'!$E$7:$E$506)*(AZ$3&lt;='Gastos com Pessoal'!$F$7:$F$506)*(IF('Gastos com Pessoal'!$S$7:$S$506&lt;=AZ$3,1,0))*OFFSET('Gastos com Pessoal'!$H$6,1,MATCH(3&amp;$B50,'Gastos com Pessoal'!$I$532:$AJ$532&amp;'Gastos com Pessoal'!$I$6:$AJ$6,0),500,1)),0)+_xlfn.IFNA(SUM((AZ$3&gt;='Gastos com Pessoal'!$E$7:$E$506)*(AZ$3&lt;='Gastos com Pessoal'!$F$7:$F$506)*(IF('Gastos com Pessoal'!$Y$7:$Y$506&lt;=AZ$3,1,0))*OFFSET('Gastos com Pessoal'!$H$6,1,MATCH(4&amp;$B50,'Gastos com Pessoal'!$I$532:$AJ$532&amp;'Gastos com Pessoal'!$I$6:$AJ$6,0),500,1)),0)+_xlfn.IFNA(SUM((AZ$3&gt;='Gastos com Pessoal'!$E$7:$E$506)*(AZ$3&lt;='Gastos com Pessoal'!$F$7:$F$506)*(IF('Gastos com Pessoal'!$AE$7:$AE$506&lt;=AZ$3,1,0))*OFFSET('Gastos com Pessoal'!$H$6,1,MATCH(5&amp;$B50,'Gastos com Pessoal'!$I$532:$AJ$532&amp;'Gastos com Pessoal'!$I$6:$AJ$6,0),500,1)),0)+_xlfn.IFNA(SUM((AZ$3&gt;='Gastos com Pessoal'!$E$513:$E$522)*(AZ$3&lt;='Gastos com Pessoal'!$F$513:$F$522)*(IF('Gastos com Pessoal'!$G$513:$G$522&lt;=AZ$3,1,0))*OFFSET('Gastos com Pessoal'!$H$512,1,MATCH(1&amp;$B50,'Gastos com Pessoal'!$I$532:$AJ$532&amp;'Gastos com Pessoal'!$I$512:$AJ$512,0),10,1)),0)+_xlfn.IFNA(SUM((AZ$3&gt;='Gastos com Pessoal'!$E$513:$E$522)*(AZ$3&lt;='Gastos com Pessoal'!$F$513:$F$522)*(IF('Gastos com Pessoal'!$M$513:$M$522&lt;=AZ$3,1,0))*OFFSET('Gastos com Pessoal'!$H$512,1,MATCH(2&amp;$B50,'Gastos com Pessoal'!$I$532:$AJ$532&amp;'Gastos com Pessoal'!$I$512:$AJ$512,0),10,1)),0)+_xlfn.IFNA(SUM((AZ$3&gt;='Gastos com Pessoal'!$E$513:$E$522)*(AZ$3&lt;='Gastos com Pessoal'!$F$513:$F$522)*(IF('Gastos com Pessoal'!$S$513:$S$522&lt;=AZ$3,1,0))*OFFSET('Gastos com Pessoal'!$H$512,1,MATCH(3&amp;$B50,'Gastos com Pessoal'!$I$532:$AJ$532&amp;'Gastos com Pessoal'!$I$512:$AJ$512,0),10,1)),0)+_xlfn.IFNA(SUM((AZ$3&gt;='Gastos com Pessoal'!$E$513:$E$522)*(AZ$3&lt;='Gastos com Pessoal'!$F$513:$F$522)*(IF('Gastos com Pessoal'!$Y$513:$Y$522&lt;=AZ$3,1,0))*OFFSET('Gastos com Pessoal'!$H$512,1,MATCH(4&amp;$B50,'Gastos com Pessoal'!$I$532:$AJ$532&amp;'Gastos com Pessoal'!$I$512:$AJ$512,0),10,1)),0)+_xlfn.IFNA(SUM((AZ$3&gt;='Gastos com Pessoal'!$E$513:$E$522)*(AZ$3&lt;='Gastos com Pessoal'!$F$513:$F$522)*(IF('Gastos com Pessoal'!$AE$513:$AE$522&lt;=AZ$3,1,0))*OFFSET('Gastos com Pessoal'!$H$512,1,MATCH(5&amp;$B50,'Gastos com Pessoal'!$I$532:$AJ$532&amp;'Gastos com Pessoal'!$I$512:$AJ$512,0),10,1)),0)</f>
        <v>15353.279999999959</v>
      </c>
      <c r="BA50" s="188">
        <f t="array" aca="1" ref="BA50" ca="1">_xlfn.IFNA(SUM((BA$3&gt;='Gastos com Pessoal'!$E$7:$E$506)*(BA$3&lt;='Gastos com Pessoal'!$F$7:$F$506)*OFFSET('Encargos e Benefícios'!$D$5,1,MATCH($B50,'Encargos e Benefícios'!$E$5:$AB$5,0),500,1)),0)+_xlfn.IFNA(SUM((BA$3&gt;='Gastos com Pessoal'!$E$513:$E$522)*(BA$3&lt;='Gastos com Pessoal'!$F$513:$F$522)*OFFSET('Encargos e Benefícios'!$D$511,1,MATCH($B50,'Encargos e Benefícios'!$E$511:$AB$511,0),10,1)),0)+_xlfn.IFNA(SUM((BA$3&gt;='Gastos com Pessoal'!$E$7:$E$506)*(BA$3&lt;='Gastos com Pessoal'!$F$7:$F$506)*(IF('Gastos com Pessoal'!$G$7:$G$506&lt;=BA$3,1,0))*OFFSET('Gastos com Pessoal'!$H$6,1,MATCH(1&amp;$B50,'Gastos com Pessoal'!$I$532:$AJ$532&amp;'Gastos com Pessoal'!$I$6:$AJ$6,0),500,1)),0)+_xlfn.IFNA(SUM((BA$3&gt;='Gastos com Pessoal'!$E$7:$E$506)*(BA$3&lt;='Gastos com Pessoal'!$F$7:$F$506)*(IF('Gastos com Pessoal'!$M$7:$M$506&lt;=BA$3,1,0))*OFFSET('Gastos com Pessoal'!$H$6,1,MATCH(2&amp;$B50,'Gastos com Pessoal'!$I$532:$AJ$532&amp;'Gastos com Pessoal'!$I$6:$AJ$6,0),500,1)),0)+_xlfn.IFNA(SUM((BA$3&gt;='Gastos com Pessoal'!$E$7:$E$506)*(BA$3&lt;='Gastos com Pessoal'!$F$7:$F$506)*(IF('Gastos com Pessoal'!$S$7:$S$506&lt;=BA$3,1,0))*OFFSET('Gastos com Pessoal'!$H$6,1,MATCH(3&amp;$B50,'Gastos com Pessoal'!$I$532:$AJ$532&amp;'Gastos com Pessoal'!$I$6:$AJ$6,0),500,1)),0)+_xlfn.IFNA(SUM((BA$3&gt;='Gastos com Pessoal'!$E$7:$E$506)*(BA$3&lt;='Gastos com Pessoal'!$F$7:$F$506)*(IF('Gastos com Pessoal'!$Y$7:$Y$506&lt;=BA$3,1,0))*OFFSET('Gastos com Pessoal'!$H$6,1,MATCH(4&amp;$B50,'Gastos com Pessoal'!$I$532:$AJ$532&amp;'Gastos com Pessoal'!$I$6:$AJ$6,0),500,1)),0)+_xlfn.IFNA(SUM((BA$3&gt;='Gastos com Pessoal'!$E$7:$E$506)*(BA$3&lt;='Gastos com Pessoal'!$F$7:$F$506)*(IF('Gastos com Pessoal'!$AE$7:$AE$506&lt;=BA$3,1,0))*OFFSET('Gastos com Pessoal'!$H$6,1,MATCH(5&amp;$B50,'Gastos com Pessoal'!$I$532:$AJ$532&amp;'Gastos com Pessoal'!$I$6:$AJ$6,0),500,1)),0)+_xlfn.IFNA(SUM((BA$3&gt;='Gastos com Pessoal'!$E$513:$E$522)*(BA$3&lt;='Gastos com Pessoal'!$F$513:$F$522)*(IF('Gastos com Pessoal'!$G$513:$G$522&lt;=BA$3,1,0))*OFFSET('Gastos com Pessoal'!$H$512,1,MATCH(1&amp;$B50,'Gastos com Pessoal'!$I$532:$AJ$532&amp;'Gastos com Pessoal'!$I$512:$AJ$512,0),10,1)),0)+_xlfn.IFNA(SUM((BA$3&gt;='Gastos com Pessoal'!$E$513:$E$522)*(BA$3&lt;='Gastos com Pessoal'!$F$513:$F$522)*(IF('Gastos com Pessoal'!$M$513:$M$522&lt;=BA$3,1,0))*OFFSET('Gastos com Pessoal'!$H$512,1,MATCH(2&amp;$B50,'Gastos com Pessoal'!$I$532:$AJ$532&amp;'Gastos com Pessoal'!$I$512:$AJ$512,0),10,1)),0)+_xlfn.IFNA(SUM((BA$3&gt;='Gastos com Pessoal'!$E$513:$E$522)*(BA$3&lt;='Gastos com Pessoal'!$F$513:$F$522)*(IF('Gastos com Pessoal'!$S$513:$S$522&lt;=BA$3,1,0))*OFFSET('Gastos com Pessoal'!$H$512,1,MATCH(3&amp;$B50,'Gastos com Pessoal'!$I$532:$AJ$532&amp;'Gastos com Pessoal'!$I$512:$AJ$512,0),10,1)),0)+_xlfn.IFNA(SUM((BA$3&gt;='Gastos com Pessoal'!$E$513:$E$522)*(BA$3&lt;='Gastos com Pessoal'!$F$513:$F$522)*(IF('Gastos com Pessoal'!$Y$513:$Y$522&lt;=BA$3,1,0))*OFFSET('Gastos com Pessoal'!$H$512,1,MATCH(4&amp;$B50,'Gastos com Pessoal'!$I$532:$AJ$532&amp;'Gastos com Pessoal'!$I$512:$AJ$512,0),10,1)),0)+_xlfn.IFNA(SUM((BA$3&gt;='Gastos com Pessoal'!$E$513:$E$522)*(BA$3&lt;='Gastos com Pessoal'!$F$513:$F$522)*(IF('Gastos com Pessoal'!$AE$513:$AE$522&lt;=BA$3,1,0))*OFFSET('Gastos com Pessoal'!$H$512,1,MATCH(5&amp;$B50,'Gastos com Pessoal'!$I$532:$AJ$532&amp;'Gastos com Pessoal'!$I$512:$AJ$512,0),10,1)),0)</f>
        <v>15353.279999999959</v>
      </c>
      <c r="BB50" s="188">
        <f t="array" aca="1" ref="BB50" ca="1">_xlfn.IFNA(SUM((BB$3&gt;='Gastos com Pessoal'!$E$7:$E$506)*(BB$3&lt;='Gastos com Pessoal'!$F$7:$F$506)*OFFSET('Encargos e Benefícios'!$D$5,1,MATCH($B50,'Encargos e Benefícios'!$E$5:$AB$5,0),500,1)),0)+_xlfn.IFNA(SUM((BB$3&gt;='Gastos com Pessoal'!$E$513:$E$522)*(BB$3&lt;='Gastos com Pessoal'!$F$513:$F$522)*OFFSET('Encargos e Benefícios'!$D$511,1,MATCH($B50,'Encargos e Benefícios'!$E$511:$AB$511,0),10,1)),0)+_xlfn.IFNA(SUM((BB$3&gt;='Gastos com Pessoal'!$E$7:$E$506)*(BB$3&lt;='Gastos com Pessoal'!$F$7:$F$506)*(IF('Gastos com Pessoal'!$G$7:$G$506&lt;=BB$3,1,0))*OFFSET('Gastos com Pessoal'!$H$6,1,MATCH(1&amp;$B50,'Gastos com Pessoal'!$I$532:$AJ$532&amp;'Gastos com Pessoal'!$I$6:$AJ$6,0),500,1)),0)+_xlfn.IFNA(SUM((BB$3&gt;='Gastos com Pessoal'!$E$7:$E$506)*(BB$3&lt;='Gastos com Pessoal'!$F$7:$F$506)*(IF('Gastos com Pessoal'!$M$7:$M$506&lt;=BB$3,1,0))*OFFSET('Gastos com Pessoal'!$H$6,1,MATCH(2&amp;$B50,'Gastos com Pessoal'!$I$532:$AJ$532&amp;'Gastos com Pessoal'!$I$6:$AJ$6,0),500,1)),0)+_xlfn.IFNA(SUM((BB$3&gt;='Gastos com Pessoal'!$E$7:$E$506)*(BB$3&lt;='Gastos com Pessoal'!$F$7:$F$506)*(IF('Gastos com Pessoal'!$S$7:$S$506&lt;=BB$3,1,0))*OFFSET('Gastos com Pessoal'!$H$6,1,MATCH(3&amp;$B50,'Gastos com Pessoal'!$I$532:$AJ$532&amp;'Gastos com Pessoal'!$I$6:$AJ$6,0),500,1)),0)+_xlfn.IFNA(SUM((BB$3&gt;='Gastos com Pessoal'!$E$7:$E$506)*(BB$3&lt;='Gastos com Pessoal'!$F$7:$F$506)*(IF('Gastos com Pessoal'!$Y$7:$Y$506&lt;=BB$3,1,0))*OFFSET('Gastos com Pessoal'!$H$6,1,MATCH(4&amp;$B50,'Gastos com Pessoal'!$I$532:$AJ$532&amp;'Gastos com Pessoal'!$I$6:$AJ$6,0),500,1)),0)+_xlfn.IFNA(SUM((BB$3&gt;='Gastos com Pessoal'!$E$7:$E$506)*(BB$3&lt;='Gastos com Pessoal'!$F$7:$F$506)*(IF('Gastos com Pessoal'!$AE$7:$AE$506&lt;=BB$3,1,0))*OFFSET('Gastos com Pessoal'!$H$6,1,MATCH(5&amp;$B50,'Gastos com Pessoal'!$I$532:$AJ$532&amp;'Gastos com Pessoal'!$I$6:$AJ$6,0),500,1)),0)+_xlfn.IFNA(SUM((BB$3&gt;='Gastos com Pessoal'!$E$513:$E$522)*(BB$3&lt;='Gastos com Pessoal'!$F$513:$F$522)*(IF('Gastos com Pessoal'!$G$513:$G$522&lt;=BB$3,1,0))*OFFSET('Gastos com Pessoal'!$H$512,1,MATCH(1&amp;$B50,'Gastos com Pessoal'!$I$532:$AJ$532&amp;'Gastos com Pessoal'!$I$512:$AJ$512,0),10,1)),0)+_xlfn.IFNA(SUM((BB$3&gt;='Gastos com Pessoal'!$E$513:$E$522)*(BB$3&lt;='Gastos com Pessoal'!$F$513:$F$522)*(IF('Gastos com Pessoal'!$M$513:$M$522&lt;=BB$3,1,0))*OFFSET('Gastos com Pessoal'!$H$512,1,MATCH(2&amp;$B50,'Gastos com Pessoal'!$I$532:$AJ$532&amp;'Gastos com Pessoal'!$I$512:$AJ$512,0),10,1)),0)+_xlfn.IFNA(SUM((BB$3&gt;='Gastos com Pessoal'!$E$513:$E$522)*(BB$3&lt;='Gastos com Pessoal'!$F$513:$F$522)*(IF('Gastos com Pessoal'!$S$513:$S$522&lt;=BB$3,1,0))*OFFSET('Gastos com Pessoal'!$H$512,1,MATCH(3&amp;$B50,'Gastos com Pessoal'!$I$532:$AJ$532&amp;'Gastos com Pessoal'!$I$512:$AJ$512,0),10,1)),0)+_xlfn.IFNA(SUM((BB$3&gt;='Gastos com Pessoal'!$E$513:$E$522)*(BB$3&lt;='Gastos com Pessoal'!$F$513:$F$522)*(IF('Gastos com Pessoal'!$Y$513:$Y$522&lt;=BB$3,1,0))*OFFSET('Gastos com Pessoal'!$H$512,1,MATCH(4&amp;$B50,'Gastos com Pessoal'!$I$532:$AJ$532&amp;'Gastos com Pessoal'!$I$512:$AJ$512,0),10,1)),0)+_xlfn.IFNA(SUM((BB$3&gt;='Gastos com Pessoal'!$E$513:$E$522)*(BB$3&lt;='Gastos com Pessoal'!$F$513:$F$522)*(IF('Gastos com Pessoal'!$AE$513:$AE$522&lt;=BB$3,1,0))*OFFSET('Gastos com Pessoal'!$H$512,1,MATCH(5&amp;$B50,'Gastos com Pessoal'!$I$532:$AJ$532&amp;'Gastos com Pessoal'!$I$512:$AJ$512,0),10,1)),0)</f>
        <v>15353.279999999959</v>
      </c>
      <c r="BC50" s="188">
        <f t="array" aca="1" ref="BC50" ca="1">_xlfn.IFNA(SUM((BC$3&gt;='Gastos com Pessoal'!$E$7:$E$506)*(BC$3&lt;='Gastos com Pessoal'!$F$7:$F$506)*OFFSET('Encargos e Benefícios'!$D$5,1,MATCH($B50,'Encargos e Benefícios'!$E$5:$AB$5,0),500,1)),0)+_xlfn.IFNA(SUM((BC$3&gt;='Gastos com Pessoal'!$E$513:$E$522)*(BC$3&lt;='Gastos com Pessoal'!$F$513:$F$522)*OFFSET('Encargos e Benefícios'!$D$511,1,MATCH($B50,'Encargos e Benefícios'!$E$511:$AB$511,0),10,1)),0)+_xlfn.IFNA(SUM((BC$3&gt;='Gastos com Pessoal'!$E$7:$E$506)*(BC$3&lt;='Gastos com Pessoal'!$F$7:$F$506)*(IF('Gastos com Pessoal'!$G$7:$G$506&lt;=BC$3,1,0))*OFFSET('Gastos com Pessoal'!$H$6,1,MATCH(1&amp;$B50,'Gastos com Pessoal'!$I$532:$AJ$532&amp;'Gastos com Pessoal'!$I$6:$AJ$6,0),500,1)),0)+_xlfn.IFNA(SUM((BC$3&gt;='Gastos com Pessoal'!$E$7:$E$506)*(BC$3&lt;='Gastos com Pessoal'!$F$7:$F$506)*(IF('Gastos com Pessoal'!$M$7:$M$506&lt;=BC$3,1,0))*OFFSET('Gastos com Pessoal'!$H$6,1,MATCH(2&amp;$B50,'Gastos com Pessoal'!$I$532:$AJ$532&amp;'Gastos com Pessoal'!$I$6:$AJ$6,0),500,1)),0)+_xlfn.IFNA(SUM((BC$3&gt;='Gastos com Pessoal'!$E$7:$E$506)*(BC$3&lt;='Gastos com Pessoal'!$F$7:$F$506)*(IF('Gastos com Pessoal'!$S$7:$S$506&lt;=BC$3,1,0))*OFFSET('Gastos com Pessoal'!$H$6,1,MATCH(3&amp;$B50,'Gastos com Pessoal'!$I$532:$AJ$532&amp;'Gastos com Pessoal'!$I$6:$AJ$6,0),500,1)),0)+_xlfn.IFNA(SUM((BC$3&gt;='Gastos com Pessoal'!$E$7:$E$506)*(BC$3&lt;='Gastos com Pessoal'!$F$7:$F$506)*(IF('Gastos com Pessoal'!$Y$7:$Y$506&lt;=BC$3,1,0))*OFFSET('Gastos com Pessoal'!$H$6,1,MATCH(4&amp;$B50,'Gastos com Pessoal'!$I$532:$AJ$532&amp;'Gastos com Pessoal'!$I$6:$AJ$6,0),500,1)),0)+_xlfn.IFNA(SUM((BC$3&gt;='Gastos com Pessoal'!$E$7:$E$506)*(BC$3&lt;='Gastos com Pessoal'!$F$7:$F$506)*(IF('Gastos com Pessoal'!$AE$7:$AE$506&lt;=BC$3,1,0))*OFFSET('Gastos com Pessoal'!$H$6,1,MATCH(5&amp;$B50,'Gastos com Pessoal'!$I$532:$AJ$532&amp;'Gastos com Pessoal'!$I$6:$AJ$6,0),500,1)),0)+_xlfn.IFNA(SUM((BC$3&gt;='Gastos com Pessoal'!$E$513:$E$522)*(BC$3&lt;='Gastos com Pessoal'!$F$513:$F$522)*(IF('Gastos com Pessoal'!$G$513:$G$522&lt;=BC$3,1,0))*OFFSET('Gastos com Pessoal'!$H$512,1,MATCH(1&amp;$B50,'Gastos com Pessoal'!$I$532:$AJ$532&amp;'Gastos com Pessoal'!$I$512:$AJ$512,0),10,1)),0)+_xlfn.IFNA(SUM((BC$3&gt;='Gastos com Pessoal'!$E$513:$E$522)*(BC$3&lt;='Gastos com Pessoal'!$F$513:$F$522)*(IF('Gastos com Pessoal'!$M$513:$M$522&lt;=BC$3,1,0))*OFFSET('Gastos com Pessoal'!$H$512,1,MATCH(2&amp;$B50,'Gastos com Pessoal'!$I$532:$AJ$532&amp;'Gastos com Pessoal'!$I$512:$AJ$512,0),10,1)),0)+_xlfn.IFNA(SUM((BC$3&gt;='Gastos com Pessoal'!$E$513:$E$522)*(BC$3&lt;='Gastos com Pessoal'!$F$513:$F$522)*(IF('Gastos com Pessoal'!$S$513:$S$522&lt;=BC$3,1,0))*OFFSET('Gastos com Pessoal'!$H$512,1,MATCH(3&amp;$B50,'Gastos com Pessoal'!$I$532:$AJ$532&amp;'Gastos com Pessoal'!$I$512:$AJ$512,0),10,1)),0)+_xlfn.IFNA(SUM((BC$3&gt;='Gastos com Pessoal'!$E$513:$E$522)*(BC$3&lt;='Gastos com Pessoal'!$F$513:$F$522)*(IF('Gastos com Pessoal'!$Y$513:$Y$522&lt;=BC$3,1,0))*OFFSET('Gastos com Pessoal'!$H$512,1,MATCH(4&amp;$B50,'Gastos com Pessoal'!$I$532:$AJ$532&amp;'Gastos com Pessoal'!$I$512:$AJ$512,0),10,1)),0)+_xlfn.IFNA(SUM((BC$3&gt;='Gastos com Pessoal'!$E$513:$E$522)*(BC$3&lt;='Gastos com Pessoal'!$F$513:$F$522)*(IF('Gastos com Pessoal'!$AE$513:$AE$522&lt;=BC$3,1,0))*OFFSET('Gastos com Pessoal'!$H$512,1,MATCH(5&amp;$B50,'Gastos com Pessoal'!$I$532:$AJ$532&amp;'Gastos com Pessoal'!$I$512:$AJ$512,0),10,1)),0)</f>
        <v>15353.279999999959</v>
      </c>
      <c r="BD50" s="188">
        <f t="array" aca="1" ref="BD50" ca="1">_xlfn.IFNA(SUM((BD$3&gt;='Gastos com Pessoal'!$E$7:$E$506)*(BD$3&lt;='Gastos com Pessoal'!$F$7:$F$506)*OFFSET('Encargos e Benefícios'!$D$5,1,MATCH($B50,'Encargos e Benefícios'!$E$5:$AB$5,0),500,1)),0)+_xlfn.IFNA(SUM((BD$3&gt;='Gastos com Pessoal'!$E$513:$E$522)*(BD$3&lt;='Gastos com Pessoal'!$F$513:$F$522)*OFFSET('Encargos e Benefícios'!$D$511,1,MATCH($B50,'Encargos e Benefícios'!$E$511:$AB$511,0),10,1)),0)+_xlfn.IFNA(SUM((BD$3&gt;='Gastos com Pessoal'!$E$7:$E$506)*(BD$3&lt;='Gastos com Pessoal'!$F$7:$F$506)*(IF('Gastos com Pessoal'!$G$7:$G$506&lt;=BD$3,1,0))*OFFSET('Gastos com Pessoal'!$H$6,1,MATCH(1&amp;$B50,'Gastos com Pessoal'!$I$532:$AJ$532&amp;'Gastos com Pessoal'!$I$6:$AJ$6,0),500,1)),0)+_xlfn.IFNA(SUM((BD$3&gt;='Gastos com Pessoal'!$E$7:$E$506)*(BD$3&lt;='Gastos com Pessoal'!$F$7:$F$506)*(IF('Gastos com Pessoal'!$M$7:$M$506&lt;=BD$3,1,0))*OFFSET('Gastos com Pessoal'!$H$6,1,MATCH(2&amp;$B50,'Gastos com Pessoal'!$I$532:$AJ$532&amp;'Gastos com Pessoal'!$I$6:$AJ$6,0),500,1)),0)+_xlfn.IFNA(SUM((BD$3&gt;='Gastos com Pessoal'!$E$7:$E$506)*(BD$3&lt;='Gastos com Pessoal'!$F$7:$F$506)*(IF('Gastos com Pessoal'!$S$7:$S$506&lt;=BD$3,1,0))*OFFSET('Gastos com Pessoal'!$H$6,1,MATCH(3&amp;$B50,'Gastos com Pessoal'!$I$532:$AJ$532&amp;'Gastos com Pessoal'!$I$6:$AJ$6,0),500,1)),0)+_xlfn.IFNA(SUM((BD$3&gt;='Gastos com Pessoal'!$E$7:$E$506)*(BD$3&lt;='Gastos com Pessoal'!$F$7:$F$506)*(IF('Gastos com Pessoal'!$Y$7:$Y$506&lt;=BD$3,1,0))*OFFSET('Gastos com Pessoal'!$H$6,1,MATCH(4&amp;$B50,'Gastos com Pessoal'!$I$532:$AJ$532&amp;'Gastos com Pessoal'!$I$6:$AJ$6,0),500,1)),0)+_xlfn.IFNA(SUM((BD$3&gt;='Gastos com Pessoal'!$E$7:$E$506)*(BD$3&lt;='Gastos com Pessoal'!$F$7:$F$506)*(IF('Gastos com Pessoal'!$AE$7:$AE$506&lt;=BD$3,1,0))*OFFSET('Gastos com Pessoal'!$H$6,1,MATCH(5&amp;$B50,'Gastos com Pessoal'!$I$532:$AJ$532&amp;'Gastos com Pessoal'!$I$6:$AJ$6,0),500,1)),0)+_xlfn.IFNA(SUM((BD$3&gt;='Gastos com Pessoal'!$E$513:$E$522)*(BD$3&lt;='Gastos com Pessoal'!$F$513:$F$522)*(IF('Gastos com Pessoal'!$G$513:$G$522&lt;=BD$3,1,0))*OFFSET('Gastos com Pessoal'!$H$512,1,MATCH(1&amp;$B50,'Gastos com Pessoal'!$I$532:$AJ$532&amp;'Gastos com Pessoal'!$I$512:$AJ$512,0),10,1)),0)+_xlfn.IFNA(SUM((BD$3&gt;='Gastos com Pessoal'!$E$513:$E$522)*(BD$3&lt;='Gastos com Pessoal'!$F$513:$F$522)*(IF('Gastos com Pessoal'!$M$513:$M$522&lt;=BD$3,1,0))*OFFSET('Gastos com Pessoal'!$H$512,1,MATCH(2&amp;$B50,'Gastos com Pessoal'!$I$532:$AJ$532&amp;'Gastos com Pessoal'!$I$512:$AJ$512,0),10,1)),0)+_xlfn.IFNA(SUM((BD$3&gt;='Gastos com Pessoal'!$E$513:$E$522)*(BD$3&lt;='Gastos com Pessoal'!$F$513:$F$522)*(IF('Gastos com Pessoal'!$S$513:$S$522&lt;=BD$3,1,0))*OFFSET('Gastos com Pessoal'!$H$512,1,MATCH(3&amp;$B50,'Gastos com Pessoal'!$I$532:$AJ$532&amp;'Gastos com Pessoal'!$I$512:$AJ$512,0),10,1)),0)+_xlfn.IFNA(SUM((BD$3&gt;='Gastos com Pessoal'!$E$513:$E$522)*(BD$3&lt;='Gastos com Pessoal'!$F$513:$F$522)*(IF('Gastos com Pessoal'!$Y$513:$Y$522&lt;=BD$3,1,0))*OFFSET('Gastos com Pessoal'!$H$512,1,MATCH(4&amp;$B50,'Gastos com Pessoal'!$I$532:$AJ$532&amp;'Gastos com Pessoal'!$I$512:$AJ$512,0),10,1)),0)+_xlfn.IFNA(SUM((BD$3&gt;='Gastos com Pessoal'!$E$513:$E$522)*(BD$3&lt;='Gastos com Pessoal'!$F$513:$F$522)*(IF('Gastos com Pessoal'!$AE$513:$AE$522&lt;=BD$3,1,0))*OFFSET('Gastos com Pessoal'!$H$512,1,MATCH(5&amp;$B50,'Gastos com Pessoal'!$I$532:$AJ$532&amp;'Gastos com Pessoal'!$I$512:$AJ$512,0),10,1)),0)</f>
        <v>15353.279999999959</v>
      </c>
      <c r="BE50" s="188">
        <f t="array" aca="1" ref="BE50" ca="1">_xlfn.IFNA(SUM((BE$3&gt;='Gastos com Pessoal'!$E$7:$E$506)*(BE$3&lt;='Gastos com Pessoal'!$F$7:$F$506)*OFFSET('Encargos e Benefícios'!$D$5,1,MATCH($B50,'Encargos e Benefícios'!$E$5:$AB$5,0),500,1)),0)+_xlfn.IFNA(SUM((BE$3&gt;='Gastos com Pessoal'!$E$513:$E$522)*(BE$3&lt;='Gastos com Pessoal'!$F$513:$F$522)*OFFSET('Encargos e Benefícios'!$D$511,1,MATCH($B50,'Encargos e Benefícios'!$E$511:$AB$511,0),10,1)),0)+_xlfn.IFNA(SUM((BE$3&gt;='Gastos com Pessoal'!$E$7:$E$506)*(BE$3&lt;='Gastos com Pessoal'!$F$7:$F$506)*(IF('Gastos com Pessoal'!$G$7:$G$506&lt;=BE$3,1,0))*OFFSET('Gastos com Pessoal'!$H$6,1,MATCH(1&amp;$B50,'Gastos com Pessoal'!$I$532:$AJ$532&amp;'Gastos com Pessoal'!$I$6:$AJ$6,0),500,1)),0)+_xlfn.IFNA(SUM((BE$3&gt;='Gastos com Pessoal'!$E$7:$E$506)*(BE$3&lt;='Gastos com Pessoal'!$F$7:$F$506)*(IF('Gastos com Pessoal'!$M$7:$M$506&lt;=BE$3,1,0))*OFFSET('Gastos com Pessoal'!$H$6,1,MATCH(2&amp;$B50,'Gastos com Pessoal'!$I$532:$AJ$532&amp;'Gastos com Pessoal'!$I$6:$AJ$6,0),500,1)),0)+_xlfn.IFNA(SUM((BE$3&gt;='Gastos com Pessoal'!$E$7:$E$506)*(BE$3&lt;='Gastos com Pessoal'!$F$7:$F$506)*(IF('Gastos com Pessoal'!$S$7:$S$506&lt;=BE$3,1,0))*OFFSET('Gastos com Pessoal'!$H$6,1,MATCH(3&amp;$B50,'Gastos com Pessoal'!$I$532:$AJ$532&amp;'Gastos com Pessoal'!$I$6:$AJ$6,0),500,1)),0)+_xlfn.IFNA(SUM((BE$3&gt;='Gastos com Pessoal'!$E$7:$E$506)*(BE$3&lt;='Gastos com Pessoal'!$F$7:$F$506)*(IF('Gastos com Pessoal'!$Y$7:$Y$506&lt;=BE$3,1,0))*OFFSET('Gastos com Pessoal'!$H$6,1,MATCH(4&amp;$B50,'Gastos com Pessoal'!$I$532:$AJ$532&amp;'Gastos com Pessoal'!$I$6:$AJ$6,0),500,1)),0)+_xlfn.IFNA(SUM((BE$3&gt;='Gastos com Pessoal'!$E$7:$E$506)*(BE$3&lt;='Gastos com Pessoal'!$F$7:$F$506)*(IF('Gastos com Pessoal'!$AE$7:$AE$506&lt;=BE$3,1,0))*OFFSET('Gastos com Pessoal'!$H$6,1,MATCH(5&amp;$B50,'Gastos com Pessoal'!$I$532:$AJ$532&amp;'Gastos com Pessoal'!$I$6:$AJ$6,0),500,1)),0)+_xlfn.IFNA(SUM((BE$3&gt;='Gastos com Pessoal'!$E$513:$E$522)*(BE$3&lt;='Gastos com Pessoal'!$F$513:$F$522)*(IF('Gastos com Pessoal'!$G$513:$G$522&lt;=BE$3,1,0))*OFFSET('Gastos com Pessoal'!$H$512,1,MATCH(1&amp;$B50,'Gastos com Pessoal'!$I$532:$AJ$532&amp;'Gastos com Pessoal'!$I$512:$AJ$512,0),10,1)),0)+_xlfn.IFNA(SUM((BE$3&gt;='Gastos com Pessoal'!$E$513:$E$522)*(BE$3&lt;='Gastos com Pessoal'!$F$513:$F$522)*(IF('Gastos com Pessoal'!$M$513:$M$522&lt;=BE$3,1,0))*OFFSET('Gastos com Pessoal'!$H$512,1,MATCH(2&amp;$B50,'Gastos com Pessoal'!$I$532:$AJ$532&amp;'Gastos com Pessoal'!$I$512:$AJ$512,0),10,1)),0)+_xlfn.IFNA(SUM((BE$3&gt;='Gastos com Pessoal'!$E$513:$E$522)*(BE$3&lt;='Gastos com Pessoal'!$F$513:$F$522)*(IF('Gastos com Pessoal'!$S$513:$S$522&lt;=BE$3,1,0))*OFFSET('Gastos com Pessoal'!$H$512,1,MATCH(3&amp;$B50,'Gastos com Pessoal'!$I$532:$AJ$532&amp;'Gastos com Pessoal'!$I$512:$AJ$512,0),10,1)),0)+_xlfn.IFNA(SUM((BE$3&gt;='Gastos com Pessoal'!$E$513:$E$522)*(BE$3&lt;='Gastos com Pessoal'!$F$513:$F$522)*(IF('Gastos com Pessoal'!$Y$513:$Y$522&lt;=BE$3,1,0))*OFFSET('Gastos com Pessoal'!$H$512,1,MATCH(4&amp;$B50,'Gastos com Pessoal'!$I$532:$AJ$532&amp;'Gastos com Pessoal'!$I$512:$AJ$512,0),10,1)),0)+_xlfn.IFNA(SUM((BE$3&gt;='Gastos com Pessoal'!$E$513:$E$522)*(BE$3&lt;='Gastos com Pessoal'!$F$513:$F$522)*(IF('Gastos com Pessoal'!$AE$513:$AE$522&lt;=BE$3,1,0))*OFFSET('Gastos com Pessoal'!$H$512,1,MATCH(5&amp;$B50,'Gastos com Pessoal'!$I$532:$AJ$532&amp;'Gastos com Pessoal'!$I$512:$AJ$512,0),10,1)),0)</f>
        <v>15353.279999999959</v>
      </c>
      <c r="BF50" s="188">
        <f t="array" aca="1" ref="BF50" ca="1">_xlfn.IFNA(SUM((BF$3&gt;='Gastos com Pessoal'!$E$7:$E$506)*(BF$3&lt;='Gastos com Pessoal'!$F$7:$F$506)*OFFSET('Encargos e Benefícios'!$D$5,1,MATCH($B50,'Encargos e Benefícios'!$E$5:$AB$5,0),500,1)),0)+_xlfn.IFNA(SUM((BF$3&gt;='Gastos com Pessoal'!$E$513:$E$522)*(BF$3&lt;='Gastos com Pessoal'!$F$513:$F$522)*OFFSET('Encargos e Benefícios'!$D$511,1,MATCH($B50,'Encargos e Benefícios'!$E$511:$AB$511,0),10,1)),0)+_xlfn.IFNA(SUM((BF$3&gt;='Gastos com Pessoal'!$E$7:$E$506)*(BF$3&lt;='Gastos com Pessoal'!$F$7:$F$506)*(IF('Gastos com Pessoal'!$G$7:$G$506&lt;=BF$3,1,0))*OFFSET('Gastos com Pessoal'!$H$6,1,MATCH(1&amp;$B50,'Gastos com Pessoal'!$I$532:$AJ$532&amp;'Gastos com Pessoal'!$I$6:$AJ$6,0),500,1)),0)+_xlfn.IFNA(SUM((BF$3&gt;='Gastos com Pessoal'!$E$7:$E$506)*(BF$3&lt;='Gastos com Pessoal'!$F$7:$F$506)*(IF('Gastos com Pessoal'!$M$7:$M$506&lt;=BF$3,1,0))*OFFSET('Gastos com Pessoal'!$H$6,1,MATCH(2&amp;$B50,'Gastos com Pessoal'!$I$532:$AJ$532&amp;'Gastos com Pessoal'!$I$6:$AJ$6,0),500,1)),0)+_xlfn.IFNA(SUM((BF$3&gt;='Gastos com Pessoal'!$E$7:$E$506)*(BF$3&lt;='Gastos com Pessoal'!$F$7:$F$506)*(IF('Gastos com Pessoal'!$S$7:$S$506&lt;=BF$3,1,0))*OFFSET('Gastos com Pessoal'!$H$6,1,MATCH(3&amp;$B50,'Gastos com Pessoal'!$I$532:$AJ$532&amp;'Gastos com Pessoal'!$I$6:$AJ$6,0),500,1)),0)+_xlfn.IFNA(SUM((BF$3&gt;='Gastos com Pessoal'!$E$7:$E$506)*(BF$3&lt;='Gastos com Pessoal'!$F$7:$F$506)*(IF('Gastos com Pessoal'!$Y$7:$Y$506&lt;=BF$3,1,0))*OFFSET('Gastos com Pessoal'!$H$6,1,MATCH(4&amp;$B50,'Gastos com Pessoal'!$I$532:$AJ$532&amp;'Gastos com Pessoal'!$I$6:$AJ$6,0),500,1)),0)+_xlfn.IFNA(SUM((BF$3&gt;='Gastos com Pessoal'!$E$7:$E$506)*(BF$3&lt;='Gastos com Pessoal'!$F$7:$F$506)*(IF('Gastos com Pessoal'!$AE$7:$AE$506&lt;=BF$3,1,0))*OFFSET('Gastos com Pessoal'!$H$6,1,MATCH(5&amp;$B50,'Gastos com Pessoal'!$I$532:$AJ$532&amp;'Gastos com Pessoal'!$I$6:$AJ$6,0),500,1)),0)+_xlfn.IFNA(SUM((BF$3&gt;='Gastos com Pessoal'!$E$513:$E$522)*(BF$3&lt;='Gastos com Pessoal'!$F$513:$F$522)*(IF('Gastos com Pessoal'!$G$513:$G$522&lt;=BF$3,1,0))*OFFSET('Gastos com Pessoal'!$H$512,1,MATCH(1&amp;$B50,'Gastos com Pessoal'!$I$532:$AJ$532&amp;'Gastos com Pessoal'!$I$512:$AJ$512,0),10,1)),0)+_xlfn.IFNA(SUM((BF$3&gt;='Gastos com Pessoal'!$E$513:$E$522)*(BF$3&lt;='Gastos com Pessoal'!$F$513:$F$522)*(IF('Gastos com Pessoal'!$M$513:$M$522&lt;=BF$3,1,0))*OFFSET('Gastos com Pessoal'!$H$512,1,MATCH(2&amp;$B50,'Gastos com Pessoal'!$I$532:$AJ$532&amp;'Gastos com Pessoal'!$I$512:$AJ$512,0),10,1)),0)+_xlfn.IFNA(SUM((BF$3&gt;='Gastos com Pessoal'!$E$513:$E$522)*(BF$3&lt;='Gastos com Pessoal'!$F$513:$F$522)*(IF('Gastos com Pessoal'!$S$513:$S$522&lt;=BF$3,1,0))*OFFSET('Gastos com Pessoal'!$H$512,1,MATCH(3&amp;$B50,'Gastos com Pessoal'!$I$532:$AJ$532&amp;'Gastos com Pessoal'!$I$512:$AJ$512,0),10,1)),0)+_xlfn.IFNA(SUM((BF$3&gt;='Gastos com Pessoal'!$E$513:$E$522)*(BF$3&lt;='Gastos com Pessoal'!$F$513:$F$522)*(IF('Gastos com Pessoal'!$Y$513:$Y$522&lt;=BF$3,1,0))*OFFSET('Gastos com Pessoal'!$H$512,1,MATCH(4&amp;$B50,'Gastos com Pessoal'!$I$532:$AJ$532&amp;'Gastos com Pessoal'!$I$512:$AJ$512,0),10,1)),0)+_xlfn.IFNA(SUM((BF$3&gt;='Gastos com Pessoal'!$E$513:$E$522)*(BF$3&lt;='Gastos com Pessoal'!$F$513:$F$522)*(IF('Gastos com Pessoal'!$AE$513:$AE$522&lt;=BF$3,1,0))*OFFSET('Gastos com Pessoal'!$H$512,1,MATCH(5&amp;$B50,'Gastos com Pessoal'!$I$532:$AJ$532&amp;'Gastos com Pessoal'!$I$512:$AJ$512,0),10,1)),0)</f>
        <v>15353.279999999959</v>
      </c>
      <c r="BG50" s="188">
        <f t="array" aca="1" ref="BG50" ca="1">_xlfn.IFNA(SUM((BG$3&gt;='Gastos com Pessoal'!$E$7:$E$506)*(BG$3&lt;='Gastos com Pessoal'!$F$7:$F$506)*OFFSET('Encargos e Benefícios'!$D$5,1,MATCH($B50,'Encargos e Benefícios'!$E$5:$AB$5,0),500,1)),0)+_xlfn.IFNA(SUM((BG$3&gt;='Gastos com Pessoal'!$E$513:$E$522)*(BG$3&lt;='Gastos com Pessoal'!$F$513:$F$522)*OFFSET('Encargos e Benefícios'!$D$511,1,MATCH($B50,'Encargos e Benefícios'!$E$511:$AB$511,0),10,1)),0)+_xlfn.IFNA(SUM((BG$3&gt;='Gastos com Pessoal'!$E$7:$E$506)*(BG$3&lt;='Gastos com Pessoal'!$F$7:$F$506)*(IF('Gastos com Pessoal'!$G$7:$G$506&lt;=BG$3,1,0))*OFFSET('Gastos com Pessoal'!$H$6,1,MATCH(1&amp;$B50,'Gastos com Pessoal'!$I$532:$AJ$532&amp;'Gastos com Pessoal'!$I$6:$AJ$6,0),500,1)),0)+_xlfn.IFNA(SUM((BG$3&gt;='Gastos com Pessoal'!$E$7:$E$506)*(BG$3&lt;='Gastos com Pessoal'!$F$7:$F$506)*(IF('Gastos com Pessoal'!$M$7:$M$506&lt;=BG$3,1,0))*OFFSET('Gastos com Pessoal'!$H$6,1,MATCH(2&amp;$B50,'Gastos com Pessoal'!$I$532:$AJ$532&amp;'Gastos com Pessoal'!$I$6:$AJ$6,0),500,1)),0)+_xlfn.IFNA(SUM((BG$3&gt;='Gastos com Pessoal'!$E$7:$E$506)*(BG$3&lt;='Gastos com Pessoal'!$F$7:$F$506)*(IF('Gastos com Pessoal'!$S$7:$S$506&lt;=BG$3,1,0))*OFFSET('Gastos com Pessoal'!$H$6,1,MATCH(3&amp;$B50,'Gastos com Pessoal'!$I$532:$AJ$532&amp;'Gastos com Pessoal'!$I$6:$AJ$6,0),500,1)),0)+_xlfn.IFNA(SUM((BG$3&gt;='Gastos com Pessoal'!$E$7:$E$506)*(BG$3&lt;='Gastos com Pessoal'!$F$7:$F$506)*(IF('Gastos com Pessoal'!$Y$7:$Y$506&lt;=BG$3,1,0))*OFFSET('Gastos com Pessoal'!$H$6,1,MATCH(4&amp;$B50,'Gastos com Pessoal'!$I$532:$AJ$532&amp;'Gastos com Pessoal'!$I$6:$AJ$6,0),500,1)),0)+_xlfn.IFNA(SUM((BG$3&gt;='Gastos com Pessoal'!$E$7:$E$506)*(BG$3&lt;='Gastos com Pessoal'!$F$7:$F$506)*(IF('Gastos com Pessoal'!$AE$7:$AE$506&lt;=BG$3,1,0))*OFFSET('Gastos com Pessoal'!$H$6,1,MATCH(5&amp;$B50,'Gastos com Pessoal'!$I$532:$AJ$532&amp;'Gastos com Pessoal'!$I$6:$AJ$6,0),500,1)),0)+_xlfn.IFNA(SUM((BG$3&gt;='Gastos com Pessoal'!$E$513:$E$522)*(BG$3&lt;='Gastos com Pessoal'!$F$513:$F$522)*(IF('Gastos com Pessoal'!$G$513:$G$522&lt;=BG$3,1,0))*OFFSET('Gastos com Pessoal'!$H$512,1,MATCH(1&amp;$B50,'Gastos com Pessoal'!$I$532:$AJ$532&amp;'Gastos com Pessoal'!$I$512:$AJ$512,0),10,1)),0)+_xlfn.IFNA(SUM((BG$3&gt;='Gastos com Pessoal'!$E$513:$E$522)*(BG$3&lt;='Gastos com Pessoal'!$F$513:$F$522)*(IF('Gastos com Pessoal'!$M$513:$M$522&lt;=BG$3,1,0))*OFFSET('Gastos com Pessoal'!$H$512,1,MATCH(2&amp;$B50,'Gastos com Pessoal'!$I$532:$AJ$532&amp;'Gastos com Pessoal'!$I$512:$AJ$512,0),10,1)),0)+_xlfn.IFNA(SUM((BG$3&gt;='Gastos com Pessoal'!$E$513:$E$522)*(BG$3&lt;='Gastos com Pessoal'!$F$513:$F$522)*(IF('Gastos com Pessoal'!$S$513:$S$522&lt;=BG$3,1,0))*OFFSET('Gastos com Pessoal'!$H$512,1,MATCH(3&amp;$B50,'Gastos com Pessoal'!$I$532:$AJ$532&amp;'Gastos com Pessoal'!$I$512:$AJ$512,0),10,1)),0)+_xlfn.IFNA(SUM((BG$3&gt;='Gastos com Pessoal'!$E$513:$E$522)*(BG$3&lt;='Gastos com Pessoal'!$F$513:$F$522)*(IF('Gastos com Pessoal'!$Y$513:$Y$522&lt;=BG$3,1,0))*OFFSET('Gastos com Pessoal'!$H$512,1,MATCH(4&amp;$B50,'Gastos com Pessoal'!$I$532:$AJ$532&amp;'Gastos com Pessoal'!$I$512:$AJ$512,0),10,1)),0)+_xlfn.IFNA(SUM((BG$3&gt;='Gastos com Pessoal'!$E$513:$E$522)*(BG$3&lt;='Gastos com Pessoal'!$F$513:$F$522)*(IF('Gastos com Pessoal'!$AE$513:$AE$522&lt;=BG$3,1,0))*OFFSET('Gastos com Pessoal'!$H$512,1,MATCH(5&amp;$B50,'Gastos com Pessoal'!$I$532:$AJ$532&amp;'Gastos com Pessoal'!$I$512:$AJ$512,0),10,1)),0)</f>
        <v>15353.279999999959</v>
      </c>
      <c r="BH50" s="188">
        <f t="array" aca="1" ref="BH50" ca="1">_xlfn.IFNA(SUM((BH$3&gt;='Gastos com Pessoal'!$E$7:$E$506)*(BH$3&lt;='Gastos com Pessoal'!$F$7:$F$506)*OFFSET('Encargos e Benefícios'!$D$5,1,MATCH($B50,'Encargos e Benefícios'!$E$5:$AB$5,0),500,1)),0)+_xlfn.IFNA(SUM((BH$3&gt;='Gastos com Pessoal'!$E$513:$E$522)*(BH$3&lt;='Gastos com Pessoal'!$F$513:$F$522)*OFFSET('Encargos e Benefícios'!$D$511,1,MATCH($B50,'Encargos e Benefícios'!$E$511:$AB$511,0),10,1)),0)+_xlfn.IFNA(SUM((BH$3&gt;='Gastos com Pessoal'!$E$7:$E$506)*(BH$3&lt;='Gastos com Pessoal'!$F$7:$F$506)*(IF('Gastos com Pessoal'!$G$7:$G$506&lt;=BH$3,1,0))*OFFSET('Gastos com Pessoal'!$H$6,1,MATCH(1&amp;$B50,'Gastos com Pessoal'!$I$532:$AJ$532&amp;'Gastos com Pessoal'!$I$6:$AJ$6,0),500,1)),0)+_xlfn.IFNA(SUM((BH$3&gt;='Gastos com Pessoal'!$E$7:$E$506)*(BH$3&lt;='Gastos com Pessoal'!$F$7:$F$506)*(IF('Gastos com Pessoal'!$M$7:$M$506&lt;=BH$3,1,0))*OFFSET('Gastos com Pessoal'!$H$6,1,MATCH(2&amp;$B50,'Gastos com Pessoal'!$I$532:$AJ$532&amp;'Gastos com Pessoal'!$I$6:$AJ$6,0),500,1)),0)+_xlfn.IFNA(SUM((BH$3&gt;='Gastos com Pessoal'!$E$7:$E$506)*(BH$3&lt;='Gastos com Pessoal'!$F$7:$F$506)*(IF('Gastos com Pessoal'!$S$7:$S$506&lt;=BH$3,1,0))*OFFSET('Gastos com Pessoal'!$H$6,1,MATCH(3&amp;$B50,'Gastos com Pessoal'!$I$532:$AJ$532&amp;'Gastos com Pessoal'!$I$6:$AJ$6,0),500,1)),0)+_xlfn.IFNA(SUM((BH$3&gt;='Gastos com Pessoal'!$E$7:$E$506)*(BH$3&lt;='Gastos com Pessoal'!$F$7:$F$506)*(IF('Gastos com Pessoal'!$Y$7:$Y$506&lt;=BH$3,1,0))*OFFSET('Gastos com Pessoal'!$H$6,1,MATCH(4&amp;$B50,'Gastos com Pessoal'!$I$532:$AJ$532&amp;'Gastos com Pessoal'!$I$6:$AJ$6,0),500,1)),0)+_xlfn.IFNA(SUM((BH$3&gt;='Gastos com Pessoal'!$E$7:$E$506)*(BH$3&lt;='Gastos com Pessoal'!$F$7:$F$506)*(IF('Gastos com Pessoal'!$AE$7:$AE$506&lt;=BH$3,1,0))*OFFSET('Gastos com Pessoal'!$H$6,1,MATCH(5&amp;$B50,'Gastos com Pessoal'!$I$532:$AJ$532&amp;'Gastos com Pessoal'!$I$6:$AJ$6,0),500,1)),0)+_xlfn.IFNA(SUM((BH$3&gt;='Gastos com Pessoal'!$E$513:$E$522)*(BH$3&lt;='Gastos com Pessoal'!$F$513:$F$522)*(IF('Gastos com Pessoal'!$G$513:$G$522&lt;=BH$3,1,0))*OFFSET('Gastos com Pessoal'!$H$512,1,MATCH(1&amp;$B50,'Gastos com Pessoal'!$I$532:$AJ$532&amp;'Gastos com Pessoal'!$I$512:$AJ$512,0),10,1)),0)+_xlfn.IFNA(SUM((BH$3&gt;='Gastos com Pessoal'!$E$513:$E$522)*(BH$3&lt;='Gastos com Pessoal'!$F$513:$F$522)*(IF('Gastos com Pessoal'!$M$513:$M$522&lt;=BH$3,1,0))*OFFSET('Gastos com Pessoal'!$H$512,1,MATCH(2&amp;$B50,'Gastos com Pessoal'!$I$532:$AJ$532&amp;'Gastos com Pessoal'!$I$512:$AJ$512,0),10,1)),0)+_xlfn.IFNA(SUM((BH$3&gt;='Gastos com Pessoal'!$E$513:$E$522)*(BH$3&lt;='Gastos com Pessoal'!$F$513:$F$522)*(IF('Gastos com Pessoal'!$S$513:$S$522&lt;=BH$3,1,0))*OFFSET('Gastos com Pessoal'!$H$512,1,MATCH(3&amp;$B50,'Gastos com Pessoal'!$I$532:$AJ$532&amp;'Gastos com Pessoal'!$I$512:$AJ$512,0),10,1)),0)+_xlfn.IFNA(SUM((BH$3&gt;='Gastos com Pessoal'!$E$513:$E$522)*(BH$3&lt;='Gastos com Pessoal'!$F$513:$F$522)*(IF('Gastos com Pessoal'!$Y$513:$Y$522&lt;=BH$3,1,0))*OFFSET('Gastos com Pessoal'!$H$512,1,MATCH(4&amp;$B50,'Gastos com Pessoal'!$I$532:$AJ$532&amp;'Gastos com Pessoal'!$I$512:$AJ$512,0),10,1)),0)+_xlfn.IFNA(SUM((BH$3&gt;='Gastos com Pessoal'!$E$513:$E$522)*(BH$3&lt;='Gastos com Pessoal'!$F$513:$F$522)*(IF('Gastos com Pessoal'!$AE$513:$AE$522&lt;=BH$3,1,0))*OFFSET('Gastos com Pessoal'!$H$512,1,MATCH(5&amp;$B50,'Gastos com Pessoal'!$I$532:$AJ$532&amp;'Gastos com Pessoal'!$I$512:$AJ$512,0),10,1)),0)</f>
        <v>15353.279999999959</v>
      </c>
      <c r="BI50" s="188">
        <f t="array" aca="1" ref="BI50" ca="1">_xlfn.IFNA(SUM((BI$3&gt;='Gastos com Pessoal'!$E$7:$E$506)*(BI$3&lt;='Gastos com Pessoal'!$F$7:$F$506)*OFFSET('Encargos e Benefícios'!$D$5,1,MATCH($B50,'Encargos e Benefícios'!$E$5:$AB$5,0),500,1)),0)+_xlfn.IFNA(SUM((BI$3&gt;='Gastos com Pessoal'!$E$513:$E$522)*(BI$3&lt;='Gastos com Pessoal'!$F$513:$F$522)*OFFSET('Encargos e Benefícios'!$D$511,1,MATCH($B50,'Encargos e Benefícios'!$E$511:$AB$511,0),10,1)),0)+_xlfn.IFNA(SUM((BI$3&gt;='Gastos com Pessoal'!$E$7:$E$506)*(BI$3&lt;='Gastos com Pessoal'!$F$7:$F$506)*(IF('Gastos com Pessoal'!$G$7:$G$506&lt;=BI$3,1,0))*OFFSET('Gastos com Pessoal'!$H$6,1,MATCH(1&amp;$B50,'Gastos com Pessoal'!$I$532:$AJ$532&amp;'Gastos com Pessoal'!$I$6:$AJ$6,0),500,1)),0)+_xlfn.IFNA(SUM((BI$3&gt;='Gastos com Pessoal'!$E$7:$E$506)*(BI$3&lt;='Gastos com Pessoal'!$F$7:$F$506)*(IF('Gastos com Pessoal'!$M$7:$M$506&lt;=BI$3,1,0))*OFFSET('Gastos com Pessoal'!$H$6,1,MATCH(2&amp;$B50,'Gastos com Pessoal'!$I$532:$AJ$532&amp;'Gastos com Pessoal'!$I$6:$AJ$6,0),500,1)),0)+_xlfn.IFNA(SUM((BI$3&gt;='Gastos com Pessoal'!$E$7:$E$506)*(BI$3&lt;='Gastos com Pessoal'!$F$7:$F$506)*(IF('Gastos com Pessoal'!$S$7:$S$506&lt;=BI$3,1,0))*OFFSET('Gastos com Pessoal'!$H$6,1,MATCH(3&amp;$B50,'Gastos com Pessoal'!$I$532:$AJ$532&amp;'Gastos com Pessoal'!$I$6:$AJ$6,0),500,1)),0)+_xlfn.IFNA(SUM((BI$3&gt;='Gastos com Pessoal'!$E$7:$E$506)*(BI$3&lt;='Gastos com Pessoal'!$F$7:$F$506)*(IF('Gastos com Pessoal'!$Y$7:$Y$506&lt;=BI$3,1,0))*OFFSET('Gastos com Pessoal'!$H$6,1,MATCH(4&amp;$B50,'Gastos com Pessoal'!$I$532:$AJ$532&amp;'Gastos com Pessoal'!$I$6:$AJ$6,0),500,1)),0)+_xlfn.IFNA(SUM((BI$3&gt;='Gastos com Pessoal'!$E$7:$E$506)*(BI$3&lt;='Gastos com Pessoal'!$F$7:$F$506)*(IF('Gastos com Pessoal'!$AE$7:$AE$506&lt;=BI$3,1,0))*OFFSET('Gastos com Pessoal'!$H$6,1,MATCH(5&amp;$B50,'Gastos com Pessoal'!$I$532:$AJ$532&amp;'Gastos com Pessoal'!$I$6:$AJ$6,0),500,1)),0)+_xlfn.IFNA(SUM((BI$3&gt;='Gastos com Pessoal'!$E$513:$E$522)*(BI$3&lt;='Gastos com Pessoal'!$F$513:$F$522)*(IF('Gastos com Pessoal'!$G$513:$G$522&lt;=BI$3,1,0))*OFFSET('Gastos com Pessoal'!$H$512,1,MATCH(1&amp;$B50,'Gastos com Pessoal'!$I$532:$AJ$532&amp;'Gastos com Pessoal'!$I$512:$AJ$512,0),10,1)),0)+_xlfn.IFNA(SUM((BI$3&gt;='Gastos com Pessoal'!$E$513:$E$522)*(BI$3&lt;='Gastos com Pessoal'!$F$513:$F$522)*(IF('Gastos com Pessoal'!$M$513:$M$522&lt;=BI$3,1,0))*OFFSET('Gastos com Pessoal'!$H$512,1,MATCH(2&amp;$B50,'Gastos com Pessoal'!$I$532:$AJ$532&amp;'Gastos com Pessoal'!$I$512:$AJ$512,0),10,1)),0)+_xlfn.IFNA(SUM((BI$3&gt;='Gastos com Pessoal'!$E$513:$E$522)*(BI$3&lt;='Gastos com Pessoal'!$F$513:$F$522)*(IF('Gastos com Pessoal'!$S$513:$S$522&lt;=BI$3,1,0))*OFFSET('Gastos com Pessoal'!$H$512,1,MATCH(3&amp;$B50,'Gastos com Pessoal'!$I$532:$AJ$532&amp;'Gastos com Pessoal'!$I$512:$AJ$512,0),10,1)),0)+_xlfn.IFNA(SUM((BI$3&gt;='Gastos com Pessoal'!$E$513:$E$522)*(BI$3&lt;='Gastos com Pessoal'!$F$513:$F$522)*(IF('Gastos com Pessoal'!$Y$513:$Y$522&lt;=BI$3,1,0))*OFFSET('Gastos com Pessoal'!$H$512,1,MATCH(4&amp;$B50,'Gastos com Pessoal'!$I$532:$AJ$532&amp;'Gastos com Pessoal'!$I$512:$AJ$512,0),10,1)),0)+_xlfn.IFNA(SUM((BI$3&gt;='Gastos com Pessoal'!$E$513:$E$522)*(BI$3&lt;='Gastos com Pessoal'!$F$513:$F$522)*(IF('Gastos com Pessoal'!$AE$513:$AE$522&lt;=BI$3,1,0))*OFFSET('Gastos com Pessoal'!$H$512,1,MATCH(5&amp;$B50,'Gastos com Pessoal'!$I$532:$AJ$532&amp;'Gastos com Pessoal'!$I$512:$AJ$512,0),10,1)),0)</f>
        <v>15353.279999999959</v>
      </c>
      <c r="BJ50" s="188">
        <f t="array" aca="1" ref="BJ50" ca="1">_xlfn.IFNA(SUM((BJ$3&gt;='Gastos com Pessoal'!$E$7:$E$506)*(BJ$3&lt;='Gastos com Pessoal'!$F$7:$F$506)*OFFSET('Encargos e Benefícios'!$D$5,1,MATCH($B50,'Encargos e Benefícios'!$E$5:$AB$5,0),500,1)),0)+_xlfn.IFNA(SUM((BJ$3&gt;='Gastos com Pessoal'!$E$513:$E$522)*(BJ$3&lt;='Gastos com Pessoal'!$F$513:$F$522)*OFFSET('Encargos e Benefícios'!$D$511,1,MATCH($B50,'Encargos e Benefícios'!$E$511:$AB$511,0),10,1)),0)+_xlfn.IFNA(SUM((BJ$3&gt;='Gastos com Pessoal'!$E$7:$E$506)*(BJ$3&lt;='Gastos com Pessoal'!$F$7:$F$506)*(IF('Gastos com Pessoal'!$G$7:$G$506&lt;=BJ$3,1,0))*OFFSET('Gastos com Pessoal'!$H$6,1,MATCH(1&amp;$B50,'Gastos com Pessoal'!$I$532:$AJ$532&amp;'Gastos com Pessoal'!$I$6:$AJ$6,0),500,1)),0)+_xlfn.IFNA(SUM((BJ$3&gt;='Gastos com Pessoal'!$E$7:$E$506)*(BJ$3&lt;='Gastos com Pessoal'!$F$7:$F$506)*(IF('Gastos com Pessoal'!$M$7:$M$506&lt;=BJ$3,1,0))*OFFSET('Gastos com Pessoal'!$H$6,1,MATCH(2&amp;$B50,'Gastos com Pessoal'!$I$532:$AJ$532&amp;'Gastos com Pessoal'!$I$6:$AJ$6,0),500,1)),0)+_xlfn.IFNA(SUM((BJ$3&gt;='Gastos com Pessoal'!$E$7:$E$506)*(BJ$3&lt;='Gastos com Pessoal'!$F$7:$F$506)*(IF('Gastos com Pessoal'!$S$7:$S$506&lt;=BJ$3,1,0))*OFFSET('Gastos com Pessoal'!$H$6,1,MATCH(3&amp;$B50,'Gastos com Pessoal'!$I$532:$AJ$532&amp;'Gastos com Pessoal'!$I$6:$AJ$6,0),500,1)),0)+_xlfn.IFNA(SUM((BJ$3&gt;='Gastos com Pessoal'!$E$7:$E$506)*(BJ$3&lt;='Gastos com Pessoal'!$F$7:$F$506)*(IF('Gastos com Pessoal'!$Y$7:$Y$506&lt;=BJ$3,1,0))*OFFSET('Gastos com Pessoal'!$H$6,1,MATCH(4&amp;$B50,'Gastos com Pessoal'!$I$532:$AJ$532&amp;'Gastos com Pessoal'!$I$6:$AJ$6,0),500,1)),0)+_xlfn.IFNA(SUM((BJ$3&gt;='Gastos com Pessoal'!$E$7:$E$506)*(BJ$3&lt;='Gastos com Pessoal'!$F$7:$F$506)*(IF('Gastos com Pessoal'!$AE$7:$AE$506&lt;=BJ$3,1,0))*OFFSET('Gastos com Pessoal'!$H$6,1,MATCH(5&amp;$B50,'Gastos com Pessoal'!$I$532:$AJ$532&amp;'Gastos com Pessoal'!$I$6:$AJ$6,0),500,1)),0)+_xlfn.IFNA(SUM((BJ$3&gt;='Gastos com Pessoal'!$E$513:$E$522)*(BJ$3&lt;='Gastos com Pessoal'!$F$513:$F$522)*(IF('Gastos com Pessoal'!$G$513:$G$522&lt;=BJ$3,1,0))*OFFSET('Gastos com Pessoal'!$H$512,1,MATCH(1&amp;$B50,'Gastos com Pessoal'!$I$532:$AJ$532&amp;'Gastos com Pessoal'!$I$512:$AJ$512,0),10,1)),0)+_xlfn.IFNA(SUM((BJ$3&gt;='Gastos com Pessoal'!$E$513:$E$522)*(BJ$3&lt;='Gastos com Pessoal'!$F$513:$F$522)*(IF('Gastos com Pessoal'!$M$513:$M$522&lt;=BJ$3,1,0))*OFFSET('Gastos com Pessoal'!$H$512,1,MATCH(2&amp;$B50,'Gastos com Pessoal'!$I$532:$AJ$532&amp;'Gastos com Pessoal'!$I$512:$AJ$512,0),10,1)),0)+_xlfn.IFNA(SUM((BJ$3&gt;='Gastos com Pessoal'!$E$513:$E$522)*(BJ$3&lt;='Gastos com Pessoal'!$F$513:$F$522)*(IF('Gastos com Pessoal'!$S$513:$S$522&lt;=BJ$3,1,0))*OFFSET('Gastos com Pessoal'!$H$512,1,MATCH(3&amp;$B50,'Gastos com Pessoal'!$I$532:$AJ$532&amp;'Gastos com Pessoal'!$I$512:$AJ$512,0),10,1)),0)+_xlfn.IFNA(SUM((BJ$3&gt;='Gastos com Pessoal'!$E$513:$E$522)*(BJ$3&lt;='Gastos com Pessoal'!$F$513:$F$522)*(IF('Gastos com Pessoal'!$Y$513:$Y$522&lt;=BJ$3,1,0))*OFFSET('Gastos com Pessoal'!$H$512,1,MATCH(4&amp;$B50,'Gastos com Pessoal'!$I$532:$AJ$532&amp;'Gastos com Pessoal'!$I$512:$AJ$512,0),10,1)),0)+_xlfn.IFNA(SUM((BJ$3&gt;='Gastos com Pessoal'!$E$513:$E$522)*(BJ$3&lt;='Gastos com Pessoal'!$F$513:$F$522)*(IF('Gastos com Pessoal'!$AE$513:$AE$522&lt;=BJ$3,1,0))*OFFSET('Gastos com Pessoal'!$H$512,1,MATCH(5&amp;$B50,'Gastos com Pessoal'!$I$532:$AJ$532&amp;'Gastos com Pessoal'!$I$512:$AJ$512,0),10,1)),0)</f>
        <v>15353.279999999959</v>
      </c>
      <c r="BK50" s="189">
        <f t="shared" ca="1" si="28"/>
        <v>890618.18399999687</v>
      </c>
      <c r="BL50" s="136">
        <f t="shared" ca="1" si="29"/>
        <v>2.6618839171258517E-3</v>
      </c>
      <c r="BN50" s="188">
        <f t="array" aca="1" ref="BN50" ca="1">_xlfn.IFNA(SUM((BN$3&gt;='Gastos com Pessoal'!$E$7:$E$506)*(BN$3&lt;='Gastos com Pessoal'!$F$7:$F$506)*OFFSET('Encargos e Benefícios'!$D$5,1,MATCH($B50,'Encargos e Benefícios'!$E$5:$AB$5,0),500,1)),0)+_xlfn.IFNA(SUM((BN$3&gt;='Gastos com Pessoal'!$E$513:$E$522)*(BN$3&lt;='Gastos com Pessoal'!$F$513:$F$522)*OFFSET('Encargos e Benefícios'!$D$511,1,MATCH($B50,'Encargos e Benefícios'!$E$511:$AB$511,0),10,1)),0)+_xlfn.IFNA(SUM((BN$3&gt;='Gastos com Pessoal'!$E$7:$E$506)*(BN$3&lt;='Gastos com Pessoal'!$F$7:$F$506)*(IF('Gastos com Pessoal'!$G$7:$G$506&lt;=BN$3,1,0))*OFFSET('Gastos com Pessoal'!$H$6,1,MATCH(1&amp;$B50,'Gastos com Pessoal'!$I$532:$AJ$532&amp;'Gastos com Pessoal'!$I$6:$AJ$6,0),500,1)),0)+_xlfn.IFNA(SUM((BN$3&gt;='Gastos com Pessoal'!$E$7:$E$506)*(BN$3&lt;='Gastos com Pessoal'!$F$7:$F$506)*(IF('Gastos com Pessoal'!$M$7:$M$506&lt;=BN$3,1,0))*OFFSET('Gastos com Pessoal'!$H$6,1,MATCH(2&amp;$B50,'Gastos com Pessoal'!$I$532:$AJ$532&amp;'Gastos com Pessoal'!$I$6:$AJ$6,0),500,1)),0)+_xlfn.IFNA(SUM((BN$3&gt;='Gastos com Pessoal'!$E$7:$E$506)*(BN$3&lt;='Gastos com Pessoal'!$F$7:$F$506)*(IF('Gastos com Pessoal'!$S$7:$S$506&lt;=BN$3,1,0))*OFFSET('Gastos com Pessoal'!$H$6,1,MATCH(3&amp;$B50,'Gastos com Pessoal'!$I$532:$AJ$532&amp;'Gastos com Pessoal'!$I$6:$AJ$6,0),500,1)),0)+_xlfn.IFNA(SUM((BN$3&gt;='Gastos com Pessoal'!$E$7:$E$506)*(BN$3&lt;='Gastos com Pessoal'!$F$7:$F$506)*(IF('Gastos com Pessoal'!$Y$7:$Y$506&lt;=BN$3,1,0))*OFFSET('Gastos com Pessoal'!$H$6,1,MATCH(4&amp;$B50,'Gastos com Pessoal'!$I$532:$AJ$532&amp;'Gastos com Pessoal'!$I$6:$AJ$6,0),500,1)),0)+_xlfn.IFNA(SUM((BN$3&gt;='Gastos com Pessoal'!$E$7:$E$506)*(BN$3&lt;='Gastos com Pessoal'!$F$7:$F$506)*(IF('Gastos com Pessoal'!$AE$7:$AE$506&lt;=BN$3,1,0))*OFFSET('Gastos com Pessoal'!$H$6,1,MATCH(5&amp;$B50,'Gastos com Pessoal'!$I$532:$AJ$532&amp;'Gastos com Pessoal'!$I$6:$AJ$6,0),500,1)),0)+_xlfn.IFNA(SUM((BN$3&gt;='Gastos com Pessoal'!$E$513:$E$522)*(BN$3&lt;='Gastos com Pessoal'!$F$513:$F$522)*(IF('Gastos com Pessoal'!$G$513:$G$522&lt;=BN$3,1,0))*OFFSET('Gastos com Pessoal'!$H$512,1,MATCH(1&amp;$B50,'Gastos com Pessoal'!$I$532:$AJ$532&amp;'Gastos com Pessoal'!$I$512:$AJ$512,0),10,1)),0)+_xlfn.IFNA(SUM((BN$3&gt;='Gastos com Pessoal'!$E$513:$E$522)*(BN$3&lt;='Gastos com Pessoal'!$F$513:$F$522)*(IF('Gastos com Pessoal'!$M$513:$M$522&lt;=BN$3,1,0))*OFFSET('Gastos com Pessoal'!$H$512,1,MATCH(2&amp;$B50,'Gastos com Pessoal'!$I$532:$AJ$532&amp;'Gastos com Pessoal'!$I$512:$AJ$512,0),10,1)),0)+_xlfn.IFNA(SUM((BN$3&gt;='Gastos com Pessoal'!$E$513:$E$522)*(BN$3&lt;='Gastos com Pessoal'!$F$513:$F$522)*(IF('Gastos com Pessoal'!$S$513:$S$522&lt;=BN$3,1,0))*OFFSET('Gastos com Pessoal'!$H$512,1,MATCH(3&amp;$B50,'Gastos com Pessoal'!$I$532:$AJ$532&amp;'Gastos com Pessoal'!$I$512:$AJ$512,0),10,1)),0)+_xlfn.IFNA(SUM((BN$3&gt;='Gastos com Pessoal'!$E$513:$E$522)*(BN$3&lt;='Gastos com Pessoal'!$F$513:$F$522)*(IF('Gastos com Pessoal'!$Y$513:$Y$522&lt;=BN$3,1,0))*OFFSET('Gastos com Pessoal'!$H$512,1,MATCH(4&amp;$B50,'Gastos com Pessoal'!$I$532:$AJ$532&amp;'Gastos com Pessoal'!$I$512:$AJ$512,0),10,1)),0)+_xlfn.IFNA(SUM((BN$3&gt;='Gastos com Pessoal'!$E$513:$E$522)*(BN$3&lt;='Gastos com Pessoal'!$F$513:$F$522)*(IF('Gastos com Pessoal'!$AE$513:$AE$522&lt;=BN$3,1,0))*OFFSET('Gastos com Pessoal'!$H$512,1,MATCH(5&amp;$B50,'Gastos com Pessoal'!$I$532:$AJ$532&amp;'Gastos com Pessoal'!$I$512:$AJ$512,0),10,1)),0)</f>
        <v>12154.679999999989</v>
      </c>
    </row>
    <row r="51" spans="1:66" s="160" customFormat="1" ht="23.25" customHeight="1">
      <c r="A51" s="80" t="s">
        <v>184</v>
      </c>
      <c r="B51" s="81" t="s">
        <v>185</v>
      </c>
      <c r="C51" s="188">
        <f t="shared" ca="1" si="27"/>
        <v>346.10399999999794</v>
      </c>
      <c r="D51" s="188">
        <f t="array" aca="1" ref="D51" ca="1">_xlfn.IFNA(SUM((D$3&gt;='Gastos com Pessoal'!$E$7:$E$506)*(D$3&lt;='Gastos com Pessoal'!$F$7:$F$506)*OFFSET('Encargos e Benefícios'!$D$5,1,MATCH($B51,'Encargos e Benefícios'!$E$5:$AB$5,0),500,1)),0)+_xlfn.IFNA(SUM((D$3&gt;='Gastos com Pessoal'!$E$513:$E$522)*(D$3&lt;='Gastos com Pessoal'!$F$513:$F$522)*OFFSET('Encargos e Benefícios'!$D$511,1,MATCH($B51,'Encargos e Benefícios'!$E$511:$AB$511,0),10,1)),0)+_xlfn.IFNA(SUM((D$3&gt;='Gastos com Pessoal'!$E$7:$E$506)*(D$3&lt;='Gastos com Pessoal'!$F$7:$F$506)*(IF('Gastos com Pessoal'!$G$7:$G$506&lt;=D$3,1,0))*OFFSET('Gastos com Pessoal'!$H$6,1,MATCH(1&amp;$B51,'Gastos com Pessoal'!$I$532:$AJ$532&amp;'Gastos com Pessoal'!$I$6:$AJ$6,0),500,1)),0)+_xlfn.IFNA(SUM((D$3&gt;='Gastos com Pessoal'!$E$7:$E$506)*(D$3&lt;='Gastos com Pessoal'!$F$7:$F$506)*(IF('Gastos com Pessoal'!$M$7:$M$506&lt;=D$3,1,0))*OFFSET('Gastos com Pessoal'!$H$6,1,MATCH(2&amp;$B51,'Gastos com Pessoal'!$I$532:$AJ$532&amp;'Gastos com Pessoal'!$I$6:$AJ$6,0),500,1)),0)+_xlfn.IFNA(SUM((D$3&gt;='Gastos com Pessoal'!$E$7:$E$506)*(D$3&lt;='Gastos com Pessoal'!$F$7:$F$506)*(IF('Gastos com Pessoal'!$S$7:$S$506&lt;=D$3,1,0))*OFFSET('Gastos com Pessoal'!$H$6,1,MATCH(3&amp;$B51,'Gastos com Pessoal'!$I$532:$AJ$532&amp;'Gastos com Pessoal'!$I$6:$AJ$6,0),500,1)),0)+_xlfn.IFNA(SUM((D$3&gt;='Gastos com Pessoal'!$E$7:$E$506)*(D$3&lt;='Gastos com Pessoal'!$F$7:$F$506)*(IF('Gastos com Pessoal'!$Y$7:$Y$506&lt;=D$3,1,0))*OFFSET('Gastos com Pessoal'!$H$6,1,MATCH(4&amp;$B51,'Gastos com Pessoal'!$I$532:$AJ$532&amp;'Gastos com Pessoal'!$I$6:$AJ$6,0),500,1)),0)+_xlfn.IFNA(SUM((D$3&gt;='Gastos com Pessoal'!$E$7:$E$506)*(D$3&lt;='Gastos com Pessoal'!$F$7:$F$506)*(IF('Gastos com Pessoal'!$AE$7:$AE$506&lt;=D$3,1,0))*OFFSET('Gastos com Pessoal'!$H$6,1,MATCH(5&amp;$B51,'Gastos com Pessoal'!$I$532:$AJ$532&amp;'Gastos com Pessoal'!$I$6:$AJ$6,0),500,1)),0)+_xlfn.IFNA(SUM((D$3&gt;='Gastos com Pessoal'!$E$513:$E$522)*(D$3&lt;='Gastos com Pessoal'!$F$513:$F$522)*(IF('Gastos com Pessoal'!$G$513:$G$522&lt;=D$3,1,0))*OFFSET('Gastos com Pessoal'!$H$512,1,MATCH(1&amp;$B51,'Gastos com Pessoal'!$I$532:$AJ$532&amp;'Gastos com Pessoal'!$I$512:$AJ$512,0),10,1)),0)+_xlfn.IFNA(SUM((D$3&gt;='Gastos com Pessoal'!$E$513:$E$522)*(D$3&lt;='Gastos com Pessoal'!$F$513:$F$522)*(IF('Gastos com Pessoal'!$M$513:$M$522&lt;=D$3,1,0))*OFFSET('Gastos com Pessoal'!$H$512,1,MATCH(2&amp;$B51,'Gastos com Pessoal'!$I$532:$AJ$532&amp;'Gastos com Pessoal'!$I$512:$AJ$512,0),10,1)),0)+_xlfn.IFNA(SUM((D$3&gt;='Gastos com Pessoal'!$E$513:$E$522)*(D$3&lt;='Gastos com Pessoal'!$F$513:$F$522)*(IF('Gastos com Pessoal'!$S$513:$S$522&lt;=D$3,1,0))*OFFSET('Gastos com Pessoal'!$H$512,1,MATCH(3&amp;$B51,'Gastos com Pessoal'!$I$532:$AJ$532&amp;'Gastos com Pessoal'!$I$512:$AJ$512,0),10,1)),0)+_xlfn.IFNA(SUM((D$3&gt;='Gastos com Pessoal'!$E$513:$E$522)*(D$3&lt;='Gastos com Pessoal'!$F$513:$F$522)*(IF('Gastos com Pessoal'!$Y$513:$Y$522&lt;=D$3,1,0))*OFFSET('Gastos com Pessoal'!$H$512,1,MATCH(4&amp;$B51,'Gastos com Pessoal'!$I$532:$AJ$532&amp;'Gastos com Pessoal'!$I$512:$AJ$512,0),10,1)),0)+_xlfn.IFNA(SUM((D$3&gt;='Gastos com Pessoal'!$E$513:$E$522)*(D$3&lt;='Gastos com Pessoal'!$F$513:$F$522)*(IF('Gastos com Pessoal'!$AE$513:$AE$522&lt;=D$3,1,0))*OFFSET('Gastos com Pessoal'!$H$512,1,MATCH(5&amp;$B51,'Gastos com Pessoal'!$I$532:$AJ$532&amp;'Gastos com Pessoal'!$I$512:$AJ$512,0),10,1)),0)</f>
        <v>1250.7999999999922</v>
      </c>
      <c r="E51" s="188">
        <f t="array" aca="1" ref="E51" ca="1">_xlfn.IFNA(SUM((E$3&gt;='Gastos com Pessoal'!$E$7:$E$506)*(E$3&lt;='Gastos com Pessoal'!$F$7:$F$506)*OFFSET('Encargos e Benefícios'!$D$5,1,MATCH($B51,'Encargos e Benefícios'!$E$5:$AB$5,0),500,1)),0)+_xlfn.IFNA(SUM((E$3&gt;='Gastos com Pessoal'!$E$513:$E$522)*(E$3&lt;='Gastos com Pessoal'!$F$513:$F$522)*OFFSET('Encargos e Benefícios'!$D$511,1,MATCH($B51,'Encargos e Benefícios'!$E$511:$AB$511,0),10,1)),0)+_xlfn.IFNA(SUM((E$3&gt;='Gastos com Pessoal'!$E$7:$E$506)*(E$3&lt;='Gastos com Pessoal'!$F$7:$F$506)*(IF('Gastos com Pessoal'!$G$7:$G$506&lt;=E$3,1,0))*OFFSET('Gastos com Pessoal'!$H$6,1,MATCH(1&amp;$B51,'Gastos com Pessoal'!$I$532:$AJ$532&amp;'Gastos com Pessoal'!$I$6:$AJ$6,0),500,1)),0)+_xlfn.IFNA(SUM((E$3&gt;='Gastos com Pessoal'!$E$7:$E$506)*(E$3&lt;='Gastos com Pessoal'!$F$7:$F$506)*(IF('Gastos com Pessoal'!$M$7:$M$506&lt;=E$3,1,0))*OFFSET('Gastos com Pessoal'!$H$6,1,MATCH(2&amp;$B51,'Gastos com Pessoal'!$I$532:$AJ$532&amp;'Gastos com Pessoal'!$I$6:$AJ$6,0),500,1)),0)+_xlfn.IFNA(SUM((E$3&gt;='Gastos com Pessoal'!$E$7:$E$506)*(E$3&lt;='Gastos com Pessoal'!$F$7:$F$506)*(IF('Gastos com Pessoal'!$S$7:$S$506&lt;=E$3,1,0))*OFFSET('Gastos com Pessoal'!$H$6,1,MATCH(3&amp;$B51,'Gastos com Pessoal'!$I$532:$AJ$532&amp;'Gastos com Pessoal'!$I$6:$AJ$6,0),500,1)),0)+_xlfn.IFNA(SUM((E$3&gt;='Gastos com Pessoal'!$E$7:$E$506)*(E$3&lt;='Gastos com Pessoal'!$F$7:$F$506)*(IF('Gastos com Pessoal'!$Y$7:$Y$506&lt;=E$3,1,0))*OFFSET('Gastos com Pessoal'!$H$6,1,MATCH(4&amp;$B51,'Gastos com Pessoal'!$I$532:$AJ$532&amp;'Gastos com Pessoal'!$I$6:$AJ$6,0),500,1)),0)+_xlfn.IFNA(SUM((E$3&gt;='Gastos com Pessoal'!$E$7:$E$506)*(E$3&lt;='Gastos com Pessoal'!$F$7:$F$506)*(IF('Gastos com Pessoal'!$AE$7:$AE$506&lt;=E$3,1,0))*OFFSET('Gastos com Pessoal'!$H$6,1,MATCH(5&amp;$B51,'Gastos com Pessoal'!$I$532:$AJ$532&amp;'Gastos com Pessoal'!$I$6:$AJ$6,0),500,1)),0)+_xlfn.IFNA(SUM((E$3&gt;='Gastos com Pessoal'!$E$513:$E$522)*(E$3&lt;='Gastos com Pessoal'!$F$513:$F$522)*(IF('Gastos com Pessoal'!$G$513:$G$522&lt;=E$3,1,0))*OFFSET('Gastos com Pessoal'!$H$512,1,MATCH(1&amp;$B51,'Gastos com Pessoal'!$I$532:$AJ$532&amp;'Gastos com Pessoal'!$I$512:$AJ$512,0),10,1)),0)+_xlfn.IFNA(SUM((E$3&gt;='Gastos com Pessoal'!$E$513:$E$522)*(E$3&lt;='Gastos com Pessoal'!$F$513:$F$522)*(IF('Gastos com Pessoal'!$M$513:$M$522&lt;=E$3,1,0))*OFFSET('Gastos com Pessoal'!$H$512,1,MATCH(2&amp;$B51,'Gastos com Pessoal'!$I$532:$AJ$532&amp;'Gastos com Pessoal'!$I$512:$AJ$512,0),10,1)),0)+_xlfn.IFNA(SUM((E$3&gt;='Gastos com Pessoal'!$E$513:$E$522)*(E$3&lt;='Gastos com Pessoal'!$F$513:$F$522)*(IF('Gastos com Pessoal'!$S$513:$S$522&lt;=E$3,1,0))*OFFSET('Gastos com Pessoal'!$H$512,1,MATCH(3&amp;$B51,'Gastos com Pessoal'!$I$532:$AJ$532&amp;'Gastos com Pessoal'!$I$512:$AJ$512,0),10,1)),0)+_xlfn.IFNA(SUM((E$3&gt;='Gastos com Pessoal'!$E$513:$E$522)*(E$3&lt;='Gastos com Pessoal'!$F$513:$F$522)*(IF('Gastos com Pessoal'!$Y$513:$Y$522&lt;=E$3,1,0))*OFFSET('Gastos com Pessoal'!$H$512,1,MATCH(4&amp;$B51,'Gastos com Pessoal'!$I$532:$AJ$532&amp;'Gastos com Pessoal'!$I$512:$AJ$512,0),10,1)),0)+_xlfn.IFNA(SUM((E$3&gt;='Gastos com Pessoal'!$E$513:$E$522)*(E$3&lt;='Gastos com Pessoal'!$F$513:$F$522)*(IF('Gastos com Pessoal'!$AE$513:$AE$522&lt;=E$3,1,0))*OFFSET('Gastos com Pessoal'!$H$512,1,MATCH(5&amp;$B51,'Gastos com Pessoal'!$I$532:$AJ$532&amp;'Gastos com Pessoal'!$I$512:$AJ$512,0),10,1)),0)</f>
        <v>1327.6799999999917</v>
      </c>
      <c r="F51" s="188">
        <f t="array" aca="1" ref="F51" ca="1">_xlfn.IFNA(SUM((F$3&gt;='Gastos com Pessoal'!$E$7:$E$506)*(F$3&lt;='Gastos com Pessoal'!$F$7:$F$506)*OFFSET('Encargos e Benefícios'!$D$5,1,MATCH($B51,'Encargos e Benefícios'!$E$5:$AB$5,0),500,1)),0)+_xlfn.IFNA(SUM((F$3&gt;='Gastos com Pessoal'!$E$513:$E$522)*(F$3&lt;='Gastos com Pessoal'!$F$513:$F$522)*OFFSET('Encargos e Benefícios'!$D$511,1,MATCH($B51,'Encargos e Benefícios'!$E$511:$AB$511,0),10,1)),0)+_xlfn.IFNA(SUM((F$3&gt;='Gastos com Pessoal'!$E$7:$E$506)*(F$3&lt;='Gastos com Pessoal'!$F$7:$F$506)*(IF('Gastos com Pessoal'!$G$7:$G$506&lt;=F$3,1,0))*OFFSET('Gastos com Pessoal'!$H$6,1,MATCH(1&amp;$B51,'Gastos com Pessoal'!$I$532:$AJ$532&amp;'Gastos com Pessoal'!$I$6:$AJ$6,0),500,1)),0)+_xlfn.IFNA(SUM((F$3&gt;='Gastos com Pessoal'!$E$7:$E$506)*(F$3&lt;='Gastos com Pessoal'!$F$7:$F$506)*(IF('Gastos com Pessoal'!$M$7:$M$506&lt;=F$3,1,0))*OFFSET('Gastos com Pessoal'!$H$6,1,MATCH(2&amp;$B51,'Gastos com Pessoal'!$I$532:$AJ$532&amp;'Gastos com Pessoal'!$I$6:$AJ$6,0),500,1)),0)+_xlfn.IFNA(SUM((F$3&gt;='Gastos com Pessoal'!$E$7:$E$506)*(F$3&lt;='Gastos com Pessoal'!$F$7:$F$506)*(IF('Gastos com Pessoal'!$S$7:$S$506&lt;=F$3,1,0))*OFFSET('Gastos com Pessoal'!$H$6,1,MATCH(3&amp;$B51,'Gastos com Pessoal'!$I$532:$AJ$532&amp;'Gastos com Pessoal'!$I$6:$AJ$6,0),500,1)),0)+_xlfn.IFNA(SUM((F$3&gt;='Gastos com Pessoal'!$E$7:$E$506)*(F$3&lt;='Gastos com Pessoal'!$F$7:$F$506)*(IF('Gastos com Pessoal'!$Y$7:$Y$506&lt;=F$3,1,0))*OFFSET('Gastos com Pessoal'!$H$6,1,MATCH(4&amp;$B51,'Gastos com Pessoal'!$I$532:$AJ$532&amp;'Gastos com Pessoal'!$I$6:$AJ$6,0),500,1)),0)+_xlfn.IFNA(SUM((F$3&gt;='Gastos com Pessoal'!$E$7:$E$506)*(F$3&lt;='Gastos com Pessoal'!$F$7:$F$506)*(IF('Gastos com Pessoal'!$AE$7:$AE$506&lt;=F$3,1,0))*OFFSET('Gastos com Pessoal'!$H$6,1,MATCH(5&amp;$B51,'Gastos com Pessoal'!$I$532:$AJ$532&amp;'Gastos com Pessoal'!$I$6:$AJ$6,0),500,1)),0)+_xlfn.IFNA(SUM((F$3&gt;='Gastos com Pessoal'!$E$513:$E$522)*(F$3&lt;='Gastos com Pessoal'!$F$513:$F$522)*(IF('Gastos com Pessoal'!$G$513:$G$522&lt;=F$3,1,0))*OFFSET('Gastos com Pessoal'!$H$512,1,MATCH(1&amp;$B51,'Gastos com Pessoal'!$I$532:$AJ$532&amp;'Gastos com Pessoal'!$I$512:$AJ$512,0),10,1)),0)+_xlfn.IFNA(SUM((F$3&gt;='Gastos com Pessoal'!$E$513:$E$522)*(F$3&lt;='Gastos com Pessoal'!$F$513:$F$522)*(IF('Gastos com Pessoal'!$M$513:$M$522&lt;=F$3,1,0))*OFFSET('Gastos com Pessoal'!$H$512,1,MATCH(2&amp;$B51,'Gastos com Pessoal'!$I$532:$AJ$532&amp;'Gastos com Pessoal'!$I$512:$AJ$512,0),10,1)),0)+_xlfn.IFNA(SUM((F$3&gt;='Gastos com Pessoal'!$E$513:$E$522)*(F$3&lt;='Gastos com Pessoal'!$F$513:$F$522)*(IF('Gastos com Pessoal'!$S$513:$S$522&lt;=F$3,1,0))*OFFSET('Gastos com Pessoal'!$H$512,1,MATCH(3&amp;$B51,'Gastos com Pessoal'!$I$532:$AJ$532&amp;'Gastos com Pessoal'!$I$512:$AJ$512,0),10,1)),0)+_xlfn.IFNA(SUM((F$3&gt;='Gastos com Pessoal'!$E$513:$E$522)*(F$3&lt;='Gastos com Pessoal'!$F$513:$F$522)*(IF('Gastos com Pessoal'!$Y$513:$Y$522&lt;=F$3,1,0))*OFFSET('Gastos com Pessoal'!$H$512,1,MATCH(4&amp;$B51,'Gastos com Pessoal'!$I$532:$AJ$532&amp;'Gastos com Pessoal'!$I$512:$AJ$512,0),10,1)),0)+_xlfn.IFNA(SUM((F$3&gt;='Gastos com Pessoal'!$E$513:$E$522)*(F$3&lt;='Gastos com Pessoal'!$F$513:$F$522)*(IF('Gastos com Pessoal'!$AE$513:$AE$522&lt;=F$3,1,0))*OFFSET('Gastos com Pessoal'!$H$512,1,MATCH(5&amp;$B51,'Gastos com Pessoal'!$I$532:$AJ$532&amp;'Gastos com Pessoal'!$I$512:$AJ$512,0),10,1)),0)</f>
        <v>1327.6799999999917</v>
      </c>
      <c r="G51" s="188">
        <f t="array" aca="1" ref="G51" ca="1">_xlfn.IFNA(SUM((G$3&gt;='Gastos com Pessoal'!$E$7:$E$506)*(G$3&lt;='Gastos com Pessoal'!$F$7:$F$506)*OFFSET('Encargos e Benefícios'!$D$5,1,MATCH($B51,'Encargos e Benefícios'!$E$5:$AB$5,0),500,1)),0)+_xlfn.IFNA(SUM((G$3&gt;='Gastos com Pessoal'!$E$513:$E$522)*(G$3&lt;='Gastos com Pessoal'!$F$513:$F$522)*OFFSET('Encargos e Benefícios'!$D$511,1,MATCH($B51,'Encargos e Benefícios'!$E$511:$AB$511,0),10,1)),0)+_xlfn.IFNA(SUM((G$3&gt;='Gastos com Pessoal'!$E$7:$E$506)*(G$3&lt;='Gastos com Pessoal'!$F$7:$F$506)*(IF('Gastos com Pessoal'!$G$7:$G$506&lt;=G$3,1,0))*OFFSET('Gastos com Pessoal'!$H$6,1,MATCH(1&amp;$B51,'Gastos com Pessoal'!$I$532:$AJ$532&amp;'Gastos com Pessoal'!$I$6:$AJ$6,0),500,1)),0)+_xlfn.IFNA(SUM((G$3&gt;='Gastos com Pessoal'!$E$7:$E$506)*(G$3&lt;='Gastos com Pessoal'!$F$7:$F$506)*(IF('Gastos com Pessoal'!$M$7:$M$506&lt;=G$3,1,0))*OFFSET('Gastos com Pessoal'!$H$6,1,MATCH(2&amp;$B51,'Gastos com Pessoal'!$I$532:$AJ$532&amp;'Gastos com Pessoal'!$I$6:$AJ$6,0),500,1)),0)+_xlfn.IFNA(SUM((G$3&gt;='Gastos com Pessoal'!$E$7:$E$506)*(G$3&lt;='Gastos com Pessoal'!$F$7:$F$506)*(IF('Gastos com Pessoal'!$S$7:$S$506&lt;=G$3,1,0))*OFFSET('Gastos com Pessoal'!$H$6,1,MATCH(3&amp;$B51,'Gastos com Pessoal'!$I$532:$AJ$532&amp;'Gastos com Pessoal'!$I$6:$AJ$6,0),500,1)),0)+_xlfn.IFNA(SUM((G$3&gt;='Gastos com Pessoal'!$E$7:$E$506)*(G$3&lt;='Gastos com Pessoal'!$F$7:$F$506)*(IF('Gastos com Pessoal'!$Y$7:$Y$506&lt;=G$3,1,0))*OFFSET('Gastos com Pessoal'!$H$6,1,MATCH(4&amp;$B51,'Gastos com Pessoal'!$I$532:$AJ$532&amp;'Gastos com Pessoal'!$I$6:$AJ$6,0),500,1)),0)+_xlfn.IFNA(SUM((G$3&gt;='Gastos com Pessoal'!$E$7:$E$506)*(G$3&lt;='Gastos com Pessoal'!$F$7:$F$506)*(IF('Gastos com Pessoal'!$AE$7:$AE$506&lt;=G$3,1,0))*OFFSET('Gastos com Pessoal'!$H$6,1,MATCH(5&amp;$B51,'Gastos com Pessoal'!$I$532:$AJ$532&amp;'Gastos com Pessoal'!$I$6:$AJ$6,0),500,1)),0)+_xlfn.IFNA(SUM((G$3&gt;='Gastos com Pessoal'!$E$513:$E$522)*(G$3&lt;='Gastos com Pessoal'!$F$513:$F$522)*(IF('Gastos com Pessoal'!$G$513:$G$522&lt;=G$3,1,0))*OFFSET('Gastos com Pessoal'!$H$512,1,MATCH(1&amp;$B51,'Gastos com Pessoal'!$I$532:$AJ$532&amp;'Gastos com Pessoal'!$I$512:$AJ$512,0),10,1)),0)+_xlfn.IFNA(SUM((G$3&gt;='Gastos com Pessoal'!$E$513:$E$522)*(G$3&lt;='Gastos com Pessoal'!$F$513:$F$522)*(IF('Gastos com Pessoal'!$M$513:$M$522&lt;=G$3,1,0))*OFFSET('Gastos com Pessoal'!$H$512,1,MATCH(2&amp;$B51,'Gastos com Pessoal'!$I$532:$AJ$532&amp;'Gastos com Pessoal'!$I$512:$AJ$512,0),10,1)),0)+_xlfn.IFNA(SUM((G$3&gt;='Gastos com Pessoal'!$E$513:$E$522)*(G$3&lt;='Gastos com Pessoal'!$F$513:$F$522)*(IF('Gastos com Pessoal'!$S$513:$S$522&lt;=G$3,1,0))*OFFSET('Gastos com Pessoal'!$H$512,1,MATCH(3&amp;$B51,'Gastos com Pessoal'!$I$532:$AJ$532&amp;'Gastos com Pessoal'!$I$512:$AJ$512,0),10,1)),0)+_xlfn.IFNA(SUM((G$3&gt;='Gastos com Pessoal'!$E$513:$E$522)*(G$3&lt;='Gastos com Pessoal'!$F$513:$F$522)*(IF('Gastos com Pessoal'!$Y$513:$Y$522&lt;=G$3,1,0))*OFFSET('Gastos com Pessoal'!$H$512,1,MATCH(4&amp;$B51,'Gastos com Pessoal'!$I$532:$AJ$532&amp;'Gastos com Pessoal'!$I$512:$AJ$512,0),10,1)),0)+_xlfn.IFNA(SUM((G$3&gt;='Gastos com Pessoal'!$E$513:$E$522)*(G$3&lt;='Gastos com Pessoal'!$F$513:$F$522)*(IF('Gastos com Pessoal'!$AE$513:$AE$522&lt;=G$3,1,0))*OFFSET('Gastos com Pessoal'!$H$512,1,MATCH(5&amp;$B51,'Gastos com Pessoal'!$I$532:$AJ$532&amp;'Gastos com Pessoal'!$I$512:$AJ$512,0),10,1)),0)</f>
        <v>1327.6799999999917</v>
      </c>
      <c r="H51" s="188">
        <f t="array" aca="1" ref="H51" ca="1">_xlfn.IFNA(SUM((H$3&gt;='Gastos com Pessoal'!$E$7:$E$506)*(H$3&lt;='Gastos com Pessoal'!$F$7:$F$506)*OFFSET('Encargos e Benefícios'!$D$5,1,MATCH($B51,'Encargos e Benefícios'!$E$5:$AB$5,0),500,1)),0)+_xlfn.IFNA(SUM((H$3&gt;='Gastos com Pessoal'!$E$513:$E$522)*(H$3&lt;='Gastos com Pessoal'!$F$513:$F$522)*OFFSET('Encargos e Benefícios'!$D$511,1,MATCH($B51,'Encargos e Benefícios'!$E$511:$AB$511,0),10,1)),0)+_xlfn.IFNA(SUM((H$3&gt;='Gastos com Pessoal'!$E$7:$E$506)*(H$3&lt;='Gastos com Pessoal'!$F$7:$F$506)*(IF('Gastos com Pessoal'!$G$7:$G$506&lt;=H$3,1,0))*OFFSET('Gastos com Pessoal'!$H$6,1,MATCH(1&amp;$B51,'Gastos com Pessoal'!$I$532:$AJ$532&amp;'Gastos com Pessoal'!$I$6:$AJ$6,0),500,1)),0)+_xlfn.IFNA(SUM((H$3&gt;='Gastos com Pessoal'!$E$7:$E$506)*(H$3&lt;='Gastos com Pessoal'!$F$7:$F$506)*(IF('Gastos com Pessoal'!$M$7:$M$506&lt;=H$3,1,0))*OFFSET('Gastos com Pessoal'!$H$6,1,MATCH(2&amp;$B51,'Gastos com Pessoal'!$I$532:$AJ$532&amp;'Gastos com Pessoal'!$I$6:$AJ$6,0),500,1)),0)+_xlfn.IFNA(SUM((H$3&gt;='Gastos com Pessoal'!$E$7:$E$506)*(H$3&lt;='Gastos com Pessoal'!$F$7:$F$506)*(IF('Gastos com Pessoal'!$S$7:$S$506&lt;=H$3,1,0))*OFFSET('Gastos com Pessoal'!$H$6,1,MATCH(3&amp;$B51,'Gastos com Pessoal'!$I$532:$AJ$532&amp;'Gastos com Pessoal'!$I$6:$AJ$6,0),500,1)),0)+_xlfn.IFNA(SUM((H$3&gt;='Gastos com Pessoal'!$E$7:$E$506)*(H$3&lt;='Gastos com Pessoal'!$F$7:$F$506)*(IF('Gastos com Pessoal'!$Y$7:$Y$506&lt;=H$3,1,0))*OFFSET('Gastos com Pessoal'!$H$6,1,MATCH(4&amp;$B51,'Gastos com Pessoal'!$I$532:$AJ$532&amp;'Gastos com Pessoal'!$I$6:$AJ$6,0),500,1)),0)+_xlfn.IFNA(SUM((H$3&gt;='Gastos com Pessoal'!$E$7:$E$506)*(H$3&lt;='Gastos com Pessoal'!$F$7:$F$506)*(IF('Gastos com Pessoal'!$AE$7:$AE$506&lt;=H$3,1,0))*OFFSET('Gastos com Pessoal'!$H$6,1,MATCH(5&amp;$B51,'Gastos com Pessoal'!$I$532:$AJ$532&amp;'Gastos com Pessoal'!$I$6:$AJ$6,0),500,1)),0)+_xlfn.IFNA(SUM((H$3&gt;='Gastos com Pessoal'!$E$513:$E$522)*(H$3&lt;='Gastos com Pessoal'!$F$513:$F$522)*(IF('Gastos com Pessoal'!$G$513:$G$522&lt;=H$3,1,0))*OFFSET('Gastos com Pessoal'!$H$512,1,MATCH(1&amp;$B51,'Gastos com Pessoal'!$I$532:$AJ$532&amp;'Gastos com Pessoal'!$I$512:$AJ$512,0),10,1)),0)+_xlfn.IFNA(SUM((H$3&gt;='Gastos com Pessoal'!$E$513:$E$522)*(H$3&lt;='Gastos com Pessoal'!$F$513:$F$522)*(IF('Gastos com Pessoal'!$M$513:$M$522&lt;=H$3,1,0))*OFFSET('Gastos com Pessoal'!$H$512,1,MATCH(2&amp;$B51,'Gastos com Pessoal'!$I$532:$AJ$532&amp;'Gastos com Pessoal'!$I$512:$AJ$512,0),10,1)),0)+_xlfn.IFNA(SUM((H$3&gt;='Gastos com Pessoal'!$E$513:$E$522)*(H$3&lt;='Gastos com Pessoal'!$F$513:$F$522)*(IF('Gastos com Pessoal'!$S$513:$S$522&lt;=H$3,1,0))*OFFSET('Gastos com Pessoal'!$H$512,1,MATCH(3&amp;$B51,'Gastos com Pessoal'!$I$532:$AJ$532&amp;'Gastos com Pessoal'!$I$512:$AJ$512,0),10,1)),0)+_xlfn.IFNA(SUM((H$3&gt;='Gastos com Pessoal'!$E$513:$E$522)*(H$3&lt;='Gastos com Pessoal'!$F$513:$F$522)*(IF('Gastos com Pessoal'!$Y$513:$Y$522&lt;=H$3,1,0))*OFFSET('Gastos com Pessoal'!$H$512,1,MATCH(4&amp;$B51,'Gastos com Pessoal'!$I$532:$AJ$532&amp;'Gastos com Pessoal'!$I$512:$AJ$512,0),10,1)),0)+_xlfn.IFNA(SUM((H$3&gt;='Gastos com Pessoal'!$E$513:$E$522)*(H$3&lt;='Gastos com Pessoal'!$F$513:$F$522)*(IF('Gastos com Pessoal'!$AE$513:$AE$522&lt;=H$3,1,0))*OFFSET('Gastos com Pessoal'!$H$512,1,MATCH(5&amp;$B51,'Gastos com Pessoal'!$I$532:$AJ$532&amp;'Gastos com Pessoal'!$I$512:$AJ$512,0),10,1)),0)</f>
        <v>1327.6799999999917</v>
      </c>
      <c r="I51" s="188">
        <f t="array" aca="1" ref="I51" ca="1">_xlfn.IFNA(SUM((I$3&gt;='Gastos com Pessoal'!$E$7:$E$506)*(I$3&lt;='Gastos com Pessoal'!$F$7:$F$506)*OFFSET('Encargos e Benefícios'!$D$5,1,MATCH($B51,'Encargos e Benefícios'!$E$5:$AB$5,0),500,1)),0)+_xlfn.IFNA(SUM((I$3&gt;='Gastos com Pessoal'!$E$513:$E$522)*(I$3&lt;='Gastos com Pessoal'!$F$513:$F$522)*OFFSET('Encargos e Benefícios'!$D$511,1,MATCH($B51,'Encargos e Benefícios'!$E$511:$AB$511,0),10,1)),0)+_xlfn.IFNA(SUM((I$3&gt;='Gastos com Pessoal'!$E$7:$E$506)*(I$3&lt;='Gastos com Pessoal'!$F$7:$F$506)*(IF('Gastos com Pessoal'!$G$7:$G$506&lt;=I$3,1,0))*OFFSET('Gastos com Pessoal'!$H$6,1,MATCH(1&amp;$B51,'Gastos com Pessoal'!$I$532:$AJ$532&amp;'Gastos com Pessoal'!$I$6:$AJ$6,0),500,1)),0)+_xlfn.IFNA(SUM((I$3&gt;='Gastos com Pessoal'!$E$7:$E$506)*(I$3&lt;='Gastos com Pessoal'!$F$7:$F$506)*(IF('Gastos com Pessoal'!$M$7:$M$506&lt;=I$3,1,0))*OFFSET('Gastos com Pessoal'!$H$6,1,MATCH(2&amp;$B51,'Gastos com Pessoal'!$I$532:$AJ$532&amp;'Gastos com Pessoal'!$I$6:$AJ$6,0),500,1)),0)+_xlfn.IFNA(SUM((I$3&gt;='Gastos com Pessoal'!$E$7:$E$506)*(I$3&lt;='Gastos com Pessoal'!$F$7:$F$506)*(IF('Gastos com Pessoal'!$S$7:$S$506&lt;=I$3,1,0))*OFFSET('Gastos com Pessoal'!$H$6,1,MATCH(3&amp;$B51,'Gastos com Pessoal'!$I$532:$AJ$532&amp;'Gastos com Pessoal'!$I$6:$AJ$6,0),500,1)),0)+_xlfn.IFNA(SUM((I$3&gt;='Gastos com Pessoal'!$E$7:$E$506)*(I$3&lt;='Gastos com Pessoal'!$F$7:$F$506)*(IF('Gastos com Pessoal'!$Y$7:$Y$506&lt;=I$3,1,0))*OFFSET('Gastos com Pessoal'!$H$6,1,MATCH(4&amp;$B51,'Gastos com Pessoal'!$I$532:$AJ$532&amp;'Gastos com Pessoal'!$I$6:$AJ$6,0),500,1)),0)+_xlfn.IFNA(SUM((I$3&gt;='Gastos com Pessoal'!$E$7:$E$506)*(I$3&lt;='Gastos com Pessoal'!$F$7:$F$506)*(IF('Gastos com Pessoal'!$AE$7:$AE$506&lt;=I$3,1,0))*OFFSET('Gastos com Pessoal'!$H$6,1,MATCH(5&amp;$B51,'Gastos com Pessoal'!$I$532:$AJ$532&amp;'Gastos com Pessoal'!$I$6:$AJ$6,0),500,1)),0)+_xlfn.IFNA(SUM((I$3&gt;='Gastos com Pessoal'!$E$513:$E$522)*(I$3&lt;='Gastos com Pessoal'!$F$513:$F$522)*(IF('Gastos com Pessoal'!$G$513:$G$522&lt;=I$3,1,0))*OFFSET('Gastos com Pessoal'!$H$512,1,MATCH(1&amp;$B51,'Gastos com Pessoal'!$I$532:$AJ$532&amp;'Gastos com Pessoal'!$I$512:$AJ$512,0),10,1)),0)+_xlfn.IFNA(SUM((I$3&gt;='Gastos com Pessoal'!$E$513:$E$522)*(I$3&lt;='Gastos com Pessoal'!$F$513:$F$522)*(IF('Gastos com Pessoal'!$M$513:$M$522&lt;=I$3,1,0))*OFFSET('Gastos com Pessoal'!$H$512,1,MATCH(2&amp;$B51,'Gastos com Pessoal'!$I$532:$AJ$532&amp;'Gastos com Pessoal'!$I$512:$AJ$512,0),10,1)),0)+_xlfn.IFNA(SUM((I$3&gt;='Gastos com Pessoal'!$E$513:$E$522)*(I$3&lt;='Gastos com Pessoal'!$F$513:$F$522)*(IF('Gastos com Pessoal'!$S$513:$S$522&lt;=I$3,1,0))*OFFSET('Gastos com Pessoal'!$H$512,1,MATCH(3&amp;$B51,'Gastos com Pessoal'!$I$532:$AJ$532&amp;'Gastos com Pessoal'!$I$512:$AJ$512,0),10,1)),0)+_xlfn.IFNA(SUM((I$3&gt;='Gastos com Pessoal'!$E$513:$E$522)*(I$3&lt;='Gastos com Pessoal'!$F$513:$F$522)*(IF('Gastos com Pessoal'!$Y$513:$Y$522&lt;=I$3,1,0))*OFFSET('Gastos com Pessoal'!$H$512,1,MATCH(4&amp;$B51,'Gastos com Pessoal'!$I$532:$AJ$532&amp;'Gastos com Pessoal'!$I$512:$AJ$512,0),10,1)),0)+_xlfn.IFNA(SUM((I$3&gt;='Gastos com Pessoal'!$E$513:$E$522)*(I$3&lt;='Gastos com Pessoal'!$F$513:$F$522)*(IF('Gastos com Pessoal'!$AE$513:$AE$522&lt;=I$3,1,0))*OFFSET('Gastos com Pessoal'!$H$512,1,MATCH(5&amp;$B51,'Gastos com Pessoal'!$I$532:$AJ$532&amp;'Gastos com Pessoal'!$I$512:$AJ$512,0),10,1)),0)</f>
        <v>1327.6799999999917</v>
      </c>
      <c r="J51" s="188">
        <f t="array" aca="1" ref="J51" ca="1">_xlfn.IFNA(SUM((J$3&gt;='Gastos com Pessoal'!$E$7:$E$506)*(J$3&lt;='Gastos com Pessoal'!$F$7:$F$506)*OFFSET('Encargos e Benefícios'!$D$5,1,MATCH($B51,'Encargos e Benefícios'!$E$5:$AB$5,0),500,1)),0)+_xlfn.IFNA(SUM((J$3&gt;='Gastos com Pessoal'!$E$513:$E$522)*(J$3&lt;='Gastos com Pessoal'!$F$513:$F$522)*OFFSET('Encargos e Benefícios'!$D$511,1,MATCH($B51,'Encargos e Benefícios'!$E$511:$AB$511,0),10,1)),0)+_xlfn.IFNA(SUM((J$3&gt;='Gastos com Pessoal'!$E$7:$E$506)*(J$3&lt;='Gastos com Pessoal'!$F$7:$F$506)*(IF('Gastos com Pessoal'!$G$7:$G$506&lt;=J$3,1,0))*OFFSET('Gastos com Pessoal'!$H$6,1,MATCH(1&amp;$B51,'Gastos com Pessoal'!$I$532:$AJ$532&amp;'Gastos com Pessoal'!$I$6:$AJ$6,0),500,1)),0)+_xlfn.IFNA(SUM((J$3&gt;='Gastos com Pessoal'!$E$7:$E$506)*(J$3&lt;='Gastos com Pessoal'!$F$7:$F$506)*(IF('Gastos com Pessoal'!$M$7:$M$506&lt;=J$3,1,0))*OFFSET('Gastos com Pessoal'!$H$6,1,MATCH(2&amp;$B51,'Gastos com Pessoal'!$I$532:$AJ$532&amp;'Gastos com Pessoal'!$I$6:$AJ$6,0),500,1)),0)+_xlfn.IFNA(SUM((J$3&gt;='Gastos com Pessoal'!$E$7:$E$506)*(J$3&lt;='Gastos com Pessoal'!$F$7:$F$506)*(IF('Gastos com Pessoal'!$S$7:$S$506&lt;=J$3,1,0))*OFFSET('Gastos com Pessoal'!$H$6,1,MATCH(3&amp;$B51,'Gastos com Pessoal'!$I$532:$AJ$532&amp;'Gastos com Pessoal'!$I$6:$AJ$6,0),500,1)),0)+_xlfn.IFNA(SUM((J$3&gt;='Gastos com Pessoal'!$E$7:$E$506)*(J$3&lt;='Gastos com Pessoal'!$F$7:$F$506)*(IF('Gastos com Pessoal'!$Y$7:$Y$506&lt;=J$3,1,0))*OFFSET('Gastos com Pessoal'!$H$6,1,MATCH(4&amp;$B51,'Gastos com Pessoal'!$I$532:$AJ$532&amp;'Gastos com Pessoal'!$I$6:$AJ$6,0),500,1)),0)+_xlfn.IFNA(SUM((J$3&gt;='Gastos com Pessoal'!$E$7:$E$506)*(J$3&lt;='Gastos com Pessoal'!$F$7:$F$506)*(IF('Gastos com Pessoal'!$AE$7:$AE$506&lt;=J$3,1,0))*OFFSET('Gastos com Pessoal'!$H$6,1,MATCH(5&amp;$B51,'Gastos com Pessoal'!$I$532:$AJ$532&amp;'Gastos com Pessoal'!$I$6:$AJ$6,0),500,1)),0)+_xlfn.IFNA(SUM((J$3&gt;='Gastos com Pessoal'!$E$513:$E$522)*(J$3&lt;='Gastos com Pessoal'!$F$513:$F$522)*(IF('Gastos com Pessoal'!$G$513:$G$522&lt;=J$3,1,0))*OFFSET('Gastos com Pessoal'!$H$512,1,MATCH(1&amp;$B51,'Gastos com Pessoal'!$I$532:$AJ$532&amp;'Gastos com Pessoal'!$I$512:$AJ$512,0),10,1)),0)+_xlfn.IFNA(SUM((J$3&gt;='Gastos com Pessoal'!$E$513:$E$522)*(J$3&lt;='Gastos com Pessoal'!$F$513:$F$522)*(IF('Gastos com Pessoal'!$M$513:$M$522&lt;=J$3,1,0))*OFFSET('Gastos com Pessoal'!$H$512,1,MATCH(2&amp;$B51,'Gastos com Pessoal'!$I$532:$AJ$532&amp;'Gastos com Pessoal'!$I$512:$AJ$512,0),10,1)),0)+_xlfn.IFNA(SUM((J$3&gt;='Gastos com Pessoal'!$E$513:$E$522)*(J$3&lt;='Gastos com Pessoal'!$F$513:$F$522)*(IF('Gastos com Pessoal'!$S$513:$S$522&lt;=J$3,1,0))*OFFSET('Gastos com Pessoal'!$H$512,1,MATCH(3&amp;$B51,'Gastos com Pessoal'!$I$532:$AJ$532&amp;'Gastos com Pessoal'!$I$512:$AJ$512,0),10,1)),0)+_xlfn.IFNA(SUM((J$3&gt;='Gastos com Pessoal'!$E$513:$E$522)*(J$3&lt;='Gastos com Pessoal'!$F$513:$F$522)*(IF('Gastos com Pessoal'!$Y$513:$Y$522&lt;=J$3,1,0))*OFFSET('Gastos com Pessoal'!$H$512,1,MATCH(4&amp;$B51,'Gastos com Pessoal'!$I$532:$AJ$532&amp;'Gastos com Pessoal'!$I$512:$AJ$512,0),10,1)),0)+_xlfn.IFNA(SUM((J$3&gt;='Gastos com Pessoal'!$E$513:$E$522)*(J$3&lt;='Gastos com Pessoal'!$F$513:$F$522)*(IF('Gastos com Pessoal'!$AE$513:$AE$522&lt;=J$3,1,0))*OFFSET('Gastos com Pessoal'!$H$512,1,MATCH(5&amp;$B51,'Gastos com Pessoal'!$I$532:$AJ$532&amp;'Gastos com Pessoal'!$I$512:$AJ$512,0),10,1)),0)</f>
        <v>1327.6799999999917</v>
      </c>
      <c r="K51" s="188">
        <f t="array" aca="1" ref="K51" ca="1">_xlfn.IFNA(SUM((K$3&gt;='Gastos com Pessoal'!$E$7:$E$506)*(K$3&lt;='Gastos com Pessoal'!$F$7:$F$506)*OFFSET('Encargos e Benefícios'!$D$5,1,MATCH($B51,'Encargos e Benefícios'!$E$5:$AB$5,0),500,1)),0)+_xlfn.IFNA(SUM((K$3&gt;='Gastos com Pessoal'!$E$513:$E$522)*(K$3&lt;='Gastos com Pessoal'!$F$513:$F$522)*OFFSET('Encargos e Benefícios'!$D$511,1,MATCH($B51,'Encargos e Benefícios'!$E$511:$AB$511,0),10,1)),0)+_xlfn.IFNA(SUM((K$3&gt;='Gastos com Pessoal'!$E$7:$E$506)*(K$3&lt;='Gastos com Pessoal'!$F$7:$F$506)*(IF('Gastos com Pessoal'!$G$7:$G$506&lt;=K$3,1,0))*OFFSET('Gastos com Pessoal'!$H$6,1,MATCH(1&amp;$B51,'Gastos com Pessoal'!$I$532:$AJ$532&amp;'Gastos com Pessoal'!$I$6:$AJ$6,0),500,1)),0)+_xlfn.IFNA(SUM((K$3&gt;='Gastos com Pessoal'!$E$7:$E$506)*(K$3&lt;='Gastos com Pessoal'!$F$7:$F$506)*(IF('Gastos com Pessoal'!$M$7:$M$506&lt;=K$3,1,0))*OFFSET('Gastos com Pessoal'!$H$6,1,MATCH(2&amp;$B51,'Gastos com Pessoal'!$I$532:$AJ$532&amp;'Gastos com Pessoal'!$I$6:$AJ$6,0),500,1)),0)+_xlfn.IFNA(SUM((K$3&gt;='Gastos com Pessoal'!$E$7:$E$506)*(K$3&lt;='Gastos com Pessoal'!$F$7:$F$506)*(IF('Gastos com Pessoal'!$S$7:$S$506&lt;=K$3,1,0))*OFFSET('Gastos com Pessoal'!$H$6,1,MATCH(3&amp;$B51,'Gastos com Pessoal'!$I$532:$AJ$532&amp;'Gastos com Pessoal'!$I$6:$AJ$6,0),500,1)),0)+_xlfn.IFNA(SUM((K$3&gt;='Gastos com Pessoal'!$E$7:$E$506)*(K$3&lt;='Gastos com Pessoal'!$F$7:$F$506)*(IF('Gastos com Pessoal'!$Y$7:$Y$506&lt;=K$3,1,0))*OFFSET('Gastos com Pessoal'!$H$6,1,MATCH(4&amp;$B51,'Gastos com Pessoal'!$I$532:$AJ$532&amp;'Gastos com Pessoal'!$I$6:$AJ$6,0),500,1)),0)+_xlfn.IFNA(SUM((K$3&gt;='Gastos com Pessoal'!$E$7:$E$506)*(K$3&lt;='Gastos com Pessoal'!$F$7:$F$506)*(IF('Gastos com Pessoal'!$AE$7:$AE$506&lt;=K$3,1,0))*OFFSET('Gastos com Pessoal'!$H$6,1,MATCH(5&amp;$B51,'Gastos com Pessoal'!$I$532:$AJ$532&amp;'Gastos com Pessoal'!$I$6:$AJ$6,0),500,1)),0)+_xlfn.IFNA(SUM((K$3&gt;='Gastos com Pessoal'!$E$513:$E$522)*(K$3&lt;='Gastos com Pessoal'!$F$513:$F$522)*(IF('Gastos com Pessoal'!$G$513:$G$522&lt;=K$3,1,0))*OFFSET('Gastos com Pessoal'!$H$512,1,MATCH(1&amp;$B51,'Gastos com Pessoal'!$I$532:$AJ$532&amp;'Gastos com Pessoal'!$I$512:$AJ$512,0),10,1)),0)+_xlfn.IFNA(SUM((K$3&gt;='Gastos com Pessoal'!$E$513:$E$522)*(K$3&lt;='Gastos com Pessoal'!$F$513:$F$522)*(IF('Gastos com Pessoal'!$M$513:$M$522&lt;=K$3,1,0))*OFFSET('Gastos com Pessoal'!$H$512,1,MATCH(2&amp;$B51,'Gastos com Pessoal'!$I$532:$AJ$532&amp;'Gastos com Pessoal'!$I$512:$AJ$512,0),10,1)),0)+_xlfn.IFNA(SUM((K$3&gt;='Gastos com Pessoal'!$E$513:$E$522)*(K$3&lt;='Gastos com Pessoal'!$F$513:$F$522)*(IF('Gastos com Pessoal'!$S$513:$S$522&lt;=K$3,1,0))*OFFSET('Gastos com Pessoal'!$H$512,1,MATCH(3&amp;$B51,'Gastos com Pessoal'!$I$532:$AJ$532&amp;'Gastos com Pessoal'!$I$512:$AJ$512,0),10,1)),0)+_xlfn.IFNA(SUM((K$3&gt;='Gastos com Pessoal'!$E$513:$E$522)*(K$3&lt;='Gastos com Pessoal'!$F$513:$F$522)*(IF('Gastos com Pessoal'!$Y$513:$Y$522&lt;=K$3,1,0))*OFFSET('Gastos com Pessoal'!$H$512,1,MATCH(4&amp;$B51,'Gastos com Pessoal'!$I$532:$AJ$532&amp;'Gastos com Pessoal'!$I$512:$AJ$512,0),10,1)),0)+_xlfn.IFNA(SUM((K$3&gt;='Gastos com Pessoal'!$E$513:$E$522)*(K$3&lt;='Gastos com Pessoal'!$F$513:$F$522)*(IF('Gastos com Pessoal'!$AE$513:$AE$522&lt;=K$3,1,0))*OFFSET('Gastos com Pessoal'!$H$512,1,MATCH(5&amp;$B51,'Gastos com Pessoal'!$I$532:$AJ$532&amp;'Gastos com Pessoal'!$I$512:$AJ$512,0),10,1)),0)</f>
        <v>1327.6799999999917</v>
      </c>
      <c r="L51" s="188">
        <f t="array" aca="1" ref="L51" ca="1">_xlfn.IFNA(SUM((L$3&gt;='Gastos com Pessoal'!$E$7:$E$506)*(L$3&lt;='Gastos com Pessoal'!$F$7:$F$506)*OFFSET('Encargos e Benefícios'!$D$5,1,MATCH($B51,'Encargos e Benefícios'!$E$5:$AB$5,0),500,1)),0)+_xlfn.IFNA(SUM((L$3&gt;='Gastos com Pessoal'!$E$513:$E$522)*(L$3&lt;='Gastos com Pessoal'!$F$513:$F$522)*OFFSET('Encargos e Benefícios'!$D$511,1,MATCH($B51,'Encargos e Benefícios'!$E$511:$AB$511,0),10,1)),0)+_xlfn.IFNA(SUM((L$3&gt;='Gastos com Pessoal'!$E$7:$E$506)*(L$3&lt;='Gastos com Pessoal'!$F$7:$F$506)*(IF('Gastos com Pessoal'!$G$7:$G$506&lt;=L$3,1,0))*OFFSET('Gastos com Pessoal'!$H$6,1,MATCH(1&amp;$B51,'Gastos com Pessoal'!$I$532:$AJ$532&amp;'Gastos com Pessoal'!$I$6:$AJ$6,0),500,1)),0)+_xlfn.IFNA(SUM((L$3&gt;='Gastos com Pessoal'!$E$7:$E$506)*(L$3&lt;='Gastos com Pessoal'!$F$7:$F$506)*(IF('Gastos com Pessoal'!$M$7:$M$506&lt;=L$3,1,0))*OFFSET('Gastos com Pessoal'!$H$6,1,MATCH(2&amp;$B51,'Gastos com Pessoal'!$I$532:$AJ$532&amp;'Gastos com Pessoal'!$I$6:$AJ$6,0),500,1)),0)+_xlfn.IFNA(SUM((L$3&gt;='Gastos com Pessoal'!$E$7:$E$506)*(L$3&lt;='Gastos com Pessoal'!$F$7:$F$506)*(IF('Gastos com Pessoal'!$S$7:$S$506&lt;=L$3,1,0))*OFFSET('Gastos com Pessoal'!$H$6,1,MATCH(3&amp;$B51,'Gastos com Pessoal'!$I$532:$AJ$532&amp;'Gastos com Pessoal'!$I$6:$AJ$6,0),500,1)),0)+_xlfn.IFNA(SUM((L$3&gt;='Gastos com Pessoal'!$E$7:$E$506)*(L$3&lt;='Gastos com Pessoal'!$F$7:$F$506)*(IF('Gastos com Pessoal'!$Y$7:$Y$506&lt;=L$3,1,0))*OFFSET('Gastos com Pessoal'!$H$6,1,MATCH(4&amp;$B51,'Gastos com Pessoal'!$I$532:$AJ$532&amp;'Gastos com Pessoal'!$I$6:$AJ$6,0),500,1)),0)+_xlfn.IFNA(SUM((L$3&gt;='Gastos com Pessoal'!$E$7:$E$506)*(L$3&lt;='Gastos com Pessoal'!$F$7:$F$506)*(IF('Gastos com Pessoal'!$AE$7:$AE$506&lt;=L$3,1,0))*OFFSET('Gastos com Pessoal'!$H$6,1,MATCH(5&amp;$B51,'Gastos com Pessoal'!$I$532:$AJ$532&amp;'Gastos com Pessoal'!$I$6:$AJ$6,0),500,1)),0)+_xlfn.IFNA(SUM((L$3&gt;='Gastos com Pessoal'!$E$513:$E$522)*(L$3&lt;='Gastos com Pessoal'!$F$513:$F$522)*(IF('Gastos com Pessoal'!$G$513:$G$522&lt;=L$3,1,0))*OFFSET('Gastos com Pessoal'!$H$512,1,MATCH(1&amp;$B51,'Gastos com Pessoal'!$I$532:$AJ$532&amp;'Gastos com Pessoal'!$I$512:$AJ$512,0),10,1)),0)+_xlfn.IFNA(SUM((L$3&gt;='Gastos com Pessoal'!$E$513:$E$522)*(L$3&lt;='Gastos com Pessoal'!$F$513:$F$522)*(IF('Gastos com Pessoal'!$M$513:$M$522&lt;=L$3,1,0))*OFFSET('Gastos com Pessoal'!$H$512,1,MATCH(2&amp;$B51,'Gastos com Pessoal'!$I$532:$AJ$532&amp;'Gastos com Pessoal'!$I$512:$AJ$512,0),10,1)),0)+_xlfn.IFNA(SUM((L$3&gt;='Gastos com Pessoal'!$E$513:$E$522)*(L$3&lt;='Gastos com Pessoal'!$F$513:$F$522)*(IF('Gastos com Pessoal'!$S$513:$S$522&lt;=L$3,1,0))*OFFSET('Gastos com Pessoal'!$H$512,1,MATCH(3&amp;$B51,'Gastos com Pessoal'!$I$532:$AJ$532&amp;'Gastos com Pessoal'!$I$512:$AJ$512,0),10,1)),0)+_xlfn.IFNA(SUM((L$3&gt;='Gastos com Pessoal'!$E$513:$E$522)*(L$3&lt;='Gastos com Pessoal'!$F$513:$F$522)*(IF('Gastos com Pessoal'!$Y$513:$Y$522&lt;=L$3,1,0))*OFFSET('Gastos com Pessoal'!$H$512,1,MATCH(4&amp;$B51,'Gastos com Pessoal'!$I$532:$AJ$532&amp;'Gastos com Pessoal'!$I$512:$AJ$512,0),10,1)),0)+_xlfn.IFNA(SUM((L$3&gt;='Gastos com Pessoal'!$E$513:$E$522)*(L$3&lt;='Gastos com Pessoal'!$F$513:$F$522)*(IF('Gastos com Pessoal'!$AE$513:$AE$522&lt;=L$3,1,0))*OFFSET('Gastos com Pessoal'!$H$512,1,MATCH(5&amp;$B51,'Gastos com Pessoal'!$I$532:$AJ$532&amp;'Gastos com Pessoal'!$I$512:$AJ$512,0),10,1)),0)</f>
        <v>1327.6799999999917</v>
      </c>
      <c r="M51" s="188">
        <f t="array" aca="1" ref="M51" ca="1">_xlfn.IFNA(SUM((M$3&gt;='Gastos com Pessoal'!$E$7:$E$506)*(M$3&lt;='Gastos com Pessoal'!$F$7:$F$506)*OFFSET('Encargos e Benefícios'!$D$5,1,MATCH($B51,'Encargos e Benefícios'!$E$5:$AB$5,0),500,1)),0)+_xlfn.IFNA(SUM((M$3&gt;='Gastos com Pessoal'!$E$513:$E$522)*(M$3&lt;='Gastos com Pessoal'!$F$513:$F$522)*OFFSET('Encargos e Benefícios'!$D$511,1,MATCH($B51,'Encargos e Benefícios'!$E$511:$AB$511,0),10,1)),0)+_xlfn.IFNA(SUM((M$3&gt;='Gastos com Pessoal'!$E$7:$E$506)*(M$3&lt;='Gastos com Pessoal'!$F$7:$F$506)*(IF('Gastos com Pessoal'!$G$7:$G$506&lt;=M$3,1,0))*OFFSET('Gastos com Pessoal'!$H$6,1,MATCH(1&amp;$B51,'Gastos com Pessoal'!$I$532:$AJ$532&amp;'Gastos com Pessoal'!$I$6:$AJ$6,0),500,1)),0)+_xlfn.IFNA(SUM((M$3&gt;='Gastos com Pessoal'!$E$7:$E$506)*(M$3&lt;='Gastos com Pessoal'!$F$7:$F$506)*(IF('Gastos com Pessoal'!$M$7:$M$506&lt;=M$3,1,0))*OFFSET('Gastos com Pessoal'!$H$6,1,MATCH(2&amp;$B51,'Gastos com Pessoal'!$I$532:$AJ$532&amp;'Gastos com Pessoal'!$I$6:$AJ$6,0),500,1)),0)+_xlfn.IFNA(SUM((M$3&gt;='Gastos com Pessoal'!$E$7:$E$506)*(M$3&lt;='Gastos com Pessoal'!$F$7:$F$506)*(IF('Gastos com Pessoal'!$S$7:$S$506&lt;=M$3,1,0))*OFFSET('Gastos com Pessoal'!$H$6,1,MATCH(3&amp;$B51,'Gastos com Pessoal'!$I$532:$AJ$532&amp;'Gastos com Pessoal'!$I$6:$AJ$6,0),500,1)),0)+_xlfn.IFNA(SUM((M$3&gt;='Gastos com Pessoal'!$E$7:$E$506)*(M$3&lt;='Gastos com Pessoal'!$F$7:$F$506)*(IF('Gastos com Pessoal'!$Y$7:$Y$506&lt;=M$3,1,0))*OFFSET('Gastos com Pessoal'!$H$6,1,MATCH(4&amp;$B51,'Gastos com Pessoal'!$I$532:$AJ$532&amp;'Gastos com Pessoal'!$I$6:$AJ$6,0),500,1)),0)+_xlfn.IFNA(SUM((M$3&gt;='Gastos com Pessoal'!$E$7:$E$506)*(M$3&lt;='Gastos com Pessoal'!$F$7:$F$506)*(IF('Gastos com Pessoal'!$AE$7:$AE$506&lt;=M$3,1,0))*OFFSET('Gastos com Pessoal'!$H$6,1,MATCH(5&amp;$B51,'Gastos com Pessoal'!$I$532:$AJ$532&amp;'Gastos com Pessoal'!$I$6:$AJ$6,0),500,1)),0)+_xlfn.IFNA(SUM((M$3&gt;='Gastos com Pessoal'!$E$513:$E$522)*(M$3&lt;='Gastos com Pessoal'!$F$513:$F$522)*(IF('Gastos com Pessoal'!$G$513:$G$522&lt;=M$3,1,0))*OFFSET('Gastos com Pessoal'!$H$512,1,MATCH(1&amp;$B51,'Gastos com Pessoal'!$I$532:$AJ$532&amp;'Gastos com Pessoal'!$I$512:$AJ$512,0),10,1)),0)+_xlfn.IFNA(SUM((M$3&gt;='Gastos com Pessoal'!$E$513:$E$522)*(M$3&lt;='Gastos com Pessoal'!$F$513:$F$522)*(IF('Gastos com Pessoal'!$M$513:$M$522&lt;=M$3,1,0))*OFFSET('Gastos com Pessoal'!$H$512,1,MATCH(2&amp;$B51,'Gastos com Pessoal'!$I$532:$AJ$532&amp;'Gastos com Pessoal'!$I$512:$AJ$512,0),10,1)),0)+_xlfn.IFNA(SUM((M$3&gt;='Gastos com Pessoal'!$E$513:$E$522)*(M$3&lt;='Gastos com Pessoal'!$F$513:$F$522)*(IF('Gastos com Pessoal'!$S$513:$S$522&lt;=M$3,1,0))*OFFSET('Gastos com Pessoal'!$H$512,1,MATCH(3&amp;$B51,'Gastos com Pessoal'!$I$532:$AJ$532&amp;'Gastos com Pessoal'!$I$512:$AJ$512,0),10,1)),0)+_xlfn.IFNA(SUM((M$3&gt;='Gastos com Pessoal'!$E$513:$E$522)*(M$3&lt;='Gastos com Pessoal'!$F$513:$F$522)*(IF('Gastos com Pessoal'!$Y$513:$Y$522&lt;=M$3,1,0))*OFFSET('Gastos com Pessoal'!$H$512,1,MATCH(4&amp;$B51,'Gastos com Pessoal'!$I$532:$AJ$532&amp;'Gastos com Pessoal'!$I$512:$AJ$512,0),10,1)),0)+_xlfn.IFNA(SUM((M$3&gt;='Gastos com Pessoal'!$E$513:$E$522)*(M$3&lt;='Gastos com Pessoal'!$F$513:$F$522)*(IF('Gastos com Pessoal'!$AE$513:$AE$522&lt;=M$3,1,0))*OFFSET('Gastos com Pessoal'!$H$512,1,MATCH(5&amp;$B51,'Gastos com Pessoal'!$I$532:$AJ$532&amp;'Gastos com Pessoal'!$I$512:$AJ$512,0),10,1)),0)</f>
        <v>1337.7999999999915</v>
      </c>
      <c r="N51" s="188">
        <f t="array" aca="1" ref="N51" ca="1">_xlfn.IFNA(SUM((N$3&gt;='Gastos com Pessoal'!$E$7:$E$506)*(N$3&lt;='Gastos com Pessoal'!$F$7:$F$506)*OFFSET('Encargos e Benefícios'!$D$5,1,MATCH($B51,'Encargos e Benefícios'!$E$5:$AB$5,0),500,1)),0)+_xlfn.IFNA(SUM((N$3&gt;='Gastos com Pessoal'!$E$513:$E$522)*(N$3&lt;='Gastos com Pessoal'!$F$513:$F$522)*OFFSET('Encargos e Benefícios'!$D$511,1,MATCH($B51,'Encargos e Benefícios'!$E$511:$AB$511,0),10,1)),0)+_xlfn.IFNA(SUM((N$3&gt;='Gastos com Pessoal'!$E$7:$E$506)*(N$3&lt;='Gastos com Pessoal'!$F$7:$F$506)*(IF('Gastos com Pessoal'!$G$7:$G$506&lt;=N$3,1,0))*OFFSET('Gastos com Pessoal'!$H$6,1,MATCH(1&amp;$B51,'Gastos com Pessoal'!$I$532:$AJ$532&amp;'Gastos com Pessoal'!$I$6:$AJ$6,0),500,1)),0)+_xlfn.IFNA(SUM((N$3&gt;='Gastos com Pessoal'!$E$7:$E$506)*(N$3&lt;='Gastos com Pessoal'!$F$7:$F$506)*(IF('Gastos com Pessoal'!$M$7:$M$506&lt;=N$3,1,0))*OFFSET('Gastos com Pessoal'!$H$6,1,MATCH(2&amp;$B51,'Gastos com Pessoal'!$I$532:$AJ$532&amp;'Gastos com Pessoal'!$I$6:$AJ$6,0),500,1)),0)+_xlfn.IFNA(SUM((N$3&gt;='Gastos com Pessoal'!$E$7:$E$506)*(N$3&lt;='Gastos com Pessoal'!$F$7:$F$506)*(IF('Gastos com Pessoal'!$S$7:$S$506&lt;=N$3,1,0))*OFFSET('Gastos com Pessoal'!$H$6,1,MATCH(3&amp;$B51,'Gastos com Pessoal'!$I$532:$AJ$532&amp;'Gastos com Pessoal'!$I$6:$AJ$6,0),500,1)),0)+_xlfn.IFNA(SUM((N$3&gt;='Gastos com Pessoal'!$E$7:$E$506)*(N$3&lt;='Gastos com Pessoal'!$F$7:$F$506)*(IF('Gastos com Pessoal'!$Y$7:$Y$506&lt;=N$3,1,0))*OFFSET('Gastos com Pessoal'!$H$6,1,MATCH(4&amp;$B51,'Gastos com Pessoal'!$I$532:$AJ$532&amp;'Gastos com Pessoal'!$I$6:$AJ$6,0),500,1)),0)+_xlfn.IFNA(SUM((N$3&gt;='Gastos com Pessoal'!$E$7:$E$506)*(N$3&lt;='Gastos com Pessoal'!$F$7:$F$506)*(IF('Gastos com Pessoal'!$AE$7:$AE$506&lt;=N$3,1,0))*OFFSET('Gastos com Pessoal'!$H$6,1,MATCH(5&amp;$B51,'Gastos com Pessoal'!$I$532:$AJ$532&amp;'Gastos com Pessoal'!$I$6:$AJ$6,0),500,1)),0)+_xlfn.IFNA(SUM((N$3&gt;='Gastos com Pessoal'!$E$513:$E$522)*(N$3&lt;='Gastos com Pessoal'!$F$513:$F$522)*(IF('Gastos com Pessoal'!$G$513:$G$522&lt;=N$3,1,0))*OFFSET('Gastos com Pessoal'!$H$512,1,MATCH(1&amp;$B51,'Gastos com Pessoal'!$I$532:$AJ$532&amp;'Gastos com Pessoal'!$I$512:$AJ$512,0),10,1)),0)+_xlfn.IFNA(SUM((N$3&gt;='Gastos com Pessoal'!$E$513:$E$522)*(N$3&lt;='Gastos com Pessoal'!$F$513:$F$522)*(IF('Gastos com Pessoal'!$M$513:$M$522&lt;=N$3,1,0))*OFFSET('Gastos com Pessoal'!$H$512,1,MATCH(2&amp;$B51,'Gastos com Pessoal'!$I$532:$AJ$532&amp;'Gastos com Pessoal'!$I$512:$AJ$512,0),10,1)),0)+_xlfn.IFNA(SUM((N$3&gt;='Gastos com Pessoal'!$E$513:$E$522)*(N$3&lt;='Gastos com Pessoal'!$F$513:$F$522)*(IF('Gastos com Pessoal'!$S$513:$S$522&lt;=N$3,1,0))*OFFSET('Gastos com Pessoal'!$H$512,1,MATCH(3&amp;$B51,'Gastos com Pessoal'!$I$532:$AJ$532&amp;'Gastos com Pessoal'!$I$512:$AJ$512,0),10,1)),0)+_xlfn.IFNA(SUM((N$3&gt;='Gastos com Pessoal'!$E$513:$E$522)*(N$3&lt;='Gastos com Pessoal'!$F$513:$F$522)*(IF('Gastos com Pessoal'!$Y$513:$Y$522&lt;=N$3,1,0))*OFFSET('Gastos com Pessoal'!$H$512,1,MATCH(4&amp;$B51,'Gastos com Pessoal'!$I$532:$AJ$532&amp;'Gastos com Pessoal'!$I$512:$AJ$512,0),10,1)),0)+_xlfn.IFNA(SUM((N$3&gt;='Gastos com Pessoal'!$E$513:$E$522)*(N$3&lt;='Gastos com Pessoal'!$F$513:$F$522)*(IF('Gastos com Pessoal'!$AE$513:$AE$522&lt;=N$3,1,0))*OFFSET('Gastos com Pessoal'!$H$512,1,MATCH(5&amp;$B51,'Gastos com Pessoal'!$I$532:$AJ$532&amp;'Gastos com Pessoal'!$I$512:$AJ$512,0),10,1)),0)</f>
        <v>1403.5799999999908</v>
      </c>
      <c r="O51" s="188">
        <f t="array" aca="1" ref="O51" ca="1">_xlfn.IFNA(SUM((O$3&gt;='Gastos com Pessoal'!$E$7:$E$506)*(O$3&lt;='Gastos com Pessoal'!$F$7:$F$506)*OFFSET('Encargos e Benefícios'!$D$5,1,MATCH($B51,'Encargos e Benefícios'!$E$5:$AB$5,0),500,1)),0)+_xlfn.IFNA(SUM((O$3&gt;='Gastos com Pessoal'!$E$513:$E$522)*(O$3&lt;='Gastos com Pessoal'!$F$513:$F$522)*OFFSET('Encargos e Benefícios'!$D$511,1,MATCH($B51,'Encargos e Benefícios'!$E$511:$AB$511,0),10,1)),0)+_xlfn.IFNA(SUM((O$3&gt;='Gastos com Pessoal'!$E$7:$E$506)*(O$3&lt;='Gastos com Pessoal'!$F$7:$F$506)*(IF('Gastos com Pessoal'!$G$7:$G$506&lt;=O$3,1,0))*OFFSET('Gastos com Pessoal'!$H$6,1,MATCH(1&amp;$B51,'Gastos com Pessoal'!$I$532:$AJ$532&amp;'Gastos com Pessoal'!$I$6:$AJ$6,0),500,1)),0)+_xlfn.IFNA(SUM((O$3&gt;='Gastos com Pessoal'!$E$7:$E$506)*(O$3&lt;='Gastos com Pessoal'!$F$7:$F$506)*(IF('Gastos com Pessoal'!$M$7:$M$506&lt;=O$3,1,0))*OFFSET('Gastos com Pessoal'!$H$6,1,MATCH(2&amp;$B51,'Gastos com Pessoal'!$I$532:$AJ$532&amp;'Gastos com Pessoal'!$I$6:$AJ$6,0),500,1)),0)+_xlfn.IFNA(SUM((O$3&gt;='Gastos com Pessoal'!$E$7:$E$506)*(O$3&lt;='Gastos com Pessoal'!$F$7:$F$506)*(IF('Gastos com Pessoal'!$S$7:$S$506&lt;=O$3,1,0))*OFFSET('Gastos com Pessoal'!$H$6,1,MATCH(3&amp;$B51,'Gastos com Pessoal'!$I$532:$AJ$532&amp;'Gastos com Pessoal'!$I$6:$AJ$6,0),500,1)),0)+_xlfn.IFNA(SUM((O$3&gt;='Gastos com Pessoal'!$E$7:$E$506)*(O$3&lt;='Gastos com Pessoal'!$F$7:$F$506)*(IF('Gastos com Pessoal'!$Y$7:$Y$506&lt;=O$3,1,0))*OFFSET('Gastos com Pessoal'!$H$6,1,MATCH(4&amp;$B51,'Gastos com Pessoal'!$I$532:$AJ$532&amp;'Gastos com Pessoal'!$I$6:$AJ$6,0),500,1)),0)+_xlfn.IFNA(SUM((O$3&gt;='Gastos com Pessoal'!$E$7:$E$506)*(O$3&lt;='Gastos com Pessoal'!$F$7:$F$506)*(IF('Gastos com Pessoal'!$AE$7:$AE$506&lt;=O$3,1,0))*OFFSET('Gastos com Pessoal'!$H$6,1,MATCH(5&amp;$B51,'Gastos com Pessoal'!$I$532:$AJ$532&amp;'Gastos com Pessoal'!$I$6:$AJ$6,0),500,1)),0)+_xlfn.IFNA(SUM((O$3&gt;='Gastos com Pessoal'!$E$513:$E$522)*(O$3&lt;='Gastos com Pessoal'!$F$513:$F$522)*(IF('Gastos com Pessoal'!$G$513:$G$522&lt;=O$3,1,0))*OFFSET('Gastos com Pessoal'!$H$512,1,MATCH(1&amp;$B51,'Gastos com Pessoal'!$I$532:$AJ$532&amp;'Gastos com Pessoal'!$I$512:$AJ$512,0),10,1)),0)+_xlfn.IFNA(SUM((O$3&gt;='Gastos com Pessoal'!$E$513:$E$522)*(O$3&lt;='Gastos com Pessoal'!$F$513:$F$522)*(IF('Gastos com Pessoal'!$M$513:$M$522&lt;=O$3,1,0))*OFFSET('Gastos com Pessoal'!$H$512,1,MATCH(2&amp;$B51,'Gastos com Pessoal'!$I$532:$AJ$532&amp;'Gastos com Pessoal'!$I$512:$AJ$512,0),10,1)),0)+_xlfn.IFNA(SUM((O$3&gt;='Gastos com Pessoal'!$E$513:$E$522)*(O$3&lt;='Gastos com Pessoal'!$F$513:$F$522)*(IF('Gastos com Pessoal'!$S$513:$S$522&lt;=O$3,1,0))*OFFSET('Gastos com Pessoal'!$H$512,1,MATCH(3&amp;$B51,'Gastos com Pessoal'!$I$532:$AJ$532&amp;'Gastos com Pessoal'!$I$512:$AJ$512,0),10,1)),0)+_xlfn.IFNA(SUM((O$3&gt;='Gastos com Pessoal'!$E$513:$E$522)*(O$3&lt;='Gastos com Pessoal'!$F$513:$F$522)*(IF('Gastos com Pessoal'!$Y$513:$Y$522&lt;=O$3,1,0))*OFFSET('Gastos com Pessoal'!$H$512,1,MATCH(4&amp;$B51,'Gastos com Pessoal'!$I$532:$AJ$532&amp;'Gastos com Pessoal'!$I$512:$AJ$512,0),10,1)),0)+_xlfn.IFNA(SUM((O$3&gt;='Gastos com Pessoal'!$E$513:$E$522)*(O$3&lt;='Gastos com Pessoal'!$F$513:$F$522)*(IF('Gastos com Pessoal'!$AE$513:$AE$522&lt;=O$3,1,0))*OFFSET('Gastos com Pessoal'!$H$512,1,MATCH(5&amp;$B51,'Gastos com Pessoal'!$I$532:$AJ$532&amp;'Gastos com Pessoal'!$I$512:$AJ$512,0),10,1)),0)</f>
        <v>1403.5799999999908</v>
      </c>
      <c r="P51" s="188">
        <f t="array" aca="1" ref="P51" ca="1">_xlfn.IFNA(SUM((P$3&gt;='Gastos com Pessoal'!$E$7:$E$506)*(P$3&lt;='Gastos com Pessoal'!$F$7:$F$506)*OFFSET('Encargos e Benefícios'!$D$5,1,MATCH($B51,'Encargos e Benefícios'!$E$5:$AB$5,0),500,1)),0)+_xlfn.IFNA(SUM((P$3&gt;='Gastos com Pessoal'!$E$513:$E$522)*(P$3&lt;='Gastos com Pessoal'!$F$513:$F$522)*OFFSET('Encargos e Benefícios'!$D$511,1,MATCH($B51,'Encargos e Benefícios'!$E$511:$AB$511,0),10,1)),0)+_xlfn.IFNA(SUM((P$3&gt;='Gastos com Pessoal'!$E$7:$E$506)*(P$3&lt;='Gastos com Pessoal'!$F$7:$F$506)*(IF('Gastos com Pessoal'!$G$7:$G$506&lt;=P$3,1,0))*OFFSET('Gastos com Pessoal'!$H$6,1,MATCH(1&amp;$B51,'Gastos com Pessoal'!$I$532:$AJ$532&amp;'Gastos com Pessoal'!$I$6:$AJ$6,0),500,1)),0)+_xlfn.IFNA(SUM((P$3&gt;='Gastos com Pessoal'!$E$7:$E$506)*(P$3&lt;='Gastos com Pessoal'!$F$7:$F$506)*(IF('Gastos com Pessoal'!$M$7:$M$506&lt;=P$3,1,0))*OFFSET('Gastos com Pessoal'!$H$6,1,MATCH(2&amp;$B51,'Gastos com Pessoal'!$I$532:$AJ$532&amp;'Gastos com Pessoal'!$I$6:$AJ$6,0),500,1)),0)+_xlfn.IFNA(SUM((P$3&gt;='Gastos com Pessoal'!$E$7:$E$506)*(P$3&lt;='Gastos com Pessoal'!$F$7:$F$506)*(IF('Gastos com Pessoal'!$S$7:$S$506&lt;=P$3,1,0))*OFFSET('Gastos com Pessoal'!$H$6,1,MATCH(3&amp;$B51,'Gastos com Pessoal'!$I$532:$AJ$532&amp;'Gastos com Pessoal'!$I$6:$AJ$6,0),500,1)),0)+_xlfn.IFNA(SUM((P$3&gt;='Gastos com Pessoal'!$E$7:$E$506)*(P$3&lt;='Gastos com Pessoal'!$F$7:$F$506)*(IF('Gastos com Pessoal'!$Y$7:$Y$506&lt;=P$3,1,0))*OFFSET('Gastos com Pessoal'!$H$6,1,MATCH(4&amp;$B51,'Gastos com Pessoal'!$I$532:$AJ$532&amp;'Gastos com Pessoal'!$I$6:$AJ$6,0),500,1)),0)+_xlfn.IFNA(SUM((P$3&gt;='Gastos com Pessoal'!$E$7:$E$506)*(P$3&lt;='Gastos com Pessoal'!$F$7:$F$506)*(IF('Gastos com Pessoal'!$AE$7:$AE$506&lt;=P$3,1,0))*OFFSET('Gastos com Pessoal'!$H$6,1,MATCH(5&amp;$B51,'Gastos com Pessoal'!$I$532:$AJ$532&amp;'Gastos com Pessoal'!$I$6:$AJ$6,0),500,1)),0)+_xlfn.IFNA(SUM((P$3&gt;='Gastos com Pessoal'!$E$513:$E$522)*(P$3&lt;='Gastos com Pessoal'!$F$513:$F$522)*(IF('Gastos com Pessoal'!$G$513:$G$522&lt;=P$3,1,0))*OFFSET('Gastos com Pessoal'!$H$512,1,MATCH(1&amp;$B51,'Gastos com Pessoal'!$I$532:$AJ$532&amp;'Gastos com Pessoal'!$I$512:$AJ$512,0),10,1)),0)+_xlfn.IFNA(SUM((P$3&gt;='Gastos com Pessoal'!$E$513:$E$522)*(P$3&lt;='Gastos com Pessoal'!$F$513:$F$522)*(IF('Gastos com Pessoal'!$M$513:$M$522&lt;=P$3,1,0))*OFFSET('Gastos com Pessoal'!$H$512,1,MATCH(2&amp;$B51,'Gastos com Pessoal'!$I$532:$AJ$532&amp;'Gastos com Pessoal'!$I$512:$AJ$512,0),10,1)),0)+_xlfn.IFNA(SUM((P$3&gt;='Gastos com Pessoal'!$E$513:$E$522)*(P$3&lt;='Gastos com Pessoal'!$F$513:$F$522)*(IF('Gastos com Pessoal'!$S$513:$S$522&lt;=P$3,1,0))*OFFSET('Gastos com Pessoal'!$H$512,1,MATCH(3&amp;$B51,'Gastos com Pessoal'!$I$532:$AJ$532&amp;'Gastos com Pessoal'!$I$512:$AJ$512,0),10,1)),0)+_xlfn.IFNA(SUM((P$3&gt;='Gastos com Pessoal'!$E$513:$E$522)*(P$3&lt;='Gastos com Pessoal'!$F$513:$F$522)*(IF('Gastos com Pessoal'!$Y$513:$Y$522&lt;=P$3,1,0))*OFFSET('Gastos com Pessoal'!$H$512,1,MATCH(4&amp;$B51,'Gastos com Pessoal'!$I$532:$AJ$532&amp;'Gastos com Pessoal'!$I$512:$AJ$512,0),10,1)),0)+_xlfn.IFNA(SUM((P$3&gt;='Gastos com Pessoal'!$E$513:$E$522)*(P$3&lt;='Gastos com Pessoal'!$F$513:$F$522)*(IF('Gastos com Pessoal'!$AE$513:$AE$522&lt;=P$3,1,0))*OFFSET('Gastos com Pessoal'!$H$512,1,MATCH(5&amp;$B51,'Gastos com Pessoal'!$I$532:$AJ$532&amp;'Gastos com Pessoal'!$I$512:$AJ$512,0),10,1)),0)</f>
        <v>1391.4999999999907</v>
      </c>
      <c r="Q51" s="188">
        <f t="array" aca="1" ref="Q51" ca="1">_xlfn.IFNA(SUM((Q$3&gt;='Gastos com Pessoal'!$E$7:$E$506)*(Q$3&lt;='Gastos com Pessoal'!$F$7:$F$506)*OFFSET('Encargos e Benefícios'!$D$5,1,MATCH($B51,'Encargos e Benefícios'!$E$5:$AB$5,0),500,1)),0)+_xlfn.IFNA(SUM((Q$3&gt;='Gastos com Pessoal'!$E$513:$E$522)*(Q$3&lt;='Gastos com Pessoal'!$F$513:$F$522)*OFFSET('Encargos e Benefícios'!$D$511,1,MATCH($B51,'Encargos e Benefícios'!$E$511:$AB$511,0),10,1)),0)+_xlfn.IFNA(SUM((Q$3&gt;='Gastos com Pessoal'!$E$7:$E$506)*(Q$3&lt;='Gastos com Pessoal'!$F$7:$F$506)*(IF('Gastos com Pessoal'!$G$7:$G$506&lt;=Q$3,1,0))*OFFSET('Gastos com Pessoal'!$H$6,1,MATCH(1&amp;$B51,'Gastos com Pessoal'!$I$532:$AJ$532&amp;'Gastos com Pessoal'!$I$6:$AJ$6,0),500,1)),0)+_xlfn.IFNA(SUM((Q$3&gt;='Gastos com Pessoal'!$E$7:$E$506)*(Q$3&lt;='Gastos com Pessoal'!$F$7:$F$506)*(IF('Gastos com Pessoal'!$M$7:$M$506&lt;=Q$3,1,0))*OFFSET('Gastos com Pessoal'!$H$6,1,MATCH(2&amp;$B51,'Gastos com Pessoal'!$I$532:$AJ$532&amp;'Gastos com Pessoal'!$I$6:$AJ$6,0),500,1)),0)+_xlfn.IFNA(SUM((Q$3&gt;='Gastos com Pessoal'!$E$7:$E$506)*(Q$3&lt;='Gastos com Pessoal'!$F$7:$F$506)*(IF('Gastos com Pessoal'!$S$7:$S$506&lt;=Q$3,1,0))*OFFSET('Gastos com Pessoal'!$H$6,1,MATCH(3&amp;$B51,'Gastos com Pessoal'!$I$532:$AJ$532&amp;'Gastos com Pessoal'!$I$6:$AJ$6,0),500,1)),0)+_xlfn.IFNA(SUM((Q$3&gt;='Gastos com Pessoal'!$E$7:$E$506)*(Q$3&lt;='Gastos com Pessoal'!$F$7:$F$506)*(IF('Gastos com Pessoal'!$Y$7:$Y$506&lt;=Q$3,1,0))*OFFSET('Gastos com Pessoal'!$H$6,1,MATCH(4&amp;$B51,'Gastos com Pessoal'!$I$532:$AJ$532&amp;'Gastos com Pessoal'!$I$6:$AJ$6,0),500,1)),0)+_xlfn.IFNA(SUM((Q$3&gt;='Gastos com Pessoal'!$E$7:$E$506)*(Q$3&lt;='Gastos com Pessoal'!$F$7:$F$506)*(IF('Gastos com Pessoal'!$AE$7:$AE$506&lt;=Q$3,1,0))*OFFSET('Gastos com Pessoal'!$H$6,1,MATCH(5&amp;$B51,'Gastos com Pessoal'!$I$532:$AJ$532&amp;'Gastos com Pessoal'!$I$6:$AJ$6,0),500,1)),0)+_xlfn.IFNA(SUM((Q$3&gt;='Gastos com Pessoal'!$E$513:$E$522)*(Q$3&lt;='Gastos com Pessoal'!$F$513:$F$522)*(IF('Gastos com Pessoal'!$G$513:$G$522&lt;=Q$3,1,0))*OFFSET('Gastos com Pessoal'!$H$512,1,MATCH(1&amp;$B51,'Gastos com Pessoal'!$I$532:$AJ$532&amp;'Gastos com Pessoal'!$I$512:$AJ$512,0),10,1)),0)+_xlfn.IFNA(SUM((Q$3&gt;='Gastos com Pessoal'!$E$513:$E$522)*(Q$3&lt;='Gastos com Pessoal'!$F$513:$F$522)*(IF('Gastos com Pessoal'!$M$513:$M$522&lt;=Q$3,1,0))*OFFSET('Gastos com Pessoal'!$H$512,1,MATCH(2&amp;$B51,'Gastos com Pessoal'!$I$532:$AJ$532&amp;'Gastos com Pessoal'!$I$512:$AJ$512,0),10,1)),0)+_xlfn.IFNA(SUM((Q$3&gt;='Gastos com Pessoal'!$E$513:$E$522)*(Q$3&lt;='Gastos com Pessoal'!$F$513:$F$522)*(IF('Gastos com Pessoal'!$S$513:$S$522&lt;=Q$3,1,0))*OFFSET('Gastos com Pessoal'!$H$512,1,MATCH(3&amp;$B51,'Gastos com Pessoal'!$I$532:$AJ$532&amp;'Gastos com Pessoal'!$I$512:$AJ$512,0),10,1)),0)+_xlfn.IFNA(SUM((Q$3&gt;='Gastos com Pessoal'!$E$513:$E$522)*(Q$3&lt;='Gastos com Pessoal'!$F$513:$F$522)*(IF('Gastos com Pessoal'!$Y$513:$Y$522&lt;=Q$3,1,0))*OFFSET('Gastos com Pessoal'!$H$512,1,MATCH(4&amp;$B51,'Gastos com Pessoal'!$I$532:$AJ$532&amp;'Gastos com Pessoal'!$I$512:$AJ$512,0),10,1)),0)+_xlfn.IFNA(SUM((Q$3&gt;='Gastos com Pessoal'!$E$513:$E$522)*(Q$3&lt;='Gastos com Pessoal'!$F$513:$F$522)*(IF('Gastos com Pessoal'!$AE$513:$AE$522&lt;=Q$3,1,0))*OFFSET('Gastos com Pessoal'!$H$512,1,MATCH(5&amp;$B51,'Gastos com Pessoal'!$I$532:$AJ$532&amp;'Gastos com Pessoal'!$I$512:$AJ$512,0),10,1)),0)</f>
        <v>1457.27999999999</v>
      </c>
      <c r="R51" s="188">
        <f t="array" aca="1" ref="R51" ca="1">_xlfn.IFNA(SUM((R$3&gt;='Gastos com Pessoal'!$E$7:$E$506)*(R$3&lt;='Gastos com Pessoal'!$F$7:$F$506)*OFFSET('Encargos e Benefícios'!$D$5,1,MATCH($B51,'Encargos e Benefícios'!$E$5:$AB$5,0),500,1)),0)+_xlfn.IFNA(SUM((R$3&gt;='Gastos com Pessoal'!$E$513:$E$522)*(R$3&lt;='Gastos com Pessoal'!$F$513:$F$522)*OFFSET('Encargos e Benefícios'!$D$511,1,MATCH($B51,'Encargos e Benefícios'!$E$511:$AB$511,0),10,1)),0)+_xlfn.IFNA(SUM((R$3&gt;='Gastos com Pessoal'!$E$7:$E$506)*(R$3&lt;='Gastos com Pessoal'!$F$7:$F$506)*(IF('Gastos com Pessoal'!$G$7:$G$506&lt;=R$3,1,0))*OFFSET('Gastos com Pessoal'!$H$6,1,MATCH(1&amp;$B51,'Gastos com Pessoal'!$I$532:$AJ$532&amp;'Gastos com Pessoal'!$I$6:$AJ$6,0),500,1)),0)+_xlfn.IFNA(SUM((R$3&gt;='Gastos com Pessoal'!$E$7:$E$506)*(R$3&lt;='Gastos com Pessoal'!$F$7:$F$506)*(IF('Gastos com Pessoal'!$M$7:$M$506&lt;=R$3,1,0))*OFFSET('Gastos com Pessoal'!$H$6,1,MATCH(2&amp;$B51,'Gastos com Pessoal'!$I$532:$AJ$532&amp;'Gastos com Pessoal'!$I$6:$AJ$6,0),500,1)),0)+_xlfn.IFNA(SUM((R$3&gt;='Gastos com Pessoal'!$E$7:$E$506)*(R$3&lt;='Gastos com Pessoal'!$F$7:$F$506)*(IF('Gastos com Pessoal'!$S$7:$S$506&lt;=R$3,1,0))*OFFSET('Gastos com Pessoal'!$H$6,1,MATCH(3&amp;$B51,'Gastos com Pessoal'!$I$532:$AJ$532&amp;'Gastos com Pessoal'!$I$6:$AJ$6,0),500,1)),0)+_xlfn.IFNA(SUM((R$3&gt;='Gastos com Pessoal'!$E$7:$E$506)*(R$3&lt;='Gastos com Pessoal'!$F$7:$F$506)*(IF('Gastos com Pessoal'!$Y$7:$Y$506&lt;=R$3,1,0))*OFFSET('Gastos com Pessoal'!$H$6,1,MATCH(4&amp;$B51,'Gastos com Pessoal'!$I$532:$AJ$532&amp;'Gastos com Pessoal'!$I$6:$AJ$6,0),500,1)),0)+_xlfn.IFNA(SUM((R$3&gt;='Gastos com Pessoal'!$E$7:$E$506)*(R$3&lt;='Gastos com Pessoal'!$F$7:$F$506)*(IF('Gastos com Pessoal'!$AE$7:$AE$506&lt;=R$3,1,0))*OFFSET('Gastos com Pessoal'!$H$6,1,MATCH(5&amp;$B51,'Gastos com Pessoal'!$I$532:$AJ$532&amp;'Gastos com Pessoal'!$I$6:$AJ$6,0),500,1)),0)+_xlfn.IFNA(SUM((R$3&gt;='Gastos com Pessoal'!$E$513:$E$522)*(R$3&lt;='Gastos com Pessoal'!$F$513:$F$522)*(IF('Gastos com Pessoal'!$G$513:$G$522&lt;=R$3,1,0))*OFFSET('Gastos com Pessoal'!$H$512,1,MATCH(1&amp;$B51,'Gastos com Pessoal'!$I$532:$AJ$532&amp;'Gastos com Pessoal'!$I$512:$AJ$512,0),10,1)),0)+_xlfn.IFNA(SUM((R$3&gt;='Gastos com Pessoal'!$E$513:$E$522)*(R$3&lt;='Gastos com Pessoal'!$F$513:$F$522)*(IF('Gastos com Pessoal'!$M$513:$M$522&lt;=R$3,1,0))*OFFSET('Gastos com Pessoal'!$H$512,1,MATCH(2&amp;$B51,'Gastos com Pessoal'!$I$532:$AJ$532&amp;'Gastos com Pessoal'!$I$512:$AJ$512,0),10,1)),0)+_xlfn.IFNA(SUM((R$3&gt;='Gastos com Pessoal'!$E$513:$E$522)*(R$3&lt;='Gastos com Pessoal'!$F$513:$F$522)*(IF('Gastos com Pessoal'!$S$513:$S$522&lt;=R$3,1,0))*OFFSET('Gastos com Pessoal'!$H$512,1,MATCH(3&amp;$B51,'Gastos com Pessoal'!$I$532:$AJ$532&amp;'Gastos com Pessoal'!$I$512:$AJ$512,0),10,1)),0)+_xlfn.IFNA(SUM((R$3&gt;='Gastos com Pessoal'!$E$513:$E$522)*(R$3&lt;='Gastos com Pessoal'!$F$513:$F$522)*(IF('Gastos com Pessoal'!$Y$513:$Y$522&lt;=R$3,1,0))*OFFSET('Gastos com Pessoal'!$H$512,1,MATCH(4&amp;$B51,'Gastos com Pessoal'!$I$532:$AJ$532&amp;'Gastos com Pessoal'!$I$512:$AJ$512,0),10,1)),0)+_xlfn.IFNA(SUM((R$3&gt;='Gastos com Pessoal'!$E$513:$E$522)*(R$3&lt;='Gastos com Pessoal'!$F$513:$F$522)*(IF('Gastos com Pessoal'!$AE$513:$AE$522&lt;=R$3,1,0))*OFFSET('Gastos com Pessoal'!$H$512,1,MATCH(5&amp;$B51,'Gastos com Pessoal'!$I$532:$AJ$532&amp;'Gastos com Pessoal'!$I$512:$AJ$512,0),10,1)),0)</f>
        <v>1457.27999999999</v>
      </c>
      <c r="S51" s="188">
        <f t="array" aca="1" ref="S51" ca="1">_xlfn.IFNA(SUM((S$3&gt;='Gastos com Pessoal'!$E$7:$E$506)*(S$3&lt;='Gastos com Pessoal'!$F$7:$F$506)*OFFSET('Encargos e Benefícios'!$D$5,1,MATCH($B51,'Encargos e Benefícios'!$E$5:$AB$5,0),500,1)),0)+_xlfn.IFNA(SUM((S$3&gt;='Gastos com Pessoal'!$E$513:$E$522)*(S$3&lt;='Gastos com Pessoal'!$F$513:$F$522)*OFFSET('Encargos e Benefícios'!$D$511,1,MATCH($B51,'Encargos e Benefícios'!$E$511:$AB$511,0),10,1)),0)+_xlfn.IFNA(SUM((S$3&gt;='Gastos com Pessoal'!$E$7:$E$506)*(S$3&lt;='Gastos com Pessoal'!$F$7:$F$506)*(IF('Gastos com Pessoal'!$G$7:$G$506&lt;=S$3,1,0))*OFFSET('Gastos com Pessoal'!$H$6,1,MATCH(1&amp;$B51,'Gastos com Pessoal'!$I$532:$AJ$532&amp;'Gastos com Pessoal'!$I$6:$AJ$6,0),500,1)),0)+_xlfn.IFNA(SUM((S$3&gt;='Gastos com Pessoal'!$E$7:$E$506)*(S$3&lt;='Gastos com Pessoal'!$F$7:$F$506)*(IF('Gastos com Pessoal'!$M$7:$M$506&lt;=S$3,1,0))*OFFSET('Gastos com Pessoal'!$H$6,1,MATCH(2&amp;$B51,'Gastos com Pessoal'!$I$532:$AJ$532&amp;'Gastos com Pessoal'!$I$6:$AJ$6,0),500,1)),0)+_xlfn.IFNA(SUM((S$3&gt;='Gastos com Pessoal'!$E$7:$E$506)*(S$3&lt;='Gastos com Pessoal'!$F$7:$F$506)*(IF('Gastos com Pessoal'!$S$7:$S$506&lt;=S$3,1,0))*OFFSET('Gastos com Pessoal'!$H$6,1,MATCH(3&amp;$B51,'Gastos com Pessoal'!$I$532:$AJ$532&amp;'Gastos com Pessoal'!$I$6:$AJ$6,0),500,1)),0)+_xlfn.IFNA(SUM((S$3&gt;='Gastos com Pessoal'!$E$7:$E$506)*(S$3&lt;='Gastos com Pessoal'!$F$7:$F$506)*(IF('Gastos com Pessoal'!$Y$7:$Y$506&lt;=S$3,1,0))*OFFSET('Gastos com Pessoal'!$H$6,1,MATCH(4&amp;$B51,'Gastos com Pessoal'!$I$532:$AJ$532&amp;'Gastos com Pessoal'!$I$6:$AJ$6,0),500,1)),0)+_xlfn.IFNA(SUM((S$3&gt;='Gastos com Pessoal'!$E$7:$E$506)*(S$3&lt;='Gastos com Pessoal'!$F$7:$F$506)*(IF('Gastos com Pessoal'!$AE$7:$AE$506&lt;=S$3,1,0))*OFFSET('Gastos com Pessoal'!$H$6,1,MATCH(5&amp;$B51,'Gastos com Pessoal'!$I$532:$AJ$532&amp;'Gastos com Pessoal'!$I$6:$AJ$6,0),500,1)),0)+_xlfn.IFNA(SUM((S$3&gt;='Gastos com Pessoal'!$E$513:$E$522)*(S$3&lt;='Gastos com Pessoal'!$F$513:$F$522)*(IF('Gastos com Pessoal'!$G$513:$G$522&lt;=S$3,1,0))*OFFSET('Gastos com Pessoal'!$H$512,1,MATCH(1&amp;$B51,'Gastos com Pessoal'!$I$532:$AJ$532&amp;'Gastos com Pessoal'!$I$512:$AJ$512,0),10,1)),0)+_xlfn.IFNA(SUM((S$3&gt;='Gastos com Pessoal'!$E$513:$E$522)*(S$3&lt;='Gastos com Pessoal'!$F$513:$F$522)*(IF('Gastos com Pessoal'!$M$513:$M$522&lt;=S$3,1,0))*OFFSET('Gastos com Pessoal'!$H$512,1,MATCH(2&amp;$B51,'Gastos com Pessoal'!$I$532:$AJ$532&amp;'Gastos com Pessoal'!$I$512:$AJ$512,0),10,1)),0)+_xlfn.IFNA(SUM((S$3&gt;='Gastos com Pessoal'!$E$513:$E$522)*(S$3&lt;='Gastos com Pessoal'!$F$513:$F$522)*(IF('Gastos com Pessoal'!$S$513:$S$522&lt;=S$3,1,0))*OFFSET('Gastos com Pessoal'!$H$512,1,MATCH(3&amp;$B51,'Gastos com Pessoal'!$I$532:$AJ$532&amp;'Gastos com Pessoal'!$I$512:$AJ$512,0),10,1)),0)+_xlfn.IFNA(SUM((S$3&gt;='Gastos com Pessoal'!$E$513:$E$522)*(S$3&lt;='Gastos com Pessoal'!$F$513:$F$522)*(IF('Gastos com Pessoal'!$Y$513:$Y$522&lt;=S$3,1,0))*OFFSET('Gastos com Pessoal'!$H$512,1,MATCH(4&amp;$B51,'Gastos com Pessoal'!$I$532:$AJ$532&amp;'Gastos com Pessoal'!$I$512:$AJ$512,0),10,1)),0)+_xlfn.IFNA(SUM((S$3&gt;='Gastos com Pessoal'!$E$513:$E$522)*(S$3&lt;='Gastos com Pessoal'!$F$513:$F$522)*(IF('Gastos com Pessoal'!$AE$513:$AE$522&lt;=S$3,1,0))*OFFSET('Gastos com Pessoal'!$H$512,1,MATCH(5&amp;$B51,'Gastos com Pessoal'!$I$532:$AJ$532&amp;'Gastos com Pessoal'!$I$512:$AJ$512,0),10,1)),0)</f>
        <v>1457.27999999999</v>
      </c>
      <c r="T51" s="188">
        <f t="array" aca="1" ref="T51" ca="1">_xlfn.IFNA(SUM((T$3&gt;='Gastos com Pessoal'!$E$7:$E$506)*(T$3&lt;='Gastos com Pessoal'!$F$7:$F$506)*OFFSET('Encargos e Benefícios'!$D$5,1,MATCH($B51,'Encargos e Benefícios'!$E$5:$AB$5,0),500,1)),0)+_xlfn.IFNA(SUM((T$3&gt;='Gastos com Pessoal'!$E$513:$E$522)*(T$3&lt;='Gastos com Pessoal'!$F$513:$F$522)*OFFSET('Encargos e Benefícios'!$D$511,1,MATCH($B51,'Encargos e Benefícios'!$E$511:$AB$511,0),10,1)),0)+_xlfn.IFNA(SUM((T$3&gt;='Gastos com Pessoal'!$E$7:$E$506)*(T$3&lt;='Gastos com Pessoal'!$F$7:$F$506)*(IF('Gastos com Pessoal'!$G$7:$G$506&lt;=T$3,1,0))*OFFSET('Gastos com Pessoal'!$H$6,1,MATCH(1&amp;$B51,'Gastos com Pessoal'!$I$532:$AJ$532&amp;'Gastos com Pessoal'!$I$6:$AJ$6,0),500,1)),0)+_xlfn.IFNA(SUM((T$3&gt;='Gastos com Pessoal'!$E$7:$E$506)*(T$3&lt;='Gastos com Pessoal'!$F$7:$F$506)*(IF('Gastos com Pessoal'!$M$7:$M$506&lt;=T$3,1,0))*OFFSET('Gastos com Pessoal'!$H$6,1,MATCH(2&amp;$B51,'Gastos com Pessoal'!$I$532:$AJ$532&amp;'Gastos com Pessoal'!$I$6:$AJ$6,0),500,1)),0)+_xlfn.IFNA(SUM((T$3&gt;='Gastos com Pessoal'!$E$7:$E$506)*(T$3&lt;='Gastos com Pessoal'!$F$7:$F$506)*(IF('Gastos com Pessoal'!$S$7:$S$506&lt;=T$3,1,0))*OFFSET('Gastos com Pessoal'!$H$6,1,MATCH(3&amp;$B51,'Gastos com Pessoal'!$I$532:$AJ$532&amp;'Gastos com Pessoal'!$I$6:$AJ$6,0),500,1)),0)+_xlfn.IFNA(SUM((T$3&gt;='Gastos com Pessoal'!$E$7:$E$506)*(T$3&lt;='Gastos com Pessoal'!$F$7:$F$506)*(IF('Gastos com Pessoal'!$Y$7:$Y$506&lt;=T$3,1,0))*OFFSET('Gastos com Pessoal'!$H$6,1,MATCH(4&amp;$B51,'Gastos com Pessoal'!$I$532:$AJ$532&amp;'Gastos com Pessoal'!$I$6:$AJ$6,0),500,1)),0)+_xlfn.IFNA(SUM((T$3&gt;='Gastos com Pessoal'!$E$7:$E$506)*(T$3&lt;='Gastos com Pessoal'!$F$7:$F$506)*(IF('Gastos com Pessoal'!$AE$7:$AE$506&lt;=T$3,1,0))*OFFSET('Gastos com Pessoal'!$H$6,1,MATCH(5&amp;$B51,'Gastos com Pessoal'!$I$532:$AJ$532&amp;'Gastos com Pessoal'!$I$6:$AJ$6,0),500,1)),0)+_xlfn.IFNA(SUM((T$3&gt;='Gastos com Pessoal'!$E$513:$E$522)*(T$3&lt;='Gastos com Pessoal'!$F$513:$F$522)*(IF('Gastos com Pessoal'!$G$513:$G$522&lt;=T$3,1,0))*OFFSET('Gastos com Pessoal'!$H$512,1,MATCH(1&amp;$B51,'Gastos com Pessoal'!$I$532:$AJ$532&amp;'Gastos com Pessoal'!$I$512:$AJ$512,0),10,1)),0)+_xlfn.IFNA(SUM((T$3&gt;='Gastos com Pessoal'!$E$513:$E$522)*(T$3&lt;='Gastos com Pessoal'!$F$513:$F$522)*(IF('Gastos com Pessoal'!$M$513:$M$522&lt;=T$3,1,0))*OFFSET('Gastos com Pessoal'!$H$512,1,MATCH(2&amp;$B51,'Gastos com Pessoal'!$I$532:$AJ$532&amp;'Gastos com Pessoal'!$I$512:$AJ$512,0),10,1)),0)+_xlfn.IFNA(SUM((T$3&gt;='Gastos com Pessoal'!$E$513:$E$522)*(T$3&lt;='Gastos com Pessoal'!$F$513:$F$522)*(IF('Gastos com Pessoal'!$S$513:$S$522&lt;=T$3,1,0))*OFFSET('Gastos com Pessoal'!$H$512,1,MATCH(3&amp;$B51,'Gastos com Pessoal'!$I$532:$AJ$532&amp;'Gastos com Pessoal'!$I$512:$AJ$512,0),10,1)),0)+_xlfn.IFNA(SUM((T$3&gt;='Gastos com Pessoal'!$E$513:$E$522)*(T$3&lt;='Gastos com Pessoal'!$F$513:$F$522)*(IF('Gastos com Pessoal'!$Y$513:$Y$522&lt;=T$3,1,0))*OFFSET('Gastos com Pessoal'!$H$512,1,MATCH(4&amp;$B51,'Gastos com Pessoal'!$I$532:$AJ$532&amp;'Gastos com Pessoal'!$I$512:$AJ$512,0),10,1)),0)+_xlfn.IFNA(SUM((T$3&gt;='Gastos com Pessoal'!$E$513:$E$522)*(T$3&lt;='Gastos com Pessoal'!$F$513:$F$522)*(IF('Gastos com Pessoal'!$AE$513:$AE$522&lt;=T$3,1,0))*OFFSET('Gastos com Pessoal'!$H$512,1,MATCH(5&amp;$B51,'Gastos com Pessoal'!$I$532:$AJ$532&amp;'Gastos com Pessoal'!$I$512:$AJ$512,0),10,1)),0)</f>
        <v>1457.27999999999</v>
      </c>
      <c r="U51" s="188">
        <f t="array" aca="1" ref="U51" ca="1">_xlfn.IFNA(SUM((U$3&gt;='Gastos com Pessoal'!$E$7:$E$506)*(U$3&lt;='Gastos com Pessoal'!$F$7:$F$506)*OFFSET('Encargos e Benefícios'!$D$5,1,MATCH($B51,'Encargos e Benefícios'!$E$5:$AB$5,0),500,1)),0)+_xlfn.IFNA(SUM((U$3&gt;='Gastos com Pessoal'!$E$513:$E$522)*(U$3&lt;='Gastos com Pessoal'!$F$513:$F$522)*OFFSET('Encargos e Benefícios'!$D$511,1,MATCH($B51,'Encargos e Benefícios'!$E$511:$AB$511,0),10,1)),0)+_xlfn.IFNA(SUM((U$3&gt;='Gastos com Pessoal'!$E$7:$E$506)*(U$3&lt;='Gastos com Pessoal'!$F$7:$F$506)*(IF('Gastos com Pessoal'!$G$7:$G$506&lt;=U$3,1,0))*OFFSET('Gastos com Pessoal'!$H$6,1,MATCH(1&amp;$B51,'Gastos com Pessoal'!$I$532:$AJ$532&amp;'Gastos com Pessoal'!$I$6:$AJ$6,0),500,1)),0)+_xlfn.IFNA(SUM((U$3&gt;='Gastos com Pessoal'!$E$7:$E$506)*(U$3&lt;='Gastos com Pessoal'!$F$7:$F$506)*(IF('Gastos com Pessoal'!$M$7:$M$506&lt;=U$3,1,0))*OFFSET('Gastos com Pessoal'!$H$6,1,MATCH(2&amp;$B51,'Gastos com Pessoal'!$I$532:$AJ$532&amp;'Gastos com Pessoal'!$I$6:$AJ$6,0),500,1)),0)+_xlfn.IFNA(SUM((U$3&gt;='Gastos com Pessoal'!$E$7:$E$506)*(U$3&lt;='Gastos com Pessoal'!$F$7:$F$506)*(IF('Gastos com Pessoal'!$S$7:$S$506&lt;=U$3,1,0))*OFFSET('Gastos com Pessoal'!$H$6,1,MATCH(3&amp;$B51,'Gastos com Pessoal'!$I$532:$AJ$532&amp;'Gastos com Pessoal'!$I$6:$AJ$6,0),500,1)),0)+_xlfn.IFNA(SUM((U$3&gt;='Gastos com Pessoal'!$E$7:$E$506)*(U$3&lt;='Gastos com Pessoal'!$F$7:$F$506)*(IF('Gastos com Pessoal'!$Y$7:$Y$506&lt;=U$3,1,0))*OFFSET('Gastos com Pessoal'!$H$6,1,MATCH(4&amp;$B51,'Gastos com Pessoal'!$I$532:$AJ$532&amp;'Gastos com Pessoal'!$I$6:$AJ$6,0),500,1)),0)+_xlfn.IFNA(SUM((U$3&gt;='Gastos com Pessoal'!$E$7:$E$506)*(U$3&lt;='Gastos com Pessoal'!$F$7:$F$506)*(IF('Gastos com Pessoal'!$AE$7:$AE$506&lt;=U$3,1,0))*OFFSET('Gastos com Pessoal'!$H$6,1,MATCH(5&amp;$B51,'Gastos com Pessoal'!$I$532:$AJ$532&amp;'Gastos com Pessoal'!$I$6:$AJ$6,0),500,1)),0)+_xlfn.IFNA(SUM((U$3&gt;='Gastos com Pessoal'!$E$513:$E$522)*(U$3&lt;='Gastos com Pessoal'!$F$513:$F$522)*(IF('Gastos com Pessoal'!$G$513:$G$522&lt;=U$3,1,0))*OFFSET('Gastos com Pessoal'!$H$512,1,MATCH(1&amp;$B51,'Gastos com Pessoal'!$I$532:$AJ$532&amp;'Gastos com Pessoal'!$I$512:$AJ$512,0),10,1)),0)+_xlfn.IFNA(SUM((U$3&gt;='Gastos com Pessoal'!$E$513:$E$522)*(U$3&lt;='Gastos com Pessoal'!$F$513:$F$522)*(IF('Gastos com Pessoal'!$M$513:$M$522&lt;=U$3,1,0))*OFFSET('Gastos com Pessoal'!$H$512,1,MATCH(2&amp;$B51,'Gastos com Pessoal'!$I$532:$AJ$532&amp;'Gastos com Pessoal'!$I$512:$AJ$512,0),10,1)),0)+_xlfn.IFNA(SUM((U$3&gt;='Gastos com Pessoal'!$E$513:$E$522)*(U$3&lt;='Gastos com Pessoal'!$F$513:$F$522)*(IF('Gastos com Pessoal'!$S$513:$S$522&lt;=U$3,1,0))*OFFSET('Gastos com Pessoal'!$H$512,1,MATCH(3&amp;$B51,'Gastos com Pessoal'!$I$532:$AJ$532&amp;'Gastos com Pessoal'!$I$512:$AJ$512,0),10,1)),0)+_xlfn.IFNA(SUM((U$3&gt;='Gastos com Pessoal'!$E$513:$E$522)*(U$3&lt;='Gastos com Pessoal'!$F$513:$F$522)*(IF('Gastos com Pessoal'!$Y$513:$Y$522&lt;=U$3,1,0))*OFFSET('Gastos com Pessoal'!$H$512,1,MATCH(4&amp;$B51,'Gastos com Pessoal'!$I$532:$AJ$532&amp;'Gastos com Pessoal'!$I$512:$AJ$512,0),10,1)),0)+_xlfn.IFNA(SUM((U$3&gt;='Gastos com Pessoal'!$E$513:$E$522)*(U$3&lt;='Gastos com Pessoal'!$F$513:$F$522)*(IF('Gastos com Pessoal'!$AE$513:$AE$522&lt;=U$3,1,0))*OFFSET('Gastos com Pessoal'!$H$512,1,MATCH(5&amp;$B51,'Gastos com Pessoal'!$I$532:$AJ$532&amp;'Gastos com Pessoal'!$I$512:$AJ$512,0),10,1)),0)</f>
        <v>1457.27999999999</v>
      </c>
      <c r="V51" s="188">
        <f t="array" aca="1" ref="V51" ca="1">_xlfn.IFNA(SUM((V$3&gt;='Gastos com Pessoal'!$E$7:$E$506)*(V$3&lt;='Gastos com Pessoal'!$F$7:$F$506)*OFFSET('Encargos e Benefícios'!$D$5,1,MATCH($B51,'Encargos e Benefícios'!$E$5:$AB$5,0),500,1)),0)+_xlfn.IFNA(SUM((V$3&gt;='Gastos com Pessoal'!$E$513:$E$522)*(V$3&lt;='Gastos com Pessoal'!$F$513:$F$522)*OFFSET('Encargos e Benefícios'!$D$511,1,MATCH($B51,'Encargos e Benefícios'!$E$511:$AB$511,0),10,1)),0)+_xlfn.IFNA(SUM((V$3&gt;='Gastos com Pessoal'!$E$7:$E$506)*(V$3&lt;='Gastos com Pessoal'!$F$7:$F$506)*(IF('Gastos com Pessoal'!$G$7:$G$506&lt;=V$3,1,0))*OFFSET('Gastos com Pessoal'!$H$6,1,MATCH(1&amp;$B51,'Gastos com Pessoal'!$I$532:$AJ$532&amp;'Gastos com Pessoal'!$I$6:$AJ$6,0),500,1)),0)+_xlfn.IFNA(SUM((V$3&gt;='Gastos com Pessoal'!$E$7:$E$506)*(V$3&lt;='Gastos com Pessoal'!$F$7:$F$506)*(IF('Gastos com Pessoal'!$M$7:$M$506&lt;=V$3,1,0))*OFFSET('Gastos com Pessoal'!$H$6,1,MATCH(2&amp;$B51,'Gastos com Pessoal'!$I$532:$AJ$532&amp;'Gastos com Pessoal'!$I$6:$AJ$6,0),500,1)),0)+_xlfn.IFNA(SUM((V$3&gt;='Gastos com Pessoal'!$E$7:$E$506)*(V$3&lt;='Gastos com Pessoal'!$F$7:$F$506)*(IF('Gastos com Pessoal'!$S$7:$S$506&lt;=V$3,1,0))*OFFSET('Gastos com Pessoal'!$H$6,1,MATCH(3&amp;$B51,'Gastos com Pessoal'!$I$532:$AJ$532&amp;'Gastos com Pessoal'!$I$6:$AJ$6,0),500,1)),0)+_xlfn.IFNA(SUM((V$3&gt;='Gastos com Pessoal'!$E$7:$E$506)*(V$3&lt;='Gastos com Pessoal'!$F$7:$F$506)*(IF('Gastos com Pessoal'!$Y$7:$Y$506&lt;=V$3,1,0))*OFFSET('Gastos com Pessoal'!$H$6,1,MATCH(4&amp;$B51,'Gastos com Pessoal'!$I$532:$AJ$532&amp;'Gastos com Pessoal'!$I$6:$AJ$6,0),500,1)),0)+_xlfn.IFNA(SUM((V$3&gt;='Gastos com Pessoal'!$E$7:$E$506)*(V$3&lt;='Gastos com Pessoal'!$F$7:$F$506)*(IF('Gastos com Pessoal'!$AE$7:$AE$506&lt;=V$3,1,0))*OFFSET('Gastos com Pessoal'!$H$6,1,MATCH(5&amp;$B51,'Gastos com Pessoal'!$I$532:$AJ$532&amp;'Gastos com Pessoal'!$I$6:$AJ$6,0),500,1)),0)+_xlfn.IFNA(SUM((V$3&gt;='Gastos com Pessoal'!$E$513:$E$522)*(V$3&lt;='Gastos com Pessoal'!$F$513:$F$522)*(IF('Gastos com Pessoal'!$G$513:$G$522&lt;=V$3,1,0))*OFFSET('Gastos com Pessoal'!$H$512,1,MATCH(1&amp;$B51,'Gastos com Pessoal'!$I$532:$AJ$532&amp;'Gastos com Pessoal'!$I$512:$AJ$512,0),10,1)),0)+_xlfn.IFNA(SUM((V$3&gt;='Gastos com Pessoal'!$E$513:$E$522)*(V$3&lt;='Gastos com Pessoal'!$F$513:$F$522)*(IF('Gastos com Pessoal'!$M$513:$M$522&lt;=V$3,1,0))*OFFSET('Gastos com Pessoal'!$H$512,1,MATCH(2&amp;$B51,'Gastos com Pessoal'!$I$532:$AJ$532&amp;'Gastos com Pessoal'!$I$512:$AJ$512,0),10,1)),0)+_xlfn.IFNA(SUM((V$3&gt;='Gastos com Pessoal'!$E$513:$E$522)*(V$3&lt;='Gastos com Pessoal'!$F$513:$F$522)*(IF('Gastos com Pessoal'!$S$513:$S$522&lt;=V$3,1,0))*OFFSET('Gastos com Pessoal'!$H$512,1,MATCH(3&amp;$B51,'Gastos com Pessoal'!$I$532:$AJ$532&amp;'Gastos com Pessoal'!$I$512:$AJ$512,0),10,1)),0)+_xlfn.IFNA(SUM((V$3&gt;='Gastos com Pessoal'!$E$513:$E$522)*(V$3&lt;='Gastos com Pessoal'!$F$513:$F$522)*(IF('Gastos com Pessoal'!$Y$513:$Y$522&lt;=V$3,1,0))*OFFSET('Gastos com Pessoal'!$H$512,1,MATCH(4&amp;$B51,'Gastos com Pessoal'!$I$532:$AJ$532&amp;'Gastos com Pessoal'!$I$512:$AJ$512,0),10,1)),0)+_xlfn.IFNA(SUM((V$3&gt;='Gastos com Pessoal'!$E$513:$E$522)*(V$3&lt;='Gastos com Pessoal'!$F$513:$F$522)*(IF('Gastos com Pessoal'!$AE$513:$AE$522&lt;=V$3,1,0))*OFFSET('Gastos com Pessoal'!$H$512,1,MATCH(5&amp;$B51,'Gastos com Pessoal'!$I$532:$AJ$532&amp;'Gastos com Pessoal'!$I$512:$AJ$512,0),10,1)),0)</f>
        <v>1457.27999999999</v>
      </c>
      <c r="W51" s="188">
        <f t="array" aca="1" ref="W51" ca="1">_xlfn.IFNA(SUM((W$3&gt;='Gastos com Pessoal'!$E$7:$E$506)*(W$3&lt;='Gastos com Pessoal'!$F$7:$F$506)*OFFSET('Encargos e Benefícios'!$D$5,1,MATCH($B51,'Encargos e Benefícios'!$E$5:$AB$5,0),500,1)),0)+_xlfn.IFNA(SUM((W$3&gt;='Gastos com Pessoal'!$E$513:$E$522)*(W$3&lt;='Gastos com Pessoal'!$F$513:$F$522)*OFFSET('Encargos e Benefícios'!$D$511,1,MATCH($B51,'Encargos e Benefícios'!$E$511:$AB$511,0),10,1)),0)+_xlfn.IFNA(SUM((W$3&gt;='Gastos com Pessoal'!$E$7:$E$506)*(W$3&lt;='Gastos com Pessoal'!$F$7:$F$506)*(IF('Gastos com Pessoal'!$G$7:$G$506&lt;=W$3,1,0))*OFFSET('Gastos com Pessoal'!$H$6,1,MATCH(1&amp;$B51,'Gastos com Pessoal'!$I$532:$AJ$532&amp;'Gastos com Pessoal'!$I$6:$AJ$6,0),500,1)),0)+_xlfn.IFNA(SUM((W$3&gt;='Gastos com Pessoal'!$E$7:$E$506)*(W$3&lt;='Gastos com Pessoal'!$F$7:$F$506)*(IF('Gastos com Pessoal'!$M$7:$M$506&lt;=W$3,1,0))*OFFSET('Gastos com Pessoal'!$H$6,1,MATCH(2&amp;$B51,'Gastos com Pessoal'!$I$532:$AJ$532&amp;'Gastos com Pessoal'!$I$6:$AJ$6,0),500,1)),0)+_xlfn.IFNA(SUM((W$3&gt;='Gastos com Pessoal'!$E$7:$E$506)*(W$3&lt;='Gastos com Pessoal'!$F$7:$F$506)*(IF('Gastos com Pessoal'!$S$7:$S$506&lt;=W$3,1,0))*OFFSET('Gastos com Pessoal'!$H$6,1,MATCH(3&amp;$B51,'Gastos com Pessoal'!$I$532:$AJ$532&amp;'Gastos com Pessoal'!$I$6:$AJ$6,0),500,1)),0)+_xlfn.IFNA(SUM((W$3&gt;='Gastos com Pessoal'!$E$7:$E$506)*(W$3&lt;='Gastos com Pessoal'!$F$7:$F$506)*(IF('Gastos com Pessoal'!$Y$7:$Y$506&lt;=W$3,1,0))*OFFSET('Gastos com Pessoal'!$H$6,1,MATCH(4&amp;$B51,'Gastos com Pessoal'!$I$532:$AJ$532&amp;'Gastos com Pessoal'!$I$6:$AJ$6,0),500,1)),0)+_xlfn.IFNA(SUM((W$3&gt;='Gastos com Pessoal'!$E$7:$E$506)*(W$3&lt;='Gastos com Pessoal'!$F$7:$F$506)*(IF('Gastos com Pessoal'!$AE$7:$AE$506&lt;=W$3,1,0))*OFFSET('Gastos com Pessoal'!$H$6,1,MATCH(5&amp;$B51,'Gastos com Pessoal'!$I$532:$AJ$532&amp;'Gastos com Pessoal'!$I$6:$AJ$6,0),500,1)),0)+_xlfn.IFNA(SUM((W$3&gt;='Gastos com Pessoal'!$E$513:$E$522)*(W$3&lt;='Gastos com Pessoal'!$F$513:$F$522)*(IF('Gastos com Pessoal'!$G$513:$G$522&lt;=W$3,1,0))*OFFSET('Gastos com Pessoal'!$H$512,1,MATCH(1&amp;$B51,'Gastos com Pessoal'!$I$532:$AJ$532&amp;'Gastos com Pessoal'!$I$512:$AJ$512,0),10,1)),0)+_xlfn.IFNA(SUM((W$3&gt;='Gastos com Pessoal'!$E$513:$E$522)*(W$3&lt;='Gastos com Pessoal'!$F$513:$F$522)*(IF('Gastos com Pessoal'!$M$513:$M$522&lt;=W$3,1,0))*OFFSET('Gastos com Pessoal'!$H$512,1,MATCH(2&amp;$B51,'Gastos com Pessoal'!$I$532:$AJ$532&amp;'Gastos com Pessoal'!$I$512:$AJ$512,0),10,1)),0)+_xlfn.IFNA(SUM((W$3&gt;='Gastos com Pessoal'!$E$513:$E$522)*(W$3&lt;='Gastos com Pessoal'!$F$513:$F$522)*(IF('Gastos com Pessoal'!$S$513:$S$522&lt;=W$3,1,0))*OFFSET('Gastos com Pessoal'!$H$512,1,MATCH(3&amp;$B51,'Gastos com Pessoal'!$I$532:$AJ$532&amp;'Gastos com Pessoal'!$I$512:$AJ$512,0),10,1)),0)+_xlfn.IFNA(SUM((W$3&gt;='Gastos com Pessoal'!$E$513:$E$522)*(W$3&lt;='Gastos com Pessoal'!$F$513:$F$522)*(IF('Gastos com Pessoal'!$Y$513:$Y$522&lt;=W$3,1,0))*OFFSET('Gastos com Pessoal'!$H$512,1,MATCH(4&amp;$B51,'Gastos com Pessoal'!$I$532:$AJ$532&amp;'Gastos com Pessoal'!$I$512:$AJ$512,0),10,1)),0)+_xlfn.IFNA(SUM((W$3&gt;='Gastos com Pessoal'!$E$513:$E$522)*(W$3&lt;='Gastos com Pessoal'!$F$513:$F$522)*(IF('Gastos com Pessoal'!$AE$513:$AE$522&lt;=W$3,1,0))*OFFSET('Gastos com Pessoal'!$H$512,1,MATCH(5&amp;$B51,'Gastos com Pessoal'!$I$532:$AJ$532&amp;'Gastos com Pessoal'!$I$512:$AJ$512,0),10,1)),0)</f>
        <v>1457.27999999999</v>
      </c>
      <c r="X51" s="188">
        <f t="array" aca="1" ref="X51" ca="1">_xlfn.IFNA(SUM((X$3&gt;='Gastos com Pessoal'!$E$7:$E$506)*(X$3&lt;='Gastos com Pessoal'!$F$7:$F$506)*OFFSET('Encargos e Benefícios'!$D$5,1,MATCH($B51,'Encargos e Benefícios'!$E$5:$AB$5,0),500,1)),0)+_xlfn.IFNA(SUM((X$3&gt;='Gastos com Pessoal'!$E$513:$E$522)*(X$3&lt;='Gastos com Pessoal'!$F$513:$F$522)*OFFSET('Encargos e Benefícios'!$D$511,1,MATCH($B51,'Encargos e Benefícios'!$E$511:$AB$511,0),10,1)),0)+_xlfn.IFNA(SUM((X$3&gt;='Gastos com Pessoal'!$E$7:$E$506)*(X$3&lt;='Gastos com Pessoal'!$F$7:$F$506)*(IF('Gastos com Pessoal'!$G$7:$G$506&lt;=X$3,1,0))*OFFSET('Gastos com Pessoal'!$H$6,1,MATCH(1&amp;$B51,'Gastos com Pessoal'!$I$532:$AJ$532&amp;'Gastos com Pessoal'!$I$6:$AJ$6,0),500,1)),0)+_xlfn.IFNA(SUM((X$3&gt;='Gastos com Pessoal'!$E$7:$E$506)*(X$3&lt;='Gastos com Pessoal'!$F$7:$F$506)*(IF('Gastos com Pessoal'!$M$7:$M$506&lt;=X$3,1,0))*OFFSET('Gastos com Pessoal'!$H$6,1,MATCH(2&amp;$B51,'Gastos com Pessoal'!$I$532:$AJ$532&amp;'Gastos com Pessoal'!$I$6:$AJ$6,0),500,1)),0)+_xlfn.IFNA(SUM((X$3&gt;='Gastos com Pessoal'!$E$7:$E$506)*(X$3&lt;='Gastos com Pessoal'!$F$7:$F$506)*(IF('Gastos com Pessoal'!$S$7:$S$506&lt;=X$3,1,0))*OFFSET('Gastos com Pessoal'!$H$6,1,MATCH(3&amp;$B51,'Gastos com Pessoal'!$I$532:$AJ$532&amp;'Gastos com Pessoal'!$I$6:$AJ$6,0),500,1)),0)+_xlfn.IFNA(SUM((X$3&gt;='Gastos com Pessoal'!$E$7:$E$506)*(X$3&lt;='Gastos com Pessoal'!$F$7:$F$506)*(IF('Gastos com Pessoal'!$Y$7:$Y$506&lt;=X$3,1,0))*OFFSET('Gastos com Pessoal'!$H$6,1,MATCH(4&amp;$B51,'Gastos com Pessoal'!$I$532:$AJ$532&amp;'Gastos com Pessoal'!$I$6:$AJ$6,0),500,1)),0)+_xlfn.IFNA(SUM((X$3&gt;='Gastos com Pessoal'!$E$7:$E$506)*(X$3&lt;='Gastos com Pessoal'!$F$7:$F$506)*(IF('Gastos com Pessoal'!$AE$7:$AE$506&lt;=X$3,1,0))*OFFSET('Gastos com Pessoal'!$H$6,1,MATCH(5&amp;$B51,'Gastos com Pessoal'!$I$532:$AJ$532&amp;'Gastos com Pessoal'!$I$6:$AJ$6,0),500,1)),0)+_xlfn.IFNA(SUM((X$3&gt;='Gastos com Pessoal'!$E$513:$E$522)*(X$3&lt;='Gastos com Pessoal'!$F$513:$F$522)*(IF('Gastos com Pessoal'!$G$513:$G$522&lt;=X$3,1,0))*OFFSET('Gastos com Pessoal'!$H$512,1,MATCH(1&amp;$B51,'Gastos com Pessoal'!$I$532:$AJ$532&amp;'Gastos com Pessoal'!$I$512:$AJ$512,0),10,1)),0)+_xlfn.IFNA(SUM((X$3&gt;='Gastos com Pessoal'!$E$513:$E$522)*(X$3&lt;='Gastos com Pessoal'!$F$513:$F$522)*(IF('Gastos com Pessoal'!$M$513:$M$522&lt;=X$3,1,0))*OFFSET('Gastos com Pessoal'!$H$512,1,MATCH(2&amp;$B51,'Gastos com Pessoal'!$I$532:$AJ$532&amp;'Gastos com Pessoal'!$I$512:$AJ$512,0),10,1)),0)+_xlfn.IFNA(SUM((X$3&gt;='Gastos com Pessoal'!$E$513:$E$522)*(X$3&lt;='Gastos com Pessoal'!$F$513:$F$522)*(IF('Gastos com Pessoal'!$S$513:$S$522&lt;=X$3,1,0))*OFFSET('Gastos com Pessoal'!$H$512,1,MATCH(3&amp;$B51,'Gastos com Pessoal'!$I$532:$AJ$532&amp;'Gastos com Pessoal'!$I$512:$AJ$512,0),10,1)),0)+_xlfn.IFNA(SUM((X$3&gt;='Gastos com Pessoal'!$E$513:$E$522)*(X$3&lt;='Gastos com Pessoal'!$F$513:$F$522)*(IF('Gastos com Pessoal'!$Y$513:$Y$522&lt;=X$3,1,0))*OFFSET('Gastos com Pessoal'!$H$512,1,MATCH(4&amp;$B51,'Gastos com Pessoal'!$I$532:$AJ$532&amp;'Gastos com Pessoal'!$I$512:$AJ$512,0),10,1)),0)+_xlfn.IFNA(SUM((X$3&gt;='Gastos com Pessoal'!$E$513:$E$522)*(X$3&lt;='Gastos com Pessoal'!$F$513:$F$522)*(IF('Gastos com Pessoal'!$AE$513:$AE$522&lt;=X$3,1,0))*OFFSET('Gastos com Pessoal'!$H$512,1,MATCH(5&amp;$B51,'Gastos com Pessoal'!$I$532:$AJ$532&amp;'Gastos com Pessoal'!$I$512:$AJ$512,0),10,1)),0)</f>
        <v>1457.27999999999</v>
      </c>
      <c r="Y51" s="188">
        <f t="array" aca="1" ref="Y51" ca="1">_xlfn.IFNA(SUM((Y$3&gt;='Gastos com Pessoal'!$E$7:$E$506)*(Y$3&lt;='Gastos com Pessoal'!$F$7:$F$506)*OFFSET('Encargos e Benefícios'!$D$5,1,MATCH($B51,'Encargos e Benefícios'!$E$5:$AB$5,0),500,1)),0)+_xlfn.IFNA(SUM((Y$3&gt;='Gastos com Pessoal'!$E$513:$E$522)*(Y$3&lt;='Gastos com Pessoal'!$F$513:$F$522)*OFFSET('Encargos e Benefícios'!$D$511,1,MATCH($B51,'Encargos e Benefícios'!$E$511:$AB$511,0),10,1)),0)+_xlfn.IFNA(SUM((Y$3&gt;='Gastos com Pessoal'!$E$7:$E$506)*(Y$3&lt;='Gastos com Pessoal'!$F$7:$F$506)*(IF('Gastos com Pessoal'!$G$7:$G$506&lt;=Y$3,1,0))*OFFSET('Gastos com Pessoal'!$H$6,1,MATCH(1&amp;$B51,'Gastos com Pessoal'!$I$532:$AJ$532&amp;'Gastos com Pessoal'!$I$6:$AJ$6,0),500,1)),0)+_xlfn.IFNA(SUM((Y$3&gt;='Gastos com Pessoal'!$E$7:$E$506)*(Y$3&lt;='Gastos com Pessoal'!$F$7:$F$506)*(IF('Gastos com Pessoal'!$M$7:$M$506&lt;=Y$3,1,0))*OFFSET('Gastos com Pessoal'!$H$6,1,MATCH(2&amp;$B51,'Gastos com Pessoal'!$I$532:$AJ$532&amp;'Gastos com Pessoal'!$I$6:$AJ$6,0),500,1)),0)+_xlfn.IFNA(SUM((Y$3&gt;='Gastos com Pessoal'!$E$7:$E$506)*(Y$3&lt;='Gastos com Pessoal'!$F$7:$F$506)*(IF('Gastos com Pessoal'!$S$7:$S$506&lt;=Y$3,1,0))*OFFSET('Gastos com Pessoal'!$H$6,1,MATCH(3&amp;$B51,'Gastos com Pessoal'!$I$532:$AJ$532&amp;'Gastos com Pessoal'!$I$6:$AJ$6,0),500,1)),0)+_xlfn.IFNA(SUM((Y$3&gt;='Gastos com Pessoal'!$E$7:$E$506)*(Y$3&lt;='Gastos com Pessoal'!$F$7:$F$506)*(IF('Gastos com Pessoal'!$Y$7:$Y$506&lt;=Y$3,1,0))*OFFSET('Gastos com Pessoal'!$H$6,1,MATCH(4&amp;$B51,'Gastos com Pessoal'!$I$532:$AJ$532&amp;'Gastos com Pessoal'!$I$6:$AJ$6,0),500,1)),0)+_xlfn.IFNA(SUM((Y$3&gt;='Gastos com Pessoal'!$E$7:$E$506)*(Y$3&lt;='Gastos com Pessoal'!$F$7:$F$506)*(IF('Gastos com Pessoal'!$AE$7:$AE$506&lt;=Y$3,1,0))*OFFSET('Gastos com Pessoal'!$H$6,1,MATCH(5&amp;$B51,'Gastos com Pessoal'!$I$532:$AJ$532&amp;'Gastos com Pessoal'!$I$6:$AJ$6,0),500,1)),0)+_xlfn.IFNA(SUM((Y$3&gt;='Gastos com Pessoal'!$E$513:$E$522)*(Y$3&lt;='Gastos com Pessoal'!$F$513:$F$522)*(IF('Gastos com Pessoal'!$G$513:$G$522&lt;=Y$3,1,0))*OFFSET('Gastos com Pessoal'!$H$512,1,MATCH(1&amp;$B51,'Gastos com Pessoal'!$I$532:$AJ$532&amp;'Gastos com Pessoal'!$I$512:$AJ$512,0),10,1)),0)+_xlfn.IFNA(SUM((Y$3&gt;='Gastos com Pessoal'!$E$513:$E$522)*(Y$3&lt;='Gastos com Pessoal'!$F$513:$F$522)*(IF('Gastos com Pessoal'!$M$513:$M$522&lt;=Y$3,1,0))*OFFSET('Gastos com Pessoal'!$H$512,1,MATCH(2&amp;$B51,'Gastos com Pessoal'!$I$532:$AJ$532&amp;'Gastos com Pessoal'!$I$512:$AJ$512,0),10,1)),0)+_xlfn.IFNA(SUM((Y$3&gt;='Gastos com Pessoal'!$E$513:$E$522)*(Y$3&lt;='Gastos com Pessoal'!$F$513:$F$522)*(IF('Gastos com Pessoal'!$S$513:$S$522&lt;=Y$3,1,0))*OFFSET('Gastos com Pessoal'!$H$512,1,MATCH(3&amp;$B51,'Gastos com Pessoal'!$I$532:$AJ$532&amp;'Gastos com Pessoal'!$I$512:$AJ$512,0),10,1)),0)+_xlfn.IFNA(SUM((Y$3&gt;='Gastos com Pessoal'!$E$513:$E$522)*(Y$3&lt;='Gastos com Pessoal'!$F$513:$F$522)*(IF('Gastos com Pessoal'!$Y$513:$Y$522&lt;=Y$3,1,0))*OFFSET('Gastos com Pessoal'!$H$512,1,MATCH(4&amp;$B51,'Gastos com Pessoal'!$I$532:$AJ$532&amp;'Gastos com Pessoal'!$I$512:$AJ$512,0),10,1)),0)+_xlfn.IFNA(SUM((Y$3&gt;='Gastos com Pessoal'!$E$513:$E$522)*(Y$3&lt;='Gastos com Pessoal'!$F$513:$F$522)*(IF('Gastos com Pessoal'!$AE$513:$AE$522&lt;=Y$3,1,0))*OFFSET('Gastos com Pessoal'!$H$512,1,MATCH(5&amp;$B51,'Gastos com Pessoal'!$I$532:$AJ$532&amp;'Gastos com Pessoal'!$I$512:$AJ$512,0),10,1)),0)</f>
        <v>1457.27999999999</v>
      </c>
      <c r="Z51" s="188">
        <f t="array" aca="1" ref="Z51" ca="1">_xlfn.IFNA(SUM((Z$3&gt;='Gastos com Pessoal'!$E$7:$E$506)*(Z$3&lt;='Gastos com Pessoal'!$F$7:$F$506)*OFFSET('Encargos e Benefícios'!$D$5,1,MATCH($B51,'Encargos e Benefícios'!$E$5:$AB$5,0),500,1)),0)+_xlfn.IFNA(SUM((Z$3&gt;='Gastos com Pessoal'!$E$513:$E$522)*(Z$3&lt;='Gastos com Pessoal'!$F$513:$F$522)*OFFSET('Encargos e Benefícios'!$D$511,1,MATCH($B51,'Encargos e Benefícios'!$E$511:$AB$511,0),10,1)),0)+_xlfn.IFNA(SUM((Z$3&gt;='Gastos com Pessoal'!$E$7:$E$506)*(Z$3&lt;='Gastos com Pessoal'!$F$7:$F$506)*(IF('Gastos com Pessoal'!$G$7:$G$506&lt;=Z$3,1,0))*OFFSET('Gastos com Pessoal'!$H$6,1,MATCH(1&amp;$B51,'Gastos com Pessoal'!$I$532:$AJ$532&amp;'Gastos com Pessoal'!$I$6:$AJ$6,0),500,1)),0)+_xlfn.IFNA(SUM((Z$3&gt;='Gastos com Pessoal'!$E$7:$E$506)*(Z$3&lt;='Gastos com Pessoal'!$F$7:$F$506)*(IF('Gastos com Pessoal'!$M$7:$M$506&lt;=Z$3,1,0))*OFFSET('Gastos com Pessoal'!$H$6,1,MATCH(2&amp;$B51,'Gastos com Pessoal'!$I$532:$AJ$532&amp;'Gastos com Pessoal'!$I$6:$AJ$6,0),500,1)),0)+_xlfn.IFNA(SUM((Z$3&gt;='Gastos com Pessoal'!$E$7:$E$506)*(Z$3&lt;='Gastos com Pessoal'!$F$7:$F$506)*(IF('Gastos com Pessoal'!$S$7:$S$506&lt;=Z$3,1,0))*OFFSET('Gastos com Pessoal'!$H$6,1,MATCH(3&amp;$B51,'Gastos com Pessoal'!$I$532:$AJ$532&amp;'Gastos com Pessoal'!$I$6:$AJ$6,0),500,1)),0)+_xlfn.IFNA(SUM((Z$3&gt;='Gastos com Pessoal'!$E$7:$E$506)*(Z$3&lt;='Gastos com Pessoal'!$F$7:$F$506)*(IF('Gastos com Pessoal'!$Y$7:$Y$506&lt;=Z$3,1,0))*OFFSET('Gastos com Pessoal'!$H$6,1,MATCH(4&amp;$B51,'Gastos com Pessoal'!$I$532:$AJ$532&amp;'Gastos com Pessoal'!$I$6:$AJ$6,0),500,1)),0)+_xlfn.IFNA(SUM((Z$3&gt;='Gastos com Pessoal'!$E$7:$E$506)*(Z$3&lt;='Gastos com Pessoal'!$F$7:$F$506)*(IF('Gastos com Pessoal'!$AE$7:$AE$506&lt;=Z$3,1,0))*OFFSET('Gastos com Pessoal'!$H$6,1,MATCH(5&amp;$B51,'Gastos com Pessoal'!$I$532:$AJ$532&amp;'Gastos com Pessoal'!$I$6:$AJ$6,0),500,1)),0)+_xlfn.IFNA(SUM((Z$3&gt;='Gastos com Pessoal'!$E$513:$E$522)*(Z$3&lt;='Gastos com Pessoal'!$F$513:$F$522)*(IF('Gastos com Pessoal'!$G$513:$G$522&lt;=Z$3,1,0))*OFFSET('Gastos com Pessoal'!$H$512,1,MATCH(1&amp;$B51,'Gastos com Pessoal'!$I$532:$AJ$532&amp;'Gastos com Pessoal'!$I$512:$AJ$512,0),10,1)),0)+_xlfn.IFNA(SUM((Z$3&gt;='Gastos com Pessoal'!$E$513:$E$522)*(Z$3&lt;='Gastos com Pessoal'!$F$513:$F$522)*(IF('Gastos com Pessoal'!$M$513:$M$522&lt;=Z$3,1,0))*OFFSET('Gastos com Pessoal'!$H$512,1,MATCH(2&amp;$B51,'Gastos com Pessoal'!$I$532:$AJ$532&amp;'Gastos com Pessoal'!$I$512:$AJ$512,0),10,1)),0)+_xlfn.IFNA(SUM((Z$3&gt;='Gastos com Pessoal'!$E$513:$E$522)*(Z$3&lt;='Gastos com Pessoal'!$F$513:$F$522)*(IF('Gastos com Pessoal'!$S$513:$S$522&lt;=Z$3,1,0))*OFFSET('Gastos com Pessoal'!$H$512,1,MATCH(3&amp;$B51,'Gastos com Pessoal'!$I$532:$AJ$532&amp;'Gastos com Pessoal'!$I$512:$AJ$512,0),10,1)),0)+_xlfn.IFNA(SUM((Z$3&gt;='Gastos com Pessoal'!$E$513:$E$522)*(Z$3&lt;='Gastos com Pessoal'!$F$513:$F$522)*(IF('Gastos com Pessoal'!$Y$513:$Y$522&lt;=Z$3,1,0))*OFFSET('Gastos com Pessoal'!$H$512,1,MATCH(4&amp;$B51,'Gastos com Pessoal'!$I$532:$AJ$532&amp;'Gastos com Pessoal'!$I$512:$AJ$512,0),10,1)),0)+_xlfn.IFNA(SUM((Z$3&gt;='Gastos com Pessoal'!$E$513:$E$522)*(Z$3&lt;='Gastos com Pessoal'!$F$513:$F$522)*(IF('Gastos com Pessoal'!$AE$513:$AE$522&lt;=Z$3,1,0))*OFFSET('Gastos com Pessoal'!$H$512,1,MATCH(5&amp;$B51,'Gastos com Pessoal'!$I$532:$AJ$532&amp;'Gastos com Pessoal'!$I$512:$AJ$512,0),10,1)),0)</f>
        <v>1457.27999999999</v>
      </c>
      <c r="AA51" s="188">
        <f t="array" aca="1" ref="AA51" ca="1">_xlfn.IFNA(SUM((AA$3&gt;='Gastos com Pessoal'!$E$7:$E$506)*(AA$3&lt;='Gastos com Pessoal'!$F$7:$F$506)*OFFSET('Encargos e Benefícios'!$D$5,1,MATCH($B51,'Encargos e Benefícios'!$E$5:$AB$5,0),500,1)),0)+_xlfn.IFNA(SUM((AA$3&gt;='Gastos com Pessoal'!$E$513:$E$522)*(AA$3&lt;='Gastos com Pessoal'!$F$513:$F$522)*OFFSET('Encargos e Benefícios'!$D$511,1,MATCH($B51,'Encargos e Benefícios'!$E$511:$AB$511,0),10,1)),0)+_xlfn.IFNA(SUM((AA$3&gt;='Gastos com Pessoal'!$E$7:$E$506)*(AA$3&lt;='Gastos com Pessoal'!$F$7:$F$506)*(IF('Gastos com Pessoal'!$G$7:$G$506&lt;=AA$3,1,0))*OFFSET('Gastos com Pessoal'!$H$6,1,MATCH(1&amp;$B51,'Gastos com Pessoal'!$I$532:$AJ$532&amp;'Gastos com Pessoal'!$I$6:$AJ$6,0),500,1)),0)+_xlfn.IFNA(SUM((AA$3&gt;='Gastos com Pessoal'!$E$7:$E$506)*(AA$3&lt;='Gastos com Pessoal'!$F$7:$F$506)*(IF('Gastos com Pessoal'!$M$7:$M$506&lt;=AA$3,1,0))*OFFSET('Gastos com Pessoal'!$H$6,1,MATCH(2&amp;$B51,'Gastos com Pessoal'!$I$532:$AJ$532&amp;'Gastos com Pessoal'!$I$6:$AJ$6,0),500,1)),0)+_xlfn.IFNA(SUM((AA$3&gt;='Gastos com Pessoal'!$E$7:$E$506)*(AA$3&lt;='Gastos com Pessoal'!$F$7:$F$506)*(IF('Gastos com Pessoal'!$S$7:$S$506&lt;=AA$3,1,0))*OFFSET('Gastos com Pessoal'!$H$6,1,MATCH(3&amp;$B51,'Gastos com Pessoal'!$I$532:$AJ$532&amp;'Gastos com Pessoal'!$I$6:$AJ$6,0),500,1)),0)+_xlfn.IFNA(SUM((AA$3&gt;='Gastos com Pessoal'!$E$7:$E$506)*(AA$3&lt;='Gastos com Pessoal'!$F$7:$F$506)*(IF('Gastos com Pessoal'!$Y$7:$Y$506&lt;=AA$3,1,0))*OFFSET('Gastos com Pessoal'!$H$6,1,MATCH(4&amp;$B51,'Gastos com Pessoal'!$I$532:$AJ$532&amp;'Gastos com Pessoal'!$I$6:$AJ$6,0),500,1)),0)+_xlfn.IFNA(SUM((AA$3&gt;='Gastos com Pessoal'!$E$7:$E$506)*(AA$3&lt;='Gastos com Pessoal'!$F$7:$F$506)*(IF('Gastos com Pessoal'!$AE$7:$AE$506&lt;=AA$3,1,0))*OFFSET('Gastos com Pessoal'!$H$6,1,MATCH(5&amp;$B51,'Gastos com Pessoal'!$I$532:$AJ$532&amp;'Gastos com Pessoal'!$I$6:$AJ$6,0),500,1)),0)+_xlfn.IFNA(SUM((AA$3&gt;='Gastos com Pessoal'!$E$513:$E$522)*(AA$3&lt;='Gastos com Pessoal'!$F$513:$F$522)*(IF('Gastos com Pessoal'!$G$513:$G$522&lt;=AA$3,1,0))*OFFSET('Gastos com Pessoal'!$H$512,1,MATCH(1&amp;$B51,'Gastos com Pessoal'!$I$532:$AJ$532&amp;'Gastos com Pessoal'!$I$512:$AJ$512,0),10,1)),0)+_xlfn.IFNA(SUM((AA$3&gt;='Gastos com Pessoal'!$E$513:$E$522)*(AA$3&lt;='Gastos com Pessoal'!$F$513:$F$522)*(IF('Gastos com Pessoal'!$M$513:$M$522&lt;=AA$3,1,0))*OFFSET('Gastos com Pessoal'!$H$512,1,MATCH(2&amp;$B51,'Gastos com Pessoal'!$I$532:$AJ$532&amp;'Gastos com Pessoal'!$I$512:$AJ$512,0),10,1)),0)+_xlfn.IFNA(SUM((AA$3&gt;='Gastos com Pessoal'!$E$513:$E$522)*(AA$3&lt;='Gastos com Pessoal'!$F$513:$F$522)*(IF('Gastos com Pessoal'!$S$513:$S$522&lt;=AA$3,1,0))*OFFSET('Gastos com Pessoal'!$H$512,1,MATCH(3&amp;$B51,'Gastos com Pessoal'!$I$532:$AJ$532&amp;'Gastos com Pessoal'!$I$512:$AJ$512,0),10,1)),0)+_xlfn.IFNA(SUM((AA$3&gt;='Gastos com Pessoal'!$E$513:$E$522)*(AA$3&lt;='Gastos com Pessoal'!$F$513:$F$522)*(IF('Gastos com Pessoal'!$Y$513:$Y$522&lt;=AA$3,1,0))*OFFSET('Gastos com Pessoal'!$H$512,1,MATCH(4&amp;$B51,'Gastos com Pessoal'!$I$532:$AJ$532&amp;'Gastos com Pessoal'!$I$512:$AJ$512,0),10,1)),0)+_xlfn.IFNA(SUM((AA$3&gt;='Gastos com Pessoal'!$E$513:$E$522)*(AA$3&lt;='Gastos com Pessoal'!$F$513:$F$522)*(IF('Gastos com Pessoal'!$AE$513:$AE$522&lt;=AA$3,1,0))*OFFSET('Gastos com Pessoal'!$H$512,1,MATCH(5&amp;$B51,'Gastos com Pessoal'!$I$532:$AJ$532&amp;'Gastos com Pessoal'!$I$512:$AJ$512,0),10,1)),0)</f>
        <v>1457.27999999999</v>
      </c>
      <c r="AB51" s="188">
        <f t="array" aca="1" ref="AB51" ca="1">_xlfn.IFNA(SUM((AB$3&gt;='Gastos com Pessoal'!$E$7:$E$506)*(AB$3&lt;='Gastos com Pessoal'!$F$7:$F$506)*OFFSET('Encargos e Benefícios'!$D$5,1,MATCH($B51,'Encargos e Benefícios'!$E$5:$AB$5,0),500,1)),0)+_xlfn.IFNA(SUM((AB$3&gt;='Gastos com Pessoal'!$E$513:$E$522)*(AB$3&lt;='Gastos com Pessoal'!$F$513:$F$522)*OFFSET('Encargos e Benefícios'!$D$511,1,MATCH($B51,'Encargos e Benefícios'!$E$511:$AB$511,0),10,1)),0)+_xlfn.IFNA(SUM((AB$3&gt;='Gastos com Pessoal'!$E$7:$E$506)*(AB$3&lt;='Gastos com Pessoal'!$F$7:$F$506)*(IF('Gastos com Pessoal'!$G$7:$G$506&lt;=AB$3,1,0))*OFFSET('Gastos com Pessoal'!$H$6,1,MATCH(1&amp;$B51,'Gastos com Pessoal'!$I$532:$AJ$532&amp;'Gastos com Pessoal'!$I$6:$AJ$6,0),500,1)),0)+_xlfn.IFNA(SUM((AB$3&gt;='Gastos com Pessoal'!$E$7:$E$506)*(AB$3&lt;='Gastos com Pessoal'!$F$7:$F$506)*(IF('Gastos com Pessoal'!$M$7:$M$506&lt;=AB$3,1,0))*OFFSET('Gastos com Pessoal'!$H$6,1,MATCH(2&amp;$B51,'Gastos com Pessoal'!$I$532:$AJ$532&amp;'Gastos com Pessoal'!$I$6:$AJ$6,0),500,1)),0)+_xlfn.IFNA(SUM((AB$3&gt;='Gastos com Pessoal'!$E$7:$E$506)*(AB$3&lt;='Gastos com Pessoal'!$F$7:$F$506)*(IF('Gastos com Pessoal'!$S$7:$S$506&lt;=AB$3,1,0))*OFFSET('Gastos com Pessoal'!$H$6,1,MATCH(3&amp;$B51,'Gastos com Pessoal'!$I$532:$AJ$532&amp;'Gastos com Pessoal'!$I$6:$AJ$6,0),500,1)),0)+_xlfn.IFNA(SUM((AB$3&gt;='Gastos com Pessoal'!$E$7:$E$506)*(AB$3&lt;='Gastos com Pessoal'!$F$7:$F$506)*(IF('Gastos com Pessoal'!$Y$7:$Y$506&lt;=AB$3,1,0))*OFFSET('Gastos com Pessoal'!$H$6,1,MATCH(4&amp;$B51,'Gastos com Pessoal'!$I$532:$AJ$532&amp;'Gastos com Pessoal'!$I$6:$AJ$6,0),500,1)),0)+_xlfn.IFNA(SUM((AB$3&gt;='Gastos com Pessoal'!$E$7:$E$506)*(AB$3&lt;='Gastos com Pessoal'!$F$7:$F$506)*(IF('Gastos com Pessoal'!$AE$7:$AE$506&lt;=AB$3,1,0))*OFFSET('Gastos com Pessoal'!$H$6,1,MATCH(5&amp;$B51,'Gastos com Pessoal'!$I$532:$AJ$532&amp;'Gastos com Pessoal'!$I$6:$AJ$6,0),500,1)),0)+_xlfn.IFNA(SUM((AB$3&gt;='Gastos com Pessoal'!$E$513:$E$522)*(AB$3&lt;='Gastos com Pessoal'!$F$513:$F$522)*(IF('Gastos com Pessoal'!$G$513:$G$522&lt;=AB$3,1,0))*OFFSET('Gastos com Pessoal'!$H$512,1,MATCH(1&amp;$B51,'Gastos com Pessoal'!$I$532:$AJ$532&amp;'Gastos com Pessoal'!$I$512:$AJ$512,0),10,1)),0)+_xlfn.IFNA(SUM((AB$3&gt;='Gastos com Pessoal'!$E$513:$E$522)*(AB$3&lt;='Gastos com Pessoal'!$F$513:$F$522)*(IF('Gastos com Pessoal'!$M$513:$M$522&lt;=AB$3,1,0))*OFFSET('Gastos com Pessoal'!$H$512,1,MATCH(2&amp;$B51,'Gastos com Pessoal'!$I$532:$AJ$532&amp;'Gastos com Pessoal'!$I$512:$AJ$512,0),10,1)),0)+_xlfn.IFNA(SUM((AB$3&gt;='Gastos com Pessoal'!$E$513:$E$522)*(AB$3&lt;='Gastos com Pessoal'!$F$513:$F$522)*(IF('Gastos com Pessoal'!$S$513:$S$522&lt;=AB$3,1,0))*OFFSET('Gastos com Pessoal'!$H$512,1,MATCH(3&amp;$B51,'Gastos com Pessoal'!$I$532:$AJ$532&amp;'Gastos com Pessoal'!$I$512:$AJ$512,0),10,1)),0)+_xlfn.IFNA(SUM((AB$3&gt;='Gastos com Pessoal'!$E$513:$E$522)*(AB$3&lt;='Gastos com Pessoal'!$F$513:$F$522)*(IF('Gastos com Pessoal'!$Y$513:$Y$522&lt;=AB$3,1,0))*OFFSET('Gastos com Pessoal'!$H$512,1,MATCH(4&amp;$B51,'Gastos com Pessoal'!$I$532:$AJ$532&amp;'Gastos com Pessoal'!$I$512:$AJ$512,0),10,1)),0)+_xlfn.IFNA(SUM((AB$3&gt;='Gastos com Pessoal'!$E$513:$E$522)*(AB$3&lt;='Gastos com Pessoal'!$F$513:$F$522)*(IF('Gastos com Pessoal'!$AE$513:$AE$522&lt;=AB$3,1,0))*OFFSET('Gastos com Pessoal'!$H$512,1,MATCH(5&amp;$B51,'Gastos com Pessoal'!$I$532:$AJ$532&amp;'Gastos com Pessoal'!$I$512:$AJ$512,0),10,1)),0)</f>
        <v>1457.27999999999</v>
      </c>
      <c r="AC51" s="188">
        <f t="array" aca="1" ref="AC51" ca="1">_xlfn.IFNA(SUM((AC$3&gt;='Gastos com Pessoal'!$E$7:$E$506)*(AC$3&lt;='Gastos com Pessoal'!$F$7:$F$506)*OFFSET('Encargos e Benefícios'!$D$5,1,MATCH($B51,'Encargos e Benefícios'!$E$5:$AB$5,0),500,1)),0)+_xlfn.IFNA(SUM((AC$3&gt;='Gastos com Pessoal'!$E$513:$E$522)*(AC$3&lt;='Gastos com Pessoal'!$F$513:$F$522)*OFFSET('Encargos e Benefícios'!$D$511,1,MATCH($B51,'Encargos e Benefícios'!$E$511:$AB$511,0),10,1)),0)+_xlfn.IFNA(SUM((AC$3&gt;='Gastos com Pessoal'!$E$7:$E$506)*(AC$3&lt;='Gastos com Pessoal'!$F$7:$F$506)*(IF('Gastos com Pessoal'!$G$7:$G$506&lt;=AC$3,1,0))*OFFSET('Gastos com Pessoal'!$H$6,1,MATCH(1&amp;$B51,'Gastos com Pessoal'!$I$532:$AJ$532&amp;'Gastos com Pessoal'!$I$6:$AJ$6,0),500,1)),0)+_xlfn.IFNA(SUM((AC$3&gt;='Gastos com Pessoal'!$E$7:$E$506)*(AC$3&lt;='Gastos com Pessoal'!$F$7:$F$506)*(IF('Gastos com Pessoal'!$M$7:$M$506&lt;=AC$3,1,0))*OFFSET('Gastos com Pessoal'!$H$6,1,MATCH(2&amp;$B51,'Gastos com Pessoal'!$I$532:$AJ$532&amp;'Gastos com Pessoal'!$I$6:$AJ$6,0),500,1)),0)+_xlfn.IFNA(SUM((AC$3&gt;='Gastos com Pessoal'!$E$7:$E$506)*(AC$3&lt;='Gastos com Pessoal'!$F$7:$F$506)*(IF('Gastos com Pessoal'!$S$7:$S$506&lt;=AC$3,1,0))*OFFSET('Gastos com Pessoal'!$H$6,1,MATCH(3&amp;$B51,'Gastos com Pessoal'!$I$532:$AJ$532&amp;'Gastos com Pessoal'!$I$6:$AJ$6,0),500,1)),0)+_xlfn.IFNA(SUM((AC$3&gt;='Gastos com Pessoal'!$E$7:$E$506)*(AC$3&lt;='Gastos com Pessoal'!$F$7:$F$506)*(IF('Gastos com Pessoal'!$Y$7:$Y$506&lt;=AC$3,1,0))*OFFSET('Gastos com Pessoal'!$H$6,1,MATCH(4&amp;$B51,'Gastos com Pessoal'!$I$532:$AJ$532&amp;'Gastos com Pessoal'!$I$6:$AJ$6,0),500,1)),0)+_xlfn.IFNA(SUM((AC$3&gt;='Gastos com Pessoal'!$E$7:$E$506)*(AC$3&lt;='Gastos com Pessoal'!$F$7:$F$506)*(IF('Gastos com Pessoal'!$AE$7:$AE$506&lt;=AC$3,1,0))*OFFSET('Gastos com Pessoal'!$H$6,1,MATCH(5&amp;$B51,'Gastos com Pessoal'!$I$532:$AJ$532&amp;'Gastos com Pessoal'!$I$6:$AJ$6,0),500,1)),0)+_xlfn.IFNA(SUM((AC$3&gt;='Gastos com Pessoal'!$E$513:$E$522)*(AC$3&lt;='Gastos com Pessoal'!$F$513:$F$522)*(IF('Gastos com Pessoal'!$G$513:$G$522&lt;=AC$3,1,0))*OFFSET('Gastos com Pessoal'!$H$512,1,MATCH(1&amp;$B51,'Gastos com Pessoal'!$I$532:$AJ$532&amp;'Gastos com Pessoal'!$I$512:$AJ$512,0),10,1)),0)+_xlfn.IFNA(SUM((AC$3&gt;='Gastos com Pessoal'!$E$513:$E$522)*(AC$3&lt;='Gastos com Pessoal'!$F$513:$F$522)*(IF('Gastos com Pessoal'!$M$513:$M$522&lt;=AC$3,1,0))*OFFSET('Gastos com Pessoal'!$H$512,1,MATCH(2&amp;$B51,'Gastos com Pessoal'!$I$532:$AJ$532&amp;'Gastos com Pessoal'!$I$512:$AJ$512,0),10,1)),0)+_xlfn.IFNA(SUM((AC$3&gt;='Gastos com Pessoal'!$E$513:$E$522)*(AC$3&lt;='Gastos com Pessoal'!$F$513:$F$522)*(IF('Gastos com Pessoal'!$S$513:$S$522&lt;=AC$3,1,0))*OFFSET('Gastos com Pessoal'!$H$512,1,MATCH(3&amp;$B51,'Gastos com Pessoal'!$I$532:$AJ$532&amp;'Gastos com Pessoal'!$I$512:$AJ$512,0),10,1)),0)+_xlfn.IFNA(SUM((AC$3&gt;='Gastos com Pessoal'!$E$513:$E$522)*(AC$3&lt;='Gastos com Pessoal'!$F$513:$F$522)*(IF('Gastos com Pessoal'!$Y$513:$Y$522&lt;=AC$3,1,0))*OFFSET('Gastos com Pessoal'!$H$512,1,MATCH(4&amp;$B51,'Gastos com Pessoal'!$I$532:$AJ$532&amp;'Gastos com Pessoal'!$I$512:$AJ$512,0),10,1)),0)+_xlfn.IFNA(SUM((AC$3&gt;='Gastos com Pessoal'!$E$513:$E$522)*(AC$3&lt;='Gastos com Pessoal'!$F$513:$F$522)*(IF('Gastos com Pessoal'!$AE$513:$AE$522&lt;=AC$3,1,0))*OFFSET('Gastos com Pessoal'!$H$512,1,MATCH(5&amp;$B51,'Gastos com Pessoal'!$I$532:$AJ$532&amp;'Gastos com Pessoal'!$I$512:$AJ$512,0),10,1)),0)</f>
        <v>1457.27999999999</v>
      </c>
      <c r="AD51" s="188">
        <f t="array" aca="1" ref="AD51" ca="1">_xlfn.IFNA(SUM((AD$3&gt;='Gastos com Pessoal'!$E$7:$E$506)*(AD$3&lt;='Gastos com Pessoal'!$F$7:$F$506)*OFFSET('Encargos e Benefícios'!$D$5,1,MATCH($B51,'Encargos e Benefícios'!$E$5:$AB$5,0),500,1)),0)+_xlfn.IFNA(SUM((AD$3&gt;='Gastos com Pessoal'!$E$513:$E$522)*(AD$3&lt;='Gastos com Pessoal'!$F$513:$F$522)*OFFSET('Encargos e Benefícios'!$D$511,1,MATCH($B51,'Encargos e Benefícios'!$E$511:$AB$511,0),10,1)),0)+_xlfn.IFNA(SUM((AD$3&gt;='Gastos com Pessoal'!$E$7:$E$506)*(AD$3&lt;='Gastos com Pessoal'!$F$7:$F$506)*(IF('Gastos com Pessoal'!$G$7:$G$506&lt;=AD$3,1,0))*OFFSET('Gastos com Pessoal'!$H$6,1,MATCH(1&amp;$B51,'Gastos com Pessoal'!$I$532:$AJ$532&amp;'Gastos com Pessoal'!$I$6:$AJ$6,0),500,1)),0)+_xlfn.IFNA(SUM((AD$3&gt;='Gastos com Pessoal'!$E$7:$E$506)*(AD$3&lt;='Gastos com Pessoal'!$F$7:$F$506)*(IF('Gastos com Pessoal'!$M$7:$M$506&lt;=AD$3,1,0))*OFFSET('Gastos com Pessoal'!$H$6,1,MATCH(2&amp;$B51,'Gastos com Pessoal'!$I$532:$AJ$532&amp;'Gastos com Pessoal'!$I$6:$AJ$6,0),500,1)),0)+_xlfn.IFNA(SUM((AD$3&gt;='Gastos com Pessoal'!$E$7:$E$506)*(AD$3&lt;='Gastos com Pessoal'!$F$7:$F$506)*(IF('Gastos com Pessoal'!$S$7:$S$506&lt;=AD$3,1,0))*OFFSET('Gastos com Pessoal'!$H$6,1,MATCH(3&amp;$B51,'Gastos com Pessoal'!$I$532:$AJ$532&amp;'Gastos com Pessoal'!$I$6:$AJ$6,0),500,1)),0)+_xlfn.IFNA(SUM((AD$3&gt;='Gastos com Pessoal'!$E$7:$E$506)*(AD$3&lt;='Gastos com Pessoal'!$F$7:$F$506)*(IF('Gastos com Pessoal'!$Y$7:$Y$506&lt;=AD$3,1,0))*OFFSET('Gastos com Pessoal'!$H$6,1,MATCH(4&amp;$B51,'Gastos com Pessoal'!$I$532:$AJ$532&amp;'Gastos com Pessoal'!$I$6:$AJ$6,0),500,1)),0)+_xlfn.IFNA(SUM((AD$3&gt;='Gastos com Pessoal'!$E$7:$E$506)*(AD$3&lt;='Gastos com Pessoal'!$F$7:$F$506)*(IF('Gastos com Pessoal'!$AE$7:$AE$506&lt;=AD$3,1,0))*OFFSET('Gastos com Pessoal'!$H$6,1,MATCH(5&amp;$B51,'Gastos com Pessoal'!$I$532:$AJ$532&amp;'Gastos com Pessoal'!$I$6:$AJ$6,0),500,1)),0)+_xlfn.IFNA(SUM((AD$3&gt;='Gastos com Pessoal'!$E$513:$E$522)*(AD$3&lt;='Gastos com Pessoal'!$F$513:$F$522)*(IF('Gastos com Pessoal'!$G$513:$G$522&lt;=AD$3,1,0))*OFFSET('Gastos com Pessoal'!$H$512,1,MATCH(1&amp;$B51,'Gastos com Pessoal'!$I$532:$AJ$532&amp;'Gastos com Pessoal'!$I$512:$AJ$512,0),10,1)),0)+_xlfn.IFNA(SUM((AD$3&gt;='Gastos com Pessoal'!$E$513:$E$522)*(AD$3&lt;='Gastos com Pessoal'!$F$513:$F$522)*(IF('Gastos com Pessoal'!$M$513:$M$522&lt;=AD$3,1,0))*OFFSET('Gastos com Pessoal'!$H$512,1,MATCH(2&amp;$B51,'Gastos com Pessoal'!$I$532:$AJ$532&amp;'Gastos com Pessoal'!$I$512:$AJ$512,0),10,1)),0)+_xlfn.IFNA(SUM((AD$3&gt;='Gastos com Pessoal'!$E$513:$E$522)*(AD$3&lt;='Gastos com Pessoal'!$F$513:$F$522)*(IF('Gastos com Pessoal'!$S$513:$S$522&lt;=AD$3,1,0))*OFFSET('Gastos com Pessoal'!$H$512,1,MATCH(3&amp;$B51,'Gastos com Pessoal'!$I$532:$AJ$532&amp;'Gastos com Pessoal'!$I$512:$AJ$512,0),10,1)),0)+_xlfn.IFNA(SUM((AD$3&gt;='Gastos com Pessoal'!$E$513:$E$522)*(AD$3&lt;='Gastos com Pessoal'!$F$513:$F$522)*(IF('Gastos com Pessoal'!$Y$513:$Y$522&lt;=AD$3,1,0))*OFFSET('Gastos com Pessoal'!$H$512,1,MATCH(4&amp;$B51,'Gastos com Pessoal'!$I$532:$AJ$532&amp;'Gastos com Pessoal'!$I$512:$AJ$512,0),10,1)),0)+_xlfn.IFNA(SUM((AD$3&gt;='Gastos com Pessoal'!$E$513:$E$522)*(AD$3&lt;='Gastos com Pessoal'!$F$513:$F$522)*(IF('Gastos com Pessoal'!$AE$513:$AE$522&lt;=AD$3,1,0))*OFFSET('Gastos com Pessoal'!$H$512,1,MATCH(5&amp;$B51,'Gastos com Pessoal'!$I$532:$AJ$532&amp;'Gastos com Pessoal'!$I$512:$AJ$512,0),10,1)),0)</f>
        <v>1457.27999999999</v>
      </c>
      <c r="AE51" s="188">
        <f t="array" aca="1" ref="AE51" ca="1">_xlfn.IFNA(SUM((AE$3&gt;='Gastos com Pessoal'!$E$7:$E$506)*(AE$3&lt;='Gastos com Pessoal'!$F$7:$F$506)*OFFSET('Encargos e Benefícios'!$D$5,1,MATCH($B51,'Encargos e Benefícios'!$E$5:$AB$5,0),500,1)),0)+_xlfn.IFNA(SUM((AE$3&gt;='Gastos com Pessoal'!$E$513:$E$522)*(AE$3&lt;='Gastos com Pessoal'!$F$513:$F$522)*OFFSET('Encargos e Benefícios'!$D$511,1,MATCH($B51,'Encargos e Benefícios'!$E$511:$AB$511,0),10,1)),0)+_xlfn.IFNA(SUM((AE$3&gt;='Gastos com Pessoal'!$E$7:$E$506)*(AE$3&lt;='Gastos com Pessoal'!$F$7:$F$506)*(IF('Gastos com Pessoal'!$G$7:$G$506&lt;=AE$3,1,0))*OFFSET('Gastos com Pessoal'!$H$6,1,MATCH(1&amp;$B51,'Gastos com Pessoal'!$I$532:$AJ$532&amp;'Gastos com Pessoal'!$I$6:$AJ$6,0),500,1)),0)+_xlfn.IFNA(SUM((AE$3&gt;='Gastos com Pessoal'!$E$7:$E$506)*(AE$3&lt;='Gastos com Pessoal'!$F$7:$F$506)*(IF('Gastos com Pessoal'!$M$7:$M$506&lt;=AE$3,1,0))*OFFSET('Gastos com Pessoal'!$H$6,1,MATCH(2&amp;$B51,'Gastos com Pessoal'!$I$532:$AJ$532&amp;'Gastos com Pessoal'!$I$6:$AJ$6,0),500,1)),0)+_xlfn.IFNA(SUM((AE$3&gt;='Gastos com Pessoal'!$E$7:$E$506)*(AE$3&lt;='Gastos com Pessoal'!$F$7:$F$506)*(IF('Gastos com Pessoal'!$S$7:$S$506&lt;=AE$3,1,0))*OFFSET('Gastos com Pessoal'!$H$6,1,MATCH(3&amp;$B51,'Gastos com Pessoal'!$I$532:$AJ$532&amp;'Gastos com Pessoal'!$I$6:$AJ$6,0),500,1)),0)+_xlfn.IFNA(SUM((AE$3&gt;='Gastos com Pessoal'!$E$7:$E$506)*(AE$3&lt;='Gastos com Pessoal'!$F$7:$F$506)*(IF('Gastos com Pessoal'!$Y$7:$Y$506&lt;=AE$3,1,0))*OFFSET('Gastos com Pessoal'!$H$6,1,MATCH(4&amp;$B51,'Gastos com Pessoal'!$I$532:$AJ$532&amp;'Gastos com Pessoal'!$I$6:$AJ$6,0),500,1)),0)+_xlfn.IFNA(SUM((AE$3&gt;='Gastos com Pessoal'!$E$7:$E$506)*(AE$3&lt;='Gastos com Pessoal'!$F$7:$F$506)*(IF('Gastos com Pessoal'!$AE$7:$AE$506&lt;=AE$3,1,0))*OFFSET('Gastos com Pessoal'!$H$6,1,MATCH(5&amp;$B51,'Gastos com Pessoal'!$I$532:$AJ$532&amp;'Gastos com Pessoal'!$I$6:$AJ$6,0),500,1)),0)+_xlfn.IFNA(SUM((AE$3&gt;='Gastos com Pessoal'!$E$513:$E$522)*(AE$3&lt;='Gastos com Pessoal'!$F$513:$F$522)*(IF('Gastos com Pessoal'!$G$513:$G$522&lt;=AE$3,1,0))*OFFSET('Gastos com Pessoal'!$H$512,1,MATCH(1&amp;$B51,'Gastos com Pessoal'!$I$532:$AJ$532&amp;'Gastos com Pessoal'!$I$512:$AJ$512,0),10,1)),0)+_xlfn.IFNA(SUM((AE$3&gt;='Gastos com Pessoal'!$E$513:$E$522)*(AE$3&lt;='Gastos com Pessoal'!$F$513:$F$522)*(IF('Gastos com Pessoal'!$M$513:$M$522&lt;=AE$3,1,0))*OFFSET('Gastos com Pessoal'!$H$512,1,MATCH(2&amp;$B51,'Gastos com Pessoal'!$I$532:$AJ$532&amp;'Gastos com Pessoal'!$I$512:$AJ$512,0),10,1)),0)+_xlfn.IFNA(SUM((AE$3&gt;='Gastos com Pessoal'!$E$513:$E$522)*(AE$3&lt;='Gastos com Pessoal'!$F$513:$F$522)*(IF('Gastos com Pessoal'!$S$513:$S$522&lt;=AE$3,1,0))*OFFSET('Gastos com Pessoal'!$H$512,1,MATCH(3&amp;$B51,'Gastos com Pessoal'!$I$532:$AJ$532&amp;'Gastos com Pessoal'!$I$512:$AJ$512,0),10,1)),0)+_xlfn.IFNA(SUM((AE$3&gt;='Gastos com Pessoal'!$E$513:$E$522)*(AE$3&lt;='Gastos com Pessoal'!$F$513:$F$522)*(IF('Gastos com Pessoal'!$Y$513:$Y$522&lt;=AE$3,1,0))*OFFSET('Gastos com Pessoal'!$H$512,1,MATCH(4&amp;$B51,'Gastos com Pessoal'!$I$532:$AJ$532&amp;'Gastos com Pessoal'!$I$512:$AJ$512,0),10,1)),0)+_xlfn.IFNA(SUM((AE$3&gt;='Gastos com Pessoal'!$E$513:$E$522)*(AE$3&lt;='Gastos com Pessoal'!$F$513:$F$522)*(IF('Gastos com Pessoal'!$AE$513:$AE$522&lt;=AE$3,1,0))*OFFSET('Gastos com Pessoal'!$H$512,1,MATCH(5&amp;$B51,'Gastos com Pessoal'!$I$532:$AJ$532&amp;'Gastos com Pessoal'!$I$512:$AJ$512,0),10,1)),0)</f>
        <v>1457.27999999999</v>
      </c>
      <c r="AF51" s="188">
        <f t="array" aca="1" ref="AF51" ca="1">_xlfn.IFNA(SUM((AF$3&gt;='Gastos com Pessoal'!$E$7:$E$506)*(AF$3&lt;='Gastos com Pessoal'!$F$7:$F$506)*OFFSET('Encargos e Benefícios'!$D$5,1,MATCH($B51,'Encargos e Benefícios'!$E$5:$AB$5,0),500,1)),0)+_xlfn.IFNA(SUM((AF$3&gt;='Gastos com Pessoal'!$E$513:$E$522)*(AF$3&lt;='Gastos com Pessoal'!$F$513:$F$522)*OFFSET('Encargos e Benefícios'!$D$511,1,MATCH($B51,'Encargos e Benefícios'!$E$511:$AB$511,0),10,1)),0)+_xlfn.IFNA(SUM((AF$3&gt;='Gastos com Pessoal'!$E$7:$E$506)*(AF$3&lt;='Gastos com Pessoal'!$F$7:$F$506)*(IF('Gastos com Pessoal'!$G$7:$G$506&lt;=AF$3,1,0))*OFFSET('Gastos com Pessoal'!$H$6,1,MATCH(1&amp;$B51,'Gastos com Pessoal'!$I$532:$AJ$532&amp;'Gastos com Pessoal'!$I$6:$AJ$6,0),500,1)),0)+_xlfn.IFNA(SUM((AF$3&gt;='Gastos com Pessoal'!$E$7:$E$506)*(AF$3&lt;='Gastos com Pessoal'!$F$7:$F$506)*(IF('Gastos com Pessoal'!$M$7:$M$506&lt;=AF$3,1,0))*OFFSET('Gastos com Pessoal'!$H$6,1,MATCH(2&amp;$B51,'Gastos com Pessoal'!$I$532:$AJ$532&amp;'Gastos com Pessoal'!$I$6:$AJ$6,0),500,1)),0)+_xlfn.IFNA(SUM((AF$3&gt;='Gastos com Pessoal'!$E$7:$E$506)*(AF$3&lt;='Gastos com Pessoal'!$F$7:$F$506)*(IF('Gastos com Pessoal'!$S$7:$S$506&lt;=AF$3,1,0))*OFFSET('Gastos com Pessoal'!$H$6,1,MATCH(3&amp;$B51,'Gastos com Pessoal'!$I$532:$AJ$532&amp;'Gastos com Pessoal'!$I$6:$AJ$6,0),500,1)),0)+_xlfn.IFNA(SUM((AF$3&gt;='Gastos com Pessoal'!$E$7:$E$506)*(AF$3&lt;='Gastos com Pessoal'!$F$7:$F$506)*(IF('Gastos com Pessoal'!$Y$7:$Y$506&lt;=AF$3,1,0))*OFFSET('Gastos com Pessoal'!$H$6,1,MATCH(4&amp;$B51,'Gastos com Pessoal'!$I$532:$AJ$532&amp;'Gastos com Pessoal'!$I$6:$AJ$6,0),500,1)),0)+_xlfn.IFNA(SUM((AF$3&gt;='Gastos com Pessoal'!$E$7:$E$506)*(AF$3&lt;='Gastos com Pessoal'!$F$7:$F$506)*(IF('Gastos com Pessoal'!$AE$7:$AE$506&lt;=AF$3,1,0))*OFFSET('Gastos com Pessoal'!$H$6,1,MATCH(5&amp;$B51,'Gastos com Pessoal'!$I$532:$AJ$532&amp;'Gastos com Pessoal'!$I$6:$AJ$6,0),500,1)),0)+_xlfn.IFNA(SUM((AF$3&gt;='Gastos com Pessoal'!$E$513:$E$522)*(AF$3&lt;='Gastos com Pessoal'!$F$513:$F$522)*(IF('Gastos com Pessoal'!$G$513:$G$522&lt;=AF$3,1,0))*OFFSET('Gastos com Pessoal'!$H$512,1,MATCH(1&amp;$B51,'Gastos com Pessoal'!$I$532:$AJ$532&amp;'Gastos com Pessoal'!$I$512:$AJ$512,0),10,1)),0)+_xlfn.IFNA(SUM((AF$3&gt;='Gastos com Pessoal'!$E$513:$E$522)*(AF$3&lt;='Gastos com Pessoal'!$F$513:$F$522)*(IF('Gastos com Pessoal'!$M$513:$M$522&lt;=AF$3,1,0))*OFFSET('Gastos com Pessoal'!$H$512,1,MATCH(2&amp;$B51,'Gastos com Pessoal'!$I$532:$AJ$532&amp;'Gastos com Pessoal'!$I$512:$AJ$512,0),10,1)),0)+_xlfn.IFNA(SUM((AF$3&gt;='Gastos com Pessoal'!$E$513:$E$522)*(AF$3&lt;='Gastos com Pessoal'!$F$513:$F$522)*(IF('Gastos com Pessoal'!$S$513:$S$522&lt;=AF$3,1,0))*OFFSET('Gastos com Pessoal'!$H$512,1,MATCH(3&amp;$B51,'Gastos com Pessoal'!$I$532:$AJ$532&amp;'Gastos com Pessoal'!$I$512:$AJ$512,0),10,1)),0)+_xlfn.IFNA(SUM((AF$3&gt;='Gastos com Pessoal'!$E$513:$E$522)*(AF$3&lt;='Gastos com Pessoal'!$F$513:$F$522)*(IF('Gastos com Pessoal'!$Y$513:$Y$522&lt;=AF$3,1,0))*OFFSET('Gastos com Pessoal'!$H$512,1,MATCH(4&amp;$B51,'Gastos com Pessoal'!$I$532:$AJ$532&amp;'Gastos com Pessoal'!$I$512:$AJ$512,0),10,1)),0)+_xlfn.IFNA(SUM((AF$3&gt;='Gastos com Pessoal'!$E$513:$E$522)*(AF$3&lt;='Gastos com Pessoal'!$F$513:$F$522)*(IF('Gastos com Pessoal'!$AE$513:$AE$522&lt;=AF$3,1,0))*OFFSET('Gastos com Pessoal'!$H$512,1,MATCH(5&amp;$B51,'Gastos com Pessoal'!$I$532:$AJ$532&amp;'Gastos com Pessoal'!$I$512:$AJ$512,0),10,1)),0)</f>
        <v>1457.27999999999</v>
      </c>
      <c r="AG51" s="188">
        <f t="array" aca="1" ref="AG51" ca="1">_xlfn.IFNA(SUM((AG$3&gt;='Gastos com Pessoal'!$E$7:$E$506)*(AG$3&lt;='Gastos com Pessoal'!$F$7:$F$506)*OFFSET('Encargos e Benefícios'!$D$5,1,MATCH($B51,'Encargos e Benefícios'!$E$5:$AB$5,0),500,1)),0)+_xlfn.IFNA(SUM((AG$3&gt;='Gastos com Pessoal'!$E$513:$E$522)*(AG$3&lt;='Gastos com Pessoal'!$F$513:$F$522)*OFFSET('Encargos e Benefícios'!$D$511,1,MATCH($B51,'Encargos e Benefícios'!$E$511:$AB$511,0),10,1)),0)+_xlfn.IFNA(SUM((AG$3&gt;='Gastos com Pessoal'!$E$7:$E$506)*(AG$3&lt;='Gastos com Pessoal'!$F$7:$F$506)*(IF('Gastos com Pessoal'!$G$7:$G$506&lt;=AG$3,1,0))*OFFSET('Gastos com Pessoal'!$H$6,1,MATCH(1&amp;$B51,'Gastos com Pessoal'!$I$532:$AJ$532&amp;'Gastos com Pessoal'!$I$6:$AJ$6,0),500,1)),0)+_xlfn.IFNA(SUM((AG$3&gt;='Gastos com Pessoal'!$E$7:$E$506)*(AG$3&lt;='Gastos com Pessoal'!$F$7:$F$506)*(IF('Gastos com Pessoal'!$M$7:$M$506&lt;=AG$3,1,0))*OFFSET('Gastos com Pessoal'!$H$6,1,MATCH(2&amp;$B51,'Gastos com Pessoal'!$I$532:$AJ$532&amp;'Gastos com Pessoal'!$I$6:$AJ$6,0),500,1)),0)+_xlfn.IFNA(SUM((AG$3&gt;='Gastos com Pessoal'!$E$7:$E$506)*(AG$3&lt;='Gastos com Pessoal'!$F$7:$F$506)*(IF('Gastos com Pessoal'!$S$7:$S$506&lt;=AG$3,1,0))*OFFSET('Gastos com Pessoal'!$H$6,1,MATCH(3&amp;$B51,'Gastos com Pessoal'!$I$532:$AJ$532&amp;'Gastos com Pessoal'!$I$6:$AJ$6,0),500,1)),0)+_xlfn.IFNA(SUM((AG$3&gt;='Gastos com Pessoal'!$E$7:$E$506)*(AG$3&lt;='Gastos com Pessoal'!$F$7:$F$506)*(IF('Gastos com Pessoal'!$Y$7:$Y$506&lt;=AG$3,1,0))*OFFSET('Gastos com Pessoal'!$H$6,1,MATCH(4&amp;$B51,'Gastos com Pessoal'!$I$532:$AJ$532&amp;'Gastos com Pessoal'!$I$6:$AJ$6,0),500,1)),0)+_xlfn.IFNA(SUM((AG$3&gt;='Gastos com Pessoal'!$E$7:$E$506)*(AG$3&lt;='Gastos com Pessoal'!$F$7:$F$506)*(IF('Gastos com Pessoal'!$AE$7:$AE$506&lt;=AG$3,1,0))*OFFSET('Gastos com Pessoal'!$H$6,1,MATCH(5&amp;$B51,'Gastos com Pessoal'!$I$532:$AJ$532&amp;'Gastos com Pessoal'!$I$6:$AJ$6,0),500,1)),0)+_xlfn.IFNA(SUM((AG$3&gt;='Gastos com Pessoal'!$E$513:$E$522)*(AG$3&lt;='Gastos com Pessoal'!$F$513:$F$522)*(IF('Gastos com Pessoal'!$G$513:$G$522&lt;=AG$3,1,0))*OFFSET('Gastos com Pessoal'!$H$512,1,MATCH(1&amp;$B51,'Gastos com Pessoal'!$I$532:$AJ$532&amp;'Gastos com Pessoal'!$I$512:$AJ$512,0),10,1)),0)+_xlfn.IFNA(SUM((AG$3&gt;='Gastos com Pessoal'!$E$513:$E$522)*(AG$3&lt;='Gastos com Pessoal'!$F$513:$F$522)*(IF('Gastos com Pessoal'!$M$513:$M$522&lt;=AG$3,1,0))*OFFSET('Gastos com Pessoal'!$H$512,1,MATCH(2&amp;$B51,'Gastos com Pessoal'!$I$532:$AJ$532&amp;'Gastos com Pessoal'!$I$512:$AJ$512,0),10,1)),0)+_xlfn.IFNA(SUM((AG$3&gt;='Gastos com Pessoal'!$E$513:$E$522)*(AG$3&lt;='Gastos com Pessoal'!$F$513:$F$522)*(IF('Gastos com Pessoal'!$S$513:$S$522&lt;=AG$3,1,0))*OFFSET('Gastos com Pessoal'!$H$512,1,MATCH(3&amp;$B51,'Gastos com Pessoal'!$I$532:$AJ$532&amp;'Gastos com Pessoal'!$I$512:$AJ$512,0),10,1)),0)+_xlfn.IFNA(SUM((AG$3&gt;='Gastos com Pessoal'!$E$513:$E$522)*(AG$3&lt;='Gastos com Pessoal'!$F$513:$F$522)*(IF('Gastos com Pessoal'!$Y$513:$Y$522&lt;=AG$3,1,0))*OFFSET('Gastos com Pessoal'!$H$512,1,MATCH(4&amp;$B51,'Gastos com Pessoal'!$I$532:$AJ$532&amp;'Gastos com Pessoal'!$I$512:$AJ$512,0),10,1)),0)+_xlfn.IFNA(SUM((AG$3&gt;='Gastos com Pessoal'!$E$513:$E$522)*(AG$3&lt;='Gastos com Pessoal'!$F$513:$F$522)*(IF('Gastos com Pessoal'!$AE$513:$AE$522&lt;=AG$3,1,0))*OFFSET('Gastos com Pessoal'!$H$512,1,MATCH(5&amp;$B51,'Gastos com Pessoal'!$I$532:$AJ$532&amp;'Gastos com Pessoal'!$I$512:$AJ$512,0),10,1)),0)</f>
        <v>1457.27999999999</v>
      </c>
      <c r="AH51" s="188">
        <f t="array" aca="1" ref="AH51" ca="1">_xlfn.IFNA(SUM((AH$3&gt;='Gastos com Pessoal'!$E$7:$E$506)*(AH$3&lt;='Gastos com Pessoal'!$F$7:$F$506)*OFFSET('Encargos e Benefícios'!$D$5,1,MATCH($B51,'Encargos e Benefícios'!$E$5:$AB$5,0),500,1)),0)+_xlfn.IFNA(SUM((AH$3&gt;='Gastos com Pessoal'!$E$513:$E$522)*(AH$3&lt;='Gastos com Pessoal'!$F$513:$F$522)*OFFSET('Encargos e Benefícios'!$D$511,1,MATCH($B51,'Encargos e Benefícios'!$E$511:$AB$511,0),10,1)),0)+_xlfn.IFNA(SUM((AH$3&gt;='Gastos com Pessoal'!$E$7:$E$506)*(AH$3&lt;='Gastos com Pessoal'!$F$7:$F$506)*(IF('Gastos com Pessoal'!$G$7:$G$506&lt;=AH$3,1,0))*OFFSET('Gastos com Pessoal'!$H$6,1,MATCH(1&amp;$B51,'Gastos com Pessoal'!$I$532:$AJ$532&amp;'Gastos com Pessoal'!$I$6:$AJ$6,0),500,1)),0)+_xlfn.IFNA(SUM((AH$3&gt;='Gastos com Pessoal'!$E$7:$E$506)*(AH$3&lt;='Gastos com Pessoal'!$F$7:$F$506)*(IF('Gastos com Pessoal'!$M$7:$M$506&lt;=AH$3,1,0))*OFFSET('Gastos com Pessoal'!$H$6,1,MATCH(2&amp;$B51,'Gastos com Pessoal'!$I$532:$AJ$532&amp;'Gastos com Pessoal'!$I$6:$AJ$6,0),500,1)),0)+_xlfn.IFNA(SUM((AH$3&gt;='Gastos com Pessoal'!$E$7:$E$506)*(AH$3&lt;='Gastos com Pessoal'!$F$7:$F$506)*(IF('Gastos com Pessoal'!$S$7:$S$506&lt;=AH$3,1,0))*OFFSET('Gastos com Pessoal'!$H$6,1,MATCH(3&amp;$B51,'Gastos com Pessoal'!$I$532:$AJ$532&amp;'Gastos com Pessoal'!$I$6:$AJ$6,0),500,1)),0)+_xlfn.IFNA(SUM((AH$3&gt;='Gastos com Pessoal'!$E$7:$E$506)*(AH$3&lt;='Gastos com Pessoal'!$F$7:$F$506)*(IF('Gastos com Pessoal'!$Y$7:$Y$506&lt;=AH$3,1,0))*OFFSET('Gastos com Pessoal'!$H$6,1,MATCH(4&amp;$B51,'Gastos com Pessoal'!$I$532:$AJ$532&amp;'Gastos com Pessoal'!$I$6:$AJ$6,0),500,1)),0)+_xlfn.IFNA(SUM((AH$3&gt;='Gastos com Pessoal'!$E$7:$E$506)*(AH$3&lt;='Gastos com Pessoal'!$F$7:$F$506)*(IF('Gastos com Pessoal'!$AE$7:$AE$506&lt;=AH$3,1,0))*OFFSET('Gastos com Pessoal'!$H$6,1,MATCH(5&amp;$B51,'Gastos com Pessoal'!$I$532:$AJ$532&amp;'Gastos com Pessoal'!$I$6:$AJ$6,0),500,1)),0)+_xlfn.IFNA(SUM((AH$3&gt;='Gastos com Pessoal'!$E$513:$E$522)*(AH$3&lt;='Gastos com Pessoal'!$F$513:$F$522)*(IF('Gastos com Pessoal'!$G$513:$G$522&lt;=AH$3,1,0))*OFFSET('Gastos com Pessoal'!$H$512,1,MATCH(1&amp;$B51,'Gastos com Pessoal'!$I$532:$AJ$532&amp;'Gastos com Pessoal'!$I$512:$AJ$512,0),10,1)),0)+_xlfn.IFNA(SUM((AH$3&gt;='Gastos com Pessoal'!$E$513:$E$522)*(AH$3&lt;='Gastos com Pessoal'!$F$513:$F$522)*(IF('Gastos com Pessoal'!$M$513:$M$522&lt;=AH$3,1,0))*OFFSET('Gastos com Pessoal'!$H$512,1,MATCH(2&amp;$B51,'Gastos com Pessoal'!$I$532:$AJ$532&amp;'Gastos com Pessoal'!$I$512:$AJ$512,0),10,1)),0)+_xlfn.IFNA(SUM((AH$3&gt;='Gastos com Pessoal'!$E$513:$E$522)*(AH$3&lt;='Gastos com Pessoal'!$F$513:$F$522)*(IF('Gastos com Pessoal'!$S$513:$S$522&lt;=AH$3,1,0))*OFFSET('Gastos com Pessoal'!$H$512,1,MATCH(3&amp;$B51,'Gastos com Pessoal'!$I$532:$AJ$532&amp;'Gastos com Pessoal'!$I$512:$AJ$512,0),10,1)),0)+_xlfn.IFNA(SUM((AH$3&gt;='Gastos com Pessoal'!$E$513:$E$522)*(AH$3&lt;='Gastos com Pessoal'!$F$513:$F$522)*(IF('Gastos com Pessoal'!$Y$513:$Y$522&lt;=AH$3,1,0))*OFFSET('Gastos com Pessoal'!$H$512,1,MATCH(4&amp;$B51,'Gastos com Pessoal'!$I$532:$AJ$532&amp;'Gastos com Pessoal'!$I$512:$AJ$512,0),10,1)),0)+_xlfn.IFNA(SUM((AH$3&gt;='Gastos com Pessoal'!$E$513:$E$522)*(AH$3&lt;='Gastos com Pessoal'!$F$513:$F$522)*(IF('Gastos com Pessoal'!$AE$513:$AE$522&lt;=AH$3,1,0))*OFFSET('Gastos com Pessoal'!$H$512,1,MATCH(5&amp;$B51,'Gastos com Pessoal'!$I$532:$AJ$532&amp;'Gastos com Pessoal'!$I$512:$AJ$512,0),10,1)),0)</f>
        <v>1457.27999999999</v>
      </c>
      <c r="AI51" s="188">
        <f t="array" aca="1" ref="AI51" ca="1">_xlfn.IFNA(SUM((AI$3&gt;='Gastos com Pessoal'!$E$7:$E$506)*(AI$3&lt;='Gastos com Pessoal'!$F$7:$F$506)*OFFSET('Encargos e Benefícios'!$D$5,1,MATCH($B51,'Encargos e Benefícios'!$E$5:$AB$5,0),500,1)),0)+_xlfn.IFNA(SUM((AI$3&gt;='Gastos com Pessoal'!$E$513:$E$522)*(AI$3&lt;='Gastos com Pessoal'!$F$513:$F$522)*OFFSET('Encargos e Benefícios'!$D$511,1,MATCH($B51,'Encargos e Benefícios'!$E$511:$AB$511,0),10,1)),0)+_xlfn.IFNA(SUM((AI$3&gt;='Gastos com Pessoal'!$E$7:$E$506)*(AI$3&lt;='Gastos com Pessoal'!$F$7:$F$506)*(IF('Gastos com Pessoal'!$G$7:$G$506&lt;=AI$3,1,0))*OFFSET('Gastos com Pessoal'!$H$6,1,MATCH(1&amp;$B51,'Gastos com Pessoal'!$I$532:$AJ$532&amp;'Gastos com Pessoal'!$I$6:$AJ$6,0),500,1)),0)+_xlfn.IFNA(SUM((AI$3&gt;='Gastos com Pessoal'!$E$7:$E$506)*(AI$3&lt;='Gastos com Pessoal'!$F$7:$F$506)*(IF('Gastos com Pessoal'!$M$7:$M$506&lt;=AI$3,1,0))*OFFSET('Gastos com Pessoal'!$H$6,1,MATCH(2&amp;$B51,'Gastos com Pessoal'!$I$532:$AJ$532&amp;'Gastos com Pessoal'!$I$6:$AJ$6,0),500,1)),0)+_xlfn.IFNA(SUM((AI$3&gt;='Gastos com Pessoal'!$E$7:$E$506)*(AI$3&lt;='Gastos com Pessoal'!$F$7:$F$506)*(IF('Gastos com Pessoal'!$S$7:$S$506&lt;=AI$3,1,0))*OFFSET('Gastos com Pessoal'!$H$6,1,MATCH(3&amp;$B51,'Gastos com Pessoal'!$I$532:$AJ$532&amp;'Gastos com Pessoal'!$I$6:$AJ$6,0),500,1)),0)+_xlfn.IFNA(SUM((AI$3&gt;='Gastos com Pessoal'!$E$7:$E$506)*(AI$3&lt;='Gastos com Pessoal'!$F$7:$F$506)*(IF('Gastos com Pessoal'!$Y$7:$Y$506&lt;=AI$3,1,0))*OFFSET('Gastos com Pessoal'!$H$6,1,MATCH(4&amp;$B51,'Gastos com Pessoal'!$I$532:$AJ$532&amp;'Gastos com Pessoal'!$I$6:$AJ$6,0),500,1)),0)+_xlfn.IFNA(SUM((AI$3&gt;='Gastos com Pessoal'!$E$7:$E$506)*(AI$3&lt;='Gastos com Pessoal'!$F$7:$F$506)*(IF('Gastos com Pessoal'!$AE$7:$AE$506&lt;=AI$3,1,0))*OFFSET('Gastos com Pessoal'!$H$6,1,MATCH(5&amp;$B51,'Gastos com Pessoal'!$I$532:$AJ$532&amp;'Gastos com Pessoal'!$I$6:$AJ$6,0),500,1)),0)+_xlfn.IFNA(SUM((AI$3&gt;='Gastos com Pessoal'!$E$513:$E$522)*(AI$3&lt;='Gastos com Pessoal'!$F$513:$F$522)*(IF('Gastos com Pessoal'!$G$513:$G$522&lt;=AI$3,1,0))*OFFSET('Gastos com Pessoal'!$H$512,1,MATCH(1&amp;$B51,'Gastos com Pessoal'!$I$532:$AJ$532&amp;'Gastos com Pessoal'!$I$512:$AJ$512,0),10,1)),0)+_xlfn.IFNA(SUM((AI$3&gt;='Gastos com Pessoal'!$E$513:$E$522)*(AI$3&lt;='Gastos com Pessoal'!$F$513:$F$522)*(IF('Gastos com Pessoal'!$M$513:$M$522&lt;=AI$3,1,0))*OFFSET('Gastos com Pessoal'!$H$512,1,MATCH(2&amp;$B51,'Gastos com Pessoal'!$I$532:$AJ$532&amp;'Gastos com Pessoal'!$I$512:$AJ$512,0),10,1)),0)+_xlfn.IFNA(SUM((AI$3&gt;='Gastos com Pessoal'!$E$513:$E$522)*(AI$3&lt;='Gastos com Pessoal'!$F$513:$F$522)*(IF('Gastos com Pessoal'!$S$513:$S$522&lt;=AI$3,1,0))*OFFSET('Gastos com Pessoal'!$H$512,1,MATCH(3&amp;$B51,'Gastos com Pessoal'!$I$532:$AJ$532&amp;'Gastos com Pessoal'!$I$512:$AJ$512,0),10,1)),0)+_xlfn.IFNA(SUM((AI$3&gt;='Gastos com Pessoal'!$E$513:$E$522)*(AI$3&lt;='Gastos com Pessoal'!$F$513:$F$522)*(IF('Gastos com Pessoal'!$Y$513:$Y$522&lt;=AI$3,1,0))*OFFSET('Gastos com Pessoal'!$H$512,1,MATCH(4&amp;$B51,'Gastos com Pessoal'!$I$532:$AJ$532&amp;'Gastos com Pessoal'!$I$512:$AJ$512,0),10,1)),0)+_xlfn.IFNA(SUM((AI$3&gt;='Gastos com Pessoal'!$E$513:$E$522)*(AI$3&lt;='Gastos com Pessoal'!$F$513:$F$522)*(IF('Gastos com Pessoal'!$AE$513:$AE$522&lt;=AI$3,1,0))*OFFSET('Gastos com Pessoal'!$H$512,1,MATCH(5&amp;$B51,'Gastos com Pessoal'!$I$532:$AJ$532&amp;'Gastos com Pessoal'!$I$512:$AJ$512,0),10,1)),0)</f>
        <v>1457.27999999999</v>
      </c>
      <c r="AJ51" s="188">
        <f t="array" aca="1" ref="AJ51" ca="1">_xlfn.IFNA(SUM((AJ$3&gt;='Gastos com Pessoal'!$E$7:$E$506)*(AJ$3&lt;='Gastos com Pessoal'!$F$7:$F$506)*OFFSET('Encargos e Benefícios'!$D$5,1,MATCH($B51,'Encargos e Benefícios'!$E$5:$AB$5,0),500,1)),0)+_xlfn.IFNA(SUM((AJ$3&gt;='Gastos com Pessoal'!$E$513:$E$522)*(AJ$3&lt;='Gastos com Pessoal'!$F$513:$F$522)*OFFSET('Encargos e Benefícios'!$D$511,1,MATCH($B51,'Encargos e Benefícios'!$E$511:$AB$511,0),10,1)),0)+_xlfn.IFNA(SUM((AJ$3&gt;='Gastos com Pessoal'!$E$7:$E$506)*(AJ$3&lt;='Gastos com Pessoal'!$F$7:$F$506)*(IF('Gastos com Pessoal'!$G$7:$G$506&lt;=AJ$3,1,0))*OFFSET('Gastos com Pessoal'!$H$6,1,MATCH(1&amp;$B51,'Gastos com Pessoal'!$I$532:$AJ$532&amp;'Gastos com Pessoal'!$I$6:$AJ$6,0),500,1)),0)+_xlfn.IFNA(SUM((AJ$3&gt;='Gastos com Pessoal'!$E$7:$E$506)*(AJ$3&lt;='Gastos com Pessoal'!$F$7:$F$506)*(IF('Gastos com Pessoal'!$M$7:$M$506&lt;=AJ$3,1,0))*OFFSET('Gastos com Pessoal'!$H$6,1,MATCH(2&amp;$B51,'Gastos com Pessoal'!$I$532:$AJ$532&amp;'Gastos com Pessoal'!$I$6:$AJ$6,0),500,1)),0)+_xlfn.IFNA(SUM((AJ$3&gt;='Gastos com Pessoal'!$E$7:$E$506)*(AJ$3&lt;='Gastos com Pessoal'!$F$7:$F$506)*(IF('Gastos com Pessoal'!$S$7:$S$506&lt;=AJ$3,1,0))*OFFSET('Gastos com Pessoal'!$H$6,1,MATCH(3&amp;$B51,'Gastos com Pessoal'!$I$532:$AJ$532&amp;'Gastos com Pessoal'!$I$6:$AJ$6,0),500,1)),0)+_xlfn.IFNA(SUM((AJ$3&gt;='Gastos com Pessoal'!$E$7:$E$506)*(AJ$3&lt;='Gastos com Pessoal'!$F$7:$F$506)*(IF('Gastos com Pessoal'!$Y$7:$Y$506&lt;=AJ$3,1,0))*OFFSET('Gastos com Pessoal'!$H$6,1,MATCH(4&amp;$B51,'Gastos com Pessoal'!$I$532:$AJ$532&amp;'Gastos com Pessoal'!$I$6:$AJ$6,0),500,1)),0)+_xlfn.IFNA(SUM((AJ$3&gt;='Gastos com Pessoal'!$E$7:$E$506)*(AJ$3&lt;='Gastos com Pessoal'!$F$7:$F$506)*(IF('Gastos com Pessoal'!$AE$7:$AE$506&lt;=AJ$3,1,0))*OFFSET('Gastos com Pessoal'!$H$6,1,MATCH(5&amp;$B51,'Gastos com Pessoal'!$I$532:$AJ$532&amp;'Gastos com Pessoal'!$I$6:$AJ$6,0),500,1)),0)+_xlfn.IFNA(SUM((AJ$3&gt;='Gastos com Pessoal'!$E$513:$E$522)*(AJ$3&lt;='Gastos com Pessoal'!$F$513:$F$522)*(IF('Gastos com Pessoal'!$G$513:$G$522&lt;=AJ$3,1,0))*OFFSET('Gastos com Pessoal'!$H$512,1,MATCH(1&amp;$B51,'Gastos com Pessoal'!$I$532:$AJ$532&amp;'Gastos com Pessoal'!$I$512:$AJ$512,0),10,1)),0)+_xlfn.IFNA(SUM((AJ$3&gt;='Gastos com Pessoal'!$E$513:$E$522)*(AJ$3&lt;='Gastos com Pessoal'!$F$513:$F$522)*(IF('Gastos com Pessoal'!$M$513:$M$522&lt;=AJ$3,1,0))*OFFSET('Gastos com Pessoal'!$H$512,1,MATCH(2&amp;$B51,'Gastos com Pessoal'!$I$532:$AJ$532&amp;'Gastos com Pessoal'!$I$512:$AJ$512,0),10,1)),0)+_xlfn.IFNA(SUM((AJ$3&gt;='Gastos com Pessoal'!$E$513:$E$522)*(AJ$3&lt;='Gastos com Pessoal'!$F$513:$F$522)*(IF('Gastos com Pessoal'!$S$513:$S$522&lt;=AJ$3,1,0))*OFFSET('Gastos com Pessoal'!$H$512,1,MATCH(3&amp;$B51,'Gastos com Pessoal'!$I$532:$AJ$532&amp;'Gastos com Pessoal'!$I$512:$AJ$512,0),10,1)),0)+_xlfn.IFNA(SUM((AJ$3&gt;='Gastos com Pessoal'!$E$513:$E$522)*(AJ$3&lt;='Gastos com Pessoal'!$F$513:$F$522)*(IF('Gastos com Pessoal'!$Y$513:$Y$522&lt;=AJ$3,1,0))*OFFSET('Gastos com Pessoal'!$H$512,1,MATCH(4&amp;$B51,'Gastos com Pessoal'!$I$532:$AJ$532&amp;'Gastos com Pessoal'!$I$512:$AJ$512,0),10,1)),0)+_xlfn.IFNA(SUM((AJ$3&gt;='Gastos com Pessoal'!$E$513:$E$522)*(AJ$3&lt;='Gastos com Pessoal'!$F$513:$F$522)*(IF('Gastos com Pessoal'!$AE$513:$AE$522&lt;=AJ$3,1,0))*OFFSET('Gastos com Pessoal'!$H$512,1,MATCH(5&amp;$B51,'Gastos com Pessoal'!$I$532:$AJ$532&amp;'Gastos com Pessoal'!$I$512:$AJ$512,0),10,1)),0)</f>
        <v>1457.27999999999</v>
      </c>
      <c r="AK51" s="188">
        <f t="array" aca="1" ref="AK51" ca="1">_xlfn.IFNA(SUM((AK$3&gt;='Gastos com Pessoal'!$E$7:$E$506)*(AK$3&lt;='Gastos com Pessoal'!$F$7:$F$506)*OFFSET('Encargos e Benefícios'!$D$5,1,MATCH($B51,'Encargos e Benefícios'!$E$5:$AB$5,0),500,1)),0)+_xlfn.IFNA(SUM((AK$3&gt;='Gastos com Pessoal'!$E$513:$E$522)*(AK$3&lt;='Gastos com Pessoal'!$F$513:$F$522)*OFFSET('Encargos e Benefícios'!$D$511,1,MATCH($B51,'Encargos e Benefícios'!$E$511:$AB$511,0),10,1)),0)+_xlfn.IFNA(SUM((AK$3&gt;='Gastos com Pessoal'!$E$7:$E$506)*(AK$3&lt;='Gastos com Pessoal'!$F$7:$F$506)*(IF('Gastos com Pessoal'!$G$7:$G$506&lt;=AK$3,1,0))*OFFSET('Gastos com Pessoal'!$H$6,1,MATCH(1&amp;$B51,'Gastos com Pessoal'!$I$532:$AJ$532&amp;'Gastos com Pessoal'!$I$6:$AJ$6,0),500,1)),0)+_xlfn.IFNA(SUM((AK$3&gt;='Gastos com Pessoal'!$E$7:$E$506)*(AK$3&lt;='Gastos com Pessoal'!$F$7:$F$506)*(IF('Gastos com Pessoal'!$M$7:$M$506&lt;=AK$3,1,0))*OFFSET('Gastos com Pessoal'!$H$6,1,MATCH(2&amp;$B51,'Gastos com Pessoal'!$I$532:$AJ$532&amp;'Gastos com Pessoal'!$I$6:$AJ$6,0),500,1)),0)+_xlfn.IFNA(SUM((AK$3&gt;='Gastos com Pessoal'!$E$7:$E$506)*(AK$3&lt;='Gastos com Pessoal'!$F$7:$F$506)*(IF('Gastos com Pessoal'!$S$7:$S$506&lt;=AK$3,1,0))*OFFSET('Gastos com Pessoal'!$H$6,1,MATCH(3&amp;$B51,'Gastos com Pessoal'!$I$532:$AJ$532&amp;'Gastos com Pessoal'!$I$6:$AJ$6,0),500,1)),0)+_xlfn.IFNA(SUM((AK$3&gt;='Gastos com Pessoal'!$E$7:$E$506)*(AK$3&lt;='Gastos com Pessoal'!$F$7:$F$506)*(IF('Gastos com Pessoal'!$Y$7:$Y$506&lt;=AK$3,1,0))*OFFSET('Gastos com Pessoal'!$H$6,1,MATCH(4&amp;$B51,'Gastos com Pessoal'!$I$532:$AJ$532&amp;'Gastos com Pessoal'!$I$6:$AJ$6,0),500,1)),0)+_xlfn.IFNA(SUM((AK$3&gt;='Gastos com Pessoal'!$E$7:$E$506)*(AK$3&lt;='Gastos com Pessoal'!$F$7:$F$506)*(IF('Gastos com Pessoal'!$AE$7:$AE$506&lt;=AK$3,1,0))*OFFSET('Gastos com Pessoal'!$H$6,1,MATCH(5&amp;$B51,'Gastos com Pessoal'!$I$532:$AJ$532&amp;'Gastos com Pessoal'!$I$6:$AJ$6,0),500,1)),0)+_xlfn.IFNA(SUM((AK$3&gt;='Gastos com Pessoal'!$E$513:$E$522)*(AK$3&lt;='Gastos com Pessoal'!$F$513:$F$522)*(IF('Gastos com Pessoal'!$G$513:$G$522&lt;=AK$3,1,0))*OFFSET('Gastos com Pessoal'!$H$512,1,MATCH(1&amp;$B51,'Gastos com Pessoal'!$I$532:$AJ$532&amp;'Gastos com Pessoal'!$I$512:$AJ$512,0),10,1)),0)+_xlfn.IFNA(SUM((AK$3&gt;='Gastos com Pessoal'!$E$513:$E$522)*(AK$3&lt;='Gastos com Pessoal'!$F$513:$F$522)*(IF('Gastos com Pessoal'!$M$513:$M$522&lt;=AK$3,1,0))*OFFSET('Gastos com Pessoal'!$H$512,1,MATCH(2&amp;$B51,'Gastos com Pessoal'!$I$532:$AJ$532&amp;'Gastos com Pessoal'!$I$512:$AJ$512,0),10,1)),0)+_xlfn.IFNA(SUM((AK$3&gt;='Gastos com Pessoal'!$E$513:$E$522)*(AK$3&lt;='Gastos com Pessoal'!$F$513:$F$522)*(IF('Gastos com Pessoal'!$S$513:$S$522&lt;=AK$3,1,0))*OFFSET('Gastos com Pessoal'!$H$512,1,MATCH(3&amp;$B51,'Gastos com Pessoal'!$I$532:$AJ$532&amp;'Gastos com Pessoal'!$I$512:$AJ$512,0),10,1)),0)+_xlfn.IFNA(SUM((AK$3&gt;='Gastos com Pessoal'!$E$513:$E$522)*(AK$3&lt;='Gastos com Pessoal'!$F$513:$F$522)*(IF('Gastos com Pessoal'!$Y$513:$Y$522&lt;=AK$3,1,0))*OFFSET('Gastos com Pessoal'!$H$512,1,MATCH(4&amp;$B51,'Gastos com Pessoal'!$I$532:$AJ$532&amp;'Gastos com Pessoal'!$I$512:$AJ$512,0),10,1)),0)+_xlfn.IFNA(SUM((AK$3&gt;='Gastos com Pessoal'!$E$513:$E$522)*(AK$3&lt;='Gastos com Pessoal'!$F$513:$F$522)*(IF('Gastos com Pessoal'!$AE$513:$AE$522&lt;=AK$3,1,0))*OFFSET('Gastos com Pessoal'!$H$512,1,MATCH(5&amp;$B51,'Gastos com Pessoal'!$I$532:$AJ$532&amp;'Gastos com Pessoal'!$I$512:$AJ$512,0),10,1)),0)</f>
        <v>1457.27999999999</v>
      </c>
      <c r="AL51" s="188">
        <f t="array" aca="1" ref="AL51" ca="1">_xlfn.IFNA(SUM((AL$3&gt;='Gastos com Pessoal'!$E$7:$E$506)*(AL$3&lt;='Gastos com Pessoal'!$F$7:$F$506)*OFFSET('Encargos e Benefícios'!$D$5,1,MATCH($B51,'Encargos e Benefícios'!$E$5:$AB$5,0),500,1)),0)+_xlfn.IFNA(SUM((AL$3&gt;='Gastos com Pessoal'!$E$513:$E$522)*(AL$3&lt;='Gastos com Pessoal'!$F$513:$F$522)*OFFSET('Encargos e Benefícios'!$D$511,1,MATCH($B51,'Encargos e Benefícios'!$E$511:$AB$511,0),10,1)),0)+_xlfn.IFNA(SUM((AL$3&gt;='Gastos com Pessoal'!$E$7:$E$506)*(AL$3&lt;='Gastos com Pessoal'!$F$7:$F$506)*(IF('Gastos com Pessoal'!$G$7:$G$506&lt;=AL$3,1,0))*OFFSET('Gastos com Pessoal'!$H$6,1,MATCH(1&amp;$B51,'Gastos com Pessoal'!$I$532:$AJ$532&amp;'Gastos com Pessoal'!$I$6:$AJ$6,0),500,1)),0)+_xlfn.IFNA(SUM((AL$3&gt;='Gastos com Pessoal'!$E$7:$E$506)*(AL$3&lt;='Gastos com Pessoal'!$F$7:$F$506)*(IF('Gastos com Pessoal'!$M$7:$M$506&lt;=AL$3,1,0))*OFFSET('Gastos com Pessoal'!$H$6,1,MATCH(2&amp;$B51,'Gastos com Pessoal'!$I$532:$AJ$532&amp;'Gastos com Pessoal'!$I$6:$AJ$6,0),500,1)),0)+_xlfn.IFNA(SUM((AL$3&gt;='Gastos com Pessoal'!$E$7:$E$506)*(AL$3&lt;='Gastos com Pessoal'!$F$7:$F$506)*(IF('Gastos com Pessoal'!$S$7:$S$506&lt;=AL$3,1,0))*OFFSET('Gastos com Pessoal'!$H$6,1,MATCH(3&amp;$B51,'Gastos com Pessoal'!$I$532:$AJ$532&amp;'Gastos com Pessoal'!$I$6:$AJ$6,0),500,1)),0)+_xlfn.IFNA(SUM((AL$3&gt;='Gastos com Pessoal'!$E$7:$E$506)*(AL$3&lt;='Gastos com Pessoal'!$F$7:$F$506)*(IF('Gastos com Pessoal'!$Y$7:$Y$506&lt;=AL$3,1,0))*OFFSET('Gastos com Pessoal'!$H$6,1,MATCH(4&amp;$B51,'Gastos com Pessoal'!$I$532:$AJ$532&amp;'Gastos com Pessoal'!$I$6:$AJ$6,0),500,1)),0)+_xlfn.IFNA(SUM((AL$3&gt;='Gastos com Pessoal'!$E$7:$E$506)*(AL$3&lt;='Gastos com Pessoal'!$F$7:$F$506)*(IF('Gastos com Pessoal'!$AE$7:$AE$506&lt;=AL$3,1,0))*OFFSET('Gastos com Pessoal'!$H$6,1,MATCH(5&amp;$B51,'Gastos com Pessoal'!$I$532:$AJ$532&amp;'Gastos com Pessoal'!$I$6:$AJ$6,0),500,1)),0)+_xlfn.IFNA(SUM((AL$3&gt;='Gastos com Pessoal'!$E$513:$E$522)*(AL$3&lt;='Gastos com Pessoal'!$F$513:$F$522)*(IF('Gastos com Pessoal'!$G$513:$G$522&lt;=AL$3,1,0))*OFFSET('Gastos com Pessoal'!$H$512,1,MATCH(1&amp;$B51,'Gastos com Pessoal'!$I$532:$AJ$532&amp;'Gastos com Pessoal'!$I$512:$AJ$512,0),10,1)),0)+_xlfn.IFNA(SUM((AL$3&gt;='Gastos com Pessoal'!$E$513:$E$522)*(AL$3&lt;='Gastos com Pessoal'!$F$513:$F$522)*(IF('Gastos com Pessoal'!$M$513:$M$522&lt;=AL$3,1,0))*OFFSET('Gastos com Pessoal'!$H$512,1,MATCH(2&amp;$B51,'Gastos com Pessoal'!$I$532:$AJ$532&amp;'Gastos com Pessoal'!$I$512:$AJ$512,0),10,1)),0)+_xlfn.IFNA(SUM((AL$3&gt;='Gastos com Pessoal'!$E$513:$E$522)*(AL$3&lt;='Gastos com Pessoal'!$F$513:$F$522)*(IF('Gastos com Pessoal'!$S$513:$S$522&lt;=AL$3,1,0))*OFFSET('Gastos com Pessoal'!$H$512,1,MATCH(3&amp;$B51,'Gastos com Pessoal'!$I$532:$AJ$532&amp;'Gastos com Pessoal'!$I$512:$AJ$512,0),10,1)),0)+_xlfn.IFNA(SUM((AL$3&gt;='Gastos com Pessoal'!$E$513:$E$522)*(AL$3&lt;='Gastos com Pessoal'!$F$513:$F$522)*(IF('Gastos com Pessoal'!$Y$513:$Y$522&lt;=AL$3,1,0))*OFFSET('Gastos com Pessoal'!$H$512,1,MATCH(4&amp;$B51,'Gastos com Pessoal'!$I$532:$AJ$532&amp;'Gastos com Pessoal'!$I$512:$AJ$512,0),10,1)),0)+_xlfn.IFNA(SUM((AL$3&gt;='Gastos com Pessoal'!$E$513:$E$522)*(AL$3&lt;='Gastos com Pessoal'!$F$513:$F$522)*(IF('Gastos com Pessoal'!$AE$513:$AE$522&lt;=AL$3,1,0))*OFFSET('Gastos com Pessoal'!$H$512,1,MATCH(5&amp;$B51,'Gastos com Pessoal'!$I$532:$AJ$532&amp;'Gastos com Pessoal'!$I$512:$AJ$512,0),10,1)),0)</f>
        <v>1457.27999999999</v>
      </c>
      <c r="AM51" s="188">
        <f t="array" aca="1" ref="AM51" ca="1">_xlfn.IFNA(SUM((AM$3&gt;='Gastos com Pessoal'!$E$7:$E$506)*(AM$3&lt;='Gastos com Pessoal'!$F$7:$F$506)*OFFSET('Encargos e Benefícios'!$D$5,1,MATCH($B51,'Encargos e Benefícios'!$E$5:$AB$5,0),500,1)),0)+_xlfn.IFNA(SUM((AM$3&gt;='Gastos com Pessoal'!$E$513:$E$522)*(AM$3&lt;='Gastos com Pessoal'!$F$513:$F$522)*OFFSET('Encargos e Benefícios'!$D$511,1,MATCH($B51,'Encargos e Benefícios'!$E$511:$AB$511,0),10,1)),0)+_xlfn.IFNA(SUM((AM$3&gt;='Gastos com Pessoal'!$E$7:$E$506)*(AM$3&lt;='Gastos com Pessoal'!$F$7:$F$506)*(IF('Gastos com Pessoal'!$G$7:$G$506&lt;=AM$3,1,0))*OFFSET('Gastos com Pessoal'!$H$6,1,MATCH(1&amp;$B51,'Gastos com Pessoal'!$I$532:$AJ$532&amp;'Gastos com Pessoal'!$I$6:$AJ$6,0),500,1)),0)+_xlfn.IFNA(SUM((AM$3&gt;='Gastos com Pessoal'!$E$7:$E$506)*(AM$3&lt;='Gastos com Pessoal'!$F$7:$F$506)*(IF('Gastos com Pessoal'!$M$7:$M$506&lt;=AM$3,1,0))*OFFSET('Gastos com Pessoal'!$H$6,1,MATCH(2&amp;$B51,'Gastos com Pessoal'!$I$532:$AJ$532&amp;'Gastos com Pessoal'!$I$6:$AJ$6,0),500,1)),0)+_xlfn.IFNA(SUM((AM$3&gt;='Gastos com Pessoal'!$E$7:$E$506)*(AM$3&lt;='Gastos com Pessoal'!$F$7:$F$506)*(IF('Gastos com Pessoal'!$S$7:$S$506&lt;=AM$3,1,0))*OFFSET('Gastos com Pessoal'!$H$6,1,MATCH(3&amp;$B51,'Gastos com Pessoal'!$I$532:$AJ$532&amp;'Gastos com Pessoal'!$I$6:$AJ$6,0),500,1)),0)+_xlfn.IFNA(SUM((AM$3&gt;='Gastos com Pessoal'!$E$7:$E$506)*(AM$3&lt;='Gastos com Pessoal'!$F$7:$F$506)*(IF('Gastos com Pessoal'!$Y$7:$Y$506&lt;=AM$3,1,0))*OFFSET('Gastos com Pessoal'!$H$6,1,MATCH(4&amp;$B51,'Gastos com Pessoal'!$I$532:$AJ$532&amp;'Gastos com Pessoal'!$I$6:$AJ$6,0),500,1)),0)+_xlfn.IFNA(SUM((AM$3&gt;='Gastos com Pessoal'!$E$7:$E$506)*(AM$3&lt;='Gastos com Pessoal'!$F$7:$F$506)*(IF('Gastos com Pessoal'!$AE$7:$AE$506&lt;=AM$3,1,0))*OFFSET('Gastos com Pessoal'!$H$6,1,MATCH(5&amp;$B51,'Gastos com Pessoal'!$I$532:$AJ$532&amp;'Gastos com Pessoal'!$I$6:$AJ$6,0),500,1)),0)+_xlfn.IFNA(SUM((AM$3&gt;='Gastos com Pessoal'!$E$513:$E$522)*(AM$3&lt;='Gastos com Pessoal'!$F$513:$F$522)*(IF('Gastos com Pessoal'!$G$513:$G$522&lt;=AM$3,1,0))*OFFSET('Gastos com Pessoal'!$H$512,1,MATCH(1&amp;$B51,'Gastos com Pessoal'!$I$532:$AJ$532&amp;'Gastos com Pessoal'!$I$512:$AJ$512,0),10,1)),0)+_xlfn.IFNA(SUM((AM$3&gt;='Gastos com Pessoal'!$E$513:$E$522)*(AM$3&lt;='Gastos com Pessoal'!$F$513:$F$522)*(IF('Gastos com Pessoal'!$M$513:$M$522&lt;=AM$3,1,0))*OFFSET('Gastos com Pessoal'!$H$512,1,MATCH(2&amp;$B51,'Gastos com Pessoal'!$I$532:$AJ$532&amp;'Gastos com Pessoal'!$I$512:$AJ$512,0),10,1)),0)+_xlfn.IFNA(SUM((AM$3&gt;='Gastos com Pessoal'!$E$513:$E$522)*(AM$3&lt;='Gastos com Pessoal'!$F$513:$F$522)*(IF('Gastos com Pessoal'!$S$513:$S$522&lt;=AM$3,1,0))*OFFSET('Gastos com Pessoal'!$H$512,1,MATCH(3&amp;$B51,'Gastos com Pessoal'!$I$532:$AJ$532&amp;'Gastos com Pessoal'!$I$512:$AJ$512,0),10,1)),0)+_xlfn.IFNA(SUM((AM$3&gt;='Gastos com Pessoal'!$E$513:$E$522)*(AM$3&lt;='Gastos com Pessoal'!$F$513:$F$522)*(IF('Gastos com Pessoal'!$Y$513:$Y$522&lt;=AM$3,1,0))*OFFSET('Gastos com Pessoal'!$H$512,1,MATCH(4&amp;$B51,'Gastos com Pessoal'!$I$532:$AJ$532&amp;'Gastos com Pessoal'!$I$512:$AJ$512,0),10,1)),0)+_xlfn.IFNA(SUM((AM$3&gt;='Gastos com Pessoal'!$E$513:$E$522)*(AM$3&lt;='Gastos com Pessoal'!$F$513:$F$522)*(IF('Gastos com Pessoal'!$AE$513:$AE$522&lt;=AM$3,1,0))*OFFSET('Gastos com Pessoal'!$H$512,1,MATCH(5&amp;$B51,'Gastos com Pessoal'!$I$532:$AJ$532&amp;'Gastos com Pessoal'!$I$512:$AJ$512,0),10,1)),0)</f>
        <v>1457.27999999999</v>
      </c>
      <c r="AN51" s="188">
        <f t="array" aca="1" ref="AN51" ca="1">_xlfn.IFNA(SUM((AN$3&gt;='Gastos com Pessoal'!$E$7:$E$506)*(AN$3&lt;='Gastos com Pessoal'!$F$7:$F$506)*OFFSET('Encargos e Benefícios'!$D$5,1,MATCH($B51,'Encargos e Benefícios'!$E$5:$AB$5,0),500,1)),0)+_xlfn.IFNA(SUM((AN$3&gt;='Gastos com Pessoal'!$E$513:$E$522)*(AN$3&lt;='Gastos com Pessoal'!$F$513:$F$522)*OFFSET('Encargos e Benefícios'!$D$511,1,MATCH($B51,'Encargos e Benefícios'!$E$511:$AB$511,0),10,1)),0)+_xlfn.IFNA(SUM((AN$3&gt;='Gastos com Pessoal'!$E$7:$E$506)*(AN$3&lt;='Gastos com Pessoal'!$F$7:$F$506)*(IF('Gastos com Pessoal'!$G$7:$G$506&lt;=AN$3,1,0))*OFFSET('Gastos com Pessoal'!$H$6,1,MATCH(1&amp;$B51,'Gastos com Pessoal'!$I$532:$AJ$532&amp;'Gastos com Pessoal'!$I$6:$AJ$6,0),500,1)),0)+_xlfn.IFNA(SUM((AN$3&gt;='Gastos com Pessoal'!$E$7:$E$506)*(AN$3&lt;='Gastos com Pessoal'!$F$7:$F$506)*(IF('Gastos com Pessoal'!$M$7:$M$506&lt;=AN$3,1,0))*OFFSET('Gastos com Pessoal'!$H$6,1,MATCH(2&amp;$B51,'Gastos com Pessoal'!$I$532:$AJ$532&amp;'Gastos com Pessoal'!$I$6:$AJ$6,0),500,1)),0)+_xlfn.IFNA(SUM((AN$3&gt;='Gastos com Pessoal'!$E$7:$E$506)*(AN$3&lt;='Gastos com Pessoal'!$F$7:$F$506)*(IF('Gastos com Pessoal'!$S$7:$S$506&lt;=AN$3,1,0))*OFFSET('Gastos com Pessoal'!$H$6,1,MATCH(3&amp;$B51,'Gastos com Pessoal'!$I$532:$AJ$532&amp;'Gastos com Pessoal'!$I$6:$AJ$6,0),500,1)),0)+_xlfn.IFNA(SUM((AN$3&gt;='Gastos com Pessoal'!$E$7:$E$506)*(AN$3&lt;='Gastos com Pessoal'!$F$7:$F$506)*(IF('Gastos com Pessoal'!$Y$7:$Y$506&lt;=AN$3,1,0))*OFFSET('Gastos com Pessoal'!$H$6,1,MATCH(4&amp;$B51,'Gastos com Pessoal'!$I$532:$AJ$532&amp;'Gastos com Pessoal'!$I$6:$AJ$6,0),500,1)),0)+_xlfn.IFNA(SUM((AN$3&gt;='Gastos com Pessoal'!$E$7:$E$506)*(AN$3&lt;='Gastos com Pessoal'!$F$7:$F$506)*(IF('Gastos com Pessoal'!$AE$7:$AE$506&lt;=AN$3,1,0))*OFFSET('Gastos com Pessoal'!$H$6,1,MATCH(5&amp;$B51,'Gastos com Pessoal'!$I$532:$AJ$532&amp;'Gastos com Pessoal'!$I$6:$AJ$6,0),500,1)),0)+_xlfn.IFNA(SUM((AN$3&gt;='Gastos com Pessoal'!$E$513:$E$522)*(AN$3&lt;='Gastos com Pessoal'!$F$513:$F$522)*(IF('Gastos com Pessoal'!$G$513:$G$522&lt;=AN$3,1,0))*OFFSET('Gastos com Pessoal'!$H$512,1,MATCH(1&amp;$B51,'Gastos com Pessoal'!$I$532:$AJ$532&amp;'Gastos com Pessoal'!$I$512:$AJ$512,0),10,1)),0)+_xlfn.IFNA(SUM((AN$3&gt;='Gastos com Pessoal'!$E$513:$E$522)*(AN$3&lt;='Gastos com Pessoal'!$F$513:$F$522)*(IF('Gastos com Pessoal'!$M$513:$M$522&lt;=AN$3,1,0))*OFFSET('Gastos com Pessoal'!$H$512,1,MATCH(2&amp;$B51,'Gastos com Pessoal'!$I$532:$AJ$532&amp;'Gastos com Pessoal'!$I$512:$AJ$512,0),10,1)),0)+_xlfn.IFNA(SUM((AN$3&gt;='Gastos com Pessoal'!$E$513:$E$522)*(AN$3&lt;='Gastos com Pessoal'!$F$513:$F$522)*(IF('Gastos com Pessoal'!$S$513:$S$522&lt;=AN$3,1,0))*OFFSET('Gastos com Pessoal'!$H$512,1,MATCH(3&amp;$B51,'Gastos com Pessoal'!$I$532:$AJ$532&amp;'Gastos com Pessoal'!$I$512:$AJ$512,0),10,1)),0)+_xlfn.IFNA(SUM((AN$3&gt;='Gastos com Pessoal'!$E$513:$E$522)*(AN$3&lt;='Gastos com Pessoal'!$F$513:$F$522)*(IF('Gastos com Pessoal'!$Y$513:$Y$522&lt;=AN$3,1,0))*OFFSET('Gastos com Pessoal'!$H$512,1,MATCH(4&amp;$B51,'Gastos com Pessoal'!$I$532:$AJ$532&amp;'Gastos com Pessoal'!$I$512:$AJ$512,0),10,1)),0)+_xlfn.IFNA(SUM((AN$3&gt;='Gastos com Pessoal'!$E$513:$E$522)*(AN$3&lt;='Gastos com Pessoal'!$F$513:$F$522)*(IF('Gastos com Pessoal'!$AE$513:$AE$522&lt;=AN$3,1,0))*OFFSET('Gastos com Pessoal'!$H$512,1,MATCH(5&amp;$B51,'Gastos com Pessoal'!$I$532:$AJ$532&amp;'Gastos com Pessoal'!$I$512:$AJ$512,0),10,1)),0)</f>
        <v>1457.27999999999</v>
      </c>
      <c r="AO51" s="188">
        <f t="array" aca="1" ref="AO51" ca="1">_xlfn.IFNA(SUM((AO$3&gt;='Gastos com Pessoal'!$E$7:$E$506)*(AO$3&lt;='Gastos com Pessoal'!$F$7:$F$506)*OFFSET('Encargos e Benefícios'!$D$5,1,MATCH($B51,'Encargos e Benefícios'!$E$5:$AB$5,0),500,1)),0)+_xlfn.IFNA(SUM((AO$3&gt;='Gastos com Pessoal'!$E$513:$E$522)*(AO$3&lt;='Gastos com Pessoal'!$F$513:$F$522)*OFFSET('Encargos e Benefícios'!$D$511,1,MATCH($B51,'Encargos e Benefícios'!$E$511:$AB$511,0),10,1)),0)+_xlfn.IFNA(SUM((AO$3&gt;='Gastos com Pessoal'!$E$7:$E$506)*(AO$3&lt;='Gastos com Pessoal'!$F$7:$F$506)*(IF('Gastos com Pessoal'!$G$7:$G$506&lt;=AO$3,1,0))*OFFSET('Gastos com Pessoal'!$H$6,1,MATCH(1&amp;$B51,'Gastos com Pessoal'!$I$532:$AJ$532&amp;'Gastos com Pessoal'!$I$6:$AJ$6,0),500,1)),0)+_xlfn.IFNA(SUM((AO$3&gt;='Gastos com Pessoal'!$E$7:$E$506)*(AO$3&lt;='Gastos com Pessoal'!$F$7:$F$506)*(IF('Gastos com Pessoal'!$M$7:$M$506&lt;=AO$3,1,0))*OFFSET('Gastos com Pessoal'!$H$6,1,MATCH(2&amp;$B51,'Gastos com Pessoal'!$I$532:$AJ$532&amp;'Gastos com Pessoal'!$I$6:$AJ$6,0),500,1)),0)+_xlfn.IFNA(SUM((AO$3&gt;='Gastos com Pessoal'!$E$7:$E$506)*(AO$3&lt;='Gastos com Pessoal'!$F$7:$F$506)*(IF('Gastos com Pessoal'!$S$7:$S$506&lt;=AO$3,1,0))*OFFSET('Gastos com Pessoal'!$H$6,1,MATCH(3&amp;$B51,'Gastos com Pessoal'!$I$532:$AJ$532&amp;'Gastos com Pessoal'!$I$6:$AJ$6,0),500,1)),0)+_xlfn.IFNA(SUM((AO$3&gt;='Gastos com Pessoal'!$E$7:$E$506)*(AO$3&lt;='Gastos com Pessoal'!$F$7:$F$506)*(IF('Gastos com Pessoal'!$Y$7:$Y$506&lt;=AO$3,1,0))*OFFSET('Gastos com Pessoal'!$H$6,1,MATCH(4&amp;$B51,'Gastos com Pessoal'!$I$532:$AJ$532&amp;'Gastos com Pessoal'!$I$6:$AJ$6,0),500,1)),0)+_xlfn.IFNA(SUM((AO$3&gt;='Gastos com Pessoal'!$E$7:$E$506)*(AO$3&lt;='Gastos com Pessoal'!$F$7:$F$506)*(IF('Gastos com Pessoal'!$AE$7:$AE$506&lt;=AO$3,1,0))*OFFSET('Gastos com Pessoal'!$H$6,1,MATCH(5&amp;$B51,'Gastos com Pessoal'!$I$532:$AJ$532&amp;'Gastos com Pessoal'!$I$6:$AJ$6,0),500,1)),0)+_xlfn.IFNA(SUM((AO$3&gt;='Gastos com Pessoal'!$E$513:$E$522)*(AO$3&lt;='Gastos com Pessoal'!$F$513:$F$522)*(IF('Gastos com Pessoal'!$G$513:$G$522&lt;=AO$3,1,0))*OFFSET('Gastos com Pessoal'!$H$512,1,MATCH(1&amp;$B51,'Gastos com Pessoal'!$I$532:$AJ$532&amp;'Gastos com Pessoal'!$I$512:$AJ$512,0),10,1)),0)+_xlfn.IFNA(SUM((AO$3&gt;='Gastos com Pessoal'!$E$513:$E$522)*(AO$3&lt;='Gastos com Pessoal'!$F$513:$F$522)*(IF('Gastos com Pessoal'!$M$513:$M$522&lt;=AO$3,1,0))*OFFSET('Gastos com Pessoal'!$H$512,1,MATCH(2&amp;$B51,'Gastos com Pessoal'!$I$532:$AJ$532&amp;'Gastos com Pessoal'!$I$512:$AJ$512,0),10,1)),0)+_xlfn.IFNA(SUM((AO$3&gt;='Gastos com Pessoal'!$E$513:$E$522)*(AO$3&lt;='Gastos com Pessoal'!$F$513:$F$522)*(IF('Gastos com Pessoal'!$S$513:$S$522&lt;=AO$3,1,0))*OFFSET('Gastos com Pessoal'!$H$512,1,MATCH(3&amp;$B51,'Gastos com Pessoal'!$I$532:$AJ$532&amp;'Gastos com Pessoal'!$I$512:$AJ$512,0),10,1)),0)+_xlfn.IFNA(SUM((AO$3&gt;='Gastos com Pessoal'!$E$513:$E$522)*(AO$3&lt;='Gastos com Pessoal'!$F$513:$F$522)*(IF('Gastos com Pessoal'!$Y$513:$Y$522&lt;=AO$3,1,0))*OFFSET('Gastos com Pessoal'!$H$512,1,MATCH(4&amp;$B51,'Gastos com Pessoal'!$I$532:$AJ$532&amp;'Gastos com Pessoal'!$I$512:$AJ$512,0),10,1)),0)+_xlfn.IFNA(SUM((AO$3&gt;='Gastos com Pessoal'!$E$513:$E$522)*(AO$3&lt;='Gastos com Pessoal'!$F$513:$F$522)*(IF('Gastos com Pessoal'!$AE$513:$AE$522&lt;=AO$3,1,0))*OFFSET('Gastos com Pessoal'!$H$512,1,MATCH(5&amp;$B51,'Gastos com Pessoal'!$I$532:$AJ$532&amp;'Gastos com Pessoal'!$I$512:$AJ$512,0),10,1)),0)</f>
        <v>1457.27999999999</v>
      </c>
      <c r="AP51" s="188">
        <f t="array" aca="1" ref="AP51" ca="1">_xlfn.IFNA(SUM((AP$3&gt;='Gastos com Pessoal'!$E$7:$E$506)*(AP$3&lt;='Gastos com Pessoal'!$F$7:$F$506)*OFFSET('Encargos e Benefícios'!$D$5,1,MATCH($B51,'Encargos e Benefícios'!$E$5:$AB$5,0),500,1)),0)+_xlfn.IFNA(SUM((AP$3&gt;='Gastos com Pessoal'!$E$513:$E$522)*(AP$3&lt;='Gastos com Pessoal'!$F$513:$F$522)*OFFSET('Encargos e Benefícios'!$D$511,1,MATCH($B51,'Encargos e Benefícios'!$E$511:$AB$511,0),10,1)),0)+_xlfn.IFNA(SUM((AP$3&gt;='Gastos com Pessoal'!$E$7:$E$506)*(AP$3&lt;='Gastos com Pessoal'!$F$7:$F$506)*(IF('Gastos com Pessoal'!$G$7:$G$506&lt;=AP$3,1,0))*OFFSET('Gastos com Pessoal'!$H$6,1,MATCH(1&amp;$B51,'Gastos com Pessoal'!$I$532:$AJ$532&amp;'Gastos com Pessoal'!$I$6:$AJ$6,0),500,1)),0)+_xlfn.IFNA(SUM((AP$3&gt;='Gastos com Pessoal'!$E$7:$E$506)*(AP$3&lt;='Gastos com Pessoal'!$F$7:$F$506)*(IF('Gastos com Pessoal'!$M$7:$M$506&lt;=AP$3,1,0))*OFFSET('Gastos com Pessoal'!$H$6,1,MATCH(2&amp;$B51,'Gastos com Pessoal'!$I$532:$AJ$532&amp;'Gastos com Pessoal'!$I$6:$AJ$6,0),500,1)),0)+_xlfn.IFNA(SUM((AP$3&gt;='Gastos com Pessoal'!$E$7:$E$506)*(AP$3&lt;='Gastos com Pessoal'!$F$7:$F$506)*(IF('Gastos com Pessoal'!$S$7:$S$506&lt;=AP$3,1,0))*OFFSET('Gastos com Pessoal'!$H$6,1,MATCH(3&amp;$B51,'Gastos com Pessoal'!$I$532:$AJ$532&amp;'Gastos com Pessoal'!$I$6:$AJ$6,0),500,1)),0)+_xlfn.IFNA(SUM((AP$3&gt;='Gastos com Pessoal'!$E$7:$E$506)*(AP$3&lt;='Gastos com Pessoal'!$F$7:$F$506)*(IF('Gastos com Pessoal'!$Y$7:$Y$506&lt;=AP$3,1,0))*OFFSET('Gastos com Pessoal'!$H$6,1,MATCH(4&amp;$B51,'Gastos com Pessoal'!$I$532:$AJ$532&amp;'Gastos com Pessoal'!$I$6:$AJ$6,0),500,1)),0)+_xlfn.IFNA(SUM((AP$3&gt;='Gastos com Pessoal'!$E$7:$E$506)*(AP$3&lt;='Gastos com Pessoal'!$F$7:$F$506)*(IF('Gastos com Pessoal'!$AE$7:$AE$506&lt;=AP$3,1,0))*OFFSET('Gastos com Pessoal'!$H$6,1,MATCH(5&amp;$B51,'Gastos com Pessoal'!$I$532:$AJ$532&amp;'Gastos com Pessoal'!$I$6:$AJ$6,0),500,1)),0)+_xlfn.IFNA(SUM((AP$3&gt;='Gastos com Pessoal'!$E$513:$E$522)*(AP$3&lt;='Gastos com Pessoal'!$F$513:$F$522)*(IF('Gastos com Pessoal'!$G$513:$G$522&lt;=AP$3,1,0))*OFFSET('Gastos com Pessoal'!$H$512,1,MATCH(1&amp;$B51,'Gastos com Pessoal'!$I$532:$AJ$532&amp;'Gastos com Pessoal'!$I$512:$AJ$512,0),10,1)),0)+_xlfn.IFNA(SUM((AP$3&gt;='Gastos com Pessoal'!$E$513:$E$522)*(AP$3&lt;='Gastos com Pessoal'!$F$513:$F$522)*(IF('Gastos com Pessoal'!$M$513:$M$522&lt;=AP$3,1,0))*OFFSET('Gastos com Pessoal'!$H$512,1,MATCH(2&amp;$B51,'Gastos com Pessoal'!$I$532:$AJ$532&amp;'Gastos com Pessoal'!$I$512:$AJ$512,0),10,1)),0)+_xlfn.IFNA(SUM((AP$3&gt;='Gastos com Pessoal'!$E$513:$E$522)*(AP$3&lt;='Gastos com Pessoal'!$F$513:$F$522)*(IF('Gastos com Pessoal'!$S$513:$S$522&lt;=AP$3,1,0))*OFFSET('Gastos com Pessoal'!$H$512,1,MATCH(3&amp;$B51,'Gastos com Pessoal'!$I$532:$AJ$532&amp;'Gastos com Pessoal'!$I$512:$AJ$512,0),10,1)),0)+_xlfn.IFNA(SUM((AP$3&gt;='Gastos com Pessoal'!$E$513:$E$522)*(AP$3&lt;='Gastos com Pessoal'!$F$513:$F$522)*(IF('Gastos com Pessoal'!$Y$513:$Y$522&lt;=AP$3,1,0))*OFFSET('Gastos com Pessoal'!$H$512,1,MATCH(4&amp;$B51,'Gastos com Pessoal'!$I$532:$AJ$532&amp;'Gastos com Pessoal'!$I$512:$AJ$512,0),10,1)),0)+_xlfn.IFNA(SUM((AP$3&gt;='Gastos com Pessoal'!$E$513:$E$522)*(AP$3&lt;='Gastos com Pessoal'!$F$513:$F$522)*(IF('Gastos com Pessoal'!$AE$513:$AE$522&lt;=AP$3,1,0))*OFFSET('Gastos com Pessoal'!$H$512,1,MATCH(5&amp;$B51,'Gastos com Pessoal'!$I$532:$AJ$532&amp;'Gastos com Pessoal'!$I$512:$AJ$512,0),10,1)),0)</f>
        <v>1457.27999999999</v>
      </c>
      <c r="AQ51" s="188">
        <f t="array" aca="1" ref="AQ51" ca="1">_xlfn.IFNA(SUM((AQ$3&gt;='Gastos com Pessoal'!$E$7:$E$506)*(AQ$3&lt;='Gastos com Pessoal'!$F$7:$F$506)*OFFSET('Encargos e Benefícios'!$D$5,1,MATCH($B51,'Encargos e Benefícios'!$E$5:$AB$5,0),500,1)),0)+_xlfn.IFNA(SUM((AQ$3&gt;='Gastos com Pessoal'!$E$513:$E$522)*(AQ$3&lt;='Gastos com Pessoal'!$F$513:$F$522)*OFFSET('Encargos e Benefícios'!$D$511,1,MATCH($B51,'Encargos e Benefícios'!$E$511:$AB$511,0),10,1)),0)+_xlfn.IFNA(SUM((AQ$3&gt;='Gastos com Pessoal'!$E$7:$E$506)*(AQ$3&lt;='Gastos com Pessoal'!$F$7:$F$506)*(IF('Gastos com Pessoal'!$G$7:$G$506&lt;=AQ$3,1,0))*OFFSET('Gastos com Pessoal'!$H$6,1,MATCH(1&amp;$B51,'Gastos com Pessoal'!$I$532:$AJ$532&amp;'Gastos com Pessoal'!$I$6:$AJ$6,0),500,1)),0)+_xlfn.IFNA(SUM((AQ$3&gt;='Gastos com Pessoal'!$E$7:$E$506)*(AQ$3&lt;='Gastos com Pessoal'!$F$7:$F$506)*(IF('Gastos com Pessoal'!$M$7:$M$506&lt;=AQ$3,1,0))*OFFSET('Gastos com Pessoal'!$H$6,1,MATCH(2&amp;$B51,'Gastos com Pessoal'!$I$532:$AJ$532&amp;'Gastos com Pessoal'!$I$6:$AJ$6,0),500,1)),0)+_xlfn.IFNA(SUM((AQ$3&gt;='Gastos com Pessoal'!$E$7:$E$506)*(AQ$3&lt;='Gastos com Pessoal'!$F$7:$F$506)*(IF('Gastos com Pessoal'!$S$7:$S$506&lt;=AQ$3,1,0))*OFFSET('Gastos com Pessoal'!$H$6,1,MATCH(3&amp;$B51,'Gastos com Pessoal'!$I$532:$AJ$532&amp;'Gastos com Pessoal'!$I$6:$AJ$6,0),500,1)),0)+_xlfn.IFNA(SUM((AQ$3&gt;='Gastos com Pessoal'!$E$7:$E$506)*(AQ$3&lt;='Gastos com Pessoal'!$F$7:$F$506)*(IF('Gastos com Pessoal'!$Y$7:$Y$506&lt;=AQ$3,1,0))*OFFSET('Gastos com Pessoal'!$H$6,1,MATCH(4&amp;$B51,'Gastos com Pessoal'!$I$532:$AJ$532&amp;'Gastos com Pessoal'!$I$6:$AJ$6,0),500,1)),0)+_xlfn.IFNA(SUM((AQ$3&gt;='Gastos com Pessoal'!$E$7:$E$506)*(AQ$3&lt;='Gastos com Pessoal'!$F$7:$F$506)*(IF('Gastos com Pessoal'!$AE$7:$AE$506&lt;=AQ$3,1,0))*OFFSET('Gastos com Pessoal'!$H$6,1,MATCH(5&amp;$B51,'Gastos com Pessoal'!$I$532:$AJ$532&amp;'Gastos com Pessoal'!$I$6:$AJ$6,0),500,1)),0)+_xlfn.IFNA(SUM((AQ$3&gt;='Gastos com Pessoal'!$E$513:$E$522)*(AQ$3&lt;='Gastos com Pessoal'!$F$513:$F$522)*(IF('Gastos com Pessoal'!$G$513:$G$522&lt;=AQ$3,1,0))*OFFSET('Gastos com Pessoal'!$H$512,1,MATCH(1&amp;$B51,'Gastos com Pessoal'!$I$532:$AJ$532&amp;'Gastos com Pessoal'!$I$512:$AJ$512,0),10,1)),0)+_xlfn.IFNA(SUM((AQ$3&gt;='Gastos com Pessoal'!$E$513:$E$522)*(AQ$3&lt;='Gastos com Pessoal'!$F$513:$F$522)*(IF('Gastos com Pessoal'!$M$513:$M$522&lt;=AQ$3,1,0))*OFFSET('Gastos com Pessoal'!$H$512,1,MATCH(2&amp;$B51,'Gastos com Pessoal'!$I$532:$AJ$532&amp;'Gastos com Pessoal'!$I$512:$AJ$512,0),10,1)),0)+_xlfn.IFNA(SUM((AQ$3&gt;='Gastos com Pessoal'!$E$513:$E$522)*(AQ$3&lt;='Gastos com Pessoal'!$F$513:$F$522)*(IF('Gastos com Pessoal'!$S$513:$S$522&lt;=AQ$3,1,0))*OFFSET('Gastos com Pessoal'!$H$512,1,MATCH(3&amp;$B51,'Gastos com Pessoal'!$I$532:$AJ$532&amp;'Gastos com Pessoal'!$I$512:$AJ$512,0),10,1)),0)+_xlfn.IFNA(SUM((AQ$3&gt;='Gastos com Pessoal'!$E$513:$E$522)*(AQ$3&lt;='Gastos com Pessoal'!$F$513:$F$522)*(IF('Gastos com Pessoal'!$Y$513:$Y$522&lt;=AQ$3,1,0))*OFFSET('Gastos com Pessoal'!$H$512,1,MATCH(4&amp;$B51,'Gastos com Pessoal'!$I$532:$AJ$532&amp;'Gastos com Pessoal'!$I$512:$AJ$512,0),10,1)),0)+_xlfn.IFNA(SUM((AQ$3&gt;='Gastos com Pessoal'!$E$513:$E$522)*(AQ$3&lt;='Gastos com Pessoal'!$F$513:$F$522)*(IF('Gastos com Pessoal'!$AE$513:$AE$522&lt;=AQ$3,1,0))*OFFSET('Gastos com Pessoal'!$H$512,1,MATCH(5&amp;$B51,'Gastos com Pessoal'!$I$532:$AJ$532&amp;'Gastos com Pessoal'!$I$512:$AJ$512,0),10,1)),0)</f>
        <v>1457.27999999999</v>
      </c>
      <c r="AR51" s="188">
        <f t="array" aca="1" ref="AR51" ca="1">_xlfn.IFNA(SUM((AR$3&gt;='Gastos com Pessoal'!$E$7:$E$506)*(AR$3&lt;='Gastos com Pessoal'!$F$7:$F$506)*OFFSET('Encargos e Benefícios'!$D$5,1,MATCH($B51,'Encargos e Benefícios'!$E$5:$AB$5,0),500,1)),0)+_xlfn.IFNA(SUM((AR$3&gt;='Gastos com Pessoal'!$E$513:$E$522)*(AR$3&lt;='Gastos com Pessoal'!$F$513:$F$522)*OFFSET('Encargos e Benefícios'!$D$511,1,MATCH($B51,'Encargos e Benefícios'!$E$511:$AB$511,0),10,1)),0)+_xlfn.IFNA(SUM((AR$3&gt;='Gastos com Pessoal'!$E$7:$E$506)*(AR$3&lt;='Gastos com Pessoal'!$F$7:$F$506)*(IF('Gastos com Pessoal'!$G$7:$G$506&lt;=AR$3,1,0))*OFFSET('Gastos com Pessoal'!$H$6,1,MATCH(1&amp;$B51,'Gastos com Pessoal'!$I$532:$AJ$532&amp;'Gastos com Pessoal'!$I$6:$AJ$6,0),500,1)),0)+_xlfn.IFNA(SUM((AR$3&gt;='Gastos com Pessoal'!$E$7:$E$506)*(AR$3&lt;='Gastos com Pessoal'!$F$7:$F$506)*(IF('Gastos com Pessoal'!$M$7:$M$506&lt;=AR$3,1,0))*OFFSET('Gastos com Pessoal'!$H$6,1,MATCH(2&amp;$B51,'Gastos com Pessoal'!$I$532:$AJ$532&amp;'Gastos com Pessoal'!$I$6:$AJ$6,0),500,1)),0)+_xlfn.IFNA(SUM((AR$3&gt;='Gastos com Pessoal'!$E$7:$E$506)*(AR$3&lt;='Gastos com Pessoal'!$F$7:$F$506)*(IF('Gastos com Pessoal'!$S$7:$S$506&lt;=AR$3,1,0))*OFFSET('Gastos com Pessoal'!$H$6,1,MATCH(3&amp;$B51,'Gastos com Pessoal'!$I$532:$AJ$532&amp;'Gastos com Pessoal'!$I$6:$AJ$6,0),500,1)),0)+_xlfn.IFNA(SUM((AR$3&gt;='Gastos com Pessoal'!$E$7:$E$506)*(AR$3&lt;='Gastos com Pessoal'!$F$7:$F$506)*(IF('Gastos com Pessoal'!$Y$7:$Y$506&lt;=AR$3,1,0))*OFFSET('Gastos com Pessoal'!$H$6,1,MATCH(4&amp;$B51,'Gastos com Pessoal'!$I$532:$AJ$532&amp;'Gastos com Pessoal'!$I$6:$AJ$6,0),500,1)),0)+_xlfn.IFNA(SUM((AR$3&gt;='Gastos com Pessoal'!$E$7:$E$506)*(AR$3&lt;='Gastos com Pessoal'!$F$7:$F$506)*(IF('Gastos com Pessoal'!$AE$7:$AE$506&lt;=AR$3,1,0))*OFFSET('Gastos com Pessoal'!$H$6,1,MATCH(5&amp;$B51,'Gastos com Pessoal'!$I$532:$AJ$532&amp;'Gastos com Pessoal'!$I$6:$AJ$6,0),500,1)),0)+_xlfn.IFNA(SUM((AR$3&gt;='Gastos com Pessoal'!$E$513:$E$522)*(AR$3&lt;='Gastos com Pessoal'!$F$513:$F$522)*(IF('Gastos com Pessoal'!$G$513:$G$522&lt;=AR$3,1,0))*OFFSET('Gastos com Pessoal'!$H$512,1,MATCH(1&amp;$B51,'Gastos com Pessoal'!$I$532:$AJ$532&amp;'Gastos com Pessoal'!$I$512:$AJ$512,0),10,1)),0)+_xlfn.IFNA(SUM((AR$3&gt;='Gastos com Pessoal'!$E$513:$E$522)*(AR$3&lt;='Gastos com Pessoal'!$F$513:$F$522)*(IF('Gastos com Pessoal'!$M$513:$M$522&lt;=AR$3,1,0))*OFFSET('Gastos com Pessoal'!$H$512,1,MATCH(2&amp;$B51,'Gastos com Pessoal'!$I$532:$AJ$532&amp;'Gastos com Pessoal'!$I$512:$AJ$512,0),10,1)),0)+_xlfn.IFNA(SUM((AR$3&gt;='Gastos com Pessoal'!$E$513:$E$522)*(AR$3&lt;='Gastos com Pessoal'!$F$513:$F$522)*(IF('Gastos com Pessoal'!$S$513:$S$522&lt;=AR$3,1,0))*OFFSET('Gastos com Pessoal'!$H$512,1,MATCH(3&amp;$B51,'Gastos com Pessoal'!$I$532:$AJ$532&amp;'Gastos com Pessoal'!$I$512:$AJ$512,0),10,1)),0)+_xlfn.IFNA(SUM((AR$3&gt;='Gastos com Pessoal'!$E$513:$E$522)*(AR$3&lt;='Gastos com Pessoal'!$F$513:$F$522)*(IF('Gastos com Pessoal'!$Y$513:$Y$522&lt;=AR$3,1,0))*OFFSET('Gastos com Pessoal'!$H$512,1,MATCH(4&amp;$B51,'Gastos com Pessoal'!$I$532:$AJ$532&amp;'Gastos com Pessoal'!$I$512:$AJ$512,0),10,1)),0)+_xlfn.IFNA(SUM((AR$3&gt;='Gastos com Pessoal'!$E$513:$E$522)*(AR$3&lt;='Gastos com Pessoal'!$F$513:$F$522)*(IF('Gastos com Pessoal'!$AE$513:$AE$522&lt;=AR$3,1,0))*OFFSET('Gastos com Pessoal'!$H$512,1,MATCH(5&amp;$B51,'Gastos com Pessoal'!$I$532:$AJ$532&amp;'Gastos com Pessoal'!$I$512:$AJ$512,0),10,1)),0)</f>
        <v>1457.27999999999</v>
      </c>
      <c r="AS51" s="188">
        <f t="array" aca="1" ref="AS51" ca="1">_xlfn.IFNA(SUM((AS$3&gt;='Gastos com Pessoal'!$E$7:$E$506)*(AS$3&lt;='Gastos com Pessoal'!$F$7:$F$506)*OFFSET('Encargos e Benefícios'!$D$5,1,MATCH($B51,'Encargos e Benefícios'!$E$5:$AB$5,0),500,1)),0)+_xlfn.IFNA(SUM((AS$3&gt;='Gastos com Pessoal'!$E$513:$E$522)*(AS$3&lt;='Gastos com Pessoal'!$F$513:$F$522)*OFFSET('Encargos e Benefícios'!$D$511,1,MATCH($B51,'Encargos e Benefícios'!$E$511:$AB$511,0),10,1)),0)+_xlfn.IFNA(SUM((AS$3&gt;='Gastos com Pessoal'!$E$7:$E$506)*(AS$3&lt;='Gastos com Pessoal'!$F$7:$F$506)*(IF('Gastos com Pessoal'!$G$7:$G$506&lt;=AS$3,1,0))*OFFSET('Gastos com Pessoal'!$H$6,1,MATCH(1&amp;$B51,'Gastos com Pessoal'!$I$532:$AJ$532&amp;'Gastos com Pessoal'!$I$6:$AJ$6,0),500,1)),0)+_xlfn.IFNA(SUM((AS$3&gt;='Gastos com Pessoal'!$E$7:$E$506)*(AS$3&lt;='Gastos com Pessoal'!$F$7:$F$506)*(IF('Gastos com Pessoal'!$M$7:$M$506&lt;=AS$3,1,0))*OFFSET('Gastos com Pessoal'!$H$6,1,MATCH(2&amp;$B51,'Gastos com Pessoal'!$I$532:$AJ$532&amp;'Gastos com Pessoal'!$I$6:$AJ$6,0),500,1)),0)+_xlfn.IFNA(SUM((AS$3&gt;='Gastos com Pessoal'!$E$7:$E$506)*(AS$3&lt;='Gastos com Pessoal'!$F$7:$F$506)*(IF('Gastos com Pessoal'!$S$7:$S$506&lt;=AS$3,1,0))*OFFSET('Gastos com Pessoal'!$H$6,1,MATCH(3&amp;$B51,'Gastos com Pessoal'!$I$532:$AJ$532&amp;'Gastos com Pessoal'!$I$6:$AJ$6,0),500,1)),0)+_xlfn.IFNA(SUM((AS$3&gt;='Gastos com Pessoal'!$E$7:$E$506)*(AS$3&lt;='Gastos com Pessoal'!$F$7:$F$506)*(IF('Gastos com Pessoal'!$Y$7:$Y$506&lt;=AS$3,1,0))*OFFSET('Gastos com Pessoal'!$H$6,1,MATCH(4&amp;$B51,'Gastos com Pessoal'!$I$532:$AJ$532&amp;'Gastos com Pessoal'!$I$6:$AJ$6,0),500,1)),0)+_xlfn.IFNA(SUM((AS$3&gt;='Gastos com Pessoal'!$E$7:$E$506)*(AS$3&lt;='Gastos com Pessoal'!$F$7:$F$506)*(IF('Gastos com Pessoal'!$AE$7:$AE$506&lt;=AS$3,1,0))*OFFSET('Gastos com Pessoal'!$H$6,1,MATCH(5&amp;$B51,'Gastos com Pessoal'!$I$532:$AJ$532&amp;'Gastos com Pessoal'!$I$6:$AJ$6,0),500,1)),0)+_xlfn.IFNA(SUM((AS$3&gt;='Gastos com Pessoal'!$E$513:$E$522)*(AS$3&lt;='Gastos com Pessoal'!$F$513:$F$522)*(IF('Gastos com Pessoal'!$G$513:$G$522&lt;=AS$3,1,0))*OFFSET('Gastos com Pessoal'!$H$512,1,MATCH(1&amp;$B51,'Gastos com Pessoal'!$I$532:$AJ$532&amp;'Gastos com Pessoal'!$I$512:$AJ$512,0),10,1)),0)+_xlfn.IFNA(SUM((AS$3&gt;='Gastos com Pessoal'!$E$513:$E$522)*(AS$3&lt;='Gastos com Pessoal'!$F$513:$F$522)*(IF('Gastos com Pessoal'!$M$513:$M$522&lt;=AS$3,1,0))*OFFSET('Gastos com Pessoal'!$H$512,1,MATCH(2&amp;$B51,'Gastos com Pessoal'!$I$532:$AJ$532&amp;'Gastos com Pessoal'!$I$512:$AJ$512,0),10,1)),0)+_xlfn.IFNA(SUM((AS$3&gt;='Gastos com Pessoal'!$E$513:$E$522)*(AS$3&lt;='Gastos com Pessoal'!$F$513:$F$522)*(IF('Gastos com Pessoal'!$S$513:$S$522&lt;=AS$3,1,0))*OFFSET('Gastos com Pessoal'!$H$512,1,MATCH(3&amp;$B51,'Gastos com Pessoal'!$I$532:$AJ$532&amp;'Gastos com Pessoal'!$I$512:$AJ$512,0),10,1)),0)+_xlfn.IFNA(SUM((AS$3&gt;='Gastos com Pessoal'!$E$513:$E$522)*(AS$3&lt;='Gastos com Pessoal'!$F$513:$F$522)*(IF('Gastos com Pessoal'!$Y$513:$Y$522&lt;=AS$3,1,0))*OFFSET('Gastos com Pessoal'!$H$512,1,MATCH(4&amp;$B51,'Gastos com Pessoal'!$I$532:$AJ$532&amp;'Gastos com Pessoal'!$I$512:$AJ$512,0),10,1)),0)+_xlfn.IFNA(SUM((AS$3&gt;='Gastos com Pessoal'!$E$513:$E$522)*(AS$3&lt;='Gastos com Pessoal'!$F$513:$F$522)*(IF('Gastos com Pessoal'!$AE$513:$AE$522&lt;=AS$3,1,0))*OFFSET('Gastos com Pessoal'!$H$512,1,MATCH(5&amp;$B51,'Gastos com Pessoal'!$I$532:$AJ$532&amp;'Gastos com Pessoal'!$I$512:$AJ$512,0),10,1)),0)</f>
        <v>1457.27999999999</v>
      </c>
      <c r="AT51" s="188">
        <f t="array" aca="1" ref="AT51" ca="1">_xlfn.IFNA(SUM((AT$3&gt;='Gastos com Pessoal'!$E$7:$E$506)*(AT$3&lt;='Gastos com Pessoal'!$F$7:$F$506)*OFFSET('Encargos e Benefícios'!$D$5,1,MATCH($B51,'Encargos e Benefícios'!$E$5:$AB$5,0),500,1)),0)+_xlfn.IFNA(SUM((AT$3&gt;='Gastos com Pessoal'!$E$513:$E$522)*(AT$3&lt;='Gastos com Pessoal'!$F$513:$F$522)*OFFSET('Encargos e Benefícios'!$D$511,1,MATCH($B51,'Encargos e Benefícios'!$E$511:$AB$511,0),10,1)),0)+_xlfn.IFNA(SUM((AT$3&gt;='Gastos com Pessoal'!$E$7:$E$506)*(AT$3&lt;='Gastos com Pessoal'!$F$7:$F$506)*(IF('Gastos com Pessoal'!$G$7:$G$506&lt;=AT$3,1,0))*OFFSET('Gastos com Pessoal'!$H$6,1,MATCH(1&amp;$B51,'Gastos com Pessoal'!$I$532:$AJ$532&amp;'Gastos com Pessoal'!$I$6:$AJ$6,0),500,1)),0)+_xlfn.IFNA(SUM((AT$3&gt;='Gastos com Pessoal'!$E$7:$E$506)*(AT$3&lt;='Gastos com Pessoal'!$F$7:$F$506)*(IF('Gastos com Pessoal'!$M$7:$M$506&lt;=AT$3,1,0))*OFFSET('Gastos com Pessoal'!$H$6,1,MATCH(2&amp;$B51,'Gastos com Pessoal'!$I$532:$AJ$532&amp;'Gastos com Pessoal'!$I$6:$AJ$6,0),500,1)),0)+_xlfn.IFNA(SUM((AT$3&gt;='Gastos com Pessoal'!$E$7:$E$506)*(AT$3&lt;='Gastos com Pessoal'!$F$7:$F$506)*(IF('Gastos com Pessoal'!$S$7:$S$506&lt;=AT$3,1,0))*OFFSET('Gastos com Pessoal'!$H$6,1,MATCH(3&amp;$B51,'Gastos com Pessoal'!$I$532:$AJ$532&amp;'Gastos com Pessoal'!$I$6:$AJ$6,0),500,1)),0)+_xlfn.IFNA(SUM((AT$3&gt;='Gastos com Pessoal'!$E$7:$E$506)*(AT$3&lt;='Gastos com Pessoal'!$F$7:$F$506)*(IF('Gastos com Pessoal'!$Y$7:$Y$506&lt;=AT$3,1,0))*OFFSET('Gastos com Pessoal'!$H$6,1,MATCH(4&amp;$B51,'Gastos com Pessoal'!$I$532:$AJ$532&amp;'Gastos com Pessoal'!$I$6:$AJ$6,0),500,1)),0)+_xlfn.IFNA(SUM((AT$3&gt;='Gastos com Pessoal'!$E$7:$E$506)*(AT$3&lt;='Gastos com Pessoal'!$F$7:$F$506)*(IF('Gastos com Pessoal'!$AE$7:$AE$506&lt;=AT$3,1,0))*OFFSET('Gastos com Pessoal'!$H$6,1,MATCH(5&amp;$B51,'Gastos com Pessoal'!$I$532:$AJ$532&amp;'Gastos com Pessoal'!$I$6:$AJ$6,0),500,1)),0)+_xlfn.IFNA(SUM((AT$3&gt;='Gastos com Pessoal'!$E$513:$E$522)*(AT$3&lt;='Gastos com Pessoal'!$F$513:$F$522)*(IF('Gastos com Pessoal'!$G$513:$G$522&lt;=AT$3,1,0))*OFFSET('Gastos com Pessoal'!$H$512,1,MATCH(1&amp;$B51,'Gastos com Pessoal'!$I$532:$AJ$532&amp;'Gastos com Pessoal'!$I$512:$AJ$512,0),10,1)),0)+_xlfn.IFNA(SUM((AT$3&gt;='Gastos com Pessoal'!$E$513:$E$522)*(AT$3&lt;='Gastos com Pessoal'!$F$513:$F$522)*(IF('Gastos com Pessoal'!$M$513:$M$522&lt;=AT$3,1,0))*OFFSET('Gastos com Pessoal'!$H$512,1,MATCH(2&amp;$B51,'Gastos com Pessoal'!$I$532:$AJ$532&amp;'Gastos com Pessoal'!$I$512:$AJ$512,0),10,1)),0)+_xlfn.IFNA(SUM((AT$3&gt;='Gastos com Pessoal'!$E$513:$E$522)*(AT$3&lt;='Gastos com Pessoal'!$F$513:$F$522)*(IF('Gastos com Pessoal'!$S$513:$S$522&lt;=AT$3,1,0))*OFFSET('Gastos com Pessoal'!$H$512,1,MATCH(3&amp;$B51,'Gastos com Pessoal'!$I$532:$AJ$532&amp;'Gastos com Pessoal'!$I$512:$AJ$512,0),10,1)),0)+_xlfn.IFNA(SUM((AT$3&gt;='Gastos com Pessoal'!$E$513:$E$522)*(AT$3&lt;='Gastos com Pessoal'!$F$513:$F$522)*(IF('Gastos com Pessoal'!$Y$513:$Y$522&lt;=AT$3,1,0))*OFFSET('Gastos com Pessoal'!$H$512,1,MATCH(4&amp;$B51,'Gastos com Pessoal'!$I$532:$AJ$532&amp;'Gastos com Pessoal'!$I$512:$AJ$512,0),10,1)),0)+_xlfn.IFNA(SUM((AT$3&gt;='Gastos com Pessoal'!$E$513:$E$522)*(AT$3&lt;='Gastos com Pessoal'!$F$513:$F$522)*(IF('Gastos com Pessoal'!$AE$513:$AE$522&lt;=AT$3,1,0))*OFFSET('Gastos com Pessoal'!$H$512,1,MATCH(5&amp;$B51,'Gastos com Pessoal'!$I$532:$AJ$532&amp;'Gastos com Pessoal'!$I$512:$AJ$512,0),10,1)),0)</f>
        <v>1457.27999999999</v>
      </c>
      <c r="AU51" s="188">
        <f t="array" aca="1" ref="AU51" ca="1">_xlfn.IFNA(SUM((AU$3&gt;='Gastos com Pessoal'!$E$7:$E$506)*(AU$3&lt;='Gastos com Pessoal'!$F$7:$F$506)*OFFSET('Encargos e Benefícios'!$D$5,1,MATCH($B51,'Encargos e Benefícios'!$E$5:$AB$5,0),500,1)),0)+_xlfn.IFNA(SUM((AU$3&gt;='Gastos com Pessoal'!$E$513:$E$522)*(AU$3&lt;='Gastos com Pessoal'!$F$513:$F$522)*OFFSET('Encargos e Benefícios'!$D$511,1,MATCH($B51,'Encargos e Benefícios'!$E$511:$AB$511,0),10,1)),0)+_xlfn.IFNA(SUM((AU$3&gt;='Gastos com Pessoal'!$E$7:$E$506)*(AU$3&lt;='Gastos com Pessoal'!$F$7:$F$506)*(IF('Gastos com Pessoal'!$G$7:$G$506&lt;=AU$3,1,0))*OFFSET('Gastos com Pessoal'!$H$6,1,MATCH(1&amp;$B51,'Gastos com Pessoal'!$I$532:$AJ$532&amp;'Gastos com Pessoal'!$I$6:$AJ$6,0),500,1)),0)+_xlfn.IFNA(SUM((AU$3&gt;='Gastos com Pessoal'!$E$7:$E$506)*(AU$3&lt;='Gastos com Pessoal'!$F$7:$F$506)*(IF('Gastos com Pessoal'!$M$7:$M$506&lt;=AU$3,1,0))*OFFSET('Gastos com Pessoal'!$H$6,1,MATCH(2&amp;$B51,'Gastos com Pessoal'!$I$532:$AJ$532&amp;'Gastos com Pessoal'!$I$6:$AJ$6,0),500,1)),0)+_xlfn.IFNA(SUM((AU$3&gt;='Gastos com Pessoal'!$E$7:$E$506)*(AU$3&lt;='Gastos com Pessoal'!$F$7:$F$506)*(IF('Gastos com Pessoal'!$S$7:$S$506&lt;=AU$3,1,0))*OFFSET('Gastos com Pessoal'!$H$6,1,MATCH(3&amp;$B51,'Gastos com Pessoal'!$I$532:$AJ$532&amp;'Gastos com Pessoal'!$I$6:$AJ$6,0),500,1)),0)+_xlfn.IFNA(SUM((AU$3&gt;='Gastos com Pessoal'!$E$7:$E$506)*(AU$3&lt;='Gastos com Pessoal'!$F$7:$F$506)*(IF('Gastos com Pessoal'!$Y$7:$Y$506&lt;=AU$3,1,0))*OFFSET('Gastos com Pessoal'!$H$6,1,MATCH(4&amp;$B51,'Gastos com Pessoal'!$I$532:$AJ$532&amp;'Gastos com Pessoal'!$I$6:$AJ$6,0),500,1)),0)+_xlfn.IFNA(SUM((AU$3&gt;='Gastos com Pessoal'!$E$7:$E$506)*(AU$3&lt;='Gastos com Pessoal'!$F$7:$F$506)*(IF('Gastos com Pessoal'!$AE$7:$AE$506&lt;=AU$3,1,0))*OFFSET('Gastos com Pessoal'!$H$6,1,MATCH(5&amp;$B51,'Gastos com Pessoal'!$I$532:$AJ$532&amp;'Gastos com Pessoal'!$I$6:$AJ$6,0),500,1)),0)+_xlfn.IFNA(SUM((AU$3&gt;='Gastos com Pessoal'!$E$513:$E$522)*(AU$3&lt;='Gastos com Pessoal'!$F$513:$F$522)*(IF('Gastos com Pessoal'!$G$513:$G$522&lt;=AU$3,1,0))*OFFSET('Gastos com Pessoal'!$H$512,1,MATCH(1&amp;$B51,'Gastos com Pessoal'!$I$532:$AJ$532&amp;'Gastos com Pessoal'!$I$512:$AJ$512,0),10,1)),0)+_xlfn.IFNA(SUM((AU$3&gt;='Gastos com Pessoal'!$E$513:$E$522)*(AU$3&lt;='Gastos com Pessoal'!$F$513:$F$522)*(IF('Gastos com Pessoal'!$M$513:$M$522&lt;=AU$3,1,0))*OFFSET('Gastos com Pessoal'!$H$512,1,MATCH(2&amp;$B51,'Gastos com Pessoal'!$I$532:$AJ$532&amp;'Gastos com Pessoal'!$I$512:$AJ$512,0),10,1)),0)+_xlfn.IFNA(SUM((AU$3&gt;='Gastos com Pessoal'!$E$513:$E$522)*(AU$3&lt;='Gastos com Pessoal'!$F$513:$F$522)*(IF('Gastos com Pessoal'!$S$513:$S$522&lt;=AU$3,1,0))*OFFSET('Gastos com Pessoal'!$H$512,1,MATCH(3&amp;$B51,'Gastos com Pessoal'!$I$532:$AJ$532&amp;'Gastos com Pessoal'!$I$512:$AJ$512,0),10,1)),0)+_xlfn.IFNA(SUM((AU$3&gt;='Gastos com Pessoal'!$E$513:$E$522)*(AU$3&lt;='Gastos com Pessoal'!$F$513:$F$522)*(IF('Gastos com Pessoal'!$Y$513:$Y$522&lt;=AU$3,1,0))*OFFSET('Gastos com Pessoal'!$H$512,1,MATCH(4&amp;$B51,'Gastos com Pessoal'!$I$532:$AJ$532&amp;'Gastos com Pessoal'!$I$512:$AJ$512,0),10,1)),0)+_xlfn.IFNA(SUM((AU$3&gt;='Gastos com Pessoal'!$E$513:$E$522)*(AU$3&lt;='Gastos com Pessoal'!$F$513:$F$522)*(IF('Gastos com Pessoal'!$AE$513:$AE$522&lt;=AU$3,1,0))*OFFSET('Gastos com Pessoal'!$H$512,1,MATCH(5&amp;$B51,'Gastos com Pessoal'!$I$532:$AJ$532&amp;'Gastos com Pessoal'!$I$512:$AJ$512,0),10,1)),0)</f>
        <v>1457.27999999999</v>
      </c>
      <c r="AV51" s="188">
        <f t="array" aca="1" ref="AV51" ca="1">_xlfn.IFNA(SUM((AV$3&gt;='Gastos com Pessoal'!$E$7:$E$506)*(AV$3&lt;='Gastos com Pessoal'!$F$7:$F$506)*OFFSET('Encargos e Benefícios'!$D$5,1,MATCH($B51,'Encargos e Benefícios'!$E$5:$AB$5,0),500,1)),0)+_xlfn.IFNA(SUM((AV$3&gt;='Gastos com Pessoal'!$E$513:$E$522)*(AV$3&lt;='Gastos com Pessoal'!$F$513:$F$522)*OFFSET('Encargos e Benefícios'!$D$511,1,MATCH($B51,'Encargos e Benefícios'!$E$511:$AB$511,0),10,1)),0)+_xlfn.IFNA(SUM((AV$3&gt;='Gastos com Pessoal'!$E$7:$E$506)*(AV$3&lt;='Gastos com Pessoal'!$F$7:$F$506)*(IF('Gastos com Pessoal'!$G$7:$G$506&lt;=AV$3,1,0))*OFFSET('Gastos com Pessoal'!$H$6,1,MATCH(1&amp;$B51,'Gastos com Pessoal'!$I$532:$AJ$532&amp;'Gastos com Pessoal'!$I$6:$AJ$6,0),500,1)),0)+_xlfn.IFNA(SUM((AV$3&gt;='Gastos com Pessoal'!$E$7:$E$506)*(AV$3&lt;='Gastos com Pessoal'!$F$7:$F$506)*(IF('Gastos com Pessoal'!$M$7:$M$506&lt;=AV$3,1,0))*OFFSET('Gastos com Pessoal'!$H$6,1,MATCH(2&amp;$B51,'Gastos com Pessoal'!$I$532:$AJ$532&amp;'Gastos com Pessoal'!$I$6:$AJ$6,0),500,1)),0)+_xlfn.IFNA(SUM((AV$3&gt;='Gastos com Pessoal'!$E$7:$E$506)*(AV$3&lt;='Gastos com Pessoal'!$F$7:$F$506)*(IF('Gastos com Pessoal'!$S$7:$S$506&lt;=AV$3,1,0))*OFFSET('Gastos com Pessoal'!$H$6,1,MATCH(3&amp;$B51,'Gastos com Pessoal'!$I$532:$AJ$532&amp;'Gastos com Pessoal'!$I$6:$AJ$6,0),500,1)),0)+_xlfn.IFNA(SUM((AV$3&gt;='Gastos com Pessoal'!$E$7:$E$506)*(AV$3&lt;='Gastos com Pessoal'!$F$7:$F$506)*(IF('Gastos com Pessoal'!$Y$7:$Y$506&lt;=AV$3,1,0))*OFFSET('Gastos com Pessoal'!$H$6,1,MATCH(4&amp;$B51,'Gastos com Pessoal'!$I$532:$AJ$532&amp;'Gastos com Pessoal'!$I$6:$AJ$6,0),500,1)),0)+_xlfn.IFNA(SUM((AV$3&gt;='Gastos com Pessoal'!$E$7:$E$506)*(AV$3&lt;='Gastos com Pessoal'!$F$7:$F$506)*(IF('Gastos com Pessoal'!$AE$7:$AE$506&lt;=AV$3,1,0))*OFFSET('Gastos com Pessoal'!$H$6,1,MATCH(5&amp;$B51,'Gastos com Pessoal'!$I$532:$AJ$532&amp;'Gastos com Pessoal'!$I$6:$AJ$6,0),500,1)),0)+_xlfn.IFNA(SUM((AV$3&gt;='Gastos com Pessoal'!$E$513:$E$522)*(AV$3&lt;='Gastos com Pessoal'!$F$513:$F$522)*(IF('Gastos com Pessoal'!$G$513:$G$522&lt;=AV$3,1,0))*OFFSET('Gastos com Pessoal'!$H$512,1,MATCH(1&amp;$B51,'Gastos com Pessoal'!$I$532:$AJ$532&amp;'Gastos com Pessoal'!$I$512:$AJ$512,0),10,1)),0)+_xlfn.IFNA(SUM((AV$3&gt;='Gastos com Pessoal'!$E$513:$E$522)*(AV$3&lt;='Gastos com Pessoal'!$F$513:$F$522)*(IF('Gastos com Pessoal'!$M$513:$M$522&lt;=AV$3,1,0))*OFFSET('Gastos com Pessoal'!$H$512,1,MATCH(2&amp;$B51,'Gastos com Pessoal'!$I$532:$AJ$532&amp;'Gastos com Pessoal'!$I$512:$AJ$512,0),10,1)),0)+_xlfn.IFNA(SUM((AV$3&gt;='Gastos com Pessoal'!$E$513:$E$522)*(AV$3&lt;='Gastos com Pessoal'!$F$513:$F$522)*(IF('Gastos com Pessoal'!$S$513:$S$522&lt;=AV$3,1,0))*OFFSET('Gastos com Pessoal'!$H$512,1,MATCH(3&amp;$B51,'Gastos com Pessoal'!$I$532:$AJ$532&amp;'Gastos com Pessoal'!$I$512:$AJ$512,0),10,1)),0)+_xlfn.IFNA(SUM((AV$3&gt;='Gastos com Pessoal'!$E$513:$E$522)*(AV$3&lt;='Gastos com Pessoal'!$F$513:$F$522)*(IF('Gastos com Pessoal'!$Y$513:$Y$522&lt;=AV$3,1,0))*OFFSET('Gastos com Pessoal'!$H$512,1,MATCH(4&amp;$B51,'Gastos com Pessoal'!$I$532:$AJ$532&amp;'Gastos com Pessoal'!$I$512:$AJ$512,0),10,1)),0)+_xlfn.IFNA(SUM((AV$3&gt;='Gastos com Pessoal'!$E$513:$E$522)*(AV$3&lt;='Gastos com Pessoal'!$F$513:$F$522)*(IF('Gastos com Pessoal'!$AE$513:$AE$522&lt;=AV$3,1,0))*OFFSET('Gastos com Pessoal'!$H$512,1,MATCH(5&amp;$B51,'Gastos com Pessoal'!$I$532:$AJ$532&amp;'Gastos com Pessoal'!$I$512:$AJ$512,0),10,1)),0)</f>
        <v>1457.27999999999</v>
      </c>
      <c r="AW51" s="188">
        <f t="array" aca="1" ref="AW51" ca="1">_xlfn.IFNA(SUM((AW$3&gt;='Gastos com Pessoal'!$E$7:$E$506)*(AW$3&lt;='Gastos com Pessoal'!$F$7:$F$506)*OFFSET('Encargos e Benefícios'!$D$5,1,MATCH($B51,'Encargos e Benefícios'!$E$5:$AB$5,0),500,1)),0)+_xlfn.IFNA(SUM((AW$3&gt;='Gastos com Pessoal'!$E$513:$E$522)*(AW$3&lt;='Gastos com Pessoal'!$F$513:$F$522)*OFFSET('Encargos e Benefícios'!$D$511,1,MATCH($B51,'Encargos e Benefícios'!$E$511:$AB$511,0),10,1)),0)+_xlfn.IFNA(SUM((AW$3&gt;='Gastos com Pessoal'!$E$7:$E$506)*(AW$3&lt;='Gastos com Pessoal'!$F$7:$F$506)*(IF('Gastos com Pessoal'!$G$7:$G$506&lt;=AW$3,1,0))*OFFSET('Gastos com Pessoal'!$H$6,1,MATCH(1&amp;$B51,'Gastos com Pessoal'!$I$532:$AJ$532&amp;'Gastos com Pessoal'!$I$6:$AJ$6,0),500,1)),0)+_xlfn.IFNA(SUM((AW$3&gt;='Gastos com Pessoal'!$E$7:$E$506)*(AW$3&lt;='Gastos com Pessoal'!$F$7:$F$506)*(IF('Gastos com Pessoal'!$M$7:$M$506&lt;=AW$3,1,0))*OFFSET('Gastos com Pessoal'!$H$6,1,MATCH(2&amp;$B51,'Gastos com Pessoal'!$I$532:$AJ$532&amp;'Gastos com Pessoal'!$I$6:$AJ$6,0),500,1)),0)+_xlfn.IFNA(SUM((AW$3&gt;='Gastos com Pessoal'!$E$7:$E$506)*(AW$3&lt;='Gastos com Pessoal'!$F$7:$F$506)*(IF('Gastos com Pessoal'!$S$7:$S$506&lt;=AW$3,1,0))*OFFSET('Gastos com Pessoal'!$H$6,1,MATCH(3&amp;$B51,'Gastos com Pessoal'!$I$532:$AJ$532&amp;'Gastos com Pessoal'!$I$6:$AJ$6,0),500,1)),0)+_xlfn.IFNA(SUM((AW$3&gt;='Gastos com Pessoal'!$E$7:$E$506)*(AW$3&lt;='Gastos com Pessoal'!$F$7:$F$506)*(IF('Gastos com Pessoal'!$Y$7:$Y$506&lt;=AW$3,1,0))*OFFSET('Gastos com Pessoal'!$H$6,1,MATCH(4&amp;$B51,'Gastos com Pessoal'!$I$532:$AJ$532&amp;'Gastos com Pessoal'!$I$6:$AJ$6,0),500,1)),0)+_xlfn.IFNA(SUM((AW$3&gt;='Gastos com Pessoal'!$E$7:$E$506)*(AW$3&lt;='Gastos com Pessoal'!$F$7:$F$506)*(IF('Gastos com Pessoal'!$AE$7:$AE$506&lt;=AW$3,1,0))*OFFSET('Gastos com Pessoal'!$H$6,1,MATCH(5&amp;$B51,'Gastos com Pessoal'!$I$532:$AJ$532&amp;'Gastos com Pessoal'!$I$6:$AJ$6,0),500,1)),0)+_xlfn.IFNA(SUM((AW$3&gt;='Gastos com Pessoal'!$E$513:$E$522)*(AW$3&lt;='Gastos com Pessoal'!$F$513:$F$522)*(IF('Gastos com Pessoal'!$G$513:$G$522&lt;=AW$3,1,0))*OFFSET('Gastos com Pessoal'!$H$512,1,MATCH(1&amp;$B51,'Gastos com Pessoal'!$I$532:$AJ$532&amp;'Gastos com Pessoal'!$I$512:$AJ$512,0),10,1)),0)+_xlfn.IFNA(SUM((AW$3&gt;='Gastos com Pessoal'!$E$513:$E$522)*(AW$3&lt;='Gastos com Pessoal'!$F$513:$F$522)*(IF('Gastos com Pessoal'!$M$513:$M$522&lt;=AW$3,1,0))*OFFSET('Gastos com Pessoal'!$H$512,1,MATCH(2&amp;$B51,'Gastos com Pessoal'!$I$532:$AJ$532&amp;'Gastos com Pessoal'!$I$512:$AJ$512,0),10,1)),0)+_xlfn.IFNA(SUM((AW$3&gt;='Gastos com Pessoal'!$E$513:$E$522)*(AW$3&lt;='Gastos com Pessoal'!$F$513:$F$522)*(IF('Gastos com Pessoal'!$S$513:$S$522&lt;=AW$3,1,0))*OFFSET('Gastos com Pessoal'!$H$512,1,MATCH(3&amp;$B51,'Gastos com Pessoal'!$I$532:$AJ$532&amp;'Gastos com Pessoal'!$I$512:$AJ$512,0),10,1)),0)+_xlfn.IFNA(SUM((AW$3&gt;='Gastos com Pessoal'!$E$513:$E$522)*(AW$3&lt;='Gastos com Pessoal'!$F$513:$F$522)*(IF('Gastos com Pessoal'!$Y$513:$Y$522&lt;=AW$3,1,0))*OFFSET('Gastos com Pessoal'!$H$512,1,MATCH(4&amp;$B51,'Gastos com Pessoal'!$I$532:$AJ$532&amp;'Gastos com Pessoal'!$I$512:$AJ$512,0),10,1)),0)+_xlfn.IFNA(SUM((AW$3&gt;='Gastos com Pessoal'!$E$513:$E$522)*(AW$3&lt;='Gastos com Pessoal'!$F$513:$F$522)*(IF('Gastos com Pessoal'!$AE$513:$AE$522&lt;=AW$3,1,0))*OFFSET('Gastos com Pessoal'!$H$512,1,MATCH(5&amp;$B51,'Gastos com Pessoal'!$I$532:$AJ$532&amp;'Gastos com Pessoal'!$I$512:$AJ$512,0),10,1)),0)</f>
        <v>1457.27999999999</v>
      </c>
      <c r="AX51" s="188">
        <f t="array" aca="1" ref="AX51" ca="1">_xlfn.IFNA(SUM((AX$3&gt;='Gastos com Pessoal'!$E$7:$E$506)*(AX$3&lt;='Gastos com Pessoal'!$F$7:$F$506)*OFFSET('Encargos e Benefícios'!$D$5,1,MATCH($B51,'Encargos e Benefícios'!$E$5:$AB$5,0),500,1)),0)+_xlfn.IFNA(SUM((AX$3&gt;='Gastos com Pessoal'!$E$513:$E$522)*(AX$3&lt;='Gastos com Pessoal'!$F$513:$F$522)*OFFSET('Encargos e Benefícios'!$D$511,1,MATCH($B51,'Encargos e Benefícios'!$E$511:$AB$511,0),10,1)),0)+_xlfn.IFNA(SUM((AX$3&gt;='Gastos com Pessoal'!$E$7:$E$506)*(AX$3&lt;='Gastos com Pessoal'!$F$7:$F$506)*(IF('Gastos com Pessoal'!$G$7:$G$506&lt;=AX$3,1,0))*OFFSET('Gastos com Pessoal'!$H$6,1,MATCH(1&amp;$B51,'Gastos com Pessoal'!$I$532:$AJ$532&amp;'Gastos com Pessoal'!$I$6:$AJ$6,0),500,1)),0)+_xlfn.IFNA(SUM((AX$3&gt;='Gastos com Pessoal'!$E$7:$E$506)*(AX$3&lt;='Gastos com Pessoal'!$F$7:$F$506)*(IF('Gastos com Pessoal'!$M$7:$M$506&lt;=AX$3,1,0))*OFFSET('Gastos com Pessoal'!$H$6,1,MATCH(2&amp;$B51,'Gastos com Pessoal'!$I$532:$AJ$532&amp;'Gastos com Pessoal'!$I$6:$AJ$6,0),500,1)),0)+_xlfn.IFNA(SUM((AX$3&gt;='Gastos com Pessoal'!$E$7:$E$506)*(AX$3&lt;='Gastos com Pessoal'!$F$7:$F$506)*(IF('Gastos com Pessoal'!$S$7:$S$506&lt;=AX$3,1,0))*OFFSET('Gastos com Pessoal'!$H$6,1,MATCH(3&amp;$B51,'Gastos com Pessoal'!$I$532:$AJ$532&amp;'Gastos com Pessoal'!$I$6:$AJ$6,0),500,1)),0)+_xlfn.IFNA(SUM((AX$3&gt;='Gastos com Pessoal'!$E$7:$E$506)*(AX$3&lt;='Gastos com Pessoal'!$F$7:$F$506)*(IF('Gastos com Pessoal'!$Y$7:$Y$506&lt;=AX$3,1,0))*OFFSET('Gastos com Pessoal'!$H$6,1,MATCH(4&amp;$B51,'Gastos com Pessoal'!$I$532:$AJ$532&amp;'Gastos com Pessoal'!$I$6:$AJ$6,0),500,1)),0)+_xlfn.IFNA(SUM((AX$3&gt;='Gastos com Pessoal'!$E$7:$E$506)*(AX$3&lt;='Gastos com Pessoal'!$F$7:$F$506)*(IF('Gastos com Pessoal'!$AE$7:$AE$506&lt;=AX$3,1,0))*OFFSET('Gastos com Pessoal'!$H$6,1,MATCH(5&amp;$B51,'Gastos com Pessoal'!$I$532:$AJ$532&amp;'Gastos com Pessoal'!$I$6:$AJ$6,0),500,1)),0)+_xlfn.IFNA(SUM((AX$3&gt;='Gastos com Pessoal'!$E$513:$E$522)*(AX$3&lt;='Gastos com Pessoal'!$F$513:$F$522)*(IF('Gastos com Pessoal'!$G$513:$G$522&lt;=AX$3,1,0))*OFFSET('Gastos com Pessoal'!$H$512,1,MATCH(1&amp;$B51,'Gastos com Pessoal'!$I$532:$AJ$532&amp;'Gastos com Pessoal'!$I$512:$AJ$512,0),10,1)),0)+_xlfn.IFNA(SUM((AX$3&gt;='Gastos com Pessoal'!$E$513:$E$522)*(AX$3&lt;='Gastos com Pessoal'!$F$513:$F$522)*(IF('Gastos com Pessoal'!$M$513:$M$522&lt;=AX$3,1,0))*OFFSET('Gastos com Pessoal'!$H$512,1,MATCH(2&amp;$B51,'Gastos com Pessoal'!$I$532:$AJ$532&amp;'Gastos com Pessoal'!$I$512:$AJ$512,0),10,1)),0)+_xlfn.IFNA(SUM((AX$3&gt;='Gastos com Pessoal'!$E$513:$E$522)*(AX$3&lt;='Gastos com Pessoal'!$F$513:$F$522)*(IF('Gastos com Pessoal'!$S$513:$S$522&lt;=AX$3,1,0))*OFFSET('Gastos com Pessoal'!$H$512,1,MATCH(3&amp;$B51,'Gastos com Pessoal'!$I$532:$AJ$532&amp;'Gastos com Pessoal'!$I$512:$AJ$512,0),10,1)),0)+_xlfn.IFNA(SUM((AX$3&gt;='Gastos com Pessoal'!$E$513:$E$522)*(AX$3&lt;='Gastos com Pessoal'!$F$513:$F$522)*(IF('Gastos com Pessoal'!$Y$513:$Y$522&lt;=AX$3,1,0))*OFFSET('Gastos com Pessoal'!$H$512,1,MATCH(4&amp;$B51,'Gastos com Pessoal'!$I$532:$AJ$532&amp;'Gastos com Pessoal'!$I$512:$AJ$512,0),10,1)),0)+_xlfn.IFNA(SUM((AX$3&gt;='Gastos com Pessoal'!$E$513:$E$522)*(AX$3&lt;='Gastos com Pessoal'!$F$513:$F$522)*(IF('Gastos com Pessoal'!$AE$513:$AE$522&lt;=AX$3,1,0))*OFFSET('Gastos com Pessoal'!$H$512,1,MATCH(5&amp;$B51,'Gastos com Pessoal'!$I$532:$AJ$532&amp;'Gastos com Pessoal'!$I$512:$AJ$512,0),10,1)),0)</f>
        <v>1457.27999999999</v>
      </c>
      <c r="AY51" s="188">
        <f t="array" aca="1" ref="AY51" ca="1">_xlfn.IFNA(SUM((AY$3&gt;='Gastos com Pessoal'!$E$7:$E$506)*(AY$3&lt;='Gastos com Pessoal'!$F$7:$F$506)*OFFSET('Encargos e Benefícios'!$D$5,1,MATCH($B51,'Encargos e Benefícios'!$E$5:$AB$5,0),500,1)),0)+_xlfn.IFNA(SUM((AY$3&gt;='Gastos com Pessoal'!$E$513:$E$522)*(AY$3&lt;='Gastos com Pessoal'!$F$513:$F$522)*OFFSET('Encargos e Benefícios'!$D$511,1,MATCH($B51,'Encargos e Benefícios'!$E$511:$AB$511,0),10,1)),0)+_xlfn.IFNA(SUM((AY$3&gt;='Gastos com Pessoal'!$E$7:$E$506)*(AY$3&lt;='Gastos com Pessoal'!$F$7:$F$506)*(IF('Gastos com Pessoal'!$G$7:$G$506&lt;=AY$3,1,0))*OFFSET('Gastos com Pessoal'!$H$6,1,MATCH(1&amp;$B51,'Gastos com Pessoal'!$I$532:$AJ$532&amp;'Gastos com Pessoal'!$I$6:$AJ$6,0),500,1)),0)+_xlfn.IFNA(SUM((AY$3&gt;='Gastos com Pessoal'!$E$7:$E$506)*(AY$3&lt;='Gastos com Pessoal'!$F$7:$F$506)*(IF('Gastos com Pessoal'!$M$7:$M$506&lt;=AY$3,1,0))*OFFSET('Gastos com Pessoal'!$H$6,1,MATCH(2&amp;$B51,'Gastos com Pessoal'!$I$532:$AJ$532&amp;'Gastos com Pessoal'!$I$6:$AJ$6,0),500,1)),0)+_xlfn.IFNA(SUM((AY$3&gt;='Gastos com Pessoal'!$E$7:$E$506)*(AY$3&lt;='Gastos com Pessoal'!$F$7:$F$506)*(IF('Gastos com Pessoal'!$S$7:$S$506&lt;=AY$3,1,0))*OFFSET('Gastos com Pessoal'!$H$6,1,MATCH(3&amp;$B51,'Gastos com Pessoal'!$I$532:$AJ$532&amp;'Gastos com Pessoal'!$I$6:$AJ$6,0),500,1)),0)+_xlfn.IFNA(SUM((AY$3&gt;='Gastos com Pessoal'!$E$7:$E$506)*(AY$3&lt;='Gastos com Pessoal'!$F$7:$F$506)*(IF('Gastos com Pessoal'!$Y$7:$Y$506&lt;=AY$3,1,0))*OFFSET('Gastos com Pessoal'!$H$6,1,MATCH(4&amp;$B51,'Gastos com Pessoal'!$I$532:$AJ$532&amp;'Gastos com Pessoal'!$I$6:$AJ$6,0),500,1)),0)+_xlfn.IFNA(SUM((AY$3&gt;='Gastos com Pessoal'!$E$7:$E$506)*(AY$3&lt;='Gastos com Pessoal'!$F$7:$F$506)*(IF('Gastos com Pessoal'!$AE$7:$AE$506&lt;=AY$3,1,0))*OFFSET('Gastos com Pessoal'!$H$6,1,MATCH(5&amp;$B51,'Gastos com Pessoal'!$I$532:$AJ$532&amp;'Gastos com Pessoal'!$I$6:$AJ$6,0),500,1)),0)+_xlfn.IFNA(SUM((AY$3&gt;='Gastos com Pessoal'!$E$513:$E$522)*(AY$3&lt;='Gastos com Pessoal'!$F$513:$F$522)*(IF('Gastos com Pessoal'!$G$513:$G$522&lt;=AY$3,1,0))*OFFSET('Gastos com Pessoal'!$H$512,1,MATCH(1&amp;$B51,'Gastos com Pessoal'!$I$532:$AJ$532&amp;'Gastos com Pessoal'!$I$512:$AJ$512,0),10,1)),0)+_xlfn.IFNA(SUM((AY$3&gt;='Gastos com Pessoal'!$E$513:$E$522)*(AY$3&lt;='Gastos com Pessoal'!$F$513:$F$522)*(IF('Gastos com Pessoal'!$M$513:$M$522&lt;=AY$3,1,0))*OFFSET('Gastos com Pessoal'!$H$512,1,MATCH(2&amp;$B51,'Gastos com Pessoal'!$I$532:$AJ$532&amp;'Gastos com Pessoal'!$I$512:$AJ$512,0),10,1)),0)+_xlfn.IFNA(SUM((AY$3&gt;='Gastos com Pessoal'!$E$513:$E$522)*(AY$3&lt;='Gastos com Pessoal'!$F$513:$F$522)*(IF('Gastos com Pessoal'!$S$513:$S$522&lt;=AY$3,1,0))*OFFSET('Gastos com Pessoal'!$H$512,1,MATCH(3&amp;$B51,'Gastos com Pessoal'!$I$532:$AJ$532&amp;'Gastos com Pessoal'!$I$512:$AJ$512,0),10,1)),0)+_xlfn.IFNA(SUM((AY$3&gt;='Gastos com Pessoal'!$E$513:$E$522)*(AY$3&lt;='Gastos com Pessoal'!$F$513:$F$522)*(IF('Gastos com Pessoal'!$Y$513:$Y$522&lt;=AY$3,1,0))*OFFSET('Gastos com Pessoal'!$H$512,1,MATCH(4&amp;$B51,'Gastos com Pessoal'!$I$532:$AJ$532&amp;'Gastos com Pessoal'!$I$512:$AJ$512,0),10,1)),0)+_xlfn.IFNA(SUM((AY$3&gt;='Gastos com Pessoal'!$E$513:$E$522)*(AY$3&lt;='Gastos com Pessoal'!$F$513:$F$522)*(IF('Gastos com Pessoal'!$AE$513:$AE$522&lt;=AY$3,1,0))*OFFSET('Gastos com Pessoal'!$H$512,1,MATCH(5&amp;$B51,'Gastos com Pessoal'!$I$532:$AJ$532&amp;'Gastos com Pessoal'!$I$512:$AJ$512,0),10,1)),0)</f>
        <v>1457.27999999999</v>
      </c>
      <c r="AZ51" s="188">
        <f t="array" aca="1" ref="AZ51" ca="1">_xlfn.IFNA(SUM((AZ$3&gt;='Gastos com Pessoal'!$E$7:$E$506)*(AZ$3&lt;='Gastos com Pessoal'!$F$7:$F$506)*OFFSET('Encargos e Benefícios'!$D$5,1,MATCH($B51,'Encargos e Benefícios'!$E$5:$AB$5,0),500,1)),0)+_xlfn.IFNA(SUM((AZ$3&gt;='Gastos com Pessoal'!$E$513:$E$522)*(AZ$3&lt;='Gastos com Pessoal'!$F$513:$F$522)*OFFSET('Encargos e Benefícios'!$D$511,1,MATCH($B51,'Encargos e Benefícios'!$E$511:$AB$511,0),10,1)),0)+_xlfn.IFNA(SUM((AZ$3&gt;='Gastos com Pessoal'!$E$7:$E$506)*(AZ$3&lt;='Gastos com Pessoal'!$F$7:$F$506)*(IF('Gastos com Pessoal'!$G$7:$G$506&lt;=AZ$3,1,0))*OFFSET('Gastos com Pessoal'!$H$6,1,MATCH(1&amp;$B51,'Gastos com Pessoal'!$I$532:$AJ$532&amp;'Gastos com Pessoal'!$I$6:$AJ$6,0),500,1)),0)+_xlfn.IFNA(SUM((AZ$3&gt;='Gastos com Pessoal'!$E$7:$E$506)*(AZ$3&lt;='Gastos com Pessoal'!$F$7:$F$506)*(IF('Gastos com Pessoal'!$M$7:$M$506&lt;=AZ$3,1,0))*OFFSET('Gastos com Pessoal'!$H$6,1,MATCH(2&amp;$B51,'Gastos com Pessoal'!$I$532:$AJ$532&amp;'Gastos com Pessoal'!$I$6:$AJ$6,0),500,1)),0)+_xlfn.IFNA(SUM((AZ$3&gt;='Gastos com Pessoal'!$E$7:$E$506)*(AZ$3&lt;='Gastos com Pessoal'!$F$7:$F$506)*(IF('Gastos com Pessoal'!$S$7:$S$506&lt;=AZ$3,1,0))*OFFSET('Gastos com Pessoal'!$H$6,1,MATCH(3&amp;$B51,'Gastos com Pessoal'!$I$532:$AJ$532&amp;'Gastos com Pessoal'!$I$6:$AJ$6,0),500,1)),0)+_xlfn.IFNA(SUM((AZ$3&gt;='Gastos com Pessoal'!$E$7:$E$506)*(AZ$3&lt;='Gastos com Pessoal'!$F$7:$F$506)*(IF('Gastos com Pessoal'!$Y$7:$Y$506&lt;=AZ$3,1,0))*OFFSET('Gastos com Pessoal'!$H$6,1,MATCH(4&amp;$B51,'Gastos com Pessoal'!$I$532:$AJ$532&amp;'Gastos com Pessoal'!$I$6:$AJ$6,0),500,1)),0)+_xlfn.IFNA(SUM((AZ$3&gt;='Gastos com Pessoal'!$E$7:$E$506)*(AZ$3&lt;='Gastos com Pessoal'!$F$7:$F$506)*(IF('Gastos com Pessoal'!$AE$7:$AE$506&lt;=AZ$3,1,0))*OFFSET('Gastos com Pessoal'!$H$6,1,MATCH(5&amp;$B51,'Gastos com Pessoal'!$I$532:$AJ$532&amp;'Gastos com Pessoal'!$I$6:$AJ$6,0),500,1)),0)+_xlfn.IFNA(SUM((AZ$3&gt;='Gastos com Pessoal'!$E$513:$E$522)*(AZ$3&lt;='Gastos com Pessoal'!$F$513:$F$522)*(IF('Gastos com Pessoal'!$G$513:$G$522&lt;=AZ$3,1,0))*OFFSET('Gastos com Pessoal'!$H$512,1,MATCH(1&amp;$B51,'Gastos com Pessoal'!$I$532:$AJ$532&amp;'Gastos com Pessoal'!$I$512:$AJ$512,0),10,1)),0)+_xlfn.IFNA(SUM((AZ$3&gt;='Gastos com Pessoal'!$E$513:$E$522)*(AZ$3&lt;='Gastos com Pessoal'!$F$513:$F$522)*(IF('Gastos com Pessoal'!$M$513:$M$522&lt;=AZ$3,1,0))*OFFSET('Gastos com Pessoal'!$H$512,1,MATCH(2&amp;$B51,'Gastos com Pessoal'!$I$532:$AJ$532&amp;'Gastos com Pessoal'!$I$512:$AJ$512,0),10,1)),0)+_xlfn.IFNA(SUM((AZ$3&gt;='Gastos com Pessoal'!$E$513:$E$522)*(AZ$3&lt;='Gastos com Pessoal'!$F$513:$F$522)*(IF('Gastos com Pessoal'!$S$513:$S$522&lt;=AZ$3,1,0))*OFFSET('Gastos com Pessoal'!$H$512,1,MATCH(3&amp;$B51,'Gastos com Pessoal'!$I$532:$AJ$532&amp;'Gastos com Pessoal'!$I$512:$AJ$512,0),10,1)),0)+_xlfn.IFNA(SUM((AZ$3&gt;='Gastos com Pessoal'!$E$513:$E$522)*(AZ$3&lt;='Gastos com Pessoal'!$F$513:$F$522)*(IF('Gastos com Pessoal'!$Y$513:$Y$522&lt;=AZ$3,1,0))*OFFSET('Gastos com Pessoal'!$H$512,1,MATCH(4&amp;$B51,'Gastos com Pessoal'!$I$532:$AJ$532&amp;'Gastos com Pessoal'!$I$512:$AJ$512,0),10,1)),0)+_xlfn.IFNA(SUM((AZ$3&gt;='Gastos com Pessoal'!$E$513:$E$522)*(AZ$3&lt;='Gastos com Pessoal'!$F$513:$F$522)*(IF('Gastos com Pessoal'!$AE$513:$AE$522&lt;=AZ$3,1,0))*OFFSET('Gastos com Pessoal'!$H$512,1,MATCH(5&amp;$B51,'Gastos com Pessoal'!$I$532:$AJ$532&amp;'Gastos com Pessoal'!$I$512:$AJ$512,0),10,1)),0)</f>
        <v>1457.27999999999</v>
      </c>
      <c r="BA51" s="188">
        <f t="array" aca="1" ref="BA51" ca="1">_xlfn.IFNA(SUM((BA$3&gt;='Gastos com Pessoal'!$E$7:$E$506)*(BA$3&lt;='Gastos com Pessoal'!$F$7:$F$506)*OFFSET('Encargos e Benefícios'!$D$5,1,MATCH($B51,'Encargos e Benefícios'!$E$5:$AB$5,0),500,1)),0)+_xlfn.IFNA(SUM((BA$3&gt;='Gastos com Pessoal'!$E$513:$E$522)*(BA$3&lt;='Gastos com Pessoal'!$F$513:$F$522)*OFFSET('Encargos e Benefícios'!$D$511,1,MATCH($B51,'Encargos e Benefícios'!$E$511:$AB$511,0),10,1)),0)+_xlfn.IFNA(SUM((BA$3&gt;='Gastos com Pessoal'!$E$7:$E$506)*(BA$3&lt;='Gastos com Pessoal'!$F$7:$F$506)*(IF('Gastos com Pessoal'!$G$7:$G$506&lt;=BA$3,1,0))*OFFSET('Gastos com Pessoal'!$H$6,1,MATCH(1&amp;$B51,'Gastos com Pessoal'!$I$532:$AJ$532&amp;'Gastos com Pessoal'!$I$6:$AJ$6,0),500,1)),0)+_xlfn.IFNA(SUM((BA$3&gt;='Gastos com Pessoal'!$E$7:$E$506)*(BA$3&lt;='Gastos com Pessoal'!$F$7:$F$506)*(IF('Gastos com Pessoal'!$M$7:$M$506&lt;=BA$3,1,0))*OFFSET('Gastos com Pessoal'!$H$6,1,MATCH(2&amp;$B51,'Gastos com Pessoal'!$I$532:$AJ$532&amp;'Gastos com Pessoal'!$I$6:$AJ$6,0),500,1)),0)+_xlfn.IFNA(SUM((BA$3&gt;='Gastos com Pessoal'!$E$7:$E$506)*(BA$3&lt;='Gastos com Pessoal'!$F$7:$F$506)*(IF('Gastos com Pessoal'!$S$7:$S$506&lt;=BA$3,1,0))*OFFSET('Gastos com Pessoal'!$H$6,1,MATCH(3&amp;$B51,'Gastos com Pessoal'!$I$532:$AJ$532&amp;'Gastos com Pessoal'!$I$6:$AJ$6,0),500,1)),0)+_xlfn.IFNA(SUM((BA$3&gt;='Gastos com Pessoal'!$E$7:$E$506)*(BA$3&lt;='Gastos com Pessoal'!$F$7:$F$506)*(IF('Gastos com Pessoal'!$Y$7:$Y$506&lt;=BA$3,1,0))*OFFSET('Gastos com Pessoal'!$H$6,1,MATCH(4&amp;$B51,'Gastos com Pessoal'!$I$532:$AJ$532&amp;'Gastos com Pessoal'!$I$6:$AJ$6,0),500,1)),0)+_xlfn.IFNA(SUM((BA$3&gt;='Gastos com Pessoal'!$E$7:$E$506)*(BA$3&lt;='Gastos com Pessoal'!$F$7:$F$506)*(IF('Gastos com Pessoal'!$AE$7:$AE$506&lt;=BA$3,1,0))*OFFSET('Gastos com Pessoal'!$H$6,1,MATCH(5&amp;$B51,'Gastos com Pessoal'!$I$532:$AJ$532&amp;'Gastos com Pessoal'!$I$6:$AJ$6,0),500,1)),0)+_xlfn.IFNA(SUM((BA$3&gt;='Gastos com Pessoal'!$E$513:$E$522)*(BA$3&lt;='Gastos com Pessoal'!$F$513:$F$522)*(IF('Gastos com Pessoal'!$G$513:$G$522&lt;=BA$3,1,0))*OFFSET('Gastos com Pessoal'!$H$512,1,MATCH(1&amp;$B51,'Gastos com Pessoal'!$I$532:$AJ$532&amp;'Gastos com Pessoal'!$I$512:$AJ$512,0),10,1)),0)+_xlfn.IFNA(SUM((BA$3&gt;='Gastos com Pessoal'!$E$513:$E$522)*(BA$3&lt;='Gastos com Pessoal'!$F$513:$F$522)*(IF('Gastos com Pessoal'!$M$513:$M$522&lt;=BA$3,1,0))*OFFSET('Gastos com Pessoal'!$H$512,1,MATCH(2&amp;$B51,'Gastos com Pessoal'!$I$532:$AJ$532&amp;'Gastos com Pessoal'!$I$512:$AJ$512,0),10,1)),0)+_xlfn.IFNA(SUM((BA$3&gt;='Gastos com Pessoal'!$E$513:$E$522)*(BA$3&lt;='Gastos com Pessoal'!$F$513:$F$522)*(IF('Gastos com Pessoal'!$S$513:$S$522&lt;=BA$3,1,0))*OFFSET('Gastos com Pessoal'!$H$512,1,MATCH(3&amp;$B51,'Gastos com Pessoal'!$I$532:$AJ$532&amp;'Gastos com Pessoal'!$I$512:$AJ$512,0),10,1)),0)+_xlfn.IFNA(SUM((BA$3&gt;='Gastos com Pessoal'!$E$513:$E$522)*(BA$3&lt;='Gastos com Pessoal'!$F$513:$F$522)*(IF('Gastos com Pessoal'!$Y$513:$Y$522&lt;=BA$3,1,0))*OFFSET('Gastos com Pessoal'!$H$512,1,MATCH(4&amp;$B51,'Gastos com Pessoal'!$I$532:$AJ$532&amp;'Gastos com Pessoal'!$I$512:$AJ$512,0),10,1)),0)+_xlfn.IFNA(SUM((BA$3&gt;='Gastos com Pessoal'!$E$513:$E$522)*(BA$3&lt;='Gastos com Pessoal'!$F$513:$F$522)*(IF('Gastos com Pessoal'!$AE$513:$AE$522&lt;=BA$3,1,0))*OFFSET('Gastos com Pessoal'!$H$512,1,MATCH(5&amp;$B51,'Gastos com Pessoal'!$I$532:$AJ$532&amp;'Gastos com Pessoal'!$I$512:$AJ$512,0),10,1)),0)</f>
        <v>1457.27999999999</v>
      </c>
      <c r="BB51" s="188">
        <f t="array" aca="1" ref="BB51" ca="1">_xlfn.IFNA(SUM((BB$3&gt;='Gastos com Pessoal'!$E$7:$E$506)*(BB$3&lt;='Gastos com Pessoal'!$F$7:$F$506)*OFFSET('Encargos e Benefícios'!$D$5,1,MATCH($B51,'Encargos e Benefícios'!$E$5:$AB$5,0),500,1)),0)+_xlfn.IFNA(SUM((BB$3&gt;='Gastos com Pessoal'!$E$513:$E$522)*(BB$3&lt;='Gastos com Pessoal'!$F$513:$F$522)*OFFSET('Encargos e Benefícios'!$D$511,1,MATCH($B51,'Encargos e Benefícios'!$E$511:$AB$511,0),10,1)),0)+_xlfn.IFNA(SUM((BB$3&gt;='Gastos com Pessoal'!$E$7:$E$506)*(BB$3&lt;='Gastos com Pessoal'!$F$7:$F$506)*(IF('Gastos com Pessoal'!$G$7:$G$506&lt;=BB$3,1,0))*OFFSET('Gastos com Pessoal'!$H$6,1,MATCH(1&amp;$B51,'Gastos com Pessoal'!$I$532:$AJ$532&amp;'Gastos com Pessoal'!$I$6:$AJ$6,0),500,1)),0)+_xlfn.IFNA(SUM((BB$3&gt;='Gastos com Pessoal'!$E$7:$E$506)*(BB$3&lt;='Gastos com Pessoal'!$F$7:$F$506)*(IF('Gastos com Pessoal'!$M$7:$M$506&lt;=BB$3,1,0))*OFFSET('Gastos com Pessoal'!$H$6,1,MATCH(2&amp;$B51,'Gastos com Pessoal'!$I$532:$AJ$532&amp;'Gastos com Pessoal'!$I$6:$AJ$6,0),500,1)),0)+_xlfn.IFNA(SUM((BB$3&gt;='Gastos com Pessoal'!$E$7:$E$506)*(BB$3&lt;='Gastos com Pessoal'!$F$7:$F$506)*(IF('Gastos com Pessoal'!$S$7:$S$506&lt;=BB$3,1,0))*OFFSET('Gastos com Pessoal'!$H$6,1,MATCH(3&amp;$B51,'Gastos com Pessoal'!$I$532:$AJ$532&amp;'Gastos com Pessoal'!$I$6:$AJ$6,0),500,1)),0)+_xlfn.IFNA(SUM((BB$3&gt;='Gastos com Pessoal'!$E$7:$E$506)*(BB$3&lt;='Gastos com Pessoal'!$F$7:$F$506)*(IF('Gastos com Pessoal'!$Y$7:$Y$506&lt;=BB$3,1,0))*OFFSET('Gastos com Pessoal'!$H$6,1,MATCH(4&amp;$B51,'Gastos com Pessoal'!$I$532:$AJ$532&amp;'Gastos com Pessoal'!$I$6:$AJ$6,0),500,1)),0)+_xlfn.IFNA(SUM((BB$3&gt;='Gastos com Pessoal'!$E$7:$E$506)*(BB$3&lt;='Gastos com Pessoal'!$F$7:$F$506)*(IF('Gastos com Pessoal'!$AE$7:$AE$506&lt;=BB$3,1,0))*OFFSET('Gastos com Pessoal'!$H$6,1,MATCH(5&amp;$B51,'Gastos com Pessoal'!$I$532:$AJ$532&amp;'Gastos com Pessoal'!$I$6:$AJ$6,0),500,1)),0)+_xlfn.IFNA(SUM((BB$3&gt;='Gastos com Pessoal'!$E$513:$E$522)*(BB$3&lt;='Gastos com Pessoal'!$F$513:$F$522)*(IF('Gastos com Pessoal'!$G$513:$G$522&lt;=BB$3,1,0))*OFFSET('Gastos com Pessoal'!$H$512,1,MATCH(1&amp;$B51,'Gastos com Pessoal'!$I$532:$AJ$532&amp;'Gastos com Pessoal'!$I$512:$AJ$512,0),10,1)),0)+_xlfn.IFNA(SUM((BB$3&gt;='Gastos com Pessoal'!$E$513:$E$522)*(BB$3&lt;='Gastos com Pessoal'!$F$513:$F$522)*(IF('Gastos com Pessoal'!$M$513:$M$522&lt;=BB$3,1,0))*OFFSET('Gastos com Pessoal'!$H$512,1,MATCH(2&amp;$B51,'Gastos com Pessoal'!$I$532:$AJ$532&amp;'Gastos com Pessoal'!$I$512:$AJ$512,0),10,1)),0)+_xlfn.IFNA(SUM((BB$3&gt;='Gastos com Pessoal'!$E$513:$E$522)*(BB$3&lt;='Gastos com Pessoal'!$F$513:$F$522)*(IF('Gastos com Pessoal'!$S$513:$S$522&lt;=BB$3,1,0))*OFFSET('Gastos com Pessoal'!$H$512,1,MATCH(3&amp;$B51,'Gastos com Pessoal'!$I$532:$AJ$532&amp;'Gastos com Pessoal'!$I$512:$AJ$512,0),10,1)),0)+_xlfn.IFNA(SUM((BB$3&gt;='Gastos com Pessoal'!$E$513:$E$522)*(BB$3&lt;='Gastos com Pessoal'!$F$513:$F$522)*(IF('Gastos com Pessoal'!$Y$513:$Y$522&lt;=BB$3,1,0))*OFFSET('Gastos com Pessoal'!$H$512,1,MATCH(4&amp;$B51,'Gastos com Pessoal'!$I$532:$AJ$532&amp;'Gastos com Pessoal'!$I$512:$AJ$512,0),10,1)),0)+_xlfn.IFNA(SUM((BB$3&gt;='Gastos com Pessoal'!$E$513:$E$522)*(BB$3&lt;='Gastos com Pessoal'!$F$513:$F$522)*(IF('Gastos com Pessoal'!$AE$513:$AE$522&lt;=BB$3,1,0))*OFFSET('Gastos com Pessoal'!$H$512,1,MATCH(5&amp;$B51,'Gastos com Pessoal'!$I$532:$AJ$532&amp;'Gastos com Pessoal'!$I$512:$AJ$512,0),10,1)),0)</f>
        <v>1457.27999999999</v>
      </c>
      <c r="BC51" s="188">
        <f t="array" aca="1" ref="BC51" ca="1">_xlfn.IFNA(SUM((BC$3&gt;='Gastos com Pessoal'!$E$7:$E$506)*(BC$3&lt;='Gastos com Pessoal'!$F$7:$F$506)*OFFSET('Encargos e Benefícios'!$D$5,1,MATCH($B51,'Encargos e Benefícios'!$E$5:$AB$5,0),500,1)),0)+_xlfn.IFNA(SUM((BC$3&gt;='Gastos com Pessoal'!$E$513:$E$522)*(BC$3&lt;='Gastos com Pessoal'!$F$513:$F$522)*OFFSET('Encargos e Benefícios'!$D$511,1,MATCH($B51,'Encargos e Benefícios'!$E$511:$AB$511,0),10,1)),0)+_xlfn.IFNA(SUM((BC$3&gt;='Gastos com Pessoal'!$E$7:$E$506)*(BC$3&lt;='Gastos com Pessoal'!$F$7:$F$506)*(IF('Gastos com Pessoal'!$G$7:$G$506&lt;=BC$3,1,0))*OFFSET('Gastos com Pessoal'!$H$6,1,MATCH(1&amp;$B51,'Gastos com Pessoal'!$I$532:$AJ$532&amp;'Gastos com Pessoal'!$I$6:$AJ$6,0),500,1)),0)+_xlfn.IFNA(SUM((BC$3&gt;='Gastos com Pessoal'!$E$7:$E$506)*(BC$3&lt;='Gastos com Pessoal'!$F$7:$F$506)*(IF('Gastos com Pessoal'!$M$7:$M$506&lt;=BC$3,1,0))*OFFSET('Gastos com Pessoal'!$H$6,1,MATCH(2&amp;$B51,'Gastos com Pessoal'!$I$532:$AJ$532&amp;'Gastos com Pessoal'!$I$6:$AJ$6,0),500,1)),0)+_xlfn.IFNA(SUM((BC$3&gt;='Gastos com Pessoal'!$E$7:$E$506)*(BC$3&lt;='Gastos com Pessoal'!$F$7:$F$506)*(IF('Gastos com Pessoal'!$S$7:$S$506&lt;=BC$3,1,0))*OFFSET('Gastos com Pessoal'!$H$6,1,MATCH(3&amp;$B51,'Gastos com Pessoal'!$I$532:$AJ$532&amp;'Gastos com Pessoal'!$I$6:$AJ$6,0),500,1)),0)+_xlfn.IFNA(SUM((BC$3&gt;='Gastos com Pessoal'!$E$7:$E$506)*(BC$3&lt;='Gastos com Pessoal'!$F$7:$F$506)*(IF('Gastos com Pessoal'!$Y$7:$Y$506&lt;=BC$3,1,0))*OFFSET('Gastos com Pessoal'!$H$6,1,MATCH(4&amp;$B51,'Gastos com Pessoal'!$I$532:$AJ$532&amp;'Gastos com Pessoal'!$I$6:$AJ$6,0),500,1)),0)+_xlfn.IFNA(SUM((BC$3&gt;='Gastos com Pessoal'!$E$7:$E$506)*(BC$3&lt;='Gastos com Pessoal'!$F$7:$F$506)*(IF('Gastos com Pessoal'!$AE$7:$AE$506&lt;=BC$3,1,0))*OFFSET('Gastos com Pessoal'!$H$6,1,MATCH(5&amp;$B51,'Gastos com Pessoal'!$I$532:$AJ$532&amp;'Gastos com Pessoal'!$I$6:$AJ$6,0),500,1)),0)+_xlfn.IFNA(SUM((BC$3&gt;='Gastos com Pessoal'!$E$513:$E$522)*(BC$3&lt;='Gastos com Pessoal'!$F$513:$F$522)*(IF('Gastos com Pessoal'!$G$513:$G$522&lt;=BC$3,1,0))*OFFSET('Gastos com Pessoal'!$H$512,1,MATCH(1&amp;$B51,'Gastos com Pessoal'!$I$532:$AJ$532&amp;'Gastos com Pessoal'!$I$512:$AJ$512,0),10,1)),0)+_xlfn.IFNA(SUM((BC$3&gt;='Gastos com Pessoal'!$E$513:$E$522)*(BC$3&lt;='Gastos com Pessoal'!$F$513:$F$522)*(IF('Gastos com Pessoal'!$M$513:$M$522&lt;=BC$3,1,0))*OFFSET('Gastos com Pessoal'!$H$512,1,MATCH(2&amp;$B51,'Gastos com Pessoal'!$I$532:$AJ$532&amp;'Gastos com Pessoal'!$I$512:$AJ$512,0),10,1)),0)+_xlfn.IFNA(SUM((BC$3&gt;='Gastos com Pessoal'!$E$513:$E$522)*(BC$3&lt;='Gastos com Pessoal'!$F$513:$F$522)*(IF('Gastos com Pessoal'!$S$513:$S$522&lt;=BC$3,1,0))*OFFSET('Gastos com Pessoal'!$H$512,1,MATCH(3&amp;$B51,'Gastos com Pessoal'!$I$532:$AJ$532&amp;'Gastos com Pessoal'!$I$512:$AJ$512,0),10,1)),0)+_xlfn.IFNA(SUM((BC$3&gt;='Gastos com Pessoal'!$E$513:$E$522)*(BC$3&lt;='Gastos com Pessoal'!$F$513:$F$522)*(IF('Gastos com Pessoal'!$Y$513:$Y$522&lt;=BC$3,1,0))*OFFSET('Gastos com Pessoal'!$H$512,1,MATCH(4&amp;$B51,'Gastos com Pessoal'!$I$532:$AJ$532&amp;'Gastos com Pessoal'!$I$512:$AJ$512,0),10,1)),0)+_xlfn.IFNA(SUM((BC$3&gt;='Gastos com Pessoal'!$E$513:$E$522)*(BC$3&lt;='Gastos com Pessoal'!$F$513:$F$522)*(IF('Gastos com Pessoal'!$AE$513:$AE$522&lt;=BC$3,1,0))*OFFSET('Gastos com Pessoal'!$H$512,1,MATCH(5&amp;$B51,'Gastos com Pessoal'!$I$532:$AJ$532&amp;'Gastos com Pessoal'!$I$512:$AJ$512,0),10,1)),0)</f>
        <v>1457.27999999999</v>
      </c>
      <c r="BD51" s="188">
        <f t="array" aca="1" ref="BD51" ca="1">_xlfn.IFNA(SUM((BD$3&gt;='Gastos com Pessoal'!$E$7:$E$506)*(BD$3&lt;='Gastos com Pessoal'!$F$7:$F$506)*OFFSET('Encargos e Benefícios'!$D$5,1,MATCH($B51,'Encargos e Benefícios'!$E$5:$AB$5,0),500,1)),0)+_xlfn.IFNA(SUM((BD$3&gt;='Gastos com Pessoal'!$E$513:$E$522)*(BD$3&lt;='Gastos com Pessoal'!$F$513:$F$522)*OFFSET('Encargos e Benefícios'!$D$511,1,MATCH($B51,'Encargos e Benefícios'!$E$511:$AB$511,0),10,1)),0)+_xlfn.IFNA(SUM((BD$3&gt;='Gastos com Pessoal'!$E$7:$E$506)*(BD$3&lt;='Gastos com Pessoal'!$F$7:$F$506)*(IF('Gastos com Pessoal'!$G$7:$G$506&lt;=BD$3,1,0))*OFFSET('Gastos com Pessoal'!$H$6,1,MATCH(1&amp;$B51,'Gastos com Pessoal'!$I$532:$AJ$532&amp;'Gastos com Pessoal'!$I$6:$AJ$6,0),500,1)),0)+_xlfn.IFNA(SUM((BD$3&gt;='Gastos com Pessoal'!$E$7:$E$506)*(BD$3&lt;='Gastos com Pessoal'!$F$7:$F$506)*(IF('Gastos com Pessoal'!$M$7:$M$506&lt;=BD$3,1,0))*OFFSET('Gastos com Pessoal'!$H$6,1,MATCH(2&amp;$B51,'Gastos com Pessoal'!$I$532:$AJ$532&amp;'Gastos com Pessoal'!$I$6:$AJ$6,0),500,1)),0)+_xlfn.IFNA(SUM((BD$3&gt;='Gastos com Pessoal'!$E$7:$E$506)*(BD$3&lt;='Gastos com Pessoal'!$F$7:$F$506)*(IF('Gastos com Pessoal'!$S$7:$S$506&lt;=BD$3,1,0))*OFFSET('Gastos com Pessoal'!$H$6,1,MATCH(3&amp;$B51,'Gastos com Pessoal'!$I$532:$AJ$532&amp;'Gastos com Pessoal'!$I$6:$AJ$6,0),500,1)),0)+_xlfn.IFNA(SUM((BD$3&gt;='Gastos com Pessoal'!$E$7:$E$506)*(BD$3&lt;='Gastos com Pessoal'!$F$7:$F$506)*(IF('Gastos com Pessoal'!$Y$7:$Y$506&lt;=BD$3,1,0))*OFFSET('Gastos com Pessoal'!$H$6,1,MATCH(4&amp;$B51,'Gastos com Pessoal'!$I$532:$AJ$532&amp;'Gastos com Pessoal'!$I$6:$AJ$6,0),500,1)),0)+_xlfn.IFNA(SUM((BD$3&gt;='Gastos com Pessoal'!$E$7:$E$506)*(BD$3&lt;='Gastos com Pessoal'!$F$7:$F$506)*(IF('Gastos com Pessoal'!$AE$7:$AE$506&lt;=BD$3,1,0))*OFFSET('Gastos com Pessoal'!$H$6,1,MATCH(5&amp;$B51,'Gastos com Pessoal'!$I$532:$AJ$532&amp;'Gastos com Pessoal'!$I$6:$AJ$6,0),500,1)),0)+_xlfn.IFNA(SUM((BD$3&gt;='Gastos com Pessoal'!$E$513:$E$522)*(BD$3&lt;='Gastos com Pessoal'!$F$513:$F$522)*(IF('Gastos com Pessoal'!$G$513:$G$522&lt;=BD$3,1,0))*OFFSET('Gastos com Pessoal'!$H$512,1,MATCH(1&amp;$B51,'Gastos com Pessoal'!$I$532:$AJ$532&amp;'Gastos com Pessoal'!$I$512:$AJ$512,0),10,1)),0)+_xlfn.IFNA(SUM((BD$3&gt;='Gastos com Pessoal'!$E$513:$E$522)*(BD$3&lt;='Gastos com Pessoal'!$F$513:$F$522)*(IF('Gastos com Pessoal'!$M$513:$M$522&lt;=BD$3,1,0))*OFFSET('Gastos com Pessoal'!$H$512,1,MATCH(2&amp;$B51,'Gastos com Pessoal'!$I$532:$AJ$532&amp;'Gastos com Pessoal'!$I$512:$AJ$512,0),10,1)),0)+_xlfn.IFNA(SUM((BD$3&gt;='Gastos com Pessoal'!$E$513:$E$522)*(BD$3&lt;='Gastos com Pessoal'!$F$513:$F$522)*(IF('Gastos com Pessoal'!$S$513:$S$522&lt;=BD$3,1,0))*OFFSET('Gastos com Pessoal'!$H$512,1,MATCH(3&amp;$B51,'Gastos com Pessoal'!$I$532:$AJ$532&amp;'Gastos com Pessoal'!$I$512:$AJ$512,0),10,1)),0)+_xlfn.IFNA(SUM((BD$3&gt;='Gastos com Pessoal'!$E$513:$E$522)*(BD$3&lt;='Gastos com Pessoal'!$F$513:$F$522)*(IF('Gastos com Pessoal'!$Y$513:$Y$522&lt;=BD$3,1,0))*OFFSET('Gastos com Pessoal'!$H$512,1,MATCH(4&amp;$B51,'Gastos com Pessoal'!$I$532:$AJ$532&amp;'Gastos com Pessoal'!$I$512:$AJ$512,0),10,1)),0)+_xlfn.IFNA(SUM((BD$3&gt;='Gastos com Pessoal'!$E$513:$E$522)*(BD$3&lt;='Gastos com Pessoal'!$F$513:$F$522)*(IF('Gastos com Pessoal'!$AE$513:$AE$522&lt;=BD$3,1,0))*OFFSET('Gastos com Pessoal'!$H$512,1,MATCH(5&amp;$B51,'Gastos com Pessoal'!$I$532:$AJ$532&amp;'Gastos com Pessoal'!$I$512:$AJ$512,0),10,1)),0)</f>
        <v>1457.27999999999</v>
      </c>
      <c r="BE51" s="188">
        <f t="array" aca="1" ref="BE51" ca="1">_xlfn.IFNA(SUM((BE$3&gt;='Gastos com Pessoal'!$E$7:$E$506)*(BE$3&lt;='Gastos com Pessoal'!$F$7:$F$506)*OFFSET('Encargos e Benefícios'!$D$5,1,MATCH($B51,'Encargos e Benefícios'!$E$5:$AB$5,0),500,1)),0)+_xlfn.IFNA(SUM((BE$3&gt;='Gastos com Pessoal'!$E$513:$E$522)*(BE$3&lt;='Gastos com Pessoal'!$F$513:$F$522)*OFFSET('Encargos e Benefícios'!$D$511,1,MATCH($B51,'Encargos e Benefícios'!$E$511:$AB$511,0),10,1)),0)+_xlfn.IFNA(SUM((BE$3&gt;='Gastos com Pessoal'!$E$7:$E$506)*(BE$3&lt;='Gastos com Pessoal'!$F$7:$F$506)*(IF('Gastos com Pessoal'!$G$7:$G$506&lt;=BE$3,1,0))*OFFSET('Gastos com Pessoal'!$H$6,1,MATCH(1&amp;$B51,'Gastos com Pessoal'!$I$532:$AJ$532&amp;'Gastos com Pessoal'!$I$6:$AJ$6,0),500,1)),0)+_xlfn.IFNA(SUM((BE$3&gt;='Gastos com Pessoal'!$E$7:$E$506)*(BE$3&lt;='Gastos com Pessoal'!$F$7:$F$506)*(IF('Gastos com Pessoal'!$M$7:$M$506&lt;=BE$3,1,0))*OFFSET('Gastos com Pessoal'!$H$6,1,MATCH(2&amp;$B51,'Gastos com Pessoal'!$I$532:$AJ$532&amp;'Gastos com Pessoal'!$I$6:$AJ$6,0),500,1)),0)+_xlfn.IFNA(SUM((BE$3&gt;='Gastos com Pessoal'!$E$7:$E$506)*(BE$3&lt;='Gastos com Pessoal'!$F$7:$F$506)*(IF('Gastos com Pessoal'!$S$7:$S$506&lt;=BE$3,1,0))*OFFSET('Gastos com Pessoal'!$H$6,1,MATCH(3&amp;$B51,'Gastos com Pessoal'!$I$532:$AJ$532&amp;'Gastos com Pessoal'!$I$6:$AJ$6,0),500,1)),0)+_xlfn.IFNA(SUM((BE$3&gt;='Gastos com Pessoal'!$E$7:$E$506)*(BE$3&lt;='Gastos com Pessoal'!$F$7:$F$506)*(IF('Gastos com Pessoal'!$Y$7:$Y$506&lt;=BE$3,1,0))*OFFSET('Gastos com Pessoal'!$H$6,1,MATCH(4&amp;$B51,'Gastos com Pessoal'!$I$532:$AJ$532&amp;'Gastos com Pessoal'!$I$6:$AJ$6,0),500,1)),0)+_xlfn.IFNA(SUM((BE$3&gt;='Gastos com Pessoal'!$E$7:$E$506)*(BE$3&lt;='Gastos com Pessoal'!$F$7:$F$506)*(IF('Gastos com Pessoal'!$AE$7:$AE$506&lt;=BE$3,1,0))*OFFSET('Gastos com Pessoal'!$H$6,1,MATCH(5&amp;$B51,'Gastos com Pessoal'!$I$532:$AJ$532&amp;'Gastos com Pessoal'!$I$6:$AJ$6,0),500,1)),0)+_xlfn.IFNA(SUM((BE$3&gt;='Gastos com Pessoal'!$E$513:$E$522)*(BE$3&lt;='Gastos com Pessoal'!$F$513:$F$522)*(IF('Gastos com Pessoal'!$G$513:$G$522&lt;=BE$3,1,0))*OFFSET('Gastos com Pessoal'!$H$512,1,MATCH(1&amp;$B51,'Gastos com Pessoal'!$I$532:$AJ$532&amp;'Gastos com Pessoal'!$I$512:$AJ$512,0),10,1)),0)+_xlfn.IFNA(SUM((BE$3&gt;='Gastos com Pessoal'!$E$513:$E$522)*(BE$3&lt;='Gastos com Pessoal'!$F$513:$F$522)*(IF('Gastos com Pessoal'!$M$513:$M$522&lt;=BE$3,1,0))*OFFSET('Gastos com Pessoal'!$H$512,1,MATCH(2&amp;$B51,'Gastos com Pessoal'!$I$532:$AJ$532&amp;'Gastos com Pessoal'!$I$512:$AJ$512,0),10,1)),0)+_xlfn.IFNA(SUM((BE$3&gt;='Gastos com Pessoal'!$E$513:$E$522)*(BE$3&lt;='Gastos com Pessoal'!$F$513:$F$522)*(IF('Gastos com Pessoal'!$S$513:$S$522&lt;=BE$3,1,0))*OFFSET('Gastos com Pessoal'!$H$512,1,MATCH(3&amp;$B51,'Gastos com Pessoal'!$I$532:$AJ$532&amp;'Gastos com Pessoal'!$I$512:$AJ$512,0),10,1)),0)+_xlfn.IFNA(SUM((BE$3&gt;='Gastos com Pessoal'!$E$513:$E$522)*(BE$3&lt;='Gastos com Pessoal'!$F$513:$F$522)*(IF('Gastos com Pessoal'!$Y$513:$Y$522&lt;=BE$3,1,0))*OFFSET('Gastos com Pessoal'!$H$512,1,MATCH(4&amp;$B51,'Gastos com Pessoal'!$I$532:$AJ$532&amp;'Gastos com Pessoal'!$I$512:$AJ$512,0),10,1)),0)+_xlfn.IFNA(SUM((BE$3&gt;='Gastos com Pessoal'!$E$513:$E$522)*(BE$3&lt;='Gastos com Pessoal'!$F$513:$F$522)*(IF('Gastos com Pessoal'!$AE$513:$AE$522&lt;=BE$3,1,0))*OFFSET('Gastos com Pessoal'!$H$512,1,MATCH(5&amp;$B51,'Gastos com Pessoal'!$I$532:$AJ$532&amp;'Gastos com Pessoal'!$I$512:$AJ$512,0),10,1)),0)</f>
        <v>1457.27999999999</v>
      </c>
      <c r="BF51" s="188">
        <f t="array" aca="1" ref="BF51" ca="1">_xlfn.IFNA(SUM((BF$3&gt;='Gastos com Pessoal'!$E$7:$E$506)*(BF$3&lt;='Gastos com Pessoal'!$F$7:$F$506)*OFFSET('Encargos e Benefícios'!$D$5,1,MATCH($B51,'Encargos e Benefícios'!$E$5:$AB$5,0),500,1)),0)+_xlfn.IFNA(SUM((BF$3&gt;='Gastos com Pessoal'!$E$513:$E$522)*(BF$3&lt;='Gastos com Pessoal'!$F$513:$F$522)*OFFSET('Encargos e Benefícios'!$D$511,1,MATCH($B51,'Encargos e Benefícios'!$E$511:$AB$511,0),10,1)),0)+_xlfn.IFNA(SUM((BF$3&gt;='Gastos com Pessoal'!$E$7:$E$506)*(BF$3&lt;='Gastos com Pessoal'!$F$7:$F$506)*(IF('Gastos com Pessoal'!$G$7:$G$506&lt;=BF$3,1,0))*OFFSET('Gastos com Pessoal'!$H$6,1,MATCH(1&amp;$B51,'Gastos com Pessoal'!$I$532:$AJ$532&amp;'Gastos com Pessoal'!$I$6:$AJ$6,0),500,1)),0)+_xlfn.IFNA(SUM((BF$3&gt;='Gastos com Pessoal'!$E$7:$E$506)*(BF$3&lt;='Gastos com Pessoal'!$F$7:$F$506)*(IF('Gastos com Pessoal'!$M$7:$M$506&lt;=BF$3,1,0))*OFFSET('Gastos com Pessoal'!$H$6,1,MATCH(2&amp;$B51,'Gastos com Pessoal'!$I$532:$AJ$532&amp;'Gastos com Pessoal'!$I$6:$AJ$6,0),500,1)),0)+_xlfn.IFNA(SUM((BF$3&gt;='Gastos com Pessoal'!$E$7:$E$506)*(BF$3&lt;='Gastos com Pessoal'!$F$7:$F$506)*(IF('Gastos com Pessoal'!$S$7:$S$506&lt;=BF$3,1,0))*OFFSET('Gastos com Pessoal'!$H$6,1,MATCH(3&amp;$B51,'Gastos com Pessoal'!$I$532:$AJ$532&amp;'Gastos com Pessoal'!$I$6:$AJ$6,0),500,1)),0)+_xlfn.IFNA(SUM((BF$3&gt;='Gastos com Pessoal'!$E$7:$E$506)*(BF$3&lt;='Gastos com Pessoal'!$F$7:$F$506)*(IF('Gastos com Pessoal'!$Y$7:$Y$506&lt;=BF$3,1,0))*OFFSET('Gastos com Pessoal'!$H$6,1,MATCH(4&amp;$B51,'Gastos com Pessoal'!$I$532:$AJ$532&amp;'Gastos com Pessoal'!$I$6:$AJ$6,0),500,1)),0)+_xlfn.IFNA(SUM((BF$3&gt;='Gastos com Pessoal'!$E$7:$E$506)*(BF$3&lt;='Gastos com Pessoal'!$F$7:$F$506)*(IF('Gastos com Pessoal'!$AE$7:$AE$506&lt;=BF$3,1,0))*OFFSET('Gastos com Pessoal'!$H$6,1,MATCH(5&amp;$B51,'Gastos com Pessoal'!$I$532:$AJ$532&amp;'Gastos com Pessoal'!$I$6:$AJ$6,0),500,1)),0)+_xlfn.IFNA(SUM((BF$3&gt;='Gastos com Pessoal'!$E$513:$E$522)*(BF$3&lt;='Gastos com Pessoal'!$F$513:$F$522)*(IF('Gastos com Pessoal'!$G$513:$G$522&lt;=BF$3,1,0))*OFFSET('Gastos com Pessoal'!$H$512,1,MATCH(1&amp;$B51,'Gastos com Pessoal'!$I$532:$AJ$532&amp;'Gastos com Pessoal'!$I$512:$AJ$512,0),10,1)),0)+_xlfn.IFNA(SUM((BF$3&gt;='Gastos com Pessoal'!$E$513:$E$522)*(BF$3&lt;='Gastos com Pessoal'!$F$513:$F$522)*(IF('Gastos com Pessoal'!$M$513:$M$522&lt;=BF$3,1,0))*OFFSET('Gastos com Pessoal'!$H$512,1,MATCH(2&amp;$B51,'Gastos com Pessoal'!$I$532:$AJ$532&amp;'Gastos com Pessoal'!$I$512:$AJ$512,0),10,1)),0)+_xlfn.IFNA(SUM((BF$3&gt;='Gastos com Pessoal'!$E$513:$E$522)*(BF$3&lt;='Gastos com Pessoal'!$F$513:$F$522)*(IF('Gastos com Pessoal'!$S$513:$S$522&lt;=BF$3,1,0))*OFFSET('Gastos com Pessoal'!$H$512,1,MATCH(3&amp;$B51,'Gastos com Pessoal'!$I$532:$AJ$532&amp;'Gastos com Pessoal'!$I$512:$AJ$512,0),10,1)),0)+_xlfn.IFNA(SUM((BF$3&gt;='Gastos com Pessoal'!$E$513:$E$522)*(BF$3&lt;='Gastos com Pessoal'!$F$513:$F$522)*(IF('Gastos com Pessoal'!$Y$513:$Y$522&lt;=BF$3,1,0))*OFFSET('Gastos com Pessoal'!$H$512,1,MATCH(4&amp;$B51,'Gastos com Pessoal'!$I$532:$AJ$532&amp;'Gastos com Pessoal'!$I$512:$AJ$512,0),10,1)),0)+_xlfn.IFNA(SUM((BF$3&gt;='Gastos com Pessoal'!$E$513:$E$522)*(BF$3&lt;='Gastos com Pessoal'!$F$513:$F$522)*(IF('Gastos com Pessoal'!$AE$513:$AE$522&lt;=BF$3,1,0))*OFFSET('Gastos com Pessoal'!$H$512,1,MATCH(5&amp;$B51,'Gastos com Pessoal'!$I$532:$AJ$532&amp;'Gastos com Pessoal'!$I$512:$AJ$512,0),10,1)),0)</f>
        <v>1457.27999999999</v>
      </c>
      <c r="BG51" s="188">
        <f t="array" aca="1" ref="BG51" ca="1">_xlfn.IFNA(SUM((BG$3&gt;='Gastos com Pessoal'!$E$7:$E$506)*(BG$3&lt;='Gastos com Pessoal'!$F$7:$F$506)*OFFSET('Encargos e Benefícios'!$D$5,1,MATCH($B51,'Encargos e Benefícios'!$E$5:$AB$5,0),500,1)),0)+_xlfn.IFNA(SUM((BG$3&gt;='Gastos com Pessoal'!$E$513:$E$522)*(BG$3&lt;='Gastos com Pessoal'!$F$513:$F$522)*OFFSET('Encargos e Benefícios'!$D$511,1,MATCH($B51,'Encargos e Benefícios'!$E$511:$AB$511,0),10,1)),0)+_xlfn.IFNA(SUM((BG$3&gt;='Gastos com Pessoal'!$E$7:$E$506)*(BG$3&lt;='Gastos com Pessoal'!$F$7:$F$506)*(IF('Gastos com Pessoal'!$G$7:$G$506&lt;=BG$3,1,0))*OFFSET('Gastos com Pessoal'!$H$6,1,MATCH(1&amp;$B51,'Gastos com Pessoal'!$I$532:$AJ$532&amp;'Gastos com Pessoal'!$I$6:$AJ$6,0),500,1)),0)+_xlfn.IFNA(SUM((BG$3&gt;='Gastos com Pessoal'!$E$7:$E$506)*(BG$3&lt;='Gastos com Pessoal'!$F$7:$F$506)*(IF('Gastos com Pessoal'!$M$7:$M$506&lt;=BG$3,1,0))*OFFSET('Gastos com Pessoal'!$H$6,1,MATCH(2&amp;$B51,'Gastos com Pessoal'!$I$532:$AJ$532&amp;'Gastos com Pessoal'!$I$6:$AJ$6,0),500,1)),0)+_xlfn.IFNA(SUM((BG$3&gt;='Gastos com Pessoal'!$E$7:$E$506)*(BG$3&lt;='Gastos com Pessoal'!$F$7:$F$506)*(IF('Gastos com Pessoal'!$S$7:$S$506&lt;=BG$3,1,0))*OFFSET('Gastos com Pessoal'!$H$6,1,MATCH(3&amp;$B51,'Gastos com Pessoal'!$I$532:$AJ$532&amp;'Gastos com Pessoal'!$I$6:$AJ$6,0),500,1)),0)+_xlfn.IFNA(SUM((BG$3&gt;='Gastos com Pessoal'!$E$7:$E$506)*(BG$3&lt;='Gastos com Pessoal'!$F$7:$F$506)*(IF('Gastos com Pessoal'!$Y$7:$Y$506&lt;=BG$3,1,0))*OFFSET('Gastos com Pessoal'!$H$6,1,MATCH(4&amp;$B51,'Gastos com Pessoal'!$I$532:$AJ$532&amp;'Gastos com Pessoal'!$I$6:$AJ$6,0),500,1)),0)+_xlfn.IFNA(SUM((BG$3&gt;='Gastos com Pessoal'!$E$7:$E$506)*(BG$3&lt;='Gastos com Pessoal'!$F$7:$F$506)*(IF('Gastos com Pessoal'!$AE$7:$AE$506&lt;=BG$3,1,0))*OFFSET('Gastos com Pessoal'!$H$6,1,MATCH(5&amp;$B51,'Gastos com Pessoal'!$I$532:$AJ$532&amp;'Gastos com Pessoal'!$I$6:$AJ$6,0),500,1)),0)+_xlfn.IFNA(SUM((BG$3&gt;='Gastos com Pessoal'!$E$513:$E$522)*(BG$3&lt;='Gastos com Pessoal'!$F$513:$F$522)*(IF('Gastos com Pessoal'!$G$513:$G$522&lt;=BG$3,1,0))*OFFSET('Gastos com Pessoal'!$H$512,1,MATCH(1&amp;$B51,'Gastos com Pessoal'!$I$532:$AJ$532&amp;'Gastos com Pessoal'!$I$512:$AJ$512,0),10,1)),0)+_xlfn.IFNA(SUM((BG$3&gt;='Gastos com Pessoal'!$E$513:$E$522)*(BG$3&lt;='Gastos com Pessoal'!$F$513:$F$522)*(IF('Gastos com Pessoal'!$M$513:$M$522&lt;=BG$3,1,0))*OFFSET('Gastos com Pessoal'!$H$512,1,MATCH(2&amp;$B51,'Gastos com Pessoal'!$I$532:$AJ$532&amp;'Gastos com Pessoal'!$I$512:$AJ$512,0),10,1)),0)+_xlfn.IFNA(SUM((BG$3&gt;='Gastos com Pessoal'!$E$513:$E$522)*(BG$3&lt;='Gastos com Pessoal'!$F$513:$F$522)*(IF('Gastos com Pessoal'!$S$513:$S$522&lt;=BG$3,1,0))*OFFSET('Gastos com Pessoal'!$H$512,1,MATCH(3&amp;$B51,'Gastos com Pessoal'!$I$532:$AJ$532&amp;'Gastos com Pessoal'!$I$512:$AJ$512,0),10,1)),0)+_xlfn.IFNA(SUM((BG$3&gt;='Gastos com Pessoal'!$E$513:$E$522)*(BG$3&lt;='Gastos com Pessoal'!$F$513:$F$522)*(IF('Gastos com Pessoal'!$Y$513:$Y$522&lt;=BG$3,1,0))*OFFSET('Gastos com Pessoal'!$H$512,1,MATCH(4&amp;$B51,'Gastos com Pessoal'!$I$532:$AJ$532&amp;'Gastos com Pessoal'!$I$512:$AJ$512,0),10,1)),0)+_xlfn.IFNA(SUM((BG$3&gt;='Gastos com Pessoal'!$E$513:$E$522)*(BG$3&lt;='Gastos com Pessoal'!$F$513:$F$522)*(IF('Gastos com Pessoal'!$AE$513:$AE$522&lt;=BG$3,1,0))*OFFSET('Gastos com Pessoal'!$H$512,1,MATCH(5&amp;$B51,'Gastos com Pessoal'!$I$532:$AJ$532&amp;'Gastos com Pessoal'!$I$512:$AJ$512,0),10,1)),0)</f>
        <v>1457.27999999999</v>
      </c>
      <c r="BH51" s="188">
        <f t="array" aca="1" ref="BH51" ca="1">_xlfn.IFNA(SUM((BH$3&gt;='Gastos com Pessoal'!$E$7:$E$506)*(BH$3&lt;='Gastos com Pessoal'!$F$7:$F$506)*OFFSET('Encargos e Benefícios'!$D$5,1,MATCH($B51,'Encargos e Benefícios'!$E$5:$AB$5,0),500,1)),0)+_xlfn.IFNA(SUM((BH$3&gt;='Gastos com Pessoal'!$E$513:$E$522)*(BH$3&lt;='Gastos com Pessoal'!$F$513:$F$522)*OFFSET('Encargos e Benefícios'!$D$511,1,MATCH($B51,'Encargos e Benefícios'!$E$511:$AB$511,0),10,1)),0)+_xlfn.IFNA(SUM((BH$3&gt;='Gastos com Pessoal'!$E$7:$E$506)*(BH$3&lt;='Gastos com Pessoal'!$F$7:$F$506)*(IF('Gastos com Pessoal'!$G$7:$G$506&lt;=BH$3,1,0))*OFFSET('Gastos com Pessoal'!$H$6,1,MATCH(1&amp;$B51,'Gastos com Pessoal'!$I$532:$AJ$532&amp;'Gastos com Pessoal'!$I$6:$AJ$6,0),500,1)),0)+_xlfn.IFNA(SUM((BH$3&gt;='Gastos com Pessoal'!$E$7:$E$506)*(BH$3&lt;='Gastos com Pessoal'!$F$7:$F$506)*(IF('Gastos com Pessoal'!$M$7:$M$506&lt;=BH$3,1,0))*OFFSET('Gastos com Pessoal'!$H$6,1,MATCH(2&amp;$B51,'Gastos com Pessoal'!$I$532:$AJ$532&amp;'Gastos com Pessoal'!$I$6:$AJ$6,0),500,1)),0)+_xlfn.IFNA(SUM((BH$3&gt;='Gastos com Pessoal'!$E$7:$E$506)*(BH$3&lt;='Gastos com Pessoal'!$F$7:$F$506)*(IF('Gastos com Pessoal'!$S$7:$S$506&lt;=BH$3,1,0))*OFFSET('Gastos com Pessoal'!$H$6,1,MATCH(3&amp;$B51,'Gastos com Pessoal'!$I$532:$AJ$532&amp;'Gastos com Pessoal'!$I$6:$AJ$6,0),500,1)),0)+_xlfn.IFNA(SUM((BH$3&gt;='Gastos com Pessoal'!$E$7:$E$506)*(BH$3&lt;='Gastos com Pessoal'!$F$7:$F$506)*(IF('Gastos com Pessoal'!$Y$7:$Y$506&lt;=BH$3,1,0))*OFFSET('Gastos com Pessoal'!$H$6,1,MATCH(4&amp;$B51,'Gastos com Pessoal'!$I$532:$AJ$532&amp;'Gastos com Pessoal'!$I$6:$AJ$6,0),500,1)),0)+_xlfn.IFNA(SUM((BH$3&gt;='Gastos com Pessoal'!$E$7:$E$506)*(BH$3&lt;='Gastos com Pessoal'!$F$7:$F$506)*(IF('Gastos com Pessoal'!$AE$7:$AE$506&lt;=BH$3,1,0))*OFFSET('Gastos com Pessoal'!$H$6,1,MATCH(5&amp;$B51,'Gastos com Pessoal'!$I$532:$AJ$532&amp;'Gastos com Pessoal'!$I$6:$AJ$6,0),500,1)),0)+_xlfn.IFNA(SUM((BH$3&gt;='Gastos com Pessoal'!$E$513:$E$522)*(BH$3&lt;='Gastos com Pessoal'!$F$513:$F$522)*(IF('Gastos com Pessoal'!$G$513:$G$522&lt;=BH$3,1,0))*OFFSET('Gastos com Pessoal'!$H$512,1,MATCH(1&amp;$B51,'Gastos com Pessoal'!$I$532:$AJ$532&amp;'Gastos com Pessoal'!$I$512:$AJ$512,0),10,1)),0)+_xlfn.IFNA(SUM((BH$3&gt;='Gastos com Pessoal'!$E$513:$E$522)*(BH$3&lt;='Gastos com Pessoal'!$F$513:$F$522)*(IF('Gastos com Pessoal'!$M$513:$M$522&lt;=BH$3,1,0))*OFFSET('Gastos com Pessoal'!$H$512,1,MATCH(2&amp;$B51,'Gastos com Pessoal'!$I$532:$AJ$532&amp;'Gastos com Pessoal'!$I$512:$AJ$512,0),10,1)),0)+_xlfn.IFNA(SUM((BH$3&gt;='Gastos com Pessoal'!$E$513:$E$522)*(BH$3&lt;='Gastos com Pessoal'!$F$513:$F$522)*(IF('Gastos com Pessoal'!$S$513:$S$522&lt;=BH$3,1,0))*OFFSET('Gastos com Pessoal'!$H$512,1,MATCH(3&amp;$B51,'Gastos com Pessoal'!$I$532:$AJ$532&amp;'Gastos com Pessoal'!$I$512:$AJ$512,0),10,1)),0)+_xlfn.IFNA(SUM((BH$3&gt;='Gastos com Pessoal'!$E$513:$E$522)*(BH$3&lt;='Gastos com Pessoal'!$F$513:$F$522)*(IF('Gastos com Pessoal'!$Y$513:$Y$522&lt;=BH$3,1,0))*OFFSET('Gastos com Pessoal'!$H$512,1,MATCH(4&amp;$B51,'Gastos com Pessoal'!$I$532:$AJ$532&amp;'Gastos com Pessoal'!$I$512:$AJ$512,0),10,1)),0)+_xlfn.IFNA(SUM((BH$3&gt;='Gastos com Pessoal'!$E$513:$E$522)*(BH$3&lt;='Gastos com Pessoal'!$F$513:$F$522)*(IF('Gastos com Pessoal'!$AE$513:$AE$522&lt;=BH$3,1,0))*OFFSET('Gastos com Pessoal'!$H$512,1,MATCH(5&amp;$B51,'Gastos com Pessoal'!$I$532:$AJ$532&amp;'Gastos com Pessoal'!$I$512:$AJ$512,0),10,1)),0)</f>
        <v>1457.27999999999</v>
      </c>
      <c r="BI51" s="188">
        <f t="array" aca="1" ref="BI51" ca="1">_xlfn.IFNA(SUM((BI$3&gt;='Gastos com Pessoal'!$E$7:$E$506)*(BI$3&lt;='Gastos com Pessoal'!$F$7:$F$506)*OFFSET('Encargos e Benefícios'!$D$5,1,MATCH($B51,'Encargos e Benefícios'!$E$5:$AB$5,0),500,1)),0)+_xlfn.IFNA(SUM((BI$3&gt;='Gastos com Pessoal'!$E$513:$E$522)*(BI$3&lt;='Gastos com Pessoal'!$F$513:$F$522)*OFFSET('Encargos e Benefícios'!$D$511,1,MATCH($B51,'Encargos e Benefícios'!$E$511:$AB$511,0),10,1)),0)+_xlfn.IFNA(SUM((BI$3&gt;='Gastos com Pessoal'!$E$7:$E$506)*(BI$3&lt;='Gastos com Pessoal'!$F$7:$F$506)*(IF('Gastos com Pessoal'!$G$7:$G$506&lt;=BI$3,1,0))*OFFSET('Gastos com Pessoal'!$H$6,1,MATCH(1&amp;$B51,'Gastos com Pessoal'!$I$532:$AJ$532&amp;'Gastos com Pessoal'!$I$6:$AJ$6,0),500,1)),0)+_xlfn.IFNA(SUM((BI$3&gt;='Gastos com Pessoal'!$E$7:$E$506)*(BI$3&lt;='Gastos com Pessoal'!$F$7:$F$506)*(IF('Gastos com Pessoal'!$M$7:$M$506&lt;=BI$3,1,0))*OFFSET('Gastos com Pessoal'!$H$6,1,MATCH(2&amp;$B51,'Gastos com Pessoal'!$I$532:$AJ$532&amp;'Gastos com Pessoal'!$I$6:$AJ$6,0),500,1)),0)+_xlfn.IFNA(SUM((BI$3&gt;='Gastos com Pessoal'!$E$7:$E$506)*(BI$3&lt;='Gastos com Pessoal'!$F$7:$F$506)*(IF('Gastos com Pessoal'!$S$7:$S$506&lt;=BI$3,1,0))*OFFSET('Gastos com Pessoal'!$H$6,1,MATCH(3&amp;$B51,'Gastos com Pessoal'!$I$532:$AJ$532&amp;'Gastos com Pessoal'!$I$6:$AJ$6,0),500,1)),0)+_xlfn.IFNA(SUM((BI$3&gt;='Gastos com Pessoal'!$E$7:$E$506)*(BI$3&lt;='Gastos com Pessoal'!$F$7:$F$506)*(IF('Gastos com Pessoal'!$Y$7:$Y$506&lt;=BI$3,1,0))*OFFSET('Gastos com Pessoal'!$H$6,1,MATCH(4&amp;$B51,'Gastos com Pessoal'!$I$532:$AJ$532&amp;'Gastos com Pessoal'!$I$6:$AJ$6,0),500,1)),0)+_xlfn.IFNA(SUM((BI$3&gt;='Gastos com Pessoal'!$E$7:$E$506)*(BI$3&lt;='Gastos com Pessoal'!$F$7:$F$506)*(IF('Gastos com Pessoal'!$AE$7:$AE$506&lt;=BI$3,1,0))*OFFSET('Gastos com Pessoal'!$H$6,1,MATCH(5&amp;$B51,'Gastos com Pessoal'!$I$532:$AJ$532&amp;'Gastos com Pessoal'!$I$6:$AJ$6,0),500,1)),0)+_xlfn.IFNA(SUM((BI$3&gt;='Gastos com Pessoal'!$E$513:$E$522)*(BI$3&lt;='Gastos com Pessoal'!$F$513:$F$522)*(IF('Gastos com Pessoal'!$G$513:$G$522&lt;=BI$3,1,0))*OFFSET('Gastos com Pessoal'!$H$512,1,MATCH(1&amp;$B51,'Gastos com Pessoal'!$I$532:$AJ$532&amp;'Gastos com Pessoal'!$I$512:$AJ$512,0),10,1)),0)+_xlfn.IFNA(SUM((BI$3&gt;='Gastos com Pessoal'!$E$513:$E$522)*(BI$3&lt;='Gastos com Pessoal'!$F$513:$F$522)*(IF('Gastos com Pessoal'!$M$513:$M$522&lt;=BI$3,1,0))*OFFSET('Gastos com Pessoal'!$H$512,1,MATCH(2&amp;$B51,'Gastos com Pessoal'!$I$532:$AJ$532&amp;'Gastos com Pessoal'!$I$512:$AJ$512,0),10,1)),0)+_xlfn.IFNA(SUM((BI$3&gt;='Gastos com Pessoal'!$E$513:$E$522)*(BI$3&lt;='Gastos com Pessoal'!$F$513:$F$522)*(IF('Gastos com Pessoal'!$S$513:$S$522&lt;=BI$3,1,0))*OFFSET('Gastos com Pessoal'!$H$512,1,MATCH(3&amp;$B51,'Gastos com Pessoal'!$I$532:$AJ$532&amp;'Gastos com Pessoal'!$I$512:$AJ$512,0),10,1)),0)+_xlfn.IFNA(SUM((BI$3&gt;='Gastos com Pessoal'!$E$513:$E$522)*(BI$3&lt;='Gastos com Pessoal'!$F$513:$F$522)*(IF('Gastos com Pessoal'!$Y$513:$Y$522&lt;=BI$3,1,0))*OFFSET('Gastos com Pessoal'!$H$512,1,MATCH(4&amp;$B51,'Gastos com Pessoal'!$I$532:$AJ$532&amp;'Gastos com Pessoal'!$I$512:$AJ$512,0),10,1)),0)+_xlfn.IFNA(SUM((BI$3&gt;='Gastos com Pessoal'!$E$513:$E$522)*(BI$3&lt;='Gastos com Pessoal'!$F$513:$F$522)*(IF('Gastos com Pessoal'!$AE$513:$AE$522&lt;=BI$3,1,0))*OFFSET('Gastos com Pessoal'!$H$512,1,MATCH(5&amp;$B51,'Gastos com Pessoal'!$I$532:$AJ$532&amp;'Gastos com Pessoal'!$I$512:$AJ$512,0),10,1)),0)</f>
        <v>1457.27999999999</v>
      </c>
      <c r="BJ51" s="188">
        <f t="array" aca="1" ref="BJ51" ca="1">_xlfn.IFNA(SUM((BJ$3&gt;='Gastos com Pessoal'!$E$7:$E$506)*(BJ$3&lt;='Gastos com Pessoal'!$F$7:$F$506)*OFFSET('Encargos e Benefícios'!$D$5,1,MATCH($B51,'Encargos e Benefícios'!$E$5:$AB$5,0),500,1)),0)+_xlfn.IFNA(SUM((BJ$3&gt;='Gastos com Pessoal'!$E$513:$E$522)*(BJ$3&lt;='Gastos com Pessoal'!$F$513:$F$522)*OFFSET('Encargos e Benefícios'!$D$511,1,MATCH($B51,'Encargos e Benefícios'!$E$511:$AB$511,0),10,1)),0)+_xlfn.IFNA(SUM((BJ$3&gt;='Gastos com Pessoal'!$E$7:$E$506)*(BJ$3&lt;='Gastos com Pessoal'!$F$7:$F$506)*(IF('Gastos com Pessoal'!$G$7:$G$506&lt;=BJ$3,1,0))*OFFSET('Gastos com Pessoal'!$H$6,1,MATCH(1&amp;$B51,'Gastos com Pessoal'!$I$532:$AJ$532&amp;'Gastos com Pessoal'!$I$6:$AJ$6,0),500,1)),0)+_xlfn.IFNA(SUM((BJ$3&gt;='Gastos com Pessoal'!$E$7:$E$506)*(BJ$3&lt;='Gastos com Pessoal'!$F$7:$F$506)*(IF('Gastos com Pessoal'!$M$7:$M$506&lt;=BJ$3,1,0))*OFFSET('Gastos com Pessoal'!$H$6,1,MATCH(2&amp;$B51,'Gastos com Pessoal'!$I$532:$AJ$532&amp;'Gastos com Pessoal'!$I$6:$AJ$6,0),500,1)),0)+_xlfn.IFNA(SUM((BJ$3&gt;='Gastos com Pessoal'!$E$7:$E$506)*(BJ$3&lt;='Gastos com Pessoal'!$F$7:$F$506)*(IF('Gastos com Pessoal'!$S$7:$S$506&lt;=BJ$3,1,0))*OFFSET('Gastos com Pessoal'!$H$6,1,MATCH(3&amp;$B51,'Gastos com Pessoal'!$I$532:$AJ$532&amp;'Gastos com Pessoal'!$I$6:$AJ$6,0),500,1)),0)+_xlfn.IFNA(SUM((BJ$3&gt;='Gastos com Pessoal'!$E$7:$E$506)*(BJ$3&lt;='Gastos com Pessoal'!$F$7:$F$506)*(IF('Gastos com Pessoal'!$Y$7:$Y$506&lt;=BJ$3,1,0))*OFFSET('Gastos com Pessoal'!$H$6,1,MATCH(4&amp;$B51,'Gastos com Pessoal'!$I$532:$AJ$532&amp;'Gastos com Pessoal'!$I$6:$AJ$6,0),500,1)),0)+_xlfn.IFNA(SUM((BJ$3&gt;='Gastos com Pessoal'!$E$7:$E$506)*(BJ$3&lt;='Gastos com Pessoal'!$F$7:$F$506)*(IF('Gastos com Pessoal'!$AE$7:$AE$506&lt;=BJ$3,1,0))*OFFSET('Gastos com Pessoal'!$H$6,1,MATCH(5&amp;$B51,'Gastos com Pessoal'!$I$532:$AJ$532&amp;'Gastos com Pessoal'!$I$6:$AJ$6,0),500,1)),0)+_xlfn.IFNA(SUM((BJ$3&gt;='Gastos com Pessoal'!$E$513:$E$522)*(BJ$3&lt;='Gastos com Pessoal'!$F$513:$F$522)*(IF('Gastos com Pessoal'!$G$513:$G$522&lt;=BJ$3,1,0))*OFFSET('Gastos com Pessoal'!$H$512,1,MATCH(1&amp;$B51,'Gastos com Pessoal'!$I$532:$AJ$532&amp;'Gastos com Pessoal'!$I$512:$AJ$512,0),10,1)),0)+_xlfn.IFNA(SUM((BJ$3&gt;='Gastos com Pessoal'!$E$513:$E$522)*(BJ$3&lt;='Gastos com Pessoal'!$F$513:$F$522)*(IF('Gastos com Pessoal'!$M$513:$M$522&lt;=BJ$3,1,0))*OFFSET('Gastos com Pessoal'!$H$512,1,MATCH(2&amp;$B51,'Gastos com Pessoal'!$I$532:$AJ$532&amp;'Gastos com Pessoal'!$I$512:$AJ$512,0),10,1)),0)+_xlfn.IFNA(SUM((BJ$3&gt;='Gastos com Pessoal'!$E$513:$E$522)*(BJ$3&lt;='Gastos com Pessoal'!$F$513:$F$522)*(IF('Gastos com Pessoal'!$S$513:$S$522&lt;=BJ$3,1,0))*OFFSET('Gastos com Pessoal'!$H$512,1,MATCH(3&amp;$B51,'Gastos com Pessoal'!$I$532:$AJ$532&amp;'Gastos com Pessoal'!$I$512:$AJ$512,0),10,1)),0)+_xlfn.IFNA(SUM((BJ$3&gt;='Gastos com Pessoal'!$E$513:$E$522)*(BJ$3&lt;='Gastos com Pessoal'!$F$513:$F$522)*(IF('Gastos com Pessoal'!$Y$513:$Y$522&lt;=BJ$3,1,0))*OFFSET('Gastos com Pessoal'!$H$512,1,MATCH(4&amp;$B51,'Gastos com Pessoal'!$I$532:$AJ$532&amp;'Gastos com Pessoal'!$I$512:$AJ$512,0),10,1)),0)+_xlfn.IFNA(SUM((BJ$3&gt;='Gastos com Pessoal'!$E$513:$E$522)*(BJ$3&lt;='Gastos com Pessoal'!$F$513:$F$522)*(IF('Gastos com Pessoal'!$AE$513:$AE$522&lt;=BJ$3,1,0))*OFFSET('Gastos com Pessoal'!$H$512,1,MATCH(5&amp;$B51,'Gastos com Pessoal'!$I$532:$AJ$532&amp;'Gastos com Pessoal'!$I$512:$AJ$512,0),10,1)),0)</f>
        <v>1457.27999999999</v>
      </c>
      <c r="BK51" s="189">
        <f t="shared" ca="1" si="28"/>
        <v>84789.683999999397</v>
      </c>
      <c r="BL51" s="136">
        <f t="shared" ca="1" si="29"/>
        <v>2.5341981584533016E-4</v>
      </c>
      <c r="BN51" s="188">
        <f t="array" aca="1" ref="BN51" ca="1">_xlfn.IFNA(SUM((BN$3&gt;='Gastos com Pessoal'!$E$7:$E$506)*(BN$3&lt;='Gastos com Pessoal'!$F$7:$F$506)*OFFSET('Encargos e Benefícios'!$D$5,1,MATCH($B51,'Encargos e Benefícios'!$E$5:$AB$5,0),500,1)),0)+_xlfn.IFNA(SUM((BN$3&gt;='Gastos com Pessoal'!$E$513:$E$522)*(BN$3&lt;='Gastos com Pessoal'!$F$513:$F$522)*OFFSET('Encargos e Benefícios'!$D$511,1,MATCH($B51,'Encargos e Benefícios'!$E$511:$AB$511,0),10,1)),0)+_xlfn.IFNA(SUM((BN$3&gt;='Gastos com Pessoal'!$E$7:$E$506)*(BN$3&lt;='Gastos com Pessoal'!$F$7:$F$506)*(IF('Gastos com Pessoal'!$G$7:$G$506&lt;=BN$3,1,0))*OFFSET('Gastos com Pessoal'!$H$6,1,MATCH(1&amp;$B51,'Gastos com Pessoal'!$I$532:$AJ$532&amp;'Gastos com Pessoal'!$I$6:$AJ$6,0),500,1)),0)+_xlfn.IFNA(SUM((BN$3&gt;='Gastos com Pessoal'!$E$7:$E$506)*(BN$3&lt;='Gastos com Pessoal'!$F$7:$F$506)*(IF('Gastos com Pessoal'!$M$7:$M$506&lt;=BN$3,1,0))*OFFSET('Gastos com Pessoal'!$H$6,1,MATCH(2&amp;$B51,'Gastos com Pessoal'!$I$532:$AJ$532&amp;'Gastos com Pessoal'!$I$6:$AJ$6,0),500,1)),0)+_xlfn.IFNA(SUM((BN$3&gt;='Gastos com Pessoal'!$E$7:$E$506)*(BN$3&lt;='Gastos com Pessoal'!$F$7:$F$506)*(IF('Gastos com Pessoal'!$S$7:$S$506&lt;=BN$3,1,0))*OFFSET('Gastos com Pessoal'!$H$6,1,MATCH(3&amp;$B51,'Gastos com Pessoal'!$I$532:$AJ$532&amp;'Gastos com Pessoal'!$I$6:$AJ$6,0),500,1)),0)+_xlfn.IFNA(SUM((BN$3&gt;='Gastos com Pessoal'!$E$7:$E$506)*(BN$3&lt;='Gastos com Pessoal'!$F$7:$F$506)*(IF('Gastos com Pessoal'!$Y$7:$Y$506&lt;=BN$3,1,0))*OFFSET('Gastos com Pessoal'!$H$6,1,MATCH(4&amp;$B51,'Gastos com Pessoal'!$I$532:$AJ$532&amp;'Gastos com Pessoal'!$I$6:$AJ$6,0),500,1)),0)+_xlfn.IFNA(SUM((BN$3&gt;='Gastos com Pessoal'!$E$7:$E$506)*(BN$3&lt;='Gastos com Pessoal'!$F$7:$F$506)*(IF('Gastos com Pessoal'!$AE$7:$AE$506&lt;=BN$3,1,0))*OFFSET('Gastos com Pessoal'!$H$6,1,MATCH(5&amp;$B51,'Gastos com Pessoal'!$I$532:$AJ$532&amp;'Gastos com Pessoal'!$I$6:$AJ$6,0),500,1)),0)+_xlfn.IFNA(SUM((BN$3&gt;='Gastos com Pessoal'!$E$513:$E$522)*(BN$3&lt;='Gastos com Pessoal'!$F$513:$F$522)*(IF('Gastos com Pessoal'!$G$513:$G$522&lt;=BN$3,1,0))*OFFSET('Gastos com Pessoal'!$H$512,1,MATCH(1&amp;$B51,'Gastos com Pessoal'!$I$532:$AJ$532&amp;'Gastos com Pessoal'!$I$512:$AJ$512,0),10,1)),0)+_xlfn.IFNA(SUM((BN$3&gt;='Gastos com Pessoal'!$E$513:$E$522)*(BN$3&lt;='Gastos com Pessoal'!$F$513:$F$522)*(IF('Gastos com Pessoal'!$M$513:$M$522&lt;=BN$3,1,0))*OFFSET('Gastos com Pessoal'!$H$512,1,MATCH(2&amp;$B51,'Gastos com Pessoal'!$I$532:$AJ$532&amp;'Gastos com Pessoal'!$I$512:$AJ$512,0),10,1)),0)+_xlfn.IFNA(SUM((BN$3&gt;='Gastos com Pessoal'!$E$513:$E$522)*(BN$3&lt;='Gastos com Pessoal'!$F$513:$F$522)*(IF('Gastos com Pessoal'!$S$513:$S$522&lt;=BN$3,1,0))*OFFSET('Gastos com Pessoal'!$H$512,1,MATCH(3&amp;$B51,'Gastos com Pessoal'!$I$532:$AJ$532&amp;'Gastos com Pessoal'!$I$512:$AJ$512,0),10,1)),0)+_xlfn.IFNA(SUM((BN$3&gt;='Gastos com Pessoal'!$E$513:$E$522)*(BN$3&lt;='Gastos com Pessoal'!$F$513:$F$522)*(IF('Gastos com Pessoal'!$Y$513:$Y$522&lt;=BN$3,1,0))*OFFSET('Gastos com Pessoal'!$H$512,1,MATCH(4&amp;$B51,'Gastos com Pessoal'!$I$532:$AJ$532&amp;'Gastos com Pessoal'!$I$512:$AJ$512,0),10,1)),0)+_xlfn.IFNA(SUM((BN$3&gt;='Gastos com Pessoal'!$E$513:$E$522)*(BN$3&lt;='Gastos com Pessoal'!$F$513:$F$522)*(IF('Gastos com Pessoal'!$AE$513:$AE$522&lt;=BN$3,1,0))*OFFSET('Gastos com Pessoal'!$H$512,1,MATCH(5&amp;$B51,'Gastos com Pessoal'!$I$532:$AJ$532&amp;'Gastos com Pessoal'!$I$512:$AJ$512,0),10,1)),0)</f>
        <v>1153.6799999999932</v>
      </c>
    </row>
    <row r="52" spans="1:66" s="160" customFormat="1" ht="23.25" customHeight="1">
      <c r="A52" s="80" t="s">
        <v>186</v>
      </c>
      <c r="B52" s="81" t="s">
        <v>187</v>
      </c>
      <c r="C52" s="188">
        <f t="shared" ca="1" si="27"/>
        <v>1197</v>
      </c>
      <c r="D52" s="188">
        <f t="array" aca="1" ref="D52" ca="1">_xlfn.IFNA(SUM((D$3&gt;='Gastos com Pessoal'!$E$7:$E$506)*(D$3&lt;='Gastos com Pessoal'!$F$7:$F$506)*OFFSET('Encargos e Benefícios'!$D$5,1,MATCH($B52,'Encargos e Benefícios'!$E$5:$AB$5,0),500,1)),0)+_xlfn.IFNA(SUM((D$3&gt;='Gastos com Pessoal'!$E$513:$E$522)*(D$3&lt;='Gastos com Pessoal'!$F$513:$F$522)*OFFSET('Encargos e Benefícios'!$D$511,1,MATCH($B52,'Encargos e Benefícios'!$E$511:$AB$511,0),10,1)),0)+_xlfn.IFNA(SUM((D$3&gt;='Gastos com Pessoal'!$E$7:$E$506)*(D$3&lt;='Gastos com Pessoal'!$F$7:$F$506)*(IF('Gastos com Pessoal'!$G$7:$G$506&lt;=D$3,1,0))*OFFSET('Gastos com Pessoal'!$H$6,1,MATCH(1&amp;$B52,'Gastos com Pessoal'!$I$532:$AJ$532&amp;'Gastos com Pessoal'!$I$6:$AJ$6,0),500,1)),0)+_xlfn.IFNA(SUM((D$3&gt;='Gastos com Pessoal'!$E$7:$E$506)*(D$3&lt;='Gastos com Pessoal'!$F$7:$F$506)*(IF('Gastos com Pessoal'!$M$7:$M$506&lt;=D$3,1,0))*OFFSET('Gastos com Pessoal'!$H$6,1,MATCH(2&amp;$B52,'Gastos com Pessoal'!$I$532:$AJ$532&amp;'Gastos com Pessoal'!$I$6:$AJ$6,0),500,1)),0)+_xlfn.IFNA(SUM((D$3&gt;='Gastos com Pessoal'!$E$7:$E$506)*(D$3&lt;='Gastos com Pessoal'!$F$7:$F$506)*(IF('Gastos com Pessoal'!$S$7:$S$506&lt;=D$3,1,0))*OFFSET('Gastos com Pessoal'!$H$6,1,MATCH(3&amp;$B52,'Gastos com Pessoal'!$I$532:$AJ$532&amp;'Gastos com Pessoal'!$I$6:$AJ$6,0),500,1)),0)+_xlfn.IFNA(SUM((D$3&gt;='Gastos com Pessoal'!$E$7:$E$506)*(D$3&lt;='Gastos com Pessoal'!$F$7:$F$506)*(IF('Gastos com Pessoal'!$Y$7:$Y$506&lt;=D$3,1,0))*OFFSET('Gastos com Pessoal'!$H$6,1,MATCH(4&amp;$B52,'Gastos com Pessoal'!$I$532:$AJ$532&amp;'Gastos com Pessoal'!$I$6:$AJ$6,0),500,1)),0)+_xlfn.IFNA(SUM((D$3&gt;='Gastos com Pessoal'!$E$7:$E$506)*(D$3&lt;='Gastos com Pessoal'!$F$7:$F$506)*(IF('Gastos com Pessoal'!$AE$7:$AE$506&lt;=D$3,1,0))*OFFSET('Gastos com Pessoal'!$H$6,1,MATCH(5&amp;$B52,'Gastos com Pessoal'!$I$532:$AJ$532&amp;'Gastos com Pessoal'!$I$6:$AJ$6,0),500,1)),0)+_xlfn.IFNA(SUM((D$3&gt;='Gastos com Pessoal'!$E$513:$E$522)*(D$3&lt;='Gastos com Pessoal'!$F$513:$F$522)*(IF('Gastos com Pessoal'!$G$513:$G$522&lt;=D$3,1,0))*OFFSET('Gastos com Pessoal'!$H$512,1,MATCH(1&amp;$B52,'Gastos com Pessoal'!$I$532:$AJ$532&amp;'Gastos com Pessoal'!$I$512:$AJ$512,0),10,1)),0)+_xlfn.IFNA(SUM((D$3&gt;='Gastos com Pessoal'!$E$513:$E$522)*(D$3&lt;='Gastos com Pessoal'!$F$513:$F$522)*(IF('Gastos com Pessoal'!$M$513:$M$522&lt;=D$3,1,0))*OFFSET('Gastos com Pessoal'!$H$512,1,MATCH(2&amp;$B52,'Gastos com Pessoal'!$I$532:$AJ$532&amp;'Gastos com Pessoal'!$I$512:$AJ$512,0),10,1)),0)+_xlfn.IFNA(SUM((D$3&gt;='Gastos com Pessoal'!$E$513:$E$522)*(D$3&lt;='Gastos com Pessoal'!$F$513:$F$522)*(IF('Gastos com Pessoal'!$S$513:$S$522&lt;=D$3,1,0))*OFFSET('Gastos com Pessoal'!$H$512,1,MATCH(3&amp;$B52,'Gastos com Pessoal'!$I$532:$AJ$532&amp;'Gastos com Pessoal'!$I$512:$AJ$512,0),10,1)),0)+_xlfn.IFNA(SUM((D$3&gt;='Gastos com Pessoal'!$E$513:$E$522)*(D$3&lt;='Gastos com Pessoal'!$F$513:$F$522)*(IF('Gastos com Pessoal'!$Y$513:$Y$522&lt;=D$3,1,0))*OFFSET('Gastos com Pessoal'!$H$512,1,MATCH(4&amp;$B52,'Gastos com Pessoal'!$I$532:$AJ$532&amp;'Gastos com Pessoal'!$I$512:$AJ$512,0),10,1)),0)+_xlfn.IFNA(SUM((D$3&gt;='Gastos com Pessoal'!$E$513:$E$522)*(D$3&lt;='Gastos com Pessoal'!$F$513:$F$522)*(IF('Gastos com Pessoal'!$AE$513:$AE$522&lt;=D$3,1,0))*OFFSET('Gastos com Pessoal'!$H$512,1,MATCH(5&amp;$B52,'Gastos com Pessoal'!$I$532:$AJ$532&amp;'Gastos com Pessoal'!$I$512:$AJ$512,0),10,1)),0)</f>
        <v>4287.5</v>
      </c>
      <c r="E52" s="188">
        <f t="array" aca="1" ref="E52" ca="1">_xlfn.IFNA(SUM((E$3&gt;='Gastos com Pessoal'!$E$7:$E$506)*(E$3&lt;='Gastos com Pessoal'!$F$7:$F$506)*OFFSET('Encargos e Benefícios'!$D$5,1,MATCH($B52,'Encargos e Benefícios'!$E$5:$AB$5,0),500,1)),0)+_xlfn.IFNA(SUM((E$3&gt;='Gastos com Pessoal'!$E$513:$E$522)*(E$3&lt;='Gastos com Pessoal'!$F$513:$F$522)*OFFSET('Encargos e Benefícios'!$D$511,1,MATCH($B52,'Encargos e Benefícios'!$E$511:$AB$511,0),10,1)),0)+_xlfn.IFNA(SUM((E$3&gt;='Gastos com Pessoal'!$E$7:$E$506)*(E$3&lt;='Gastos com Pessoal'!$F$7:$F$506)*(IF('Gastos com Pessoal'!$G$7:$G$506&lt;=E$3,1,0))*OFFSET('Gastos com Pessoal'!$H$6,1,MATCH(1&amp;$B52,'Gastos com Pessoal'!$I$532:$AJ$532&amp;'Gastos com Pessoal'!$I$6:$AJ$6,0),500,1)),0)+_xlfn.IFNA(SUM((E$3&gt;='Gastos com Pessoal'!$E$7:$E$506)*(E$3&lt;='Gastos com Pessoal'!$F$7:$F$506)*(IF('Gastos com Pessoal'!$M$7:$M$506&lt;=E$3,1,0))*OFFSET('Gastos com Pessoal'!$H$6,1,MATCH(2&amp;$B52,'Gastos com Pessoal'!$I$532:$AJ$532&amp;'Gastos com Pessoal'!$I$6:$AJ$6,0),500,1)),0)+_xlfn.IFNA(SUM((E$3&gt;='Gastos com Pessoal'!$E$7:$E$506)*(E$3&lt;='Gastos com Pessoal'!$F$7:$F$506)*(IF('Gastos com Pessoal'!$S$7:$S$506&lt;=E$3,1,0))*OFFSET('Gastos com Pessoal'!$H$6,1,MATCH(3&amp;$B52,'Gastos com Pessoal'!$I$532:$AJ$532&amp;'Gastos com Pessoal'!$I$6:$AJ$6,0),500,1)),0)+_xlfn.IFNA(SUM((E$3&gt;='Gastos com Pessoal'!$E$7:$E$506)*(E$3&lt;='Gastos com Pessoal'!$F$7:$F$506)*(IF('Gastos com Pessoal'!$Y$7:$Y$506&lt;=E$3,1,0))*OFFSET('Gastos com Pessoal'!$H$6,1,MATCH(4&amp;$B52,'Gastos com Pessoal'!$I$532:$AJ$532&amp;'Gastos com Pessoal'!$I$6:$AJ$6,0),500,1)),0)+_xlfn.IFNA(SUM((E$3&gt;='Gastos com Pessoal'!$E$7:$E$506)*(E$3&lt;='Gastos com Pessoal'!$F$7:$F$506)*(IF('Gastos com Pessoal'!$AE$7:$AE$506&lt;=E$3,1,0))*OFFSET('Gastos com Pessoal'!$H$6,1,MATCH(5&amp;$B52,'Gastos com Pessoal'!$I$532:$AJ$532&amp;'Gastos com Pessoal'!$I$6:$AJ$6,0),500,1)),0)+_xlfn.IFNA(SUM((E$3&gt;='Gastos com Pessoal'!$E$513:$E$522)*(E$3&lt;='Gastos com Pessoal'!$F$513:$F$522)*(IF('Gastos com Pessoal'!$G$513:$G$522&lt;=E$3,1,0))*OFFSET('Gastos com Pessoal'!$H$512,1,MATCH(1&amp;$B52,'Gastos com Pessoal'!$I$532:$AJ$532&amp;'Gastos com Pessoal'!$I$512:$AJ$512,0),10,1)),0)+_xlfn.IFNA(SUM((E$3&gt;='Gastos com Pessoal'!$E$513:$E$522)*(E$3&lt;='Gastos com Pessoal'!$F$513:$F$522)*(IF('Gastos com Pessoal'!$M$513:$M$522&lt;=E$3,1,0))*OFFSET('Gastos com Pessoal'!$H$512,1,MATCH(2&amp;$B52,'Gastos com Pessoal'!$I$532:$AJ$532&amp;'Gastos com Pessoal'!$I$512:$AJ$512,0),10,1)),0)+_xlfn.IFNA(SUM((E$3&gt;='Gastos com Pessoal'!$E$513:$E$522)*(E$3&lt;='Gastos com Pessoal'!$F$513:$F$522)*(IF('Gastos com Pessoal'!$S$513:$S$522&lt;=E$3,1,0))*OFFSET('Gastos com Pessoal'!$H$512,1,MATCH(3&amp;$B52,'Gastos com Pessoal'!$I$532:$AJ$532&amp;'Gastos com Pessoal'!$I$512:$AJ$512,0),10,1)),0)+_xlfn.IFNA(SUM((E$3&gt;='Gastos com Pessoal'!$E$513:$E$522)*(E$3&lt;='Gastos com Pessoal'!$F$513:$F$522)*(IF('Gastos com Pessoal'!$Y$513:$Y$522&lt;=E$3,1,0))*OFFSET('Gastos com Pessoal'!$H$512,1,MATCH(4&amp;$B52,'Gastos com Pessoal'!$I$532:$AJ$532&amp;'Gastos com Pessoal'!$I$512:$AJ$512,0),10,1)),0)+_xlfn.IFNA(SUM((E$3&gt;='Gastos com Pessoal'!$E$513:$E$522)*(E$3&lt;='Gastos com Pessoal'!$F$513:$F$522)*(IF('Gastos com Pessoal'!$AE$513:$AE$522&lt;=E$3,1,0))*OFFSET('Gastos com Pessoal'!$H$512,1,MATCH(5&amp;$B52,'Gastos com Pessoal'!$I$532:$AJ$532&amp;'Gastos com Pessoal'!$I$512:$AJ$512,0),10,1)),0)</f>
        <v>4515</v>
      </c>
      <c r="F52" s="188">
        <f t="array" aca="1" ref="F52" ca="1">_xlfn.IFNA(SUM((F$3&gt;='Gastos com Pessoal'!$E$7:$E$506)*(F$3&lt;='Gastos com Pessoal'!$F$7:$F$506)*OFFSET('Encargos e Benefícios'!$D$5,1,MATCH($B52,'Encargos e Benefícios'!$E$5:$AB$5,0),500,1)),0)+_xlfn.IFNA(SUM((F$3&gt;='Gastos com Pessoal'!$E$513:$E$522)*(F$3&lt;='Gastos com Pessoal'!$F$513:$F$522)*OFFSET('Encargos e Benefícios'!$D$511,1,MATCH($B52,'Encargos e Benefícios'!$E$511:$AB$511,0),10,1)),0)+_xlfn.IFNA(SUM((F$3&gt;='Gastos com Pessoal'!$E$7:$E$506)*(F$3&lt;='Gastos com Pessoal'!$F$7:$F$506)*(IF('Gastos com Pessoal'!$G$7:$G$506&lt;=F$3,1,0))*OFFSET('Gastos com Pessoal'!$H$6,1,MATCH(1&amp;$B52,'Gastos com Pessoal'!$I$532:$AJ$532&amp;'Gastos com Pessoal'!$I$6:$AJ$6,0),500,1)),0)+_xlfn.IFNA(SUM((F$3&gt;='Gastos com Pessoal'!$E$7:$E$506)*(F$3&lt;='Gastos com Pessoal'!$F$7:$F$506)*(IF('Gastos com Pessoal'!$M$7:$M$506&lt;=F$3,1,0))*OFFSET('Gastos com Pessoal'!$H$6,1,MATCH(2&amp;$B52,'Gastos com Pessoal'!$I$532:$AJ$532&amp;'Gastos com Pessoal'!$I$6:$AJ$6,0),500,1)),0)+_xlfn.IFNA(SUM((F$3&gt;='Gastos com Pessoal'!$E$7:$E$506)*(F$3&lt;='Gastos com Pessoal'!$F$7:$F$506)*(IF('Gastos com Pessoal'!$S$7:$S$506&lt;=F$3,1,0))*OFFSET('Gastos com Pessoal'!$H$6,1,MATCH(3&amp;$B52,'Gastos com Pessoal'!$I$532:$AJ$532&amp;'Gastos com Pessoal'!$I$6:$AJ$6,0),500,1)),0)+_xlfn.IFNA(SUM((F$3&gt;='Gastos com Pessoal'!$E$7:$E$506)*(F$3&lt;='Gastos com Pessoal'!$F$7:$F$506)*(IF('Gastos com Pessoal'!$Y$7:$Y$506&lt;=F$3,1,0))*OFFSET('Gastos com Pessoal'!$H$6,1,MATCH(4&amp;$B52,'Gastos com Pessoal'!$I$532:$AJ$532&amp;'Gastos com Pessoal'!$I$6:$AJ$6,0),500,1)),0)+_xlfn.IFNA(SUM((F$3&gt;='Gastos com Pessoal'!$E$7:$E$506)*(F$3&lt;='Gastos com Pessoal'!$F$7:$F$506)*(IF('Gastos com Pessoal'!$AE$7:$AE$506&lt;=F$3,1,0))*OFFSET('Gastos com Pessoal'!$H$6,1,MATCH(5&amp;$B52,'Gastos com Pessoal'!$I$532:$AJ$532&amp;'Gastos com Pessoal'!$I$6:$AJ$6,0),500,1)),0)+_xlfn.IFNA(SUM((F$3&gt;='Gastos com Pessoal'!$E$513:$E$522)*(F$3&lt;='Gastos com Pessoal'!$F$513:$F$522)*(IF('Gastos com Pessoal'!$G$513:$G$522&lt;=F$3,1,0))*OFFSET('Gastos com Pessoal'!$H$512,1,MATCH(1&amp;$B52,'Gastos com Pessoal'!$I$532:$AJ$532&amp;'Gastos com Pessoal'!$I$512:$AJ$512,0),10,1)),0)+_xlfn.IFNA(SUM((F$3&gt;='Gastos com Pessoal'!$E$513:$E$522)*(F$3&lt;='Gastos com Pessoal'!$F$513:$F$522)*(IF('Gastos com Pessoal'!$M$513:$M$522&lt;=F$3,1,0))*OFFSET('Gastos com Pessoal'!$H$512,1,MATCH(2&amp;$B52,'Gastos com Pessoal'!$I$532:$AJ$532&amp;'Gastos com Pessoal'!$I$512:$AJ$512,0),10,1)),0)+_xlfn.IFNA(SUM((F$3&gt;='Gastos com Pessoal'!$E$513:$E$522)*(F$3&lt;='Gastos com Pessoal'!$F$513:$F$522)*(IF('Gastos com Pessoal'!$S$513:$S$522&lt;=F$3,1,0))*OFFSET('Gastos com Pessoal'!$H$512,1,MATCH(3&amp;$B52,'Gastos com Pessoal'!$I$532:$AJ$532&amp;'Gastos com Pessoal'!$I$512:$AJ$512,0),10,1)),0)+_xlfn.IFNA(SUM((F$3&gt;='Gastos com Pessoal'!$E$513:$E$522)*(F$3&lt;='Gastos com Pessoal'!$F$513:$F$522)*(IF('Gastos com Pessoal'!$Y$513:$Y$522&lt;=F$3,1,0))*OFFSET('Gastos com Pessoal'!$H$512,1,MATCH(4&amp;$B52,'Gastos com Pessoal'!$I$532:$AJ$532&amp;'Gastos com Pessoal'!$I$512:$AJ$512,0),10,1)),0)+_xlfn.IFNA(SUM((F$3&gt;='Gastos com Pessoal'!$E$513:$E$522)*(F$3&lt;='Gastos com Pessoal'!$F$513:$F$522)*(IF('Gastos com Pessoal'!$AE$513:$AE$522&lt;=F$3,1,0))*OFFSET('Gastos com Pessoal'!$H$512,1,MATCH(5&amp;$B52,'Gastos com Pessoal'!$I$532:$AJ$532&amp;'Gastos com Pessoal'!$I$512:$AJ$512,0),10,1)),0)</f>
        <v>4515</v>
      </c>
      <c r="G52" s="188">
        <f t="array" aca="1" ref="G52" ca="1">_xlfn.IFNA(SUM((G$3&gt;='Gastos com Pessoal'!$E$7:$E$506)*(G$3&lt;='Gastos com Pessoal'!$F$7:$F$506)*OFFSET('Encargos e Benefícios'!$D$5,1,MATCH($B52,'Encargos e Benefícios'!$E$5:$AB$5,0),500,1)),0)+_xlfn.IFNA(SUM((G$3&gt;='Gastos com Pessoal'!$E$513:$E$522)*(G$3&lt;='Gastos com Pessoal'!$F$513:$F$522)*OFFSET('Encargos e Benefícios'!$D$511,1,MATCH($B52,'Encargos e Benefícios'!$E$511:$AB$511,0),10,1)),0)+_xlfn.IFNA(SUM((G$3&gt;='Gastos com Pessoal'!$E$7:$E$506)*(G$3&lt;='Gastos com Pessoal'!$F$7:$F$506)*(IF('Gastos com Pessoal'!$G$7:$G$506&lt;=G$3,1,0))*OFFSET('Gastos com Pessoal'!$H$6,1,MATCH(1&amp;$B52,'Gastos com Pessoal'!$I$532:$AJ$532&amp;'Gastos com Pessoal'!$I$6:$AJ$6,0),500,1)),0)+_xlfn.IFNA(SUM((G$3&gt;='Gastos com Pessoal'!$E$7:$E$506)*(G$3&lt;='Gastos com Pessoal'!$F$7:$F$506)*(IF('Gastos com Pessoal'!$M$7:$M$506&lt;=G$3,1,0))*OFFSET('Gastos com Pessoal'!$H$6,1,MATCH(2&amp;$B52,'Gastos com Pessoal'!$I$532:$AJ$532&amp;'Gastos com Pessoal'!$I$6:$AJ$6,0),500,1)),0)+_xlfn.IFNA(SUM((G$3&gt;='Gastos com Pessoal'!$E$7:$E$506)*(G$3&lt;='Gastos com Pessoal'!$F$7:$F$506)*(IF('Gastos com Pessoal'!$S$7:$S$506&lt;=G$3,1,0))*OFFSET('Gastos com Pessoal'!$H$6,1,MATCH(3&amp;$B52,'Gastos com Pessoal'!$I$532:$AJ$532&amp;'Gastos com Pessoal'!$I$6:$AJ$6,0),500,1)),0)+_xlfn.IFNA(SUM((G$3&gt;='Gastos com Pessoal'!$E$7:$E$506)*(G$3&lt;='Gastos com Pessoal'!$F$7:$F$506)*(IF('Gastos com Pessoal'!$Y$7:$Y$506&lt;=G$3,1,0))*OFFSET('Gastos com Pessoal'!$H$6,1,MATCH(4&amp;$B52,'Gastos com Pessoal'!$I$532:$AJ$532&amp;'Gastos com Pessoal'!$I$6:$AJ$6,0),500,1)),0)+_xlfn.IFNA(SUM((G$3&gt;='Gastos com Pessoal'!$E$7:$E$506)*(G$3&lt;='Gastos com Pessoal'!$F$7:$F$506)*(IF('Gastos com Pessoal'!$AE$7:$AE$506&lt;=G$3,1,0))*OFFSET('Gastos com Pessoal'!$H$6,1,MATCH(5&amp;$B52,'Gastos com Pessoal'!$I$532:$AJ$532&amp;'Gastos com Pessoal'!$I$6:$AJ$6,0),500,1)),0)+_xlfn.IFNA(SUM((G$3&gt;='Gastos com Pessoal'!$E$513:$E$522)*(G$3&lt;='Gastos com Pessoal'!$F$513:$F$522)*(IF('Gastos com Pessoal'!$G$513:$G$522&lt;=G$3,1,0))*OFFSET('Gastos com Pessoal'!$H$512,1,MATCH(1&amp;$B52,'Gastos com Pessoal'!$I$532:$AJ$532&amp;'Gastos com Pessoal'!$I$512:$AJ$512,0),10,1)),0)+_xlfn.IFNA(SUM((G$3&gt;='Gastos com Pessoal'!$E$513:$E$522)*(G$3&lt;='Gastos com Pessoal'!$F$513:$F$522)*(IF('Gastos com Pessoal'!$M$513:$M$522&lt;=G$3,1,0))*OFFSET('Gastos com Pessoal'!$H$512,1,MATCH(2&amp;$B52,'Gastos com Pessoal'!$I$532:$AJ$532&amp;'Gastos com Pessoal'!$I$512:$AJ$512,0),10,1)),0)+_xlfn.IFNA(SUM((G$3&gt;='Gastos com Pessoal'!$E$513:$E$522)*(G$3&lt;='Gastos com Pessoal'!$F$513:$F$522)*(IF('Gastos com Pessoal'!$S$513:$S$522&lt;=G$3,1,0))*OFFSET('Gastos com Pessoal'!$H$512,1,MATCH(3&amp;$B52,'Gastos com Pessoal'!$I$532:$AJ$532&amp;'Gastos com Pessoal'!$I$512:$AJ$512,0),10,1)),0)+_xlfn.IFNA(SUM((G$3&gt;='Gastos com Pessoal'!$E$513:$E$522)*(G$3&lt;='Gastos com Pessoal'!$F$513:$F$522)*(IF('Gastos com Pessoal'!$Y$513:$Y$522&lt;=G$3,1,0))*OFFSET('Gastos com Pessoal'!$H$512,1,MATCH(4&amp;$B52,'Gastos com Pessoal'!$I$532:$AJ$532&amp;'Gastos com Pessoal'!$I$512:$AJ$512,0),10,1)),0)+_xlfn.IFNA(SUM((G$3&gt;='Gastos com Pessoal'!$E$513:$E$522)*(G$3&lt;='Gastos com Pessoal'!$F$513:$F$522)*(IF('Gastos com Pessoal'!$AE$513:$AE$522&lt;=G$3,1,0))*OFFSET('Gastos com Pessoal'!$H$512,1,MATCH(5&amp;$B52,'Gastos com Pessoal'!$I$532:$AJ$532&amp;'Gastos com Pessoal'!$I$512:$AJ$512,0),10,1)),0)</f>
        <v>4515</v>
      </c>
      <c r="H52" s="188">
        <f t="array" aca="1" ref="H52" ca="1">_xlfn.IFNA(SUM((H$3&gt;='Gastos com Pessoal'!$E$7:$E$506)*(H$3&lt;='Gastos com Pessoal'!$F$7:$F$506)*OFFSET('Encargos e Benefícios'!$D$5,1,MATCH($B52,'Encargos e Benefícios'!$E$5:$AB$5,0),500,1)),0)+_xlfn.IFNA(SUM((H$3&gt;='Gastos com Pessoal'!$E$513:$E$522)*(H$3&lt;='Gastos com Pessoal'!$F$513:$F$522)*OFFSET('Encargos e Benefícios'!$D$511,1,MATCH($B52,'Encargos e Benefícios'!$E$511:$AB$511,0),10,1)),0)+_xlfn.IFNA(SUM((H$3&gt;='Gastos com Pessoal'!$E$7:$E$506)*(H$3&lt;='Gastos com Pessoal'!$F$7:$F$506)*(IF('Gastos com Pessoal'!$G$7:$G$506&lt;=H$3,1,0))*OFFSET('Gastos com Pessoal'!$H$6,1,MATCH(1&amp;$B52,'Gastos com Pessoal'!$I$532:$AJ$532&amp;'Gastos com Pessoal'!$I$6:$AJ$6,0),500,1)),0)+_xlfn.IFNA(SUM((H$3&gt;='Gastos com Pessoal'!$E$7:$E$506)*(H$3&lt;='Gastos com Pessoal'!$F$7:$F$506)*(IF('Gastos com Pessoal'!$M$7:$M$506&lt;=H$3,1,0))*OFFSET('Gastos com Pessoal'!$H$6,1,MATCH(2&amp;$B52,'Gastos com Pessoal'!$I$532:$AJ$532&amp;'Gastos com Pessoal'!$I$6:$AJ$6,0),500,1)),0)+_xlfn.IFNA(SUM((H$3&gt;='Gastos com Pessoal'!$E$7:$E$506)*(H$3&lt;='Gastos com Pessoal'!$F$7:$F$506)*(IF('Gastos com Pessoal'!$S$7:$S$506&lt;=H$3,1,0))*OFFSET('Gastos com Pessoal'!$H$6,1,MATCH(3&amp;$B52,'Gastos com Pessoal'!$I$532:$AJ$532&amp;'Gastos com Pessoal'!$I$6:$AJ$6,0),500,1)),0)+_xlfn.IFNA(SUM((H$3&gt;='Gastos com Pessoal'!$E$7:$E$506)*(H$3&lt;='Gastos com Pessoal'!$F$7:$F$506)*(IF('Gastos com Pessoal'!$Y$7:$Y$506&lt;=H$3,1,0))*OFFSET('Gastos com Pessoal'!$H$6,1,MATCH(4&amp;$B52,'Gastos com Pessoal'!$I$532:$AJ$532&amp;'Gastos com Pessoal'!$I$6:$AJ$6,0),500,1)),0)+_xlfn.IFNA(SUM((H$3&gt;='Gastos com Pessoal'!$E$7:$E$506)*(H$3&lt;='Gastos com Pessoal'!$F$7:$F$506)*(IF('Gastos com Pessoal'!$AE$7:$AE$506&lt;=H$3,1,0))*OFFSET('Gastos com Pessoal'!$H$6,1,MATCH(5&amp;$B52,'Gastos com Pessoal'!$I$532:$AJ$532&amp;'Gastos com Pessoal'!$I$6:$AJ$6,0),500,1)),0)+_xlfn.IFNA(SUM((H$3&gt;='Gastos com Pessoal'!$E$513:$E$522)*(H$3&lt;='Gastos com Pessoal'!$F$513:$F$522)*(IF('Gastos com Pessoal'!$G$513:$G$522&lt;=H$3,1,0))*OFFSET('Gastos com Pessoal'!$H$512,1,MATCH(1&amp;$B52,'Gastos com Pessoal'!$I$532:$AJ$532&amp;'Gastos com Pessoal'!$I$512:$AJ$512,0),10,1)),0)+_xlfn.IFNA(SUM((H$3&gt;='Gastos com Pessoal'!$E$513:$E$522)*(H$3&lt;='Gastos com Pessoal'!$F$513:$F$522)*(IF('Gastos com Pessoal'!$M$513:$M$522&lt;=H$3,1,0))*OFFSET('Gastos com Pessoal'!$H$512,1,MATCH(2&amp;$B52,'Gastos com Pessoal'!$I$532:$AJ$532&amp;'Gastos com Pessoal'!$I$512:$AJ$512,0),10,1)),0)+_xlfn.IFNA(SUM((H$3&gt;='Gastos com Pessoal'!$E$513:$E$522)*(H$3&lt;='Gastos com Pessoal'!$F$513:$F$522)*(IF('Gastos com Pessoal'!$S$513:$S$522&lt;=H$3,1,0))*OFFSET('Gastos com Pessoal'!$H$512,1,MATCH(3&amp;$B52,'Gastos com Pessoal'!$I$532:$AJ$532&amp;'Gastos com Pessoal'!$I$512:$AJ$512,0),10,1)),0)+_xlfn.IFNA(SUM((H$3&gt;='Gastos com Pessoal'!$E$513:$E$522)*(H$3&lt;='Gastos com Pessoal'!$F$513:$F$522)*(IF('Gastos com Pessoal'!$Y$513:$Y$522&lt;=H$3,1,0))*OFFSET('Gastos com Pessoal'!$H$512,1,MATCH(4&amp;$B52,'Gastos com Pessoal'!$I$532:$AJ$532&amp;'Gastos com Pessoal'!$I$512:$AJ$512,0),10,1)),0)+_xlfn.IFNA(SUM((H$3&gt;='Gastos com Pessoal'!$E$513:$E$522)*(H$3&lt;='Gastos com Pessoal'!$F$513:$F$522)*(IF('Gastos com Pessoal'!$AE$513:$AE$522&lt;=H$3,1,0))*OFFSET('Gastos com Pessoal'!$H$512,1,MATCH(5&amp;$B52,'Gastos com Pessoal'!$I$532:$AJ$532&amp;'Gastos com Pessoal'!$I$512:$AJ$512,0),10,1)),0)</f>
        <v>4515</v>
      </c>
      <c r="I52" s="188">
        <f t="array" aca="1" ref="I52" ca="1">_xlfn.IFNA(SUM((I$3&gt;='Gastos com Pessoal'!$E$7:$E$506)*(I$3&lt;='Gastos com Pessoal'!$F$7:$F$506)*OFFSET('Encargos e Benefícios'!$D$5,1,MATCH($B52,'Encargos e Benefícios'!$E$5:$AB$5,0),500,1)),0)+_xlfn.IFNA(SUM((I$3&gt;='Gastos com Pessoal'!$E$513:$E$522)*(I$3&lt;='Gastos com Pessoal'!$F$513:$F$522)*OFFSET('Encargos e Benefícios'!$D$511,1,MATCH($B52,'Encargos e Benefícios'!$E$511:$AB$511,0),10,1)),0)+_xlfn.IFNA(SUM((I$3&gt;='Gastos com Pessoal'!$E$7:$E$506)*(I$3&lt;='Gastos com Pessoal'!$F$7:$F$506)*(IF('Gastos com Pessoal'!$G$7:$G$506&lt;=I$3,1,0))*OFFSET('Gastos com Pessoal'!$H$6,1,MATCH(1&amp;$B52,'Gastos com Pessoal'!$I$532:$AJ$532&amp;'Gastos com Pessoal'!$I$6:$AJ$6,0),500,1)),0)+_xlfn.IFNA(SUM((I$3&gt;='Gastos com Pessoal'!$E$7:$E$506)*(I$3&lt;='Gastos com Pessoal'!$F$7:$F$506)*(IF('Gastos com Pessoal'!$M$7:$M$506&lt;=I$3,1,0))*OFFSET('Gastos com Pessoal'!$H$6,1,MATCH(2&amp;$B52,'Gastos com Pessoal'!$I$532:$AJ$532&amp;'Gastos com Pessoal'!$I$6:$AJ$6,0),500,1)),0)+_xlfn.IFNA(SUM((I$3&gt;='Gastos com Pessoal'!$E$7:$E$506)*(I$3&lt;='Gastos com Pessoal'!$F$7:$F$506)*(IF('Gastos com Pessoal'!$S$7:$S$506&lt;=I$3,1,0))*OFFSET('Gastos com Pessoal'!$H$6,1,MATCH(3&amp;$B52,'Gastos com Pessoal'!$I$532:$AJ$532&amp;'Gastos com Pessoal'!$I$6:$AJ$6,0),500,1)),0)+_xlfn.IFNA(SUM((I$3&gt;='Gastos com Pessoal'!$E$7:$E$506)*(I$3&lt;='Gastos com Pessoal'!$F$7:$F$506)*(IF('Gastos com Pessoal'!$Y$7:$Y$506&lt;=I$3,1,0))*OFFSET('Gastos com Pessoal'!$H$6,1,MATCH(4&amp;$B52,'Gastos com Pessoal'!$I$532:$AJ$532&amp;'Gastos com Pessoal'!$I$6:$AJ$6,0),500,1)),0)+_xlfn.IFNA(SUM((I$3&gt;='Gastos com Pessoal'!$E$7:$E$506)*(I$3&lt;='Gastos com Pessoal'!$F$7:$F$506)*(IF('Gastos com Pessoal'!$AE$7:$AE$506&lt;=I$3,1,0))*OFFSET('Gastos com Pessoal'!$H$6,1,MATCH(5&amp;$B52,'Gastos com Pessoal'!$I$532:$AJ$532&amp;'Gastos com Pessoal'!$I$6:$AJ$6,0),500,1)),0)+_xlfn.IFNA(SUM((I$3&gt;='Gastos com Pessoal'!$E$513:$E$522)*(I$3&lt;='Gastos com Pessoal'!$F$513:$F$522)*(IF('Gastos com Pessoal'!$G$513:$G$522&lt;=I$3,1,0))*OFFSET('Gastos com Pessoal'!$H$512,1,MATCH(1&amp;$B52,'Gastos com Pessoal'!$I$532:$AJ$532&amp;'Gastos com Pessoal'!$I$512:$AJ$512,0),10,1)),0)+_xlfn.IFNA(SUM((I$3&gt;='Gastos com Pessoal'!$E$513:$E$522)*(I$3&lt;='Gastos com Pessoal'!$F$513:$F$522)*(IF('Gastos com Pessoal'!$M$513:$M$522&lt;=I$3,1,0))*OFFSET('Gastos com Pessoal'!$H$512,1,MATCH(2&amp;$B52,'Gastos com Pessoal'!$I$532:$AJ$532&amp;'Gastos com Pessoal'!$I$512:$AJ$512,0),10,1)),0)+_xlfn.IFNA(SUM((I$3&gt;='Gastos com Pessoal'!$E$513:$E$522)*(I$3&lt;='Gastos com Pessoal'!$F$513:$F$522)*(IF('Gastos com Pessoal'!$S$513:$S$522&lt;=I$3,1,0))*OFFSET('Gastos com Pessoal'!$H$512,1,MATCH(3&amp;$B52,'Gastos com Pessoal'!$I$532:$AJ$532&amp;'Gastos com Pessoal'!$I$512:$AJ$512,0),10,1)),0)+_xlfn.IFNA(SUM((I$3&gt;='Gastos com Pessoal'!$E$513:$E$522)*(I$3&lt;='Gastos com Pessoal'!$F$513:$F$522)*(IF('Gastos com Pessoal'!$Y$513:$Y$522&lt;=I$3,1,0))*OFFSET('Gastos com Pessoal'!$H$512,1,MATCH(4&amp;$B52,'Gastos com Pessoal'!$I$532:$AJ$532&amp;'Gastos com Pessoal'!$I$512:$AJ$512,0),10,1)),0)+_xlfn.IFNA(SUM((I$3&gt;='Gastos com Pessoal'!$E$513:$E$522)*(I$3&lt;='Gastos com Pessoal'!$F$513:$F$522)*(IF('Gastos com Pessoal'!$AE$513:$AE$522&lt;=I$3,1,0))*OFFSET('Gastos com Pessoal'!$H$512,1,MATCH(5&amp;$B52,'Gastos com Pessoal'!$I$532:$AJ$532&amp;'Gastos com Pessoal'!$I$512:$AJ$512,0),10,1)),0)</f>
        <v>4515</v>
      </c>
      <c r="J52" s="188">
        <f t="array" aca="1" ref="J52" ca="1">_xlfn.IFNA(SUM((J$3&gt;='Gastos com Pessoal'!$E$7:$E$506)*(J$3&lt;='Gastos com Pessoal'!$F$7:$F$506)*OFFSET('Encargos e Benefícios'!$D$5,1,MATCH($B52,'Encargos e Benefícios'!$E$5:$AB$5,0),500,1)),0)+_xlfn.IFNA(SUM((J$3&gt;='Gastos com Pessoal'!$E$513:$E$522)*(J$3&lt;='Gastos com Pessoal'!$F$513:$F$522)*OFFSET('Encargos e Benefícios'!$D$511,1,MATCH($B52,'Encargos e Benefícios'!$E$511:$AB$511,0),10,1)),0)+_xlfn.IFNA(SUM((J$3&gt;='Gastos com Pessoal'!$E$7:$E$506)*(J$3&lt;='Gastos com Pessoal'!$F$7:$F$506)*(IF('Gastos com Pessoal'!$G$7:$G$506&lt;=J$3,1,0))*OFFSET('Gastos com Pessoal'!$H$6,1,MATCH(1&amp;$B52,'Gastos com Pessoal'!$I$532:$AJ$532&amp;'Gastos com Pessoal'!$I$6:$AJ$6,0),500,1)),0)+_xlfn.IFNA(SUM((J$3&gt;='Gastos com Pessoal'!$E$7:$E$506)*(J$3&lt;='Gastos com Pessoal'!$F$7:$F$506)*(IF('Gastos com Pessoal'!$M$7:$M$506&lt;=J$3,1,0))*OFFSET('Gastos com Pessoal'!$H$6,1,MATCH(2&amp;$B52,'Gastos com Pessoal'!$I$532:$AJ$532&amp;'Gastos com Pessoal'!$I$6:$AJ$6,0),500,1)),0)+_xlfn.IFNA(SUM((J$3&gt;='Gastos com Pessoal'!$E$7:$E$506)*(J$3&lt;='Gastos com Pessoal'!$F$7:$F$506)*(IF('Gastos com Pessoal'!$S$7:$S$506&lt;=J$3,1,0))*OFFSET('Gastos com Pessoal'!$H$6,1,MATCH(3&amp;$B52,'Gastos com Pessoal'!$I$532:$AJ$532&amp;'Gastos com Pessoal'!$I$6:$AJ$6,0),500,1)),0)+_xlfn.IFNA(SUM((J$3&gt;='Gastos com Pessoal'!$E$7:$E$506)*(J$3&lt;='Gastos com Pessoal'!$F$7:$F$506)*(IF('Gastos com Pessoal'!$Y$7:$Y$506&lt;=J$3,1,0))*OFFSET('Gastos com Pessoal'!$H$6,1,MATCH(4&amp;$B52,'Gastos com Pessoal'!$I$532:$AJ$532&amp;'Gastos com Pessoal'!$I$6:$AJ$6,0),500,1)),0)+_xlfn.IFNA(SUM((J$3&gt;='Gastos com Pessoal'!$E$7:$E$506)*(J$3&lt;='Gastos com Pessoal'!$F$7:$F$506)*(IF('Gastos com Pessoal'!$AE$7:$AE$506&lt;=J$3,1,0))*OFFSET('Gastos com Pessoal'!$H$6,1,MATCH(5&amp;$B52,'Gastos com Pessoal'!$I$532:$AJ$532&amp;'Gastos com Pessoal'!$I$6:$AJ$6,0),500,1)),0)+_xlfn.IFNA(SUM((J$3&gt;='Gastos com Pessoal'!$E$513:$E$522)*(J$3&lt;='Gastos com Pessoal'!$F$513:$F$522)*(IF('Gastos com Pessoal'!$G$513:$G$522&lt;=J$3,1,0))*OFFSET('Gastos com Pessoal'!$H$512,1,MATCH(1&amp;$B52,'Gastos com Pessoal'!$I$532:$AJ$532&amp;'Gastos com Pessoal'!$I$512:$AJ$512,0),10,1)),0)+_xlfn.IFNA(SUM((J$3&gt;='Gastos com Pessoal'!$E$513:$E$522)*(J$3&lt;='Gastos com Pessoal'!$F$513:$F$522)*(IF('Gastos com Pessoal'!$M$513:$M$522&lt;=J$3,1,0))*OFFSET('Gastos com Pessoal'!$H$512,1,MATCH(2&amp;$B52,'Gastos com Pessoal'!$I$532:$AJ$532&amp;'Gastos com Pessoal'!$I$512:$AJ$512,0),10,1)),0)+_xlfn.IFNA(SUM((J$3&gt;='Gastos com Pessoal'!$E$513:$E$522)*(J$3&lt;='Gastos com Pessoal'!$F$513:$F$522)*(IF('Gastos com Pessoal'!$S$513:$S$522&lt;=J$3,1,0))*OFFSET('Gastos com Pessoal'!$H$512,1,MATCH(3&amp;$B52,'Gastos com Pessoal'!$I$532:$AJ$532&amp;'Gastos com Pessoal'!$I$512:$AJ$512,0),10,1)),0)+_xlfn.IFNA(SUM((J$3&gt;='Gastos com Pessoal'!$E$513:$E$522)*(J$3&lt;='Gastos com Pessoal'!$F$513:$F$522)*(IF('Gastos com Pessoal'!$Y$513:$Y$522&lt;=J$3,1,0))*OFFSET('Gastos com Pessoal'!$H$512,1,MATCH(4&amp;$B52,'Gastos com Pessoal'!$I$532:$AJ$532&amp;'Gastos com Pessoal'!$I$512:$AJ$512,0),10,1)),0)+_xlfn.IFNA(SUM((J$3&gt;='Gastos com Pessoal'!$E$513:$E$522)*(J$3&lt;='Gastos com Pessoal'!$F$513:$F$522)*(IF('Gastos com Pessoal'!$AE$513:$AE$522&lt;=J$3,1,0))*OFFSET('Gastos com Pessoal'!$H$512,1,MATCH(5&amp;$B52,'Gastos com Pessoal'!$I$532:$AJ$532&amp;'Gastos com Pessoal'!$I$512:$AJ$512,0),10,1)),0)</f>
        <v>4515</v>
      </c>
      <c r="K52" s="188">
        <f t="array" aca="1" ref="K52" ca="1">_xlfn.IFNA(SUM((K$3&gt;='Gastos com Pessoal'!$E$7:$E$506)*(K$3&lt;='Gastos com Pessoal'!$F$7:$F$506)*OFFSET('Encargos e Benefícios'!$D$5,1,MATCH($B52,'Encargos e Benefícios'!$E$5:$AB$5,0),500,1)),0)+_xlfn.IFNA(SUM((K$3&gt;='Gastos com Pessoal'!$E$513:$E$522)*(K$3&lt;='Gastos com Pessoal'!$F$513:$F$522)*OFFSET('Encargos e Benefícios'!$D$511,1,MATCH($B52,'Encargos e Benefícios'!$E$511:$AB$511,0),10,1)),0)+_xlfn.IFNA(SUM((K$3&gt;='Gastos com Pessoal'!$E$7:$E$506)*(K$3&lt;='Gastos com Pessoal'!$F$7:$F$506)*(IF('Gastos com Pessoal'!$G$7:$G$506&lt;=K$3,1,0))*OFFSET('Gastos com Pessoal'!$H$6,1,MATCH(1&amp;$B52,'Gastos com Pessoal'!$I$532:$AJ$532&amp;'Gastos com Pessoal'!$I$6:$AJ$6,0),500,1)),0)+_xlfn.IFNA(SUM((K$3&gt;='Gastos com Pessoal'!$E$7:$E$506)*(K$3&lt;='Gastos com Pessoal'!$F$7:$F$506)*(IF('Gastos com Pessoal'!$M$7:$M$506&lt;=K$3,1,0))*OFFSET('Gastos com Pessoal'!$H$6,1,MATCH(2&amp;$B52,'Gastos com Pessoal'!$I$532:$AJ$532&amp;'Gastos com Pessoal'!$I$6:$AJ$6,0),500,1)),0)+_xlfn.IFNA(SUM((K$3&gt;='Gastos com Pessoal'!$E$7:$E$506)*(K$3&lt;='Gastos com Pessoal'!$F$7:$F$506)*(IF('Gastos com Pessoal'!$S$7:$S$506&lt;=K$3,1,0))*OFFSET('Gastos com Pessoal'!$H$6,1,MATCH(3&amp;$B52,'Gastos com Pessoal'!$I$532:$AJ$532&amp;'Gastos com Pessoal'!$I$6:$AJ$6,0),500,1)),0)+_xlfn.IFNA(SUM((K$3&gt;='Gastos com Pessoal'!$E$7:$E$506)*(K$3&lt;='Gastos com Pessoal'!$F$7:$F$506)*(IF('Gastos com Pessoal'!$Y$7:$Y$506&lt;=K$3,1,0))*OFFSET('Gastos com Pessoal'!$H$6,1,MATCH(4&amp;$B52,'Gastos com Pessoal'!$I$532:$AJ$532&amp;'Gastos com Pessoal'!$I$6:$AJ$6,0),500,1)),0)+_xlfn.IFNA(SUM((K$3&gt;='Gastos com Pessoal'!$E$7:$E$506)*(K$3&lt;='Gastos com Pessoal'!$F$7:$F$506)*(IF('Gastos com Pessoal'!$AE$7:$AE$506&lt;=K$3,1,0))*OFFSET('Gastos com Pessoal'!$H$6,1,MATCH(5&amp;$B52,'Gastos com Pessoal'!$I$532:$AJ$532&amp;'Gastos com Pessoal'!$I$6:$AJ$6,0),500,1)),0)+_xlfn.IFNA(SUM((K$3&gt;='Gastos com Pessoal'!$E$513:$E$522)*(K$3&lt;='Gastos com Pessoal'!$F$513:$F$522)*(IF('Gastos com Pessoal'!$G$513:$G$522&lt;=K$3,1,0))*OFFSET('Gastos com Pessoal'!$H$512,1,MATCH(1&amp;$B52,'Gastos com Pessoal'!$I$532:$AJ$532&amp;'Gastos com Pessoal'!$I$512:$AJ$512,0),10,1)),0)+_xlfn.IFNA(SUM((K$3&gt;='Gastos com Pessoal'!$E$513:$E$522)*(K$3&lt;='Gastos com Pessoal'!$F$513:$F$522)*(IF('Gastos com Pessoal'!$M$513:$M$522&lt;=K$3,1,0))*OFFSET('Gastos com Pessoal'!$H$512,1,MATCH(2&amp;$B52,'Gastos com Pessoal'!$I$532:$AJ$532&amp;'Gastos com Pessoal'!$I$512:$AJ$512,0),10,1)),0)+_xlfn.IFNA(SUM((K$3&gt;='Gastos com Pessoal'!$E$513:$E$522)*(K$3&lt;='Gastos com Pessoal'!$F$513:$F$522)*(IF('Gastos com Pessoal'!$S$513:$S$522&lt;=K$3,1,0))*OFFSET('Gastos com Pessoal'!$H$512,1,MATCH(3&amp;$B52,'Gastos com Pessoal'!$I$532:$AJ$532&amp;'Gastos com Pessoal'!$I$512:$AJ$512,0),10,1)),0)+_xlfn.IFNA(SUM((K$3&gt;='Gastos com Pessoal'!$E$513:$E$522)*(K$3&lt;='Gastos com Pessoal'!$F$513:$F$522)*(IF('Gastos com Pessoal'!$Y$513:$Y$522&lt;=K$3,1,0))*OFFSET('Gastos com Pessoal'!$H$512,1,MATCH(4&amp;$B52,'Gastos com Pessoal'!$I$532:$AJ$532&amp;'Gastos com Pessoal'!$I$512:$AJ$512,0),10,1)),0)+_xlfn.IFNA(SUM((K$3&gt;='Gastos com Pessoal'!$E$513:$E$522)*(K$3&lt;='Gastos com Pessoal'!$F$513:$F$522)*(IF('Gastos com Pessoal'!$AE$513:$AE$522&lt;=K$3,1,0))*OFFSET('Gastos com Pessoal'!$H$512,1,MATCH(5&amp;$B52,'Gastos com Pessoal'!$I$532:$AJ$532&amp;'Gastos com Pessoal'!$I$512:$AJ$512,0),10,1)),0)</f>
        <v>4515</v>
      </c>
      <c r="L52" s="188">
        <f t="array" aca="1" ref="L52" ca="1">_xlfn.IFNA(SUM((L$3&gt;='Gastos com Pessoal'!$E$7:$E$506)*(L$3&lt;='Gastos com Pessoal'!$F$7:$F$506)*OFFSET('Encargos e Benefícios'!$D$5,1,MATCH($B52,'Encargos e Benefícios'!$E$5:$AB$5,0),500,1)),0)+_xlfn.IFNA(SUM((L$3&gt;='Gastos com Pessoal'!$E$513:$E$522)*(L$3&lt;='Gastos com Pessoal'!$F$513:$F$522)*OFFSET('Encargos e Benefícios'!$D$511,1,MATCH($B52,'Encargos e Benefícios'!$E$511:$AB$511,0),10,1)),0)+_xlfn.IFNA(SUM((L$3&gt;='Gastos com Pessoal'!$E$7:$E$506)*(L$3&lt;='Gastos com Pessoal'!$F$7:$F$506)*(IF('Gastos com Pessoal'!$G$7:$G$506&lt;=L$3,1,0))*OFFSET('Gastos com Pessoal'!$H$6,1,MATCH(1&amp;$B52,'Gastos com Pessoal'!$I$532:$AJ$532&amp;'Gastos com Pessoal'!$I$6:$AJ$6,0),500,1)),0)+_xlfn.IFNA(SUM((L$3&gt;='Gastos com Pessoal'!$E$7:$E$506)*(L$3&lt;='Gastos com Pessoal'!$F$7:$F$506)*(IF('Gastos com Pessoal'!$M$7:$M$506&lt;=L$3,1,0))*OFFSET('Gastos com Pessoal'!$H$6,1,MATCH(2&amp;$B52,'Gastos com Pessoal'!$I$532:$AJ$532&amp;'Gastos com Pessoal'!$I$6:$AJ$6,0),500,1)),0)+_xlfn.IFNA(SUM((L$3&gt;='Gastos com Pessoal'!$E$7:$E$506)*(L$3&lt;='Gastos com Pessoal'!$F$7:$F$506)*(IF('Gastos com Pessoal'!$S$7:$S$506&lt;=L$3,1,0))*OFFSET('Gastos com Pessoal'!$H$6,1,MATCH(3&amp;$B52,'Gastos com Pessoal'!$I$532:$AJ$532&amp;'Gastos com Pessoal'!$I$6:$AJ$6,0),500,1)),0)+_xlfn.IFNA(SUM((L$3&gt;='Gastos com Pessoal'!$E$7:$E$506)*(L$3&lt;='Gastos com Pessoal'!$F$7:$F$506)*(IF('Gastos com Pessoal'!$Y$7:$Y$506&lt;=L$3,1,0))*OFFSET('Gastos com Pessoal'!$H$6,1,MATCH(4&amp;$B52,'Gastos com Pessoal'!$I$532:$AJ$532&amp;'Gastos com Pessoal'!$I$6:$AJ$6,0),500,1)),0)+_xlfn.IFNA(SUM((L$3&gt;='Gastos com Pessoal'!$E$7:$E$506)*(L$3&lt;='Gastos com Pessoal'!$F$7:$F$506)*(IF('Gastos com Pessoal'!$AE$7:$AE$506&lt;=L$3,1,0))*OFFSET('Gastos com Pessoal'!$H$6,1,MATCH(5&amp;$B52,'Gastos com Pessoal'!$I$532:$AJ$532&amp;'Gastos com Pessoal'!$I$6:$AJ$6,0),500,1)),0)+_xlfn.IFNA(SUM((L$3&gt;='Gastos com Pessoal'!$E$513:$E$522)*(L$3&lt;='Gastos com Pessoal'!$F$513:$F$522)*(IF('Gastos com Pessoal'!$G$513:$G$522&lt;=L$3,1,0))*OFFSET('Gastos com Pessoal'!$H$512,1,MATCH(1&amp;$B52,'Gastos com Pessoal'!$I$532:$AJ$532&amp;'Gastos com Pessoal'!$I$512:$AJ$512,0),10,1)),0)+_xlfn.IFNA(SUM((L$3&gt;='Gastos com Pessoal'!$E$513:$E$522)*(L$3&lt;='Gastos com Pessoal'!$F$513:$F$522)*(IF('Gastos com Pessoal'!$M$513:$M$522&lt;=L$3,1,0))*OFFSET('Gastos com Pessoal'!$H$512,1,MATCH(2&amp;$B52,'Gastos com Pessoal'!$I$532:$AJ$532&amp;'Gastos com Pessoal'!$I$512:$AJ$512,0),10,1)),0)+_xlfn.IFNA(SUM((L$3&gt;='Gastos com Pessoal'!$E$513:$E$522)*(L$3&lt;='Gastos com Pessoal'!$F$513:$F$522)*(IF('Gastos com Pessoal'!$S$513:$S$522&lt;=L$3,1,0))*OFFSET('Gastos com Pessoal'!$H$512,1,MATCH(3&amp;$B52,'Gastos com Pessoal'!$I$532:$AJ$532&amp;'Gastos com Pessoal'!$I$512:$AJ$512,0),10,1)),0)+_xlfn.IFNA(SUM((L$3&gt;='Gastos com Pessoal'!$E$513:$E$522)*(L$3&lt;='Gastos com Pessoal'!$F$513:$F$522)*(IF('Gastos com Pessoal'!$Y$513:$Y$522&lt;=L$3,1,0))*OFFSET('Gastos com Pessoal'!$H$512,1,MATCH(4&amp;$B52,'Gastos com Pessoal'!$I$532:$AJ$532&amp;'Gastos com Pessoal'!$I$512:$AJ$512,0),10,1)),0)+_xlfn.IFNA(SUM((L$3&gt;='Gastos com Pessoal'!$E$513:$E$522)*(L$3&lt;='Gastos com Pessoal'!$F$513:$F$522)*(IF('Gastos com Pessoal'!$AE$513:$AE$522&lt;=L$3,1,0))*OFFSET('Gastos com Pessoal'!$H$512,1,MATCH(5&amp;$B52,'Gastos com Pessoal'!$I$532:$AJ$532&amp;'Gastos com Pessoal'!$I$512:$AJ$512,0),10,1)),0)</f>
        <v>4515</v>
      </c>
      <c r="M52" s="188">
        <f t="array" aca="1" ref="M52" ca="1">_xlfn.IFNA(SUM((M$3&gt;='Gastos com Pessoal'!$E$7:$E$506)*(M$3&lt;='Gastos com Pessoal'!$F$7:$F$506)*OFFSET('Encargos e Benefícios'!$D$5,1,MATCH($B52,'Encargos e Benefícios'!$E$5:$AB$5,0),500,1)),0)+_xlfn.IFNA(SUM((M$3&gt;='Gastos com Pessoal'!$E$513:$E$522)*(M$3&lt;='Gastos com Pessoal'!$F$513:$F$522)*OFFSET('Encargos e Benefícios'!$D$511,1,MATCH($B52,'Encargos e Benefícios'!$E$511:$AB$511,0),10,1)),0)+_xlfn.IFNA(SUM((M$3&gt;='Gastos com Pessoal'!$E$7:$E$506)*(M$3&lt;='Gastos com Pessoal'!$F$7:$F$506)*(IF('Gastos com Pessoal'!$G$7:$G$506&lt;=M$3,1,0))*OFFSET('Gastos com Pessoal'!$H$6,1,MATCH(1&amp;$B52,'Gastos com Pessoal'!$I$532:$AJ$532&amp;'Gastos com Pessoal'!$I$6:$AJ$6,0),500,1)),0)+_xlfn.IFNA(SUM((M$3&gt;='Gastos com Pessoal'!$E$7:$E$506)*(M$3&lt;='Gastos com Pessoal'!$F$7:$F$506)*(IF('Gastos com Pessoal'!$M$7:$M$506&lt;=M$3,1,0))*OFFSET('Gastos com Pessoal'!$H$6,1,MATCH(2&amp;$B52,'Gastos com Pessoal'!$I$532:$AJ$532&amp;'Gastos com Pessoal'!$I$6:$AJ$6,0),500,1)),0)+_xlfn.IFNA(SUM((M$3&gt;='Gastos com Pessoal'!$E$7:$E$506)*(M$3&lt;='Gastos com Pessoal'!$F$7:$F$506)*(IF('Gastos com Pessoal'!$S$7:$S$506&lt;=M$3,1,0))*OFFSET('Gastos com Pessoal'!$H$6,1,MATCH(3&amp;$B52,'Gastos com Pessoal'!$I$532:$AJ$532&amp;'Gastos com Pessoal'!$I$6:$AJ$6,0),500,1)),0)+_xlfn.IFNA(SUM((M$3&gt;='Gastos com Pessoal'!$E$7:$E$506)*(M$3&lt;='Gastos com Pessoal'!$F$7:$F$506)*(IF('Gastos com Pessoal'!$Y$7:$Y$506&lt;=M$3,1,0))*OFFSET('Gastos com Pessoal'!$H$6,1,MATCH(4&amp;$B52,'Gastos com Pessoal'!$I$532:$AJ$532&amp;'Gastos com Pessoal'!$I$6:$AJ$6,0),500,1)),0)+_xlfn.IFNA(SUM((M$3&gt;='Gastos com Pessoal'!$E$7:$E$506)*(M$3&lt;='Gastos com Pessoal'!$F$7:$F$506)*(IF('Gastos com Pessoal'!$AE$7:$AE$506&lt;=M$3,1,0))*OFFSET('Gastos com Pessoal'!$H$6,1,MATCH(5&amp;$B52,'Gastos com Pessoal'!$I$532:$AJ$532&amp;'Gastos com Pessoal'!$I$6:$AJ$6,0),500,1)),0)+_xlfn.IFNA(SUM((M$3&gt;='Gastos com Pessoal'!$E$513:$E$522)*(M$3&lt;='Gastos com Pessoal'!$F$513:$F$522)*(IF('Gastos com Pessoal'!$G$513:$G$522&lt;=M$3,1,0))*OFFSET('Gastos com Pessoal'!$H$512,1,MATCH(1&amp;$B52,'Gastos com Pessoal'!$I$532:$AJ$532&amp;'Gastos com Pessoal'!$I$512:$AJ$512,0),10,1)),0)+_xlfn.IFNA(SUM((M$3&gt;='Gastos com Pessoal'!$E$513:$E$522)*(M$3&lt;='Gastos com Pessoal'!$F$513:$F$522)*(IF('Gastos com Pessoal'!$M$513:$M$522&lt;=M$3,1,0))*OFFSET('Gastos com Pessoal'!$H$512,1,MATCH(2&amp;$B52,'Gastos com Pessoal'!$I$532:$AJ$532&amp;'Gastos com Pessoal'!$I$512:$AJ$512,0),10,1)),0)+_xlfn.IFNA(SUM((M$3&gt;='Gastos com Pessoal'!$E$513:$E$522)*(M$3&lt;='Gastos com Pessoal'!$F$513:$F$522)*(IF('Gastos com Pessoal'!$S$513:$S$522&lt;=M$3,1,0))*OFFSET('Gastos com Pessoal'!$H$512,1,MATCH(3&amp;$B52,'Gastos com Pessoal'!$I$532:$AJ$532&amp;'Gastos com Pessoal'!$I$512:$AJ$512,0),10,1)),0)+_xlfn.IFNA(SUM((M$3&gt;='Gastos com Pessoal'!$E$513:$E$522)*(M$3&lt;='Gastos com Pessoal'!$F$513:$F$522)*(IF('Gastos com Pessoal'!$Y$513:$Y$522&lt;=M$3,1,0))*OFFSET('Gastos com Pessoal'!$H$512,1,MATCH(4&amp;$B52,'Gastos com Pessoal'!$I$532:$AJ$532&amp;'Gastos com Pessoal'!$I$512:$AJ$512,0),10,1)),0)+_xlfn.IFNA(SUM((M$3&gt;='Gastos com Pessoal'!$E$513:$E$522)*(M$3&lt;='Gastos com Pessoal'!$F$513:$F$522)*(IF('Gastos com Pessoal'!$AE$513:$AE$522&lt;=M$3,1,0))*OFFSET('Gastos com Pessoal'!$H$512,1,MATCH(5&amp;$B52,'Gastos com Pessoal'!$I$532:$AJ$532&amp;'Gastos com Pessoal'!$I$512:$AJ$512,0),10,1)),0)</f>
        <v>4550</v>
      </c>
      <c r="N52" s="188">
        <f t="array" aca="1" ref="N52" ca="1">_xlfn.IFNA(SUM((N$3&gt;='Gastos com Pessoal'!$E$7:$E$506)*(N$3&lt;='Gastos com Pessoal'!$F$7:$F$506)*OFFSET('Encargos e Benefícios'!$D$5,1,MATCH($B52,'Encargos e Benefícios'!$E$5:$AB$5,0),500,1)),0)+_xlfn.IFNA(SUM((N$3&gt;='Gastos com Pessoal'!$E$513:$E$522)*(N$3&lt;='Gastos com Pessoal'!$F$513:$F$522)*OFFSET('Encargos e Benefícios'!$D$511,1,MATCH($B52,'Encargos e Benefícios'!$E$511:$AB$511,0),10,1)),0)+_xlfn.IFNA(SUM((N$3&gt;='Gastos com Pessoal'!$E$7:$E$506)*(N$3&lt;='Gastos com Pessoal'!$F$7:$F$506)*(IF('Gastos com Pessoal'!$G$7:$G$506&lt;=N$3,1,0))*OFFSET('Gastos com Pessoal'!$H$6,1,MATCH(1&amp;$B52,'Gastos com Pessoal'!$I$532:$AJ$532&amp;'Gastos com Pessoal'!$I$6:$AJ$6,0),500,1)),0)+_xlfn.IFNA(SUM((N$3&gt;='Gastos com Pessoal'!$E$7:$E$506)*(N$3&lt;='Gastos com Pessoal'!$F$7:$F$506)*(IF('Gastos com Pessoal'!$M$7:$M$506&lt;=N$3,1,0))*OFFSET('Gastos com Pessoal'!$H$6,1,MATCH(2&amp;$B52,'Gastos com Pessoal'!$I$532:$AJ$532&amp;'Gastos com Pessoal'!$I$6:$AJ$6,0),500,1)),0)+_xlfn.IFNA(SUM((N$3&gt;='Gastos com Pessoal'!$E$7:$E$506)*(N$3&lt;='Gastos com Pessoal'!$F$7:$F$506)*(IF('Gastos com Pessoal'!$S$7:$S$506&lt;=N$3,1,0))*OFFSET('Gastos com Pessoal'!$H$6,1,MATCH(3&amp;$B52,'Gastos com Pessoal'!$I$532:$AJ$532&amp;'Gastos com Pessoal'!$I$6:$AJ$6,0),500,1)),0)+_xlfn.IFNA(SUM((N$3&gt;='Gastos com Pessoal'!$E$7:$E$506)*(N$3&lt;='Gastos com Pessoal'!$F$7:$F$506)*(IF('Gastos com Pessoal'!$Y$7:$Y$506&lt;=N$3,1,0))*OFFSET('Gastos com Pessoal'!$H$6,1,MATCH(4&amp;$B52,'Gastos com Pessoal'!$I$532:$AJ$532&amp;'Gastos com Pessoal'!$I$6:$AJ$6,0),500,1)),0)+_xlfn.IFNA(SUM((N$3&gt;='Gastos com Pessoal'!$E$7:$E$506)*(N$3&lt;='Gastos com Pessoal'!$F$7:$F$506)*(IF('Gastos com Pessoal'!$AE$7:$AE$506&lt;=N$3,1,0))*OFFSET('Gastos com Pessoal'!$H$6,1,MATCH(5&amp;$B52,'Gastos com Pessoal'!$I$532:$AJ$532&amp;'Gastos com Pessoal'!$I$6:$AJ$6,0),500,1)),0)+_xlfn.IFNA(SUM((N$3&gt;='Gastos com Pessoal'!$E$513:$E$522)*(N$3&lt;='Gastos com Pessoal'!$F$513:$F$522)*(IF('Gastos com Pessoal'!$G$513:$G$522&lt;=N$3,1,0))*OFFSET('Gastos com Pessoal'!$H$512,1,MATCH(1&amp;$B52,'Gastos com Pessoal'!$I$532:$AJ$532&amp;'Gastos com Pessoal'!$I$512:$AJ$512,0),10,1)),0)+_xlfn.IFNA(SUM((N$3&gt;='Gastos com Pessoal'!$E$513:$E$522)*(N$3&lt;='Gastos com Pessoal'!$F$513:$F$522)*(IF('Gastos com Pessoal'!$M$513:$M$522&lt;=N$3,1,0))*OFFSET('Gastos com Pessoal'!$H$512,1,MATCH(2&amp;$B52,'Gastos com Pessoal'!$I$532:$AJ$532&amp;'Gastos com Pessoal'!$I$512:$AJ$512,0),10,1)),0)+_xlfn.IFNA(SUM((N$3&gt;='Gastos com Pessoal'!$E$513:$E$522)*(N$3&lt;='Gastos com Pessoal'!$F$513:$F$522)*(IF('Gastos com Pessoal'!$S$513:$S$522&lt;=N$3,1,0))*OFFSET('Gastos com Pessoal'!$H$512,1,MATCH(3&amp;$B52,'Gastos com Pessoal'!$I$532:$AJ$532&amp;'Gastos com Pessoal'!$I$512:$AJ$512,0),10,1)),0)+_xlfn.IFNA(SUM((N$3&gt;='Gastos com Pessoal'!$E$513:$E$522)*(N$3&lt;='Gastos com Pessoal'!$F$513:$F$522)*(IF('Gastos com Pessoal'!$Y$513:$Y$522&lt;=N$3,1,0))*OFFSET('Gastos com Pessoal'!$H$512,1,MATCH(4&amp;$B52,'Gastos com Pessoal'!$I$532:$AJ$532&amp;'Gastos com Pessoal'!$I$512:$AJ$512,0),10,1)),0)+_xlfn.IFNA(SUM((N$3&gt;='Gastos com Pessoal'!$E$513:$E$522)*(N$3&lt;='Gastos com Pessoal'!$F$513:$F$522)*(IF('Gastos com Pessoal'!$AE$513:$AE$522&lt;=N$3,1,0))*OFFSET('Gastos com Pessoal'!$H$512,1,MATCH(5&amp;$B52,'Gastos com Pessoal'!$I$532:$AJ$532&amp;'Gastos com Pessoal'!$I$512:$AJ$512,0),10,1)),0)</f>
        <v>4777.5</v>
      </c>
      <c r="O52" s="188">
        <f t="array" aca="1" ref="O52" ca="1">_xlfn.IFNA(SUM((O$3&gt;='Gastos com Pessoal'!$E$7:$E$506)*(O$3&lt;='Gastos com Pessoal'!$F$7:$F$506)*OFFSET('Encargos e Benefícios'!$D$5,1,MATCH($B52,'Encargos e Benefícios'!$E$5:$AB$5,0),500,1)),0)+_xlfn.IFNA(SUM((O$3&gt;='Gastos com Pessoal'!$E$513:$E$522)*(O$3&lt;='Gastos com Pessoal'!$F$513:$F$522)*OFFSET('Encargos e Benefícios'!$D$511,1,MATCH($B52,'Encargos e Benefícios'!$E$511:$AB$511,0),10,1)),0)+_xlfn.IFNA(SUM((O$3&gt;='Gastos com Pessoal'!$E$7:$E$506)*(O$3&lt;='Gastos com Pessoal'!$F$7:$F$506)*(IF('Gastos com Pessoal'!$G$7:$G$506&lt;=O$3,1,0))*OFFSET('Gastos com Pessoal'!$H$6,1,MATCH(1&amp;$B52,'Gastos com Pessoal'!$I$532:$AJ$532&amp;'Gastos com Pessoal'!$I$6:$AJ$6,0),500,1)),0)+_xlfn.IFNA(SUM((O$3&gt;='Gastos com Pessoal'!$E$7:$E$506)*(O$3&lt;='Gastos com Pessoal'!$F$7:$F$506)*(IF('Gastos com Pessoal'!$M$7:$M$506&lt;=O$3,1,0))*OFFSET('Gastos com Pessoal'!$H$6,1,MATCH(2&amp;$B52,'Gastos com Pessoal'!$I$532:$AJ$532&amp;'Gastos com Pessoal'!$I$6:$AJ$6,0),500,1)),0)+_xlfn.IFNA(SUM((O$3&gt;='Gastos com Pessoal'!$E$7:$E$506)*(O$3&lt;='Gastos com Pessoal'!$F$7:$F$506)*(IF('Gastos com Pessoal'!$S$7:$S$506&lt;=O$3,1,0))*OFFSET('Gastos com Pessoal'!$H$6,1,MATCH(3&amp;$B52,'Gastos com Pessoal'!$I$532:$AJ$532&amp;'Gastos com Pessoal'!$I$6:$AJ$6,0),500,1)),0)+_xlfn.IFNA(SUM((O$3&gt;='Gastos com Pessoal'!$E$7:$E$506)*(O$3&lt;='Gastos com Pessoal'!$F$7:$F$506)*(IF('Gastos com Pessoal'!$Y$7:$Y$506&lt;=O$3,1,0))*OFFSET('Gastos com Pessoal'!$H$6,1,MATCH(4&amp;$B52,'Gastos com Pessoal'!$I$532:$AJ$532&amp;'Gastos com Pessoal'!$I$6:$AJ$6,0),500,1)),0)+_xlfn.IFNA(SUM((O$3&gt;='Gastos com Pessoal'!$E$7:$E$506)*(O$3&lt;='Gastos com Pessoal'!$F$7:$F$506)*(IF('Gastos com Pessoal'!$AE$7:$AE$506&lt;=O$3,1,0))*OFFSET('Gastos com Pessoal'!$H$6,1,MATCH(5&amp;$B52,'Gastos com Pessoal'!$I$532:$AJ$532&amp;'Gastos com Pessoal'!$I$6:$AJ$6,0),500,1)),0)+_xlfn.IFNA(SUM((O$3&gt;='Gastos com Pessoal'!$E$513:$E$522)*(O$3&lt;='Gastos com Pessoal'!$F$513:$F$522)*(IF('Gastos com Pessoal'!$G$513:$G$522&lt;=O$3,1,0))*OFFSET('Gastos com Pessoal'!$H$512,1,MATCH(1&amp;$B52,'Gastos com Pessoal'!$I$532:$AJ$532&amp;'Gastos com Pessoal'!$I$512:$AJ$512,0),10,1)),0)+_xlfn.IFNA(SUM((O$3&gt;='Gastos com Pessoal'!$E$513:$E$522)*(O$3&lt;='Gastos com Pessoal'!$F$513:$F$522)*(IF('Gastos com Pessoal'!$M$513:$M$522&lt;=O$3,1,0))*OFFSET('Gastos com Pessoal'!$H$512,1,MATCH(2&amp;$B52,'Gastos com Pessoal'!$I$532:$AJ$532&amp;'Gastos com Pessoal'!$I$512:$AJ$512,0),10,1)),0)+_xlfn.IFNA(SUM((O$3&gt;='Gastos com Pessoal'!$E$513:$E$522)*(O$3&lt;='Gastos com Pessoal'!$F$513:$F$522)*(IF('Gastos com Pessoal'!$S$513:$S$522&lt;=O$3,1,0))*OFFSET('Gastos com Pessoal'!$H$512,1,MATCH(3&amp;$B52,'Gastos com Pessoal'!$I$532:$AJ$532&amp;'Gastos com Pessoal'!$I$512:$AJ$512,0),10,1)),0)+_xlfn.IFNA(SUM((O$3&gt;='Gastos com Pessoal'!$E$513:$E$522)*(O$3&lt;='Gastos com Pessoal'!$F$513:$F$522)*(IF('Gastos com Pessoal'!$Y$513:$Y$522&lt;=O$3,1,0))*OFFSET('Gastos com Pessoal'!$H$512,1,MATCH(4&amp;$B52,'Gastos com Pessoal'!$I$532:$AJ$532&amp;'Gastos com Pessoal'!$I$512:$AJ$512,0),10,1)),0)+_xlfn.IFNA(SUM((O$3&gt;='Gastos com Pessoal'!$E$513:$E$522)*(O$3&lt;='Gastos com Pessoal'!$F$513:$F$522)*(IF('Gastos com Pessoal'!$AE$513:$AE$522&lt;=O$3,1,0))*OFFSET('Gastos com Pessoal'!$H$512,1,MATCH(5&amp;$B52,'Gastos com Pessoal'!$I$532:$AJ$532&amp;'Gastos com Pessoal'!$I$512:$AJ$512,0),10,1)),0)</f>
        <v>4777.5</v>
      </c>
      <c r="P52" s="188">
        <f t="array" aca="1" ref="P52" ca="1">_xlfn.IFNA(SUM((P$3&gt;='Gastos com Pessoal'!$E$7:$E$506)*(P$3&lt;='Gastos com Pessoal'!$F$7:$F$506)*OFFSET('Encargos e Benefícios'!$D$5,1,MATCH($B52,'Encargos e Benefícios'!$E$5:$AB$5,0),500,1)),0)+_xlfn.IFNA(SUM((P$3&gt;='Gastos com Pessoal'!$E$513:$E$522)*(P$3&lt;='Gastos com Pessoal'!$F$513:$F$522)*OFFSET('Encargos e Benefícios'!$D$511,1,MATCH($B52,'Encargos e Benefícios'!$E$511:$AB$511,0),10,1)),0)+_xlfn.IFNA(SUM((P$3&gt;='Gastos com Pessoal'!$E$7:$E$506)*(P$3&lt;='Gastos com Pessoal'!$F$7:$F$506)*(IF('Gastos com Pessoal'!$G$7:$G$506&lt;=P$3,1,0))*OFFSET('Gastos com Pessoal'!$H$6,1,MATCH(1&amp;$B52,'Gastos com Pessoal'!$I$532:$AJ$532&amp;'Gastos com Pessoal'!$I$6:$AJ$6,0),500,1)),0)+_xlfn.IFNA(SUM((P$3&gt;='Gastos com Pessoal'!$E$7:$E$506)*(P$3&lt;='Gastos com Pessoal'!$F$7:$F$506)*(IF('Gastos com Pessoal'!$M$7:$M$506&lt;=P$3,1,0))*OFFSET('Gastos com Pessoal'!$H$6,1,MATCH(2&amp;$B52,'Gastos com Pessoal'!$I$532:$AJ$532&amp;'Gastos com Pessoal'!$I$6:$AJ$6,0),500,1)),0)+_xlfn.IFNA(SUM((P$3&gt;='Gastos com Pessoal'!$E$7:$E$506)*(P$3&lt;='Gastos com Pessoal'!$F$7:$F$506)*(IF('Gastos com Pessoal'!$S$7:$S$506&lt;=P$3,1,0))*OFFSET('Gastos com Pessoal'!$H$6,1,MATCH(3&amp;$B52,'Gastos com Pessoal'!$I$532:$AJ$532&amp;'Gastos com Pessoal'!$I$6:$AJ$6,0),500,1)),0)+_xlfn.IFNA(SUM((P$3&gt;='Gastos com Pessoal'!$E$7:$E$506)*(P$3&lt;='Gastos com Pessoal'!$F$7:$F$506)*(IF('Gastos com Pessoal'!$Y$7:$Y$506&lt;=P$3,1,0))*OFFSET('Gastos com Pessoal'!$H$6,1,MATCH(4&amp;$B52,'Gastos com Pessoal'!$I$532:$AJ$532&amp;'Gastos com Pessoal'!$I$6:$AJ$6,0),500,1)),0)+_xlfn.IFNA(SUM((P$3&gt;='Gastos com Pessoal'!$E$7:$E$506)*(P$3&lt;='Gastos com Pessoal'!$F$7:$F$506)*(IF('Gastos com Pessoal'!$AE$7:$AE$506&lt;=P$3,1,0))*OFFSET('Gastos com Pessoal'!$H$6,1,MATCH(5&amp;$B52,'Gastos com Pessoal'!$I$532:$AJ$532&amp;'Gastos com Pessoal'!$I$6:$AJ$6,0),500,1)),0)+_xlfn.IFNA(SUM((P$3&gt;='Gastos com Pessoal'!$E$513:$E$522)*(P$3&lt;='Gastos com Pessoal'!$F$513:$F$522)*(IF('Gastos com Pessoal'!$G$513:$G$522&lt;=P$3,1,0))*OFFSET('Gastos com Pessoal'!$H$512,1,MATCH(1&amp;$B52,'Gastos com Pessoal'!$I$532:$AJ$532&amp;'Gastos com Pessoal'!$I$512:$AJ$512,0),10,1)),0)+_xlfn.IFNA(SUM((P$3&gt;='Gastos com Pessoal'!$E$513:$E$522)*(P$3&lt;='Gastos com Pessoal'!$F$513:$F$522)*(IF('Gastos com Pessoal'!$M$513:$M$522&lt;=P$3,1,0))*OFFSET('Gastos com Pessoal'!$H$512,1,MATCH(2&amp;$B52,'Gastos com Pessoal'!$I$532:$AJ$532&amp;'Gastos com Pessoal'!$I$512:$AJ$512,0),10,1)),0)+_xlfn.IFNA(SUM((P$3&gt;='Gastos com Pessoal'!$E$513:$E$522)*(P$3&lt;='Gastos com Pessoal'!$F$513:$F$522)*(IF('Gastos com Pessoal'!$S$513:$S$522&lt;=P$3,1,0))*OFFSET('Gastos com Pessoal'!$H$512,1,MATCH(3&amp;$B52,'Gastos com Pessoal'!$I$532:$AJ$532&amp;'Gastos com Pessoal'!$I$512:$AJ$512,0),10,1)),0)+_xlfn.IFNA(SUM((P$3&gt;='Gastos com Pessoal'!$E$513:$E$522)*(P$3&lt;='Gastos com Pessoal'!$F$513:$F$522)*(IF('Gastos com Pessoal'!$Y$513:$Y$522&lt;=P$3,1,0))*OFFSET('Gastos com Pessoal'!$H$512,1,MATCH(4&amp;$B52,'Gastos com Pessoal'!$I$532:$AJ$532&amp;'Gastos com Pessoal'!$I$512:$AJ$512,0),10,1)),0)+_xlfn.IFNA(SUM((P$3&gt;='Gastos com Pessoal'!$E$513:$E$522)*(P$3&lt;='Gastos com Pessoal'!$F$513:$F$522)*(IF('Gastos com Pessoal'!$AE$513:$AE$522&lt;=P$3,1,0))*OFFSET('Gastos com Pessoal'!$H$512,1,MATCH(5&amp;$B52,'Gastos com Pessoal'!$I$532:$AJ$532&amp;'Gastos com Pessoal'!$I$512:$AJ$512,0),10,1)),0)</f>
        <v>4812.5</v>
      </c>
      <c r="Q52" s="188">
        <f t="array" aca="1" ref="Q52" ca="1">_xlfn.IFNA(SUM((Q$3&gt;='Gastos com Pessoal'!$E$7:$E$506)*(Q$3&lt;='Gastos com Pessoal'!$F$7:$F$506)*OFFSET('Encargos e Benefícios'!$D$5,1,MATCH($B52,'Encargos e Benefícios'!$E$5:$AB$5,0),500,1)),0)+_xlfn.IFNA(SUM((Q$3&gt;='Gastos com Pessoal'!$E$513:$E$522)*(Q$3&lt;='Gastos com Pessoal'!$F$513:$F$522)*OFFSET('Encargos e Benefícios'!$D$511,1,MATCH($B52,'Encargos e Benefícios'!$E$511:$AB$511,0),10,1)),0)+_xlfn.IFNA(SUM((Q$3&gt;='Gastos com Pessoal'!$E$7:$E$506)*(Q$3&lt;='Gastos com Pessoal'!$F$7:$F$506)*(IF('Gastos com Pessoal'!$G$7:$G$506&lt;=Q$3,1,0))*OFFSET('Gastos com Pessoal'!$H$6,1,MATCH(1&amp;$B52,'Gastos com Pessoal'!$I$532:$AJ$532&amp;'Gastos com Pessoal'!$I$6:$AJ$6,0),500,1)),0)+_xlfn.IFNA(SUM((Q$3&gt;='Gastos com Pessoal'!$E$7:$E$506)*(Q$3&lt;='Gastos com Pessoal'!$F$7:$F$506)*(IF('Gastos com Pessoal'!$M$7:$M$506&lt;=Q$3,1,0))*OFFSET('Gastos com Pessoal'!$H$6,1,MATCH(2&amp;$B52,'Gastos com Pessoal'!$I$532:$AJ$532&amp;'Gastos com Pessoal'!$I$6:$AJ$6,0),500,1)),0)+_xlfn.IFNA(SUM((Q$3&gt;='Gastos com Pessoal'!$E$7:$E$506)*(Q$3&lt;='Gastos com Pessoal'!$F$7:$F$506)*(IF('Gastos com Pessoal'!$S$7:$S$506&lt;=Q$3,1,0))*OFFSET('Gastos com Pessoal'!$H$6,1,MATCH(3&amp;$B52,'Gastos com Pessoal'!$I$532:$AJ$532&amp;'Gastos com Pessoal'!$I$6:$AJ$6,0),500,1)),0)+_xlfn.IFNA(SUM((Q$3&gt;='Gastos com Pessoal'!$E$7:$E$506)*(Q$3&lt;='Gastos com Pessoal'!$F$7:$F$506)*(IF('Gastos com Pessoal'!$Y$7:$Y$506&lt;=Q$3,1,0))*OFFSET('Gastos com Pessoal'!$H$6,1,MATCH(4&amp;$B52,'Gastos com Pessoal'!$I$532:$AJ$532&amp;'Gastos com Pessoal'!$I$6:$AJ$6,0),500,1)),0)+_xlfn.IFNA(SUM((Q$3&gt;='Gastos com Pessoal'!$E$7:$E$506)*(Q$3&lt;='Gastos com Pessoal'!$F$7:$F$506)*(IF('Gastos com Pessoal'!$AE$7:$AE$506&lt;=Q$3,1,0))*OFFSET('Gastos com Pessoal'!$H$6,1,MATCH(5&amp;$B52,'Gastos com Pessoal'!$I$532:$AJ$532&amp;'Gastos com Pessoal'!$I$6:$AJ$6,0),500,1)),0)+_xlfn.IFNA(SUM((Q$3&gt;='Gastos com Pessoal'!$E$513:$E$522)*(Q$3&lt;='Gastos com Pessoal'!$F$513:$F$522)*(IF('Gastos com Pessoal'!$G$513:$G$522&lt;=Q$3,1,0))*OFFSET('Gastos com Pessoal'!$H$512,1,MATCH(1&amp;$B52,'Gastos com Pessoal'!$I$532:$AJ$532&amp;'Gastos com Pessoal'!$I$512:$AJ$512,0),10,1)),0)+_xlfn.IFNA(SUM((Q$3&gt;='Gastos com Pessoal'!$E$513:$E$522)*(Q$3&lt;='Gastos com Pessoal'!$F$513:$F$522)*(IF('Gastos com Pessoal'!$M$513:$M$522&lt;=Q$3,1,0))*OFFSET('Gastos com Pessoal'!$H$512,1,MATCH(2&amp;$B52,'Gastos com Pessoal'!$I$532:$AJ$532&amp;'Gastos com Pessoal'!$I$512:$AJ$512,0),10,1)),0)+_xlfn.IFNA(SUM((Q$3&gt;='Gastos com Pessoal'!$E$513:$E$522)*(Q$3&lt;='Gastos com Pessoal'!$F$513:$F$522)*(IF('Gastos com Pessoal'!$S$513:$S$522&lt;=Q$3,1,0))*OFFSET('Gastos com Pessoal'!$H$512,1,MATCH(3&amp;$B52,'Gastos com Pessoal'!$I$532:$AJ$532&amp;'Gastos com Pessoal'!$I$512:$AJ$512,0),10,1)),0)+_xlfn.IFNA(SUM((Q$3&gt;='Gastos com Pessoal'!$E$513:$E$522)*(Q$3&lt;='Gastos com Pessoal'!$F$513:$F$522)*(IF('Gastos com Pessoal'!$Y$513:$Y$522&lt;=Q$3,1,0))*OFFSET('Gastos com Pessoal'!$H$512,1,MATCH(4&amp;$B52,'Gastos com Pessoal'!$I$532:$AJ$532&amp;'Gastos com Pessoal'!$I$512:$AJ$512,0),10,1)),0)+_xlfn.IFNA(SUM((Q$3&gt;='Gastos com Pessoal'!$E$513:$E$522)*(Q$3&lt;='Gastos com Pessoal'!$F$513:$F$522)*(IF('Gastos com Pessoal'!$AE$513:$AE$522&lt;=Q$3,1,0))*OFFSET('Gastos com Pessoal'!$H$512,1,MATCH(5&amp;$B52,'Gastos com Pessoal'!$I$532:$AJ$532&amp;'Gastos com Pessoal'!$I$512:$AJ$512,0),10,1)),0)</f>
        <v>5040</v>
      </c>
      <c r="R52" s="188">
        <f t="array" aca="1" ref="R52" ca="1">_xlfn.IFNA(SUM((R$3&gt;='Gastos com Pessoal'!$E$7:$E$506)*(R$3&lt;='Gastos com Pessoal'!$F$7:$F$506)*OFFSET('Encargos e Benefícios'!$D$5,1,MATCH($B52,'Encargos e Benefícios'!$E$5:$AB$5,0),500,1)),0)+_xlfn.IFNA(SUM((R$3&gt;='Gastos com Pessoal'!$E$513:$E$522)*(R$3&lt;='Gastos com Pessoal'!$F$513:$F$522)*OFFSET('Encargos e Benefícios'!$D$511,1,MATCH($B52,'Encargos e Benefícios'!$E$511:$AB$511,0),10,1)),0)+_xlfn.IFNA(SUM((R$3&gt;='Gastos com Pessoal'!$E$7:$E$506)*(R$3&lt;='Gastos com Pessoal'!$F$7:$F$506)*(IF('Gastos com Pessoal'!$G$7:$G$506&lt;=R$3,1,0))*OFFSET('Gastos com Pessoal'!$H$6,1,MATCH(1&amp;$B52,'Gastos com Pessoal'!$I$532:$AJ$532&amp;'Gastos com Pessoal'!$I$6:$AJ$6,0),500,1)),0)+_xlfn.IFNA(SUM((R$3&gt;='Gastos com Pessoal'!$E$7:$E$506)*(R$3&lt;='Gastos com Pessoal'!$F$7:$F$506)*(IF('Gastos com Pessoal'!$M$7:$M$506&lt;=R$3,1,0))*OFFSET('Gastos com Pessoal'!$H$6,1,MATCH(2&amp;$B52,'Gastos com Pessoal'!$I$532:$AJ$532&amp;'Gastos com Pessoal'!$I$6:$AJ$6,0),500,1)),0)+_xlfn.IFNA(SUM((R$3&gt;='Gastos com Pessoal'!$E$7:$E$506)*(R$3&lt;='Gastos com Pessoal'!$F$7:$F$506)*(IF('Gastos com Pessoal'!$S$7:$S$506&lt;=R$3,1,0))*OFFSET('Gastos com Pessoal'!$H$6,1,MATCH(3&amp;$B52,'Gastos com Pessoal'!$I$532:$AJ$532&amp;'Gastos com Pessoal'!$I$6:$AJ$6,0),500,1)),0)+_xlfn.IFNA(SUM((R$3&gt;='Gastos com Pessoal'!$E$7:$E$506)*(R$3&lt;='Gastos com Pessoal'!$F$7:$F$506)*(IF('Gastos com Pessoal'!$Y$7:$Y$506&lt;=R$3,1,0))*OFFSET('Gastos com Pessoal'!$H$6,1,MATCH(4&amp;$B52,'Gastos com Pessoal'!$I$532:$AJ$532&amp;'Gastos com Pessoal'!$I$6:$AJ$6,0),500,1)),0)+_xlfn.IFNA(SUM((R$3&gt;='Gastos com Pessoal'!$E$7:$E$506)*(R$3&lt;='Gastos com Pessoal'!$F$7:$F$506)*(IF('Gastos com Pessoal'!$AE$7:$AE$506&lt;=R$3,1,0))*OFFSET('Gastos com Pessoal'!$H$6,1,MATCH(5&amp;$B52,'Gastos com Pessoal'!$I$532:$AJ$532&amp;'Gastos com Pessoal'!$I$6:$AJ$6,0),500,1)),0)+_xlfn.IFNA(SUM((R$3&gt;='Gastos com Pessoal'!$E$513:$E$522)*(R$3&lt;='Gastos com Pessoal'!$F$513:$F$522)*(IF('Gastos com Pessoal'!$G$513:$G$522&lt;=R$3,1,0))*OFFSET('Gastos com Pessoal'!$H$512,1,MATCH(1&amp;$B52,'Gastos com Pessoal'!$I$532:$AJ$532&amp;'Gastos com Pessoal'!$I$512:$AJ$512,0),10,1)),0)+_xlfn.IFNA(SUM((R$3&gt;='Gastos com Pessoal'!$E$513:$E$522)*(R$3&lt;='Gastos com Pessoal'!$F$513:$F$522)*(IF('Gastos com Pessoal'!$M$513:$M$522&lt;=R$3,1,0))*OFFSET('Gastos com Pessoal'!$H$512,1,MATCH(2&amp;$B52,'Gastos com Pessoal'!$I$532:$AJ$532&amp;'Gastos com Pessoal'!$I$512:$AJ$512,0),10,1)),0)+_xlfn.IFNA(SUM((R$3&gt;='Gastos com Pessoal'!$E$513:$E$522)*(R$3&lt;='Gastos com Pessoal'!$F$513:$F$522)*(IF('Gastos com Pessoal'!$S$513:$S$522&lt;=R$3,1,0))*OFFSET('Gastos com Pessoal'!$H$512,1,MATCH(3&amp;$B52,'Gastos com Pessoal'!$I$532:$AJ$532&amp;'Gastos com Pessoal'!$I$512:$AJ$512,0),10,1)),0)+_xlfn.IFNA(SUM((R$3&gt;='Gastos com Pessoal'!$E$513:$E$522)*(R$3&lt;='Gastos com Pessoal'!$F$513:$F$522)*(IF('Gastos com Pessoal'!$Y$513:$Y$522&lt;=R$3,1,0))*OFFSET('Gastos com Pessoal'!$H$512,1,MATCH(4&amp;$B52,'Gastos com Pessoal'!$I$532:$AJ$532&amp;'Gastos com Pessoal'!$I$512:$AJ$512,0),10,1)),0)+_xlfn.IFNA(SUM((R$3&gt;='Gastos com Pessoal'!$E$513:$E$522)*(R$3&lt;='Gastos com Pessoal'!$F$513:$F$522)*(IF('Gastos com Pessoal'!$AE$513:$AE$522&lt;=R$3,1,0))*OFFSET('Gastos com Pessoal'!$H$512,1,MATCH(5&amp;$B52,'Gastos com Pessoal'!$I$532:$AJ$532&amp;'Gastos com Pessoal'!$I$512:$AJ$512,0),10,1)),0)</f>
        <v>5040</v>
      </c>
      <c r="S52" s="188">
        <f t="array" aca="1" ref="S52" ca="1">_xlfn.IFNA(SUM((S$3&gt;='Gastos com Pessoal'!$E$7:$E$506)*(S$3&lt;='Gastos com Pessoal'!$F$7:$F$506)*OFFSET('Encargos e Benefícios'!$D$5,1,MATCH($B52,'Encargos e Benefícios'!$E$5:$AB$5,0),500,1)),0)+_xlfn.IFNA(SUM((S$3&gt;='Gastos com Pessoal'!$E$513:$E$522)*(S$3&lt;='Gastos com Pessoal'!$F$513:$F$522)*OFFSET('Encargos e Benefícios'!$D$511,1,MATCH($B52,'Encargos e Benefícios'!$E$511:$AB$511,0),10,1)),0)+_xlfn.IFNA(SUM((S$3&gt;='Gastos com Pessoal'!$E$7:$E$506)*(S$3&lt;='Gastos com Pessoal'!$F$7:$F$506)*(IF('Gastos com Pessoal'!$G$7:$G$506&lt;=S$3,1,0))*OFFSET('Gastos com Pessoal'!$H$6,1,MATCH(1&amp;$B52,'Gastos com Pessoal'!$I$532:$AJ$532&amp;'Gastos com Pessoal'!$I$6:$AJ$6,0),500,1)),0)+_xlfn.IFNA(SUM((S$3&gt;='Gastos com Pessoal'!$E$7:$E$506)*(S$3&lt;='Gastos com Pessoal'!$F$7:$F$506)*(IF('Gastos com Pessoal'!$M$7:$M$506&lt;=S$3,1,0))*OFFSET('Gastos com Pessoal'!$H$6,1,MATCH(2&amp;$B52,'Gastos com Pessoal'!$I$532:$AJ$532&amp;'Gastos com Pessoal'!$I$6:$AJ$6,0),500,1)),0)+_xlfn.IFNA(SUM((S$3&gt;='Gastos com Pessoal'!$E$7:$E$506)*(S$3&lt;='Gastos com Pessoal'!$F$7:$F$506)*(IF('Gastos com Pessoal'!$S$7:$S$506&lt;=S$3,1,0))*OFFSET('Gastos com Pessoal'!$H$6,1,MATCH(3&amp;$B52,'Gastos com Pessoal'!$I$532:$AJ$532&amp;'Gastos com Pessoal'!$I$6:$AJ$6,0),500,1)),0)+_xlfn.IFNA(SUM((S$3&gt;='Gastos com Pessoal'!$E$7:$E$506)*(S$3&lt;='Gastos com Pessoal'!$F$7:$F$506)*(IF('Gastos com Pessoal'!$Y$7:$Y$506&lt;=S$3,1,0))*OFFSET('Gastos com Pessoal'!$H$6,1,MATCH(4&amp;$B52,'Gastos com Pessoal'!$I$532:$AJ$532&amp;'Gastos com Pessoal'!$I$6:$AJ$6,0),500,1)),0)+_xlfn.IFNA(SUM((S$3&gt;='Gastos com Pessoal'!$E$7:$E$506)*(S$3&lt;='Gastos com Pessoal'!$F$7:$F$506)*(IF('Gastos com Pessoal'!$AE$7:$AE$506&lt;=S$3,1,0))*OFFSET('Gastos com Pessoal'!$H$6,1,MATCH(5&amp;$B52,'Gastos com Pessoal'!$I$532:$AJ$532&amp;'Gastos com Pessoal'!$I$6:$AJ$6,0),500,1)),0)+_xlfn.IFNA(SUM((S$3&gt;='Gastos com Pessoal'!$E$513:$E$522)*(S$3&lt;='Gastos com Pessoal'!$F$513:$F$522)*(IF('Gastos com Pessoal'!$G$513:$G$522&lt;=S$3,1,0))*OFFSET('Gastos com Pessoal'!$H$512,1,MATCH(1&amp;$B52,'Gastos com Pessoal'!$I$532:$AJ$532&amp;'Gastos com Pessoal'!$I$512:$AJ$512,0),10,1)),0)+_xlfn.IFNA(SUM((S$3&gt;='Gastos com Pessoal'!$E$513:$E$522)*(S$3&lt;='Gastos com Pessoal'!$F$513:$F$522)*(IF('Gastos com Pessoal'!$M$513:$M$522&lt;=S$3,1,0))*OFFSET('Gastos com Pessoal'!$H$512,1,MATCH(2&amp;$B52,'Gastos com Pessoal'!$I$532:$AJ$532&amp;'Gastos com Pessoal'!$I$512:$AJ$512,0),10,1)),0)+_xlfn.IFNA(SUM((S$3&gt;='Gastos com Pessoal'!$E$513:$E$522)*(S$3&lt;='Gastos com Pessoal'!$F$513:$F$522)*(IF('Gastos com Pessoal'!$S$513:$S$522&lt;=S$3,1,0))*OFFSET('Gastos com Pessoal'!$H$512,1,MATCH(3&amp;$B52,'Gastos com Pessoal'!$I$532:$AJ$532&amp;'Gastos com Pessoal'!$I$512:$AJ$512,0),10,1)),0)+_xlfn.IFNA(SUM((S$3&gt;='Gastos com Pessoal'!$E$513:$E$522)*(S$3&lt;='Gastos com Pessoal'!$F$513:$F$522)*(IF('Gastos com Pessoal'!$Y$513:$Y$522&lt;=S$3,1,0))*OFFSET('Gastos com Pessoal'!$H$512,1,MATCH(4&amp;$B52,'Gastos com Pessoal'!$I$532:$AJ$532&amp;'Gastos com Pessoal'!$I$512:$AJ$512,0),10,1)),0)+_xlfn.IFNA(SUM((S$3&gt;='Gastos com Pessoal'!$E$513:$E$522)*(S$3&lt;='Gastos com Pessoal'!$F$513:$F$522)*(IF('Gastos com Pessoal'!$AE$513:$AE$522&lt;=S$3,1,0))*OFFSET('Gastos com Pessoal'!$H$512,1,MATCH(5&amp;$B52,'Gastos com Pessoal'!$I$532:$AJ$532&amp;'Gastos com Pessoal'!$I$512:$AJ$512,0),10,1)),0)</f>
        <v>5040</v>
      </c>
      <c r="T52" s="188">
        <f t="array" aca="1" ref="T52" ca="1">_xlfn.IFNA(SUM((T$3&gt;='Gastos com Pessoal'!$E$7:$E$506)*(T$3&lt;='Gastos com Pessoal'!$F$7:$F$506)*OFFSET('Encargos e Benefícios'!$D$5,1,MATCH($B52,'Encargos e Benefícios'!$E$5:$AB$5,0),500,1)),0)+_xlfn.IFNA(SUM((T$3&gt;='Gastos com Pessoal'!$E$513:$E$522)*(T$3&lt;='Gastos com Pessoal'!$F$513:$F$522)*OFFSET('Encargos e Benefícios'!$D$511,1,MATCH($B52,'Encargos e Benefícios'!$E$511:$AB$511,0),10,1)),0)+_xlfn.IFNA(SUM((T$3&gt;='Gastos com Pessoal'!$E$7:$E$506)*(T$3&lt;='Gastos com Pessoal'!$F$7:$F$506)*(IF('Gastos com Pessoal'!$G$7:$G$506&lt;=T$3,1,0))*OFFSET('Gastos com Pessoal'!$H$6,1,MATCH(1&amp;$B52,'Gastos com Pessoal'!$I$532:$AJ$532&amp;'Gastos com Pessoal'!$I$6:$AJ$6,0),500,1)),0)+_xlfn.IFNA(SUM((T$3&gt;='Gastos com Pessoal'!$E$7:$E$506)*(T$3&lt;='Gastos com Pessoal'!$F$7:$F$506)*(IF('Gastos com Pessoal'!$M$7:$M$506&lt;=T$3,1,0))*OFFSET('Gastos com Pessoal'!$H$6,1,MATCH(2&amp;$B52,'Gastos com Pessoal'!$I$532:$AJ$532&amp;'Gastos com Pessoal'!$I$6:$AJ$6,0),500,1)),0)+_xlfn.IFNA(SUM((T$3&gt;='Gastos com Pessoal'!$E$7:$E$506)*(T$3&lt;='Gastos com Pessoal'!$F$7:$F$506)*(IF('Gastos com Pessoal'!$S$7:$S$506&lt;=T$3,1,0))*OFFSET('Gastos com Pessoal'!$H$6,1,MATCH(3&amp;$B52,'Gastos com Pessoal'!$I$532:$AJ$532&amp;'Gastos com Pessoal'!$I$6:$AJ$6,0),500,1)),0)+_xlfn.IFNA(SUM((T$3&gt;='Gastos com Pessoal'!$E$7:$E$506)*(T$3&lt;='Gastos com Pessoal'!$F$7:$F$506)*(IF('Gastos com Pessoal'!$Y$7:$Y$506&lt;=T$3,1,0))*OFFSET('Gastos com Pessoal'!$H$6,1,MATCH(4&amp;$B52,'Gastos com Pessoal'!$I$532:$AJ$532&amp;'Gastos com Pessoal'!$I$6:$AJ$6,0),500,1)),0)+_xlfn.IFNA(SUM((T$3&gt;='Gastos com Pessoal'!$E$7:$E$506)*(T$3&lt;='Gastos com Pessoal'!$F$7:$F$506)*(IF('Gastos com Pessoal'!$AE$7:$AE$506&lt;=T$3,1,0))*OFFSET('Gastos com Pessoal'!$H$6,1,MATCH(5&amp;$B52,'Gastos com Pessoal'!$I$532:$AJ$532&amp;'Gastos com Pessoal'!$I$6:$AJ$6,0),500,1)),0)+_xlfn.IFNA(SUM((T$3&gt;='Gastos com Pessoal'!$E$513:$E$522)*(T$3&lt;='Gastos com Pessoal'!$F$513:$F$522)*(IF('Gastos com Pessoal'!$G$513:$G$522&lt;=T$3,1,0))*OFFSET('Gastos com Pessoal'!$H$512,1,MATCH(1&amp;$B52,'Gastos com Pessoal'!$I$532:$AJ$532&amp;'Gastos com Pessoal'!$I$512:$AJ$512,0),10,1)),0)+_xlfn.IFNA(SUM((T$3&gt;='Gastos com Pessoal'!$E$513:$E$522)*(T$3&lt;='Gastos com Pessoal'!$F$513:$F$522)*(IF('Gastos com Pessoal'!$M$513:$M$522&lt;=T$3,1,0))*OFFSET('Gastos com Pessoal'!$H$512,1,MATCH(2&amp;$B52,'Gastos com Pessoal'!$I$532:$AJ$532&amp;'Gastos com Pessoal'!$I$512:$AJ$512,0),10,1)),0)+_xlfn.IFNA(SUM((T$3&gt;='Gastos com Pessoal'!$E$513:$E$522)*(T$3&lt;='Gastos com Pessoal'!$F$513:$F$522)*(IF('Gastos com Pessoal'!$S$513:$S$522&lt;=T$3,1,0))*OFFSET('Gastos com Pessoal'!$H$512,1,MATCH(3&amp;$B52,'Gastos com Pessoal'!$I$532:$AJ$532&amp;'Gastos com Pessoal'!$I$512:$AJ$512,0),10,1)),0)+_xlfn.IFNA(SUM((T$3&gt;='Gastos com Pessoal'!$E$513:$E$522)*(T$3&lt;='Gastos com Pessoal'!$F$513:$F$522)*(IF('Gastos com Pessoal'!$Y$513:$Y$522&lt;=T$3,1,0))*OFFSET('Gastos com Pessoal'!$H$512,1,MATCH(4&amp;$B52,'Gastos com Pessoal'!$I$532:$AJ$532&amp;'Gastos com Pessoal'!$I$512:$AJ$512,0),10,1)),0)+_xlfn.IFNA(SUM((T$3&gt;='Gastos com Pessoal'!$E$513:$E$522)*(T$3&lt;='Gastos com Pessoal'!$F$513:$F$522)*(IF('Gastos com Pessoal'!$AE$513:$AE$522&lt;=T$3,1,0))*OFFSET('Gastos com Pessoal'!$H$512,1,MATCH(5&amp;$B52,'Gastos com Pessoal'!$I$532:$AJ$532&amp;'Gastos com Pessoal'!$I$512:$AJ$512,0),10,1)),0)</f>
        <v>5040</v>
      </c>
      <c r="U52" s="188">
        <f t="array" aca="1" ref="U52" ca="1">_xlfn.IFNA(SUM((U$3&gt;='Gastos com Pessoal'!$E$7:$E$506)*(U$3&lt;='Gastos com Pessoal'!$F$7:$F$506)*OFFSET('Encargos e Benefícios'!$D$5,1,MATCH($B52,'Encargos e Benefícios'!$E$5:$AB$5,0),500,1)),0)+_xlfn.IFNA(SUM((U$3&gt;='Gastos com Pessoal'!$E$513:$E$522)*(U$3&lt;='Gastos com Pessoal'!$F$513:$F$522)*OFFSET('Encargos e Benefícios'!$D$511,1,MATCH($B52,'Encargos e Benefícios'!$E$511:$AB$511,0),10,1)),0)+_xlfn.IFNA(SUM((U$3&gt;='Gastos com Pessoal'!$E$7:$E$506)*(U$3&lt;='Gastos com Pessoal'!$F$7:$F$506)*(IF('Gastos com Pessoal'!$G$7:$G$506&lt;=U$3,1,0))*OFFSET('Gastos com Pessoal'!$H$6,1,MATCH(1&amp;$B52,'Gastos com Pessoal'!$I$532:$AJ$532&amp;'Gastos com Pessoal'!$I$6:$AJ$6,0),500,1)),0)+_xlfn.IFNA(SUM((U$3&gt;='Gastos com Pessoal'!$E$7:$E$506)*(U$3&lt;='Gastos com Pessoal'!$F$7:$F$506)*(IF('Gastos com Pessoal'!$M$7:$M$506&lt;=U$3,1,0))*OFFSET('Gastos com Pessoal'!$H$6,1,MATCH(2&amp;$B52,'Gastos com Pessoal'!$I$532:$AJ$532&amp;'Gastos com Pessoal'!$I$6:$AJ$6,0),500,1)),0)+_xlfn.IFNA(SUM((U$3&gt;='Gastos com Pessoal'!$E$7:$E$506)*(U$3&lt;='Gastos com Pessoal'!$F$7:$F$506)*(IF('Gastos com Pessoal'!$S$7:$S$506&lt;=U$3,1,0))*OFFSET('Gastos com Pessoal'!$H$6,1,MATCH(3&amp;$B52,'Gastos com Pessoal'!$I$532:$AJ$532&amp;'Gastos com Pessoal'!$I$6:$AJ$6,0),500,1)),0)+_xlfn.IFNA(SUM((U$3&gt;='Gastos com Pessoal'!$E$7:$E$506)*(U$3&lt;='Gastos com Pessoal'!$F$7:$F$506)*(IF('Gastos com Pessoal'!$Y$7:$Y$506&lt;=U$3,1,0))*OFFSET('Gastos com Pessoal'!$H$6,1,MATCH(4&amp;$B52,'Gastos com Pessoal'!$I$532:$AJ$532&amp;'Gastos com Pessoal'!$I$6:$AJ$6,0),500,1)),0)+_xlfn.IFNA(SUM((U$3&gt;='Gastos com Pessoal'!$E$7:$E$506)*(U$3&lt;='Gastos com Pessoal'!$F$7:$F$506)*(IF('Gastos com Pessoal'!$AE$7:$AE$506&lt;=U$3,1,0))*OFFSET('Gastos com Pessoal'!$H$6,1,MATCH(5&amp;$B52,'Gastos com Pessoal'!$I$532:$AJ$532&amp;'Gastos com Pessoal'!$I$6:$AJ$6,0),500,1)),0)+_xlfn.IFNA(SUM((U$3&gt;='Gastos com Pessoal'!$E$513:$E$522)*(U$3&lt;='Gastos com Pessoal'!$F$513:$F$522)*(IF('Gastos com Pessoal'!$G$513:$G$522&lt;=U$3,1,0))*OFFSET('Gastos com Pessoal'!$H$512,1,MATCH(1&amp;$B52,'Gastos com Pessoal'!$I$532:$AJ$532&amp;'Gastos com Pessoal'!$I$512:$AJ$512,0),10,1)),0)+_xlfn.IFNA(SUM((U$3&gt;='Gastos com Pessoal'!$E$513:$E$522)*(U$3&lt;='Gastos com Pessoal'!$F$513:$F$522)*(IF('Gastos com Pessoal'!$M$513:$M$522&lt;=U$3,1,0))*OFFSET('Gastos com Pessoal'!$H$512,1,MATCH(2&amp;$B52,'Gastos com Pessoal'!$I$532:$AJ$532&amp;'Gastos com Pessoal'!$I$512:$AJ$512,0),10,1)),0)+_xlfn.IFNA(SUM((U$3&gt;='Gastos com Pessoal'!$E$513:$E$522)*(U$3&lt;='Gastos com Pessoal'!$F$513:$F$522)*(IF('Gastos com Pessoal'!$S$513:$S$522&lt;=U$3,1,0))*OFFSET('Gastos com Pessoal'!$H$512,1,MATCH(3&amp;$B52,'Gastos com Pessoal'!$I$532:$AJ$532&amp;'Gastos com Pessoal'!$I$512:$AJ$512,0),10,1)),0)+_xlfn.IFNA(SUM((U$3&gt;='Gastos com Pessoal'!$E$513:$E$522)*(U$3&lt;='Gastos com Pessoal'!$F$513:$F$522)*(IF('Gastos com Pessoal'!$Y$513:$Y$522&lt;=U$3,1,0))*OFFSET('Gastos com Pessoal'!$H$512,1,MATCH(4&amp;$B52,'Gastos com Pessoal'!$I$532:$AJ$532&amp;'Gastos com Pessoal'!$I$512:$AJ$512,0),10,1)),0)+_xlfn.IFNA(SUM((U$3&gt;='Gastos com Pessoal'!$E$513:$E$522)*(U$3&lt;='Gastos com Pessoal'!$F$513:$F$522)*(IF('Gastos com Pessoal'!$AE$513:$AE$522&lt;=U$3,1,0))*OFFSET('Gastos com Pessoal'!$H$512,1,MATCH(5&amp;$B52,'Gastos com Pessoal'!$I$532:$AJ$532&amp;'Gastos com Pessoal'!$I$512:$AJ$512,0),10,1)),0)</f>
        <v>5040</v>
      </c>
      <c r="V52" s="188">
        <f t="array" aca="1" ref="V52" ca="1">_xlfn.IFNA(SUM((V$3&gt;='Gastos com Pessoal'!$E$7:$E$506)*(V$3&lt;='Gastos com Pessoal'!$F$7:$F$506)*OFFSET('Encargos e Benefícios'!$D$5,1,MATCH($B52,'Encargos e Benefícios'!$E$5:$AB$5,0),500,1)),0)+_xlfn.IFNA(SUM((V$3&gt;='Gastos com Pessoal'!$E$513:$E$522)*(V$3&lt;='Gastos com Pessoal'!$F$513:$F$522)*OFFSET('Encargos e Benefícios'!$D$511,1,MATCH($B52,'Encargos e Benefícios'!$E$511:$AB$511,0),10,1)),0)+_xlfn.IFNA(SUM((V$3&gt;='Gastos com Pessoal'!$E$7:$E$506)*(V$3&lt;='Gastos com Pessoal'!$F$7:$F$506)*(IF('Gastos com Pessoal'!$G$7:$G$506&lt;=V$3,1,0))*OFFSET('Gastos com Pessoal'!$H$6,1,MATCH(1&amp;$B52,'Gastos com Pessoal'!$I$532:$AJ$532&amp;'Gastos com Pessoal'!$I$6:$AJ$6,0),500,1)),0)+_xlfn.IFNA(SUM((V$3&gt;='Gastos com Pessoal'!$E$7:$E$506)*(V$3&lt;='Gastos com Pessoal'!$F$7:$F$506)*(IF('Gastos com Pessoal'!$M$7:$M$506&lt;=V$3,1,0))*OFFSET('Gastos com Pessoal'!$H$6,1,MATCH(2&amp;$B52,'Gastos com Pessoal'!$I$532:$AJ$532&amp;'Gastos com Pessoal'!$I$6:$AJ$6,0),500,1)),0)+_xlfn.IFNA(SUM((V$3&gt;='Gastos com Pessoal'!$E$7:$E$506)*(V$3&lt;='Gastos com Pessoal'!$F$7:$F$506)*(IF('Gastos com Pessoal'!$S$7:$S$506&lt;=V$3,1,0))*OFFSET('Gastos com Pessoal'!$H$6,1,MATCH(3&amp;$B52,'Gastos com Pessoal'!$I$532:$AJ$532&amp;'Gastos com Pessoal'!$I$6:$AJ$6,0),500,1)),0)+_xlfn.IFNA(SUM((V$3&gt;='Gastos com Pessoal'!$E$7:$E$506)*(V$3&lt;='Gastos com Pessoal'!$F$7:$F$506)*(IF('Gastos com Pessoal'!$Y$7:$Y$506&lt;=V$3,1,0))*OFFSET('Gastos com Pessoal'!$H$6,1,MATCH(4&amp;$B52,'Gastos com Pessoal'!$I$532:$AJ$532&amp;'Gastos com Pessoal'!$I$6:$AJ$6,0),500,1)),0)+_xlfn.IFNA(SUM((V$3&gt;='Gastos com Pessoal'!$E$7:$E$506)*(V$3&lt;='Gastos com Pessoal'!$F$7:$F$506)*(IF('Gastos com Pessoal'!$AE$7:$AE$506&lt;=V$3,1,0))*OFFSET('Gastos com Pessoal'!$H$6,1,MATCH(5&amp;$B52,'Gastos com Pessoal'!$I$532:$AJ$532&amp;'Gastos com Pessoal'!$I$6:$AJ$6,0),500,1)),0)+_xlfn.IFNA(SUM((V$3&gt;='Gastos com Pessoal'!$E$513:$E$522)*(V$3&lt;='Gastos com Pessoal'!$F$513:$F$522)*(IF('Gastos com Pessoal'!$G$513:$G$522&lt;=V$3,1,0))*OFFSET('Gastos com Pessoal'!$H$512,1,MATCH(1&amp;$B52,'Gastos com Pessoal'!$I$532:$AJ$532&amp;'Gastos com Pessoal'!$I$512:$AJ$512,0),10,1)),0)+_xlfn.IFNA(SUM((V$3&gt;='Gastos com Pessoal'!$E$513:$E$522)*(V$3&lt;='Gastos com Pessoal'!$F$513:$F$522)*(IF('Gastos com Pessoal'!$M$513:$M$522&lt;=V$3,1,0))*OFFSET('Gastos com Pessoal'!$H$512,1,MATCH(2&amp;$B52,'Gastos com Pessoal'!$I$532:$AJ$532&amp;'Gastos com Pessoal'!$I$512:$AJ$512,0),10,1)),0)+_xlfn.IFNA(SUM((V$3&gt;='Gastos com Pessoal'!$E$513:$E$522)*(V$3&lt;='Gastos com Pessoal'!$F$513:$F$522)*(IF('Gastos com Pessoal'!$S$513:$S$522&lt;=V$3,1,0))*OFFSET('Gastos com Pessoal'!$H$512,1,MATCH(3&amp;$B52,'Gastos com Pessoal'!$I$532:$AJ$532&amp;'Gastos com Pessoal'!$I$512:$AJ$512,0),10,1)),0)+_xlfn.IFNA(SUM((V$3&gt;='Gastos com Pessoal'!$E$513:$E$522)*(V$3&lt;='Gastos com Pessoal'!$F$513:$F$522)*(IF('Gastos com Pessoal'!$Y$513:$Y$522&lt;=V$3,1,0))*OFFSET('Gastos com Pessoal'!$H$512,1,MATCH(4&amp;$B52,'Gastos com Pessoal'!$I$532:$AJ$532&amp;'Gastos com Pessoal'!$I$512:$AJ$512,0),10,1)),0)+_xlfn.IFNA(SUM((V$3&gt;='Gastos com Pessoal'!$E$513:$E$522)*(V$3&lt;='Gastos com Pessoal'!$F$513:$F$522)*(IF('Gastos com Pessoal'!$AE$513:$AE$522&lt;=V$3,1,0))*OFFSET('Gastos com Pessoal'!$H$512,1,MATCH(5&amp;$B52,'Gastos com Pessoal'!$I$532:$AJ$532&amp;'Gastos com Pessoal'!$I$512:$AJ$512,0),10,1)),0)</f>
        <v>5040</v>
      </c>
      <c r="W52" s="188">
        <f t="array" aca="1" ref="W52" ca="1">_xlfn.IFNA(SUM((W$3&gt;='Gastos com Pessoal'!$E$7:$E$506)*(W$3&lt;='Gastos com Pessoal'!$F$7:$F$506)*OFFSET('Encargos e Benefícios'!$D$5,1,MATCH($B52,'Encargos e Benefícios'!$E$5:$AB$5,0),500,1)),0)+_xlfn.IFNA(SUM((W$3&gt;='Gastos com Pessoal'!$E$513:$E$522)*(W$3&lt;='Gastos com Pessoal'!$F$513:$F$522)*OFFSET('Encargos e Benefícios'!$D$511,1,MATCH($B52,'Encargos e Benefícios'!$E$511:$AB$511,0),10,1)),0)+_xlfn.IFNA(SUM((W$3&gt;='Gastos com Pessoal'!$E$7:$E$506)*(W$3&lt;='Gastos com Pessoal'!$F$7:$F$506)*(IF('Gastos com Pessoal'!$G$7:$G$506&lt;=W$3,1,0))*OFFSET('Gastos com Pessoal'!$H$6,1,MATCH(1&amp;$B52,'Gastos com Pessoal'!$I$532:$AJ$532&amp;'Gastos com Pessoal'!$I$6:$AJ$6,0),500,1)),0)+_xlfn.IFNA(SUM((W$3&gt;='Gastos com Pessoal'!$E$7:$E$506)*(W$3&lt;='Gastos com Pessoal'!$F$7:$F$506)*(IF('Gastos com Pessoal'!$M$7:$M$506&lt;=W$3,1,0))*OFFSET('Gastos com Pessoal'!$H$6,1,MATCH(2&amp;$B52,'Gastos com Pessoal'!$I$532:$AJ$532&amp;'Gastos com Pessoal'!$I$6:$AJ$6,0),500,1)),0)+_xlfn.IFNA(SUM((W$3&gt;='Gastos com Pessoal'!$E$7:$E$506)*(W$3&lt;='Gastos com Pessoal'!$F$7:$F$506)*(IF('Gastos com Pessoal'!$S$7:$S$506&lt;=W$3,1,0))*OFFSET('Gastos com Pessoal'!$H$6,1,MATCH(3&amp;$B52,'Gastos com Pessoal'!$I$532:$AJ$532&amp;'Gastos com Pessoal'!$I$6:$AJ$6,0),500,1)),0)+_xlfn.IFNA(SUM((W$3&gt;='Gastos com Pessoal'!$E$7:$E$506)*(W$3&lt;='Gastos com Pessoal'!$F$7:$F$506)*(IF('Gastos com Pessoal'!$Y$7:$Y$506&lt;=W$3,1,0))*OFFSET('Gastos com Pessoal'!$H$6,1,MATCH(4&amp;$B52,'Gastos com Pessoal'!$I$532:$AJ$532&amp;'Gastos com Pessoal'!$I$6:$AJ$6,0),500,1)),0)+_xlfn.IFNA(SUM((W$3&gt;='Gastos com Pessoal'!$E$7:$E$506)*(W$3&lt;='Gastos com Pessoal'!$F$7:$F$506)*(IF('Gastos com Pessoal'!$AE$7:$AE$506&lt;=W$3,1,0))*OFFSET('Gastos com Pessoal'!$H$6,1,MATCH(5&amp;$B52,'Gastos com Pessoal'!$I$532:$AJ$532&amp;'Gastos com Pessoal'!$I$6:$AJ$6,0),500,1)),0)+_xlfn.IFNA(SUM((W$3&gt;='Gastos com Pessoal'!$E$513:$E$522)*(W$3&lt;='Gastos com Pessoal'!$F$513:$F$522)*(IF('Gastos com Pessoal'!$G$513:$G$522&lt;=W$3,1,0))*OFFSET('Gastos com Pessoal'!$H$512,1,MATCH(1&amp;$B52,'Gastos com Pessoal'!$I$532:$AJ$532&amp;'Gastos com Pessoal'!$I$512:$AJ$512,0),10,1)),0)+_xlfn.IFNA(SUM((W$3&gt;='Gastos com Pessoal'!$E$513:$E$522)*(W$3&lt;='Gastos com Pessoal'!$F$513:$F$522)*(IF('Gastos com Pessoal'!$M$513:$M$522&lt;=W$3,1,0))*OFFSET('Gastos com Pessoal'!$H$512,1,MATCH(2&amp;$B52,'Gastos com Pessoal'!$I$532:$AJ$532&amp;'Gastos com Pessoal'!$I$512:$AJ$512,0),10,1)),0)+_xlfn.IFNA(SUM((W$3&gt;='Gastos com Pessoal'!$E$513:$E$522)*(W$3&lt;='Gastos com Pessoal'!$F$513:$F$522)*(IF('Gastos com Pessoal'!$S$513:$S$522&lt;=W$3,1,0))*OFFSET('Gastos com Pessoal'!$H$512,1,MATCH(3&amp;$B52,'Gastos com Pessoal'!$I$532:$AJ$532&amp;'Gastos com Pessoal'!$I$512:$AJ$512,0),10,1)),0)+_xlfn.IFNA(SUM((W$3&gt;='Gastos com Pessoal'!$E$513:$E$522)*(W$3&lt;='Gastos com Pessoal'!$F$513:$F$522)*(IF('Gastos com Pessoal'!$Y$513:$Y$522&lt;=W$3,1,0))*OFFSET('Gastos com Pessoal'!$H$512,1,MATCH(4&amp;$B52,'Gastos com Pessoal'!$I$532:$AJ$532&amp;'Gastos com Pessoal'!$I$512:$AJ$512,0),10,1)),0)+_xlfn.IFNA(SUM((W$3&gt;='Gastos com Pessoal'!$E$513:$E$522)*(W$3&lt;='Gastos com Pessoal'!$F$513:$F$522)*(IF('Gastos com Pessoal'!$AE$513:$AE$522&lt;=W$3,1,0))*OFFSET('Gastos com Pessoal'!$H$512,1,MATCH(5&amp;$B52,'Gastos com Pessoal'!$I$532:$AJ$532&amp;'Gastos com Pessoal'!$I$512:$AJ$512,0),10,1)),0)</f>
        <v>5040</v>
      </c>
      <c r="X52" s="188">
        <f t="array" aca="1" ref="X52" ca="1">_xlfn.IFNA(SUM((X$3&gt;='Gastos com Pessoal'!$E$7:$E$506)*(X$3&lt;='Gastos com Pessoal'!$F$7:$F$506)*OFFSET('Encargos e Benefícios'!$D$5,1,MATCH($B52,'Encargos e Benefícios'!$E$5:$AB$5,0),500,1)),0)+_xlfn.IFNA(SUM((X$3&gt;='Gastos com Pessoal'!$E$513:$E$522)*(X$3&lt;='Gastos com Pessoal'!$F$513:$F$522)*OFFSET('Encargos e Benefícios'!$D$511,1,MATCH($B52,'Encargos e Benefícios'!$E$511:$AB$511,0),10,1)),0)+_xlfn.IFNA(SUM((X$3&gt;='Gastos com Pessoal'!$E$7:$E$506)*(X$3&lt;='Gastos com Pessoal'!$F$7:$F$506)*(IF('Gastos com Pessoal'!$G$7:$G$506&lt;=X$3,1,0))*OFFSET('Gastos com Pessoal'!$H$6,1,MATCH(1&amp;$B52,'Gastos com Pessoal'!$I$532:$AJ$532&amp;'Gastos com Pessoal'!$I$6:$AJ$6,0),500,1)),0)+_xlfn.IFNA(SUM((X$3&gt;='Gastos com Pessoal'!$E$7:$E$506)*(X$3&lt;='Gastos com Pessoal'!$F$7:$F$506)*(IF('Gastos com Pessoal'!$M$7:$M$506&lt;=X$3,1,0))*OFFSET('Gastos com Pessoal'!$H$6,1,MATCH(2&amp;$B52,'Gastos com Pessoal'!$I$532:$AJ$532&amp;'Gastos com Pessoal'!$I$6:$AJ$6,0),500,1)),0)+_xlfn.IFNA(SUM((X$3&gt;='Gastos com Pessoal'!$E$7:$E$506)*(X$3&lt;='Gastos com Pessoal'!$F$7:$F$506)*(IF('Gastos com Pessoal'!$S$7:$S$506&lt;=X$3,1,0))*OFFSET('Gastos com Pessoal'!$H$6,1,MATCH(3&amp;$B52,'Gastos com Pessoal'!$I$532:$AJ$532&amp;'Gastos com Pessoal'!$I$6:$AJ$6,0),500,1)),0)+_xlfn.IFNA(SUM((X$3&gt;='Gastos com Pessoal'!$E$7:$E$506)*(X$3&lt;='Gastos com Pessoal'!$F$7:$F$506)*(IF('Gastos com Pessoal'!$Y$7:$Y$506&lt;=X$3,1,0))*OFFSET('Gastos com Pessoal'!$H$6,1,MATCH(4&amp;$B52,'Gastos com Pessoal'!$I$532:$AJ$532&amp;'Gastos com Pessoal'!$I$6:$AJ$6,0),500,1)),0)+_xlfn.IFNA(SUM((X$3&gt;='Gastos com Pessoal'!$E$7:$E$506)*(X$3&lt;='Gastos com Pessoal'!$F$7:$F$506)*(IF('Gastos com Pessoal'!$AE$7:$AE$506&lt;=X$3,1,0))*OFFSET('Gastos com Pessoal'!$H$6,1,MATCH(5&amp;$B52,'Gastos com Pessoal'!$I$532:$AJ$532&amp;'Gastos com Pessoal'!$I$6:$AJ$6,0),500,1)),0)+_xlfn.IFNA(SUM((X$3&gt;='Gastos com Pessoal'!$E$513:$E$522)*(X$3&lt;='Gastos com Pessoal'!$F$513:$F$522)*(IF('Gastos com Pessoal'!$G$513:$G$522&lt;=X$3,1,0))*OFFSET('Gastos com Pessoal'!$H$512,1,MATCH(1&amp;$B52,'Gastos com Pessoal'!$I$532:$AJ$532&amp;'Gastos com Pessoal'!$I$512:$AJ$512,0),10,1)),0)+_xlfn.IFNA(SUM((X$3&gt;='Gastos com Pessoal'!$E$513:$E$522)*(X$3&lt;='Gastos com Pessoal'!$F$513:$F$522)*(IF('Gastos com Pessoal'!$M$513:$M$522&lt;=X$3,1,0))*OFFSET('Gastos com Pessoal'!$H$512,1,MATCH(2&amp;$B52,'Gastos com Pessoal'!$I$532:$AJ$532&amp;'Gastos com Pessoal'!$I$512:$AJ$512,0),10,1)),0)+_xlfn.IFNA(SUM((X$3&gt;='Gastos com Pessoal'!$E$513:$E$522)*(X$3&lt;='Gastos com Pessoal'!$F$513:$F$522)*(IF('Gastos com Pessoal'!$S$513:$S$522&lt;=X$3,1,0))*OFFSET('Gastos com Pessoal'!$H$512,1,MATCH(3&amp;$B52,'Gastos com Pessoal'!$I$532:$AJ$532&amp;'Gastos com Pessoal'!$I$512:$AJ$512,0),10,1)),0)+_xlfn.IFNA(SUM((X$3&gt;='Gastos com Pessoal'!$E$513:$E$522)*(X$3&lt;='Gastos com Pessoal'!$F$513:$F$522)*(IF('Gastos com Pessoal'!$Y$513:$Y$522&lt;=X$3,1,0))*OFFSET('Gastos com Pessoal'!$H$512,1,MATCH(4&amp;$B52,'Gastos com Pessoal'!$I$532:$AJ$532&amp;'Gastos com Pessoal'!$I$512:$AJ$512,0),10,1)),0)+_xlfn.IFNA(SUM((X$3&gt;='Gastos com Pessoal'!$E$513:$E$522)*(X$3&lt;='Gastos com Pessoal'!$F$513:$F$522)*(IF('Gastos com Pessoal'!$AE$513:$AE$522&lt;=X$3,1,0))*OFFSET('Gastos com Pessoal'!$H$512,1,MATCH(5&amp;$B52,'Gastos com Pessoal'!$I$532:$AJ$532&amp;'Gastos com Pessoal'!$I$512:$AJ$512,0),10,1)),0)</f>
        <v>5040</v>
      </c>
      <c r="Y52" s="188">
        <f t="array" aca="1" ref="Y52" ca="1">_xlfn.IFNA(SUM((Y$3&gt;='Gastos com Pessoal'!$E$7:$E$506)*(Y$3&lt;='Gastos com Pessoal'!$F$7:$F$506)*OFFSET('Encargos e Benefícios'!$D$5,1,MATCH($B52,'Encargos e Benefícios'!$E$5:$AB$5,0),500,1)),0)+_xlfn.IFNA(SUM((Y$3&gt;='Gastos com Pessoal'!$E$513:$E$522)*(Y$3&lt;='Gastos com Pessoal'!$F$513:$F$522)*OFFSET('Encargos e Benefícios'!$D$511,1,MATCH($B52,'Encargos e Benefícios'!$E$511:$AB$511,0),10,1)),0)+_xlfn.IFNA(SUM((Y$3&gt;='Gastos com Pessoal'!$E$7:$E$506)*(Y$3&lt;='Gastos com Pessoal'!$F$7:$F$506)*(IF('Gastos com Pessoal'!$G$7:$G$506&lt;=Y$3,1,0))*OFFSET('Gastos com Pessoal'!$H$6,1,MATCH(1&amp;$B52,'Gastos com Pessoal'!$I$532:$AJ$532&amp;'Gastos com Pessoal'!$I$6:$AJ$6,0),500,1)),0)+_xlfn.IFNA(SUM((Y$3&gt;='Gastos com Pessoal'!$E$7:$E$506)*(Y$3&lt;='Gastos com Pessoal'!$F$7:$F$506)*(IF('Gastos com Pessoal'!$M$7:$M$506&lt;=Y$3,1,0))*OFFSET('Gastos com Pessoal'!$H$6,1,MATCH(2&amp;$B52,'Gastos com Pessoal'!$I$532:$AJ$532&amp;'Gastos com Pessoal'!$I$6:$AJ$6,0),500,1)),0)+_xlfn.IFNA(SUM((Y$3&gt;='Gastos com Pessoal'!$E$7:$E$506)*(Y$3&lt;='Gastos com Pessoal'!$F$7:$F$506)*(IF('Gastos com Pessoal'!$S$7:$S$506&lt;=Y$3,1,0))*OFFSET('Gastos com Pessoal'!$H$6,1,MATCH(3&amp;$B52,'Gastos com Pessoal'!$I$532:$AJ$532&amp;'Gastos com Pessoal'!$I$6:$AJ$6,0),500,1)),0)+_xlfn.IFNA(SUM((Y$3&gt;='Gastos com Pessoal'!$E$7:$E$506)*(Y$3&lt;='Gastos com Pessoal'!$F$7:$F$506)*(IF('Gastos com Pessoal'!$Y$7:$Y$506&lt;=Y$3,1,0))*OFFSET('Gastos com Pessoal'!$H$6,1,MATCH(4&amp;$B52,'Gastos com Pessoal'!$I$532:$AJ$532&amp;'Gastos com Pessoal'!$I$6:$AJ$6,0),500,1)),0)+_xlfn.IFNA(SUM((Y$3&gt;='Gastos com Pessoal'!$E$7:$E$506)*(Y$3&lt;='Gastos com Pessoal'!$F$7:$F$506)*(IF('Gastos com Pessoal'!$AE$7:$AE$506&lt;=Y$3,1,0))*OFFSET('Gastos com Pessoal'!$H$6,1,MATCH(5&amp;$B52,'Gastos com Pessoal'!$I$532:$AJ$532&amp;'Gastos com Pessoal'!$I$6:$AJ$6,0),500,1)),0)+_xlfn.IFNA(SUM((Y$3&gt;='Gastos com Pessoal'!$E$513:$E$522)*(Y$3&lt;='Gastos com Pessoal'!$F$513:$F$522)*(IF('Gastos com Pessoal'!$G$513:$G$522&lt;=Y$3,1,0))*OFFSET('Gastos com Pessoal'!$H$512,1,MATCH(1&amp;$B52,'Gastos com Pessoal'!$I$532:$AJ$532&amp;'Gastos com Pessoal'!$I$512:$AJ$512,0),10,1)),0)+_xlfn.IFNA(SUM((Y$3&gt;='Gastos com Pessoal'!$E$513:$E$522)*(Y$3&lt;='Gastos com Pessoal'!$F$513:$F$522)*(IF('Gastos com Pessoal'!$M$513:$M$522&lt;=Y$3,1,0))*OFFSET('Gastos com Pessoal'!$H$512,1,MATCH(2&amp;$B52,'Gastos com Pessoal'!$I$532:$AJ$532&amp;'Gastos com Pessoal'!$I$512:$AJ$512,0),10,1)),0)+_xlfn.IFNA(SUM((Y$3&gt;='Gastos com Pessoal'!$E$513:$E$522)*(Y$3&lt;='Gastos com Pessoal'!$F$513:$F$522)*(IF('Gastos com Pessoal'!$S$513:$S$522&lt;=Y$3,1,0))*OFFSET('Gastos com Pessoal'!$H$512,1,MATCH(3&amp;$B52,'Gastos com Pessoal'!$I$532:$AJ$532&amp;'Gastos com Pessoal'!$I$512:$AJ$512,0),10,1)),0)+_xlfn.IFNA(SUM((Y$3&gt;='Gastos com Pessoal'!$E$513:$E$522)*(Y$3&lt;='Gastos com Pessoal'!$F$513:$F$522)*(IF('Gastos com Pessoal'!$Y$513:$Y$522&lt;=Y$3,1,0))*OFFSET('Gastos com Pessoal'!$H$512,1,MATCH(4&amp;$B52,'Gastos com Pessoal'!$I$532:$AJ$532&amp;'Gastos com Pessoal'!$I$512:$AJ$512,0),10,1)),0)+_xlfn.IFNA(SUM((Y$3&gt;='Gastos com Pessoal'!$E$513:$E$522)*(Y$3&lt;='Gastos com Pessoal'!$F$513:$F$522)*(IF('Gastos com Pessoal'!$AE$513:$AE$522&lt;=Y$3,1,0))*OFFSET('Gastos com Pessoal'!$H$512,1,MATCH(5&amp;$B52,'Gastos com Pessoal'!$I$532:$AJ$532&amp;'Gastos com Pessoal'!$I$512:$AJ$512,0),10,1)),0)</f>
        <v>5040</v>
      </c>
      <c r="Z52" s="188">
        <f t="array" aca="1" ref="Z52" ca="1">_xlfn.IFNA(SUM((Z$3&gt;='Gastos com Pessoal'!$E$7:$E$506)*(Z$3&lt;='Gastos com Pessoal'!$F$7:$F$506)*OFFSET('Encargos e Benefícios'!$D$5,1,MATCH($B52,'Encargos e Benefícios'!$E$5:$AB$5,0),500,1)),0)+_xlfn.IFNA(SUM((Z$3&gt;='Gastos com Pessoal'!$E$513:$E$522)*(Z$3&lt;='Gastos com Pessoal'!$F$513:$F$522)*OFFSET('Encargos e Benefícios'!$D$511,1,MATCH($B52,'Encargos e Benefícios'!$E$511:$AB$511,0),10,1)),0)+_xlfn.IFNA(SUM((Z$3&gt;='Gastos com Pessoal'!$E$7:$E$506)*(Z$3&lt;='Gastos com Pessoal'!$F$7:$F$506)*(IF('Gastos com Pessoal'!$G$7:$G$506&lt;=Z$3,1,0))*OFFSET('Gastos com Pessoal'!$H$6,1,MATCH(1&amp;$B52,'Gastos com Pessoal'!$I$532:$AJ$532&amp;'Gastos com Pessoal'!$I$6:$AJ$6,0),500,1)),0)+_xlfn.IFNA(SUM((Z$3&gt;='Gastos com Pessoal'!$E$7:$E$506)*(Z$3&lt;='Gastos com Pessoal'!$F$7:$F$506)*(IF('Gastos com Pessoal'!$M$7:$M$506&lt;=Z$3,1,0))*OFFSET('Gastos com Pessoal'!$H$6,1,MATCH(2&amp;$B52,'Gastos com Pessoal'!$I$532:$AJ$532&amp;'Gastos com Pessoal'!$I$6:$AJ$6,0),500,1)),0)+_xlfn.IFNA(SUM((Z$3&gt;='Gastos com Pessoal'!$E$7:$E$506)*(Z$3&lt;='Gastos com Pessoal'!$F$7:$F$506)*(IF('Gastos com Pessoal'!$S$7:$S$506&lt;=Z$3,1,0))*OFFSET('Gastos com Pessoal'!$H$6,1,MATCH(3&amp;$B52,'Gastos com Pessoal'!$I$532:$AJ$532&amp;'Gastos com Pessoal'!$I$6:$AJ$6,0),500,1)),0)+_xlfn.IFNA(SUM((Z$3&gt;='Gastos com Pessoal'!$E$7:$E$506)*(Z$3&lt;='Gastos com Pessoal'!$F$7:$F$506)*(IF('Gastos com Pessoal'!$Y$7:$Y$506&lt;=Z$3,1,0))*OFFSET('Gastos com Pessoal'!$H$6,1,MATCH(4&amp;$B52,'Gastos com Pessoal'!$I$532:$AJ$532&amp;'Gastos com Pessoal'!$I$6:$AJ$6,0),500,1)),0)+_xlfn.IFNA(SUM((Z$3&gt;='Gastos com Pessoal'!$E$7:$E$506)*(Z$3&lt;='Gastos com Pessoal'!$F$7:$F$506)*(IF('Gastos com Pessoal'!$AE$7:$AE$506&lt;=Z$3,1,0))*OFFSET('Gastos com Pessoal'!$H$6,1,MATCH(5&amp;$B52,'Gastos com Pessoal'!$I$532:$AJ$532&amp;'Gastos com Pessoal'!$I$6:$AJ$6,0),500,1)),0)+_xlfn.IFNA(SUM((Z$3&gt;='Gastos com Pessoal'!$E$513:$E$522)*(Z$3&lt;='Gastos com Pessoal'!$F$513:$F$522)*(IF('Gastos com Pessoal'!$G$513:$G$522&lt;=Z$3,1,0))*OFFSET('Gastos com Pessoal'!$H$512,1,MATCH(1&amp;$B52,'Gastos com Pessoal'!$I$532:$AJ$532&amp;'Gastos com Pessoal'!$I$512:$AJ$512,0),10,1)),0)+_xlfn.IFNA(SUM((Z$3&gt;='Gastos com Pessoal'!$E$513:$E$522)*(Z$3&lt;='Gastos com Pessoal'!$F$513:$F$522)*(IF('Gastos com Pessoal'!$M$513:$M$522&lt;=Z$3,1,0))*OFFSET('Gastos com Pessoal'!$H$512,1,MATCH(2&amp;$B52,'Gastos com Pessoal'!$I$532:$AJ$532&amp;'Gastos com Pessoal'!$I$512:$AJ$512,0),10,1)),0)+_xlfn.IFNA(SUM((Z$3&gt;='Gastos com Pessoal'!$E$513:$E$522)*(Z$3&lt;='Gastos com Pessoal'!$F$513:$F$522)*(IF('Gastos com Pessoal'!$S$513:$S$522&lt;=Z$3,1,0))*OFFSET('Gastos com Pessoal'!$H$512,1,MATCH(3&amp;$B52,'Gastos com Pessoal'!$I$532:$AJ$532&amp;'Gastos com Pessoal'!$I$512:$AJ$512,0),10,1)),0)+_xlfn.IFNA(SUM((Z$3&gt;='Gastos com Pessoal'!$E$513:$E$522)*(Z$3&lt;='Gastos com Pessoal'!$F$513:$F$522)*(IF('Gastos com Pessoal'!$Y$513:$Y$522&lt;=Z$3,1,0))*OFFSET('Gastos com Pessoal'!$H$512,1,MATCH(4&amp;$B52,'Gastos com Pessoal'!$I$532:$AJ$532&amp;'Gastos com Pessoal'!$I$512:$AJ$512,0),10,1)),0)+_xlfn.IFNA(SUM((Z$3&gt;='Gastos com Pessoal'!$E$513:$E$522)*(Z$3&lt;='Gastos com Pessoal'!$F$513:$F$522)*(IF('Gastos com Pessoal'!$AE$513:$AE$522&lt;=Z$3,1,0))*OFFSET('Gastos com Pessoal'!$H$512,1,MATCH(5&amp;$B52,'Gastos com Pessoal'!$I$532:$AJ$532&amp;'Gastos com Pessoal'!$I$512:$AJ$512,0),10,1)),0)</f>
        <v>5040</v>
      </c>
      <c r="AA52" s="188">
        <f t="array" aca="1" ref="AA52" ca="1">_xlfn.IFNA(SUM((AA$3&gt;='Gastos com Pessoal'!$E$7:$E$506)*(AA$3&lt;='Gastos com Pessoal'!$F$7:$F$506)*OFFSET('Encargos e Benefícios'!$D$5,1,MATCH($B52,'Encargos e Benefícios'!$E$5:$AB$5,0),500,1)),0)+_xlfn.IFNA(SUM((AA$3&gt;='Gastos com Pessoal'!$E$513:$E$522)*(AA$3&lt;='Gastos com Pessoal'!$F$513:$F$522)*OFFSET('Encargos e Benefícios'!$D$511,1,MATCH($B52,'Encargos e Benefícios'!$E$511:$AB$511,0),10,1)),0)+_xlfn.IFNA(SUM((AA$3&gt;='Gastos com Pessoal'!$E$7:$E$506)*(AA$3&lt;='Gastos com Pessoal'!$F$7:$F$506)*(IF('Gastos com Pessoal'!$G$7:$G$506&lt;=AA$3,1,0))*OFFSET('Gastos com Pessoal'!$H$6,1,MATCH(1&amp;$B52,'Gastos com Pessoal'!$I$532:$AJ$532&amp;'Gastos com Pessoal'!$I$6:$AJ$6,0),500,1)),0)+_xlfn.IFNA(SUM((AA$3&gt;='Gastos com Pessoal'!$E$7:$E$506)*(AA$3&lt;='Gastos com Pessoal'!$F$7:$F$506)*(IF('Gastos com Pessoal'!$M$7:$M$506&lt;=AA$3,1,0))*OFFSET('Gastos com Pessoal'!$H$6,1,MATCH(2&amp;$B52,'Gastos com Pessoal'!$I$532:$AJ$532&amp;'Gastos com Pessoal'!$I$6:$AJ$6,0),500,1)),0)+_xlfn.IFNA(SUM((AA$3&gt;='Gastos com Pessoal'!$E$7:$E$506)*(AA$3&lt;='Gastos com Pessoal'!$F$7:$F$506)*(IF('Gastos com Pessoal'!$S$7:$S$506&lt;=AA$3,1,0))*OFFSET('Gastos com Pessoal'!$H$6,1,MATCH(3&amp;$B52,'Gastos com Pessoal'!$I$532:$AJ$532&amp;'Gastos com Pessoal'!$I$6:$AJ$6,0),500,1)),0)+_xlfn.IFNA(SUM((AA$3&gt;='Gastos com Pessoal'!$E$7:$E$506)*(AA$3&lt;='Gastos com Pessoal'!$F$7:$F$506)*(IF('Gastos com Pessoal'!$Y$7:$Y$506&lt;=AA$3,1,0))*OFFSET('Gastos com Pessoal'!$H$6,1,MATCH(4&amp;$B52,'Gastos com Pessoal'!$I$532:$AJ$532&amp;'Gastos com Pessoal'!$I$6:$AJ$6,0),500,1)),0)+_xlfn.IFNA(SUM((AA$3&gt;='Gastos com Pessoal'!$E$7:$E$506)*(AA$3&lt;='Gastos com Pessoal'!$F$7:$F$506)*(IF('Gastos com Pessoal'!$AE$7:$AE$506&lt;=AA$3,1,0))*OFFSET('Gastos com Pessoal'!$H$6,1,MATCH(5&amp;$B52,'Gastos com Pessoal'!$I$532:$AJ$532&amp;'Gastos com Pessoal'!$I$6:$AJ$6,0),500,1)),0)+_xlfn.IFNA(SUM((AA$3&gt;='Gastos com Pessoal'!$E$513:$E$522)*(AA$3&lt;='Gastos com Pessoal'!$F$513:$F$522)*(IF('Gastos com Pessoal'!$G$513:$G$522&lt;=AA$3,1,0))*OFFSET('Gastos com Pessoal'!$H$512,1,MATCH(1&amp;$B52,'Gastos com Pessoal'!$I$532:$AJ$532&amp;'Gastos com Pessoal'!$I$512:$AJ$512,0),10,1)),0)+_xlfn.IFNA(SUM((AA$3&gt;='Gastos com Pessoal'!$E$513:$E$522)*(AA$3&lt;='Gastos com Pessoal'!$F$513:$F$522)*(IF('Gastos com Pessoal'!$M$513:$M$522&lt;=AA$3,1,0))*OFFSET('Gastos com Pessoal'!$H$512,1,MATCH(2&amp;$B52,'Gastos com Pessoal'!$I$532:$AJ$532&amp;'Gastos com Pessoal'!$I$512:$AJ$512,0),10,1)),0)+_xlfn.IFNA(SUM((AA$3&gt;='Gastos com Pessoal'!$E$513:$E$522)*(AA$3&lt;='Gastos com Pessoal'!$F$513:$F$522)*(IF('Gastos com Pessoal'!$S$513:$S$522&lt;=AA$3,1,0))*OFFSET('Gastos com Pessoal'!$H$512,1,MATCH(3&amp;$B52,'Gastos com Pessoal'!$I$532:$AJ$532&amp;'Gastos com Pessoal'!$I$512:$AJ$512,0),10,1)),0)+_xlfn.IFNA(SUM((AA$3&gt;='Gastos com Pessoal'!$E$513:$E$522)*(AA$3&lt;='Gastos com Pessoal'!$F$513:$F$522)*(IF('Gastos com Pessoal'!$Y$513:$Y$522&lt;=AA$3,1,0))*OFFSET('Gastos com Pessoal'!$H$512,1,MATCH(4&amp;$B52,'Gastos com Pessoal'!$I$532:$AJ$532&amp;'Gastos com Pessoal'!$I$512:$AJ$512,0),10,1)),0)+_xlfn.IFNA(SUM((AA$3&gt;='Gastos com Pessoal'!$E$513:$E$522)*(AA$3&lt;='Gastos com Pessoal'!$F$513:$F$522)*(IF('Gastos com Pessoal'!$AE$513:$AE$522&lt;=AA$3,1,0))*OFFSET('Gastos com Pessoal'!$H$512,1,MATCH(5&amp;$B52,'Gastos com Pessoal'!$I$532:$AJ$532&amp;'Gastos com Pessoal'!$I$512:$AJ$512,0),10,1)),0)</f>
        <v>5040</v>
      </c>
      <c r="AB52" s="188">
        <f t="array" aca="1" ref="AB52" ca="1">_xlfn.IFNA(SUM((AB$3&gt;='Gastos com Pessoal'!$E$7:$E$506)*(AB$3&lt;='Gastos com Pessoal'!$F$7:$F$506)*OFFSET('Encargos e Benefícios'!$D$5,1,MATCH($B52,'Encargos e Benefícios'!$E$5:$AB$5,0),500,1)),0)+_xlfn.IFNA(SUM((AB$3&gt;='Gastos com Pessoal'!$E$513:$E$522)*(AB$3&lt;='Gastos com Pessoal'!$F$513:$F$522)*OFFSET('Encargos e Benefícios'!$D$511,1,MATCH($B52,'Encargos e Benefícios'!$E$511:$AB$511,0),10,1)),0)+_xlfn.IFNA(SUM((AB$3&gt;='Gastos com Pessoal'!$E$7:$E$506)*(AB$3&lt;='Gastos com Pessoal'!$F$7:$F$506)*(IF('Gastos com Pessoal'!$G$7:$G$506&lt;=AB$3,1,0))*OFFSET('Gastos com Pessoal'!$H$6,1,MATCH(1&amp;$B52,'Gastos com Pessoal'!$I$532:$AJ$532&amp;'Gastos com Pessoal'!$I$6:$AJ$6,0),500,1)),0)+_xlfn.IFNA(SUM((AB$3&gt;='Gastos com Pessoal'!$E$7:$E$506)*(AB$3&lt;='Gastos com Pessoal'!$F$7:$F$506)*(IF('Gastos com Pessoal'!$M$7:$M$506&lt;=AB$3,1,0))*OFFSET('Gastos com Pessoal'!$H$6,1,MATCH(2&amp;$B52,'Gastos com Pessoal'!$I$532:$AJ$532&amp;'Gastos com Pessoal'!$I$6:$AJ$6,0),500,1)),0)+_xlfn.IFNA(SUM((AB$3&gt;='Gastos com Pessoal'!$E$7:$E$506)*(AB$3&lt;='Gastos com Pessoal'!$F$7:$F$506)*(IF('Gastos com Pessoal'!$S$7:$S$506&lt;=AB$3,1,0))*OFFSET('Gastos com Pessoal'!$H$6,1,MATCH(3&amp;$B52,'Gastos com Pessoal'!$I$532:$AJ$532&amp;'Gastos com Pessoal'!$I$6:$AJ$6,0),500,1)),0)+_xlfn.IFNA(SUM((AB$3&gt;='Gastos com Pessoal'!$E$7:$E$506)*(AB$3&lt;='Gastos com Pessoal'!$F$7:$F$506)*(IF('Gastos com Pessoal'!$Y$7:$Y$506&lt;=AB$3,1,0))*OFFSET('Gastos com Pessoal'!$H$6,1,MATCH(4&amp;$B52,'Gastos com Pessoal'!$I$532:$AJ$532&amp;'Gastos com Pessoal'!$I$6:$AJ$6,0),500,1)),0)+_xlfn.IFNA(SUM((AB$3&gt;='Gastos com Pessoal'!$E$7:$E$506)*(AB$3&lt;='Gastos com Pessoal'!$F$7:$F$506)*(IF('Gastos com Pessoal'!$AE$7:$AE$506&lt;=AB$3,1,0))*OFFSET('Gastos com Pessoal'!$H$6,1,MATCH(5&amp;$B52,'Gastos com Pessoal'!$I$532:$AJ$532&amp;'Gastos com Pessoal'!$I$6:$AJ$6,0),500,1)),0)+_xlfn.IFNA(SUM((AB$3&gt;='Gastos com Pessoal'!$E$513:$E$522)*(AB$3&lt;='Gastos com Pessoal'!$F$513:$F$522)*(IF('Gastos com Pessoal'!$G$513:$G$522&lt;=AB$3,1,0))*OFFSET('Gastos com Pessoal'!$H$512,1,MATCH(1&amp;$B52,'Gastos com Pessoal'!$I$532:$AJ$532&amp;'Gastos com Pessoal'!$I$512:$AJ$512,0),10,1)),0)+_xlfn.IFNA(SUM((AB$3&gt;='Gastos com Pessoal'!$E$513:$E$522)*(AB$3&lt;='Gastos com Pessoal'!$F$513:$F$522)*(IF('Gastos com Pessoal'!$M$513:$M$522&lt;=AB$3,1,0))*OFFSET('Gastos com Pessoal'!$H$512,1,MATCH(2&amp;$B52,'Gastos com Pessoal'!$I$532:$AJ$532&amp;'Gastos com Pessoal'!$I$512:$AJ$512,0),10,1)),0)+_xlfn.IFNA(SUM((AB$3&gt;='Gastos com Pessoal'!$E$513:$E$522)*(AB$3&lt;='Gastos com Pessoal'!$F$513:$F$522)*(IF('Gastos com Pessoal'!$S$513:$S$522&lt;=AB$3,1,0))*OFFSET('Gastos com Pessoal'!$H$512,1,MATCH(3&amp;$B52,'Gastos com Pessoal'!$I$532:$AJ$532&amp;'Gastos com Pessoal'!$I$512:$AJ$512,0),10,1)),0)+_xlfn.IFNA(SUM((AB$3&gt;='Gastos com Pessoal'!$E$513:$E$522)*(AB$3&lt;='Gastos com Pessoal'!$F$513:$F$522)*(IF('Gastos com Pessoal'!$Y$513:$Y$522&lt;=AB$3,1,0))*OFFSET('Gastos com Pessoal'!$H$512,1,MATCH(4&amp;$B52,'Gastos com Pessoal'!$I$532:$AJ$532&amp;'Gastos com Pessoal'!$I$512:$AJ$512,0),10,1)),0)+_xlfn.IFNA(SUM((AB$3&gt;='Gastos com Pessoal'!$E$513:$E$522)*(AB$3&lt;='Gastos com Pessoal'!$F$513:$F$522)*(IF('Gastos com Pessoal'!$AE$513:$AE$522&lt;=AB$3,1,0))*OFFSET('Gastos com Pessoal'!$H$512,1,MATCH(5&amp;$B52,'Gastos com Pessoal'!$I$532:$AJ$532&amp;'Gastos com Pessoal'!$I$512:$AJ$512,0),10,1)),0)</f>
        <v>5040</v>
      </c>
      <c r="AC52" s="188">
        <f t="array" aca="1" ref="AC52" ca="1">_xlfn.IFNA(SUM((AC$3&gt;='Gastos com Pessoal'!$E$7:$E$506)*(AC$3&lt;='Gastos com Pessoal'!$F$7:$F$506)*OFFSET('Encargos e Benefícios'!$D$5,1,MATCH($B52,'Encargos e Benefícios'!$E$5:$AB$5,0),500,1)),0)+_xlfn.IFNA(SUM((AC$3&gt;='Gastos com Pessoal'!$E$513:$E$522)*(AC$3&lt;='Gastos com Pessoal'!$F$513:$F$522)*OFFSET('Encargos e Benefícios'!$D$511,1,MATCH($B52,'Encargos e Benefícios'!$E$511:$AB$511,0),10,1)),0)+_xlfn.IFNA(SUM((AC$3&gt;='Gastos com Pessoal'!$E$7:$E$506)*(AC$3&lt;='Gastos com Pessoal'!$F$7:$F$506)*(IF('Gastos com Pessoal'!$G$7:$G$506&lt;=AC$3,1,0))*OFFSET('Gastos com Pessoal'!$H$6,1,MATCH(1&amp;$B52,'Gastos com Pessoal'!$I$532:$AJ$532&amp;'Gastos com Pessoal'!$I$6:$AJ$6,0),500,1)),0)+_xlfn.IFNA(SUM((AC$3&gt;='Gastos com Pessoal'!$E$7:$E$506)*(AC$3&lt;='Gastos com Pessoal'!$F$7:$F$506)*(IF('Gastos com Pessoal'!$M$7:$M$506&lt;=AC$3,1,0))*OFFSET('Gastos com Pessoal'!$H$6,1,MATCH(2&amp;$B52,'Gastos com Pessoal'!$I$532:$AJ$532&amp;'Gastos com Pessoal'!$I$6:$AJ$6,0),500,1)),0)+_xlfn.IFNA(SUM((AC$3&gt;='Gastos com Pessoal'!$E$7:$E$506)*(AC$3&lt;='Gastos com Pessoal'!$F$7:$F$506)*(IF('Gastos com Pessoal'!$S$7:$S$506&lt;=AC$3,1,0))*OFFSET('Gastos com Pessoal'!$H$6,1,MATCH(3&amp;$B52,'Gastos com Pessoal'!$I$532:$AJ$532&amp;'Gastos com Pessoal'!$I$6:$AJ$6,0),500,1)),0)+_xlfn.IFNA(SUM((AC$3&gt;='Gastos com Pessoal'!$E$7:$E$506)*(AC$3&lt;='Gastos com Pessoal'!$F$7:$F$506)*(IF('Gastos com Pessoal'!$Y$7:$Y$506&lt;=AC$3,1,0))*OFFSET('Gastos com Pessoal'!$H$6,1,MATCH(4&amp;$B52,'Gastos com Pessoal'!$I$532:$AJ$532&amp;'Gastos com Pessoal'!$I$6:$AJ$6,0),500,1)),0)+_xlfn.IFNA(SUM((AC$3&gt;='Gastos com Pessoal'!$E$7:$E$506)*(AC$3&lt;='Gastos com Pessoal'!$F$7:$F$506)*(IF('Gastos com Pessoal'!$AE$7:$AE$506&lt;=AC$3,1,0))*OFFSET('Gastos com Pessoal'!$H$6,1,MATCH(5&amp;$B52,'Gastos com Pessoal'!$I$532:$AJ$532&amp;'Gastos com Pessoal'!$I$6:$AJ$6,0),500,1)),0)+_xlfn.IFNA(SUM((AC$3&gt;='Gastos com Pessoal'!$E$513:$E$522)*(AC$3&lt;='Gastos com Pessoal'!$F$513:$F$522)*(IF('Gastos com Pessoal'!$G$513:$G$522&lt;=AC$3,1,0))*OFFSET('Gastos com Pessoal'!$H$512,1,MATCH(1&amp;$B52,'Gastos com Pessoal'!$I$532:$AJ$532&amp;'Gastos com Pessoal'!$I$512:$AJ$512,0),10,1)),0)+_xlfn.IFNA(SUM((AC$3&gt;='Gastos com Pessoal'!$E$513:$E$522)*(AC$3&lt;='Gastos com Pessoal'!$F$513:$F$522)*(IF('Gastos com Pessoal'!$M$513:$M$522&lt;=AC$3,1,0))*OFFSET('Gastos com Pessoal'!$H$512,1,MATCH(2&amp;$B52,'Gastos com Pessoal'!$I$532:$AJ$532&amp;'Gastos com Pessoal'!$I$512:$AJ$512,0),10,1)),0)+_xlfn.IFNA(SUM((AC$3&gt;='Gastos com Pessoal'!$E$513:$E$522)*(AC$3&lt;='Gastos com Pessoal'!$F$513:$F$522)*(IF('Gastos com Pessoal'!$S$513:$S$522&lt;=AC$3,1,0))*OFFSET('Gastos com Pessoal'!$H$512,1,MATCH(3&amp;$B52,'Gastos com Pessoal'!$I$532:$AJ$532&amp;'Gastos com Pessoal'!$I$512:$AJ$512,0),10,1)),0)+_xlfn.IFNA(SUM((AC$3&gt;='Gastos com Pessoal'!$E$513:$E$522)*(AC$3&lt;='Gastos com Pessoal'!$F$513:$F$522)*(IF('Gastos com Pessoal'!$Y$513:$Y$522&lt;=AC$3,1,0))*OFFSET('Gastos com Pessoal'!$H$512,1,MATCH(4&amp;$B52,'Gastos com Pessoal'!$I$532:$AJ$532&amp;'Gastos com Pessoal'!$I$512:$AJ$512,0),10,1)),0)+_xlfn.IFNA(SUM((AC$3&gt;='Gastos com Pessoal'!$E$513:$E$522)*(AC$3&lt;='Gastos com Pessoal'!$F$513:$F$522)*(IF('Gastos com Pessoal'!$AE$513:$AE$522&lt;=AC$3,1,0))*OFFSET('Gastos com Pessoal'!$H$512,1,MATCH(5&amp;$B52,'Gastos com Pessoal'!$I$532:$AJ$532&amp;'Gastos com Pessoal'!$I$512:$AJ$512,0),10,1)),0)</f>
        <v>5040</v>
      </c>
      <c r="AD52" s="188">
        <f t="array" aca="1" ref="AD52" ca="1">_xlfn.IFNA(SUM((AD$3&gt;='Gastos com Pessoal'!$E$7:$E$506)*(AD$3&lt;='Gastos com Pessoal'!$F$7:$F$506)*OFFSET('Encargos e Benefícios'!$D$5,1,MATCH($B52,'Encargos e Benefícios'!$E$5:$AB$5,0),500,1)),0)+_xlfn.IFNA(SUM((AD$3&gt;='Gastos com Pessoal'!$E$513:$E$522)*(AD$3&lt;='Gastos com Pessoal'!$F$513:$F$522)*OFFSET('Encargos e Benefícios'!$D$511,1,MATCH($B52,'Encargos e Benefícios'!$E$511:$AB$511,0),10,1)),0)+_xlfn.IFNA(SUM((AD$3&gt;='Gastos com Pessoal'!$E$7:$E$506)*(AD$3&lt;='Gastos com Pessoal'!$F$7:$F$506)*(IF('Gastos com Pessoal'!$G$7:$G$506&lt;=AD$3,1,0))*OFFSET('Gastos com Pessoal'!$H$6,1,MATCH(1&amp;$B52,'Gastos com Pessoal'!$I$532:$AJ$532&amp;'Gastos com Pessoal'!$I$6:$AJ$6,0),500,1)),0)+_xlfn.IFNA(SUM((AD$3&gt;='Gastos com Pessoal'!$E$7:$E$506)*(AD$3&lt;='Gastos com Pessoal'!$F$7:$F$506)*(IF('Gastos com Pessoal'!$M$7:$M$506&lt;=AD$3,1,0))*OFFSET('Gastos com Pessoal'!$H$6,1,MATCH(2&amp;$B52,'Gastos com Pessoal'!$I$532:$AJ$532&amp;'Gastos com Pessoal'!$I$6:$AJ$6,0),500,1)),0)+_xlfn.IFNA(SUM((AD$3&gt;='Gastos com Pessoal'!$E$7:$E$506)*(AD$3&lt;='Gastos com Pessoal'!$F$7:$F$506)*(IF('Gastos com Pessoal'!$S$7:$S$506&lt;=AD$3,1,0))*OFFSET('Gastos com Pessoal'!$H$6,1,MATCH(3&amp;$B52,'Gastos com Pessoal'!$I$532:$AJ$532&amp;'Gastos com Pessoal'!$I$6:$AJ$6,0),500,1)),0)+_xlfn.IFNA(SUM((AD$3&gt;='Gastos com Pessoal'!$E$7:$E$506)*(AD$3&lt;='Gastos com Pessoal'!$F$7:$F$506)*(IF('Gastos com Pessoal'!$Y$7:$Y$506&lt;=AD$3,1,0))*OFFSET('Gastos com Pessoal'!$H$6,1,MATCH(4&amp;$B52,'Gastos com Pessoal'!$I$532:$AJ$532&amp;'Gastos com Pessoal'!$I$6:$AJ$6,0),500,1)),0)+_xlfn.IFNA(SUM((AD$3&gt;='Gastos com Pessoal'!$E$7:$E$506)*(AD$3&lt;='Gastos com Pessoal'!$F$7:$F$506)*(IF('Gastos com Pessoal'!$AE$7:$AE$506&lt;=AD$3,1,0))*OFFSET('Gastos com Pessoal'!$H$6,1,MATCH(5&amp;$B52,'Gastos com Pessoal'!$I$532:$AJ$532&amp;'Gastos com Pessoal'!$I$6:$AJ$6,0),500,1)),0)+_xlfn.IFNA(SUM((AD$3&gt;='Gastos com Pessoal'!$E$513:$E$522)*(AD$3&lt;='Gastos com Pessoal'!$F$513:$F$522)*(IF('Gastos com Pessoal'!$G$513:$G$522&lt;=AD$3,1,0))*OFFSET('Gastos com Pessoal'!$H$512,1,MATCH(1&amp;$B52,'Gastos com Pessoal'!$I$532:$AJ$532&amp;'Gastos com Pessoal'!$I$512:$AJ$512,0),10,1)),0)+_xlfn.IFNA(SUM((AD$3&gt;='Gastos com Pessoal'!$E$513:$E$522)*(AD$3&lt;='Gastos com Pessoal'!$F$513:$F$522)*(IF('Gastos com Pessoal'!$M$513:$M$522&lt;=AD$3,1,0))*OFFSET('Gastos com Pessoal'!$H$512,1,MATCH(2&amp;$B52,'Gastos com Pessoal'!$I$532:$AJ$532&amp;'Gastos com Pessoal'!$I$512:$AJ$512,0),10,1)),0)+_xlfn.IFNA(SUM((AD$3&gt;='Gastos com Pessoal'!$E$513:$E$522)*(AD$3&lt;='Gastos com Pessoal'!$F$513:$F$522)*(IF('Gastos com Pessoal'!$S$513:$S$522&lt;=AD$3,1,0))*OFFSET('Gastos com Pessoal'!$H$512,1,MATCH(3&amp;$B52,'Gastos com Pessoal'!$I$532:$AJ$532&amp;'Gastos com Pessoal'!$I$512:$AJ$512,0),10,1)),0)+_xlfn.IFNA(SUM((AD$3&gt;='Gastos com Pessoal'!$E$513:$E$522)*(AD$3&lt;='Gastos com Pessoal'!$F$513:$F$522)*(IF('Gastos com Pessoal'!$Y$513:$Y$522&lt;=AD$3,1,0))*OFFSET('Gastos com Pessoal'!$H$512,1,MATCH(4&amp;$B52,'Gastos com Pessoal'!$I$532:$AJ$532&amp;'Gastos com Pessoal'!$I$512:$AJ$512,0),10,1)),0)+_xlfn.IFNA(SUM((AD$3&gt;='Gastos com Pessoal'!$E$513:$E$522)*(AD$3&lt;='Gastos com Pessoal'!$F$513:$F$522)*(IF('Gastos com Pessoal'!$AE$513:$AE$522&lt;=AD$3,1,0))*OFFSET('Gastos com Pessoal'!$H$512,1,MATCH(5&amp;$B52,'Gastos com Pessoal'!$I$532:$AJ$532&amp;'Gastos com Pessoal'!$I$512:$AJ$512,0),10,1)),0)</f>
        <v>5040</v>
      </c>
      <c r="AE52" s="188">
        <f t="array" aca="1" ref="AE52" ca="1">_xlfn.IFNA(SUM((AE$3&gt;='Gastos com Pessoal'!$E$7:$E$506)*(AE$3&lt;='Gastos com Pessoal'!$F$7:$F$506)*OFFSET('Encargos e Benefícios'!$D$5,1,MATCH($B52,'Encargos e Benefícios'!$E$5:$AB$5,0),500,1)),0)+_xlfn.IFNA(SUM((AE$3&gt;='Gastos com Pessoal'!$E$513:$E$522)*(AE$3&lt;='Gastos com Pessoal'!$F$513:$F$522)*OFFSET('Encargos e Benefícios'!$D$511,1,MATCH($B52,'Encargos e Benefícios'!$E$511:$AB$511,0),10,1)),0)+_xlfn.IFNA(SUM((AE$3&gt;='Gastos com Pessoal'!$E$7:$E$506)*(AE$3&lt;='Gastos com Pessoal'!$F$7:$F$506)*(IF('Gastos com Pessoal'!$G$7:$G$506&lt;=AE$3,1,0))*OFFSET('Gastos com Pessoal'!$H$6,1,MATCH(1&amp;$B52,'Gastos com Pessoal'!$I$532:$AJ$532&amp;'Gastos com Pessoal'!$I$6:$AJ$6,0),500,1)),0)+_xlfn.IFNA(SUM((AE$3&gt;='Gastos com Pessoal'!$E$7:$E$506)*(AE$3&lt;='Gastos com Pessoal'!$F$7:$F$506)*(IF('Gastos com Pessoal'!$M$7:$M$506&lt;=AE$3,1,0))*OFFSET('Gastos com Pessoal'!$H$6,1,MATCH(2&amp;$B52,'Gastos com Pessoal'!$I$532:$AJ$532&amp;'Gastos com Pessoal'!$I$6:$AJ$6,0),500,1)),0)+_xlfn.IFNA(SUM((AE$3&gt;='Gastos com Pessoal'!$E$7:$E$506)*(AE$3&lt;='Gastos com Pessoal'!$F$7:$F$506)*(IF('Gastos com Pessoal'!$S$7:$S$506&lt;=AE$3,1,0))*OFFSET('Gastos com Pessoal'!$H$6,1,MATCH(3&amp;$B52,'Gastos com Pessoal'!$I$532:$AJ$532&amp;'Gastos com Pessoal'!$I$6:$AJ$6,0),500,1)),0)+_xlfn.IFNA(SUM((AE$3&gt;='Gastos com Pessoal'!$E$7:$E$506)*(AE$3&lt;='Gastos com Pessoal'!$F$7:$F$506)*(IF('Gastos com Pessoal'!$Y$7:$Y$506&lt;=AE$3,1,0))*OFFSET('Gastos com Pessoal'!$H$6,1,MATCH(4&amp;$B52,'Gastos com Pessoal'!$I$532:$AJ$532&amp;'Gastos com Pessoal'!$I$6:$AJ$6,0),500,1)),0)+_xlfn.IFNA(SUM((AE$3&gt;='Gastos com Pessoal'!$E$7:$E$506)*(AE$3&lt;='Gastos com Pessoal'!$F$7:$F$506)*(IF('Gastos com Pessoal'!$AE$7:$AE$506&lt;=AE$3,1,0))*OFFSET('Gastos com Pessoal'!$H$6,1,MATCH(5&amp;$B52,'Gastos com Pessoal'!$I$532:$AJ$532&amp;'Gastos com Pessoal'!$I$6:$AJ$6,0),500,1)),0)+_xlfn.IFNA(SUM((AE$3&gt;='Gastos com Pessoal'!$E$513:$E$522)*(AE$3&lt;='Gastos com Pessoal'!$F$513:$F$522)*(IF('Gastos com Pessoal'!$G$513:$G$522&lt;=AE$3,1,0))*OFFSET('Gastos com Pessoal'!$H$512,1,MATCH(1&amp;$B52,'Gastos com Pessoal'!$I$532:$AJ$532&amp;'Gastos com Pessoal'!$I$512:$AJ$512,0),10,1)),0)+_xlfn.IFNA(SUM((AE$3&gt;='Gastos com Pessoal'!$E$513:$E$522)*(AE$3&lt;='Gastos com Pessoal'!$F$513:$F$522)*(IF('Gastos com Pessoal'!$M$513:$M$522&lt;=AE$3,1,0))*OFFSET('Gastos com Pessoal'!$H$512,1,MATCH(2&amp;$B52,'Gastos com Pessoal'!$I$532:$AJ$532&amp;'Gastos com Pessoal'!$I$512:$AJ$512,0),10,1)),0)+_xlfn.IFNA(SUM((AE$3&gt;='Gastos com Pessoal'!$E$513:$E$522)*(AE$3&lt;='Gastos com Pessoal'!$F$513:$F$522)*(IF('Gastos com Pessoal'!$S$513:$S$522&lt;=AE$3,1,0))*OFFSET('Gastos com Pessoal'!$H$512,1,MATCH(3&amp;$B52,'Gastos com Pessoal'!$I$532:$AJ$532&amp;'Gastos com Pessoal'!$I$512:$AJ$512,0),10,1)),0)+_xlfn.IFNA(SUM((AE$3&gt;='Gastos com Pessoal'!$E$513:$E$522)*(AE$3&lt;='Gastos com Pessoal'!$F$513:$F$522)*(IF('Gastos com Pessoal'!$Y$513:$Y$522&lt;=AE$3,1,0))*OFFSET('Gastos com Pessoal'!$H$512,1,MATCH(4&amp;$B52,'Gastos com Pessoal'!$I$532:$AJ$532&amp;'Gastos com Pessoal'!$I$512:$AJ$512,0),10,1)),0)+_xlfn.IFNA(SUM((AE$3&gt;='Gastos com Pessoal'!$E$513:$E$522)*(AE$3&lt;='Gastos com Pessoal'!$F$513:$F$522)*(IF('Gastos com Pessoal'!$AE$513:$AE$522&lt;=AE$3,1,0))*OFFSET('Gastos com Pessoal'!$H$512,1,MATCH(5&amp;$B52,'Gastos com Pessoal'!$I$532:$AJ$532&amp;'Gastos com Pessoal'!$I$512:$AJ$512,0),10,1)),0)</f>
        <v>5040</v>
      </c>
      <c r="AF52" s="188">
        <f t="array" aca="1" ref="AF52" ca="1">_xlfn.IFNA(SUM((AF$3&gt;='Gastos com Pessoal'!$E$7:$E$506)*(AF$3&lt;='Gastos com Pessoal'!$F$7:$F$506)*OFFSET('Encargos e Benefícios'!$D$5,1,MATCH($B52,'Encargos e Benefícios'!$E$5:$AB$5,0),500,1)),0)+_xlfn.IFNA(SUM((AF$3&gt;='Gastos com Pessoal'!$E$513:$E$522)*(AF$3&lt;='Gastos com Pessoal'!$F$513:$F$522)*OFFSET('Encargos e Benefícios'!$D$511,1,MATCH($B52,'Encargos e Benefícios'!$E$511:$AB$511,0),10,1)),0)+_xlfn.IFNA(SUM((AF$3&gt;='Gastos com Pessoal'!$E$7:$E$506)*(AF$3&lt;='Gastos com Pessoal'!$F$7:$F$506)*(IF('Gastos com Pessoal'!$G$7:$G$506&lt;=AF$3,1,0))*OFFSET('Gastos com Pessoal'!$H$6,1,MATCH(1&amp;$B52,'Gastos com Pessoal'!$I$532:$AJ$532&amp;'Gastos com Pessoal'!$I$6:$AJ$6,0),500,1)),0)+_xlfn.IFNA(SUM((AF$3&gt;='Gastos com Pessoal'!$E$7:$E$506)*(AF$3&lt;='Gastos com Pessoal'!$F$7:$F$506)*(IF('Gastos com Pessoal'!$M$7:$M$506&lt;=AF$3,1,0))*OFFSET('Gastos com Pessoal'!$H$6,1,MATCH(2&amp;$B52,'Gastos com Pessoal'!$I$532:$AJ$532&amp;'Gastos com Pessoal'!$I$6:$AJ$6,0),500,1)),0)+_xlfn.IFNA(SUM((AF$3&gt;='Gastos com Pessoal'!$E$7:$E$506)*(AF$3&lt;='Gastos com Pessoal'!$F$7:$F$506)*(IF('Gastos com Pessoal'!$S$7:$S$506&lt;=AF$3,1,0))*OFFSET('Gastos com Pessoal'!$H$6,1,MATCH(3&amp;$B52,'Gastos com Pessoal'!$I$532:$AJ$532&amp;'Gastos com Pessoal'!$I$6:$AJ$6,0),500,1)),0)+_xlfn.IFNA(SUM((AF$3&gt;='Gastos com Pessoal'!$E$7:$E$506)*(AF$3&lt;='Gastos com Pessoal'!$F$7:$F$506)*(IF('Gastos com Pessoal'!$Y$7:$Y$506&lt;=AF$3,1,0))*OFFSET('Gastos com Pessoal'!$H$6,1,MATCH(4&amp;$B52,'Gastos com Pessoal'!$I$532:$AJ$532&amp;'Gastos com Pessoal'!$I$6:$AJ$6,0),500,1)),0)+_xlfn.IFNA(SUM((AF$3&gt;='Gastos com Pessoal'!$E$7:$E$506)*(AF$3&lt;='Gastos com Pessoal'!$F$7:$F$506)*(IF('Gastos com Pessoal'!$AE$7:$AE$506&lt;=AF$3,1,0))*OFFSET('Gastos com Pessoal'!$H$6,1,MATCH(5&amp;$B52,'Gastos com Pessoal'!$I$532:$AJ$532&amp;'Gastos com Pessoal'!$I$6:$AJ$6,0),500,1)),0)+_xlfn.IFNA(SUM((AF$3&gt;='Gastos com Pessoal'!$E$513:$E$522)*(AF$3&lt;='Gastos com Pessoal'!$F$513:$F$522)*(IF('Gastos com Pessoal'!$G$513:$G$522&lt;=AF$3,1,0))*OFFSET('Gastos com Pessoal'!$H$512,1,MATCH(1&amp;$B52,'Gastos com Pessoal'!$I$532:$AJ$532&amp;'Gastos com Pessoal'!$I$512:$AJ$512,0),10,1)),0)+_xlfn.IFNA(SUM((AF$3&gt;='Gastos com Pessoal'!$E$513:$E$522)*(AF$3&lt;='Gastos com Pessoal'!$F$513:$F$522)*(IF('Gastos com Pessoal'!$M$513:$M$522&lt;=AF$3,1,0))*OFFSET('Gastos com Pessoal'!$H$512,1,MATCH(2&amp;$B52,'Gastos com Pessoal'!$I$532:$AJ$532&amp;'Gastos com Pessoal'!$I$512:$AJ$512,0),10,1)),0)+_xlfn.IFNA(SUM((AF$3&gt;='Gastos com Pessoal'!$E$513:$E$522)*(AF$3&lt;='Gastos com Pessoal'!$F$513:$F$522)*(IF('Gastos com Pessoal'!$S$513:$S$522&lt;=AF$3,1,0))*OFFSET('Gastos com Pessoal'!$H$512,1,MATCH(3&amp;$B52,'Gastos com Pessoal'!$I$532:$AJ$532&amp;'Gastos com Pessoal'!$I$512:$AJ$512,0),10,1)),0)+_xlfn.IFNA(SUM((AF$3&gt;='Gastos com Pessoal'!$E$513:$E$522)*(AF$3&lt;='Gastos com Pessoal'!$F$513:$F$522)*(IF('Gastos com Pessoal'!$Y$513:$Y$522&lt;=AF$3,1,0))*OFFSET('Gastos com Pessoal'!$H$512,1,MATCH(4&amp;$B52,'Gastos com Pessoal'!$I$532:$AJ$532&amp;'Gastos com Pessoal'!$I$512:$AJ$512,0),10,1)),0)+_xlfn.IFNA(SUM((AF$3&gt;='Gastos com Pessoal'!$E$513:$E$522)*(AF$3&lt;='Gastos com Pessoal'!$F$513:$F$522)*(IF('Gastos com Pessoal'!$AE$513:$AE$522&lt;=AF$3,1,0))*OFFSET('Gastos com Pessoal'!$H$512,1,MATCH(5&amp;$B52,'Gastos com Pessoal'!$I$532:$AJ$532&amp;'Gastos com Pessoal'!$I$512:$AJ$512,0),10,1)),0)</f>
        <v>5040</v>
      </c>
      <c r="AG52" s="188">
        <f t="array" aca="1" ref="AG52" ca="1">_xlfn.IFNA(SUM((AG$3&gt;='Gastos com Pessoal'!$E$7:$E$506)*(AG$3&lt;='Gastos com Pessoal'!$F$7:$F$506)*OFFSET('Encargos e Benefícios'!$D$5,1,MATCH($B52,'Encargos e Benefícios'!$E$5:$AB$5,0),500,1)),0)+_xlfn.IFNA(SUM((AG$3&gt;='Gastos com Pessoal'!$E$513:$E$522)*(AG$3&lt;='Gastos com Pessoal'!$F$513:$F$522)*OFFSET('Encargos e Benefícios'!$D$511,1,MATCH($B52,'Encargos e Benefícios'!$E$511:$AB$511,0),10,1)),0)+_xlfn.IFNA(SUM((AG$3&gt;='Gastos com Pessoal'!$E$7:$E$506)*(AG$3&lt;='Gastos com Pessoal'!$F$7:$F$506)*(IF('Gastos com Pessoal'!$G$7:$G$506&lt;=AG$3,1,0))*OFFSET('Gastos com Pessoal'!$H$6,1,MATCH(1&amp;$B52,'Gastos com Pessoal'!$I$532:$AJ$532&amp;'Gastos com Pessoal'!$I$6:$AJ$6,0),500,1)),0)+_xlfn.IFNA(SUM((AG$3&gt;='Gastos com Pessoal'!$E$7:$E$506)*(AG$3&lt;='Gastos com Pessoal'!$F$7:$F$506)*(IF('Gastos com Pessoal'!$M$7:$M$506&lt;=AG$3,1,0))*OFFSET('Gastos com Pessoal'!$H$6,1,MATCH(2&amp;$B52,'Gastos com Pessoal'!$I$532:$AJ$532&amp;'Gastos com Pessoal'!$I$6:$AJ$6,0),500,1)),0)+_xlfn.IFNA(SUM((AG$3&gt;='Gastos com Pessoal'!$E$7:$E$506)*(AG$3&lt;='Gastos com Pessoal'!$F$7:$F$506)*(IF('Gastos com Pessoal'!$S$7:$S$506&lt;=AG$3,1,0))*OFFSET('Gastos com Pessoal'!$H$6,1,MATCH(3&amp;$B52,'Gastos com Pessoal'!$I$532:$AJ$532&amp;'Gastos com Pessoal'!$I$6:$AJ$6,0),500,1)),0)+_xlfn.IFNA(SUM((AG$3&gt;='Gastos com Pessoal'!$E$7:$E$506)*(AG$3&lt;='Gastos com Pessoal'!$F$7:$F$506)*(IF('Gastos com Pessoal'!$Y$7:$Y$506&lt;=AG$3,1,0))*OFFSET('Gastos com Pessoal'!$H$6,1,MATCH(4&amp;$B52,'Gastos com Pessoal'!$I$532:$AJ$532&amp;'Gastos com Pessoal'!$I$6:$AJ$6,0),500,1)),0)+_xlfn.IFNA(SUM((AG$3&gt;='Gastos com Pessoal'!$E$7:$E$506)*(AG$3&lt;='Gastos com Pessoal'!$F$7:$F$506)*(IF('Gastos com Pessoal'!$AE$7:$AE$506&lt;=AG$3,1,0))*OFFSET('Gastos com Pessoal'!$H$6,1,MATCH(5&amp;$B52,'Gastos com Pessoal'!$I$532:$AJ$532&amp;'Gastos com Pessoal'!$I$6:$AJ$6,0),500,1)),0)+_xlfn.IFNA(SUM((AG$3&gt;='Gastos com Pessoal'!$E$513:$E$522)*(AG$3&lt;='Gastos com Pessoal'!$F$513:$F$522)*(IF('Gastos com Pessoal'!$G$513:$G$522&lt;=AG$3,1,0))*OFFSET('Gastos com Pessoal'!$H$512,1,MATCH(1&amp;$B52,'Gastos com Pessoal'!$I$532:$AJ$532&amp;'Gastos com Pessoal'!$I$512:$AJ$512,0),10,1)),0)+_xlfn.IFNA(SUM((AG$3&gt;='Gastos com Pessoal'!$E$513:$E$522)*(AG$3&lt;='Gastos com Pessoal'!$F$513:$F$522)*(IF('Gastos com Pessoal'!$M$513:$M$522&lt;=AG$3,1,0))*OFFSET('Gastos com Pessoal'!$H$512,1,MATCH(2&amp;$B52,'Gastos com Pessoal'!$I$532:$AJ$532&amp;'Gastos com Pessoal'!$I$512:$AJ$512,0),10,1)),0)+_xlfn.IFNA(SUM((AG$3&gt;='Gastos com Pessoal'!$E$513:$E$522)*(AG$3&lt;='Gastos com Pessoal'!$F$513:$F$522)*(IF('Gastos com Pessoal'!$S$513:$S$522&lt;=AG$3,1,0))*OFFSET('Gastos com Pessoal'!$H$512,1,MATCH(3&amp;$B52,'Gastos com Pessoal'!$I$532:$AJ$532&amp;'Gastos com Pessoal'!$I$512:$AJ$512,0),10,1)),0)+_xlfn.IFNA(SUM((AG$3&gt;='Gastos com Pessoal'!$E$513:$E$522)*(AG$3&lt;='Gastos com Pessoal'!$F$513:$F$522)*(IF('Gastos com Pessoal'!$Y$513:$Y$522&lt;=AG$3,1,0))*OFFSET('Gastos com Pessoal'!$H$512,1,MATCH(4&amp;$B52,'Gastos com Pessoal'!$I$532:$AJ$532&amp;'Gastos com Pessoal'!$I$512:$AJ$512,0),10,1)),0)+_xlfn.IFNA(SUM((AG$3&gt;='Gastos com Pessoal'!$E$513:$E$522)*(AG$3&lt;='Gastos com Pessoal'!$F$513:$F$522)*(IF('Gastos com Pessoal'!$AE$513:$AE$522&lt;=AG$3,1,0))*OFFSET('Gastos com Pessoal'!$H$512,1,MATCH(5&amp;$B52,'Gastos com Pessoal'!$I$532:$AJ$532&amp;'Gastos com Pessoal'!$I$512:$AJ$512,0),10,1)),0)</f>
        <v>5040</v>
      </c>
      <c r="AH52" s="188">
        <f t="array" aca="1" ref="AH52" ca="1">_xlfn.IFNA(SUM((AH$3&gt;='Gastos com Pessoal'!$E$7:$E$506)*(AH$3&lt;='Gastos com Pessoal'!$F$7:$F$506)*OFFSET('Encargos e Benefícios'!$D$5,1,MATCH($B52,'Encargos e Benefícios'!$E$5:$AB$5,0),500,1)),0)+_xlfn.IFNA(SUM((AH$3&gt;='Gastos com Pessoal'!$E$513:$E$522)*(AH$3&lt;='Gastos com Pessoal'!$F$513:$F$522)*OFFSET('Encargos e Benefícios'!$D$511,1,MATCH($B52,'Encargos e Benefícios'!$E$511:$AB$511,0),10,1)),0)+_xlfn.IFNA(SUM((AH$3&gt;='Gastos com Pessoal'!$E$7:$E$506)*(AH$3&lt;='Gastos com Pessoal'!$F$7:$F$506)*(IF('Gastos com Pessoal'!$G$7:$G$506&lt;=AH$3,1,0))*OFFSET('Gastos com Pessoal'!$H$6,1,MATCH(1&amp;$B52,'Gastos com Pessoal'!$I$532:$AJ$532&amp;'Gastos com Pessoal'!$I$6:$AJ$6,0),500,1)),0)+_xlfn.IFNA(SUM((AH$3&gt;='Gastos com Pessoal'!$E$7:$E$506)*(AH$3&lt;='Gastos com Pessoal'!$F$7:$F$506)*(IF('Gastos com Pessoal'!$M$7:$M$506&lt;=AH$3,1,0))*OFFSET('Gastos com Pessoal'!$H$6,1,MATCH(2&amp;$B52,'Gastos com Pessoal'!$I$532:$AJ$532&amp;'Gastos com Pessoal'!$I$6:$AJ$6,0),500,1)),0)+_xlfn.IFNA(SUM((AH$3&gt;='Gastos com Pessoal'!$E$7:$E$506)*(AH$3&lt;='Gastos com Pessoal'!$F$7:$F$506)*(IF('Gastos com Pessoal'!$S$7:$S$506&lt;=AH$3,1,0))*OFFSET('Gastos com Pessoal'!$H$6,1,MATCH(3&amp;$B52,'Gastos com Pessoal'!$I$532:$AJ$532&amp;'Gastos com Pessoal'!$I$6:$AJ$6,0),500,1)),0)+_xlfn.IFNA(SUM((AH$3&gt;='Gastos com Pessoal'!$E$7:$E$506)*(AH$3&lt;='Gastos com Pessoal'!$F$7:$F$506)*(IF('Gastos com Pessoal'!$Y$7:$Y$506&lt;=AH$3,1,0))*OFFSET('Gastos com Pessoal'!$H$6,1,MATCH(4&amp;$B52,'Gastos com Pessoal'!$I$532:$AJ$532&amp;'Gastos com Pessoal'!$I$6:$AJ$6,0),500,1)),0)+_xlfn.IFNA(SUM((AH$3&gt;='Gastos com Pessoal'!$E$7:$E$506)*(AH$3&lt;='Gastos com Pessoal'!$F$7:$F$506)*(IF('Gastos com Pessoal'!$AE$7:$AE$506&lt;=AH$3,1,0))*OFFSET('Gastos com Pessoal'!$H$6,1,MATCH(5&amp;$B52,'Gastos com Pessoal'!$I$532:$AJ$532&amp;'Gastos com Pessoal'!$I$6:$AJ$6,0),500,1)),0)+_xlfn.IFNA(SUM((AH$3&gt;='Gastos com Pessoal'!$E$513:$E$522)*(AH$3&lt;='Gastos com Pessoal'!$F$513:$F$522)*(IF('Gastos com Pessoal'!$G$513:$G$522&lt;=AH$3,1,0))*OFFSET('Gastos com Pessoal'!$H$512,1,MATCH(1&amp;$B52,'Gastos com Pessoal'!$I$532:$AJ$532&amp;'Gastos com Pessoal'!$I$512:$AJ$512,0),10,1)),0)+_xlfn.IFNA(SUM((AH$3&gt;='Gastos com Pessoal'!$E$513:$E$522)*(AH$3&lt;='Gastos com Pessoal'!$F$513:$F$522)*(IF('Gastos com Pessoal'!$M$513:$M$522&lt;=AH$3,1,0))*OFFSET('Gastos com Pessoal'!$H$512,1,MATCH(2&amp;$B52,'Gastos com Pessoal'!$I$532:$AJ$532&amp;'Gastos com Pessoal'!$I$512:$AJ$512,0),10,1)),0)+_xlfn.IFNA(SUM((AH$3&gt;='Gastos com Pessoal'!$E$513:$E$522)*(AH$3&lt;='Gastos com Pessoal'!$F$513:$F$522)*(IF('Gastos com Pessoal'!$S$513:$S$522&lt;=AH$3,1,0))*OFFSET('Gastos com Pessoal'!$H$512,1,MATCH(3&amp;$B52,'Gastos com Pessoal'!$I$532:$AJ$532&amp;'Gastos com Pessoal'!$I$512:$AJ$512,0),10,1)),0)+_xlfn.IFNA(SUM((AH$3&gt;='Gastos com Pessoal'!$E$513:$E$522)*(AH$3&lt;='Gastos com Pessoal'!$F$513:$F$522)*(IF('Gastos com Pessoal'!$Y$513:$Y$522&lt;=AH$3,1,0))*OFFSET('Gastos com Pessoal'!$H$512,1,MATCH(4&amp;$B52,'Gastos com Pessoal'!$I$532:$AJ$532&amp;'Gastos com Pessoal'!$I$512:$AJ$512,0),10,1)),0)+_xlfn.IFNA(SUM((AH$3&gt;='Gastos com Pessoal'!$E$513:$E$522)*(AH$3&lt;='Gastos com Pessoal'!$F$513:$F$522)*(IF('Gastos com Pessoal'!$AE$513:$AE$522&lt;=AH$3,1,0))*OFFSET('Gastos com Pessoal'!$H$512,1,MATCH(5&amp;$B52,'Gastos com Pessoal'!$I$532:$AJ$532&amp;'Gastos com Pessoal'!$I$512:$AJ$512,0),10,1)),0)</f>
        <v>5040</v>
      </c>
      <c r="AI52" s="188">
        <f t="array" aca="1" ref="AI52" ca="1">_xlfn.IFNA(SUM((AI$3&gt;='Gastos com Pessoal'!$E$7:$E$506)*(AI$3&lt;='Gastos com Pessoal'!$F$7:$F$506)*OFFSET('Encargos e Benefícios'!$D$5,1,MATCH($B52,'Encargos e Benefícios'!$E$5:$AB$5,0),500,1)),0)+_xlfn.IFNA(SUM((AI$3&gt;='Gastos com Pessoal'!$E$513:$E$522)*(AI$3&lt;='Gastos com Pessoal'!$F$513:$F$522)*OFFSET('Encargos e Benefícios'!$D$511,1,MATCH($B52,'Encargos e Benefícios'!$E$511:$AB$511,0),10,1)),0)+_xlfn.IFNA(SUM((AI$3&gt;='Gastos com Pessoal'!$E$7:$E$506)*(AI$3&lt;='Gastos com Pessoal'!$F$7:$F$506)*(IF('Gastos com Pessoal'!$G$7:$G$506&lt;=AI$3,1,0))*OFFSET('Gastos com Pessoal'!$H$6,1,MATCH(1&amp;$B52,'Gastos com Pessoal'!$I$532:$AJ$532&amp;'Gastos com Pessoal'!$I$6:$AJ$6,0),500,1)),0)+_xlfn.IFNA(SUM((AI$3&gt;='Gastos com Pessoal'!$E$7:$E$506)*(AI$3&lt;='Gastos com Pessoal'!$F$7:$F$506)*(IF('Gastos com Pessoal'!$M$7:$M$506&lt;=AI$3,1,0))*OFFSET('Gastos com Pessoal'!$H$6,1,MATCH(2&amp;$B52,'Gastos com Pessoal'!$I$532:$AJ$532&amp;'Gastos com Pessoal'!$I$6:$AJ$6,0),500,1)),0)+_xlfn.IFNA(SUM((AI$3&gt;='Gastos com Pessoal'!$E$7:$E$506)*(AI$3&lt;='Gastos com Pessoal'!$F$7:$F$506)*(IF('Gastos com Pessoal'!$S$7:$S$506&lt;=AI$3,1,0))*OFFSET('Gastos com Pessoal'!$H$6,1,MATCH(3&amp;$B52,'Gastos com Pessoal'!$I$532:$AJ$532&amp;'Gastos com Pessoal'!$I$6:$AJ$6,0),500,1)),0)+_xlfn.IFNA(SUM((AI$3&gt;='Gastos com Pessoal'!$E$7:$E$506)*(AI$3&lt;='Gastos com Pessoal'!$F$7:$F$506)*(IF('Gastos com Pessoal'!$Y$7:$Y$506&lt;=AI$3,1,0))*OFFSET('Gastos com Pessoal'!$H$6,1,MATCH(4&amp;$B52,'Gastos com Pessoal'!$I$532:$AJ$532&amp;'Gastos com Pessoal'!$I$6:$AJ$6,0),500,1)),0)+_xlfn.IFNA(SUM((AI$3&gt;='Gastos com Pessoal'!$E$7:$E$506)*(AI$3&lt;='Gastos com Pessoal'!$F$7:$F$506)*(IF('Gastos com Pessoal'!$AE$7:$AE$506&lt;=AI$3,1,0))*OFFSET('Gastos com Pessoal'!$H$6,1,MATCH(5&amp;$B52,'Gastos com Pessoal'!$I$532:$AJ$532&amp;'Gastos com Pessoal'!$I$6:$AJ$6,0),500,1)),0)+_xlfn.IFNA(SUM((AI$3&gt;='Gastos com Pessoal'!$E$513:$E$522)*(AI$3&lt;='Gastos com Pessoal'!$F$513:$F$522)*(IF('Gastos com Pessoal'!$G$513:$G$522&lt;=AI$3,1,0))*OFFSET('Gastos com Pessoal'!$H$512,1,MATCH(1&amp;$B52,'Gastos com Pessoal'!$I$532:$AJ$532&amp;'Gastos com Pessoal'!$I$512:$AJ$512,0),10,1)),0)+_xlfn.IFNA(SUM((AI$3&gt;='Gastos com Pessoal'!$E$513:$E$522)*(AI$3&lt;='Gastos com Pessoal'!$F$513:$F$522)*(IF('Gastos com Pessoal'!$M$513:$M$522&lt;=AI$3,1,0))*OFFSET('Gastos com Pessoal'!$H$512,1,MATCH(2&amp;$B52,'Gastos com Pessoal'!$I$532:$AJ$532&amp;'Gastos com Pessoal'!$I$512:$AJ$512,0),10,1)),0)+_xlfn.IFNA(SUM((AI$3&gt;='Gastos com Pessoal'!$E$513:$E$522)*(AI$3&lt;='Gastos com Pessoal'!$F$513:$F$522)*(IF('Gastos com Pessoal'!$S$513:$S$522&lt;=AI$3,1,0))*OFFSET('Gastos com Pessoal'!$H$512,1,MATCH(3&amp;$B52,'Gastos com Pessoal'!$I$532:$AJ$532&amp;'Gastos com Pessoal'!$I$512:$AJ$512,0),10,1)),0)+_xlfn.IFNA(SUM((AI$3&gt;='Gastos com Pessoal'!$E$513:$E$522)*(AI$3&lt;='Gastos com Pessoal'!$F$513:$F$522)*(IF('Gastos com Pessoal'!$Y$513:$Y$522&lt;=AI$3,1,0))*OFFSET('Gastos com Pessoal'!$H$512,1,MATCH(4&amp;$B52,'Gastos com Pessoal'!$I$532:$AJ$532&amp;'Gastos com Pessoal'!$I$512:$AJ$512,0),10,1)),0)+_xlfn.IFNA(SUM((AI$3&gt;='Gastos com Pessoal'!$E$513:$E$522)*(AI$3&lt;='Gastos com Pessoal'!$F$513:$F$522)*(IF('Gastos com Pessoal'!$AE$513:$AE$522&lt;=AI$3,1,0))*OFFSET('Gastos com Pessoal'!$H$512,1,MATCH(5&amp;$B52,'Gastos com Pessoal'!$I$532:$AJ$532&amp;'Gastos com Pessoal'!$I$512:$AJ$512,0),10,1)),0)</f>
        <v>5040</v>
      </c>
      <c r="AJ52" s="188">
        <f t="array" aca="1" ref="AJ52" ca="1">_xlfn.IFNA(SUM((AJ$3&gt;='Gastos com Pessoal'!$E$7:$E$506)*(AJ$3&lt;='Gastos com Pessoal'!$F$7:$F$506)*OFFSET('Encargos e Benefícios'!$D$5,1,MATCH($B52,'Encargos e Benefícios'!$E$5:$AB$5,0),500,1)),0)+_xlfn.IFNA(SUM((AJ$3&gt;='Gastos com Pessoal'!$E$513:$E$522)*(AJ$3&lt;='Gastos com Pessoal'!$F$513:$F$522)*OFFSET('Encargos e Benefícios'!$D$511,1,MATCH($B52,'Encargos e Benefícios'!$E$511:$AB$511,0),10,1)),0)+_xlfn.IFNA(SUM((AJ$3&gt;='Gastos com Pessoal'!$E$7:$E$506)*(AJ$3&lt;='Gastos com Pessoal'!$F$7:$F$506)*(IF('Gastos com Pessoal'!$G$7:$G$506&lt;=AJ$3,1,0))*OFFSET('Gastos com Pessoal'!$H$6,1,MATCH(1&amp;$B52,'Gastos com Pessoal'!$I$532:$AJ$532&amp;'Gastos com Pessoal'!$I$6:$AJ$6,0),500,1)),0)+_xlfn.IFNA(SUM((AJ$3&gt;='Gastos com Pessoal'!$E$7:$E$506)*(AJ$3&lt;='Gastos com Pessoal'!$F$7:$F$506)*(IF('Gastos com Pessoal'!$M$7:$M$506&lt;=AJ$3,1,0))*OFFSET('Gastos com Pessoal'!$H$6,1,MATCH(2&amp;$B52,'Gastos com Pessoal'!$I$532:$AJ$532&amp;'Gastos com Pessoal'!$I$6:$AJ$6,0),500,1)),0)+_xlfn.IFNA(SUM((AJ$3&gt;='Gastos com Pessoal'!$E$7:$E$506)*(AJ$3&lt;='Gastos com Pessoal'!$F$7:$F$506)*(IF('Gastos com Pessoal'!$S$7:$S$506&lt;=AJ$3,1,0))*OFFSET('Gastos com Pessoal'!$H$6,1,MATCH(3&amp;$B52,'Gastos com Pessoal'!$I$532:$AJ$532&amp;'Gastos com Pessoal'!$I$6:$AJ$6,0),500,1)),0)+_xlfn.IFNA(SUM((AJ$3&gt;='Gastos com Pessoal'!$E$7:$E$506)*(AJ$3&lt;='Gastos com Pessoal'!$F$7:$F$506)*(IF('Gastos com Pessoal'!$Y$7:$Y$506&lt;=AJ$3,1,0))*OFFSET('Gastos com Pessoal'!$H$6,1,MATCH(4&amp;$B52,'Gastos com Pessoal'!$I$532:$AJ$532&amp;'Gastos com Pessoal'!$I$6:$AJ$6,0),500,1)),0)+_xlfn.IFNA(SUM((AJ$3&gt;='Gastos com Pessoal'!$E$7:$E$506)*(AJ$3&lt;='Gastos com Pessoal'!$F$7:$F$506)*(IF('Gastos com Pessoal'!$AE$7:$AE$506&lt;=AJ$3,1,0))*OFFSET('Gastos com Pessoal'!$H$6,1,MATCH(5&amp;$B52,'Gastos com Pessoal'!$I$532:$AJ$532&amp;'Gastos com Pessoal'!$I$6:$AJ$6,0),500,1)),0)+_xlfn.IFNA(SUM((AJ$3&gt;='Gastos com Pessoal'!$E$513:$E$522)*(AJ$3&lt;='Gastos com Pessoal'!$F$513:$F$522)*(IF('Gastos com Pessoal'!$G$513:$G$522&lt;=AJ$3,1,0))*OFFSET('Gastos com Pessoal'!$H$512,1,MATCH(1&amp;$B52,'Gastos com Pessoal'!$I$532:$AJ$532&amp;'Gastos com Pessoal'!$I$512:$AJ$512,0),10,1)),0)+_xlfn.IFNA(SUM((AJ$3&gt;='Gastos com Pessoal'!$E$513:$E$522)*(AJ$3&lt;='Gastos com Pessoal'!$F$513:$F$522)*(IF('Gastos com Pessoal'!$M$513:$M$522&lt;=AJ$3,1,0))*OFFSET('Gastos com Pessoal'!$H$512,1,MATCH(2&amp;$B52,'Gastos com Pessoal'!$I$532:$AJ$532&amp;'Gastos com Pessoal'!$I$512:$AJ$512,0),10,1)),0)+_xlfn.IFNA(SUM((AJ$3&gt;='Gastos com Pessoal'!$E$513:$E$522)*(AJ$3&lt;='Gastos com Pessoal'!$F$513:$F$522)*(IF('Gastos com Pessoal'!$S$513:$S$522&lt;=AJ$3,1,0))*OFFSET('Gastos com Pessoal'!$H$512,1,MATCH(3&amp;$B52,'Gastos com Pessoal'!$I$532:$AJ$532&amp;'Gastos com Pessoal'!$I$512:$AJ$512,0),10,1)),0)+_xlfn.IFNA(SUM((AJ$3&gt;='Gastos com Pessoal'!$E$513:$E$522)*(AJ$3&lt;='Gastos com Pessoal'!$F$513:$F$522)*(IF('Gastos com Pessoal'!$Y$513:$Y$522&lt;=AJ$3,1,0))*OFFSET('Gastos com Pessoal'!$H$512,1,MATCH(4&amp;$B52,'Gastos com Pessoal'!$I$532:$AJ$532&amp;'Gastos com Pessoal'!$I$512:$AJ$512,0),10,1)),0)+_xlfn.IFNA(SUM((AJ$3&gt;='Gastos com Pessoal'!$E$513:$E$522)*(AJ$3&lt;='Gastos com Pessoal'!$F$513:$F$522)*(IF('Gastos com Pessoal'!$AE$513:$AE$522&lt;=AJ$3,1,0))*OFFSET('Gastos com Pessoal'!$H$512,1,MATCH(5&amp;$B52,'Gastos com Pessoal'!$I$532:$AJ$532&amp;'Gastos com Pessoal'!$I$512:$AJ$512,0),10,1)),0)</f>
        <v>5040</v>
      </c>
      <c r="AK52" s="188">
        <f t="array" aca="1" ref="AK52" ca="1">_xlfn.IFNA(SUM((AK$3&gt;='Gastos com Pessoal'!$E$7:$E$506)*(AK$3&lt;='Gastos com Pessoal'!$F$7:$F$506)*OFFSET('Encargos e Benefícios'!$D$5,1,MATCH($B52,'Encargos e Benefícios'!$E$5:$AB$5,0),500,1)),0)+_xlfn.IFNA(SUM((AK$3&gt;='Gastos com Pessoal'!$E$513:$E$522)*(AK$3&lt;='Gastos com Pessoal'!$F$513:$F$522)*OFFSET('Encargos e Benefícios'!$D$511,1,MATCH($B52,'Encargos e Benefícios'!$E$511:$AB$511,0),10,1)),0)+_xlfn.IFNA(SUM((AK$3&gt;='Gastos com Pessoal'!$E$7:$E$506)*(AK$3&lt;='Gastos com Pessoal'!$F$7:$F$506)*(IF('Gastos com Pessoal'!$G$7:$G$506&lt;=AK$3,1,0))*OFFSET('Gastos com Pessoal'!$H$6,1,MATCH(1&amp;$B52,'Gastos com Pessoal'!$I$532:$AJ$532&amp;'Gastos com Pessoal'!$I$6:$AJ$6,0),500,1)),0)+_xlfn.IFNA(SUM((AK$3&gt;='Gastos com Pessoal'!$E$7:$E$506)*(AK$3&lt;='Gastos com Pessoal'!$F$7:$F$506)*(IF('Gastos com Pessoal'!$M$7:$M$506&lt;=AK$3,1,0))*OFFSET('Gastos com Pessoal'!$H$6,1,MATCH(2&amp;$B52,'Gastos com Pessoal'!$I$532:$AJ$532&amp;'Gastos com Pessoal'!$I$6:$AJ$6,0),500,1)),0)+_xlfn.IFNA(SUM((AK$3&gt;='Gastos com Pessoal'!$E$7:$E$506)*(AK$3&lt;='Gastos com Pessoal'!$F$7:$F$506)*(IF('Gastos com Pessoal'!$S$7:$S$506&lt;=AK$3,1,0))*OFFSET('Gastos com Pessoal'!$H$6,1,MATCH(3&amp;$B52,'Gastos com Pessoal'!$I$532:$AJ$532&amp;'Gastos com Pessoal'!$I$6:$AJ$6,0),500,1)),0)+_xlfn.IFNA(SUM((AK$3&gt;='Gastos com Pessoal'!$E$7:$E$506)*(AK$3&lt;='Gastos com Pessoal'!$F$7:$F$506)*(IF('Gastos com Pessoal'!$Y$7:$Y$506&lt;=AK$3,1,0))*OFFSET('Gastos com Pessoal'!$H$6,1,MATCH(4&amp;$B52,'Gastos com Pessoal'!$I$532:$AJ$532&amp;'Gastos com Pessoal'!$I$6:$AJ$6,0),500,1)),0)+_xlfn.IFNA(SUM((AK$3&gt;='Gastos com Pessoal'!$E$7:$E$506)*(AK$3&lt;='Gastos com Pessoal'!$F$7:$F$506)*(IF('Gastos com Pessoal'!$AE$7:$AE$506&lt;=AK$3,1,0))*OFFSET('Gastos com Pessoal'!$H$6,1,MATCH(5&amp;$B52,'Gastos com Pessoal'!$I$532:$AJ$532&amp;'Gastos com Pessoal'!$I$6:$AJ$6,0),500,1)),0)+_xlfn.IFNA(SUM((AK$3&gt;='Gastos com Pessoal'!$E$513:$E$522)*(AK$3&lt;='Gastos com Pessoal'!$F$513:$F$522)*(IF('Gastos com Pessoal'!$G$513:$G$522&lt;=AK$3,1,0))*OFFSET('Gastos com Pessoal'!$H$512,1,MATCH(1&amp;$B52,'Gastos com Pessoal'!$I$532:$AJ$532&amp;'Gastos com Pessoal'!$I$512:$AJ$512,0),10,1)),0)+_xlfn.IFNA(SUM((AK$3&gt;='Gastos com Pessoal'!$E$513:$E$522)*(AK$3&lt;='Gastos com Pessoal'!$F$513:$F$522)*(IF('Gastos com Pessoal'!$M$513:$M$522&lt;=AK$3,1,0))*OFFSET('Gastos com Pessoal'!$H$512,1,MATCH(2&amp;$B52,'Gastos com Pessoal'!$I$532:$AJ$532&amp;'Gastos com Pessoal'!$I$512:$AJ$512,0),10,1)),0)+_xlfn.IFNA(SUM((AK$3&gt;='Gastos com Pessoal'!$E$513:$E$522)*(AK$3&lt;='Gastos com Pessoal'!$F$513:$F$522)*(IF('Gastos com Pessoal'!$S$513:$S$522&lt;=AK$3,1,0))*OFFSET('Gastos com Pessoal'!$H$512,1,MATCH(3&amp;$B52,'Gastos com Pessoal'!$I$532:$AJ$532&amp;'Gastos com Pessoal'!$I$512:$AJ$512,0),10,1)),0)+_xlfn.IFNA(SUM((AK$3&gt;='Gastos com Pessoal'!$E$513:$E$522)*(AK$3&lt;='Gastos com Pessoal'!$F$513:$F$522)*(IF('Gastos com Pessoal'!$Y$513:$Y$522&lt;=AK$3,1,0))*OFFSET('Gastos com Pessoal'!$H$512,1,MATCH(4&amp;$B52,'Gastos com Pessoal'!$I$532:$AJ$532&amp;'Gastos com Pessoal'!$I$512:$AJ$512,0),10,1)),0)+_xlfn.IFNA(SUM((AK$3&gt;='Gastos com Pessoal'!$E$513:$E$522)*(AK$3&lt;='Gastos com Pessoal'!$F$513:$F$522)*(IF('Gastos com Pessoal'!$AE$513:$AE$522&lt;=AK$3,1,0))*OFFSET('Gastos com Pessoal'!$H$512,1,MATCH(5&amp;$B52,'Gastos com Pessoal'!$I$532:$AJ$532&amp;'Gastos com Pessoal'!$I$512:$AJ$512,0),10,1)),0)</f>
        <v>5040</v>
      </c>
      <c r="AL52" s="188">
        <f t="array" aca="1" ref="AL52" ca="1">_xlfn.IFNA(SUM((AL$3&gt;='Gastos com Pessoal'!$E$7:$E$506)*(AL$3&lt;='Gastos com Pessoal'!$F$7:$F$506)*OFFSET('Encargos e Benefícios'!$D$5,1,MATCH($B52,'Encargos e Benefícios'!$E$5:$AB$5,0),500,1)),0)+_xlfn.IFNA(SUM((AL$3&gt;='Gastos com Pessoal'!$E$513:$E$522)*(AL$3&lt;='Gastos com Pessoal'!$F$513:$F$522)*OFFSET('Encargos e Benefícios'!$D$511,1,MATCH($B52,'Encargos e Benefícios'!$E$511:$AB$511,0),10,1)),0)+_xlfn.IFNA(SUM((AL$3&gt;='Gastos com Pessoal'!$E$7:$E$506)*(AL$3&lt;='Gastos com Pessoal'!$F$7:$F$506)*(IF('Gastos com Pessoal'!$G$7:$G$506&lt;=AL$3,1,0))*OFFSET('Gastos com Pessoal'!$H$6,1,MATCH(1&amp;$B52,'Gastos com Pessoal'!$I$532:$AJ$532&amp;'Gastos com Pessoal'!$I$6:$AJ$6,0),500,1)),0)+_xlfn.IFNA(SUM((AL$3&gt;='Gastos com Pessoal'!$E$7:$E$506)*(AL$3&lt;='Gastos com Pessoal'!$F$7:$F$506)*(IF('Gastos com Pessoal'!$M$7:$M$506&lt;=AL$3,1,0))*OFFSET('Gastos com Pessoal'!$H$6,1,MATCH(2&amp;$B52,'Gastos com Pessoal'!$I$532:$AJ$532&amp;'Gastos com Pessoal'!$I$6:$AJ$6,0),500,1)),0)+_xlfn.IFNA(SUM((AL$3&gt;='Gastos com Pessoal'!$E$7:$E$506)*(AL$3&lt;='Gastos com Pessoal'!$F$7:$F$506)*(IF('Gastos com Pessoal'!$S$7:$S$506&lt;=AL$3,1,0))*OFFSET('Gastos com Pessoal'!$H$6,1,MATCH(3&amp;$B52,'Gastos com Pessoal'!$I$532:$AJ$532&amp;'Gastos com Pessoal'!$I$6:$AJ$6,0),500,1)),0)+_xlfn.IFNA(SUM((AL$3&gt;='Gastos com Pessoal'!$E$7:$E$506)*(AL$3&lt;='Gastos com Pessoal'!$F$7:$F$506)*(IF('Gastos com Pessoal'!$Y$7:$Y$506&lt;=AL$3,1,0))*OFFSET('Gastos com Pessoal'!$H$6,1,MATCH(4&amp;$B52,'Gastos com Pessoal'!$I$532:$AJ$532&amp;'Gastos com Pessoal'!$I$6:$AJ$6,0),500,1)),0)+_xlfn.IFNA(SUM((AL$3&gt;='Gastos com Pessoal'!$E$7:$E$506)*(AL$3&lt;='Gastos com Pessoal'!$F$7:$F$506)*(IF('Gastos com Pessoal'!$AE$7:$AE$506&lt;=AL$3,1,0))*OFFSET('Gastos com Pessoal'!$H$6,1,MATCH(5&amp;$B52,'Gastos com Pessoal'!$I$532:$AJ$532&amp;'Gastos com Pessoal'!$I$6:$AJ$6,0),500,1)),0)+_xlfn.IFNA(SUM((AL$3&gt;='Gastos com Pessoal'!$E$513:$E$522)*(AL$3&lt;='Gastos com Pessoal'!$F$513:$F$522)*(IF('Gastos com Pessoal'!$G$513:$G$522&lt;=AL$3,1,0))*OFFSET('Gastos com Pessoal'!$H$512,1,MATCH(1&amp;$B52,'Gastos com Pessoal'!$I$532:$AJ$532&amp;'Gastos com Pessoal'!$I$512:$AJ$512,0),10,1)),0)+_xlfn.IFNA(SUM((AL$3&gt;='Gastos com Pessoal'!$E$513:$E$522)*(AL$3&lt;='Gastos com Pessoal'!$F$513:$F$522)*(IF('Gastos com Pessoal'!$M$513:$M$522&lt;=AL$3,1,0))*OFFSET('Gastos com Pessoal'!$H$512,1,MATCH(2&amp;$B52,'Gastos com Pessoal'!$I$532:$AJ$532&amp;'Gastos com Pessoal'!$I$512:$AJ$512,0),10,1)),0)+_xlfn.IFNA(SUM((AL$3&gt;='Gastos com Pessoal'!$E$513:$E$522)*(AL$3&lt;='Gastos com Pessoal'!$F$513:$F$522)*(IF('Gastos com Pessoal'!$S$513:$S$522&lt;=AL$3,1,0))*OFFSET('Gastos com Pessoal'!$H$512,1,MATCH(3&amp;$B52,'Gastos com Pessoal'!$I$532:$AJ$532&amp;'Gastos com Pessoal'!$I$512:$AJ$512,0),10,1)),0)+_xlfn.IFNA(SUM((AL$3&gt;='Gastos com Pessoal'!$E$513:$E$522)*(AL$3&lt;='Gastos com Pessoal'!$F$513:$F$522)*(IF('Gastos com Pessoal'!$Y$513:$Y$522&lt;=AL$3,1,0))*OFFSET('Gastos com Pessoal'!$H$512,1,MATCH(4&amp;$B52,'Gastos com Pessoal'!$I$532:$AJ$532&amp;'Gastos com Pessoal'!$I$512:$AJ$512,0),10,1)),0)+_xlfn.IFNA(SUM((AL$3&gt;='Gastos com Pessoal'!$E$513:$E$522)*(AL$3&lt;='Gastos com Pessoal'!$F$513:$F$522)*(IF('Gastos com Pessoal'!$AE$513:$AE$522&lt;=AL$3,1,0))*OFFSET('Gastos com Pessoal'!$H$512,1,MATCH(5&amp;$B52,'Gastos com Pessoal'!$I$532:$AJ$532&amp;'Gastos com Pessoal'!$I$512:$AJ$512,0),10,1)),0)</f>
        <v>5040</v>
      </c>
      <c r="AM52" s="188">
        <f t="array" aca="1" ref="AM52" ca="1">_xlfn.IFNA(SUM((AM$3&gt;='Gastos com Pessoal'!$E$7:$E$506)*(AM$3&lt;='Gastos com Pessoal'!$F$7:$F$506)*OFFSET('Encargos e Benefícios'!$D$5,1,MATCH($B52,'Encargos e Benefícios'!$E$5:$AB$5,0),500,1)),0)+_xlfn.IFNA(SUM((AM$3&gt;='Gastos com Pessoal'!$E$513:$E$522)*(AM$3&lt;='Gastos com Pessoal'!$F$513:$F$522)*OFFSET('Encargos e Benefícios'!$D$511,1,MATCH($B52,'Encargos e Benefícios'!$E$511:$AB$511,0),10,1)),0)+_xlfn.IFNA(SUM((AM$3&gt;='Gastos com Pessoal'!$E$7:$E$506)*(AM$3&lt;='Gastos com Pessoal'!$F$7:$F$506)*(IF('Gastos com Pessoal'!$G$7:$G$506&lt;=AM$3,1,0))*OFFSET('Gastos com Pessoal'!$H$6,1,MATCH(1&amp;$B52,'Gastos com Pessoal'!$I$532:$AJ$532&amp;'Gastos com Pessoal'!$I$6:$AJ$6,0),500,1)),0)+_xlfn.IFNA(SUM((AM$3&gt;='Gastos com Pessoal'!$E$7:$E$506)*(AM$3&lt;='Gastos com Pessoal'!$F$7:$F$506)*(IF('Gastos com Pessoal'!$M$7:$M$506&lt;=AM$3,1,0))*OFFSET('Gastos com Pessoal'!$H$6,1,MATCH(2&amp;$B52,'Gastos com Pessoal'!$I$532:$AJ$532&amp;'Gastos com Pessoal'!$I$6:$AJ$6,0),500,1)),0)+_xlfn.IFNA(SUM((AM$3&gt;='Gastos com Pessoal'!$E$7:$E$506)*(AM$3&lt;='Gastos com Pessoal'!$F$7:$F$506)*(IF('Gastos com Pessoal'!$S$7:$S$506&lt;=AM$3,1,0))*OFFSET('Gastos com Pessoal'!$H$6,1,MATCH(3&amp;$B52,'Gastos com Pessoal'!$I$532:$AJ$532&amp;'Gastos com Pessoal'!$I$6:$AJ$6,0),500,1)),0)+_xlfn.IFNA(SUM((AM$3&gt;='Gastos com Pessoal'!$E$7:$E$506)*(AM$3&lt;='Gastos com Pessoal'!$F$7:$F$506)*(IF('Gastos com Pessoal'!$Y$7:$Y$506&lt;=AM$3,1,0))*OFFSET('Gastos com Pessoal'!$H$6,1,MATCH(4&amp;$B52,'Gastos com Pessoal'!$I$532:$AJ$532&amp;'Gastos com Pessoal'!$I$6:$AJ$6,0),500,1)),0)+_xlfn.IFNA(SUM((AM$3&gt;='Gastos com Pessoal'!$E$7:$E$506)*(AM$3&lt;='Gastos com Pessoal'!$F$7:$F$506)*(IF('Gastos com Pessoal'!$AE$7:$AE$506&lt;=AM$3,1,0))*OFFSET('Gastos com Pessoal'!$H$6,1,MATCH(5&amp;$B52,'Gastos com Pessoal'!$I$532:$AJ$532&amp;'Gastos com Pessoal'!$I$6:$AJ$6,0),500,1)),0)+_xlfn.IFNA(SUM((AM$3&gt;='Gastos com Pessoal'!$E$513:$E$522)*(AM$3&lt;='Gastos com Pessoal'!$F$513:$F$522)*(IF('Gastos com Pessoal'!$G$513:$G$522&lt;=AM$3,1,0))*OFFSET('Gastos com Pessoal'!$H$512,1,MATCH(1&amp;$B52,'Gastos com Pessoal'!$I$532:$AJ$532&amp;'Gastos com Pessoal'!$I$512:$AJ$512,0),10,1)),0)+_xlfn.IFNA(SUM((AM$3&gt;='Gastos com Pessoal'!$E$513:$E$522)*(AM$3&lt;='Gastos com Pessoal'!$F$513:$F$522)*(IF('Gastos com Pessoal'!$M$513:$M$522&lt;=AM$3,1,0))*OFFSET('Gastos com Pessoal'!$H$512,1,MATCH(2&amp;$B52,'Gastos com Pessoal'!$I$532:$AJ$532&amp;'Gastos com Pessoal'!$I$512:$AJ$512,0),10,1)),0)+_xlfn.IFNA(SUM((AM$3&gt;='Gastos com Pessoal'!$E$513:$E$522)*(AM$3&lt;='Gastos com Pessoal'!$F$513:$F$522)*(IF('Gastos com Pessoal'!$S$513:$S$522&lt;=AM$3,1,0))*OFFSET('Gastos com Pessoal'!$H$512,1,MATCH(3&amp;$B52,'Gastos com Pessoal'!$I$532:$AJ$532&amp;'Gastos com Pessoal'!$I$512:$AJ$512,0),10,1)),0)+_xlfn.IFNA(SUM((AM$3&gt;='Gastos com Pessoal'!$E$513:$E$522)*(AM$3&lt;='Gastos com Pessoal'!$F$513:$F$522)*(IF('Gastos com Pessoal'!$Y$513:$Y$522&lt;=AM$3,1,0))*OFFSET('Gastos com Pessoal'!$H$512,1,MATCH(4&amp;$B52,'Gastos com Pessoal'!$I$532:$AJ$532&amp;'Gastos com Pessoal'!$I$512:$AJ$512,0),10,1)),0)+_xlfn.IFNA(SUM((AM$3&gt;='Gastos com Pessoal'!$E$513:$E$522)*(AM$3&lt;='Gastos com Pessoal'!$F$513:$F$522)*(IF('Gastos com Pessoal'!$AE$513:$AE$522&lt;=AM$3,1,0))*OFFSET('Gastos com Pessoal'!$H$512,1,MATCH(5&amp;$B52,'Gastos com Pessoal'!$I$532:$AJ$532&amp;'Gastos com Pessoal'!$I$512:$AJ$512,0),10,1)),0)</f>
        <v>5040</v>
      </c>
      <c r="AN52" s="188">
        <f t="array" aca="1" ref="AN52" ca="1">_xlfn.IFNA(SUM((AN$3&gt;='Gastos com Pessoal'!$E$7:$E$506)*(AN$3&lt;='Gastos com Pessoal'!$F$7:$F$506)*OFFSET('Encargos e Benefícios'!$D$5,1,MATCH($B52,'Encargos e Benefícios'!$E$5:$AB$5,0),500,1)),0)+_xlfn.IFNA(SUM((AN$3&gt;='Gastos com Pessoal'!$E$513:$E$522)*(AN$3&lt;='Gastos com Pessoal'!$F$513:$F$522)*OFFSET('Encargos e Benefícios'!$D$511,1,MATCH($B52,'Encargos e Benefícios'!$E$511:$AB$511,0),10,1)),0)+_xlfn.IFNA(SUM((AN$3&gt;='Gastos com Pessoal'!$E$7:$E$506)*(AN$3&lt;='Gastos com Pessoal'!$F$7:$F$506)*(IF('Gastos com Pessoal'!$G$7:$G$506&lt;=AN$3,1,0))*OFFSET('Gastos com Pessoal'!$H$6,1,MATCH(1&amp;$B52,'Gastos com Pessoal'!$I$532:$AJ$532&amp;'Gastos com Pessoal'!$I$6:$AJ$6,0),500,1)),0)+_xlfn.IFNA(SUM((AN$3&gt;='Gastos com Pessoal'!$E$7:$E$506)*(AN$3&lt;='Gastos com Pessoal'!$F$7:$F$506)*(IF('Gastos com Pessoal'!$M$7:$M$506&lt;=AN$3,1,0))*OFFSET('Gastos com Pessoal'!$H$6,1,MATCH(2&amp;$B52,'Gastos com Pessoal'!$I$532:$AJ$532&amp;'Gastos com Pessoal'!$I$6:$AJ$6,0),500,1)),0)+_xlfn.IFNA(SUM((AN$3&gt;='Gastos com Pessoal'!$E$7:$E$506)*(AN$3&lt;='Gastos com Pessoal'!$F$7:$F$506)*(IF('Gastos com Pessoal'!$S$7:$S$506&lt;=AN$3,1,0))*OFFSET('Gastos com Pessoal'!$H$6,1,MATCH(3&amp;$B52,'Gastos com Pessoal'!$I$532:$AJ$532&amp;'Gastos com Pessoal'!$I$6:$AJ$6,0),500,1)),0)+_xlfn.IFNA(SUM((AN$3&gt;='Gastos com Pessoal'!$E$7:$E$506)*(AN$3&lt;='Gastos com Pessoal'!$F$7:$F$506)*(IF('Gastos com Pessoal'!$Y$7:$Y$506&lt;=AN$3,1,0))*OFFSET('Gastos com Pessoal'!$H$6,1,MATCH(4&amp;$B52,'Gastos com Pessoal'!$I$532:$AJ$532&amp;'Gastos com Pessoal'!$I$6:$AJ$6,0),500,1)),0)+_xlfn.IFNA(SUM((AN$3&gt;='Gastos com Pessoal'!$E$7:$E$506)*(AN$3&lt;='Gastos com Pessoal'!$F$7:$F$506)*(IF('Gastos com Pessoal'!$AE$7:$AE$506&lt;=AN$3,1,0))*OFFSET('Gastos com Pessoal'!$H$6,1,MATCH(5&amp;$B52,'Gastos com Pessoal'!$I$532:$AJ$532&amp;'Gastos com Pessoal'!$I$6:$AJ$6,0),500,1)),0)+_xlfn.IFNA(SUM((AN$3&gt;='Gastos com Pessoal'!$E$513:$E$522)*(AN$3&lt;='Gastos com Pessoal'!$F$513:$F$522)*(IF('Gastos com Pessoal'!$G$513:$G$522&lt;=AN$3,1,0))*OFFSET('Gastos com Pessoal'!$H$512,1,MATCH(1&amp;$B52,'Gastos com Pessoal'!$I$532:$AJ$532&amp;'Gastos com Pessoal'!$I$512:$AJ$512,0),10,1)),0)+_xlfn.IFNA(SUM((AN$3&gt;='Gastos com Pessoal'!$E$513:$E$522)*(AN$3&lt;='Gastos com Pessoal'!$F$513:$F$522)*(IF('Gastos com Pessoal'!$M$513:$M$522&lt;=AN$3,1,0))*OFFSET('Gastos com Pessoal'!$H$512,1,MATCH(2&amp;$B52,'Gastos com Pessoal'!$I$532:$AJ$532&amp;'Gastos com Pessoal'!$I$512:$AJ$512,0),10,1)),0)+_xlfn.IFNA(SUM((AN$3&gt;='Gastos com Pessoal'!$E$513:$E$522)*(AN$3&lt;='Gastos com Pessoal'!$F$513:$F$522)*(IF('Gastos com Pessoal'!$S$513:$S$522&lt;=AN$3,1,0))*OFFSET('Gastos com Pessoal'!$H$512,1,MATCH(3&amp;$B52,'Gastos com Pessoal'!$I$532:$AJ$532&amp;'Gastos com Pessoal'!$I$512:$AJ$512,0),10,1)),0)+_xlfn.IFNA(SUM((AN$3&gt;='Gastos com Pessoal'!$E$513:$E$522)*(AN$3&lt;='Gastos com Pessoal'!$F$513:$F$522)*(IF('Gastos com Pessoal'!$Y$513:$Y$522&lt;=AN$3,1,0))*OFFSET('Gastos com Pessoal'!$H$512,1,MATCH(4&amp;$B52,'Gastos com Pessoal'!$I$532:$AJ$532&amp;'Gastos com Pessoal'!$I$512:$AJ$512,0),10,1)),0)+_xlfn.IFNA(SUM((AN$3&gt;='Gastos com Pessoal'!$E$513:$E$522)*(AN$3&lt;='Gastos com Pessoal'!$F$513:$F$522)*(IF('Gastos com Pessoal'!$AE$513:$AE$522&lt;=AN$3,1,0))*OFFSET('Gastos com Pessoal'!$H$512,1,MATCH(5&amp;$B52,'Gastos com Pessoal'!$I$532:$AJ$532&amp;'Gastos com Pessoal'!$I$512:$AJ$512,0),10,1)),0)</f>
        <v>5040</v>
      </c>
      <c r="AO52" s="188">
        <f t="array" aca="1" ref="AO52" ca="1">_xlfn.IFNA(SUM((AO$3&gt;='Gastos com Pessoal'!$E$7:$E$506)*(AO$3&lt;='Gastos com Pessoal'!$F$7:$F$506)*OFFSET('Encargos e Benefícios'!$D$5,1,MATCH($B52,'Encargos e Benefícios'!$E$5:$AB$5,0),500,1)),0)+_xlfn.IFNA(SUM((AO$3&gt;='Gastos com Pessoal'!$E$513:$E$522)*(AO$3&lt;='Gastos com Pessoal'!$F$513:$F$522)*OFFSET('Encargos e Benefícios'!$D$511,1,MATCH($B52,'Encargos e Benefícios'!$E$511:$AB$511,0),10,1)),0)+_xlfn.IFNA(SUM((AO$3&gt;='Gastos com Pessoal'!$E$7:$E$506)*(AO$3&lt;='Gastos com Pessoal'!$F$7:$F$506)*(IF('Gastos com Pessoal'!$G$7:$G$506&lt;=AO$3,1,0))*OFFSET('Gastos com Pessoal'!$H$6,1,MATCH(1&amp;$B52,'Gastos com Pessoal'!$I$532:$AJ$532&amp;'Gastos com Pessoal'!$I$6:$AJ$6,0),500,1)),0)+_xlfn.IFNA(SUM((AO$3&gt;='Gastos com Pessoal'!$E$7:$E$506)*(AO$3&lt;='Gastos com Pessoal'!$F$7:$F$506)*(IF('Gastos com Pessoal'!$M$7:$M$506&lt;=AO$3,1,0))*OFFSET('Gastos com Pessoal'!$H$6,1,MATCH(2&amp;$B52,'Gastos com Pessoal'!$I$532:$AJ$532&amp;'Gastos com Pessoal'!$I$6:$AJ$6,0),500,1)),0)+_xlfn.IFNA(SUM((AO$3&gt;='Gastos com Pessoal'!$E$7:$E$506)*(AO$3&lt;='Gastos com Pessoal'!$F$7:$F$506)*(IF('Gastos com Pessoal'!$S$7:$S$506&lt;=AO$3,1,0))*OFFSET('Gastos com Pessoal'!$H$6,1,MATCH(3&amp;$B52,'Gastos com Pessoal'!$I$532:$AJ$532&amp;'Gastos com Pessoal'!$I$6:$AJ$6,0),500,1)),0)+_xlfn.IFNA(SUM((AO$3&gt;='Gastos com Pessoal'!$E$7:$E$506)*(AO$3&lt;='Gastos com Pessoal'!$F$7:$F$506)*(IF('Gastos com Pessoal'!$Y$7:$Y$506&lt;=AO$3,1,0))*OFFSET('Gastos com Pessoal'!$H$6,1,MATCH(4&amp;$B52,'Gastos com Pessoal'!$I$532:$AJ$532&amp;'Gastos com Pessoal'!$I$6:$AJ$6,0),500,1)),0)+_xlfn.IFNA(SUM((AO$3&gt;='Gastos com Pessoal'!$E$7:$E$506)*(AO$3&lt;='Gastos com Pessoal'!$F$7:$F$506)*(IF('Gastos com Pessoal'!$AE$7:$AE$506&lt;=AO$3,1,0))*OFFSET('Gastos com Pessoal'!$H$6,1,MATCH(5&amp;$B52,'Gastos com Pessoal'!$I$532:$AJ$532&amp;'Gastos com Pessoal'!$I$6:$AJ$6,0),500,1)),0)+_xlfn.IFNA(SUM((AO$3&gt;='Gastos com Pessoal'!$E$513:$E$522)*(AO$3&lt;='Gastos com Pessoal'!$F$513:$F$522)*(IF('Gastos com Pessoal'!$G$513:$G$522&lt;=AO$3,1,0))*OFFSET('Gastos com Pessoal'!$H$512,1,MATCH(1&amp;$B52,'Gastos com Pessoal'!$I$532:$AJ$532&amp;'Gastos com Pessoal'!$I$512:$AJ$512,0),10,1)),0)+_xlfn.IFNA(SUM((AO$3&gt;='Gastos com Pessoal'!$E$513:$E$522)*(AO$3&lt;='Gastos com Pessoal'!$F$513:$F$522)*(IF('Gastos com Pessoal'!$M$513:$M$522&lt;=AO$3,1,0))*OFFSET('Gastos com Pessoal'!$H$512,1,MATCH(2&amp;$B52,'Gastos com Pessoal'!$I$532:$AJ$532&amp;'Gastos com Pessoal'!$I$512:$AJ$512,0),10,1)),0)+_xlfn.IFNA(SUM((AO$3&gt;='Gastos com Pessoal'!$E$513:$E$522)*(AO$3&lt;='Gastos com Pessoal'!$F$513:$F$522)*(IF('Gastos com Pessoal'!$S$513:$S$522&lt;=AO$3,1,0))*OFFSET('Gastos com Pessoal'!$H$512,1,MATCH(3&amp;$B52,'Gastos com Pessoal'!$I$532:$AJ$532&amp;'Gastos com Pessoal'!$I$512:$AJ$512,0),10,1)),0)+_xlfn.IFNA(SUM((AO$3&gt;='Gastos com Pessoal'!$E$513:$E$522)*(AO$3&lt;='Gastos com Pessoal'!$F$513:$F$522)*(IF('Gastos com Pessoal'!$Y$513:$Y$522&lt;=AO$3,1,0))*OFFSET('Gastos com Pessoal'!$H$512,1,MATCH(4&amp;$B52,'Gastos com Pessoal'!$I$532:$AJ$532&amp;'Gastos com Pessoal'!$I$512:$AJ$512,0),10,1)),0)+_xlfn.IFNA(SUM((AO$3&gt;='Gastos com Pessoal'!$E$513:$E$522)*(AO$3&lt;='Gastos com Pessoal'!$F$513:$F$522)*(IF('Gastos com Pessoal'!$AE$513:$AE$522&lt;=AO$3,1,0))*OFFSET('Gastos com Pessoal'!$H$512,1,MATCH(5&amp;$B52,'Gastos com Pessoal'!$I$532:$AJ$532&amp;'Gastos com Pessoal'!$I$512:$AJ$512,0),10,1)),0)</f>
        <v>5040</v>
      </c>
      <c r="AP52" s="188">
        <f t="array" aca="1" ref="AP52" ca="1">_xlfn.IFNA(SUM((AP$3&gt;='Gastos com Pessoal'!$E$7:$E$506)*(AP$3&lt;='Gastos com Pessoal'!$F$7:$F$506)*OFFSET('Encargos e Benefícios'!$D$5,1,MATCH($B52,'Encargos e Benefícios'!$E$5:$AB$5,0),500,1)),0)+_xlfn.IFNA(SUM((AP$3&gt;='Gastos com Pessoal'!$E$513:$E$522)*(AP$3&lt;='Gastos com Pessoal'!$F$513:$F$522)*OFFSET('Encargos e Benefícios'!$D$511,1,MATCH($B52,'Encargos e Benefícios'!$E$511:$AB$511,0),10,1)),0)+_xlfn.IFNA(SUM((AP$3&gt;='Gastos com Pessoal'!$E$7:$E$506)*(AP$3&lt;='Gastos com Pessoal'!$F$7:$F$506)*(IF('Gastos com Pessoal'!$G$7:$G$506&lt;=AP$3,1,0))*OFFSET('Gastos com Pessoal'!$H$6,1,MATCH(1&amp;$B52,'Gastos com Pessoal'!$I$532:$AJ$532&amp;'Gastos com Pessoal'!$I$6:$AJ$6,0),500,1)),0)+_xlfn.IFNA(SUM((AP$3&gt;='Gastos com Pessoal'!$E$7:$E$506)*(AP$3&lt;='Gastos com Pessoal'!$F$7:$F$506)*(IF('Gastos com Pessoal'!$M$7:$M$506&lt;=AP$3,1,0))*OFFSET('Gastos com Pessoal'!$H$6,1,MATCH(2&amp;$B52,'Gastos com Pessoal'!$I$532:$AJ$532&amp;'Gastos com Pessoal'!$I$6:$AJ$6,0),500,1)),0)+_xlfn.IFNA(SUM((AP$3&gt;='Gastos com Pessoal'!$E$7:$E$506)*(AP$3&lt;='Gastos com Pessoal'!$F$7:$F$506)*(IF('Gastos com Pessoal'!$S$7:$S$506&lt;=AP$3,1,0))*OFFSET('Gastos com Pessoal'!$H$6,1,MATCH(3&amp;$B52,'Gastos com Pessoal'!$I$532:$AJ$532&amp;'Gastos com Pessoal'!$I$6:$AJ$6,0),500,1)),0)+_xlfn.IFNA(SUM((AP$3&gt;='Gastos com Pessoal'!$E$7:$E$506)*(AP$3&lt;='Gastos com Pessoal'!$F$7:$F$506)*(IF('Gastos com Pessoal'!$Y$7:$Y$506&lt;=AP$3,1,0))*OFFSET('Gastos com Pessoal'!$H$6,1,MATCH(4&amp;$B52,'Gastos com Pessoal'!$I$532:$AJ$532&amp;'Gastos com Pessoal'!$I$6:$AJ$6,0),500,1)),0)+_xlfn.IFNA(SUM((AP$3&gt;='Gastos com Pessoal'!$E$7:$E$506)*(AP$3&lt;='Gastos com Pessoal'!$F$7:$F$506)*(IF('Gastos com Pessoal'!$AE$7:$AE$506&lt;=AP$3,1,0))*OFFSET('Gastos com Pessoal'!$H$6,1,MATCH(5&amp;$B52,'Gastos com Pessoal'!$I$532:$AJ$532&amp;'Gastos com Pessoal'!$I$6:$AJ$6,0),500,1)),0)+_xlfn.IFNA(SUM((AP$3&gt;='Gastos com Pessoal'!$E$513:$E$522)*(AP$3&lt;='Gastos com Pessoal'!$F$513:$F$522)*(IF('Gastos com Pessoal'!$G$513:$G$522&lt;=AP$3,1,0))*OFFSET('Gastos com Pessoal'!$H$512,1,MATCH(1&amp;$B52,'Gastos com Pessoal'!$I$532:$AJ$532&amp;'Gastos com Pessoal'!$I$512:$AJ$512,0),10,1)),0)+_xlfn.IFNA(SUM((AP$3&gt;='Gastos com Pessoal'!$E$513:$E$522)*(AP$3&lt;='Gastos com Pessoal'!$F$513:$F$522)*(IF('Gastos com Pessoal'!$M$513:$M$522&lt;=AP$3,1,0))*OFFSET('Gastos com Pessoal'!$H$512,1,MATCH(2&amp;$B52,'Gastos com Pessoal'!$I$532:$AJ$532&amp;'Gastos com Pessoal'!$I$512:$AJ$512,0),10,1)),0)+_xlfn.IFNA(SUM((AP$3&gt;='Gastos com Pessoal'!$E$513:$E$522)*(AP$3&lt;='Gastos com Pessoal'!$F$513:$F$522)*(IF('Gastos com Pessoal'!$S$513:$S$522&lt;=AP$3,1,0))*OFFSET('Gastos com Pessoal'!$H$512,1,MATCH(3&amp;$B52,'Gastos com Pessoal'!$I$532:$AJ$532&amp;'Gastos com Pessoal'!$I$512:$AJ$512,0),10,1)),0)+_xlfn.IFNA(SUM((AP$3&gt;='Gastos com Pessoal'!$E$513:$E$522)*(AP$3&lt;='Gastos com Pessoal'!$F$513:$F$522)*(IF('Gastos com Pessoal'!$Y$513:$Y$522&lt;=AP$3,1,0))*OFFSET('Gastos com Pessoal'!$H$512,1,MATCH(4&amp;$B52,'Gastos com Pessoal'!$I$532:$AJ$532&amp;'Gastos com Pessoal'!$I$512:$AJ$512,0),10,1)),0)+_xlfn.IFNA(SUM((AP$3&gt;='Gastos com Pessoal'!$E$513:$E$522)*(AP$3&lt;='Gastos com Pessoal'!$F$513:$F$522)*(IF('Gastos com Pessoal'!$AE$513:$AE$522&lt;=AP$3,1,0))*OFFSET('Gastos com Pessoal'!$H$512,1,MATCH(5&amp;$B52,'Gastos com Pessoal'!$I$532:$AJ$532&amp;'Gastos com Pessoal'!$I$512:$AJ$512,0),10,1)),0)</f>
        <v>5040</v>
      </c>
      <c r="AQ52" s="188">
        <f t="array" aca="1" ref="AQ52" ca="1">_xlfn.IFNA(SUM((AQ$3&gt;='Gastos com Pessoal'!$E$7:$E$506)*(AQ$3&lt;='Gastos com Pessoal'!$F$7:$F$506)*OFFSET('Encargos e Benefícios'!$D$5,1,MATCH($B52,'Encargos e Benefícios'!$E$5:$AB$5,0),500,1)),0)+_xlfn.IFNA(SUM((AQ$3&gt;='Gastos com Pessoal'!$E$513:$E$522)*(AQ$3&lt;='Gastos com Pessoal'!$F$513:$F$522)*OFFSET('Encargos e Benefícios'!$D$511,1,MATCH($B52,'Encargos e Benefícios'!$E$511:$AB$511,0),10,1)),0)+_xlfn.IFNA(SUM((AQ$3&gt;='Gastos com Pessoal'!$E$7:$E$506)*(AQ$3&lt;='Gastos com Pessoal'!$F$7:$F$506)*(IF('Gastos com Pessoal'!$G$7:$G$506&lt;=AQ$3,1,0))*OFFSET('Gastos com Pessoal'!$H$6,1,MATCH(1&amp;$B52,'Gastos com Pessoal'!$I$532:$AJ$532&amp;'Gastos com Pessoal'!$I$6:$AJ$6,0),500,1)),0)+_xlfn.IFNA(SUM((AQ$3&gt;='Gastos com Pessoal'!$E$7:$E$506)*(AQ$3&lt;='Gastos com Pessoal'!$F$7:$F$506)*(IF('Gastos com Pessoal'!$M$7:$M$506&lt;=AQ$3,1,0))*OFFSET('Gastos com Pessoal'!$H$6,1,MATCH(2&amp;$B52,'Gastos com Pessoal'!$I$532:$AJ$532&amp;'Gastos com Pessoal'!$I$6:$AJ$6,0),500,1)),0)+_xlfn.IFNA(SUM((AQ$3&gt;='Gastos com Pessoal'!$E$7:$E$506)*(AQ$3&lt;='Gastos com Pessoal'!$F$7:$F$506)*(IF('Gastos com Pessoal'!$S$7:$S$506&lt;=AQ$3,1,0))*OFFSET('Gastos com Pessoal'!$H$6,1,MATCH(3&amp;$B52,'Gastos com Pessoal'!$I$532:$AJ$532&amp;'Gastos com Pessoal'!$I$6:$AJ$6,0),500,1)),0)+_xlfn.IFNA(SUM((AQ$3&gt;='Gastos com Pessoal'!$E$7:$E$506)*(AQ$3&lt;='Gastos com Pessoal'!$F$7:$F$506)*(IF('Gastos com Pessoal'!$Y$7:$Y$506&lt;=AQ$3,1,0))*OFFSET('Gastos com Pessoal'!$H$6,1,MATCH(4&amp;$B52,'Gastos com Pessoal'!$I$532:$AJ$532&amp;'Gastos com Pessoal'!$I$6:$AJ$6,0),500,1)),0)+_xlfn.IFNA(SUM((AQ$3&gt;='Gastos com Pessoal'!$E$7:$E$506)*(AQ$3&lt;='Gastos com Pessoal'!$F$7:$F$506)*(IF('Gastos com Pessoal'!$AE$7:$AE$506&lt;=AQ$3,1,0))*OFFSET('Gastos com Pessoal'!$H$6,1,MATCH(5&amp;$B52,'Gastos com Pessoal'!$I$532:$AJ$532&amp;'Gastos com Pessoal'!$I$6:$AJ$6,0),500,1)),0)+_xlfn.IFNA(SUM((AQ$3&gt;='Gastos com Pessoal'!$E$513:$E$522)*(AQ$3&lt;='Gastos com Pessoal'!$F$513:$F$522)*(IF('Gastos com Pessoal'!$G$513:$G$522&lt;=AQ$3,1,0))*OFFSET('Gastos com Pessoal'!$H$512,1,MATCH(1&amp;$B52,'Gastos com Pessoal'!$I$532:$AJ$532&amp;'Gastos com Pessoal'!$I$512:$AJ$512,0),10,1)),0)+_xlfn.IFNA(SUM((AQ$3&gt;='Gastos com Pessoal'!$E$513:$E$522)*(AQ$3&lt;='Gastos com Pessoal'!$F$513:$F$522)*(IF('Gastos com Pessoal'!$M$513:$M$522&lt;=AQ$3,1,0))*OFFSET('Gastos com Pessoal'!$H$512,1,MATCH(2&amp;$B52,'Gastos com Pessoal'!$I$532:$AJ$532&amp;'Gastos com Pessoal'!$I$512:$AJ$512,0),10,1)),0)+_xlfn.IFNA(SUM((AQ$3&gt;='Gastos com Pessoal'!$E$513:$E$522)*(AQ$3&lt;='Gastos com Pessoal'!$F$513:$F$522)*(IF('Gastos com Pessoal'!$S$513:$S$522&lt;=AQ$3,1,0))*OFFSET('Gastos com Pessoal'!$H$512,1,MATCH(3&amp;$B52,'Gastos com Pessoal'!$I$532:$AJ$532&amp;'Gastos com Pessoal'!$I$512:$AJ$512,0),10,1)),0)+_xlfn.IFNA(SUM((AQ$3&gt;='Gastos com Pessoal'!$E$513:$E$522)*(AQ$3&lt;='Gastos com Pessoal'!$F$513:$F$522)*(IF('Gastos com Pessoal'!$Y$513:$Y$522&lt;=AQ$3,1,0))*OFFSET('Gastos com Pessoal'!$H$512,1,MATCH(4&amp;$B52,'Gastos com Pessoal'!$I$532:$AJ$532&amp;'Gastos com Pessoal'!$I$512:$AJ$512,0),10,1)),0)+_xlfn.IFNA(SUM((AQ$3&gt;='Gastos com Pessoal'!$E$513:$E$522)*(AQ$3&lt;='Gastos com Pessoal'!$F$513:$F$522)*(IF('Gastos com Pessoal'!$AE$513:$AE$522&lt;=AQ$3,1,0))*OFFSET('Gastos com Pessoal'!$H$512,1,MATCH(5&amp;$B52,'Gastos com Pessoal'!$I$532:$AJ$532&amp;'Gastos com Pessoal'!$I$512:$AJ$512,0),10,1)),0)</f>
        <v>5040</v>
      </c>
      <c r="AR52" s="188">
        <f t="array" aca="1" ref="AR52" ca="1">_xlfn.IFNA(SUM((AR$3&gt;='Gastos com Pessoal'!$E$7:$E$506)*(AR$3&lt;='Gastos com Pessoal'!$F$7:$F$506)*OFFSET('Encargos e Benefícios'!$D$5,1,MATCH($B52,'Encargos e Benefícios'!$E$5:$AB$5,0),500,1)),0)+_xlfn.IFNA(SUM((AR$3&gt;='Gastos com Pessoal'!$E$513:$E$522)*(AR$3&lt;='Gastos com Pessoal'!$F$513:$F$522)*OFFSET('Encargos e Benefícios'!$D$511,1,MATCH($B52,'Encargos e Benefícios'!$E$511:$AB$511,0),10,1)),0)+_xlfn.IFNA(SUM((AR$3&gt;='Gastos com Pessoal'!$E$7:$E$506)*(AR$3&lt;='Gastos com Pessoal'!$F$7:$F$506)*(IF('Gastos com Pessoal'!$G$7:$G$506&lt;=AR$3,1,0))*OFFSET('Gastos com Pessoal'!$H$6,1,MATCH(1&amp;$B52,'Gastos com Pessoal'!$I$532:$AJ$532&amp;'Gastos com Pessoal'!$I$6:$AJ$6,0),500,1)),0)+_xlfn.IFNA(SUM((AR$3&gt;='Gastos com Pessoal'!$E$7:$E$506)*(AR$3&lt;='Gastos com Pessoal'!$F$7:$F$506)*(IF('Gastos com Pessoal'!$M$7:$M$506&lt;=AR$3,1,0))*OFFSET('Gastos com Pessoal'!$H$6,1,MATCH(2&amp;$B52,'Gastos com Pessoal'!$I$532:$AJ$532&amp;'Gastos com Pessoal'!$I$6:$AJ$6,0),500,1)),0)+_xlfn.IFNA(SUM((AR$3&gt;='Gastos com Pessoal'!$E$7:$E$506)*(AR$3&lt;='Gastos com Pessoal'!$F$7:$F$506)*(IF('Gastos com Pessoal'!$S$7:$S$506&lt;=AR$3,1,0))*OFFSET('Gastos com Pessoal'!$H$6,1,MATCH(3&amp;$B52,'Gastos com Pessoal'!$I$532:$AJ$532&amp;'Gastos com Pessoal'!$I$6:$AJ$6,0),500,1)),0)+_xlfn.IFNA(SUM((AR$3&gt;='Gastos com Pessoal'!$E$7:$E$506)*(AR$3&lt;='Gastos com Pessoal'!$F$7:$F$506)*(IF('Gastos com Pessoal'!$Y$7:$Y$506&lt;=AR$3,1,0))*OFFSET('Gastos com Pessoal'!$H$6,1,MATCH(4&amp;$B52,'Gastos com Pessoal'!$I$532:$AJ$532&amp;'Gastos com Pessoal'!$I$6:$AJ$6,0),500,1)),0)+_xlfn.IFNA(SUM((AR$3&gt;='Gastos com Pessoal'!$E$7:$E$506)*(AR$3&lt;='Gastos com Pessoal'!$F$7:$F$506)*(IF('Gastos com Pessoal'!$AE$7:$AE$506&lt;=AR$3,1,0))*OFFSET('Gastos com Pessoal'!$H$6,1,MATCH(5&amp;$B52,'Gastos com Pessoal'!$I$532:$AJ$532&amp;'Gastos com Pessoal'!$I$6:$AJ$6,0),500,1)),0)+_xlfn.IFNA(SUM((AR$3&gt;='Gastos com Pessoal'!$E$513:$E$522)*(AR$3&lt;='Gastos com Pessoal'!$F$513:$F$522)*(IF('Gastos com Pessoal'!$G$513:$G$522&lt;=AR$3,1,0))*OFFSET('Gastos com Pessoal'!$H$512,1,MATCH(1&amp;$B52,'Gastos com Pessoal'!$I$532:$AJ$532&amp;'Gastos com Pessoal'!$I$512:$AJ$512,0),10,1)),0)+_xlfn.IFNA(SUM((AR$3&gt;='Gastos com Pessoal'!$E$513:$E$522)*(AR$3&lt;='Gastos com Pessoal'!$F$513:$F$522)*(IF('Gastos com Pessoal'!$M$513:$M$522&lt;=AR$3,1,0))*OFFSET('Gastos com Pessoal'!$H$512,1,MATCH(2&amp;$B52,'Gastos com Pessoal'!$I$532:$AJ$532&amp;'Gastos com Pessoal'!$I$512:$AJ$512,0),10,1)),0)+_xlfn.IFNA(SUM((AR$3&gt;='Gastos com Pessoal'!$E$513:$E$522)*(AR$3&lt;='Gastos com Pessoal'!$F$513:$F$522)*(IF('Gastos com Pessoal'!$S$513:$S$522&lt;=AR$3,1,0))*OFFSET('Gastos com Pessoal'!$H$512,1,MATCH(3&amp;$B52,'Gastos com Pessoal'!$I$532:$AJ$532&amp;'Gastos com Pessoal'!$I$512:$AJ$512,0),10,1)),0)+_xlfn.IFNA(SUM((AR$3&gt;='Gastos com Pessoal'!$E$513:$E$522)*(AR$3&lt;='Gastos com Pessoal'!$F$513:$F$522)*(IF('Gastos com Pessoal'!$Y$513:$Y$522&lt;=AR$3,1,0))*OFFSET('Gastos com Pessoal'!$H$512,1,MATCH(4&amp;$B52,'Gastos com Pessoal'!$I$532:$AJ$532&amp;'Gastos com Pessoal'!$I$512:$AJ$512,0),10,1)),0)+_xlfn.IFNA(SUM((AR$3&gt;='Gastos com Pessoal'!$E$513:$E$522)*(AR$3&lt;='Gastos com Pessoal'!$F$513:$F$522)*(IF('Gastos com Pessoal'!$AE$513:$AE$522&lt;=AR$3,1,0))*OFFSET('Gastos com Pessoal'!$H$512,1,MATCH(5&amp;$B52,'Gastos com Pessoal'!$I$532:$AJ$532&amp;'Gastos com Pessoal'!$I$512:$AJ$512,0),10,1)),0)</f>
        <v>5040</v>
      </c>
      <c r="AS52" s="188">
        <f t="array" aca="1" ref="AS52" ca="1">_xlfn.IFNA(SUM((AS$3&gt;='Gastos com Pessoal'!$E$7:$E$506)*(AS$3&lt;='Gastos com Pessoal'!$F$7:$F$506)*OFFSET('Encargos e Benefícios'!$D$5,1,MATCH($B52,'Encargos e Benefícios'!$E$5:$AB$5,0),500,1)),0)+_xlfn.IFNA(SUM((AS$3&gt;='Gastos com Pessoal'!$E$513:$E$522)*(AS$3&lt;='Gastos com Pessoal'!$F$513:$F$522)*OFFSET('Encargos e Benefícios'!$D$511,1,MATCH($B52,'Encargos e Benefícios'!$E$511:$AB$511,0),10,1)),0)+_xlfn.IFNA(SUM((AS$3&gt;='Gastos com Pessoal'!$E$7:$E$506)*(AS$3&lt;='Gastos com Pessoal'!$F$7:$F$506)*(IF('Gastos com Pessoal'!$G$7:$G$506&lt;=AS$3,1,0))*OFFSET('Gastos com Pessoal'!$H$6,1,MATCH(1&amp;$B52,'Gastos com Pessoal'!$I$532:$AJ$532&amp;'Gastos com Pessoal'!$I$6:$AJ$6,0),500,1)),0)+_xlfn.IFNA(SUM((AS$3&gt;='Gastos com Pessoal'!$E$7:$E$506)*(AS$3&lt;='Gastos com Pessoal'!$F$7:$F$506)*(IF('Gastos com Pessoal'!$M$7:$M$506&lt;=AS$3,1,0))*OFFSET('Gastos com Pessoal'!$H$6,1,MATCH(2&amp;$B52,'Gastos com Pessoal'!$I$532:$AJ$532&amp;'Gastos com Pessoal'!$I$6:$AJ$6,0),500,1)),0)+_xlfn.IFNA(SUM((AS$3&gt;='Gastos com Pessoal'!$E$7:$E$506)*(AS$3&lt;='Gastos com Pessoal'!$F$7:$F$506)*(IF('Gastos com Pessoal'!$S$7:$S$506&lt;=AS$3,1,0))*OFFSET('Gastos com Pessoal'!$H$6,1,MATCH(3&amp;$B52,'Gastos com Pessoal'!$I$532:$AJ$532&amp;'Gastos com Pessoal'!$I$6:$AJ$6,0),500,1)),0)+_xlfn.IFNA(SUM((AS$3&gt;='Gastos com Pessoal'!$E$7:$E$506)*(AS$3&lt;='Gastos com Pessoal'!$F$7:$F$506)*(IF('Gastos com Pessoal'!$Y$7:$Y$506&lt;=AS$3,1,0))*OFFSET('Gastos com Pessoal'!$H$6,1,MATCH(4&amp;$B52,'Gastos com Pessoal'!$I$532:$AJ$532&amp;'Gastos com Pessoal'!$I$6:$AJ$6,0),500,1)),0)+_xlfn.IFNA(SUM((AS$3&gt;='Gastos com Pessoal'!$E$7:$E$506)*(AS$3&lt;='Gastos com Pessoal'!$F$7:$F$506)*(IF('Gastos com Pessoal'!$AE$7:$AE$506&lt;=AS$3,1,0))*OFFSET('Gastos com Pessoal'!$H$6,1,MATCH(5&amp;$B52,'Gastos com Pessoal'!$I$532:$AJ$532&amp;'Gastos com Pessoal'!$I$6:$AJ$6,0),500,1)),0)+_xlfn.IFNA(SUM((AS$3&gt;='Gastos com Pessoal'!$E$513:$E$522)*(AS$3&lt;='Gastos com Pessoal'!$F$513:$F$522)*(IF('Gastos com Pessoal'!$G$513:$G$522&lt;=AS$3,1,0))*OFFSET('Gastos com Pessoal'!$H$512,1,MATCH(1&amp;$B52,'Gastos com Pessoal'!$I$532:$AJ$532&amp;'Gastos com Pessoal'!$I$512:$AJ$512,0),10,1)),0)+_xlfn.IFNA(SUM((AS$3&gt;='Gastos com Pessoal'!$E$513:$E$522)*(AS$3&lt;='Gastos com Pessoal'!$F$513:$F$522)*(IF('Gastos com Pessoal'!$M$513:$M$522&lt;=AS$3,1,0))*OFFSET('Gastos com Pessoal'!$H$512,1,MATCH(2&amp;$B52,'Gastos com Pessoal'!$I$532:$AJ$532&amp;'Gastos com Pessoal'!$I$512:$AJ$512,0),10,1)),0)+_xlfn.IFNA(SUM((AS$3&gt;='Gastos com Pessoal'!$E$513:$E$522)*(AS$3&lt;='Gastos com Pessoal'!$F$513:$F$522)*(IF('Gastos com Pessoal'!$S$513:$S$522&lt;=AS$3,1,0))*OFFSET('Gastos com Pessoal'!$H$512,1,MATCH(3&amp;$B52,'Gastos com Pessoal'!$I$532:$AJ$532&amp;'Gastos com Pessoal'!$I$512:$AJ$512,0),10,1)),0)+_xlfn.IFNA(SUM((AS$3&gt;='Gastos com Pessoal'!$E$513:$E$522)*(AS$3&lt;='Gastos com Pessoal'!$F$513:$F$522)*(IF('Gastos com Pessoal'!$Y$513:$Y$522&lt;=AS$3,1,0))*OFFSET('Gastos com Pessoal'!$H$512,1,MATCH(4&amp;$B52,'Gastos com Pessoal'!$I$532:$AJ$532&amp;'Gastos com Pessoal'!$I$512:$AJ$512,0),10,1)),0)+_xlfn.IFNA(SUM((AS$3&gt;='Gastos com Pessoal'!$E$513:$E$522)*(AS$3&lt;='Gastos com Pessoal'!$F$513:$F$522)*(IF('Gastos com Pessoal'!$AE$513:$AE$522&lt;=AS$3,1,0))*OFFSET('Gastos com Pessoal'!$H$512,1,MATCH(5&amp;$B52,'Gastos com Pessoal'!$I$532:$AJ$532&amp;'Gastos com Pessoal'!$I$512:$AJ$512,0),10,1)),0)</f>
        <v>5040</v>
      </c>
      <c r="AT52" s="188">
        <f t="array" aca="1" ref="AT52" ca="1">_xlfn.IFNA(SUM((AT$3&gt;='Gastos com Pessoal'!$E$7:$E$506)*(AT$3&lt;='Gastos com Pessoal'!$F$7:$F$506)*OFFSET('Encargos e Benefícios'!$D$5,1,MATCH($B52,'Encargos e Benefícios'!$E$5:$AB$5,0),500,1)),0)+_xlfn.IFNA(SUM((AT$3&gt;='Gastos com Pessoal'!$E$513:$E$522)*(AT$3&lt;='Gastos com Pessoal'!$F$513:$F$522)*OFFSET('Encargos e Benefícios'!$D$511,1,MATCH($B52,'Encargos e Benefícios'!$E$511:$AB$511,0),10,1)),0)+_xlfn.IFNA(SUM((AT$3&gt;='Gastos com Pessoal'!$E$7:$E$506)*(AT$3&lt;='Gastos com Pessoal'!$F$7:$F$506)*(IF('Gastos com Pessoal'!$G$7:$G$506&lt;=AT$3,1,0))*OFFSET('Gastos com Pessoal'!$H$6,1,MATCH(1&amp;$B52,'Gastos com Pessoal'!$I$532:$AJ$532&amp;'Gastos com Pessoal'!$I$6:$AJ$6,0),500,1)),0)+_xlfn.IFNA(SUM((AT$3&gt;='Gastos com Pessoal'!$E$7:$E$506)*(AT$3&lt;='Gastos com Pessoal'!$F$7:$F$506)*(IF('Gastos com Pessoal'!$M$7:$M$506&lt;=AT$3,1,0))*OFFSET('Gastos com Pessoal'!$H$6,1,MATCH(2&amp;$B52,'Gastos com Pessoal'!$I$532:$AJ$532&amp;'Gastos com Pessoal'!$I$6:$AJ$6,0),500,1)),0)+_xlfn.IFNA(SUM((AT$3&gt;='Gastos com Pessoal'!$E$7:$E$506)*(AT$3&lt;='Gastos com Pessoal'!$F$7:$F$506)*(IF('Gastos com Pessoal'!$S$7:$S$506&lt;=AT$3,1,0))*OFFSET('Gastos com Pessoal'!$H$6,1,MATCH(3&amp;$B52,'Gastos com Pessoal'!$I$532:$AJ$532&amp;'Gastos com Pessoal'!$I$6:$AJ$6,0),500,1)),0)+_xlfn.IFNA(SUM((AT$3&gt;='Gastos com Pessoal'!$E$7:$E$506)*(AT$3&lt;='Gastos com Pessoal'!$F$7:$F$506)*(IF('Gastos com Pessoal'!$Y$7:$Y$506&lt;=AT$3,1,0))*OFFSET('Gastos com Pessoal'!$H$6,1,MATCH(4&amp;$B52,'Gastos com Pessoal'!$I$532:$AJ$532&amp;'Gastos com Pessoal'!$I$6:$AJ$6,0),500,1)),0)+_xlfn.IFNA(SUM((AT$3&gt;='Gastos com Pessoal'!$E$7:$E$506)*(AT$3&lt;='Gastos com Pessoal'!$F$7:$F$506)*(IF('Gastos com Pessoal'!$AE$7:$AE$506&lt;=AT$3,1,0))*OFFSET('Gastos com Pessoal'!$H$6,1,MATCH(5&amp;$B52,'Gastos com Pessoal'!$I$532:$AJ$532&amp;'Gastos com Pessoal'!$I$6:$AJ$6,0),500,1)),0)+_xlfn.IFNA(SUM((AT$3&gt;='Gastos com Pessoal'!$E$513:$E$522)*(AT$3&lt;='Gastos com Pessoal'!$F$513:$F$522)*(IF('Gastos com Pessoal'!$G$513:$G$522&lt;=AT$3,1,0))*OFFSET('Gastos com Pessoal'!$H$512,1,MATCH(1&amp;$B52,'Gastos com Pessoal'!$I$532:$AJ$532&amp;'Gastos com Pessoal'!$I$512:$AJ$512,0),10,1)),0)+_xlfn.IFNA(SUM((AT$3&gt;='Gastos com Pessoal'!$E$513:$E$522)*(AT$3&lt;='Gastos com Pessoal'!$F$513:$F$522)*(IF('Gastos com Pessoal'!$M$513:$M$522&lt;=AT$3,1,0))*OFFSET('Gastos com Pessoal'!$H$512,1,MATCH(2&amp;$B52,'Gastos com Pessoal'!$I$532:$AJ$532&amp;'Gastos com Pessoal'!$I$512:$AJ$512,0),10,1)),0)+_xlfn.IFNA(SUM((AT$3&gt;='Gastos com Pessoal'!$E$513:$E$522)*(AT$3&lt;='Gastos com Pessoal'!$F$513:$F$522)*(IF('Gastos com Pessoal'!$S$513:$S$522&lt;=AT$3,1,0))*OFFSET('Gastos com Pessoal'!$H$512,1,MATCH(3&amp;$B52,'Gastos com Pessoal'!$I$532:$AJ$532&amp;'Gastos com Pessoal'!$I$512:$AJ$512,0),10,1)),0)+_xlfn.IFNA(SUM((AT$3&gt;='Gastos com Pessoal'!$E$513:$E$522)*(AT$3&lt;='Gastos com Pessoal'!$F$513:$F$522)*(IF('Gastos com Pessoal'!$Y$513:$Y$522&lt;=AT$3,1,0))*OFFSET('Gastos com Pessoal'!$H$512,1,MATCH(4&amp;$B52,'Gastos com Pessoal'!$I$532:$AJ$532&amp;'Gastos com Pessoal'!$I$512:$AJ$512,0),10,1)),0)+_xlfn.IFNA(SUM((AT$3&gt;='Gastos com Pessoal'!$E$513:$E$522)*(AT$3&lt;='Gastos com Pessoal'!$F$513:$F$522)*(IF('Gastos com Pessoal'!$AE$513:$AE$522&lt;=AT$3,1,0))*OFFSET('Gastos com Pessoal'!$H$512,1,MATCH(5&amp;$B52,'Gastos com Pessoal'!$I$532:$AJ$532&amp;'Gastos com Pessoal'!$I$512:$AJ$512,0),10,1)),0)</f>
        <v>5040</v>
      </c>
      <c r="AU52" s="188">
        <f t="array" aca="1" ref="AU52" ca="1">_xlfn.IFNA(SUM((AU$3&gt;='Gastos com Pessoal'!$E$7:$E$506)*(AU$3&lt;='Gastos com Pessoal'!$F$7:$F$506)*OFFSET('Encargos e Benefícios'!$D$5,1,MATCH($B52,'Encargos e Benefícios'!$E$5:$AB$5,0),500,1)),0)+_xlfn.IFNA(SUM((AU$3&gt;='Gastos com Pessoal'!$E$513:$E$522)*(AU$3&lt;='Gastos com Pessoal'!$F$513:$F$522)*OFFSET('Encargos e Benefícios'!$D$511,1,MATCH($B52,'Encargos e Benefícios'!$E$511:$AB$511,0),10,1)),0)+_xlfn.IFNA(SUM((AU$3&gt;='Gastos com Pessoal'!$E$7:$E$506)*(AU$3&lt;='Gastos com Pessoal'!$F$7:$F$506)*(IF('Gastos com Pessoal'!$G$7:$G$506&lt;=AU$3,1,0))*OFFSET('Gastos com Pessoal'!$H$6,1,MATCH(1&amp;$B52,'Gastos com Pessoal'!$I$532:$AJ$532&amp;'Gastos com Pessoal'!$I$6:$AJ$6,0),500,1)),0)+_xlfn.IFNA(SUM((AU$3&gt;='Gastos com Pessoal'!$E$7:$E$506)*(AU$3&lt;='Gastos com Pessoal'!$F$7:$F$506)*(IF('Gastos com Pessoal'!$M$7:$M$506&lt;=AU$3,1,0))*OFFSET('Gastos com Pessoal'!$H$6,1,MATCH(2&amp;$B52,'Gastos com Pessoal'!$I$532:$AJ$532&amp;'Gastos com Pessoal'!$I$6:$AJ$6,0),500,1)),0)+_xlfn.IFNA(SUM((AU$3&gt;='Gastos com Pessoal'!$E$7:$E$506)*(AU$3&lt;='Gastos com Pessoal'!$F$7:$F$506)*(IF('Gastos com Pessoal'!$S$7:$S$506&lt;=AU$3,1,0))*OFFSET('Gastos com Pessoal'!$H$6,1,MATCH(3&amp;$B52,'Gastos com Pessoal'!$I$532:$AJ$532&amp;'Gastos com Pessoal'!$I$6:$AJ$6,0),500,1)),0)+_xlfn.IFNA(SUM((AU$3&gt;='Gastos com Pessoal'!$E$7:$E$506)*(AU$3&lt;='Gastos com Pessoal'!$F$7:$F$506)*(IF('Gastos com Pessoal'!$Y$7:$Y$506&lt;=AU$3,1,0))*OFFSET('Gastos com Pessoal'!$H$6,1,MATCH(4&amp;$B52,'Gastos com Pessoal'!$I$532:$AJ$532&amp;'Gastos com Pessoal'!$I$6:$AJ$6,0),500,1)),0)+_xlfn.IFNA(SUM((AU$3&gt;='Gastos com Pessoal'!$E$7:$E$506)*(AU$3&lt;='Gastos com Pessoal'!$F$7:$F$506)*(IF('Gastos com Pessoal'!$AE$7:$AE$506&lt;=AU$3,1,0))*OFFSET('Gastos com Pessoal'!$H$6,1,MATCH(5&amp;$B52,'Gastos com Pessoal'!$I$532:$AJ$532&amp;'Gastos com Pessoal'!$I$6:$AJ$6,0),500,1)),0)+_xlfn.IFNA(SUM((AU$3&gt;='Gastos com Pessoal'!$E$513:$E$522)*(AU$3&lt;='Gastos com Pessoal'!$F$513:$F$522)*(IF('Gastos com Pessoal'!$G$513:$G$522&lt;=AU$3,1,0))*OFFSET('Gastos com Pessoal'!$H$512,1,MATCH(1&amp;$B52,'Gastos com Pessoal'!$I$532:$AJ$532&amp;'Gastos com Pessoal'!$I$512:$AJ$512,0),10,1)),0)+_xlfn.IFNA(SUM((AU$3&gt;='Gastos com Pessoal'!$E$513:$E$522)*(AU$3&lt;='Gastos com Pessoal'!$F$513:$F$522)*(IF('Gastos com Pessoal'!$M$513:$M$522&lt;=AU$3,1,0))*OFFSET('Gastos com Pessoal'!$H$512,1,MATCH(2&amp;$B52,'Gastos com Pessoal'!$I$532:$AJ$532&amp;'Gastos com Pessoal'!$I$512:$AJ$512,0),10,1)),0)+_xlfn.IFNA(SUM((AU$3&gt;='Gastos com Pessoal'!$E$513:$E$522)*(AU$3&lt;='Gastos com Pessoal'!$F$513:$F$522)*(IF('Gastos com Pessoal'!$S$513:$S$522&lt;=AU$3,1,0))*OFFSET('Gastos com Pessoal'!$H$512,1,MATCH(3&amp;$B52,'Gastos com Pessoal'!$I$532:$AJ$532&amp;'Gastos com Pessoal'!$I$512:$AJ$512,0),10,1)),0)+_xlfn.IFNA(SUM((AU$3&gt;='Gastos com Pessoal'!$E$513:$E$522)*(AU$3&lt;='Gastos com Pessoal'!$F$513:$F$522)*(IF('Gastos com Pessoal'!$Y$513:$Y$522&lt;=AU$3,1,0))*OFFSET('Gastos com Pessoal'!$H$512,1,MATCH(4&amp;$B52,'Gastos com Pessoal'!$I$532:$AJ$532&amp;'Gastos com Pessoal'!$I$512:$AJ$512,0),10,1)),0)+_xlfn.IFNA(SUM((AU$3&gt;='Gastos com Pessoal'!$E$513:$E$522)*(AU$3&lt;='Gastos com Pessoal'!$F$513:$F$522)*(IF('Gastos com Pessoal'!$AE$513:$AE$522&lt;=AU$3,1,0))*OFFSET('Gastos com Pessoal'!$H$512,1,MATCH(5&amp;$B52,'Gastos com Pessoal'!$I$532:$AJ$532&amp;'Gastos com Pessoal'!$I$512:$AJ$512,0),10,1)),0)</f>
        <v>5040</v>
      </c>
      <c r="AV52" s="188">
        <f t="array" aca="1" ref="AV52" ca="1">_xlfn.IFNA(SUM((AV$3&gt;='Gastos com Pessoal'!$E$7:$E$506)*(AV$3&lt;='Gastos com Pessoal'!$F$7:$F$506)*OFFSET('Encargos e Benefícios'!$D$5,1,MATCH($B52,'Encargos e Benefícios'!$E$5:$AB$5,0),500,1)),0)+_xlfn.IFNA(SUM((AV$3&gt;='Gastos com Pessoal'!$E$513:$E$522)*(AV$3&lt;='Gastos com Pessoal'!$F$513:$F$522)*OFFSET('Encargos e Benefícios'!$D$511,1,MATCH($B52,'Encargos e Benefícios'!$E$511:$AB$511,0),10,1)),0)+_xlfn.IFNA(SUM((AV$3&gt;='Gastos com Pessoal'!$E$7:$E$506)*(AV$3&lt;='Gastos com Pessoal'!$F$7:$F$506)*(IF('Gastos com Pessoal'!$G$7:$G$506&lt;=AV$3,1,0))*OFFSET('Gastos com Pessoal'!$H$6,1,MATCH(1&amp;$B52,'Gastos com Pessoal'!$I$532:$AJ$532&amp;'Gastos com Pessoal'!$I$6:$AJ$6,0),500,1)),0)+_xlfn.IFNA(SUM((AV$3&gt;='Gastos com Pessoal'!$E$7:$E$506)*(AV$3&lt;='Gastos com Pessoal'!$F$7:$F$506)*(IF('Gastos com Pessoal'!$M$7:$M$506&lt;=AV$3,1,0))*OFFSET('Gastos com Pessoal'!$H$6,1,MATCH(2&amp;$B52,'Gastos com Pessoal'!$I$532:$AJ$532&amp;'Gastos com Pessoal'!$I$6:$AJ$6,0),500,1)),0)+_xlfn.IFNA(SUM((AV$3&gt;='Gastos com Pessoal'!$E$7:$E$506)*(AV$3&lt;='Gastos com Pessoal'!$F$7:$F$506)*(IF('Gastos com Pessoal'!$S$7:$S$506&lt;=AV$3,1,0))*OFFSET('Gastos com Pessoal'!$H$6,1,MATCH(3&amp;$B52,'Gastos com Pessoal'!$I$532:$AJ$532&amp;'Gastos com Pessoal'!$I$6:$AJ$6,0),500,1)),0)+_xlfn.IFNA(SUM((AV$3&gt;='Gastos com Pessoal'!$E$7:$E$506)*(AV$3&lt;='Gastos com Pessoal'!$F$7:$F$506)*(IF('Gastos com Pessoal'!$Y$7:$Y$506&lt;=AV$3,1,0))*OFFSET('Gastos com Pessoal'!$H$6,1,MATCH(4&amp;$B52,'Gastos com Pessoal'!$I$532:$AJ$532&amp;'Gastos com Pessoal'!$I$6:$AJ$6,0),500,1)),0)+_xlfn.IFNA(SUM((AV$3&gt;='Gastos com Pessoal'!$E$7:$E$506)*(AV$3&lt;='Gastos com Pessoal'!$F$7:$F$506)*(IF('Gastos com Pessoal'!$AE$7:$AE$506&lt;=AV$3,1,0))*OFFSET('Gastos com Pessoal'!$H$6,1,MATCH(5&amp;$B52,'Gastos com Pessoal'!$I$532:$AJ$532&amp;'Gastos com Pessoal'!$I$6:$AJ$6,0),500,1)),0)+_xlfn.IFNA(SUM((AV$3&gt;='Gastos com Pessoal'!$E$513:$E$522)*(AV$3&lt;='Gastos com Pessoal'!$F$513:$F$522)*(IF('Gastos com Pessoal'!$G$513:$G$522&lt;=AV$3,1,0))*OFFSET('Gastos com Pessoal'!$H$512,1,MATCH(1&amp;$B52,'Gastos com Pessoal'!$I$532:$AJ$532&amp;'Gastos com Pessoal'!$I$512:$AJ$512,0),10,1)),0)+_xlfn.IFNA(SUM((AV$3&gt;='Gastos com Pessoal'!$E$513:$E$522)*(AV$3&lt;='Gastos com Pessoal'!$F$513:$F$522)*(IF('Gastos com Pessoal'!$M$513:$M$522&lt;=AV$3,1,0))*OFFSET('Gastos com Pessoal'!$H$512,1,MATCH(2&amp;$B52,'Gastos com Pessoal'!$I$532:$AJ$532&amp;'Gastos com Pessoal'!$I$512:$AJ$512,0),10,1)),0)+_xlfn.IFNA(SUM((AV$3&gt;='Gastos com Pessoal'!$E$513:$E$522)*(AV$3&lt;='Gastos com Pessoal'!$F$513:$F$522)*(IF('Gastos com Pessoal'!$S$513:$S$522&lt;=AV$3,1,0))*OFFSET('Gastos com Pessoal'!$H$512,1,MATCH(3&amp;$B52,'Gastos com Pessoal'!$I$532:$AJ$532&amp;'Gastos com Pessoal'!$I$512:$AJ$512,0),10,1)),0)+_xlfn.IFNA(SUM((AV$3&gt;='Gastos com Pessoal'!$E$513:$E$522)*(AV$3&lt;='Gastos com Pessoal'!$F$513:$F$522)*(IF('Gastos com Pessoal'!$Y$513:$Y$522&lt;=AV$3,1,0))*OFFSET('Gastos com Pessoal'!$H$512,1,MATCH(4&amp;$B52,'Gastos com Pessoal'!$I$532:$AJ$532&amp;'Gastos com Pessoal'!$I$512:$AJ$512,0),10,1)),0)+_xlfn.IFNA(SUM((AV$3&gt;='Gastos com Pessoal'!$E$513:$E$522)*(AV$3&lt;='Gastos com Pessoal'!$F$513:$F$522)*(IF('Gastos com Pessoal'!$AE$513:$AE$522&lt;=AV$3,1,0))*OFFSET('Gastos com Pessoal'!$H$512,1,MATCH(5&amp;$B52,'Gastos com Pessoal'!$I$532:$AJ$532&amp;'Gastos com Pessoal'!$I$512:$AJ$512,0),10,1)),0)</f>
        <v>5040</v>
      </c>
      <c r="AW52" s="188">
        <f t="array" aca="1" ref="AW52" ca="1">_xlfn.IFNA(SUM((AW$3&gt;='Gastos com Pessoal'!$E$7:$E$506)*(AW$3&lt;='Gastos com Pessoal'!$F$7:$F$506)*OFFSET('Encargos e Benefícios'!$D$5,1,MATCH($B52,'Encargos e Benefícios'!$E$5:$AB$5,0),500,1)),0)+_xlfn.IFNA(SUM((AW$3&gt;='Gastos com Pessoal'!$E$513:$E$522)*(AW$3&lt;='Gastos com Pessoal'!$F$513:$F$522)*OFFSET('Encargos e Benefícios'!$D$511,1,MATCH($B52,'Encargos e Benefícios'!$E$511:$AB$511,0),10,1)),0)+_xlfn.IFNA(SUM((AW$3&gt;='Gastos com Pessoal'!$E$7:$E$506)*(AW$3&lt;='Gastos com Pessoal'!$F$7:$F$506)*(IF('Gastos com Pessoal'!$G$7:$G$506&lt;=AW$3,1,0))*OFFSET('Gastos com Pessoal'!$H$6,1,MATCH(1&amp;$B52,'Gastos com Pessoal'!$I$532:$AJ$532&amp;'Gastos com Pessoal'!$I$6:$AJ$6,0),500,1)),0)+_xlfn.IFNA(SUM((AW$3&gt;='Gastos com Pessoal'!$E$7:$E$506)*(AW$3&lt;='Gastos com Pessoal'!$F$7:$F$506)*(IF('Gastos com Pessoal'!$M$7:$M$506&lt;=AW$3,1,0))*OFFSET('Gastos com Pessoal'!$H$6,1,MATCH(2&amp;$B52,'Gastos com Pessoal'!$I$532:$AJ$532&amp;'Gastos com Pessoal'!$I$6:$AJ$6,0),500,1)),0)+_xlfn.IFNA(SUM((AW$3&gt;='Gastos com Pessoal'!$E$7:$E$506)*(AW$3&lt;='Gastos com Pessoal'!$F$7:$F$506)*(IF('Gastos com Pessoal'!$S$7:$S$506&lt;=AW$3,1,0))*OFFSET('Gastos com Pessoal'!$H$6,1,MATCH(3&amp;$B52,'Gastos com Pessoal'!$I$532:$AJ$532&amp;'Gastos com Pessoal'!$I$6:$AJ$6,0),500,1)),0)+_xlfn.IFNA(SUM((AW$3&gt;='Gastos com Pessoal'!$E$7:$E$506)*(AW$3&lt;='Gastos com Pessoal'!$F$7:$F$506)*(IF('Gastos com Pessoal'!$Y$7:$Y$506&lt;=AW$3,1,0))*OFFSET('Gastos com Pessoal'!$H$6,1,MATCH(4&amp;$B52,'Gastos com Pessoal'!$I$532:$AJ$532&amp;'Gastos com Pessoal'!$I$6:$AJ$6,0),500,1)),0)+_xlfn.IFNA(SUM((AW$3&gt;='Gastos com Pessoal'!$E$7:$E$506)*(AW$3&lt;='Gastos com Pessoal'!$F$7:$F$506)*(IF('Gastos com Pessoal'!$AE$7:$AE$506&lt;=AW$3,1,0))*OFFSET('Gastos com Pessoal'!$H$6,1,MATCH(5&amp;$B52,'Gastos com Pessoal'!$I$532:$AJ$532&amp;'Gastos com Pessoal'!$I$6:$AJ$6,0),500,1)),0)+_xlfn.IFNA(SUM((AW$3&gt;='Gastos com Pessoal'!$E$513:$E$522)*(AW$3&lt;='Gastos com Pessoal'!$F$513:$F$522)*(IF('Gastos com Pessoal'!$G$513:$G$522&lt;=AW$3,1,0))*OFFSET('Gastos com Pessoal'!$H$512,1,MATCH(1&amp;$B52,'Gastos com Pessoal'!$I$532:$AJ$532&amp;'Gastos com Pessoal'!$I$512:$AJ$512,0),10,1)),0)+_xlfn.IFNA(SUM((AW$3&gt;='Gastos com Pessoal'!$E$513:$E$522)*(AW$3&lt;='Gastos com Pessoal'!$F$513:$F$522)*(IF('Gastos com Pessoal'!$M$513:$M$522&lt;=AW$3,1,0))*OFFSET('Gastos com Pessoal'!$H$512,1,MATCH(2&amp;$B52,'Gastos com Pessoal'!$I$532:$AJ$532&amp;'Gastos com Pessoal'!$I$512:$AJ$512,0),10,1)),0)+_xlfn.IFNA(SUM((AW$3&gt;='Gastos com Pessoal'!$E$513:$E$522)*(AW$3&lt;='Gastos com Pessoal'!$F$513:$F$522)*(IF('Gastos com Pessoal'!$S$513:$S$522&lt;=AW$3,1,0))*OFFSET('Gastos com Pessoal'!$H$512,1,MATCH(3&amp;$B52,'Gastos com Pessoal'!$I$532:$AJ$532&amp;'Gastos com Pessoal'!$I$512:$AJ$512,0),10,1)),0)+_xlfn.IFNA(SUM((AW$3&gt;='Gastos com Pessoal'!$E$513:$E$522)*(AW$3&lt;='Gastos com Pessoal'!$F$513:$F$522)*(IF('Gastos com Pessoal'!$Y$513:$Y$522&lt;=AW$3,1,0))*OFFSET('Gastos com Pessoal'!$H$512,1,MATCH(4&amp;$B52,'Gastos com Pessoal'!$I$532:$AJ$532&amp;'Gastos com Pessoal'!$I$512:$AJ$512,0),10,1)),0)+_xlfn.IFNA(SUM((AW$3&gt;='Gastos com Pessoal'!$E$513:$E$522)*(AW$3&lt;='Gastos com Pessoal'!$F$513:$F$522)*(IF('Gastos com Pessoal'!$AE$513:$AE$522&lt;=AW$3,1,0))*OFFSET('Gastos com Pessoal'!$H$512,1,MATCH(5&amp;$B52,'Gastos com Pessoal'!$I$532:$AJ$532&amp;'Gastos com Pessoal'!$I$512:$AJ$512,0),10,1)),0)</f>
        <v>5040</v>
      </c>
      <c r="AX52" s="188">
        <f t="array" aca="1" ref="AX52" ca="1">_xlfn.IFNA(SUM((AX$3&gt;='Gastos com Pessoal'!$E$7:$E$506)*(AX$3&lt;='Gastos com Pessoal'!$F$7:$F$506)*OFFSET('Encargos e Benefícios'!$D$5,1,MATCH($B52,'Encargos e Benefícios'!$E$5:$AB$5,0),500,1)),0)+_xlfn.IFNA(SUM((AX$3&gt;='Gastos com Pessoal'!$E$513:$E$522)*(AX$3&lt;='Gastos com Pessoal'!$F$513:$F$522)*OFFSET('Encargos e Benefícios'!$D$511,1,MATCH($B52,'Encargos e Benefícios'!$E$511:$AB$511,0),10,1)),0)+_xlfn.IFNA(SUM((AX$3&gt;='Gastos com Pessoal'!$E$7:$E$506)*(AX$3&lt;='Gastos com Pessoal'!$F$7:$F$506)*(IF('Gastos com Pessoal'!$G$7:$G$506&lt;=AX$3,1,0))*OFFSET('Gastos com Pessoal'!$H$6,1,MATCH(1&amp;$B52,'Gastos com Pessoal'!$I$532:$AJ$532&amp;'Gastos com Pessoal'!$I$6:$AJ$6,0),500,1)),0)+_xlfn.IFNA(SUM((AX$3&gt;='Gastos com Pessoal'!$E$7:$E$506)*(AX$3&lt;='Gastos com Pessoal'!$F$7:$F$506)*(IF('Gastos com Pessoal'!$M$7:$M$506&lt;=AX$3,1,0))*OFFSET('Gastos com Pessoal'!$H$6,1,MATCH(2&amp;$B52,'Gastos com Pessoal'!$I$532:$AJ$532&amp;'Gastos com Pessoal'!$I$6:$AJ$6,0),500,1)),0)+_xlfn.IFNA(SUM((AX$3&gt;='Gastos com Pessoal'!$E$7:$E$506)*(AX$3&lt;='Gastos com Pessoal'!$F$7:$F$506)*(IF('Gastos com Pessoal'!$S$7:$S$506&lt;=AX$3,1,0))*OFFSET('Gastos com Pessoal'!$H$6,1,MATCH(3&amp;$B52,'Gastos com Pessoal'!$I$532:$AJ$532&amp;'Gastos com Pessoal'!$I$6:$AJ$6,0),500,1)),0)+_xlfn.IFNA(SUM((AX$3&gt;='Gastos com Pessoal'!$E$7:$E$506)*(AX$3&lt;='Gastos com Pessoal'!$F$7:$F$506)*(IF('Gastos com Pessoal'!$Y$7:$Y$506&lt;=AX$3,1,0))*OFFSET('Gastos com Pessoal'!$H$6,1,MATCH(4&amp;$B52,'Gastos com Pessoal'!$I$532:$AJ$532&amp;'Gastos com Pessoal'!$I$6:$AJ$6,0),500,1)),0)+_xlfn.IFNA(SUM((AX$3&gt;='Gastos com Pessoal'!$E$7:$E$506)*(AX$3&lt;='Gastos com Pessoal'!$F$7:$F$506)*(IF('Gastos com Pessoal'!$AE$7:$AE$506&lt;=AX$3,1,0))*OFFSET('Gastos com Pessoal'!$H$6,1,MATCH(5&amp;$B52,'Gastos com Pessoal'!$I$532:$AJ$532&amp;'Gastos com Pessoal'!$I$6:$AJ$6,0),500,1)),0)+_xlfn.IFNA(SUM((AX$3&gt;='Gastos com Pessoal'!$E$513:$E$522)*(AX$3&lt;='Gastos com Pessoal'!$F$513:$F$522)*(IF('Gastos com Pessoal'!$G$513:$G$522&lt;=AX$3,1,0))*OFFSET('Gastos com Pessoal'!$H$512,1,MATCH(1&amp;$B52,'Gastos com Pessoal'!$I$532:$AJ$532&amp;'Gastos com Pessoal'!$I$512:$AJ$512,0),10,1)),0)+_xlfn.IFNA(SUM((AX$3&gt;='Gastos com Pessoal'!$E$513:$E$522)*(AX$3&lt;='Gastos com Pessoal'!$F$513:$F$522)*(IF('Gastos com Pessoal'!$M$513:$M$522&lt;=AX$3,1,0))*OFFSET('Gastos com Pessoal'!$H$512,1,MATCH(2&amp;$B52,'Gastos com Pessoal'!$I$532:$AJ$532&amp;'Gastos com Pessoal'!$I$512:$AJ$512,0),10,1)),0)+_xlfn.IFNA(SUM((AX$3&gt;='Gastos com Pessoal'!$E$513:$E$522)*(AX$3&lt;='Gastos com Pessoal'!$F$513:$F$522)*(IF('Gastos com Pessoal'!$S$513:$S$522&lt;=AX$3,1,0))*OFFSET('Gastos com Pessoal'!$H$512,1,MATCH(3&amp;$B52,'Gastos com Pessoal'!$I$532:$AJ$532&amp;'Gastos com Pessoal'!$I$512:$AJ$512,0),10,1)),0)+_xlfn.IFNA(SUM((AX$3&gt;='Gastos com Pessoal'!$E$513:$E$522)*(AX$3&lt;='Gastos com Pessoal'!$F$513:$F$522)*(IF('Gastos com Pessoal'!$Y$513:$Y$522&lt;=AX$3,1,0))*OFFSET('Gastos com Pessoal'!$H$512,1,MATCH(4&amp;$B52,'Gastos com Pessoal'!$I$532:$AJ$532&amp;'Gastos com Pessoal'!$I$512:$AJ$512,0),10,1)),0)+_xlfn.IFNA(SUM((AX$3&gt;='Gastos com Pessoal'!$E$513:$E$522)*(AX$3&lt;='Gastos com Pessoal'!$F$513:$F$522)*(IF('Gastos com Pessoal'!$AE$513:$AE$522&lt;=AX$3,1,0))*OFFSET('Gastos com Pessoal'!$H$512,1,MATCH(5&amp;$B52,'Gastos com Pessoal'!$I$532:$AJ$532&amp;'Gastos com Pessoal'!$I$512:$AJ$512,0),10,1)),0)</f>
        <v>5040</v>
      </c>
      <c r="AY52" s="188">
        <f t="array" aca="1" ref="AY52" ca="1">_xlfn.IFNA(SUM((AY$3&gt;='Gastos com Pessoal'!$E$7:$E$506)*(AY$3&lt;='Gastos com Pessoal'!$F$7:$F$506)*OFFSET('Encargos e Benefícios'!$D$5,1,MATCH($B52,'Encargos e Benefícios'!$E$5:$AB$5,0),500,1)),0)+_xlfn.IFNA(SUM((AY$3&gt;='Gastos com Pessoal'!$E$513:$E$522)*(AY$3&lt;='Gastos com Pessoal'!$F$513:$F$522)*OFFSET('Encargos e Benefícios'!$D$511,1,MATCH($B52,'Encargos e Benefícios'!$E$511:$AB$511,0),10,1)),0)+_xlfn.IFNA(SUM((AY$3&gt;='Gastos com Pessoal'!$E$7:$E$506)*(AY$3&lt;='Gastos com Pessoal'!$F$7:$F$506)*(IF('Gastos com Pessoal'!$G$7:$G$506&lt;=AY$3,1,0))*OFFSET('Gastos com Pessoal'!$H$6,1,MATCH(1&amp;$B52,'Gastos com Pessoal'!$I$532:$AJ$532&amp;'Gastos com Pessoal'!$I$6:$AJ$6,0),500,1)),0)+_xlfn.IFNA(SUM((AY$3&gt;='Gastos com Pessoal'!$E$7:$E$506)*(AY$3&lt;='Gastos com Pessoal'!$F$7:$F$506)*(IF('Gastos com Pessoal'!$M$7:$M$506&lt;=AY$3,1,0))*OFFSET('Gastos com Pessoal'!$H$6,1,MATCH(2&amp;$B52,'Gastos com Pessoal'!$I$532:$AJ$532&amp;'Gastos com Pessoal'!$I$6:$AJ$6,0),500,1)),0)+_xlfn.IFNA(SUM((AY$3&gt;='Gastos com Pessoal'!$E$7:$E$506)*(AY$3&lt;='Gastos com Pessoal'!$F$7:$F$506)*(IF('Gastos com Pessoal'!$S$7:$S$506&lt;=AY$3,1,0))*OFFSET('Gastos com Pessoal'!$H$6,1,MATCH(3&amp;$B52,'Gastos com Pessoal'!$I$532:$AJ$532&amp;'Gastos com Pessoal'!$I$6:$AJ$6,0),500,1)),0)+_xlfn.IFNA(SUM((AY$3&gt;='Gastos com Pessoal'!$E$7:$E$506)*(AY$3&lt;='Gastos com Pessoal'!$F$7:$F$506)*(IF('Gastos com Pessoal'!$Y$7:$Y$506&lt;=AY$3,1,0))*OFFSET('Gastos com Pessoal'!$H$6,1,MATCH(4&amp;$B52,'Gastos com Pessoal'!$I$532:$AJ$532&amp;'Gastos com Pessoal'!$I$6:$AJ$6,0),500,1)),0)+_xlfn.IFNA(SUM((AY$3&gt;='Gastos com Pessoal'!$E$7:$E$506)*(AY$3&lt;='Gastos com Pessoal'!$F$7:$F$506)*(IF('Gastos com Pessoal'!$AE$7:$AE$506&lt;=AY$3,1,0))*OFFSET('Gastos com Pessoal'!$H$6,1,MATCH(5&amp;$B52,'Gastos com Pessoal'!$I$532:$AJ$532&amp;'Gastos com Pessoal'!$I$6:$AJ$6,0),500,1)),0)+_xlfn.IFNA(SUM((AY$3&gt;='Gastos com Pessoal'!$E$513:$E$522)*(AY$3&lt;='Gastos com Pessoal'!$F$513:$F$522)*(IF('Gastos com Pessoal'!$G$513:$G$522&lt;=AY$3,1,0))*OFFSET('Gastos com Pessoal'!$H$512,1,MATCH(1&amp;$B52,'Gastos com Pessoal'!$I$532:$AJ$532&amp;'Gastos com Pessoal'!$I$512:$AJ$512,0),10,1)),0)+_xlfn.IFNA(SUM((AY$3&gt;='Gastos com Pessoal'!$E$513:$E$522)*(AY$3&lt;='Gastos com Pessoal'!$F$513:$F$522)*(IF('Gastos com Pessoal'!$M$513:$M$522&lt;=AY$3,1,0))*OFFSET('Gastos com Pessoal'!$H$512,1,MATCH(2&amp;$B52,'Gastos com Pessoal'!$I$532:$AJ$532&amp;'Gastos com Pessoal'!$I$512:$AJ$512,0),10,1)),0)+_xlfn.IFNA(SUM((AY$3&gt;='Gastos com Pessoal'!$E$513:$E$522)*(AY$3&lt;='Gastos com Pessoal'!$F$513:$F$522)*(IF('Gastos com Pessoal'!$S$513:$S$522&lt;=AY$3,1,0))*OFFSET('Gastos com Pessoal'!$H$512,1,MATCH(3&amp;$B52,'Gastos com Pessoal'!$I$532:$AJ$532&amp;'Gastos com Pessoal'!$I$512:$AJ$512,0),10,1)),0)+_xlfn.IFNA(SUM((AY$3&gt;='Gastos com Pessoal'!$E$513:$E$522)*(AY$3&lt;='Gastos com Pessoal'!$F$513:$F$522)*(IF('Gastos com Pessoal'!$Y$513:$Y$522&lt;=AY$3,1,0))*OFFSET('Gastos com Pessoal'!$H$512,1,MATCH(4&amp;$B52,'Gastos com Pessoal'!$I$532:$AJ$532&amp;'Gastos com Pessoal'!$I$512:$AJ$512,0),10,1)),0)+_xlfn.IFNA(SUM((AY$3&gt;='Gastos com Pessoal'!$E$513:$E$522)*(AY$3&lt;='Gastos com Pessoal'!$F$513:$F$522)*(IF('Gastos com Pessoal'!$AE$513:$AE$522&lt;=AY$3,1,0))*OFFSET('Gastos com Pessoal'!$H$512,1,MATCH(5&amp;$B52,'Gastos com Pessoal'!$I$532:$AJ$532&amp;'Gastos com Pessoal'!$I$512:$AJ$512,0),10,1)),0)</f>
        <v>5040</v>
      </c>
      <c r="AZ52" s="188">
        <f t="array" aca="1" ref="AZ52" ca="1">_xlfn.IFNA(SUM((AZ$3&gt;='Gastos com Pessoal'!$E$7:$E$506)*(AZ$3&lt;='Gastos com Pessoal'!$F$7:$F$506)*OFFSET('Encargos e Benefícios'!$D$5,1,MATCH($B52,'Encargos e Benefícios'!$E$5:$AB$5,0),500,1)),0)+_xlfn.IFNA(SUM((AZ$3&gt;='Gastos com Pessoal'!$E$513:$E$522)*(AZ$3&lt;='Gastos com Pessoal'!$F$513:$F$522)*OFFSET('Encargos e Benefícios'!$D$511,1,MATCH($B52,'Encargos e Benefícios'!$E$511:$AB$511,0),10,1)),0)+_xlfn.IFNA(SUM((AZ$3&gt;='Gastos com Pessoal'!$E$7:$E$506)*(AZ$3&lt;='Gastos com Pessoal'!$F$7:$F$506)*(IF('Gastos com Pessoal'!$G$7:$G$506&lt;=AZ$3,1,0))*OFFSET('Gastos com Pessoal'!$H$6,1,MATCH(1&amp;$B52,'Gastos com Pessoal'!$I$532:$AJ$532&amp;'Gastos com Pessoal'!$I$6:$AJ$6,0),500,1)),0)+_xlfn.IFNA(SUM((AZ$3&gt;='Gastos com Pessoal'!$E$7:$E$506)*(AZ$3&lt;='Gastos com Pessoal'!$F$7:$F$506)*(IF('Gastos com Pessoal'!$M$7:$M$506&lt;=AZ$3,1,0))*OFFSET('Gastos com Pessoal'!$H$6,1,MATCH(2&amp;$B52,'Gastos com Pessoal'!$I$532:$AJ$532&amp;'Gastos com Pessoal'!$I$6:$AJ$6,0),500,1)),0)+_xlfn.IFNA(SUM((AZ$3&gt;='Gastos com Pessoal'!$E$7:$E$506)*(AZ$3&lt;='Gastos com Pessoal'!$F$7:$F$506)*(IF('Gastos com Pessoal'!$S$7:$S$506&lt;=AZ$3,1,0))*OFFSET('Gastos com Pessoal'!$H$6,1,MATCH(3&amp;$B52,'Gastos com Pessoal'!$I$532:$AJ$532&amp;'Gastos com Pessoal'!$I$6:$AJ$6,0),500,1)),0)+_xlfn.IFNA(SUM((AZ$3&gt;='Gastos com Pessoal'!$E$7:$E$506)*(AZ$3&lt;='Gastos com Pessoal'!$F$7:$F$506)*(IF('Gastos com Pessoal'!$Y$7:$Y$506&lt;=AZ$3,1,0))*OFFSET('Gastos com Pessoal'!$H$6,1,MATCH(4&amp;$B52,'Gastos com Pessoal'!$I$532:$AJ$532&amp;'Gastos com Pessoal'!$I$6:$AJ$6,0),500,1)),0)+_xlfn.IFNA(SUM((AZ$3&gt;='Gastos com Pessoal'!$E$7:$E$506)*(AZ$3&lt;='Gastos com Pessoal'!$F$7:$F$506)*(IF('Gastos com Pessoal'!$AE$7:$AE$506&lt;=AZ$3,1,0))*OFFSET('Gastos com Pessoal'!$H$6,1,MATCH(5&amp;$B52,'Gastos com Pessoal'!$I$532:$AJ$532&amp;'Gastos com Pessoal'!$I$6:$AJ$6,0),500,1)),0)+_xlfn.IFNA(SUM((AZ$3&gt;='Gastos com Pessoal'!$E$513:$E$522)*(AZ$3&lt;='Gastos com Pessoal'!$F$513:$F$522)*(IF('Gastos com Pessoal'!$G$513:$G$522&lt;=AZ$3,1,0))*OFFSET('Gastos com Pessoal'!$H$512,1,MATCH(1&amp;$B52,'Gastos com Pessoal'!$I$532:$AJ$532&amp;'Gastos com Pessoal'!$I$512:$AJ$512,0),10,1)),0)+_xlfn.IFNA(SUM((AZ$3&gt;='Gastos com Pessoal'!$E$513:$E$522)*(AZ$3&lt;='Gastos com Pessoal'!$F$513:$F$522)*(IF('Gastos com Pessoal'!$M$513:$M$522&lt;=AZ$3,1,0))*OFFSET('Gastos com Pessoal'!$H$512,1,MATCH(2&amp;$B52,'Gastos com Pessoal'!$I$532:$AJ$532&amp;'Gastos com Pessoal'!$I$512:$AJ$512,0),10,1)),0)+_xlfn.IFNA(SUM((AZ$3&gt;='Gastos com Pessoal'!$E$513:$E$522)*(AZ$3&lt;='Gastos com Pessoal'!$F$513:$F$522)*(IF('Gastos com Pessoal'!$S$513:$S$522&lt;=AZ$3,1,0))*OFFSET('Gastos com Pessoal'!$H$512,1,MATCH(3&amp;$B52,'Gastos com Pessoal'!$I$532:$AJ$532&amp;'Gastos com Pessoal'!$I$512:$AJ$512,0),10,1)),0)+_xlfn.IFNA(SUM((AZ$3&gt;='Gastos com Pessoal'!$E$513:$E$522)*(AZ$3&lt;='Gastos com Pessoal'!$F$513:$F$522)*(IF('Gastos com Pessoal'!$Y$513:$Y$522&lt;=AZ$3,1,0))*OFFSET('Gastos com Pessoal'!$H$512,1,MATCH(4&amp;$B52,'Gastos com Pessoal'!$I$532:$AJ$532&amp;'Gastos com Pessoal'!$I$512:$AJ$512,0),10,1)),0)+_xlfn.IFNA(SUM((AZ$3&gt;='Gastos com Pessoal'!$E$513:$E$522)*(AZ$3&lt;='Gastos com Pessoal'!$F$513:$F$522)*(IF('Gastos com Pessoal'!$AE$513:$AE$522&lt;=AZ$3,1,0))*OFFSET('Gastos com Pessoal'!$H$512,1,MATCH(5&amp;$B52,'Gastos com Pessoal'!$I$532:$AJ$532&amp;'Gastos com Pessoal'!$I$512:$AJ$512,0),10,1)),0)</f>
        <v>5040</v>
      </c>
      <c r="BA52" s="188">
        <f t="array" aca="1" ref="BA52" ca="1">_xlfn.IFNA(SUM((BA$3&gt;='Gastos com Pessoal'!$E$7:$E$506)*(BA$3&lt;='Gastos com Pessoal'!$F$7:$F$506)*OFFSET('Encargos e Benefícios'!$D$5,1,MATCH($B52,'Encargos e Benefícios'!$E$5:$AB$5,0),500,1)),0)+_xlfn.IFNA(SUM((BA$3&gt;='Gastos com Pessoal'!$E$513:$E$522)*(BA$3&lt;='Gastos com Pessoal'!$F$513:$F$522)*OFFSET('Encargos e Benefícios'!$D$511,1,MATCH($B52,'Encargos e Benefícios'!$E$511:$AB$511,0),10,1)),0)+_xlfn.IFNA(SUM((BA$3&gt;='Gastos com Pessoal'!$E$7:$E$506)*(BA$3&lt;='Gastos com Pessoal'!$F$7:$F$506)*(IF('Gastos com Pessoal'!$G$7:$G$506&lt;=BA$3,1,0))*OFFSET('Gastos com Pessoal'!$H$6,1,MATCH(1&amp;$B52,'Gastos com Pessoal'!$I$532:$AJ$532&amp;'Gastos com Pessoal'!$I$6:$AJ$6,0),500,1)),0)+_xlfn.IFNA(SUM((BA$3&gt;='Gastos com Pessoal'!$E$7:$E$506)*(BA$3&lt;='Gastos com Pessoal'!$F$7:$F$506)*(IF('Gastos com Pessoal'!$M$7:$M$506&lt;=BA$3,1,0))*OFFSET('Gastos com Pessoal'!$H$6,1,MATCH(2&amp;$B52,'Gastos com Pessoal'!$I$532:$AJ$532&amp;'Gastos com Pessoal'!$I$6:$AJ$6,0),500,1)),0)+_xlfn.IFNA(SUM((BA$3&gt;='Gastos com Pessoal'!$E$7:$E$506)*(BA$3&lt;='Gastos com Pessoal'!$F$7:$F$506)*(IF('Gastos com Pessoal'!$S$7:$S$506&lt;=BA$3,1,0))*OFFSET('Gastos com Pessoal'!$H$6,1,MATCH(3&amp;$B52,'Gastos com Pessoal'!$I$532:$AJ$532&amp;'Gastos com Pessoal'!$I$6:$AJ$6,0),500,1)),0)+_xlfn.IFNA(SUM((BA$3&gt;='Gastos com Pessoal'!$E$7:$E$506)*(BA$3&lt;='Gastos com Pessoal'!$F$7:$F$506)*(IF('Gastos com Pessoal'!$Y$7:$Y$506&lt;=BA$3,1,0))*OFFSET('Gastos com Pessoal'!$H$6,1,MATCH(4&amp;$B52,'Gastos com Pessoal'!$I$532:$AJ$532&amp;'Gastos com Pessoal'!$I$6:$AJ$6,0),500,1)),0)+_xlfn.IFNA(SUM((BA$3&gt;='Gastos com Pessoal'!$E$7:$E$506)*(BA$3&lt;='Gastos com Pessoal'!$F$7:$F$506)*(IF('Gastos com Pessoal'!$AE$7:$AE$506&lt;=BA$3,1,0))*OFFSET('Gastos com Pessoal'!$H$6,1,MATCH(5&amp;$B52,'Gastos com Pessoal'!$I$532:$AJ$532&amp;'Gastos com Pessoal'!$I$6:$AJ$6,0),500,1)),0)+_xlfn.IFNA(SUM((BA$3&gt;='Gastos com Pessoal'!$E$513:$E$522)*(BA$3&lt;='Gastos com Pessoal'!$F$513:$F$522)*(IF('Gastos com Pessoal'!$G$513:$G$522&lt;=BA$3,1,0))*OFFSET('Gastos com Pessoal'!$H$512,1,MATCH(1&amp;$B52,'Gastos com Pessoal'!$I$532:$AJ$532&amp;'Gastos com Pessoal'!$I$512:$AJ$512,0),10,1)),0)+_xlfn.IFNA(SUM((BA$3&gt;='Gastos com Pessoal'!$E$513:$E$522)*(BA$3&lt;='Gastos com Pessoal'!$F$513:$F$522)*(IF('Gastos com Pessoal'!$M$513:$M$522&lt;=BA$3,1,0))*OFFSET('Gastos com Pessoal'!$H$512,1,MATCH(2&amp;$B52,'Gastos com Pessoal'!$I$532:$AJ$532&amp;'Gastos com Pessoal'!$I$512:$AJ$512,0),10,1)),0)+_xlfn.IFNA(SUM((BA$3&gt;='Gastos com Pessoal'!$E$513:$E$522)*(BA$3&lt;='Gastos com Pessoal'!$F$513:$F$522)*(IF('Gastos com Pessoal'!$S$513:$S$522&lt;=BA$3,1,0))*OFFSET('Gastos com Pessoal'!$H$512,1,MATCH(3&amp;$B52,'Gastos com Pessoal'!$I$532:$AJ$532&amp;'Gastos com Pessoal'!$I$512:$AJ$512,0),10,1)),0)+_xlfn.IFNA(SUM((BA$3&gt;='Gastos com Pessoal'!$E$513:$E$522)*(BA$3&lt;='Gastos com Pessoal'!$F$513:$F$522)*(IF('Gastos com Pessoal'!$Y$513:$Y$522&lt;=BA$3,1,0))*OFFSET('Gastos com Pessoal'!$H$512,1,MATCH(4&amp;$B52,'Gastos com Pessoal'!$I$532:$AJ$532&amp;'Gastos com Pessoal'!$I$512:$AJ$512,0),10,1)),0)+_xlfn.IFNA(SUM((BA$3&gt;='Gastos com Pessoal'!$E$513:$E$522)*(BA$3&lt;='Gastos com Pessoal'!$F$513:$F$522)*(IF('Gastos com Pessoal'!$AE$513:$AE$522&lt;=BA$3,1,0))*OFFSET('Gastos com Pessoal'!$H$512,1,MATCH(5&amp;$B52,'Gastos com Pessoal'!$I$532:$AJ$532&amp;'Gastos com Pessoal'!$I$512:$AJ$512,0),10,1)),0)</f>
        <v>5040</v>
      </c>
      <c r="BB52" s="188">
        <f t="array" aca="1" ref="BB52" ca="1">_xlfn.IFNA(SUM((BB$3&gt;='Gastos com Pessoal'!$E$7:$E$506)*(BB$3&lt;='Gastos com Pessoal'!$F$7:$F$506)*OFFSET('Encargos e Benefícios'!$D$5,1,MATCH($B52,'Encargos e Benefícios'!$E$5:$AB$5,0),500,1)),0)+_xlfn.IFNA(SUM((BB$3&gt;='Gastos com Pessoal'!$E$513:$E$522)*(BB$3&lt;='Gastos com Pessoal'!$F$513:$F$522)*OFFSET('Encargos e Benefícios'!$D$511,1,MATCH($B52,'Encargos e Benefícios'!$E$511:$AB$511,0),10,1)),0)+_xlfn.IFNA(SUM((BB$3&gt;='Gastos com Pessoal'!$E$7:$E$506)*(BB$3&lt;='Gastos com Pessoal'!$F$7:$F$506)*(IF('Gastos com Pessoal'!$G$7:$G$506&lt;=BB$3,1,0))*OFFSET('Gastos com Pessoal'!$H$6,1,MATCH(1&amp;$B52,'Gastos com Pessoal'!$I$532:$AJ$532&amp;'Gastos com Pessoal'!$I$6:$AJ$6,0),500,1)),0)+_xlfn.IFNA(SUM((BB$3&gt;='Gastos com Pessoal'!$E$7:$E$506)*(BB$3&lt;='Gastos com Pessoal'!$F$7:$F$506)*(IF('Gastos com Pessoal'!$M$7:$M$506&lt;=BB$3,1,0))*OFFSET('Gastos com Pessoal'!$H$6,1,MATCH(2&amp;$B52,'Gastos com Pessoal'!$I$532:$AJ$532&amp;'Gastos com Pessoal'!$I$6:$AJ$6,0),500,1)),0)+_xlfn.IFNA(SUM((BB$3&gt;='Gastos com Pessoal'!$E$7:$E$506)*(BB$3&lt;='Gastos com Pessoal'!$F$7:$F$506)*(IF('Gastos com Pessoal'!$S$7:$S$506&lt;=BB$3,1,0))*OFFSET('Gastos com Pessoal'!$H$6,1,MATCH(3&amp;$B52,'Gastos com Pessoal'!$I$532:$AJ$532&amp;'Gastos com Pessoal'!$I$6:$AJ$6,0),500,1)),0)+_xlfn.IFNA(SUM((BB$3&gt;='Gastos com Pessoal'!$E$7:$E$506)*(BB$3&lt;='Gastos com Pessoal'!$F$7:$F$506)*(IF('Gastos com Pessoal'!$Y$7:$Y$506&lt;=BB$3,1,0))*OFFSET('Gastos com Pessoal'!$H$6,1,MATCH(4&amp;$B52,'Gastos com Pessoal'!$I$532:$AJ$532&amp;'Gastos com Pessoal'!$I$6:$AJ$6,0),500,1)),0)+_xlfn.IFNA(SUM((BB$3&gt;='Gastos com Pessoal'!$E$7:$E$506)*(BB$3&lt;='Gastos com Pessoal'!$F$7:$F$506)*(IF('Gastos com Pessoal'!$AE$7:$AE$506&lt;=BB$3,1,0))*OFFSET('Gastos com Pessoal'!$H$6,1,MATCH(5&amp;$B52,'Gastos com Pessoal'!$I$532:$AJ$532&amp;'Gastos com Pessoal'!$I$6:$AJ$6,0),500,1)),0)+_xlfn.IFNA(SUM((BB$3&gt;='Gastos com Pessoal'!$E$513:$E$522)*(BB$3&lt;='Gastos com Pessoal'!$F$513:$F$522)*(IF('Gastos com Pessoal'!$G$513:$G$522&lt;=BB$3,1,0))*OFFSET('Gastos com Pessoal'!$H$512,1,MATCH(1&amp;$B52,'Gastos com Pessoal'!$I$532:$AJ$532&amp;'Gastos com Pessoal'!$I$512:$AJ$512,0),10,1)),0)+_xlfn.IFNA(SUM((BB$3&gt;='Gastos com Pessoal'!$E$513:$E$522)*(BB$3&lt;='Gastos com Pessoal'!$F$513:$F$522)*(IF('Gastos com Pessoal'!$M$513:$M$522&lt;=BB$3,1,0))*OFFSET('Gastos com Pessoal'!$H$512,1,MATCH(2&amp;$B52,'Gastos com Pessoal'!$I$532:$AJ$532&amp;'Gastos com Pessoal'!$I$512:$AJ$512,0),10,1)),0)+_xlfn.IFNA(SUM((BB$3&gt;='Gastos com Pessoal'!$E$513:$E$522)*(BB$3&lt;='Gastos com Pessoal'!$F$513:$F$522)*(IF('Gastos com Pessoal'!$S$513:$S$522&lt;=BB$3,1,0))*OFFSET('Gastos com Pessoal'!$H$512,1,MATCH(3&amp;$B52,'Gastos com Pessoal'!$I$532:$AJ$532&amp;'Gastos com Pessoal'!$I$512:$AJ$512,0),10,1)),0)+_xlfn.IFNA(SUM((BB$3&gt;='Gastos com Pessoal'!$E$513:$E$522)*(BB$3&lt;='Gastos com Pessoal'!$F$513:$F$522)*(IF('Gastos com Pessoal'!$Y$513:$Y$522&lt;=BB$3,1,0))*OFFSET('Gastos com Pessoal'!$H$512,1,MATCH(4&amp;$B52,'Gastos com Pessoal'!$I$532:$AJ$532&amp;'Gastos com Pessoal'!$I$512:$AJ$512,0),10,1)),0)+_xlfn.IFNA(SUM((BB$3&gt;='Gastos com Pessoal'!$E$513:$E$522)*(BB$3&lt;='Gastos com Pessoal'!$F$513:$F$522)*(IF('Gastos com Pessoal'!$AE$513:$AE$522&lt;=BB$3,1,0))*OFFSET('Gastos com Pessoal'!$H$512,1,MATCH(5&amp;$B52,'Gastos com Pessoal'!$I$532:$AJ$532&amp;'Gastos com Pessoal'!$I$512:$AJ$512,0),10,1)),0)</f>
        <v>5040</v>
      </c>
      <c r="BC52" s="188">
        <f t="array" aca="1" ref="BC52" ca="1">_xlfn.IFNA(SUM((BC$3&gt;='Gastos com Pessoal'!$E$7:$E$506)*(BC$3&lt;='Gastos com Pessoal'!$F$7:$F$506)*OFFSET('Encargos e Benefícios'!$D$5,1,MATCH($B52,'Encargos e Benefícios'!$E$5:$AB$5,0),500,1)),0)+_xlfn.IFNA(SUM((BC$3&gt;='Gastos com Pessoal'!$E$513:$E$522)*(BC$3&lt;='Gastos com Pessoal'!$F$513:$F$522)*OFFSET('Encargos e Benefícios'!$D$511,1,MATCH($B52,'Encargos e Benefícios'!$E$511:$AB$511,0),10,1)),0)+_xlfn.IFNA(SUM((BC$3&gt;='Gastos com Pessoal'!$E$7:$E$506)*(BC$3&lt;='Gastos com Pessoal'!$F$7:$F$506)*(IF('Gastos com Pessoal'!$G$7:$G$506&lt;=BC$3,1,0))*OFFSET('Gastos com Pessoal'!$H$6,1,MATCH(1&amp;$B52,'Gastos com Pessoal'!$I$532:$AJ$532&amp;'Gastos com Pessoal'!$I$6:$AJ$6,0),500,1)),0)+_xlfn.IFNA(SUM((BC$3&gt;='Gastos com Pessoal'!$E$7:$E$506)*(BC$3&lt;='Gastos com Pessoal'!$F$7:$F$506)*(IF('Gastos com Pessoal'!$M$7:$M$506&lt;=BC$3,1,0))*OFFSET('Gastos com Pessoal'!$H$6,1,MATCH(2&amp;$B52,'Gastos com Pessoal'!$I$532:$AJ$532&amp;'Gastos com Pessoal'!$I$6:$AJ$6,0),500,1)),0)+_xlfn.IFNA(SUM((BC$3&gt;='Gastos com Pessoal'!$E$7:$E$506)*(BC$3&lt;='Gastos com Pessoal'!$F$7:$F$506)*(IF('Gastos com Pessoal'!$S$7:$S$506&lt;=BC$3,1,0))*OFFSET('Gastos com Pessoal'!$H$6,1,MATCH(3&amp;$B52,'Gastos com Pessoal'!$I$532:$AJ$532&amp;'Gastos com Pessoal'!$I$6:$AJ$6,0),500,1)),0)+_xlfn.IFNA(SUM((BC$3&gt;='Gastos com Pessoal'!$E$7:$E$506)*(BC$3&lt;='Gastos com Pessoal'!$F$7:$F$506)*(IF('Gastos com Pessoal'!$Y$7:$Y$506&lt;=BC$3,1,0))*OFFSET('Gastos com Pessoal'!$H$6,1,MATCH(4&amp;$B52,'Gastos com Pessoal'!$I$532:$AJ$532&amp;'Gastos com Pessoal'!$I$6:$AJ$6,0),500,1)),0)+_xlfn.IFNA(SUM((BC$3&gt;='Gastos com Pessoal'!$E$7:$E$506)*(BC$3&lt;='Gastos com Pessoal'!$F$7:$F$506)*(IF('Gastos com Pessoal'!$AE$7:$AE$506&lt;=BC$3,1,0))*OFFSET('Gastos com Pessoal'!$H$6,1,MATCH(5&amp;$B52,'Gastos com Pessoal'!$I$532:$AJ$532&amp;'Gastos com Pessoal'!$I$6:$AJ$6,0),500,1)),0)+_xlfn.IFNA(SUM((BC$3&gt;='Gastos com Pessoal'!$E$513:$E$522)*(BC$3&lt;='Gastos com Pessoal'!$F$513:$F$522)*(IF('Gastos com Pessoal'!$G$513:$G$522&lt;=BC$3,1,0))*OFFSET('Gastos com Pessoal'!$H$512,1,MATCH(1&amp;$B52,'Gastos com Pessoal'!$I$532:$AJ$532&amp;'Gastos com Pessoal'!$I$512:$AJ$512,0),10,1)),0)+_xlfn.IFNA(SUM((BC$3&gt;='Gastos com Pessoal'!$E$513:$E$522)*(BC$3&lt;='Gastos com Pessoal'!$F$513:$F$522)*(IF('Gastos com Pessoal'!$M$513:$M$522&lt;=BC$3,1,0))*OFFSET('Gastos com Pessoal'!$H$512,1,MATCH(2&amp;$B52,'Gastos com Pessoal'!$I$532:$AJ$532&amp;'Gastos com Pessoal'!$I$512:$AJ$512,0),10,1)),0)+_xlfn.IFNA(SUM((BC$3&gt;='Gastos com Pessoal'!$E$513:$E$522)*(BC$3&lt;='Gastos com Pessoal'!$F$513:$F$522)*(IF('Gastos com Pessoal'!$S$513:$S$522&lt;=BC$3,1,0))*OFFSET('Gastos com Pessoal'!$H$512,1,MATCH(3&amp;$B52,'Gastos com Pessoal'!$I$532:$AJ$532&amp;'Gastos com Pessoal'!$I$512:$AJ$512,0),10,1)),0)+_xlfn.IFNA(SUM((BC$3&gt;='Gastos com Pessoal'!$E$513:$E$522)*(BC$3&lt;='Gastos com Pessoal'!$F$513:$F$522)*(IF('Gastos com Pessoal'!$Y$513:$Y$522&lt;=BC$3,1,0))*OFFSET('Gastos com Pessoal'!$H$512,1,MATCH(4&amp;$B52,'Gastos com Pessoal'!$I$532:$AJ$532&amp;'Gastos com Pessoal'!$I$512:$AJ$512,0),10,1)),0)+_xlfn.IFNA(SUM((BC$3&gt;='Gastos com Pessoal'!$E$513:$E$522)*(BC$3&lt;='Gastos com Pessoal'!$F$513:$F$522)*(IF('Gastos com Pessoal'!$AE$513:$AE$522&lt;=BC$3,1,0))*OFFSET('Gastos com Pessoal'!$H$512,1,MATCH(5&amp;$B52,'Gastos com Pessoal'!$I$532:$AJ$532&amp;'Gastos com Pessoal'!$I$512:$AJ$512,0),10,1)),0)</f>
        <v>5040</v>
      </c>
      <c r="BD52" s="188">
        <f t="array" aca="1" ref="BD52" ca="1">_xlfn.IFNA(SUM((BD$3&gt;='Gastos com Pessoal'!$E$7:$E$506)*(BD$3&lt;='Gastos com Pessoal'!$F$7:$F$506)*OFFSET('Encargos e Benefícios'!$D$5,1,MATCH($B52,'Encargos e Benefícios'!$E$5:$AB$5,0),500,1)),0)+_xlfn.IFNA(SUM((BD$3&gt;='Gastos com Pessoal'!$E$513:$E$522)*(BD$3&lt;='Gastos com Pessoal'!$F$513:$F$522)*OFFSET('Encargos e Benefícios'!$D$511,1,MATCH($B52,'Encargos e Benefícios'!$E$511:$AB$511,0),10,1)),0)+_xlfn.IFNA(SUM((BD$3&gt;='Gastos com Pessoal'!$E$7:$E$506)*(BD$3&lt;='Gastos com Pessoal'!$F$7:$F$506)*(IF('Gastos com Pessoal'!$G$7:$G$506&lt;=BD$3,1,0))*OFFSET('Gastos com Pessoal'!$H$6,1,MATCH(1&amp;$B52,'Gastos com Pessoal'!$I$532:$AJ$532&amp;'Gastos com Pessoal'!$I$6:$AJ$6,0),500,1)),0)+_xlfn.IFNA(SUM((BD$3&gt;='Gastos com Pessoal'!$E$7:$E$506)*(BD$3&lt;='Gastos com Pessoal'!$F$7:$F$506)*(IF('Gastos com Pessoal'!$M$7:$M$506&lt;=BD$3,1,0))*OFFSET('Gastos com Pessoal'!$H$6,1,MATCH(2&amp;$B52,'Gastos com Pessoal'!$I$532:$AJ$532&amp;'Gastos com Pessoal'!$I$6:$AJ$6,0),500,1)),0)+_xlfn.IFNA(SUM((BD$3&gt;='Gastos com Pessoal'!$E$7:$E$506)*(BD$3&lt;='Gastos com Pessoal'!$F$7:$F$506)*(IF('Gastos com Pessoal'!$S$7:$S$506&lt;=BD$3,1,0))*OFFSET('Gastos com Pessoal'!$H$6,1,MATCH(3&amp;$B52,'Gastos com Pessoal'!$I$532:$AJ$532&amp;'Gastos com Pessoal'!$I$6:$AJ$6,0),500,1)),0)+_xlfn.IFNA(SUM((BD$3&gt;='Gastos com Pessoal'!$E$7:$E$506)*(BD$3&lt;='Gastos com Pessoal'!$F$7:$F$506)*(IF('Gastos com Pessoal'!$Y$7:$Y$506&lt;=BD$3,1,0))*OFFSET('Gastos com Pessoal'!$H$6,1,MATCH(4&amp;$B52,'Gastos com Pessoal'!$I$532:$AJ$532&amp;'Gastos com Pessoal'!$I$6:$AJ$6,0),500,1)),0)+_xlfn.IFNA(SUM((BD$3&gt;='Gastos com Pessoal'!$E$7:$E$506)*(BD$3&lt;='Gastos com Pessoal'!$F$7:$F$506)*(IF('Gastos com Pessoal'!$AE$7:$AE$506&lt;=BD$3,1,0))*OFFSET('Gastos com Pessoal'!$H$6,1,MATCH(5&amp;$B52,'Gastos com Pessoal'!$I$532:$AJ$532&amp;'Gastos com Pessoal'!$I$6:$AJ$6,0),500,1)),0)+_xlfn.IFNA(SUM((BD$3&gt;='Gastos com Pessoal'!$E$513:$E$522)*(BD$3&lt;='Gastos com Pessoal'!$F$513:$F$522)*(IF('Gastos com Pessoal'!$G$513:$G$522&lt;=BD$3,1,0))*OFFSET('Gastos com Pessoal'!$H$512,1,MATCH(1&amp;$B52,'Gastos com Pessoal'!$I$532:$AJ$532&amp;'Gastos com Pessoal'!$I$512:$AJ$512,0),10,1)),0)+_xlfn.IFNA(SUM((BD$3&gt;='Gastos com Pessoal'!$E$513:$E$522)*(BD$3&lt;='Gastos com Pessoal'!$F$513:$F$522)*(IF('Gastos com Pessoal'!$M$513:$M$522&lt;=BD$3,1,0))*OFFSET('Gastos com Pessoal'!$H$512,1,MATCH(2&amp;$B52,'Gastos com Pessoal'!$I$532:$AJ$532&amp;'Gastos com Pessoal'!$I$512:$AJ$512,0),10,1)),0)+_xlfn.IFNA(SUM((BD$3&gt;='Gastos com Pessoal'!$E$513:$E$522)*(BD$3&lt;='Gastos com Pessoal'!$F$513:$F$522)*(IF('Gastos com Pessoal'!$S$513:$S$522&lt;=BD$3,1,0))*OFFSET('Gastos com Pessoal'!$H$512,1,MATCH(3&amp;$B52,'Gastos com Pessoal'!$I$532:$AJ$532&amp;'Gastos com Pessoal'!$I$512:$AJ$512,0),10,1)),0)+_xlfn.IFNA(SUM((BD$3&gt;='Gastos com Pessoal'!$E$513:$E$522)*(BD$3&lt;='Gastos com Pessoal'!$F$513:$F$522)*(IF('Gastos com Pessoal'!$Y$513:$Y$522&lt;=BD$3,1,0))*OFFSET('Gastos com Pessoal'!$H$512,1,MATCH(4&amp;$B52,'Gastos com Pessoal'!$I$532:$AJ$532&amp;'Gastos com Pessoal'!$I$512:$AJ$512,0),10,1)),0)+_xlfn.IFNA(SUM((BD$3&gt;='Gastos com Pessoal'!$E$513:$E$522)*(BD$3&lt;='Gastos com Pessoal'!$F$513:$F$522)*(IF('Gastos com Pessoal'!$AE$513:$AE$522&lt;=BD$3,1,0))*OFFSET('Gastos com Pessoal'!$H$512,1,MATCH(5&amp;$B52,'Gastos com Pessoal'!$I$532:$AJ$532&amp;'Gastos com Pessoal'!$I$512:$AJ$512,0),10,1)),0)</f>
        <v>5040</v>
      </c>
      <c r="BE52" s="188">
        <f t="array" aca="1" ref="BE52" ca="1">_xlfn.IFNA(SUM((BE$3&gt;='Gastos com Pessoal'!$E$7:$E$506)*(BE$3&lt;='Gastos com Pessoal'!$F$7:$F$506)*OFFSET('Encargos e Benefícios'!$D$5,1,MATCH($B52,'Encargos e Benefícios'!$E$5:$AB$5,0),500,1)),0)+_xlfn.IFNA(SUM((BE$3&gt;='Gastos com Pessoal'!$E$513:$E$522)*(BE$3&lt;='Gastos com Pessoal'!$F$513:$F$522)*OFFSET('Encargos e Benefícios'!$D$511,1,MATCH($B52,'Encargos e Benefícios'!$E$511:$AB$511,0),10,1)),0)+_xlfn.IFNA(SUM((BE$3&gt;='Gastos com Pessoal'!$E$7:$E$506)*(BE$3&lt;='Gastos com Pessoal'!$F$7:$F$506)*(IF('Gastos com Pessoal'!$G$7:$G$506&lt;=BE$3,1,0))*OFFSET('Gastos com Pessoal'!$H$6,1,MATCH(1&amp;$B52,'Gastos com Pessoal'!$I$532:$AJ$532&amp;'Gastos com Pessoal'!$I$6:$AJ$6,0),500,1)),0)+_xlfn.IFNA(SUM((BE$3&gt;='Gastos com Pessoal'!$E$7:$E$506)*(BE$3&lt;='Gastos com Pessoal'!$F$7:$F$506)*(IF('Gastos com Pessoal'!$M$7:$M$506&lt;=BE$3,1,0))*OFFSET('Gastos com Pessoal'!$H$6,1,MATCH(2&amp;$B52,'Gastos com Pessoal'!$I$532:$AJ$532&amp;'Gastos com Pessoal'!$I$6:$AJ$6,0),500,1)),0)+_xlfn.IFNA(SUM((BE$3&gt;='Gastos com Pessoal'!$E$7:$E$506)*(BE$3&lt;='Gastos com Pessoal'!$F$7:$F$506)*(IF('Gastos com Pessoal'!$S$7:$S$506&lt;=BE$3,1,0))*OFFSET('Gastos com Pessoal'!$H$6,1,MATCH(3&amp;$B52,'Gastos com Pessoal'!$I$532:$AJ$532&amp;'Gastos com Pessoal'!$I$6:$AJ$6,0),500,1)),0)+_xlfn.IFNA(SUM((BE$3&gt;='Gastos com Pessoal'!$E$7:$E$506)*(BE$3&lt;='Gastos com Pessoal'!$F$7:$F$506)*(IF('Gastos com Pessoal'!$Y$7:$Y$506&lt;=BE$3,1,0))*OFFSET('Gastos com Pessoal'!$H$6,1,MATCH(4&amp;$B52,'Gastos com Pessoal'!$I$532:$AJ$532&amp;'Gastos com Pessoal'!$I$6:$AJ$6,0),500,1)),0)+_xlfn.IFNA(SUM((BE$3&gt;='Gastos com Pessoal'!$E$7:$E$506)*(BE$3&lt;='Gastos com Pessoal'!$F$7:$F$506)*(IF('Gastos com Pessoal'!$AE$7:$AE$506&lt;=BE$3,1,0))*OFFSET('Gastos com Pessoal'!$H$6,1,MATCH(5&amp;$B52,'Gastos com Pessoal'!$I$532:$AJ$532&amp;'Gastos com Pessoal'!$I$6:$AJ$6,0),500,1)),0)+_xlfn.IFNA(SUM((BE$3&gt;='Gastos com Pessoal'!$E$513:$E$522)*(BE$3&lt;='Gastos com Pessoal'!$F$513:$F$522)*(IF('Gastos com Pessoal'!$G$513:$G$522&lt;=BE$3,1,0))*OFFSET('Gastos com Pessoal'!$H$512,1,MATCH(1&amp;$B52,'Gastos com Pessoal'!$I$532:$AJ$532&amp;'Gastos com Pessoal'!$I$512:$AJ$512,0),10,1)),0)+_xlfn.IFNA(SUM((BE$3&gt;='Gastos com Pessoal'!$E$513:$E$522)*(BE$3&lt;='Gastos com Pessoal'!$F$513:$F$522)*(IF('Gastos com Pessoal'!$M$513:$M$522&lt;=BE$3,1,0))*OFFSET('Gastos com Pessoal'!$H$512,1,MATCH(2&amp;$B52,'Gastos com Pessoal'!$I$532:$AJ$532&amp;'Gastos com Pessoal'!$I$512:$AJ$512,0),10,1)),0)+_xlfn.IFNA(SUM((BE$3&gt;='Gastos com Pessoal'!$E$513:$E$522)*(BE$3&lt;='Gastos com Pessoal'!$F$513:$F$522)*(IF('Gastos com Pessoal'!$S$513:$S$522&lt;=BE$3,1,0))*OFFSET('Gastos com Pessoal'!$H$512,1,MATCH(3&amp;$B52,'Gastos com Pessoal'!$I$532:$AJ$532&amp;'Gastos com Pessoal'!$I$512:$AJ$512,0),10,1)),0)+_xlfn.IFNA(SUM((BE$3&gt;='Gastos com Pessoal'!$E$513:$E$522)*(BE$3&lt;='Gastos com Pessoal'!$F$513:$F$522)*(IF('Gastos com Pessoal'!$Y$513:$Y$522&lt;=BE$3,1,0))*OFFSET('Gastos com Pessoal'!$H$512,1,MATCH(4&amp;$B52,'Gastos com Pessoal'!$I$532:$AJ$532&amp;'Gastos com Pessoal'!$I$512:$AJ$512,0),10,1)),0)+_xlfn.IFNA(SUM((BE$3&gt;='Gastos com Pessoal'!$E$513:$E$522)*(BE$3&lt;='Gastos com Pessoal'!$F$513:$F$522)*(IF('Gastos com Pessoal'!$AE$513:$AE$522&lt;=BE$3,1,0))*OFFSET('Gastos com Pessoal'!$H$512,1,MATCH(5&amp;$B52,'Gastos com Pessoal'!$I$532:$AJ$532&amp;'Gastos com Pessoal'!$I$512:$AJ$512,0),10,1)),0)</f>
        <v>5040</v>
      </c>
      <c r="BF52" s="188">
        <f t="array" aca="1" ref="BF52" ca="1">_xlfn.IFNA(SUM((BF$3&gt;='Gastos com Pessoal'!$E$7:$E$506)*(BF$3&lt;='Gastos com Pessoal'!$F$7:$F$506)*OFFSET('Encargos e Benefícios'!$D$5,1,MATCH($B52,'Encargos e Benefícios'!$E$5:$AB$5,0),500,1)),0)+_xlfn.IFNA(SUM((BF$3&gt;='Gastos com Pessoal'!$E$513:$E$522)*(BF$3&lt;='Gastos com Pessoal'!$F$513:$F$522)*OFFSET('Encargos e Benefícios'!$D$511,1,MATCH($B52,'Encargos e Benefícios'!$E$511:$AB$511,0),10,1)),0)+_xlfn.IFNA(SUM((BF$3&gt;='Gastos com Pessoal'!$E$7:$E$506)*(BF$3&lt;='Gastos com Pessoal'!$F$7:$F$506)*(IF('Gastos com Pessoal'!$G$7:$G$506&lt;=BF$3,1,0))*OFFSET('Gastos com Pessoal'!$H$6,1,MATCH(1&amp;$B52,'Gastos com Pessoal'!$I$532:$AJ$532&amp;'Gastos com Pessoal'!$I$6:$AJ$6,0),500,1)),0)+_xlfn.IFNA(SUM((BF$3&gt;='Gastos com Pessoal'!$E$7:$E$506)*(BF$3&lt;='Gastos com Pessoal'!$F$7:$F$506)*(IF('Gastos com Pessoal'!$M$7:$M$506&lt;=BF$3,1,0))*OFFSET('Gastos com Pessoal'!$H$6,1,MATCH(2&amp;$B52,'Gastos com Pessoal'!$I$532:$AJ$532&amp;'Gastos com Pessoal'!$I$6:$AJ$6,0),500,1)),0)+_xlfn.IFNA(SUM((BF$3&gt;='Gastos com Pessoal'!$E$7:$E$506)*(BF$3&lt;='Gastos com Pessoal'!$F$7:$F$506)*(IF('Gastos com Pessoal'!$S$7:$S$506&lt;=BF$3,1,0))*OFFSET('Gastos com Pessoal'!$H$6,1,MATCH(3&amp;$B52,'Gastos com Pessoal'!$I$532:$AJ$532&amp;'Gastos com Pessoal'!$I$6:$AJ$6,0),500,1)),0)+_xlfn.IFNA(SUM((BF$3&gt;='Gastos com Pessoal'!$E$7:$E$506)*(BF$3&lt;='Gastos com Pessoal'!$F$7:$F$506)*(IF('Gastos com Pessoal'!$Y$7:$Y$506&lt;=BF$3,1,0))*OFFSET('Gastos com Pessoal'!$H$6,1,MATCH(4&amp;$B52,'Gastos com Pessoal'!$I$532:$AJ$532&amp;'Gastos com Pessoal'!$I$6:$AJ$6,0),500,1)),0)+_xlfn.IFNA(SUM((BF$3&gt;='Gastos com Pessoal'!$E$7:$E$506)*(BF$3&lt;='Gastos com Pessoal'!$F$7:$F$506)*(IF('Gastos com Pessoal'!$AE$7:$AE$506&lt;=BF$3,1,0))*OFFSET('Gastos com Pessoal'!$H$6,1,MATCH(5&amp;$B52,'Gastos com Pessoal'!$I$532:$AJ$532&amp;'Gastos com Pessoal'!$I$6:$AJ$6,0),500,1)),0)+_xlfn.IFNA(SUM((BF$3&gt;='Gastos com Pessoal'!$E$513:$E$522)*(BF$3&lt;='Gastos com Pessoal'!$F$513:$F$522)*(IF('Gastos com Pessoal'!$G$513:$G$522&lt;=BF$3,1,0))*OFFSET('Gastos com Pessoal'!$H$512,1,MATCH(1&amp;$B52,'Gastos com Pessoal'!$I$532:$AJ$532&amp;'Gastos com Pessoal'!$I$512:$AJ$512,0),10,1)),0)+_xlfn.IFNA(SUM((BF$3&gt;='Gastos com Pessoal'!$E$513:$E$522)*(BF$3&lt;='Gastos com Pessoal'!$F$513:$F$522)*(IF('Gastos com Pessoal'!$M$513:$M$522&lt;=BF$3,1,0))*OFFSET('Gastos com Pessoal'!$H$512,1,MATCH(2&amp;$B52,'Gastos com Pessoal'!$I$532:$AJ$532&amp;'Gastos com Pessoal'!$I$512:$AJ$512,0),10,1)),0)+_xlfn.IFNA(SUM((BF$3&gt;='Gastos com Pessoal'!$E$513:$E$522)*(BF$3&lt;='Gastos com Pessoal'!$F$513:$F$522)*(IF('Gastos com Pessoal'!$S$513:$S$522&lt;=BF$3,1,0))*OFFSET('Gastos com Pessoal'!$H$512,1,MATCH(3&amp;$B52,'Gastos com Pessoal'!$I$532:$AJ$532&amp;'Gastos com Pessoal'!$I$512:$AJ$512,0),10,1)),0)+_xlfn.IFNA(SUM((BF$3&gt;='Gastos com Pessoal'!$E$513:$E$522)*(BF$3&lt;='Gastos com Pessoal'!$F$513:$F$522)*(IF('Gastos com Pessoal'!$Y$513:$Y$522&lt;=BF$3,1,0))*OFFSET('Gastos com Pessoal'!$H$512,1,MATCH(4&amp;$B52,'Gastos com Pessoal'!$I$532:$AJ$532&amp;'Gastos com Pessoal'!$I$512:$AJ$512,0),10,1)),0)+_xlfn.IFNA(SUM((BF$3&gt;='Gastos com Pessoal'!$E$513:$E$522)*(BF$3&lt;='Gastos com Pessoal'!$F$513:$F$522)*(IF('Gastos com Pessoal'!$AE$513:$AE$522&lt;=BF$3,1,0))*OFFSET('Gastos com Pessoal'!$H$512,1,MATCH(5&amp;$B52,'Gastos com Pessoal'!$I$532:$AJ$532&amp;'Gastos com Pessoal'!$I$512:$AJ$512,0),10,1)),0)</f>
        <v>5040</v>
      </c>
      <c r="BG52" s="188">
        <f t="array" aca="1" ref="BG52" ca="1">_xlfn.IFNA(SUM((BG$3&gt;='Gastos com Pessoal'!$E$7:$E$506)*(BG$3&lt;='Gastos com Pessoal'!$F$7:$F$506)*OFFSET('Encargos e Benefícios'!$D$5,1,MATCH($B52,'Encargos e Benefícios'!$E$5:$AB$5,0),500,1)),0)+_xlfn.IFNA(SUM((BG$3&gt;='Gastos com Pessoal'!$E$513:$E$522)*(BG$3&lt;='Gastos com Pessoal'!$F$513:$F$522)*OFFSET('Encargos e Benefícios'!$D$511,1,MATCH($B52,'Encargos e Benefícios'!$E$511:$AB$511,0),10,1)),0)+_xlfn.IFNA(SUM((BG$3&gt;='Gastos com Pessoal'!$E$7:$E$506)*(BG$3&lt;='Gastos com Pessoal'!$F$7:$F$506)*(IF('Gastos com Pessoal'!$G$7:$G$506&lt;=BG$3,1,0))*OFFSET('Gastos com Pessoal'!$H$6,1,MATCH(1&amp;$B52,'Gastos com Pessoal'!$I$532:$AJ$532&amp;'Gastos com Pessoal'!$I$6:$AJ$6,0),500,1)),0)+_xlfn.IFNA(SUM((BG$3&gt;='Gastos com Pessoal'!$E$7:$E$506)*(BG$3&lt;='Gastos com Pessoal'!$F$7:$F$506)*(IF('Gastos com Pessoal'!$M$7:$M$506&lt;=BG$3,1,0))*OFFSET('Gastos com Pessoal'!$H$6,1,MATCH(2&amp;$B52,'Gastos com Pessoal'!$I$532:$AJ$532&amp;'Gastos com Pessoal'!$I$6:$AJ$6,0),500,1)),0)+_xlfn.IFNA(SUM((BG$3&gt;='Gastos com Pessoal'!$E$7:$E$506)*(BG$3&lt;='Gastos com Pessoal'!$F$7:$F$506)*(IF('Gastos com Pessoal'!$S$7:$S$506&lt;=BG$3,1,0))*OFFSET('Gastos com Pessoal'!$H$6,1,MATCH(3&amp;$B52,'Gastos com Pessoal'!$I$532:$AJ$532&amp;'Gastos com Pessoal'!$I$6:$AJ$6,0),500,1)),0)+_xlfn.IFNA(SUM((BG$3&gt;='Gastos com Pessoal'!$E$7:$E$506)*(BG$3&lt;='Gastos com Pessoal'!$F$7:$F$506)*(IF('Gastos com Pessoal'!$Y$7:$Y$506&lt;=BG$3,1,0))*OFFSET('Gastos com Pessoal'!$H$6,1,MATCH(4&amp;$B52,'Gastos com Pessoal'!$I$532:$AJ$532&amp;'Gastos com Pessoal'!$I$6:$AJ$6,0),500,1)),0)+_xlfn.IFNA(SUM((BG$3&gt;='Gastos com Pessoal'!$E$7:$E$506)*(BG$3&lt;='Gastos com Pessoal'!$F$7:$F$506)*(IF('Gastos com Pessoal'!$AE$7:$AE$506&lt;=BG$3,1,0))*OFFSET('Gastos com Pessoal'!$H$6,1,MATCH(5&amp;$B52,'Gastos com Pessoal'!$I$532:$AJ$532&amp;'Gastos com Pessoal'!$I$6:$AJ$6,0),500,1)),0)+_xlfn.IFNA(SUM((BG$3&gt;='Gastos com Pessoal'!$E$513:$E$522)*(BG$3&lt;='Gastos com Pessoal'!$F$513:$F$522)*(IF('Gastos com Pessoal'!$G$513:$G$522&lt;=BG$3,1,0))*OFFSET('Gastos com Pessoal'!$H$512,1,MATCH(1&amp;$B52,'Gastos com Pessoal'!$I$532:$AJ$532&amp;'Gastos com Pessoal'!$I$512:$AJ$512,0),10,1)),0)+_xlfn.IFNA(SUM((BG$3&gt;='Gastos com Pessoal'!$E$513:$E$522)*(BG$3&lt;='Gastos com Pessoal'!$F$513:$F$522)*(IF('Gastos com Pessoal'!$M$513:$M$522&lt;=BG$3,1,0))*OFFSET('Gastos com Pessoal'!$H$512,1,MATCH(2&amp;$B52,'Gastos com Pessoal'!$I$532:$AJ$532&amp;'Gastos com Pessoal'!$I$512:$AJ$512,0),10,1)),0)+_xlfn.IFNA(SUM((BG$3&gt;='Gastos com Pessoal'!$E$513:$E$522)*(BG$3&lt;='Gastos com Pessoal'!$F$513:$F$522)*(IF('Gastos com Pessoal'!$S$513:$S$522&lt;=BG$3,1,0))*OFFSET('Gastos com Pessoal'!$H$512,1,MATCH(3&amp;$B52,'Gastos com Pessoal'!$I$532:$AJ$532&amp;'Gastos com Pessoal'!$I$512:$AJ$512,0),10,1)),0)+_xlfn.IFNA(SUM((BG$3&gt;='Gastos com Pessoal'!$E$513:$E$522)*(BG$3&lt;='Gastos com Pessoal'!$F$513:$F$522)*(IF('Gastos com Pessoal'!$Y$513:$Y$522&lt;=BG$3,1,0))*OFFSET('Gastos com Pessoal'!$H$512,1,MATCH(4&amp;$B52,'Gastos com Pessoal'!$I$532:$AJ$532&amp;'Gastos com Pessoal'!$I$512:$AJ$512,0),10,1)),0)+_xlfn.IFNA(SUM((BG$3&gt;='Gastos com Pessoal'!$E$513:$E$522)*(BG$3&lt;='Gastos com Pessoal'!$F$513:$F$522)*(IF('Gastos com Pessoal'!$AE$513:$AE$522&lt;=BG$3,1,0))*OFFSET('Gastos com Pessoal'!$H$512,1,MATCH(5&amp;$B52,'Gastos com Pessoal'!$I$532:$AJ$532&amp;'Gastos com Pessoal'!$I$512:$AJ$512,0),10,1)),0)</f>
        <v>5040</v>
      </c>
      <c r="BH52" s="188">
        <f t="array" aca="1" ref="BH52" ca="1">_xlfn.IFNA(SUM((BH$3&gt;='Gastos com Pessoal'!$E$7:$E$506)*(BH$3&lt;='Gastos com Pessoal'!$F$7:$F$506)*OFFSET('Encargos e Benefícios'!$D$5,1,MATCH($B52,'Encargos e Benefícios'!$E$5:$AB$5,0),500,1)),0)+_xlfn.IFNA(SUM((BH$3&gt;='Gastos com Pessoal'!$E$513:$E$522)*(BH$3&lt;='Gastos com Pessoal'!$F$513:$F$522)*OFFSET('Encargos e Benefícios'!$D$511,1,MATCH($B52,'Encargos e Benefícios'!$E$511:$AB$511,0),10,1)),0)+_xlfn.IFNA(SUM((BH$3&gt;='Gastos com Pessoal'!$E$7:$E$506)*(BH$3&lt;='Gastos com Pessoal'!$F$7:$F$506)*(IF('Gastos com Pessoal'!$G$7:$G$506&lt;=BH$3,1,0))*OFFSET('Gastos com Pessoal'!$H$6,1,MATCH(1&amp;$B52,'Gastos com Pessoal'!$I$532:$AJ$532&amp;'Gastos com Pessoal'!$I$6:$AJ$6,0),500,1)),0)+_xlfn.IFNA(SUM((BH$3&gt;='Gastos com Pessoal'!$E$7:$E$506)*(BH$3&lt;='Gastos com Pessoal'!$F$7:$F$506)*(IF('Gastos com Pessoal'!$M$7:$M$506&lt;=BH$3,1,0))*OFFSET('Gastos com Pessoal'!$H$6,1,MATCH(2&amp;$B52,'Gastos com Pessoal'!$I$532:$AJ$532&amp;'Gastos com Pessoal'!$I$6:$AJ$6,0),500,1)),0)+_xlfn.IFNA(SUM((BH$3&gt;='Gastos com Pessoal'!$E$7:$E$506)*(BH$3&lt;='Gastos com Pessoal'!$F$7:$F$506)*(IF('Gastos com Pessoal'!$S$7:$S$506&lt;=BH$3,1,0))*OFFSET('Gastos com Pessoal'!$H$6,1,MATCH(3&amp;$B52,'Gastos com Pessoal'!$I$532:$AJ$532&amp;'Gastos com Pessoal'!$I$6:$AJ$6,0),500,1)),0)+_xlfn.IFNA(SUM((BH$3&gt;='Gastos com Pessoal'!$E$7:$E$506)*(BH$3&lt;='Gastos com Pessoal'!$F$7:$F$506)*(IF('Gastos com Pessoal'!$Y$7:$Y$506&lt;=BH$3,1,0))*OFFSET('Gastos com Pessoal'!$H$6,1,MATCH(4&amp;$B52,'Gastos com Pessoal'!$I$532:$AJ$532&amp;'Gastos com Pessoal'!$I$6:$AJ$6,0),500,1)),0)+_xlfn.IFNA(SUM((BH$3&gt;='Gastos com Pessoal'!$E$7:$E$506)*(BH$3&lt;='Gastos com Pessoal'!$F$7:$F$506)*(IF('Gastos com Pessoal'!$AE$7:$AE$506&lt;=BH$3,1,0))*OFFSET('Gastos com Pessoal'!$H$6,1,MATCH(5&amp;$B52,'Gastos com Pessoal'!$I$532:$AJ$532&amp;'Gastos com Pessoal'!$I$6:$AJ$6,0),500,1)),0)+_xlfn.IFNA(SUM((BH$3&gt;='Gastos com Pessoal'!$E$513:$E$522)*(BH$3&lt;='Gastos com Pessoal'!$F$513:$F$522)*(IF('Gastos com Pessoal'!$G$513:$G$522&lt;=BH$3,1,0))*OFFSET('Gastos com Pessoal'!$H$512,1,MATCH(1&amp;$B52,'Gastos com Pessoal'!$I$532:$AJ$532&amp;'Gastos com Pessoal'!$I$512:$AJ$512,0),10,1)),0)+_xlfn.IFNA(SUM((BH$3&gt;='Gastos com Pessoal'!$E$513:$E$522)*(BH$3&lt;='Gastos com Pessoal'!$F$513:$F$522)*(IF('Gastos com Pessoal'!$M$513:$M$522&lt;=BH$3,1,0))*OFFSET('Gastos com Pessoal'!$H$512,1,MATCH(2&amp;$B52,'Gastos com Pessoal'!$I$532:$AJ$532&amp;'Gastos com Pessoal'!$I$512:$AJ$512,0),10,1)),0)+_xlfn.IFNA(SUM((BH$3&gt;='Gastos com Pessoal'!$E$513:$E$522)*(BH$3&lt;='Gastos com Pessoal'!$F$513:$F$522)*(IF('Gastos com Pessoal'!$S$513:$S$522&lt;=BH$3,1,0))*OFFSET('Gastos com Pessoal'!$H$512,1,MATCH(3&amp;$B52,'Gastos com Pessoal'!$I$532:$AJ$532&amp;'Gastos com Pessoal'!$I$512:$AJ$512,0),10,1)),0)+_xlfn.IFNA(SUM((BH$3&gt;='Gastos com Pessoal'!$E$513:$E$522)*(BH$3&lt;='Gastos com Pessoal'!$F$513:$F$522)*(IF('Gastos com Pessoal'!$Y$513:$Y$522&lt;=BH$3,1,0))*OFFSET('Gastos com Pessoal'!$H$512,1,MATCH(4&amp;$B52,'Gastos com Pessoal'!$I$532:$AJ$532&amp;'Gastos com Pessoal'!$I$512:$AJ$512,0),10,1)),0)+_xlfn.IFNA(SUM((BH$3&gt;='Gastos com Pessoal'!$E$513:$E$522)*(BH$3&lt;='Gastos com Pessoal'!$F$513:$F$522)*(IF('Gastos com Pessoal'!$AE$513:$AE$522&lt;=BH$3,1,0))*OFFSET('Gastos com Pessoal'!$H$512,1,MATCH(5&amp;$B52,'Gastos com Pessoal'!$I$532:$AJ$532&amp;'Gastos com Pessoal'!$I$512:$AJ$512,0),10,1)),0)</f>
        <v>5040</v>
      </c>
      <c r="BI52" s="188">
        <f t="array" aca="1" ref="BI52" ca="1">_xlfn.IFNA(SUM((BI$3&gt;='Gastos com Pessoal'!$E$7:$E$506)*(BI$3&lt;='Gastos com Pessoal'!$F$7:$F$506)*OFFSET('Encargos e Benefícios'!$D$5,1,MATCH($B52,'Encargos e Benefícios'!$E$5:$AB$5,0),500,1)),0)+_xlfn.IFNA(SUM((BI$3&gt;='Gastos com Pessoal'!$E$513:$E$522)*(BI$3&lt;='Gastos com Pessoal'!$F$513:$F$522)*OFFSET('Encargos e Benefícios'!$D$511,1,MATCH($B52,'Encargos e Benefícios'!$E$511:$AB$511,0),10,1)),0)+_xlfn.IFNA(SUM((BI$3&gt;='Gastos com Pessoal'!$E$7:$E$506)*(BI$3&lt;='Gastos com Pessoal'!$F$7:$F$506)*(IF('Gastos com Pessoal'!$G$7:$G$506&lt;=BI$3,1,0))*OFFSET('Gastos com Pessoal'!$H$6,1,MATCH(1&amp;$B52,'Gastos com Pessoal'!$I$532:$AJ$532&amp;'Gastos com Pessoal'!$I$6:$AJ$6,0),500,1)),0)+_xlfn.IFNA(SUM((BI$3&gt;='Gastos com Pessoal'!$E$7:$E$506)*(BI$3&lt;='Gastos com Pessoal'!$F$7:$F$506)*(IF('Gastos com Pessoal'!$M$7:$M$506&lt;=BI$3,1,0))*OFFSET('Gastos com Pessoal'!$H$6,1,MATCH(2&amp;$B52,'Gastos com Pessoal'!$I$532:$AJ$532&amp;'Gastos com Pessoal'!$I$6:$AJ$6,0),500,1)),0)+_xlfn.IFNA(SUM((BI$3&gt;='Gastos com Pessoal'!$E$7:$E$506)*(BI$3&lt;='Gastos com Pessoal'!$F$7:$F$506)*(IF('Gastos com Pessoal'!$S$7:$S$506&lt;=BI$3,1,0))*OFFSET('Gastos com Pessoal'!$H$6,1,MATCH(3&amp;$B52,'Gastos com Pessoal'!$I$532:$AJ$532&amp;'Gastos com Pessoal'!$I$6:$AJ$6,0),500,1)),0)+_xlfn.IFNA(SUM((BI$3&gt;='Gastos com Pessoal'!$E$7:$E$506)*(BI$3&lt;='Gastos com Pessoal'!$F$7:$F$506)*(IF('Gastos com Pessoal'!$Y$7:$Y$506&lt;=BI$3,1,0))*OFFSET('Gastos com Pessoal'!$H$6,1,MATCH(4&amp;$B52,'Gastos com Pessoal'!$I$532:$AJ$532&amp;'Gastos com Pessoal'!$I$6:$AJ$6,0),500,1)),0)+_xlfn.IFNA(SUM((BI$3&gt;='Gastos com Pessoal'!$E$7:$E$506)*(BI$3&lt;='Gastos com Pessoal'!$F$7:$F$506)*(IF('Gastos com Pessoal'!$AE$7:$AE$506&lt;=BI$3,1,0))*OFFSET('Gastos com Pessoal'!$H$6,1,MATCH(5&amp;$B52,'Gastos com Pessoal'!$I$532:$AJ$532&amp;'Gastos com Pessoal'!$I$6:$AJ$6,0),500,1)),0)+_xlfn.IFNA(SUM((BI$3&gt;='Gastos com Pessoal'!$E$513:$E$522)*(BI$3&lt;='Gastos com Pessoal'!$F$513:$F$522)*(IF('Gastos com Pessoal'!$G$513:$G$522&lt;=BI$3,1,0))*OFFSET('Gastos com Pessoal'!$H$512,1,MATCH(1&amp;$B52,'Gastos com Pessoal'!$I$532:$AJ$532&amp;'Gastos com Pessoal'!$I$512:$AJ$512,0),10,1)),0)+_xlfn.IFNA(SUM((BI$3&gt;='Gastos com Pessoal'!$E$513:$E$522)*(BI$3&lt;='Gastos com Pessoal'!$F$513:$F$522)*(IF('Gastos com Pessoal'!$M$513:$M$522&lt;=BI$3,1,0))*OFFSET('Gastos com Pessoal'!$H$512,1,MATCH(2&amp;$B52,'Gastos com Pessoal'!$I$532:$AJ$532&amp;'Gastos com Pessoal'!$I$512:$AJ$512,0),10,1)),0)+_xlfn.IFNA(SUM((BI$3&gt;='Gastos com Pessoal'!$E$513:$E$522)*(BI$3&lt;='Gastos com Pessoal'!$F$513:$F$522)*(IF('Gastos com Pessoal'!$S$513:$S$522&lt;=BI$3,1,0))*OFFSET('Gastos com Pessoal'!$H$512,1,MATCH(3&amp;$B52,'Gastos com Pessoal'!$I$532:$AJ$532&amp;'Gastos com Pessoal'!$I$512:$AJ$512,0),10,1)),0)+_xlfn.IFNA(SUM((BI$3&gt;='Gastos com Pessoal'!$E$513:$E$522)*(BI$3&lt;='Gastos com Pessoal'!$F$513:$F$522)*(IF('Gastos com Pessoal'!$Y$513:$Y$522&lt;=BI$3,1,0))*OFFSET('Gastos com Pessoal'!$H$512,1,MATCH(4&amp;$B52,'Gastos com Pessoal'!$I$532:$AJ$532&amp;'Gastos com Pessoal'!$I$512:$AJ$512,0),10,1)),0)+_xlfn.IFNA(SUM((BI$3&gt;='Gastos com Pessoal'!$E$513:$E$522)*(BI$3&lt;='Gastos com Pessoal'!$F$513:$F$522)*(IF('Gastos com Pessoal'!$AE$513:$AE$522&lt;=BI$3,1,0))*OFFSET('Gastos com Pessoal'!$H$512,1,MATCH(5&amp;$B52,'Gastos com Pessoal'!$I$532:$AJ$532&amp;'Gastos com Pessoal'!$I$512:$AJ$512,0),10,1)),0)</f>
        <v>5040</v>
      </c>
      <c r="BJ52" s="188">
        <f t="array" aca="1" ref="BJ52" ca="1">_xlfn.IFNA(SUM((BJ$3&gt;='Gastos com Pessoal'!$E$7:$E$506)*(BJ$3&lt;='Gastos com Pessoal'!$F$7:$F$506)*OFFSET('Encargos e Benefícios'!$D$5,1,MATCH($B52,'Encargos e Benefícios'!$E$5:$AB$5,0),500,1)),0)+_xlfn.IFNA(SUM((BJ$3&gt;='Gastos com Pessoal'!$E$513:$E$522)*(BJ$3&lt;='Gastos com Pessoal'!$F$513:$F$522)*OFFSET('Encargos e Benefícios'!$D$511,1,MATCH($B52,'Encargos e Benefícios'!$E$511:$AB$511,0),10,1)),0)+_xlfn.IFNA(SUM((BJ$3&gt;='Gastos com Pessoal'!$E$7:$E$506)*(BJ$3&lt;='Gastos com Pessoal'!$F$7:$F$506)*(IF('Gastos com Pessoal'!$G$7:$G$506&lt;=BJ$3,1,0))*OFFSET('Gastos com Pessoal'!$H$6,1,MATCH(1&amp;$B52,'Gastos com Pessoal'!$I$532:$AJ$532&amp;'Gastos com Pessoal'!$I$6:$AJ$6,0),500,1)),0)+_xlfn.IFNA(SUM((BJ$3&gt;='Gastos com Pessoal'!$E$7:$E$506)*(BJ$3&lt;='Gastos com Pessoal'!$F$7:$F$506)*(IF('Gastos com Pessoal'!$M$7:$M$506&lt;=BJ$3,1,0))*OFFSET('Gastos com Pessoal'!$H$6,1,MATCH(2&amp;$B52,'Gastos com Pessoal'!$I$532:$AJ$532&amp;'Gastos com Pessoal'!$I$6:$AJ$6,0),500,1)),0)+_xlfn.IFNA(SUM((BJ$3&gt;='Gastos com Pessoal'!$E$7:$E$506)*(BJ$3&lt;='Gastos com Pessoal'!$F$7:$F$506)*(IF('Gastos com Pessoal'!$S$7:$S$506&lt;=BJ$3,1,0))*OFFSET('Gastos com Pessoal'!$H$6,1,MATCH(3&amp;$B52,'Gastos com Pessoal'!$I$532:$AJ$532&amp;'Gastos com Pessoal'!$I$6:$AJ$6,0),500,1)),0)+_xlfn.IFNA(SUM((BJ$3&gt;='Gastos com Pessoal'!$E$7:$E$506)*(BJ$3&lt;='Gastos com Pessoal'!$F$7:$F$506)*(IF('Gastos com Pessoal'!$Y$7:$Y$506&lt;=BJ$3,1,0))*OFFSET('Gastos com Pessoal'!$H$6,1,MATCH(4&amp;$B52,'Gastos com Pessoal'!$I$532:$AJ$532&amp;'Gastos com Pessoal'!$I$6:$AJ$6,0),500,1)),0)+_xlfn.IFNA(SUM((BJ$3&gt;='Gastos com Pessoal'!$E$7:$E$506)*(BJ$3&lt;='Gastos com Pessoal'!$F$7:$F$506)*(IF('Gastos com Pessoal'!$AE$7:$AE$506&lt;=BJ$3,1,0))*OFFSET('Gastos com Pessoal'!$H$6,1,MATCH(5&amp;$B52,'Gastos com Pessoal'!$I$532:$AJ$532&amp;'Gastos com Pessoal'!$I$6:$AJ$6,0),500,1)),0)+_xlfn.IFNA(SUM((BJ$3&gt;='Gastos com Pessoal'!$E$513:$E$522)*(BJ$3&lt;='Gastos com Pessoal'!$F$513:$F$522)*(IF('Gastos com Pessoal'!$G$513:$G$522&lt;=BJ$3,1,0))*OFFSET('Gastos com Pessoal'!$H$512,1,MATCH(1&amp;$B52,'Gastos com Pessoal'!$I$532:$AJ$532&amp;'Gastos com Pessoal'!$I$512:$AJ$512,0),10,1)),0)+_xlfn.IFNA(SUM((BJ$3&gt;='Gastos com Pessoal'!$E$513:$E$522)*(BJ$3&lt;='Gastos com Pessoal'!$F$513:$F$522)*(IF('Gastos com Pessoal'!$M$513:$M$522&lt;=BJ$3,1,0))*OFFSET('Gastos com Pessoal'!$H$512,1,MATCH(2&amp;$B52,'Gastos com Pessoal'!$I$532:$AJ$532&amp;'Gastos com Pessoal'!$I$512:$AJ$512,0),10,1)),0)+_xlfn.IFNA(SUM((BJ$3&gt;='Gastos com Pessoal'!$E$513:$E$522)*(BJ$3&lt;='Gastos com Pessoal'!$F$513:$F$522)*(IF('Gastos com Pessoal'!$S$513:$S$522&lt;=BJ$3,1,0))*OFFSET('Gastos com Pessoal'!$H$512,1,MATCH(3&amp;$B52,'Gastos com Pessoal'!$I$532:$AJ$532&amp;'Gastos com Pessoal'!$I$512:$AJ$512,0),10,1)),0)+_xlfn.IFNA(SUM((BJ$3&gt;='Gastos com Pessoal'!$E$513:$E$522)*(BJ$3&lt;='Gastos com Pessoal'!$F$513:$F$522)*(IF('Gastos com Pessoal'!$Y$513:$Y$522&lt;=BJ$3,1,0))*OFFSET('Gastos com Pessoal'!$H$512,1,MATCH(4&amp;$B52,'Gastos com Pessoal'!$I$532:$AJ$532&amp;'Gastos com Pessoal'!$I$512:$AJ$512,0),10,1)),0)+_xlfn.IFNA(SUM((BJ$3&gt;='Gastos com Pessoal'!$E$513:$E$522)*(BJ$3&lt;='Gastos com Pessoal'!$F$513:$F$522)*(IF('Gastos com Pessoal'!$AE$513:$AE$522&lt;=BJ$3,1,0))*OFFSET('Gastos com Pessoal'!$H$512,1,MATCH(5&amp;$B52,'Gastos com Pessoal'!$I$532:$AJ$532&amp;'Gastos com Pessoal'!$I$512:$AJ$512,0),10,1)),0)</f>
        <v>5040</v>
      </c>
      <c r="BK52" s="189">
        <f t="shared" ca="1" si="28"/>
        <v>292362</v>
      </c>
      <c r="BL52" s="136">
        <f t="shared" ca="1" si="29"/>
        <v>8.7381295347406811E-4</v>
      </c>
      <c r="BN52" s="188">
        <f t="array" aca="1" ref="BN52" ca="1">_xlfn.IFNA(SUM((BN$3&gt;='Gastos com Pessoal'!$E$7:$E$506)*(BN$3&lt;='Gastos com Pessoal'!$F$7:$F$506)*OFFSET('Encargos e Benefícios'!$D$5,1,MATCH($B52,'Encargos e Benefícios'!$E$5:$AB$5,0),500,1)),0)+_xlfn.IFNA(SUM((BN$3&gt;='Gastos com Pessoal'!$E$513:$E$522)*(BN$3&lt;='Gastos com Pessoal'!$F$513:$F$522)*OFFSET('Encargos e Benefícios'!$D$511,1,MATCH($B52,'Encargos e Benefícios'!$E$511:$AB$511,0),10,1)),0)+_xlfn.IFNA(SUM((BN$3&gt;='Gastos com Pessoal'!$E$7:$E$506)*(BN$3&lt;='Gastos com Pessoal'!$F$7:$F$506)*(IF('Gastos com Pessoal'!$G$7:$G$506&lt;=BN$3,1,0))*OFFSET('Gastos com Pessoal'!$H$6,1,MATCH(1&amp;$B52,'Gastos com Pessoal'!$I$532:$AJ$532&amp;'Gastos com Pessoal'!$I$6:$AJ$6,0),500,1)),0)+_xlfn.IFNA(SUM((BN$3&gt;='Gastos com Pessoal'!$E$7:$E$506)*(BN$3&lt;='Gastos com Pessoal'!$F$7:$F$506)*(IF('Gastos com Pessoal'!$M$7:$M$506&lt;=BN$3,1,0))*OFFSET('Gastos com Pessoal'!$H$6,1,MATCH(2&amp;$B52,'Gastos com Pessoal'!$I$532:$AJ$532&amp;'Gastos com Pessoal'!$I$6:$AJ$6,0),500,1)),0)+_xlfn.IFNA(SUM((BN$3&gt;='Gastos com Pessoal'!$E$7:$E$506)*(BN$3&lt;='Gastos com Pessoal'!$F$7:$F$506)*(IF('Gastos com Pessoal'!$S$7:$S$506&lt;=BN$3,1,0))*OFFSET('Gastos com Pessoal'!$H$6,1,MATCH(3&amp;$B52,'Gastos com Pessoal'!$I$532:$AJ$532&amp;'Gastos com Pessoal'!$I$6:$AJ$6,0),500,1)),0)+_xlfn.IFNA(SUM((BN$3&gt;='Gastos com Pessoal'!$E$7:$E$506)*(BN$3&lt;='Gastos com Pessoal'!$F$7:$F$506)*(IF('Gastos com Pessoal'!$Y$7:$Y$506&lt;=BN$3,1,0))*OFFSET('Gastos com Pessoal'!$H$6,1,MATCH(4&amp;$B52,'Gastos com Pessoal'!$I$532:$AJ$532&amp;'Gastos com Pessoal'!$I$6:$AJ$6,0),500,1)),0)+_xlfn.IFNA(SUM((BN$3&gt;='Gastos com Pessoal'!$E$7:$E$506)*(BN$3&lt;='Gastos com Pessoal'!$F$7:$F$506)*(IF('Gastos com Pessoal'!$AE$7:$AE$506&lt;=BN$3,1,0))*OFFSET('Gastos com Pessoal'!$H$6,1,MATCH(5&amp;$B52,'Gastos com Pessoal'!$I$532:$AJ$532&amp;'Gastos com Pessoal'!$I$6:$AJ$6,0),500,1)),0)+_xlfn.IFNA(SUM((BN$3&gt;='Gastos com Pessoal'!$E$513:$E$522)*(BN$3&lt;='Gastos com Pessoal'!$F$513:$F$522)*(IF('Gastos com Pessoal'!$G$513:$G$522&lt;=BN$3,1,0))*OFFSET('Gastos com Pessoal'!$H$512,1,MATCH(1&amp;$B52,'Gastos com Pessoal'!$I$532:$AJ$532&amp;'Gastos com Pessoal'!$I$512:$AJ$512,0),10,1)),0)+_xlfn.IFNA(SUM((BN$3&gt;='Gastos com Pessoal'!$E$513:$E$522)*(BN$3&lt;='Gastos com Pessoal'!$F$513:$F$522)*(IF('Gastos com Pessoal'!$M$513:$M$522&lt;=BN$3,1,0))*OFFSET('Gastos com Pessoal'!$H$512,1,MATCH(2&amp;$B52,'Gastos com Pessoal'!$I$532:$AJ$532&amp;'Gastos com Pessoal'!$I$512:$AJ$512,0),10,1)),0)+_xlfn.IFNA(SUM((BN$3&gt;='Gastos com Pessoal'!$E$513:$E$522)*(BN$3&lt;='Gastos com Pessoal'!$F$513:$F$522)*(IF('Gastos com Pessoal'!$S$513:$S$522&lt;=BN$3,1,0))*OFFSET('Gastos com Pessoal'!$H$512,1,MATCH(3&amp;$B52,'Gastos com Pessoal'!$I$532:$AJ$532&amp;'Gastos com Pessoal'!$I$512:$AJ$512,0),10,1)),0)+_xlfn.IFNA(SUM((BN$3&gt;='Gastos com Pessoal'!$E$513:$E$522)*(BN$3&lt;='Gastos com Pessoal'!$F$513:$F$522)*(IF('Gastos com Pessoal'!$Y$513:$Y$522&lt;=BN$3,1,0))*OFFSET('Gastos com Pessoal'!$H$512,1,MATCH(4&amp;$B52,'Gastos com Pessoal'!$I$532:$AJ$532&amp;'Gastos com Pessoal'!$I$512:$AJ$512,0),10,1)),0)+_xlfn.IFNA(SUM((BN$3&gt;='Gastos com Pessoal'!$E$513:$E$522)*(BN$3&lt;='Gastos com Pessoal'!$F$513:$F$522)*(IF('Gastos com Pessoal'!$AE$513:$AE$522&lt;=BN$3,1,0))*OFFSET('Gastos com Pessoal'!$H$512,1,MATCH(5&amp;$B52,'Gastos com Pessoal'!$I$532:$AJ$532&amp;'Gastos com Pessoal'!$I$512:$AJ$512,0),10,1)),0)</f>
        <v>3990</v>
      </c>
    </row>
    <row r="53" spans="1:66" s="160" customFormat="1" ht="23.25" customHeight="1">
      <c r="A53" s="80" t="s">
        <v>188</v>
      </c>
      <c r="B53" s="81" t="s">
        <v>189</v>
      </c>
      <c r="C53" s="188">
        <f t="shared" ca="1" si="27"/>
        <v>0</v>
      </c>
      <c r="D53" s="188">
        <f t="array" aca="1" ref="D53" ca="1">_xlfn.IFNA(SUM((D$3&gt;='Gastos com Pessoal'!$E$7:$E$506)*(D$3&lt;='Gastos com Pessoal'!$F$7:$F$506)*OFFSET('Encargos e Benefícios'!$D$5,1,MATCH($B53,'Encargos e Benefícios'!$E$5:$AB$5,0),500,1)),0)+_xlfn.IFNA(SUM((D$3&gt;='Gastos com Pessoal'!$E$513:$E$522)*(D$3&lt;='Gastos com Pessoal'!$F$513:$F$522)*OFFSET('Encargos e Benefícios'!$D$511,1,MATCH($B53,'Encargos e Benefícios'!$E$511:$AB$511,0),10,1)),0)+_xlfn.IFNA(SUM((D$3&gt;='Gastos com Pessoal'!$E$7:$E$506)*(D$3&lt;='Gastos com Pessoal'!$F$7:$F$506)*(IF('Gastos com Pessoal'!$G$7:$G$506&lt;=D$3,1,0))*OFFSET('Gastos com Pessoal'!$H$6,1,MATCH(1&amp;$B53,'Gastos com Pessoal'!$I$532:$AJ$532&amp;'Gastos com Pessoal'!$I$6:$AJ$6,0),500,1)),0)+_xlfn.IFNA(SUM((D$3&gt;='Gastos com Pessoal'!$E$7:$E$506)*(D$3&lt;='Gastos com Pessoal'!$F$7:$F$506)*(IF('Gastos com Pessoal'!$M$7:$M$506&lt;=D$3,1,0))*OFFSET('Gastos com Pessoal'!$H$6,1,MATCH(2&amp;$B53,'Gastos com Pessoal'!$I$532:$AJ$532&amp;'Gastos com Pessoal'!$I$6:$AJ$6,0),500,1)),0)+_xlfn.IFNA(SUM((D$3&gt;='Gastos com Pessoal'!$E$7:$E$506)*(D$3&lt;='Gastos com Pessoal'!$F$7:$F$506)*(IF('Gastos com Pessoal'!$S$7:$S$506&lt;=D$3,1,0))*OFFSET('Gastos com Pessoal'!$H$6,1,MATCH(3&amp;$B53,'Gastos com Pessoal'!$I$532:$AJ$532&amp;'Gastos com Pessoal'!$I$6:$AJ$6,0),500,1)),0)+_xlfn.IFNA(SUM((D$3&gt;='Gastos com Pessoal'!$E$7:$E$506)*(D$3&lt;='Gastos com Pessoal'!$F$7:$F$506)*(IF('Gastos com Pessoal'!$Y$7:$Y$506&lt;=D$3,1,0))*OFFSET('Gastos com Pessoal'!$H$6,1,MATCH(4&amp;$B53,'Gastos com Pessoal'!$I$532:$AJ$532&amp;'Gastos com Pessoal'!$I$6:$AJ$6,0),500,1)),0)+_xlfn.IFNA(SUM((D$3&gt;='Gastos com Pessoal'!$E$7:$E$506)*(D$3&lt;='Gastos com Pessoal'!$F$7:$F$506)*(IF('Gastos com Pessoal'!$AE$7:$AE$506&lt;=D$3,1,0))*OFFSET('Gastos com Pessoal'!$H$6,1,MATCH(5&amp;$B53,'Gastos com Pessoal'!$I$532:$AJ$532&amp;'Gastos com Pessoal'!$I$6:$AJ$6,0),500,1)),0)+_xlfn.IFNA(SUM((D$3&gt;='Gastos com Pessoal'!$E$513:$E$522)*(D$3&lt;='Gastos com Pessoal'!$F$513:$F$522)*(IF('Gastos com Pessoal'!$G$513:$G$522&lt;=D$3,1,0))*OFFSET('Gastos com Pessoal'!$H$512,1,MATCH(1&amp;$B53,'Gastos com Pessoal'!$I$532:$AJ$532&amp;'Gastos com Pessoal'!$I$512:$AJ$512,0),10,1)),0)+_xlfn.IFNA(SUM((D$3&gt;='Gastos com Pessoal'!$E$513:$E$522)*(D$3&lt;='Gastos com Pessoal'!$F$513:$F$522)*(IF('Gastos com Pessoal'!$M$513:$M$522&lt;=D$3,1,0))*OFFSET('Gastos com Pessoal'!$H$512,1,MATCH(2&amp;$B53,'Gastos com Pessoal'!$I$532:$AJ$532&amp;'Gastos com Pessoal'!$I$512:$AJ$512,0),10,1)),0)+_xlfn.IFNA(SUM((D$3&gt;='Gastos com Pessoal'!$E$513:$E$522)*(D$3&lt;='Gastos com Pessoal'!$F$513:$F$522)*(IF('Gastos com Pessoal'!$S$513:$S$522&lt;=D$3,1,0))*OFFSET('Gastos com Pessoal'!$H$512,1,MATCH(3&amp;$B53,'Gastos com Pessoal'!$I$532:$AJ$532&amp;'Gastos com Pessoal'!$I$512:$AJ$512,0),10,1)),0)+_xlfn.IFNA(SUM((D$3&gt;='Gastos com Pessoal'!$E$513:$E$522)*(D$3&lt;='Gastos com Pessoal'!$F$513:$F$522)*(IF('Gastos com Pessoal'!$Y$513:$Y$522&lt;=D$3,1,0))*OFFSET('Gastos com Pessoal'!$H$512,1,MATCH(4&amp;$B53,'Gastos com Pessoal'!$I$532:$AJ$532&amp;'Gastos com Pessoal'!$I$512:$AJ$512,0),10,1)),0)+_xlfn.IFNA(SUM((D$3&gt;='Gastos com Pessoal'!$E$513:$E$522)*(D$3&lt;='Gastos com Pessoal'!$F$513:$F$522)*(IF('Gastos com Pessoal'!$AE$513:$AE$522&lt;=D$3,1,0))*OFFSET('Gastos com Pessoal'!$H$512,1,MATCH(5&amp;$B53,'Gastos com Pessoal'!$I$532:$AJ$532&amp;'Gastos com Pessoal'!$I$512:$AJ$512,0),10,1)),0)</f>
        <v>0</v>
      </c>
      <c r="E53" s="188">
        <f t="array" aca="1" ref="E53" ca="1">_xlfn.IFNA(SUM((E$3&gt;='Gastos com Pessoal'!$E$7:$E$506)*(E$3&lt;='Gastos com Pessoal'!$F$7:$F$506)*OFFSET('Encargos e Benefícios'!$D$5,1,MATCH($B53,'Encargos e Benefícios'!$E$5:$AB$5,0),500,1)),0)+_xlfn.IFNA(SUM((E$3&gt;='Gastos com Pessoal'!$E$513:$E$522)*(E$3&lt;='Gastos com Pessoal'!$F$513:$F$522)*OFFSET('Encargos e Benefícios'!$D$511,1,MATCH($B53,'Encargos e Benefícios'!$E$511:$AB$511,0),10,1)),0)+_xlfn.IFNA(SUM((E$3&gt;='Gastos com Pessoal'!$E$7:$E$506)*(E$3&lt;='Gastos com Pessoal'!$F$7:$F$506)*(IF('Gastos com Pessoal'!$G$7:$G$506&lt;=E$3,1,0))*OFFSET('Gastos com Pessoal'!$H$6,1,MATCH(1&amp;$B53,'Gastos com Pessoal'!$I$532:$AJ$532&amp;'Gastos com Pessoal'!$I$6:$AJ$6,0),500,1)),0)+_xlfn.IFNA(SUM((E$3&gt;='Gastos com Pessoal'!$E$7:$E$506)*(E$3&lt;='Gastos com Pessoal'!$F$7:$F$506)*(IF('Gastos com Pessoal'!$M$7:$M$506&lt;=E$3,1,0))*OFFSET('Gastos com Pessoal'!$H$6,1,MATCH(2&amp;$B53,'Gastos com Pessoal'!$I$532:$AJ$532&amp;'Gastos com Pessoal'!$I$6:$AJ$6,0),500,1)),0)+_xlfn.IFNA(SUM((E$3&gt;='Gastos com Pessoal'!$E$7:$E$506)*(E$3&lt;='Gastos com Pessoal'!$F$7:$F$506)*(IF('Gastos com Pessoal'!$S$7:$S$506&lt;=E$3,1,0))*OFFSET('Gastos com Pessoal'!$H$6,1,MATCH(3&amp;$B53,'Gastos com Pessoal'!$I$532:$AJ$532&amp;'Gastos com Pessoal'!$I$6:$AJ$6,0),500,1)),0)+_xlfn.IFNA(SUM((E$3&gt;='Gastos com Pessoal'!$E$7:$E$506)*(E$3&lt;='Gastos com Pessoal'!$F$7:$F$506)*(IF('Gastos com Pessoal'!$Y$7:$Y$506&lt;=E$3,1,0))*OFFSET('Gastos com Pessoal'!$H$6,1,MATCH(4&amp;$B53,'Gastos com Pessoal'!$I$532:$AJ$532&amp;'Gastos com Pessoal'!$I$6:$AJ$6,0),500,1)),0)+_xlfn.IFNA(SUM((E$3&gt;='Gastos com Pessoal'!$E$7:$E$506)*(E$3&lt;='Gastos com Pessoal'!$F$7:$F$506)*(IF('Gastos com Pessoal'!$AE$7:$AE$506&lt;=E$3,1,0))*OFFSET('Gastos com Pessoal'!$H$6,1,MATCH(5&amp;$B53,'Gastos com Pessoal'!$I$532:$AJ$532&amp;'Gastos com Pessoal'!$I$6:$AJ$6,0),500,1)),0)+_xlfn.IFNA(SUM((E$3&gt;='Gastos com Pessoal'!$E$513:$E$522)*(E$3&lt;='Gastos com Pessoal'!$F$513:$F$522)*(IF('Gastos com Pessoal'!$G$513:$G$522&lt;=E$3,1,0))*OFFSET('Gastos com Pessoal'!$H$512,1,MATCH(1&amp;$B53,'Gastos com Pessoal'!$I$532:$AJ$532&amp;'Gastos com Pessoal'!$I$512:$AJ$512,0),10,1)),0)+_xlfn.IFNA(SUM((E$3&gt;='Gastos com Pessoal'!$E$513:$E$522)*(E$3&lt;='Gastos com Pessoal'!$F$513:$F$522)*(IF('Gastos com Pessoal'!$M$513:$M$522&lt;=E$3,1,0))*OFFSET('Gastos com Pessoal'!$H$512,1,MATCH(2&amp;$B53,'Gastos com Pessoal'!$I$532:$AJ$532&amp;'Gastos com Pessoal'!$I$512:$AJ$512,0),10,1)),0)+_xlfn.IFNA(SUM((E$3&gt;='Gastos com Pessoal'!$E$513:$E$522)*(E$3&lt;='Gastos com Pessoal'!$F$513:$F$522)*(IF('Gastos com Pessoal'!$S$513:$S$522&lt;=E$3,1,0))*OFFSET('Gastos com Pessoal'!$H$512,1,MATCH(3&amp;$B53,'Gastos com Pessoal'!$I$532:$AJ$532&amp;'Gastos com Pessoal'!$I$512:$AJ$512,0),10,1)),0)+_xlfn.IFNA(SUM((E$3&gt;='Gastos com Pessoal'!$E$513:$E$522)*(E$3&lt;='Gastos com Pessoal'!$F$513:$F$522)*(IF('Gastos com Pessoal'!$Y$513:$Y$522&lt;=E$3,1,0))*OFFSET('Gastos com Pessoal'!$H$512,1,MATCH(4&amp;$B53,'Gastos com Pessoal'!$I$532:$AJ$532&amp;'Gastos com Pessoal'!$I$512:$AJ$512,0),10,1)),0)+_xlfn.IFNA(SUM((E$3&gt;='Gastos com Pessoal'!$E$513:$E$522)*(E$3&lt;='Gastos com Pessoal'!$F$513:$F$522)*(IF('Gastos com Pessoal'!$AE$513:$AE$522&lt;=E$3,1,0))*OFFSET('Gastos com Pessoal'!$H$512,1,MATCH(5&amp;$B53,'Gastos com Pessoal'!$I$532:$AJ$532&amp;'Gastos com Pessoal'!$I$512:$AJ$512,0),10,1)),0)</f>
        <v>0</v>
      </c>
      <c r="F53" s="188">
        <f t="array" aca="1" ref="F53" ca="1">_xlfn.IFNA(SUM((F$3&gt;='Gastos com Pessoal'!$E$7:$E$506)*(F$3&lt;='Gastos com Pessoal'!$F$7:$F$506)*OFFSET('Encargos e Benefícios'!$D$5,1,MATCH($B53,'Encargos e Benefícios'!$E$5:$AB$5,0),500,1)),0)+_xlfn.IFNA(SUM((F$3&gt;='Gastos com Pessoal'!$E$513:$E$522)*(F$3&lt;='Gastos com Pessoal'!$F$513:$F$522)*OFFSET('Encargos e Benefícios'!$D$511,1,MATCH($B53,'Encargos e Benefícios'!$E$511:$AB$511,0),10,1)),0)+_xlfn.IFNA(SUM((F$3&gt;='Gastos com Pessoal'!$E$7:$E$506)*(F$3&lt;='Gastos com Pessoal'!$F$7:$F$506)*(IF('Gastos com Pessoal'!$G$7:$G$506&lt;=F$3,1,0))*OFFSET('Gastos com Pessoal'!$H$6,1,MATCH(1&amp;$B53,'Gastos com Pessoal'!$I$532:$AJ$532&amp;'Gastos com Pessoal'!$I$6:$AJ$6,0),500,1)),0)+_xlfn.IFNA(SUM((F$3&gt;='Gastos com Pessoal'!$E$7:$E$506)*(F$3&lt;='Gastos com Pessoal'!$F$7:$F$506)*(IF('Gastos com Pessoal'!$M$7:$M$506&lt;=F$3,1,0))*OFFSET('Gastos com Pessoal'!$H$6,1,MATCH(2&amp;$B53,'Gastos com Pessoal'!$I$532:$AJ$532&amp;'Gastos com Pessoal'!$I$6:$AJ$6,0),500,1)),0)+_xlfn.IFNA(SUM((F$3&gt;='Gastos com Pessoal'!$E$7:$E$506)*(F$3&lt;='Gastos com Pessoal'!$F$7:$F$506)*(IF('Gastos com Pessoal'!$S$7:$S$506&lt;=F$3,1,0))*OFFSET('Gastos com Pessoal'!$H$6,1,MATCH(3&amp;$B53,'Gastos com Pessoal'!$I$532:$AJ$532&amp;'Gastos com Pessoal'!$I$6:$AJ$6,0),500,1)),0)+_xlfn.IFNA(SUM((F$3&gt;='Gastos com Pessoal'!$E$7:$E$506)*(F$3&lt;='Gastos com Pessoal'!$F$7:$F$506)*(IF('Gastos com Pessoal'!$Y$7:$Y$506&lt;=F$3,1,0))*OFFSET('Gastos com Pessoal'!$H$6,1,MATCH(4&amp;$B53,'Gastos com Pessoal'!$I$532:$AJ$532&amp;'Gastos com Pessoal'!$I$6:$AJ$6,0),500,1)),0)+_xlfn.IFNA(SUM((F$3&gt;='Gastos com Pessoal'!$E$7:$E$506)*(F$3&lt;='Gastos com Pessoal'!$F$7:$F$506)*(IF('Gastos com Pessoal'!$AE$7:$AE$506&lt;=F$3,1,0))*OFFSET('Gastos com Pessoal'!$H$6,1,MATCH(5&amp;$B53,'Gastos com Pessoal'!$I$532:$AJ$532&amp;'Gastos com Pessoal'!$I$6:$AJ$6,0),500,1)),0)+_xlfn.IFNA(SUM((F$3&gt;='Gastos com Pessoal'!$E$513:$E$522)*(F$3&lt;='Gastos com Pessoal'!$F$513:$F$522)*(IF('Gastos com Pessoal'!$G$513:$G$522&lt;=F$3,1,0))*OFFSET('Gastos com Pessoal'!$H$512,1,MATCH(1&amp;$B53,'Gastos com Pessoal'!$I$532:$AJ$532&amp;'Gastos com Pessoal'!$I$512:$AJ$512,0),10,1)),0)+_xlfn.IFNA(SUM((F$3&gt;='Gastos com Pessoal'!$E$513:$E$522)*(F$3&lt;='Gastos com Pessoal'!$F$513:$F$522)*(IF('Gastos com Pessoal'!$M$513:$M$522&lt;=F$3,1,0))*OFFSET('Gastos com Pessoal'!$H$512,1,MATCH(2&amp;$B53,'Gastos com Pessoal'!$I$532:$AJ$532&amp;'Gastos com Pessoal'!$I$512:$AJ$512,0),10,1)),0)+_xlfn.IFNA(SUM((F$3&gt;='Gastos com Pessoal'!$E$513:$E$522)*(F$3&lt;='Gastos com Pessoal'!$F$513:$F$522)*(IF('Gastos com Pessoal'!$S$513:$S$522&lt;=F$3,1,0))*OFFSET('Gastos com Pessoal'!$H$512,1,MATCH(3&amp;$B53,'Gastos com Pessoal'!$I$532:$AJ$532&amp;'Gastos com Pessoal'!$I$512:$AJ$512,0),10,1)),0)+_xlfn.IFNA(SUM((F$3&gt;='Gastos com Pessoal'!$E$513:$E$522)*(F$3&lt;='Gastos com Pessoal'!$F$513:$F$522)*(IF('Gastos com Pessoal'!$Y$513:$Y$522&lt;=F$3,1,0))*OFFSET('Gastos com Pessoal'!$H$512,1,MATCH(4&amp;$B53,'Gastos com Pessoal'!$I$532:$AJ$532&amp;'Gastos com Pessoal'!$I$512:$AJ$512,0),10,1)),0)+_xlfn.IFNA(SUM((F$3&gt;='Gastos com Pessoal'!$E$513:$E$522)*(F$3&lt;='Gastos com Pessoal'!$F$513:$F$522)*(IF('Gastos com Pessoal'!$AE$513:$AE$522&lt;=F$3,1,0))*OFFSET('Gastos com Pessoal'!$H$512,1,MATCH(5&amp;$B53,'Gastos com Pessoal'!$I$532:$AJ$532&amp;'Gastos com Pessoal'!$I$512:$AJ$512,0),10,1)),0)</f>
        <v>0</v>
      </c>
      <c r="G53" s="188">
        <f t="array" aca="1" ref="G53" ca="1">_xlfn.IFNA(SUM((G$3&gt;='Gastos com Pessoal'!$E$7:$E$506)*(G$3&lt;='Gastos com Pessoal'!$F$7:$F$506)*OFFSET('Encargos e Benefícios'!$D$5,1,MATCH($B53,'Encargos e Benefícios'!$E$5:$AB$5,0),500,1)),0)+_xlfn.IFNA(SUM((G$3&gt;='Gastos com Pessoal'!$E$513:$E$522)*(G$3&lt;='Gastos com Pessoal'!$F$513:$F$522)*OFFSET('Encargos e Benefícios'!$D$511,1,MATCH($B53,'Encargos e Benefícios'!$E$511:$AB$511,0),10,1)),0)+_xlfn.IFNA(SUM((G$3&gt;='Gastos com Pessoal'!$E$7:$E$506)*(G$3&lt;='Gastos com Pessoal'!$F$7:$F$506)*(IF('Gastos com Pessoal'!$G$7:$G$506&lt;=G$3,1,0))*OFFSET('Gastos com Pessoal'!$H$6,1,MATCH(1&amp;$B53,'Gastos com Pessoal'!$I$532:$AJ$532&amp;'Gastos com Pessoal'!$I$6:$AJ$6,0),500,1)),0)+_xlfn.IFNA(SUM((G$3&gt;='Gastos com Pessoal'!$E$7:$E$506)*(G$3&lt;='Gastos com Pessoal'!$F$7:$F$506)*(IF('Gastos com Pessoal'!$M$7:$M$506&lt;=G$3,1,0))*OFFSET('Gastos com Pessoal'!$H$6,1,MATCH(2&amp;$B53,'Gastos com Pessoal'!$I$532:$AJ$532&amp;'Gastos com Pessoal'!$I$6:$AJ$6,0),500,1)),0)+_xlfn.IFNA(SUM((G$3&gt;='Gastos com Pessoal'!$E$7:$E$506)*(G$3&lt;='Gastos com Pessoal'!$F$7:$F$506)*(IF('Gastos com Pessoal'!$S$7:$S$506&lt;=G$3,1,0))*OFFSET('Gastos com Pessoal'!$H$6,1,MATCH(3&amp;$B53,'Gastos com Pessoal'!$I$532:$AJ$532&amp;'Gastos com Pessoal'!$I$6:$AJ$6,0),500,1)),0)+_xlfn.IFNA(SUM((G$3&gt;='Gastos com Pessoal'!$E$7:$E$506)*(G$3&lt;='Gastos com Pessoal'!$F$7:$F$506)*(IF('Gastos com Pessoal'!$Y$7:$Y$506&lt;=G$3,1,0))*OFFSET('Gastos com Pessoal'!$H$6,1,MATCH(4&amp;$B53,'Gastos com Pessoal'!$I$532:$AJ$532&amp;'Gastos com Pessoal'!$I$6:$AJ$6,0),500,1)),0)+_xlfn.IFNA(SUM((G$3&gt;='Gastos com Pessoal'!$E$7:$E$506)*(G$3&lt;='Gastos com Pessoal'!$F$7:$F$506)*(IF('Gastos com Pessoal'!$AE$7:$AE$506&lt;=G$3,1,0))*OFFSET('Gastos com Pessoal'!$H$6,1,MATCH(5&amp;$B53,'Gastos com Pessoal'!$I$532:$AJ$532&amp;'Gastos com Pessoal'!$I$6:$AJ$6,0),500,1)),0)+_xlfn.IFNA(SUM((G$3&gt;='Gastos com Pessoal'!$E$513:$E$522)*(G$3&lt;='Gastos com Pessoal'!$F$513:$F$522)*(IF('Gastos com Pessoal'!$G$513:$G$522&lt;=G$3,1,0))*OFFSET('Gastos com Pessoal'!$H$512,1,MATCH(1&amp;$B53,'Gastos com Pessoal'!$I$532:$AJ$532&amp;'Gastos com Pessoal'!$I$512:$AJ$512,0),10,1)),0)+_xlfn.IFNA(SUM((G$3&gt;='Gastos com Pessoal'!$E$513:$E$522)*(G$3&lt;='Gastos com Pessoal'!$F$513:$F$522)*(IF('Gastos com Pessoal'!$M$513:$M$522&lt;=G$3,1,0))*OFFSET('Gastos com Pessoal'!$H$512,1,MATCH(2&amp;$B53,'Gastos com Pessoal'!$I$532:$AJ$532&amp;'Gastos com Pessoal'!$I$512:$AJ$512,0),10,1)),0)+_xlfn.IFNA(SUM((G$3&gt;='Gastos com Pessoal'!$E$513:$E$522)*(G$3&lt;='Gastos com Pessoal'!$F$513:$F$522)*(IF('Gastos com Pessoal'!$S$513:$S$522&lt;=G$3,1,0))*OFFSET('Gastos com Pessoal'!$H$512,1,MATCH(3&amp;$B53,'Gastos com Pessoal'!$I$532:$AJ$532&amp;'Gastos com Pessoal'!$I$512:$AJ$512,0),10,1)),0)+_xlfn.IFNA(SUM((G$3&gt;='Gastos com Pessoal'!$E$513:$E$522)*(G$3&lt;='Gastos com Pessoal'!$F$513:$F$522)*(IF('Gastos com Pessoal'!$Y$513:$Y$522&lt;=G$3,1,0))*OFFSET('Gastos com Pessoal'!$H$512,1,MATCH(4&amp;$B53,'Gastos com Pessoal'!$I$532:$AJ$532&amp;'Gastos com Pessoal'!$I$512:$AJ$512,0),10,1)),0)+_xlfn.IFNA(SUM((G$3&gt;='Gastos com Pessoal'!$E$513:$E$522)*(G$3&lt;='Gastos com Pessoal'!$F$513:$F$522)*(IF('Gastos com Pessoal'!$AE$513:$AE$522&lt;=G$3,1,0))*OFFSET('Gastos com Pessoal'!$H$512,1,MATCH(5&amp;$B53,'Gastos com Pessoal'!$I$532:$AJ$532&amp;'Gastos com Pessoal'!$I$512:$AJ$512,0),10,1)),0)</f>
        <v>0</v>
      </c>
      <c r="H53" s="188">
        <f t="array" aca="1" ref="H53" ca="1">_xlfn.IFNA(SUM((H$3&gt;='Gastos com Pessoal'!$E$7:$E$506)*(H$3&lt;='Gastos com Pessoal'!$F$7:$F$506)*OFFSET('Encargos e Benefícios'!$D$5,1,MATCH($B53,'Encargos e Benefícios'!$E$5:$AB$5,0),500,1)),0)+_xlfn.IFNA(SUM((H$3&gt;='Gastos com Pessoal'!$E$513:$E$522)*(H$3&lt;='Gastos com Pessoal'!$F$513:$F$522)*OFFSET('Encargos e Benefícios'!$D$511,1,MATCH($B53,'Encargos e Benefícios'!$E$511:$AB$511,0),10,1)),0)+_xlfn.IFNA(SUM((H$3&gt;='Gastos com Pessoal'!$E$7:$E$506)*(H$3&lt;='Gastos com Pessoal'!$F$7:$F$506)*(IF('Gastos com Pessoal'!$G$7:$G$506&lt;=H$3,1,0))*OFFSET('Gastos com Pessoal'!$H$6,1,MATCH(1&amp;$B53,'Gastos com Pessoal'!$I$532:$AJ$532&amp;'Gastos com Pessoal'!$I$6:$AJ$6,0),500,1)),0)+_xlfn.IFNA(SUM((H$3&gt;='Gastos com Pessoal'!$E$7:$E$506)*(H$3&lt;='Gastos com Pessoal'!$F$7:$F$506)*(IF('Gastos com Pessoal'!$M$7:$M$506&lt;=H$3,1,0))*OFFSET('Gastos com Pessoal'!$H$6,1,MATCH(2&amp;$B53,'Gastos com Pessoal'!$I$532:$AJ$532&amp;'Gastos com Pessoal'!$I$6:$AJ$6,0),500,1)),0)+_xlfn.IFNA(SUM((H$3&gt;='Gastos com Pessoal'!$E$7:$E$506)*(H$3&lt;='Gastos com Pessoal'!$F$7:$F$506)*(IF('Gastos com Pessoal'!$S$7:$S$506&lt;=H$3,1,0))*OFFSET('Gastos com Pessoal'!$H$6,1,MATCH(3&amp;$B53,'Gastos com Pessoal'!$I$532:$AJ$532&amp;'Gastos com Pessoal'!$I$6:$AJ$6,0),500,1)),0)+_xlfn.IFNA(SUM((H$3&gt;='Gastos com Pessoal'!$E$7:$E$506)*(H$3&lt;='Gastos com Pessoal'!$F$7:$F$506)*(IF('Gastos com Pessoal'!$Y$7:$Y$506&lt;=H$3,1,0))*OFFSET('Gastos com Pessoal'!$H$6,1,MATCH(4&amp;$B53,'Gastos com Pessoal'!$I$532:$AJ$532&amp;'Gastos com Pessoal'!$I$6:$AJ$6,0),500,1)),0)+_xlfn.IFNA(SUM((H$3&gt;='Gastos com Pessoal'!$E$7:$E$506)*(H$3&lt;='Gastos com Pessoal'!$F$7:$F$506)*(IF('Gastos com Pessoal'!$AE$7:$AE$506&lt;=H$3,1,0))*OFFSET('Gastos com Pessoal'!$H$6,1,MATCH(5&amp;$B53,'Gastos com Pessoal'!$I$532:$AJ$532&amp;'Gastos com Pessoal'!$I$6:$AJ$6,0),500,1)),0)+_xlfn.IFNA(SUM((H$3&gt;='Gastos com Pessoal'!$E$513:$E$522)*(H$3&lt;='Gastos com Pessoal'!$F$513:$F$522)*(IF('Gastos com Pessoal'!$G$513:$G$522&lt;=H$3,1,0))*OFFSET('Gastos com Pessoal'!$H$512,1,MATCH(1&amp;$B53,'Gastos com Pessoal'!$I$532:$AJ$532&amp;'Gastos com Pessoal'!$I$512:$AJ$512,0),10,1)),0)+_xlfn.IFNA(SUM((H$3&gt;='Gastos com Pessoal'!$E$513:$E$522)*(H$3&lt;='Gastos com Pessoal'!$F$513:$F$522)*(IF('Gastos com Pessoal'!$M$513:$M$522&lt;=H$3,1,0))*OFFSET('Gastos com Pessoal'!$H$512,1,MATCH(2&amp;$B53,'Gastos com Pessoal'!$I$532:$AJ$532&amp;'Gastos com Pessoal'!$I$512:$AJ$512,0),10,1)),0)+_xlfn.IFNA(SUM((H$3&gt;='Gastos com Pessoal'!$E$513:$E$522)*(H$3&lt;='Gastos com Pessoal'!$F$513:$F$522)*(IF('Gastos com Pessoal'!$S$513:$S$522&lt;=H$3,1,0))*OFFSET('Gastos com Pessoal'!$H$512,1,MATCH(3&amp;$B53,'Gastos com Pessoal'!$I$532:$AJ$532&amp;'Gastos com Pessoal'!$I$512:$AJ$512,0),10,1)),0)+_xlfn.IFNA(SUM((H$3&gt;='Gastos com Pessoal'!$E$513:$E$522)*(H$3&lt;='Gastos com Pessoal'!$F$513:$F$522)*(IF('Gastos com Pessoal'!$Y$513:$Y$522&lt;=H$3,1,0))*OFFSET('Gastos com Pessoal'!$H$512,1,MATCH(4&amp;$B53,'Gastos com Pessoal'!$I$532:$AJ$532&amp;'Gastos com Pessoal'!$I$512:$AJ$512,0),10,1)),0)+_xlfn.IFNA(SUM((H$3&gt;='Gastos com Pessoal'!$E$513:$E$522)*(H$3&lt;='Gastos com Pessoal'!$F$513:$F$522)*(IF('Gastos com Pessoal'!$AE$513:$AE$522&lt;=H$3,1,0))*OFFSET('Gastos com Pessoal'!$H$512,1,MATCH(5&amp;$B53,'Gastos com Pessoal'!$I$532:$AJ$532&amp;'Gastos com Pessoal'!$I$512:$AJ$512,0),10,1)),0)</f>
        <v>0</v>
      </c>
      <c r="I53" s="188">
        <f t="array" aca="1" ref="I53" ca="1">_xlfn.IFNA(SUM((I$3&gt;='Gastos com Pessoal'!$E$7:$E$506)*(I$3&lt;='Gastos com Pessoal'!$F$7:$F$506)*OFFSET('Encargos e Benefícios'!$D$5,1,MATCH($B53,'Encargos e Benefícios'!$E$5:$AB$5,0),500,1)),0)+_xlfn.IFNA(SUM((I$3&gt;='Gastos com Pessoal'!$E$513:$E$522)*(I$3&lt;='Gastos com Pessoal'!$F$513:$F$522)*OFFSET('Encargos e Benefícios'!$D$511,1,MATCH($B53,'Encargos e Benefícios'!$E$511:$AB$511,0),10,1)),0)+_xlfn.IFNA(SUM((I$3&gt;='Gastos com Pessoal'!$E$7:$E$506)*(I$3&lt;='Gastos com Pessoal'!$F$7:$F$506)*(IF('Gastos com Pessoal'!$G$7:$G$506&lt;=I$3,1,0))*OFFSET('Gastos com Pessoal'!$H$6,1,MATCH(1&amp;$B53,'Gastos com Pessoal'!$I$532:$AJ$532&amp;'Gastos com Pessoal'!$I$6:$AJ$6,0),500,1)),0)+_xlfn.IFNA(SUM((I$3&gt;='Gastos com Pessoal'!$E$7:$E$506)*(I$3&lt;='Gastos com Pessoal'!$F$7:$F$506)*(IF('Gastos com Pessoal'!$M$7:$M$506&lt;=I$3,1,0))*OFFSET('Gastos com Pessoal'!$H$6,1,MATCH(2&amp;$B53,'Gastos com Pessoal'!$I$532:$AJ$532&amp;'Gastos com Pessoal'!$I$6:$AJ$6,0),500,1)),0)+_xlfn.IFNA(SUM((I$3&gt;='Gastos com Pessoal'!$E$7:$E$506)*(I$3&lt;='Gastos com Pessoal'!$F$7:$F$506)*(IF('Gastos com Pessoal'!$S$7:$S$506&lt;=I$3,1,0))*OFFSET('Gastos com Pessoal'!$H$6,1,MATCH(3&amp;$B53,'Gastos com Pessoal'!$I$532:$AJ$532&amp;'Gastos com Pessoal'!$I$6:$AJ$6,0),500,1)),0)+_xlfn.IFNA(SUM((I$3&gt;='Gastos com Pessoal'!$E$7:$E$506)*(I$3&lt;='Gastos com Pessoal'!$F$7:$F$506)*(IF('Gastos com Pessoal'!$Y$7:$Y$506&lt;=I$3,1,0))*OFFSET('Gastos com Pessoal'!$H$6,1,MATCH(4&amp;$B53,'Gastos com Pessoal'!$I$532:$AJ$532&amp;'Gastos com Pessoal'!$I$6:$AJ$6,0),500,1)),0)+_xlfn.IFNA(SUM((I$3&gt;='Gastos com Pessoal'!$E$7:$E$506)*(I$3&lt;='Gastos com Pessoal'!$F$7:$F$506)*(IF('Gastos com Pessoal'!$AE$7:$AE$506&lt;=I$3,1,0))*OFFSET('Gastos com Pessoal'!$H$6,1,MATCH(5&amp;$B53,'Gastos com Pessoal'!$I$532:$AJ$532&amp;'Gastos com Pessoal'!$I$6:$AJ$6,0),500,1)),0)+_xlfn.IFNA(SUM((I$3&gt;='Gastos com Pessoal'!$E$513:$E$522)*(I$3&lt;='Gastos com Pessoal'!$F$513:$F$522)*(IF('Gastos com Pessoal'!$G$513:$G$522&lt;=I$3,1,0))*OFFSET('Gastos com Pessoal'!$H$512,1,MATCH(1&amp;$B53,'Gastos com Pessoal'!$I$532:$AJ$532&amp;'Gastos com Pessoal'!$I$512:$AJ$512,0),10,1)),0)+_xlfn.IFNA(SUM((I$3&gt;='Gastos com Pessoal'!$E$513:$E$522)*(I$3&lt;='Gastos com Pessoal'!$F$513:$F$522)*(IF('Gastos com Pessoal'!$M$513:$M$522&lt;=I$3,1,0))*OFFSET('Gastos com Pessoal'!$H$512,1,MATCH(2&amp;$B53,'Gastos com Pessoal'!$I$532:$AJ$532&amp;'Gastos com Pessoal'!$I$512:$AJ$512,0),10,1)),0)+_xlfn.IFNA(SUM((I$3&gt;='Gastos com Pessoal'!$E$513:$E$522)*(I$3&lt;='Gastos com Pessoal'!$F$513:$F$522)*(IF('Gastos com Pessoal'!$S$513:$S$522&lt;=I$3,1,0))*OFFSET('Gastos com Pessoal'!$H$512,1,MATCH(3&amp;$B53,'Gastos com Pessoal'!$I$532:$AJ$532&amp;'Gastos com Pessoal'!$I$512:$AJ$512,0),10,1)),0)+_xlfn.IFNA(SUM((I$3&gt;='Gastos com Pessoal'!$E$513:$E$522)*(I$3&lt;='Gastos com Pessoal'!$F$513:$F$522)*(IF('Gastos com Pessoal'!$Y$513:$Y$522&lt;=I$3,1,0))*OFFSET('Gastos com Pessoal'!$H$512,1,MATCH(4&amp;$B53,'Gastos com Pessoal'!$I$532:$AJ$532&amp;'Gastos com Pessoal'!$I$512:$AJ$512,0),10,1)),0)+_xlfn.IFNA(SUM((I$3&gt;='Gastos com Pessoal'!$E$513:$E$522)*(I$3&lt;='Gastos com Pessoal'!$F$513:$F$522)*(IF('Gastos com Pessoal'!$AE$513:$AE$522&lt;=I$3,1,0))*OFFSET('Gastos com Pessoal'!$H$512,1,MATCH(5&amp;$B53,'Gastos com Pessoal'!$I$532:$AJ$532&amp;'Gastos com Pessoal'!$I$512:$AJ$512,0),10,1)),0)</f>
        <v>0</v>
      </c>
      <c r="J53" s="188">
        <f t="array" aca="1" ref="J53" ca="1">_xlfn.IFNA(SUM((J$3&gt;='Gastos com Pessoal'!$E$7:$E$506)*(J$3&lt;='Gastos com Pessoal'!$F$7:$F$506)*OFFSET('Encargos e Benefícios'!$D$5,1,MATCH($B53,'Encargos e Benefícios'!$E$5:$AB$5,0),500,1)),0)+_xlfn.IFNA(SUM((J$3&gt;='Gastos com Pessoal'!$E$513:$E$522)*(J$3&lt;='Gastos com Pessoal'!$F$513:$F$522)*OFFSET('Encargos e Benefícios'!$D$511,1,MATCH($B53,'Encargos e Benefícios'!$E$511:$AB$511,0),10,1)),0)+_xlfn.IFNA(SUM((J$3&gt;='Gastos com Pessoal'!$E$7:$E$506)*(J$3&lt;='Gastos com Pessoal'!$F$7:$F$506)*(IF('Gastos com Pessoal'!$G$7:$G$506&lt;=J$3,1,0))*OFFSET('Gastos com Pessoal'!$H$6,1,MATCH(1&amp;$B53,'Gastos com Pessoal'!$I$532:$AJ$532&amp;'Gastos com Pessoal'!$I$6:$AJ$6,0),500,1)),0)+_xlfn.IFNA(SUM((J$3&gt;='Gastos com Pessoal'!$E$7:$E$506)*(J$3&lt;='Gastos com Pessoal'!$F$7:$F$506)*(IF('Gastos com Pessoal'!$M$7:$M$506&lt;=J$3,1,0))*OFFSET('Gastos com Pessoal'!$H$6,1,MATCH(2&amp;$B53,'Gastos com Pessoal'!$I$532:$AJ$532&amp;'Gastos com Pessoal'!$I$6:$AJ$6,0),500,1)),0)+_xlfn.IFNA(SUM((J$3&gt;='Gastos com Pessoal'!$E$7:$E$506)*(J$3&lt;='Gastos com Pessoal'!$F$7:$F$506)*(IF('Gastos com Pessoal'!$S$7:$S$506&lt;=J$3,1,0))*OFFSET('Gastos com Pessoal'!$H$6,1,MATCH(3&amp;$B53,'Gastos com Pessoal'!$I$532:$AJ$532&amp;'Gastos com Pessoal'!$I$6:$AJ$6,0),500,1)),0)+_xlfn.IFNA(SUM((J$3&gt;='Gastos com Pessoal'!$E$7:$E$506)*(J$3&lt;='Gastos com Pessoal'!$F$7:$F$506)*(IF('Gastos com Pessoal'!$Y$7:$Y$506&lt;=J$3,1,0))*OFFSET('Gastos com Pessoal'!$H$6,1,MATCH(4&amp;$B53,'Gastos com Pessoal'!$I$532:$AJ$532&amp;'Gastos com Pessoal'!$I$6:$AJ$6,0),500,1)),0)+_xlfn.IFNA(SUM((J$3&gt;='Gastos com Pessoal'!$E$7:$E$506)*(J$3&lt;='Gastos com Pessoal'!$F$7:$F$506)*(IF('Gastos com Pessoal'!$AE$7:$AE$506&lt;=J$3,1,0))*OFFSET('Gastos com Pessoal'!$H$6,1,MATCH(5&amp;$B53,'Gastos com Pessoal'!$I$532:$AJ$532&amp;'Gastos com Pessoal'!$I$6:$AJ$6,0),500,1)),0)+_xlfn.IFNA(SUM((J$3&gt;='Gastos com Pessoal'!$E$513:$E$522)*(J$3&lt;='Gastos com Pessoal'!$F$513:$F$522)*(IF('Gastos com Pessoal'!$G$513:$G$522&lt;=J$3,1,0))*OFFSET('Gastos com Pessoal'!$H$512,1,MATCH(1&amp;$B53,'Gastos com Pessoal'!$I$532:$AJ$532&amp;'Gastos com Pessoal'!$I$512:$AJ$512,0),10,1)),0)+_xlfn.IFNA(SUM((J$3&gt;='Gastos com Pessoal'!$E$513:$E$522)*(J$3&lt;='Gastos com Pessoal'!$F$513:$F$522)*(IF('Gastos com Pessoal'!$M$513:$M$522&lt;=J$3,1,0))*OFFSET('Gastos com Pessoal'!$H$512,1,MATCH(2&amp;$B53,'Gastos com Pessoal'!$I$532:$AJ$532&amp;'Gastos com Pessoal'!$I$512:$AJ$512,0),10,1)),0)+_xlfn.IFNA(SUM((J$3&gt;='Gastos com Pessoal'!$E$513:$E$522)*(J$3&lt;='Gastos com Pessoal'!$F$513:$F$522)*(IF('Gastos com Pessoal'!$S$513:$S$522&lt;=J$3,1,0))*OFFSET('Gastos com Pessoal'!$H$512,1,MATCH(3&amp;$B53,'Gastos com Pessoal'!$I$532:$AJ$532&amp;'Gastos com Pessoal'!$I$512:$AJ$512,0),10,1)),0)+_xlfn.IFNA(SUM((J$3&gt;='Gastos com Pessoal'!$E$513:$E$522)*(J$3&lt;='Gastos com Pessoal'!$F$513:$F$522)*(IF('Gastos com Pessoal'!$Y$513:$Y$522&lt;=J$3,1,0))*OFFSET('Gastos com Pessoal'!$H$512,1,MATCH(4&amp;$B53,'Gastos com Pessoal'!$I$532:$AJ$532&amp;'Gastos com Pessoal'!$I$512:$AJ$512,0),10,1)),0)+_xlfn.IFNA(SUM((J$3&gt;='Gastos com Pessoal'!$E$513:$E$522)*(J$3&lt;='Gastos com Pessoal'!$F$513:$F$522)*(IF('Gastos com Pessoal'!$AE$513:$AE$522&lt;=J$3,1,0))*OFFSET('Gastos com Pessoal'!$H$512,1,MATCH(5&amp;$B53,'Gastos com Pessoal'!$I$532:$AJ$532&amp;'Gastos com Pessoal'!$I$512:$AJ$512,0),10,1)),0)</f>
        <v>0</v>
      </c>
      <c r="K53" s="188">
        <f t="array" aca="1" ref="K53" ca="1">_xlfn.IFNA(SUM((K$3&gt;='Gastos com Pessoal'!$E$7:$E$506)*(K$3&lt;='Gastos com Pessoal'!$F$7:$F$506)*OFFSET('Encargos e Benefícios'!$D$5,1,MATCH($B53,'Encargos e Benefícios'!$E$5:$AB$5,0),500,1)),0)+_xlfn.IFNA(SUM((K$3&gt;='Gastos com Pessoal'!$E$513:$E$522)*(K$3&lt;='Gastos com Pessoal'!$F$513:$F$522)*OFFSET('Encargos e Benefícios'!$D$511,1,MATCH($B53,'Encargos e Benefícios'!$E$511:$AB$511,0),10,1)),0)+_xlfn.IFNA(SUM((K$3&gt;='Gastos com Pessoal'!$E$7:$E$506)*(K$3&lt;='Gastos com Pessoal'!$F$7:$F$506)*(IF('Gastos com Pessoal'!$G$7:$G$506&lt;=K$3,1,0))*OFFSET('Gastos com Pessoal'!$H$6,1,MATCH(1&amp;$B53,'Gastos com Pessoal'!$I$532:$AJ$532&amp;'Gastos com Pessoal'!$I$6:$AJ$6,0),500,1)),0)+_xlfn.IFNA(SUM((K$3&gt;='Gastos com Pessoal'!$E$7:$E$506)*(K$3&lt;='Gastos com Pessoal'!$F$7:$F$506)*(IF('Gastos com Pessoal'!$M$7:$M$506&lt;=K$3,1,0))*OFFSET('Gastos com Pessoal'!$H$6,1,MATCH(2&amp;$B53,'Gastos com Pessoal'!$I$532:$AJ$532&amp;'Gastos com Pessoal'!$I$6:$AJ$6,0),500,1)),0)+_xlfn.IFNA(SUM((K$3&gt;='Gastos com Pessoal'!$E$7:$E$506)*(K$3&lt;='Gastos com Pessoal'!$F$7:$F$506)*(IF('Gastos com Pessoal'!$S$7:$S$506&lt;=K$3,1,0))*OFFSET('Gastos com Pessoal'!$H$6,1,MATCH(3&amp;$B53,'Gastos com Pessoal'!$I$532:$AJ$532&amp;'Gastos com Pessoal'!$I$6:$AJ$6,0),500,1)),0)+_xlfn.IFNA(SUM((K$3&gt;='Gastos com Pessoal'!$E$7:$E$506)*(K$3&lt;='Gastos com Pessoal'!$F$7:$F$506)*(IF('Gastos com Pessoal'!$Y$7:$Y$506&lt;=K$3,1,0))*OFFSET('Gastos com Pessoal'!$H$6,1,MATCH(4&amp;$B53,'Gastos com Pessoal'!$I$532:$AJ$532&amp;'Gastos com Pessoal'!$I$6:$AJ$6,0),500,1)),0)+_xlfn.IFNA(SUM((K$3&gt;='Gastos com Pessoal'!$E$7:$E$506)*(K$3&lt;='Gastos com Pessoal'!$F$7:$F$506)*(IF('Gastos com Pessoal'!$AE$7:$AE$506&lt;=K$3,1,0))*OFFSET('Gastos com Pessoal'!$H$6,1,MATCH(5&amp;$B53,'Gastos com Pessoal'!$I$532:$AJ$532&amp;'Gastos com Pessoal'!$I$6:$AJ$6,0),500,1)),0)+_xlfn.IFNA(SUM((K$3&gt;='Gastos com Pessoal'!$E$513:$E$522)*(K$3&lt;='Gastos com Pessoal'!$F$513:$F$522)*(IF('Gastos com Pessoal'!$G$513:$G$522&lt;=K$3,1,0))*OFFSET('Gastos com Pessoal'!$H$512,1,MATCH(1&amp;$B53,'Gastos com Pessoal'!$I$532:$AJ$532&amp;'Gastos com Pessoal'!$I$512:$AJ$512,0),10,1)),0)+_xlfn.IFNA(SUM((K$3&gt;='Gastos com Pessoal'!$E$513:$E$522)*(K$3&lt;='Gastos com Pessoal'!$F$513:$F$522)*(IF('Gastos com Pessoal'!$M$513:$M$522&lt;=K$3,1,0))*OFFSET('Gastos com Pessoal'!$H$512,1,MATCH(2&amp;$B53,'Gastos com Pessoal'!$I$532:$AJ$532&amp;'Gastos com Pessoal'!$I$512:$AJ$512,0),10,1)),0)+_xlfn.IFNA(SUM((K$3&gt;='Gastos com Pessoal'!$E$513:$E$522)*(K$3&lt;='Gastos com Pessoal'!$F$513:$F$522)*(IF('Gastos com Pessoal'!$S$513:$S$522&lt;=K$3,1,0))*OFFSET('Gastos com Pessoal'!$H$512,1,MATCH(3&amp;$B53,'Gastos com Pessoal'!$I$532:$AJ$532&amp;'Gastos com Pessoal'!$I$512:$AJ$512,0),10,1)),0)+_xlfn.IFNA(SUM((K$3&gt;='Gastos com Pessoal'!$E$513:$E$522)*(K$3&lt;='Gastos com Pessoal'!$F$513:$F$522)*(IF('Gastos com Pessoal'!$Y$513:$Y$522&lt;=K$3,1,0))*OFFSET('Gastos com Pessoal'!$H$512,1,MATCH(4&amp;$B53,'Gastos com Pessoal'!$I$532:$AJ$532&amp;'Gastos com Pessoal'!$I$512:$AJ$512,0),10,1)),0)+_xlfn.IFNA(SUM((K$3&gt;='Gastos com Pessoal'!$E$513:$E$522)*(K$3&lt;='Gastos com Pessoal'!$F$513:$F$522)*(IF('Gastos com Pessoal'!$AE$513:$AE$522&lt;=K$3,1,0))*OFFSET('Gastos com Pessoal'!$H$512,1,MATCH(5&amp;$B53,'Gastos com Pessoal'!$I$532:$AJ$532&amp;'Gastos com Pessoal'!$I$512:$AJ$512,0),10,1)),0)</f>
        <v>0</v>
      </c>
      <c r="L53" s="188">
        <f t="array" aca="1" ref="L53" ca="1">_xlfn.IFNA(SUM((L$3&gt;='Gastos com Pessoal'!$E$7:$E$506)*(L$3&lt;='Gastos com Pessoal'!$F$7:$F$506)*OFFSET('Encargos e Benefícios'!$D$5,1,MATCH($B53,'Encargos e Benefícios'!$E$5:$AB$5,0),500,1)),0)+_xlfn.IFNA(SUM((L$3&gt;='Gastos com Pessoal'!$E$513:$E$522)*(L$3&lt;='Gastos com Pessoal'!$F$513:$F$522)*OFFSET('Encargos e Benefícios'!$D$511,1,MATCH($B53,'Encargos e Benefícios'!$E$511:$AB$511,0),10,1)),0)+_xlfn.IFNA(SUM((L$3&gt;='Gastos com Pessoal'!$E$7:$E$506)*(L$3&lt;='Gastos com Pessoal'!$F$7:$F$506)*(IF('Gastos com Pessoal'!$G$7:$G$506&lt;=L$3,1,0))*OFFSET('Gastos com Pessoal'!$H$6,1,MATCH(1&amp;$B53,'Gastos com Pessoal'!$I$532:$AJ$532&amp;'Gastos com Pessoal'!$I$6:$AJ$6,0),500,1)),0)+_xlfn.IFNA(SUM((L$3&gt;='Gastos com Pessoal'!$E$7:$E$506)*(L$3&lt;='Gastos com Pessoal'!$F$7:$F$506)*(IF('Gastos com Pessoal'!$M$7:$M$506&lt;=L$3,1,0))*OFFSET('Gastos com Pessoal'!$H$6,1,MATCH(2&amp;$B53,'Gastos com Pessoal'!$I$532:$AJ$532&amp;'Gastos com Pessoal'!$I$6:$AJ$6,0),500,1)),0)+_xlfn.IFNA(SUM((L$3&gt;='Gastos com Pessoal'!$E$7:$E$506)*(L$3&lt;='Gastos com Pessoal'!$F$7:$F$506)*(IF('Gastos com Pessoal'!$S$7:$S$506&lt;=L$3,1,0))*OFFSET('Gastos com Pessoal'!$H$6,1,MATCH(3&amp;$B53,'Gastos com Pessoal'!$I$532:$AJ$532&amp;'Gastos com Pessoal'!$I$6:$AJ$6,0),500,1)),0)+_xlfn.IFNA(SUM((L$3&gt;='Gastos com Pessoal'!$E$7:$E$506)*(L$3&lt;='Gastos com Pessoal'!$F$7:$F$506)*(IF('Gastos com Pessoal'!$Y$7:$Y$506&lt;=L$3,1,0))*OFFSET('Gastos com Pessoal'!$H$6,1,MATCH(4&amp;$B53,'Gastos com Pessoal'!$I$532:$AJ$532&amp;'Gastos com Pessoal'!$I$6:$AJ$6,0),500,1)),0)+_xlfn.IFNA(SUM((L$3&gt;='Gastos com Pessoal'!$E$7:$E$506)*(L$3&lt;='Gastos com Pessoal'!$F$7:$F$506)*(IF('Gastos com Pessoal'!$AE$7:$AE$506&lt;=L$3,1,0))*OFFSET('Gastos com Pessoal'!$H$6,1,MATCH(5&amp;$B53,'Gastos com Pessoal'!$I$532:$AJ$532&amp;'Gastos com Pessoal'!$I$6:$AJ$6,0),500,1)),0)+_xlfn.IFNA(SUM((L$3&gt;='Gastos com Pessoal'!$E$513:$E$522)*(L$3&lt;='Gastos com Pessoal'!$F$513:$F$522)*(IF('Gastos com Pessoal'!$G$513:$G$522&lt;=L$3,1,0))*OFFSET('Gastos com Pessoal'!$H$512,1,MATCH(1&amp;$B53,'Gastos com Pessoal'!$I$532:$AJ$532&amp;'Gastos com Pessoal'!$I$512:$AJ$512,0),10,1)),0)+_xlfn.IFNA(SUM((L$3&gt;='Gastos com Pessoal'!$E$513:$E$522)*(L$3&lt;='Gastos com Pessoal'!$F$513:$F$522)*(IF('Gastos com Pessoal'!$M$513:$M$522&lt;=L$3,1,0))*OFFSET('Gastos com Pessoal'!$H$512,1,MATCH(2&amp;$B53,'Gastos com Pessoal'!$I$532:$AJ$532&amp;'Gastos com Pessoal'!$I$512:$AJ$512,0),10,1)),0)+_xlfn.IFNA(SUM((L$3&gt;='Gastos com Pessoal'!$E$513:$E$522)*(L$3&lt;='Gastos com Pessoal'!$F$513:$F$522)*(IF('Gastos com Pessoal'!$S$513:$S$522&lt;=L$3,1,0))*OFFSET('Gastos com Pessoal'!$H$512,1,MATCH(3&amp;$B53,'Gastos com Pessoal'!$I$532:$AJ$532&amp;'Gastos com Pessoal'!$I$512:$AJ$512,0),10,1)),0)+_xlfn.IFNA(SUM((L$3&gt;='Gastos com Pessoal'!$E$513:$E$522)*(L$3&lt;='Gastos com Pessoal'!$F$513:$F$522)*(IF('Gastos com Pessoal'!$Y$513:$Y$522&lt;=L$3,1,0))*OFFSET('Gastos com Pessoal'!$H$512,1,MATCH(4&amp;$B53,'Gastos com Pessoal'!$I$532:$AJ$532&amp;'Gastos com Pessoal'!$I$512:$AJ$512,0),10,1)),0)+_xlfn.IFNA(SUM((L$3&gt;='Gastos com Pessoal'!$E$513:$E$522)*(L$3&lt;='Gastos com Pessoal'!$F$513:$F$522)*(IF('Gastos com Pessoal'!$AE$513:$AE$522&lt;=L$3,1,0))*OFFSET('Gastos com Pessoal'!$H$512,1,MATCH(5&amp;$B53,'Gastos com Pessoal'!$I$532:$AJ$532&amp;'Gastos com Pessoal'!$I$512:$AJ$512,0),10,1)),0)</f>
        <v>0</v>
      </c>
      <c r="M53" s="188">
        <f t="array" aca="1" ref="M53" ca="1">_xlfn.IFNA(SUM((M$3&gt;='Gastos com Pessoal'!$E$7:$E$506)*(M$3&lt;='Gastos com Pessoal'!$F$7:$F$506)*OFFSET('Encargos e Benefícios'!$D$5,1,MATCH($B53,'Encargos e Benefícios'!$E$5:$AB$5,0),500,1)),0)+_xlfn.IFNA(SUM((M$3&gt;='Gastos com Pessoal'!$E$513:$E$522)*(M$3&lt;='Gastos com Pessoal'!$F$513:$F$522)*OFFSET('Encargos e Benefícios'!$D$511,1,MATCH($B53,'Encargos e Benefícios'!$E$511:$AB$511,0),10,1)),0)+_xlfn.IFNA(SUM((M$3&gt;='Gastos com Pessoal'!$E$7:$E$506)*(M$3&lt;='Gastos com Pessoal'!$F$7:$F$506)*(IF('Gastos com Pessoal'!$G$7:$G$506&lt;=M$3,1,0))*OFFSET('Gastos com Pessoal'!$H$6,1,MATCH(1&amp;$B53,'Gastos com Pessoal'!$I$532:$AJ$532&amp;'Gastos com Pessoal'!$I$6:$AJ$6,0),500,1)),0)+_xlfn.IFNA(SUM((M$3&gt;='Gastos com Pessoal'!$E$7:$E$506)*(M$3&lt;='Gastos com Pessoal'!$F$7:$F$506)*(IF('Gastos com Pessoal'!$M$7:$M$506&lt;=M$3,1,0))*OFFSET('Gastos com Pessoal'!$H$6,1,MATCH(2&amp;$B53,'Gastos com Pessoal'!$I$532:$AJ$532&amp;'Gastos com Pessoal'!$I$6:$AJ$6,0),500,1)),0)+_xlfn.IFNA(SUM((M$3&gt;='Gastos com Pessoal'!$E$7:$E$506)*(M$3&lt;='Gastos com Pessoal'!$F$7:$F$506)*(IF('Gastos com Pessoal'!$S$7:$S$506&lt;=M$3,1,0))*OFFSET('Gastos com Pessoal'!$H$6,1,MATCH(3&amp;$B53,'Gastos com Pessoal'!$I$532:$AJ$532&amp;'Gastos com Pessoal'!$I$6:$AJ$6,0),500,1)),0)+_xlfn.IFNA(SUM((M$3&gt;='Gastos com Pessoal'!$E$7:$E$506)*(M$3&lt;='Gastos com Pessoal'!$F$7:$F$506)*(IF('Gastos com Pessoal'!$Y$7:$Y$506&lt;=M$3,1,0))*OFFSET('Gastos com Pessoal'!$H$6,1,MATCH(4&amp;$B53,'Gastos com Pessoal'!$I$532:$AJ$532&amp;'Gastos com Pessoal'!$I$6:$AJ$6,0),500,1)),0)+_xlfn.IFNA(SUM((M$3&gt;='Gastos com Pessoal'!$E$7:$E$506)*(M$3&lt;='Gastos com Pessoal'!$F$7:$F$506)*(IF('Gastos com Pessoal'!$AE$7:$AE$506&lt;=M$3,1,0))*OFFSET('Gastos com Pessoal'!$H$6,1,MATCH(5&amp;$B53,'Gastos com Pessoal'!$I$532:$AJ$532&amp;'Gastos com Pessoal'!$I$6:$AJ$6,0),500,1)),0)+_xlfn.IFNA(SUM((M$3&gt;='Gastos com Pessoal'!$E$513:$E$522)*(M$3&lt;='Gastos com Pessoal'!$F$513:$F$522)*(IF('Gastos com Pessoal'!$G$513:$G$522&lt;=M$3,1,0))*OFFSET('Gastos com Pessoal'!$H$512,1,MATCH(1&amp;$B53,'Gastos com Pessoal'!$I$532:$AJ$532&amp;'Gastos com Pessoal'!$I$512:$AJ$512,0),10,1)),0)+_xlfn.IFNA(SUM((M$3&gt;='Gastos com Pessoal'!$E$513:$E$522)*(M$3&lt;='Gastos com Pessoal'!$F$513:$F$522)*(IF('Gastos com Pessoal'!$M$513:$M$522&lt;=M$3,1,0))*OFFSET('Gastos com Pessoal'!$H$512,1,MATCH(2&amp;$B53,'Gastos com Pessoal'!$I$532:$AJ$532&amp;'Gastos com Pessoal'!$I$512:$AJ$512,0),10,1)),0)+_xlfn.IFNA(SUM((M$3&gt;='Gastos com Pessoal'!$E$513:$E$522)*(M$3&lt;='Gastos com Pessoal'!$F$513:$F$522)*(IF('Gastos com Pessoal'!$S$513:$S$522&lt;=M$3,1,0))*OFFSET('Gastos com Pessoal'!$H$512,1,MATCH(3&amp;$B53,'Gastos com Pessoal'!$I$532:$AJ$532&amp;'Gastos com Pessoal'!$I$512:$AJ$512,0),10,1)),0)+_xlfn.IFNA(SUM((M$3&gt;='Gastos com Pessoal'!$E$513:$E$522)*(M$3&lt;='Gastos com Pessoal'!$F$513:$F$522)*(IF('Gastos com Pessoal'!$Y$513:$Y$522&lt;=M$3,1,0))*OFFSET('Gastos com Pessoal'!$H$512,1,MATCH(4&amp;$B53,'Gastos com Pessoal'!$I$532:$AJ$532&amp;'Gastos com Pessoal'!$I$512:$AJ$512,0),10,1)),0)+_xlfn.IFNA(SUM((M$3&gt;='Gastos com Pessoal'!$E$513:$E$522)*(M$3&lt;='Gastos com Pessoal'!$F$513:$F$522)*(IF('Gastos com Pessoal'!$AE$513:$AE$522&lt;=M$3,1,0))*OFFSET('Gastos com Pessoal'!$H$512,1,MATCH(5&amp;$B53,'Gastos com Pessoal'!$I$532:$AJ$532&amp;'Gastos com Pessoal'!$I$512:$AJ$512,0),10,1)),0)</f>
        <v>0</v>
      </c>
      <c r="N53" s="188">
        <f t="array" aca="1" ref="N53" ca="1">_xlfn.IFNA(SUM((N$3&gt;='Gastos com Pessoal'!$E$7:$E$506)*(N$3&lt;='Gastos com Pessoal'!$F$7:$F$506)*OFFSET('Encargos e Benefícios'!$D$5,1,MATCH($B53,'Encargos e Benefícios'!$E$5:$AB$5,0),500,1)),0)+_xlfn.IFNA(SUM((N$3&gt;='Gastos com Pessoal'!$E$513:$E$522)*(N$3&lt;='Gastos com Pessoal'!$F$513:$F$522)*OFFSET('Encargos e Benefícios'!$D$511,1,MATCH($B53,'Encargos e Benefícios'!$E$511:$AB$511,0),10,1)),0)+_xlfn.IFNA(SUM((N$3&gt;='Gastos com Pessoal'!$E$7:$E$506)*(N$3&lt;='Gastos com Pessoal'!$F$7:$F$506)*(IF('Gastos com Pessoal'!$G$7:$G$506&lt;=N$3,1,0))*OFFSET('Gastos com Pessoal'!$H$6,1,MATCH(1&amp;$B53,'Gastos com Pessoal'!$I$532:$AJ$532&amp;'Gastos com Pessoal'!$I$6:$AJ$6,0),500,1)),0)+_xlfn.IFNA(SUM((N$3&gt;='Gastos com Pessoal'!$E$7:$E$506)*(N$3&lt;='Gastos com Pessoal'!$F$7:$F$506)*(IF('Gastos com Pessoal'!$M$7:$M$506&lt;=N$3,1,0))*OFFSET('Gastos com Pessoal'!$H$6,1,MATCH(2&amp;$B53,'Gastos com Pessoal'!$I$532:$AJ$532&amp;'Gastos com Pessoal'!$I$6:$AJ$6,0),500,1)),0)+_xlfn.IFNA(SUM((N$3&gt;='Gastos com Pessoal'!$E$7:$E$506)*(N$3&lt;='Gastos com Pessoal'!$F$7:$F$506)*(IF('Gastos com Pessoal'!$S$7:$S$506&lt;=N$3,1,0))*OFFSET('Gastos com Pessoal'!$H$6,1,MATCH(3&amp;$B53,'Gastos com Pessoal'!$I$532:$AJ$532&amp;'Gastos com Pessoal'!$I$6:$AJ$6,0),500,1)),0)+_xlfn.IFNA(SUM((N$3&gt;='Gastos com Pessoal'!$E$7:$E$506)*(N$3&lt;='Gastos com Pessoal'!$F$7:$F$506)*(IF('Gastos com Pessoal'!$Y$7:$Y$506&lt;=N$3,1,0))*OFFSET('Gastos com Pessoal'!$H$6,1,MATCH(4&amp;$B53,'Gastos com Pessoal'!$I$532:$AJ$532&amp;'Gastos com Pessoal'!$I$6:$AJ$6,0),500,1)),0)+_xlfn.IFNA(SUM((N$3&gt;='Gastos com Pessoal'!$E$7:$E$506)*(N$3&lt;='Gastos com Pessoal'!$F$7:$F$506)*(IF('Gastos com Pessoal'!$AE$7:$AE$506&lt;=N$3,1,0))*OFFSET('Gastos com Pessoal'!$H$6,1,MATCH(5&amp;$B53,'Gastos com Pessoal'!$I$532:$AJ$532&amp;'Gastos com Pessoal'!$I$6:$AJ$6,0),500,1)),0)+_xlfn.IFNA(SUM((N$3&gt;='Gastos com Pessoal'!$E$513:$E$522)*(N$3&lt;='Gastos com Pessoal'!$F$513:$F$522)*(IF('Gastos com Pessoal'!$G$513:$G$522&lt;=N$3,1,0))*OFFSET('Gastos com Pessoal'!$H$512,1,MATCH(1&amp;$B53,'Gastos com Pessoal'!$I$532:$AJ$532&amp;'Gastos com Pessoal'!$I$512:$AJ$512,0),10,1)),0)+_xlfn.IFNA(SUM((N$3&gt;='Gastos com Pessoal'!$E$513:$E$522)*(N$3&lt;='Gastos com Pessoal'!$F$513:$F$522)*(IF('Gastos com Pessoal'!$M$513:$M$522&lt;=N$3,1,0))*OFFSET('Gastos com Pessoal'!$H$512,1,MATCH(2&amp;$B53,'Gastos com Pessoal'!$I$532:$AJ$532&amp;'Gastos com Pessoal'!$I$512:$AJ$512,0),10,1)),0)+_xlfn.IFNA(SUM((N$3&gt;='Gastos com Pessoal'!$E$513:$E$522)*(N$3&lt;='Gastos com Pessoal'!$F$513:$F$522)*(IF('Gastos com Pessoal'!$S$513:$S$522&lt;=N$3,1,0))*OFFSET('Gastos com Pessoal'!$H$512,1,MATCH(3&amp;$B53,'Gastos com Pessoal'!$I$532:$AJ$532&amp;'Gastos com Pessoal'!$I$512:$AJ$512,0),10,1)),0)+_xlfn.IFNA(SUM((N$3&gt;='Gastos com Pessoal'!$E$513:$E$522)*(N$3&lt;='Gastos com Pessoal'!$F$513:$F$522)*(IF('Gastos com Pessoal'!$Y$513:$Y$522&lt;=N$3,1,0))*OFFSET('Gastos com Pessoal'!$H$512,1,MATCH(4&amp;$B53,'Gastos com Pessoal'!$I$532:$AJ$532&amp;'Gastos com Pessoal'!$I$512:$AJ$512,0),10,1)),0)+_xlfn.IFNA(SUM((N$3&gt;='Gastos com Pessoal'!$E$513:$E$522)*(N$3&lt;='Gastos com Pessoal'!$F$513:$F$522)*(IF('Gastos com Pessoal'!$AE$513:$AE$522&lt;=N$3,1,0))*OFFSET('Gastos com Pessoal'!$H$512,1,MATCH(5&amp;$B53,'Gastos com Pessoal'!$I$532:$AJ$532&amp;'Gastos com Pessoal'!$I$512:$AJ$512,0),10,1)),0)</f>
        <v>0</v>
      </c>
      <c r="O53" s="188">
        <f t="array" aca="1" ref="O53" ca="1">_xlfn.IFNA(SUM((O$3&gt;='Gastos com Pessoal'!$E$7:$E$506)*(O$3&lt;='Gastos com Pessoal'!$F$7:$F$506)*OFFSET('Encargos e Benefícios'!$D$5,1,MATCH($B53,'Encargos e Benefícios'!$E$5:$AB$5,0),500,1)),0)+_xlfn.IFNA(SUM((O$3&gt;='Gastos com Pessoal'!$E$513:$E$522)*(O$3&lt;='Gastos com Pessoal'!$F$513:$F$522)*OFFSET('Encargos e Benefícios'!$D$511,1,MATCH($B53,'Encargos e Benefícios'!$E$511:$AB$511,0),10,1)),0)+_xlfn.IFNA(SUM((O$3&gt;='Gastos com Pessoal'!$E$7:$E$506)*(O$3&lt;='Gastos com Pessoal'!$F$7:$F$506)*(IF('Gastos com Pessoal'!$G$7:$G$506&lt;=O$3,1,0))*OFFSET('Gastos com Pessoal'!$H$6,1,MATCH(1&amp;$B53,'Gastos com Pessoal'!$I$532:$AJ$532&amp;'Gastos com Pessoal'!$I$6:$AJ$6,0),500,1)),0)+_xlfn.IFNA(SUM((O$3&gt;='Gastos com Pessoal'!$E$7:$E$506)*(O$3&lt;='Gastos com Pessoal'!$F$7:$F$506)*(IF('Gastos com Pessoal'!$M$7:$M$506&lt;=O$3,1,0))*OFFSET('Gastos com Pessoal'!$H$6,1,MATCH(2&amp;$B53,'Gastos com Pessoal'!$I$532:$AJ$532&amp;'Gastos com Pessoal'!$I$6:$AJ$6,0),500,1)),0)+_xlfn.IFNA(SUM((O$3&gt;='Gastos com Pessoal'!$E$7:$E$506)*(O$3&lt;='Gastos com Pessoal'!$F$7:$F$506)*(IF('Gastos com Pessoal'!$S$7:$S$506&lt;=O$3,1,0))*OFFSET('Gastos com Pessoal'!$H$6,1,MATCH(3&amp;$B53,'Gastos com Pessoal'!$I$532:$AJ$532&amp;'Gastos com Pessoal'!$I$6:$AJ$6,0),500,1)),0)+_xlfn.IFNA(SUM((O$3&gt;='Gastos com Pessoal'!$E$7:$E$506)*(O$3&lt;='Gastos com Pessoal'!$F$7:$F$506)*(IF('Gastos com Pessoal'!$Y$7:$Y$506&lt;=O$3,1,0))*OFFSET('Gastos com Pessoal'!$H$6,1,MATCH(4&amp;$B53,'Gastos com Pessoal'!$I$532:$AJ$532&amp;'Gastos com Pessoal'!$I$6:$AJ$6,0),500,1)),0)+_xlfn.IFNA(SUM((O$3&gt;='Gastos com Pessoal'!$E$7:$E$506)*(O$3&lt;='Gastos com Pessoal'!$F$7:$F$506)*(IF('Gastos com Pessoal'!$AE$7:$AE$506&lt;=O$3,1,0))*OFFSET('Gastos com Pessoal'!$H$6,1,MATCH(5&amp;$B53,'Gastos com Pessoal'!$I$532:$AJ$532&amp;'Gastos com Pessoal'!$I$6:$AJ$6,0),500,1)),0)+_xlfn.IFNA(SUM((O$3&gt;='Gastos com Pessoal'!$E$513:$E$522)*(O$3&lt;='Gastos com Pessoal'!$F$513:$F$522)*(IF('Gastos com Pessoal'!$G$513:$G$522&lt;=O$3,1,0))*OFFSET('Gastos com Pessoal'!$H$512,1,MATCH(1&amp;$B53,'Gastos com Pessoal'!$I$532:$AJ$532&amp;'Gastos com Pessoal'!$I$512:$AJ$512,0),10,1)),0)+_xlfn.IFNA(SUM((O$3&gt;='Gastos com Pessoal'!$E$513:$E$522)*(O$3&lt;='Gastos com Pessoal'!$F$513:$F$522)*(IF('Gastos com Pessoal'!$M$513:$M$522&lt;=O$3,1,0))*OFFSET('Gastos com Pessoal'!$H$512,1,MATCH(2&amp;$B53,'Gastos com Pessoal'!$I$532:$AJ$532&amp;'Gastos com Pessoal'!$I$512:$AJ$512,0),10,1)),0)+_xlfn.IFNA(SUM((O$3&gt;='Gastos com Pessoal'!$E$513:$E$522)*(O$3&lt;='Gastos com Pessoal'!$F$513:$F$522)*(IF('Gastos com Pessoal'!$S$513:$S$522&lt;=O$3,1,0))*OFFSET('Gastos com Pessoal'!$H$512,1,MATCH(3&amp;$B53,'Gastos com Pessoal'!$I$532:$AJ$532&amp;'Gastos com Pessoal'!$I$512:$AJ$512,0),10,1)),0)+_xlfn.IFNA(SUM((O$3&gt;='Gastos com Pessoal'!$E$513:$E$522)*(O$3&lt;='Gastos com Pessoal'!$F$513:$F$522)*(IF('Gastos com Pessoal'!$Y$513:$Y$522&lt;=O$3,1,0))*OFFSET('Gastos com Pessoal'!$H$512,1,MATCH(4&amp;$B53,'Gastos com Pessoal'!$I$532:$AJ$532&amp;'Gastos com Pessoal'!$I$512:$AJ$512,0),10,1)),0)+_xlfn.IFNA(SUM((O$3&gt;='Gastos com Pessoal'!$E$513:$E$522)*(O$3&lt;='Gastos com Pessoal'!$F$513:$F$522)*(IF('Gastos com Pessoal'!$AE$513:$AE$522&lt;=O$3,1,0))*OFFSET('Gastos com Pessoal'!$H$512,1,MATCH(5&amp;$B53,'Gastos com Pessoal'!$I$532:$AJ$532&amp;'Gastos com Pessoal'!$I$512:$AJ$512,0),10,1)),0)</f>
        <v>0</v>
      </c>
      <c r="P53" s="188">
        <f t="array" aca="1" ref="P53" ca="1">_xlfn.IFNA(SUM((P$3&gt;='Gastos com Pessoal'!$E$7:$E$506)*(P$3&lt;='Gastos com Pessoal'!$F$7:$F$506)*OFFSET('Encargos e Benefícios'!$D$5,1,MATCH($B53,'Encargos e Benefícios'!$E$5:$AB$5,0),500,1)),0)+_xlfn.IFNA(SUM((P$3&gt;='Gastos com Pessoal'!$E$513:$E$522)*(P$3&lt;='Gastos com Pessoal'!$F$513:$F$522)*OFFSET('Encargos e Benefícios'!$D$511,1,MATCH($B53,'Encargos e Benefícios'!$E$511:$AB$511,0),10,1)),0)+_xlfn.IFNA(SUM((P$3&gt;='Gastos com Pessoal'!$E$7:$E$506)*(P$3&lt;='Gastos com Pessoal'!$F$7:$F$506)*(IF('Gastos com Pessoal'!$G$7:$G$506&lt;=P$3,1,0))*OFFSET('Gastos com Pessoal'!$H$6,1,MATCH(1&amp;$B53,'Gastos com Pessoal'!$I$532:$AJ$532&amp;'Gastos com Pessoal'!$I$6:$AJ$6,0),500,1)),0)+_xlfn.IFNA(SUM((P$3&gt;='Gastos com Pessoal'!$E$7:$E$506)*(P$3&lt;='Gastos com Pessoal'!$F$7:$F$506)*(IF('Gastos com Pessoal'!$M$7:$M$506&lt;=P$3,1,0))*OFFSET('Gastos com Pessoal'!$H$6,1,MATCH(2&amp;$B53,'Gastos com Pessoal'!$I$532:$AJ$532&amp;'Gastos com Pessoal'!$I$6:$AJ$6,0),500,1)),0)+_xlfn.IFNA(SUM((P$3&gt;='Gastos com Pessoal'!$E$7:$E$506)*(P$3&lt;='Gastos com Pessoal'!$F$7:$F$506)*(IF('Gastos com Pessoal'!$S$7:$S$506&lt;=P$3,1,0))*OFFSET('Gastos com Pessoal'!$H$6,1,MATCH(3&amp;$B53,'Gastos com Pessoal'!$I$532:$AJ$532&amp;'Gastos com Pessoal'!$I$6:$AJ$6,0),500,1)),0)+_xlfn.IFNA(SUM((P$3&gt;='Gastos com Pessoal'!$E$7:$E$506)*(P$3&lt;='Gastos com Pessoal'!$F$7:$F$506)*(IF('Gastos com Pessoal'!$Y$7:$Y$506&lt;=P$3,1,0))*OFFSET('Gastos com Pessoal'!$H$6,1,MATCH(4&amp;$B53,'Gastos com Pessoal'!$I$532:$AJ$532&amp;'Gastos com Pessoal'!$I$6:$AJ$6,0),500,1)),0)+_xlfn.IFNA(SUM((P$3&gt;='Gastos com Pessoal'!$E$7:$E$506)*(P$3&lt;='Gastos com Pessoal'!$F$7:$F$506)*(IF('Gastos com Pessoal'!$AE$7:$AE$506&lt;=P$3,1,0))*OFFSET('Gastos com Pessoal'!$H$6,1,MATCH(5&amp;$B53,'Gastos com Pessoal'!$I$532:$AJ$532&amp;'Gastos com Pessoal'!$I$6:$AJ$6,0),500,1)),0)+_xlfn.IFNA(SUM((P$3&gt;='Gastos com Pessoal'!$E$513:$E$522)*(P$3&lt;='Gastos com Pessoal'!$F$513:$F$522)*(IF('Gastos com Pessoal'!$G$513:$G$522&lt;=P$3,1,0))*OFFSET('Gastos com Pessoal'!$H$512,1,MATCH(1&amp;$B53,'Gastos com Pessoal'!$I$532:$AJ$532&amp;'Gastos com Pessoal'!$I$512:$AJ$512,0),10,1)),0)+_xlfn.IFNA(SUM((P$3&gt;='Gastos com Pessoal'!$E$513:$E$522)*(P$3&lt;='Gastos com Pessoal'!$F$513:$F$522)*(IF('Gastos com Pessoal'!$M$513:$M$522&lt;=P$3,1,0))*OFFSET('Gastos com Pessoal'!$H$512,1,MATCH(2&amp;$B53,'Gastos com Pessoal'!$I$532:$AJ$532&amp;'Gastos com Pessoal'!$I$512:$AJ$512,0),10,1)),0)+_xlfn.IFNA(SUM((P$3&gt;='Gastos com Pessoal'!$E$513:$E$522)*(P$3&lt;='Gastos com Pessoal'!$F$513:$F$522)*(IF('Gastos com Pessoal'!$S$513:$S$522&lt;=P$3,1,0))*OFFSET('Gastos com Pessoal'!$H$512,1,MATCH(3&amp;$B53,'Gastos com Pessoal'!$I$532:$AJ$532&amp;'Gastos com Pessoal'!$I$512:$AJ$512,0),10,1)),0)+_xlfn.IFNA(SUM((P$3&gt;='Gastos com Pessoal'!$E$513:$E$522)*(P$3&lt;='Gastos com Pessoal'!$F$513:$F$522)*(IF('Gastos com Pessoal'!$Y$513:$Y$522&lt;=P$3,1,0))*OFFSET('Gastos com Pessoal'!$H$512,1,MATCH(4&amp;$B53,'Gastos com Pessoal'!$I$532:$AJ$532&amp;'Gastos com Pessoal'!$I$512:$AJ$512,0),10,1)),0)+_xlfn.IFNA(SUM((P$3&gt;='Gastos com Pessoal'!$E$513:$E$522)*(P$3&lt;='Gastos com Pessoal'!$F$513:$F$522)*(IF('Gastos com Pessoal'!$AE$513:$AE$522&lt;=P$3,1,0))*OFFSET('Gastos com Pessoal'!$H$512,1,MATCH(5&amp;$B53,'Gastos com Pessoal'!$I$532:$AJ$532&amp;'Gastos com Pessoal'!$I$512:$AJ$512,0),10,1)),0)</f>
        <v>0</v>
      </c>
      <c r="Q53" s="188">
        <f t="array" aca="1" ref="Q53" ca="1">_xlfn.IFNA(SUM((Q$3&gt;='Gastos com Pessoal'!$E$7:$E$506)*(Q$3&lt;='Gastos com Pessoal'!$F$7:$F$506)*OFFSET('Encargos e Benefícios'!$D$5,1,MATCH($B53,'Encargos e Benefícios'!$E$5:$AB$5,0),500,1)),0)+_xlfn.IFNA(SUM((Q$3&gt;='Gastos com Pessoal'!$E$513:$E$522)*(Q$3&lt;='Gastos com Pessoal'!$F$513:$F$522)*OFFSET('Encargos e Benefícios'!$D$511,1,MATCH($B53,'Encargos e Benefícios'!$E$511:$AB$511,0),10,1)),0)+_xlfn.IFNA(SUM((Q$3&gt;='Gastos com Pessoal'!$E$7:$E$506)*(Q$3&lt;='Gastos com Pessoal'!$F$7:$F$506)*(IF('Gastos com Pessoal'!$G$7:$G$506&lt;=Q$3,1,0))*OFFSET('Gastos com Pessoal'!$H$6,1,MATCH(1&amp;$B53,'Gastos com Pessoal'!$I$532:$AJ$532&amp;'Gastos com Pessoal'!$I$6:$AJ$6,0),500,1)),0)+_xlfn.IFNA(SUM((Q$3&gt;='Gastos com Pessoal'!$E$7:$E$506)*(Q$3&lt;='Gastos com Pessoal'!$F$7:$F$506)*(IF('Gastos com Pessoal'!$M$7:$M$506&lt;=Q$3,1,0))*OFFSET('Gastos com Pessoal'!$H$6,1,MATCH(2&amp;$B53,'Gastos com Pessoal'!$I$532:$AJ$532&amp;'Gastos com Pessoal'!$I$6:$AJ$6,0),500,1)),0)+_xlfn.IFNA(SUM((Q$3&gt;='Gastos com Pessoal'!$E$7:$E$506)*(Q$3&lt;='Gastos com Pessoal'!$F$7:$F$506)*(IF('Gastos com Pessoal'!$S$7:$S$506&lt;=Q$3,1,0))*OFFSET('Gastos com Pessoal'!$H$6,1,MATCH(3&amp;$B53,'Gastos com Pessoal'!$I$532:$AJ$532&amp;'Gastos com Pessoal'!$I$6:$AJ$6,0),500,1)),0)+_xlfn.IFNA(SUM((Q$3&gt;='Gastos com Pessoal'!$E$7:$E$506)*(Q$3&lt;='Gastos com Pessoal'!$F$7:$F$506)*(IF('Gastos com Pessoal'!$Y$7:$Y$506&lt;=Q$3,1,0))*OFFSET('Gastos com Pessoal'!$H$6,1,MATCH(4&amp;$B53,'Gastos com Pessoal'!$I$532:$AJ$532&amp;'Gastos com Pessoal'!$I$6:$AJ$6,0),500,1)),0)+_xlfn.IFNA(SUM((Q$3&gt;='Gastos com Pessoal'!$E$7:$E$506)*(Q$3&lt;='Gastos com Pessoal'!$F$7:$F$506)*(IF('Gastos com Pessoal'!$AE$7:$AE$506&lt;=Q$3,1,0))*OFFSET('Gastos com Pessoal'!$H$6,1,MATCH(5&amp;$B53,'Gastos com Pessoal'!$I$532:$AJ$532&amp;'Gastos com Pessoal'!$I$6:$AJ$6,0),500,1)),0)+_xlfn.IFNA(SUM((Q$3&gt;='Gastos com Pessoal'!$E$513:$E$522)*(Q$3&lt;='Gastos com Pessoal'!$F$513:$F$522)*(IF('Gastos com Pessoal'!$G$513:$G$522&lt;=Q$3,1,0))*OFFSET('Gastos com Pessoal'!$H$512,1,MATCH(1&amp;$B53,'Gastos com Pessoal'!$I$532:$AJ$532&amp;'Gastos com Pessoal'!$I$512:$AJ$512,0),10,1)),0)+_xlfn.IFNA(SUM((Q$3&gt;='Gastos com Pessoal'!$E$513:$E$522)*(Q$3&lt;='Gastos com Pessoal'!$F$513:$F$522)*(IF('Gastos com Pessoal'!$M$513:$M$522&lt;=Q$3,1,0))*OFFSET('Gastos com Pessoal'!$H$512,1,MATCH(2&amp;$B53,'Gastos com Pessoal'!$I$532:$AJ$532&amp;'Gastos com Pessoal'!$I$512:$AJ$512,0),10,1)),0)+_xlfn.IFNA(SUM((Q$3&gt;='Gastos com Pessoal'!$E$513:$E$522)*(Q$3&lt;='Gastos com Pessoal'!$F$513:$F$522)*(IF('Gastos com Pessoal'!$S$513:$S$522&lt;=Q$3,1,0))*OFFSET('Gastos com Pessoal'!$H$512,1,MATCH(3&amp;$B53,'Gastos com Pessoal'!$I$532:$AJ$532&amp;'Gastos com Pessoal'!$I$512:$AJ$512,0),10,1)),0)+_xlfn.IFNA(SUM((Q$3&gt;='Gastos com Pessoal'!$E$513:$E$522)*(Q$3&lt;='Gastos com Pessoal'!$F$513:$F$522)*(IF('Gastos com Pessoal'!$Y$513:$Y$522&lt;=Q$3,1,0))*OFFSET('Gastos com Pessoal'!$H$512,1,MATCH(4&amp;$B53,'Gastos com Pessoal'!$I$532:$AJ$532&amp;'Gastos com Pessoal'!$I$512:$AJ$512,0),10,1)),0)+_xlfn.IFNA(SUM((Q$3&gt;='Gastos com Pessoal'!$E$513:$E$522)*(Q$3&lt;='Gastos com Pessoal'!$F$513:$F$522)*(IF('Gastos com Pessoal'!$AE$513:$AE$522&lt;=Q$3,1,0))*OFFSET('Gastos com Pessoal'!$H$512,1,MATCH(5&amp;$B53,'Gastos com Pessoal'!$I$532:$AJ$532&amp;'Gastos com Pessoal'!$I$512:$AJ$512,0),10,1)),0)</f>
        <v>0</v>
      </c>
      <c r="R53" s="188">
        <f t="array" aca="1" ref="R53" ca="1">_xlfn.IFNA(SUM((R$3&gt;='Gastos com Pessoal'!$E$7:$E$506)*(R$3&lt;='Gastos com Pessoal'!$F$7:$F$506)*OFFSET('Encargos e Benefícios'!$D$5,1,MATCH($B53,'Encargos e Benefícios'!$E$5:$AB$5,0),500,1)),0)+_xlfn.IFNA(SUM((R$3&gt;='Gastos com Pessoal'!$E$513:$E$522)*(R$3&lt;='Gastos com Pessoal'!$F$513:$F$522)*OFFSET('Encargos e Benefícios'!$D$511,1,MATCH($B53,'Encargos e Benefícios'!$E$511:$AB$511,0),10,1)),0)+_xlfn.IFNA(SUM((R$3&gt;='Gastos com Pessoal'!$E$7:$E$506)*(R$3&lt;='Gastos com Pessoal'!$F$7:$F$506)*(IF('Gastos com Pessoal'!$G$7:$G$506&lt;=R$3,1,0))*OFFSET('Gastos com Pessoal'!$H$6,1,MATCH(1&amp;$B53,'Gastos com Pessoal'!$I$532:$AJ$532&amp;'Gastos com Pessoal'!$I$6:$AJ$6,0),500,1)),0)+_xlfn.IFNA(SUM((R$3&gt;='Gastos com Pessoal'!$E$7:$E$506)*(R$3&lt;='Gastos com Pessoal'!$F$7:$F$506)*(IF('Gastos com Pessoal'!$M$7:$M$506&lt;=R$3,1,0))*OFFSET('Gastos com Pessoal'!$H$6,1,MATCH(2&amp;$B53,'Gastos com Pessoal'!$I$532:$AJ$532&amp;'Gastos com Pessoal'!$I$6:$AJ$6,0),500,1)),0)+_xlfn.IFNA(SUM((R$3&gt;='Gastos com Pessoal'!$E$7:$E$506)*(R$3&lt;='Gastos com Pessoal'!$F$7:$F$506)*(IF('Gastos com Pessoal'!$S$7:$S$506&lt;=R$3,1,0))*OFFSET('Gastos com Pessoal'!$H$6,1,MATCH(3&amp;$B53,'Gastos com Pessoal'!$I$532:$AJ$532&amp;'Gastos com Pessoal'!$I$6:$AJ$6,0),500,1)),0)+_xlfn.IFNA(SUM((R$3&gt;='Gastos com Pessoal'!$E$7:$E$506)*(R$3&lt;='Gastos com Pessoal'!$F$7:$F$506)*(IF('Gastos com Pessoal'!$Y$7:$Y$506&lt;=R$3,1,0))*OFFSET('Gastos com Pessoal'!$H$6,1,MATCH(4&amp;$B53,'Gastos com Pessoal'!$I$532:$AJ$532&amp;'Gastos com Pessoal'!$I$6:$AJ$6,0),500,1)),0)+_xlfn.IFNA(SUM((R$3&gt;='Gastos com Pessoal'!$E$7:$E$506)*(R$3&lt;='Gastos com Pessoal'!$F$7:$F$506)*(IF('Gastos com Pessoal'!$AE$7:$AE$506&lt;=R$3,1,0))*OFFSET('Gastos com Pessoal'!$H$6,1,MATCH(5&amp;$B53,'Gastos com Pessoal'!$I$532:$AJ$532&amp;'Gastos com Pessoal'!$I$6:$AJ$6,0),500,1)),0)+_xlfn.IFNA(SUM((R$3&gt;='Gastos com Pessoal'!$E$513:$E$522)*(R$3&lt;='Gastos com Pessoal'!$F$513:$F$522)*(IF('Gastos com Pessoal'!$G$513:$G$522&lt;=R$3,1,0))*OFFSET('Gastos com Pessoal'!$H$512,1,MATCH(1&amp;$B53,'Gastos com Pessoal'!$I$532:$AJ$532&amp;'Gastos com Pessoal'!$I$512:$AJ$512,0),10,1)),0)+_xlfn.IFNA(SUM((R$3&gt;='Gastos com Pessoal'!$E$513:$E$522)*(R$3&lt;='Gastos com Pessoal'!$F$513:$F$522)*(IF('Gastos com Pessoal'!$M$513:$M$522&lt;=R$3,1,0))*OFFSET('Gastos com Pessoal'!$H$512,1,MATCH(2&amp;$B53,'Gastos com Pessoal'!$I$532:$AJ$532&amp;'Gastos com Pessoal'!$I$512:$AJ$512,0),10,1)),0)+_xlfn.IFNA(SUM((R$3&gt;='Gastos com Pessoal'!$E$513:$E$522)*(R$3&lt;='Gastos com Pessoal'!$F$513:$F$522)*(IF('Gastos com Pessoal'!$S$513:$S$522&lt;=R$3,1,0))*OFFSET('Gastos com Pessoal'!$H$512,1,MATCH(3&amp;$B53,'Gastos com Pessoal'!$I$532:$AJ$532&amp;'Gastos com Pessoal'!$I$512:$AJ$512,0),10,1)),0)+_xlfn.IFNA(SUM((R$3&gt;='Gastos com Pessoal'!$E$513:$E$522)*(R$3&lt;='Gastos com Pessoal'!$F$513:$F$522)*(IF('Gastos com Pessoal'!$Y$513:$Y$522&lt;=R$3,1,0))*OFFSET('Gastos com Pessoal'!$H$512,1,MATCH(4&amp;$B53,'Gastos com Pessoal'!$I$532:$AJ$532&amp;'Gastos com Pessoal'!$I$512:$AJ$512,0),10,1)),0)+_xlfn.IFNA(SUM((R$3&gt;='Gastos com Pessoal'!$E$513:$E$522)*(R$3&lt;='Gastos com Pessoal'!$F$513:$F$522)*(IF('Gastos com Pessoal'!$AE$513:$AE$522&lt;=R$3,1,0))*OFFSET('Gastos com Pessoal'!$H$512,1,MATCH(5&amp;$B53,'Gastos com Pessoal'!$I$532:$AJ$532&amp;'Gastos com Pessoal'!$I$512:$AJ$512,0),10,1)),0)</f>
        <v>0</v>
      </c>
      <c r="S53" s="188">
        <f t="array" aca="1" ref="S53" ca="1">_xlfn.IFNA(SUM((S$3&gt;='Gastos com Pessoal'!$E$7:$E$506)*(S$3&lt;='Gastos com Pessoal'!$F$7:$F$506)*OFFSET('Encargos e Benefícios'!$D$5,1,MATCH($B53,'Encargos e Benefícios'!$E$5:$AB$5,0),500,1)),0)+_xlfn.IFNA(SUM((S$3&gt;='Gastos com Pessoal'!$E$513:$E$522)*(S$3&lt;='Gastos com Pessoal'!$F$513:$F$522)*OFFSET('Encargos e Benefícios'!$D$511,1,MATCH($B53,'Encargos e Benefícios'!$E$511:$AB$511,0),10,1)),0)+_xlfn.IFNA(SUM((S$3&gt;='Gastos com Pessoal'!$E$7:$E$506)*(S$3&lt;='Gastos com Pessoal'!$F$7:$F$506)*(IF('Gastos com Pessoal'!$G$7:$G$506&lt;=S$3,1,0))*OFFSET('Gastos com Pessoal'!$H$6,1,MATCH(1&amp;$B53,'Gastos com Pessoal'!$I$532:$AJ$532&amp;'Gastos com Pessoal'!$I$6:$AJ$6,0),500,1)),0)+_xlfn.IFNA(SUM((S$3&gt;='Gastos com Pessoal'!$E$7:$E$506)*(S$3&lt;='Gastos com Pessoal'!$F$7:$F$506)*(IF('Gastos com Pessoal'!$M$7:$M$506&lt;=S$3,1,0))*OFFSET('Gastos com Pessoal'!$H$6,1,MATCH(2&amp;$B53,'Gastos com Pessoal'!$I$532:$AJ$532&amp;'Gastos com Pessoal'!$I$6:$AJ$6,0),500,1)),0)+_xlfn.IFNA(SUM((S$3&gt;='Gastos com Pessoal'!$E$7:$E$506)*(S$3&lt;='Gastos com Pessoal'!$F$7:$F$506)*(IF('Gastos com Pessoal'!$S$7:$S$506&lt;=S$3,1,0))*OFFSET('Gastos com Pessoal'!$H$6,1,MATCH(3&amp;$B53,'Gastos com Pessoal'!$I$532:$AJ$532&amp;'Gastos com Pessoal'!$I$6:$AJ$6,0),500,1)),0)+_xlfn.IFNA(SUM((S$3&gt;='Gastos com Pessoal'!$E$7:$E$506)*(S$3&lt;='Gastos com Pessoal'!$F$7:$F$506)*(IF('Gastos com Pessoal'!$Y$7:$Y$506&lt;=S$3,1,0))*OFFSET('Gastos com Pessoal'!$H$6,1,MATCH(4&amp;$B53,'Gastos com Pessoal'!$I$532:$AJ$532&amp;'Gastos com Pessoal'!$I$6:$AJ$6,0),500,1)),0)+_xlfn.IFNA(SUM((S$3&gt;='Gastos com Pessoal'!$E$7:$E$506)*(S$3&lt;='Gastos com Pessoal'!$F$7:$F$506)*(IF('Gastos com Pessoal'!$AE$7:$AE$506&lt;=S$3,1,0))*OFFSET('Gastos com Pessoal'!$H$6,1,MATCH(5&amp;$B53,'Gastos com Pessoal'!$I$532:$AJ$532&amp;'Gastos com Pessoal'!$I$6:$AJ$6,0),500,1)),0)+_xlfn.IFNA(SUM((S$3&gt;='Gastos com Pessoal'!$E$513:$E$522)*(S$3&lt;='Gastos com Pessoal'!$F$513:$F$522)*(IF('Gastos com Pessoal'!$G$513:$G$522&lt;=S$3,1,0))*OFFSET('Gastos com Pessoal'!$H$512,1,MATCH(1&amp;$B53,'Gastos com Pessoal'!$I$532:$AJ$532&amp;'Gastos com Pessoal'!$I$512:$AJ$512,0),10,1)),0)+_xlfn.IFNA(SUM((S$3&gt;='Gastos com Pessoal'!$E$513:$E$522)*(S$3&lt;='Gastos com Pessoal'!$F$513:$F$522)*(IF('Gastos com Pessoal'!$M$513:$M$522&lt;=S$3,1,0))*OFFSET('Gastos com Pessoal'!$H$512,1,MATCH(2&amp;$B53,'Gastos com Pessoal'!$I$532:$AJ$532&amp;'Gastos com Pessoal'!$I$512:$AJ$512,0),10,1)),0)+_xlfn.IFNA(SUM((S$3&gt;='Gastos com Pessoal'!$E$513:$E$522)*(S$3&lt;='Gastos com Pessoal'!$F$513:$F$522)*(IF('Gastos com Pessoal'!$S$513:$S$522&lt;=S$3,1,0))*OFFSET('Gastos com Pessoal'!$H$512,1,MATCH(3&amp;$B53,'Gastos com Pessoal'!$I$532:$AJ$532&amp;'Gastos com Pessoal'!$I$512:$AJ$512,0),10,1)),0)+_xlfn.IFNA(SUM((S$3&gt;='Gastos com Pessoal'!$E$513:$E$522)*(S$3&lt;='Gastos com Pessoal'!$F$513:$F$522)*(IF('Gastos com Pessoal'!$Y$513:$Y$522&lt;=S$3,1,0))*OFFSET('Gastos com Pessoal'!$H$512,1,MATCH(4&amp;$B53,'Gastos com Pessoal'!$I$532:$AJ$532&amp;'Gastos com Pessoal'!$I$512:$AJ$512,0),10,1)),0)+_xlfn.IFNA(SUM((S$3&gt;='Gastos com Pessoal'!$E$513:$E$522)*(S$3&lt;='Gastos com Pessoal'!$F$513:$F$522)*(IF('Gastos com Pessoal'!$AE$513:$AE$522&lt;=S$3,1,0))*OFFSET('Gastos com Pessoal'!$H$512,1,MATCH(5&amp;$B53,'Gastos com Pessoal'!$I$532:$AJ$532&amp;'Gastos com Pessoal'!$I$512:$AJ$512,0),10,1)),0)</f>
        <v>0</v>
      </c>
      <c r="T53" s="188">
        <f t="array" aca="1" ref="T53" ca="1">_xlfn.IFNA(SUM((T$3&gt;='Gastos com Pessoal'!$E$7:$E$506)*(T$3&lt;='Gastos com Pessoal'!$F$7:$F$506)*OFFSET('Encargos e Benefícios'!$D$5,1,MATCH($B53,'Encargos e Benefícios'!$E$5:$AB$5,0),500,1)),0)+_xlfn.IFNA(SUM((T$3&gt;='Gastos com Pessoal'!$E$513:$E$522)*(T$3&lt;='Gastos com Pessoal'!$F$513:$F$522)*OFFSET('Encargos e Benefícios'!$D$511,1,MATCH($B53,'Encargos e Benefícios'!$E$511:$AB$511,0),10,1)),0)+_xlfn.IFNA(SUM((T$3&gt;='Gastos com Pessoal'!$E$7:$E$506)*(T$3&lt;='Gastos com Pessoal'!$F$7:$F$506)*(IF('Gastos com Pessoal'!$G$7:$G$506&lt;=T$3,1,0))*OFFSET('Gastos com Pessoal'!$H$6,1,MATCH(1&amp;$B53,'Gastos com Pessoal'!$I$532:$AJ$532&amp;'Gastos com Pessoal'!$I$6:$AJ$6,0),500,1)),0)+_xlfn.IFNA(SUM((T$3&gt;='Gastos com Pessoal'!$E$7:$E$506)*(T$3&lt;='Gastos com Pessoal'!$F$7:$F$506)*(IF('Gastos com Pessoal'!$M$7:$M$506&lt;=T$3,1,0))*OFFSET('Gastos com Pessoal'!$H$6,1,MATCH(2&amp;$B53,'Gastos com Pessoal'!$I$532:$AJ$532&amp;'Gastos com Pessoal'!$I$6:$AJ$6,0),500,1)),0)+_xlfn.IFNA(SUM((T$3&gt;='Gastos com Pessoal'!$E$7:$E$506)*(T$3&lt;='Gastos com Pessoal'!$F$7:$F$506)*(IF('Gastos com Pessoal'!$S$7:$S$506&lt;=T$3,1,0))*OFFSET('Gastos com Pessoal'!$H$6,1,MATCH(3&amp;$B53,'Gastos com Pessoal'!$I$532:$AJ$532&amp;'Gastos com Pessoal'!$I$6:$AJ$6,0),500,1)),0)+_xlfn.IFNA(SUM((T$3&gt;='Gastos com Pessoal'!$E$7:$E$506)*(T$3&lt;='Gastos com Pessoal'!$F$7:$F$506)*(IF('Gastos com Pessoal'!$Y$7:$Y$506&lt;=T$3,1,0))*OFFSET('Gastos com Pessoal'!$H$6,1,MATCH(4&amp;$B53,'Gastos com Pessoal'!$I$532:$AJ$532&amp;'Gastos com Pessoal'!$I$6:$AJ$6,0),500,1)),0)+_xlfn.IFNA(SUM((T$3&gt;='Gastos com Pessoal'!$E$7:$E$506)*(T$3&lt;='Gastos com Pessoal'!$F$7:$F$506)*(IF('Gastos com Pessoal'!$AE$7:$AE$506&lt;=T$3,1,0))*OFFSET('Gastos com Pessoal'!$H$6,1,MATCH(5&amp;$B53,'Gastos com Pessoal'!$I$532:$AJ$532&amp;'Gastos com Pessoal'!$I$6:$AJ$6,0),500,1)),0)+_xlfn.IFNA(SUM((T$3&gt;='Gastos com Pessoal'!$E$513:$E$522)*(T$3&lt;='Gastos com Pessoal'!$F$513:$F$522)*(IF('Gastos com Pessoal'!$G$513:$G$522&lt;=T$3,1,0))*OFFSET('Gastos com Pessoal'!$H$512,1,MATCH(1&amp;$B53,'Gastos com Pessoal'!$I$532:$AJ$532&amp;'Gastos com Pessoal'!$I$512:$AJ$512,0),10,1)),0)+_xlfn.IFNA(SUM((T$3&gt;='Gastos com Pessoal'!$E$513:$E$522)*(T$3&lt;='Gastos com Pessoal'!$F$513:$F$522)*(IF('Gastos com Pessoal'!$M$513:$M$522&lt;=T$3,1,0))*OFFSET('Gastos com Pessoal'!$H$512,1,MATCH(2&amp;$B53,'Gastos com Pessoal'!$I$532:$AJ$532&amp;'Gastos com Pessoal'!$I$512:$AJ$512,0),10,1)),0)+_xlfn.IFNA(SUM((T$3&gt;='Gastos com Pessoal'!$E$513:$E$522)*(T$3&lt;='Gastos com Pessoal'!$F$513:$F$522)*(IF('Gastos com Pessoal'!$S$513:$S$522&lt;=T$3,1,0))*OFFSET('Gastos com Pessoal'!$H$512,1,MATCH(3&amp;$B53,'Gastos com Pessoal'!$I$532:$AJ$532&amp;'Gastos com Pessoal'!$I$512:$AJ$512,0),10,1)),0)+_xlfn.IFNA(SUM((T$3&gt;='Gastos com Pessoal'!$E$513:$E$522)*(T$3&lt;='Gastos com Pessoal'!$F$513:$F$522)*(IF('Gastos com Pessoal'!$Y$513:$Y$522&lt;=T$3,1,0))*OFFSET('Gastos com Pessoal'!$H$512,1,MATCH(4&amp;$B53,'Gastos com Pessoal'!$I$532:$AJ$532&amp;'Gastos com Pessoal'!$I$512:$AJ$512,0),10,1)),0)+_xlfn.IFNA(SUM((T$3&gt;='Gastos com Pessoal'!$E$513:$E$522)*(T$3&lt;='Gastos com Pessoal'!$F$513:$F$522)*(IF('Gastos com Pessoal'!$AE$513:$AE$522&lt;=T$3,1,0))*OFFSET('Gastos com Pessoal'!$H$512,1,MATCH(5&amp;$B53,'Gastos com Pessoal'!$I$532:$AJ$532&amp;'Gastos com Pessoal'!$I$512:$AJ$512,0),10,1)),0)</f>
        <v>0</v>
      </c>
      <c r="U53" s="188">
        <f t="array" aca="1" ref="U53" ca="1">_xlfn.IFNA(SUM((U$3&gt;='Gastos com Pessoal'!$E$7:$E$506)*(U$3&lt;='Gastos com Pessoal'!$F$7:$F$506)*OFFSET('Encargos e Benefícios'!$D$5,1,MATCH($B53,'Encargos e Benefícios'!$E$5:$AB$5,0),500,1)),0)+_xlfn.IFNA(SUM((U$3&gt;='Gastos com Pessoal'!$E$513:$E$522)*(U$3&lt;='Gastos com Pessoal'!$F$513:$F$522)*OFFSET('Encargos e Benefícios'!$D$511,1,MATCH($B53,'Encargos e Benefícios'!$E$511:$AB$511,0),10,1)),0)+_xlfn.IFNA(SUM((U$3&gt;='Gastos com Pessoal'!$E$7:$E$506)*(U$3&lt;='Gastos com Pessoal'!$F$7:$F$506)*(IF('Gastos com Pessoal'!$G$7:$G$506&lt;=U$3,1,0))*OFFSET('Gastos com Pessoal'!$H$6,1,MATCH(1&amp;$B53,'Gastos com Pessoal'!$I$532:$AJ$532&amp;'Gastos com Pessoal'!$I$6:$AJ$6,0),500,1)),0)+_xlfn.IFNA(SUM((U$3&gt;='Gastos com Pessoal'!$E$7:$E$506)*(U$3&lt;='Gastos com Pessoal'!$F$7:$F$506)*(IF('Gastos com Pessoal'!$M$7:$M$506&lt;=U$3,1,0))*OFFSET('Gastos com Pessoal'!$H$6,1,MATCH(2&amp;$B53,'Gastos com Pessoal'!$I$532:$AJ$532&amp;'Gastos com Pessoal'!$I$6:$AJ$6,0),500,1)),0)+_xlfn.IFNA(SUM((U$3&gt;='Gastos com Pessoal'!$E$7:$E$506)*(U$3&lt;='Gastos com Pessoal'!$F$7:$F$506)*(IF('Gastos com Pessoal'!$S$7:$S$506&lt;=U$3,1,0))*OFFSET('Gastos com Pessoal'!$H$6,1,MATCH(3&amp;$B53,'Gastos com Pessoal'!$I$532:$AJ$532&amp;'Gastos com Pessoal'!$I$6:$AJ$6,0),500,1)),0)+_xlfn.IFNA(SUM((U$3&gt;='Gastos com Pessoal'!$E$7:$E$506)*(U$3&lt;='Gastos com Pessoal'!$F$7:$F$506)*(IF('Gastos com Pessoal'!$Y$7:$Y$506&lt;=U$3,1,0))*OFFSET('Gastos com Pessoal'!$H$6,1,MATCH(4&amp;$B53,'Gastos com Pessoal'!$I$532:$AJ$532&amp;'Gastos com Pessoal'!$I$6:$AJ$6,0),500,1)),0)+_xlfn.IFNA(SUM((U$3&gt;='Gastos com Pessoal'!$E$7:$E$506)*(U$3&lt;='Gastos com Pessoal'!$F$7:$F$506)*(IF('Gastos com Pessoal'!$AE$7:$AE$506&lt;=U$3,1,0))*OFFSET('Gastos com Pessoal'!$H$6,1,MATCH(5&amp;$B53,'Gastos com Pessoal'!$I$532:$AJ$532&amp;'Gastos com Pessoal'!$I$6:$AJ$6,0),500,1)),0)+_xlfn.IFNA(SUM((U$3&gt;='Gastos com Pessoal'!$E$513:$E$522)*(U$3&lt;='Gastos com Pessoal'!$F$513:$F$522)*(IF('Gastos com Pessoal'!$G$513:$G$522&lt;=U$3,1,0))*OFFSET('Gastos com Pessoal'!$H$512,1,MATCH(1&amp;$B53,'Gastos com Pessoal'!$I$532:$AJ$532&amp;'Gastos com Pessoal'!$I$512:$AJ$512,0),10,1)),0)+_xlfn.IFNA(SUM((U$3&gt;='Gastos com Pessoal'!$E$513:$E$522)*(U$3&lt;='Gastos com Pessoal'!$F$513:$F$522)*(IF('Gastos com Pessoal'!$M$513:$M$522&lt;=U$3,1,0))*OFFSET('Gastos com Pessoal'!$H$512,1,MATCH(2&amp;$B53,'Gastos com Pessoal'!$I$532:$AJ$532&amp;'Gastos com Pessoal'!$I$512:$AJ$512,0),10,1)),0)+_xlfn.IFNA(SUM((U$3&gt;='Gastos com Pessoal'!$E$513:$E$522)*(U$3&lt;='Gastos com Pessoal'!$F$513:$F$522)*(IF('Gastos com Pessoal'!$S$513:$S$522&lt;=U$3,1,0))*OFFSET('Gastos com Pessoal'!$H$512,1,MATCH(3&amp;$B53,'Gastos com Pessoal'!$I$532:$AJ$532&amp;'Gastos com Pessoal'!$I$512:$AJ$512,0),10,1)),0)+_xlfn.IFNA(SUM((U$3&gt;='Gastos com Pessoal'!$E$513:$E$522)*(U$3&lt;='Gastos com Pessoal'!$F$513:$F$522)*(IF('Gastos com Pessoal'!$Y$513:$Y$522&lt;=U$3,1,0))*OFFSET('Gastos com Pessoal'!$H$512,1,MATCH(4&amp;$B53,'Gastos com Pessoal'!$I$532:$AJ$532&amp;'Gastos com Pessoal'!$I$512:$AJ$512,0),10,1)),0)+_xlfn.IFNA(SUM((U$3&gt;='Gastos com Pessoal'!$E$513:$E$522)*(U$3&lt;='Gastos com Pessoal'!$F$513:$F$522)*(IF('Gastos com Pessoal'!$AE$513:$AE$522&lt;=U$3,1,0))*OFFSET('Gastos com Pessoal'!$H$512,1,MATCH(5&amp;$B53,'Gastos com Pessoal'!$I$532:$AJ$532&amp;'Gastos com Pessoal'!$I$512:$AJ$512,0),10,1)),0)</f>
        <v>0</v>
      </c>
      <c r="V53" s="188">
        <f t="array" aca="1" ref="V53" ca="1">_xlfn.IFNA(SUM((V$3&gt;='Gastos com Pessoal'!$E$7:$E$506)*(V$3&lt;='Gastos com Pessoal'!$F$7:$F$506)*OFFSET('Encargos e Benefícios'!$D$5,1,MATCH($B53,'Encargos e Benefícios'!$E$5:$AB$5,0),500,1)),0)+_xlfn.IFNA(SUM((V$3&gt;='Gastos com Pessoal'!$E$513:$E$522)*(V$3&lt;='Gastos com Pessoal'!$F$513:$F$522)*OFFSET('Encargos e Benefícios'!$D$511,1,MATCH($B53,'Encargos e Benefícios'!$E$511:$AB$511,0),10,1)),0)+_xlfn.IFNA(SUM((V$3&gt;='Gastos com Pessoal'!$E$7:$E$506)*(V$3&lt;='Gastos com Pessoal'!$F$7:$F$506)*(IF('Gastos com Pessoal'!$G$7:$G$506&lt;=V$3,1,0))*OFFSET('Gastos com Pessoal'!$H$6,1,MATCH(1&amp;$B53,'Gastos com Pessoal'!$I$532:$AJ$532&amp;'Gastos com Pessoal'!$I$6:$AJ$6,0),500,1)),0)+_xlfn.IFNA(SUM((V$3&gt;='Gastos com Pessoal'!$E$7:$E$506)*(V$3&lt;='Gastos com Pessoal'!$F$7:$F$506)*(IF('Gastos com Pessoal'!$M$7:$M$506&lt;=V$3,1,0))*OFFSET('Gastos com Pessoal'!$H$6,1,MATCH(2&amp;$B53,'Gastos com Pessoal'!$I$532:$AJ$532&amp;'Gastos com Pessoal'!$I$6:$AJ$6,0),500,1)),0)+_xlfn.IFNA(SUM((V$3&gt;='Gastos com Pessoal'!$E$7:$E$506)*(V$3&lt;='Gastos com Pessoal'!$F$7:$F$506)*(IF('Gastos com Pessoal'!$S$7:$S$506&lt;=V$3,1,0))*OFFSET('Gastos com Pessoal'!$H$6,1,MATCH(3&amp;$B53,'Gastos com Pessoal'!$I$532:$AJ$532&amp;'Gastos com Pessoal'!$I$6:$AJ$6,0),500,1)),0)+_xlfn.IFNA(SUM((V$3&gt;='Gastos com Pessoal'!$E$7:$E$506)*(V$3&lt;='Gastos com Pessoal'!$F$7:$F$506)*(IF('Gastos com Pessoal'!$Y$7:$Y$506&lt;=V$3,1,0))*OFFSET('Gastos com Pessoal'!$H$6,1,MATCH(4&amp;$B53,'Gastos com Pessoal'!$I$532:$AJ$532&amp;'Gastos com Pessoal'!$I$6:$AJ$6,0),500,1)),0)+_xlfn.IFNA(SUM((V$3&gt;='Gastos com Pessoal'!$E$7:$E$506)*(V$3&lt;='Gastos com Pessoal'!$F$7:$F$506)*(IF('Gastos com Pessoal'!$AE$7:$AE$506&lt;=V$3,1,0))*OFFSET('Gastos com Pessoal'!$H$6,1,MATCH(5&amp;$B53,'Gastos com Pessoal'!$I$532:$AJ$532&amp;'Gastos com Pessoal'!$I$6:$AJ$6,0),500,1)),0)+_xlfn.IFNA(SUM((V$3&gt;='Gastos com Pessoal'!$E$513:$E$522)*(V$3&lt;='Gastos com Pessoal'!$F$513:$F$522)*(IF('Gastos com Pessoal'!$G$513:$G$522&lt;=V$3,1,0))*OFFSET('Gastos com Pessoal'!$H$512,1,MATCH(1&amp;$B53,'Gastos com Pessoal'!$I$532:$AJ$532&amp;'Gastos com Pessoal'!$I$512:$AJ$512,0),10,1)),0)+_xlfn.IFNA(SUM((V$3&gt;='Gastos com Pessoal'!$E$513:$E$522)*(V$3&lt;='Gastos com Pessoal'!$F$513:$F$522)*(IF('Gastos com Pessoal'!$M$513:$M$522&lt;=V$3,1,0))*OFFSET('Gastos com Pessoal'!$H$512,1,MATCH(2&amp;$B53,'Gastos com Pessoal'!$I$532:$AJ$532&amp;'Gastos com Pessoal'!$I$512:$AJ$512,0),10,1)),0)+_xlfn.IFNA(SUM((V$3&gt;='Gastos com Pessoal'!$E$513:$E$522)*(V$3&lt;='Gastos com Pessoal'!$F$513:$F$522)*(IF('Gastos com Pessoal'!$S$513:$S$522&lt;=V$3,1,0))*OFFSET('Gastos com Pessoal'!$H$512,1,MATCH(3&amp;$B53,'Gastos com Pessoal'!$I$532:$AJ$532&amp;'Gastos com Pessoal'!$I$512:$AJ$512,0),10,1)),0)+_xlfn.IFNA(SUM((V$3&gt;='Gastos com Pessoal'!$E$513:$E$522)*(V$3&lt;='Gastos com Pessoal'!$F$513:$F$522)*(IF('Gastos com Pessoal'!$Y$513:$Y$522&lt;=V$3,1,0))*OFFSET('Gastos com Pessoal'!$H$512,1,MATCH(4&amp;$B53,'Gastos com Pessoal'!$I$532:$AJ$532&amp;'Gastos com Pessoal'!$I$512:$AJ$512,0),10,1)),0)+_xlfn.IFNA(SUM((V$3&gt;='Gastos com Pessoal'!$E$513:$E$522)*(V$3&lt;='Gastos com Pessoal'!$F$513:$F$522)*(IF('Gastos com Pessoal'!$AE$513:$AE$522&lt;=V$3,1,0))*OFFSET('Gastos com Pessoal'!$H$512,1,MATCH(5&amp;$B53,'Gastos com Pessoal'!$I$532:$AJ$532&amp;'Gastos com Pessoal'!$I$512:$AJ$512,0),10,1)),0)</f>
        <v>0</v>
      </c>
      <c r="W53" s="188">
        <f t="array" aca="1" ref="W53" ca="1">_xlfn.IFNA(SUM((W$3&gt;='Gastos com Pessoal'!$E$7:$E$506)*(W$3&lt;='Gastos com Pessoal'!$F$7:$F$506)*OFFSET('Encargos e Benefícios'!$D$5,1,MATCH($B53,'Encargos e Benefícios'!$E$5:$AB$5,0),500,1)),0)+_xlfn.IFNA(SUM((W$3&gt;='Gastos com Pessoal'!$E$513:$E$522)*(W$3&lt;='Gastos com Pessoal'!$F$513:$F$522)*OFFSET('Encargos e Benefícios'!$D$511,1,MATCH($B53,'Encargos e Benefícios'!$E$511:$AB$511,0),10,1)),0)+_xlfn.IFNA(SUM((W$3&gt;='Gastos com Pessoal'!$E$7:$E$506)*(W$3&lt;='Gastos com Pessoal'!$F$7:$F$506)*(IF('Gastos com Pessoal'!$G$7:$G$506&lt;=W$3,1,0))*OFFSET('Gastos com Pessoal'!$H$6,1,MATCH(1&amp;$B53,'Gastos com Pessoal'!$I$532:$AJ$532&amp;'Gastos com Pessoal'!$I$6:$AJ$6,0),500,1)),0)+_xlfn.IFNA(SUM((W$3&gt;='Gastos com Pessoal'!$E$7:$E$506)*(W$3&lt;='Gastos com Pessoal'!$F$7:$F$506)*(IF('Gastos com Pessoal'!$M$7:$M$506&lt;=W$3,1,0))*OFFSET('Gastos com Pessoal'!$H$6,1,MATCH(2&amp;$B53,'Gastos com Pessoal'!$I$532:$AJ$532&amp;'Gastos com Pessoal'!$I$6:$AJ$6,0),500,1)),0)+_xlfn.IFNA(SUM((W$3&gt;='Gastos com Pessoal'!$E$7:$E$506)*(W$3&lt;='Gastos com Pessoal'!$F$7:$F$506)*(IF('Gastos com Pessoal'!$S$7:$S$506&lt;=W$3,1,0))*OFFSET('Gastos com Pessoal'!$H$6,1,MATCH(3&amp;$B53,'Gastos com Pessoal'!$I$532:$AJ$532&amp;'Gastos com Pessoal'!$I$6:$AJ$6,0),500,1)),0)+_xlfn.IFNA(SUM((W$3&gt;='Gastos com Pessoal'!$E$7:$E$506)*(W$3&lt;='Gastos com Pessoal'!$F$7:$F$506)*(IF('Gastos com Pessoal'!$Y$7:$Y$506&lt;=W$3,1,0))*OFFSET('Gastos com Pessoal'!$H$6,1,MATCH(4&amp;$B53,'Gastos com Pessoal'!$I$532:$AJ$532&amp;'Gastos com Pessoal'!$I$6:$AJ$6,0),500,1)),0)+_xlfn.IFNA(SUM((W$3&gt;='Gastos com Pessoal'!$E$7:$E$506)*(W$3&lt;='Gastos com Pessoal'!$F$7:$F$506)*(IF('Gastos com Pessoal'!$AE$7:$AE$506&lt;=W$3,1,0))*OFFSET('Gastos com Pessoal'!$H$6,1,MATCH(5&amp;$B53,'Gastos com Pessoal'!$I$532:$AJ$532&amp;'Gastos com Pessoal'!$I$6:$AJ$6,0),500,1)),0)+_xlfn.IFNA(SUM((W$3&gt;='Gastos com Pessoal'!$E$513:$E$522)*(W$3&lt;='Gastos com Pessoal'!$F$513:$F$522)*(IF('Gastos com Pessoal'!$G$513:$G$522&lt;=W$3,1,0))*OFFSET('Gastos com Pessoal'!$H$512,1,MATCH(1&amp;$B53,'Gastos com Pessoal'!$I$532:$AJ$532&amp;'Gastos com Pessoal'!$I$512:$AJ$512,0),10,1)),0)+_xlfn.IFNA(SUM((W$3&gt;='Gastos com Pessoal'!$E$513:$E$522)*(W$3&lt;='Gastos com Pessoal'!$F$513:$F$522)*(IF('Gastos com Pessoal'!$M$513:$M$522&lt;=W$3,1,0))*OFFSET('Gastos com Pessoal'!$H$512,1,MATCH(2&amp;$B53,'Gastos com Pessoal'!$I$532:$AJ$532&amp;'Gastos com Pessoal'!$I$512:$AJ$512,0),10,1)),0)+_xlfn.IFNA(SUM((W$3&gt;='Gastos com Pessoal'!$E$513:$E$522)*(W$3&lt;='Gastos com Pessoal'!$F$513:$F$522)*(IF('Gastos com Pessoal'!$S$513:$S$522&lt;=W$3,1,0))*OFFSET('Gastos com Pessoal'!$H$512,1,MATCH(3&amp;$B53,'Gastos com Pessoal'!$I$532:$AJ$532&amp;'Gastos com Pessoal'!$I$512:$AJ$512,0),10,1)),0)+_xlfn.IFNA(SUM((W$3&gt;='Gastos com Pessoal'!$E$513:$E$522)*(W$3&lt;='Gastos com Pessoal'!$F$513:$F$522)*(IF('Gastos com Pessoal'!$Y$513:$Y$522&lt;=W$3,1,0))*OFFSET('Gastos com Pessoal'!$H$512,1,MATCH(4&amp;$B53,'Gastos com Pessoal'!$I$532:$AJ$532&amp;'Gastos com Pessoal'!$I$512:$AJ$512,0),10,1)),0)+_xlfn.IFNA(SUM((W$3&gt;='Gastos com Pessoal'!$E$513:$E$522)*(W$3&lt;='Gastos com Pessoal'!$F$513:$F$522)*(IF('Gastos com Pessoal'!$AE$513:$AE$522&lt;=W$3,1,0))*OFFSET('Gastos com Pessoal'!$H$512,1,MATCH(5&amp;$B53,'Gastos com Pessoal'!$I$532:$AJ$532&amp;'Gastos com Pessoal'!$I$512:$AJ$512,0),10,1)),0)</f>
        <v>0</v>
      </c>
      <c r="X53" s="188">
        <f t="array" aca="1" ref="X53" ca="1">_xlfn.IFNA(SUM((X$3&gt;='Gastos com Pessoal'!$E$7:$E$506)*(X$3&lt;='Gastos com Pessoal'!$F$7:$F$506)*OFFSET('Encargos e Benefícios'!$D$5,1,MATCH($B53,'Encargos e Benefícios'!$E$5:$AB$5,0),500,1)),0)+_xlfn.IFNA(SUM((X$3&gt;='Gastos com Pessoal'!$E$513:$E$522)*(X$3&lt;='Gastos com Pessoal'!$F$513:$F$522)*OFFSET('Encargos e Benefícios'!$D$511,1,MATCH($B53,'Encargos e Benefícios'!$E$511:$AB$511,0),10,1)),0)+_xlfn.IFNA(SUM((X$3&gt;='Gastos com Pessoal'!$E$7:$E$506)*(X$3&lt;='Gastos com Pessoal'!$F$7:$F$506)*(IF('Gastos com Pessoal'!$G$7:$G$506&lt;=X$3,1,0))*OFFSET('Gastos com Pessoal'!$H$6,1,MATCH(1&amp;$B53,'Gastos com Pessoal'!$I$532:$AJ$532&amp;'Gastos com Pessoal'!$I$6:$AJ$6,0),500,1)),0)+_xlfn.IFNA(SUM((X$3&gt;='Gastos com Pessoal'!$E$7:$E$506)*(X$3&lt;='Gastos com Pessoal'!$F$7:$F$506)*(IF('Gastos com Pessoal'!$M$7:$M$506&lt;=X$3,1,0))*OFFSET('Gastos com Pessoal'!$H$6,1,MATCH(2&amp;$B53,'Gastos com Pessoal'!$I$532:$AJ$532&amp;'Gastos com Pessoal'!$I$6:$AJ$6,0),500,1)),0)+_xlfn.IFNA(SUM((X$3&gt;='Gastos com Pessoal'!$E$7:$E$506)*(X$3&lt;='Gastos com Pessoal'!$F$7:$F$506)*(IF('Gastos com Pessoal'!$S$7:$S$506&lt;=X$3,1,0))*OFFSET('Gastos com Pessoal'!$H$6,1,MATCH(3&amp;$B53,'Gastos com Pessoal'!$I$532:$AJ$532&amp;'Gastos com Pessoal'!$I$6:$AJ$6,0),500,1)),0)+_xlfn.IFNA(SUM((X$3&gt;='Gastos com Pessoal'!$E$7:$E$506)*(X$3&lt;='Gastos com Pessoal'!$F$7:$F$506)*(IF('Gastos com Pessoal'!$Y$7:$Y$506&lt;=X$3,1,0))*OFFSET('Gastos com Pessoal'!$H$6,1,MATCH(4&amp;$B53,'Gastos com Pessoal'!$I$532:$AJ$532&amp;'Gastos com Pessoal'!$I$6:$AJ$6,0),500,1)),0)+_xlfn.IFNA(SUM((X$3&gt;='Gastos com Pessoal'!$E$7:$E$506)*(X$3&lt;='Gastos com Pessoal'!$F$7:$F$506)*(IF('Gastos com Pessoal'!$AE$7:$AE$506&lt;=X$3,1,0))*OFFSET('Gastos com Pessoal'!$H$6,1,MATCH(5&amp;$B53,'Gastos com Pessoal'!$I$532:$AJ$532&amp;'Gastos com Pessoal'!$I$6:$AJ$6,0),500,1)),0)+_xlfn.IFNA(SUM((X$3&gt;='Gastos com Pessoal'!$E$513:$E$522)*(X$3&lt;='Gastos com Pessoal'!$F$513:$F$522)*(IF('Gastos com Pessoal'!$G$513:$G$522&lt;=X$3,1,0))*OFFSET('Gastos com Pessoal'!$H$512,1,MATCH(1&amp;$B53,'Gastos com Pessoal'!$I$532:$AJ$532&amp;'Gastos com Pessoal'!$I$512:$AJ$512,0),10,1)),0)+_xlfn.IFNA(SUM((X$3&gt;='Gastos com Pessoal'!$E$513:$E$522)*(X$3&lt;='Gastos com Pessoal'!$F$513:$F$522)*(IF('Gastos com Pessoal'!$M$513:$M$522&lt;=X$3,1,0))*OFFSET('Gastos com Pessoal'!$H$512,1,MATCH(2&amp;$B53,'Gastos com Pessoal'!$I$532:$AJ$532&amp;'Gastos com Pessoal'!$I$512:$AJ$512,0),10,1)),0)+_xlfn.IFNA(SUM((X$3&gt;='Gastos com Pessoal'!$E$513:$E$522)*(X$3&lt;='Gastos com Pessoal'!$F$513:$F$522)*(IF('Gastos com Pessoal'!$S$513:$S$522&lt;=X$3,1,0))*OFFSET('Gastos com Pessoal'!$H$512,1,MATCH(3&amp;$B53,'Gastos com Pessoal'!$I$532:$AJ$532&amp;'Gastos com Pessoal'!$I$512:$AJ$512,0),10,1)),0)+_xlfn.IFNA(SUM((X$3&gt;='Gastos com Pessoal'!$E$513:$E$522)*(X$3&lt;='Gastos com Pessoal'!$F$513:$F$522)*(IF('Gastos com Pessoal'!$Y$513:$Y$522&lt;=X$3,1,0))*OFFSET('Gastos com Pessoal'!$H$512,1,MATCH(4&amp;$B53,'Gastos com Pessoal'!$I$532:$AJ$532&amp;'Gastos com Pessoal'!$I$512:$AJ$512,0),10,1)),0)+_xlfn.IFNA(SUM((X$3&gt;='Gastos com Pessoal'!$E$513:$E$522)*(X$3&lt;='Gastos com Pessoal'!$F$513:$F$522)*(IF('Gastos com Pessoal'!$AE$513:$AE$522&lt;=X$3,1,0))*OFFSET('Gastos com Pessoal'!$H$512,1,MATCH(5&amp;$B53,'Gastos com Pessoal'!$I$532:$AJ$532&amp;'Gastos com Pessoal'!$I$512:$AJ$512,0),10,1)),0)</f>
        <v>0</v>
      </c>
      <c r="Y53" s="188">
        <f t="array" aca="1" ref="Y53" ca="1">_xlfn.IFNA(SUM((Y$3&gt;='Gastos com Pessoal'!$E$7:$E$506)*(Y$3&lt;='Gastos com Pessoal'!$F$7:$F$506)*OFFSET('Encargos e Benefícios'!$D$5,1,MATCH($B53,'Encargos e Benefícios'!$E$5:$AB$5,0),500,1)),0)+_xlfn.IFNA(SUM((Y$3&gt;='Gastos com Pessoal'!$E$513:$E$522)*(Y$3&lt;='Gastos com Pessoal'!$F$513:$F$522)*OFFSET('Encargos e Benefícios'!$D$511,1,MATCH($B53,'Encargos e Benefícios'!$E$511:$AB$511,0),10,1)),0)+_xlfn.IFNA(SUM((Y$3&gt;='Gastos com Pessoal'!$E$7:$E$506)*(Y$3&lt;='Gastos com Pessoal'!$F$7:$F$506)*(IF('Gastos com Pessoal'!$G$7:$G$506&lt;=Y$3,1,0))*OFFSET('Gastos com Pessoal'!$H$6,1,MATCH(1&amp;$B53,'Gastos com Pessoal'!$I$532:$AJ$532&amp;'Gastos com Pessoal'!$I$6:$AJ$6,0),500,1)),0)+_xlfn.IFNA(SUM((Y$3&gt;='Gastos com Pessoal'!$E$7:$E$506)*(Y$3&lt;='Gastos com Pessoal'!$F$7:$F$506)*(IF('Gastos com Pessoal'!$M$7:$M$506&lt;=Y$3,1,0))*OFFSET('Gastos com Pessoal'!$H$6,1,MATCH(2&amp;$B53,'Gastos com Pessoal'!$I$532:$AJ$532&amp;'Gastos com Pessoal'!$I$6:$AJ$6,0),500,1)),0)+_xlfn.IFNA(SUM((Y$3&gt;='Gastos com Pessoal'!$E$7:$E$506)*(Y$3&lt;='Gastos com Pessoal'!$F$7:$F$506)*(IF('Gastos com Pessoal'!$S$7:$S$506&lt;=Y$3,1,0))*OFFSET('Gastos com Pessoal'!$H$6,1,MATCH(3&amp;$B53,'Gastos com Pessoal'!$I$532:$AJ$532&amp;'Gastos com Pessoal'!$I$6:$AJ$6,0),500,1)),0)+_xlfn.IFNA(SUM((Y$3&gt;='Gastos com Pessoal'!$E$7:$E$506)*(Y$3&lt;='Gastos com Pessoal'!$F$7:$F$506)*(IF('Gastos com Pessoal'!$Y$7:$Y$506&lt;=Y$3,1,0))*OFFSET('Gastos com Pessoal'!$H$6,1,MATCH(4&amp;$B53,'Gastos com Pessoal'!$I$532:$AJ$532&amp;'Gastos com Pessoal'!$I$6:$AJ$6,0),500,1)),0)+_xlfn.IFNA(SUM((Y$3&gt;='Gastos com Pessoal'!$E$7:$E$506)*(Y$3&lt;='Gastos com Pessoal'!$F$7:$F$506)*(IF('Gastos com Pessoal'!$AE$7:$AE$506&lt;=Y$3,1,0))*OFFSET('Gastos com Pessoal'!$H$6,1,MATCH(5&amp;$B53,'Gastos com Pessoal'!$I$532:$AJ$532&amp;'Gastos com Pessoal'!$I$6:$AJ$6,0),500,1)),0)+_xlfn.IFNA(SUM((Y$3&gt;='Gastos com Pessoal'!$E$513:$E$522)*(Y$3&lt;='Gastos com Pessoal'!$F$513:$F$522)*(IF('Gastos com Pessoal'!$G$513:$G$522&lt;=Y$3,1,0))*OFFSET('Gastos com Pessoal'!$H$512,1,MATCH(1&amp;$B53,'Gastos com Pessoal'!$I$532:$AJ$532&amp;'Gastos com Pessoal'!$I$512:$AJ$512,0),10,1)),0)+_xlfn.IFNA(SUM((Y$3&gt;='Gastos com Pessoal'!$E$513:$E$522)*(Y$3&lt;='Gastos com Pessoal'!$F$513:$F$522)*(IF('Gastos com Pessoal'!$M$513:$M$522&lt;=Y$3,1,0))*OFFSET('Gastos com Pessoal'!$H$512,1,MATCH(2&amp;$B53,'Gastos com Pessoal'!$I$532:$AJ$532&amp;'Gastos com Pessoal'!$I$512:$AJ$512,0),10,1)),0)+_xlfn.IFNA(SUM((Y$3&gt;='Gastos com Pessoal'!$E$513:$E$522)*(Y$3&lt;='Gastos com Pessoal'!$F$513:$F$522)*(IF('Gastos com Pessoal'!$S$513:$S$522&lt;=Y$3,1,0))*OFFSET('Gastos com Pessoal'!$H$512,1,MATCH(3&amp;$B53,'Gastos com Pessoal'!$I$532:$AJ$532&amp;'Gastos com Pessoal'!$I$512:$AJ$512,0),10,1)),0)+_xlfn.IFNA(SUM((Y$3&gt;='Gastos com Pessoal'!$E$513:$E$522)*(Y$3&lt;='Gastos com Pessoal'!$F$513:$F$522)*(IF('Gastos com Pessoal'!$Y$513:$Y$522&lt;=Y$3,1,0))*OFFSET('Gastos com Pessoal'!$H$512,1,MATCH(4&amp;$B53,'Gastos com Pessoal'!$I$532:$AJ$532&amp;'Gastos com Pessoal'!$I$512:$AJ$512,0),10,1)),0)+_xlfn.IFNA(SUM((Y$3&gt;='Gastos com Pessoal'!$E$513:$E$522)*(Y$3&lt;='Gastos com Pessoal'!$F$513:$F$522)*(IF('Gastos com Pessoal'!$AE$513:$AE$522&lt;=Y$3,1,0))*OFFSET('Gastos com Pessoal'!$H$512,1,MATCH(5&amp;$B53,'Gastos com Pessoal'!$I$532:$AJ$532&amp;'Gastos com Pessoal'!$I$512:$AJ$512,0),10,1)),0)</f>
        <v>0</v>
      </c>
      <c r="Z53" s="188">
        <f t="array" aca="1" ref="Z53" ca="1">_xlfn.IFNA(SUM((Z$3&gt;='Gastos com Pessoal'!$E$7:$E$506)*(Z$3&lt;='Gastos com Pessoal'!$F$7:$F$506)*OFFSET('Encargos e Benefícios'!$D$5,1,MATCH($B53,'Encargos e Benefícios'!$E$5:$AB$5,0),500,1)),0)+_xlfn.IFNA(SUM((Z$3&gt;='Gastos com Pessoal'!$E$513:$E$522)*(Z$3&lt;='Gastos com Pessoal'!$F$513:$F$522)*OFFSET('Encargos e Benefícios'!$D$511,1,MATCH($B53,'Encargos e Benefícios'!$E$511:$AB$511,0),10,1)),0)+_xlfn.IFNA(SUM((Z$3&gt;='Gastos com Pessoal'!$E$7:$E$506)*(Z$3&lt;='Gastos com Pessoal'!$F$7:$F$506)*(IF('Gastos com Pessoal'!$G$7:$G$506&lt;=Z$3,1,0))*OFFSET('Gastos com Pessoal'!$H$6,1,MATCH(1&amp;$B53,'Gastos com Pessoal'!$I$532:$AJ$532&amp;'Gastos com Pessoal'!$I$6:$AJ$6,0),500,1)),0)+_xlfn.IFNA(SUM((Z$3&gt;='Gastos com Pessoal'!$E$7:$E$506)*(Z$3&lt;='Gastos com Pessoal'!$F$7:$F$506)*(IF('Gastos com Pessoal'!$M$7:$M$506&lt;=Z$3,1,0))*OFFSET('Gastos com Pessoal'!$H$6,1,MATCH(2&amp;$B53,'Gastos com Pessoal'!$I$532:$AJ$532&amp;'Gastos com Pessoal'!$I$6:$AJ$6,0),500,1)),0)+_xlfn.IFNA(SUM((Z$3&gt;='Gastos com Pessoal'!$E$7:$E$506)*(Z$3&lt;='Gastos com Pessoal'!$F$7:$F$506)*(IF('Gastos com Pessoal'!$S$7:$S$506&lt;=Z$3,1,0))*OFFSET('Gastos com Pessoal'!$H$6,1,MATCH(3&amp;$B53,'Gastos com Pessoal'!$I$532:$AJ$532&amp;'Gastos com Pessoal'!$I$6:$AJ$6,0),500,1)),0)+_xlfn.IFNA(SUM((Z$3&gt;='Gastos com Pessoal'!$E$7:$E$506)*(Z$3&lt;='Gastos com Pessoal'!$F$7:$F$506)*(IF('Gastos com Pessoal'!$Y$7:$Y$506&lt;=Z$3,1,0))*OFFSET('Gastos com Pessoal'!$H$6,1,MATCH(4&amp;$B53,'Gastos com Pessoal'!$I$532:$AJ$532&amp;'Gastos com Pessoal'!$I$6:$AJ$6,0),500,1)),0)+_xlfn.IFNA(SUM((Z$3&gt;='Gastos com Pessoal'!$E$7:$E$506)*(Z$3&lt;='Gastos com Pessoal'!$F$7:$F$506)*(IF('Gastos com Pessoal'!$AE$7:$AE$506&lt;=Z$3,1,0))*OFFSET('Gastos com Pessoal'!$H$6,1,MATCH(5&amp;$B53,'Gastos com Pessoal'!$I$532:$AJ$532&amp;'Gastos com Pessoal'!$I$6:$AJ$6,0),500,1)),0)+_xlfn.IFNA(SUM((Z$3&gt;='Gastos com Pessoal'!$E$513:$E$522)*(Z$3&lt;='Gastos com Pessoal'!$F$513:$F$522)*(IF('Gastos com Pessoal'!$G$513:$G$522&lt;=Z$3,1,0))*OFFSET('Gastos com Pessoal'!$H$512,1,MATCH(1&amp;$B53,'Gastos com Pessoal'!$I$532:$AJ$532&amp;'Gastos com Pessoal'!$I$512:$AJ$512,0),10,1)),0)+_xlfn.IFNA(SUM((Z$3&gt;='Gastos com Pessoal'!$E$513:$E$522)*(Z$3&lt;='Gastos com Pessoal'!$F$513:$F$522)*(IF('Gastos com Pessoal'!$M$513:$M$522&lt;=Z$3,1,0))*OFFSET('Gastos com Pessoal'!$H$512,1,MATCH(2&amp;$B53,'Gastos com Pessoal'!$I$532:$AJ$532&amp;'Gastos com Pessoal'!$I$512:$AJ$512,0),10,1)),0)+_xlfn.IFNA(SUM((Z$3&gt;='Gastos com Pessoal'!$E$513:$E$522)*(Z$3&lt;='Gastos com Pessoal'!$F$513:$F$522)*(IF('Gastos com Pessoal'!$S$513:$S$522&lt;=Z$3,1,0))*OFFSET('Gastos com Pessoal'!$H$512,1,MATCH(3&amp;$B53,'Gastos com Pessoal'!$I$532:$AJ$532&amp;'Gastos com Pessoal'!$I$512:$AJ$512,0),10,1)),0)+_xlfn.IFNA(SUM((Z$3&gt;='Gastos com Pessoal'!$E$513:$E$522)*(Z$3&lt;='Gastos com Pessoal'!$F$513:$F$522)*(IF('Gastos com Pessoal'!$Y$513:$Y$522&lt;=Z$3,1,0))*OFFSET('Gastos com Pessoal'!$H$512,1,MATCH(4&amp;$B53,'Gastos com Pessoal'!$I$532:$AJ$532&amp;'Gastos com Pessoal'!$I$512:$AJ$512,0),10,1)),0)+_xlfn.IFNA(SUM((Z$3&gt;='Gastos com Pessoal'!$E$513:$E$522)*(Z$3&lt;='Gastos com Pessoal'!$F$513:$F$522)*(IF('Gastos com Pessoal'!$AE$513:$AE$522&lt;=Z$3,1,0))*OFFSET('Gastos com Pessoal'!$H$512,1,MATCH(5&amp;$B53,'Gastos com Pessoal'!$I$532:$AJ$532&amp;'Gastos com Pessoal'!$I$512:$AJ$512,0),10,1)),0)</f>
        <v>0</v>
      </c>
      <c r="AA53" s="188">
        <f t="array" aca="1" ref="AA53" ca="1">_xlfn.IFNA(SUM((AA$3&gt;='Gastos com Pessoal'!$E$7:$E$506)*(AA$3&lt;='Gastos com Pessoal'!$F$7:$F$506)*OFFSET('Encargos e Benefícios'!$D$5,1,MATCH($B53,'Encargos e Benefícios'!$E$5:$AB$5,0),500,1)),0)+_xlfn.IFNA(SUM((AA$3&gt;='Gastos com Pessoal'!$E$513:$E$522)*(AA$3&lt;='Gastos com Pessoal'!$F$513:$F$522)*OFFSET('Encargos e Benefícios'!$D$511,1,MATCH($B53,'Encargos e Benefícios'!$E$511:$AB$511,0),10,1)),0)+_xlfn.IFNA(SUM((AA$3&gt;='Gastos com Pessoal'!$E$7:$E$506)*(AA$3&lt;='Gastos com Pessoal'!$F$7:$F$506)*(IF('Gastos com Pessoal'!$G$7:$G$506&lt;=AA$3,1,0))*OFFSET('Gastos com Pessoal'!$H$6,1,MATCH(1&amp;$B53,'Gastos com Pessoal'!$I$532:$AJ$532&amp;'Gastos com Pessoal'!$I$6:$AJ$6,0),500,1)),0)+_xlfn.IFNA(SUM((AA$3&gt;='Gastos com Pessoal'!$E$7:$E$506)*(AA$3&lt;='Gastos com Pessoal'!$F$7:$F$506)*(IF('Gastos com Pessoal'!$M$7:$M$506&lt;=AA$3,1,0))*OFFSET('Gastos com Pessoal'!$H$6,1,MATCH(2&amp;$B53,'Gastos com Pessoal'!$I$532:$AJ$532&amp;'Gastos com Pessoal'!$I$6:$AJ$6,0),500,1)),0)+_xlfn.IFNA(SUM((AA$3&gt;='Gastos com Pessoal'!$E$7:$E$506)*(AA$3&lt;='Gastos com Pessoal'!$F$7:$F$506)*(IF('Gastos com Pessoal'!$S$7:$S$506&lt;=AA$3,1,0))*OFFSET('Gastos com Pessoal'!$H$6,1,MATCH(3&amp;$B53,'Gastos com Pessoal'!$I$532:$AJ$532&amp;'Gastos com Pessoal'!$I$6:$AJ$6,0),500,1)),0)+_xlfn.IFNA(SUM((AA$3&gt;='Gastos com Pessoal'!$E$7:$E$506)*(AA$3&lt;='Gastos com Pessoal'!$F$7:$F$506)*(IF('Gastos com Pessoal'!$Y$7:$Y$506&lt;=AA$3,1,0))*OFFSET('Gastos com Pessoal'!$H$6,1,MATCH(4&amp;$B53,'Gastos com Pessoal'!$I$532:$AJ$532&amp;'Gastos com Pessoal'!$I$6:$AJ$6,0),500,1)),0)+_xlfn.IFNA(SUM((AA$3&gt;='Gastos com Pessoal'!$E$7:$E$506)*(AA$3&lt;='Gastos com Pessoal'!$F$7:$F$506)*(IF('Gastos com Pessoal'!$AE$7:$AE$506&lt;=AA$3,1,0))*OFFSET('Gastos com Pessoal'!$H$6,1,MATCH(5&amp;$B53,'Gastos com Pessoal'!$I$532:$AJ$532&amp;'Gastos com Pessoal'!$I$6:$AJ$6,0),500,1)),0)+_xlfn.IFNA(SUM((AA$3&gt;='Gastos com Pessoal'!$E$513:$E$522)*(AA$3&lt;='Gastos com Pessoal'!$F$513:$F$522)*(IF('Gastos com Pessoal'!$G$513:$G$522&lt;=AA$3,1,0))*OFFSET('Gastos com Pessoal'!$H$512,1,MATCH(1&amp;$B53,'Gastos com Pessoal'!$I$532:$AJ$532&amp;'Gastos com Pessoal'!$I$512:$AJ$512,0),10,1)),0)+_xlfn.IFNA(SUM((AA$3&gt;='Gastos com Pessoal'!$E$513:$E$522)*(AA$3&lt;='Gastos com Pessoal'!$F$513:$F$522)*(IF('Gastos com Pessoal'!$M$513:$M$522&lt;=AA$3,1,0))*OFFSET('Gastos com Pessoal'!$H$512,1,MATCH(2&amp;$B53,'Gastos com Pessoal'!$I$532:$AJ$532&amp;'Gastos com Pessoal'!$I$512:$AJ$512,0),10,1)),0)+_xlfn.IFNA(SUM((AA$3&gt;='Gastos com Pessoal'!$E$513:$E$522)*(AA$3&lt;='Gastos com Pessoal'!$F$513:$F$522)*(IF('Gastos com Pessoal'!$S$513:$S$522&lt;=AA$3,1,0))*OFFSET('Gastos com Pessoal'!$H$512,1,MATCH(3&amp;$B53,'Gastos com Pessoal'!$I$532:$AJ$532&amp;'Gastos com Pessoal'!$I$512:$AJ$512,0),10,1)),0)+_xlfn.IFNA(SUM((AA$3&gt;='Gastos com Pessoal'!$E$513:$E$522)*(AA$3&lt;='Gastos com Pessoal'!$F$513:$F$522)*(IF('Gastos com Pessoal'!$Y$513:$Y$522&lt;=AA$3,1,0))*OFFSET('Gastos com Pessoal'!$H$512,1,MATCH(4&amp;$B53,'Gastos com Pessoal'!$I$532:$AJ$532&amp;'Gastos com Pessoal'!$I$512:$AJ$512,0),10,1)),0)+_xlfn.IFNA(SUM((AA$3&gt;='Gastos com Pessoal'!$E$513:$E$522)*(AA$3&lt;='Gastos com Pessoal'!$F$513:$F$522)*(IF('Gastos com Pessoal'!$AE$513:$AE$522&lt;=AA$3,1,0))*OFFSET('Gastos com Pessoal'!$H$512,1,MATCH(5&amp;$B53,'Gastos com Pessoal'!$I$532:$AJ$532&amp;'Gastos com Pessoal'!$I$512:$AJ$512,0),10,1)),0)</f>
        <v>0</v>
      </c>
      <c r="AB53" s="188">
        <f t="array" aca="1" ref="AB53" ca="1">_xlfn.IFNA(SUM((AB$3&gt;='Gastos com Pessoal'!$E$7:$E$506)*(AB$3&lt;='Gastos com Pessoal'!$F$7:$F$506)*OFFSET('Encargos e Benefícios'!$D$5,1,MATCH($B53,'Encargos e Benefícios'!$E$5:$AB$5,0),500,1)),0)+_xlfn.IFNA(SUM((AB$3&gt;='Gastos com Pessoal'!$E$513:$E$522)*(AB$3&lt;='Gastos com Pessoal'!$F$513:$F$522)*OFFSET('Encargos e Benefícios'!$D$511,1,MATCH($B53,'Encargos e Benefícios'!$E$511:$AB$511,0),10,1)),0)+_xlfn.IFNA(SUM((AB$3&gt;='Gastos com Pessoal'!$E$7:$E$506)*(AB$3&lt;='Gastos com Pessoal'!$F$7:$F$506)*(IF('Gastos com Pessoal'!$G$7:$G$506&lt;=AB$3,1,0))*OFFSET('Gastos com Pessoal'!$H$6,1,MATCH(1&amp;$B53,'Gastos com Pessoal'!$I$532:$AJ$532&amp;'Gastos com Pessoal'!$I$6:$AJ$6,0),500,1)),0)+_xlfn.IFNA(SUM((AB$3&gt;='Gastos com Pessoal'!$E$7:$E$506)*(AB$3&lt;='Gastos com Pessoal'!$F$7:$F$506)*(IF('Gastos com Pessoal'!$M$7:$M$506&lt;=AB$3,1,0))*OFFSET('Gastos com Pessoal'!$H$6,1,MATCH(2&amp;$B53,'Gastos com Pessoal'!$I$532:$AJ$532&amp;'Gastos com Pessoal'!$I$6:$AJ$6,0),500,1)),0)+_xlfn.IFNA(SUM((AB$3&gt;='Gastos com Pessoal'!$E$7:$E$506)*(AB$3&lt;='Gastos com Pessoal'!$F$7:$F$506)*(IF('Gastos com Pessoal'!$S$7:$S$506&lt;=AB$3,1,0))*OFFSET('Gastos com Pessoal'!$H$6,1,MATCH(3&amp;$B53,'Gastos com Pessoal'!$I$532:$AJ$532&amp;'Gastos com Pessoal'!$I$6:$AJ$6,0),500,1)),0)+_xlfn.IFNA(SUM((AB$3&gt;='Gastos com Pessoal'!$E$7:$E$506)*(AB$3&lt;='Gastos com Pessoal'!$F$7:$F$506)*(IF('Gastos com Pessoal'!$Y$7:$Y$506&lt;=AB$3,1,0))*OFFSET('Gastos com Pessoal'!$H$6,1,MATCH(4&amp;$B53,'Gastos com Pessoal'!$I$532:$AJ$532&amp;'Gastos com Pessoal'!$I$6:$AJ$6,0),500,1)),0)+_xlfn.IFNA(SUM((AB$3&gt;='Gastos com Pessoal'!$E$7:$E$506)*(AB$3&lt;='Gastos com Pessoal'!$F$7:$F$506)*(IF('Gastos com Pessoal'!$AE$7:$AE$506&lt;=AB$3,1,0))*OFFSET('Gastos com Pessoal'!$H$6,1,MATCH(5&amp;$B53,'Gastos com Pessoal'!$I$532:$AJ$532&amp;'Gastos com Pessoal'!$I$6:$AJ$6,0),500,1)),0)+_xlfn.IFNA(SUM((AB$3&gt;='Gastos com Pessoal'!$E$513:$E$522)*(AB$3&lt;='Gastos com Pessoal'!$F$513:$F$522)*(IF('Gastos com Pessoal'!$G$513:$G$522&lt;=AB$3,1,0))*OFFSET('Gastos com Pessoal'!$H$512,1,MATCH(1&amp;$B53,'Gastos com Pessoal'!$I$532:$AJ$532&amp;'Gastos com Pessoal'!$I$512:$AJ$512,0),10,1)),0)+_xlfn.IFNA(SUM((AB$3&gt;='Gastos com Pessoal'!$E$513:$E$522)*(AB$3&lt;='Gastos com Pessoal'!$F$513:$F$522)*(IF('Gastos com Pessoal'!$M$513:$M$522&lt;=AB$3,1,0))*OFFSET('Gastos com Pessoal'!$H$512,1,MATCH(2&amp;$B53,'Gastos com Pessoal'!$I$532:$AJ$532&amp;'Gastos com Pessoal'!$I$512:$AJ$512,0),10,1)),0)+_xlfn.IFNA(SUM((AB$3&gt;='Gastos com Pessoal'!$E$513:$E$522)*(AB$3&lt;='Gastos com Pessoal'!$F$513:$F$522)*(IF('Gastos com Pessoal'!$S$513:$S$522&lt;=AB$3,1,0))*OFFSET('Gastos com Pessoal'!$H$512,1,MATCH(3&amp;$B53,'Gastos com Pessoal'!$I$532:$AJ$532&amp;'Gastos com Pessoal'!$I$512:$AJ$512,0),10,1)),0)+_xlfn.IFNA(SUM((AB$3&gt;='Gastos com Pessoal'!$E$513:$E$522)*(AB$3&lt;='Gastos com Pessoal'!$F$513:$F$522)*(IF('Gastos com Pessoal'!$Y$513:$Y$522&lt;=AB$3,1,0))*OFFSET('Gastos com Pessoal'!$H$512,1,MATCH(4&amp;$B53,'Gastos com Pessoal'!$I$532:$AJ$532&amp;'Gastos com Pessoal'!$I$512:$AJ$512,0),10,1)),0)+_xlfn.IFNA(SUM((AB$3&gt;='Gastos com Pessoal'!$E$513:$E$522)*(AB$3&lt;='Gastos com Pessoal'!$F$513:$F$522)*(IF('Gastos com Pessoal'!$AE$513:$AE$522&lt;=AB$3,1,0))*OFFSET('Gastos com Pessoal'!$H$512,1,MATCH(5&amp;$B53,'Gastos com Pessoal'!$I$532:$AJ$532&amp;'Gastos com Pessoal'!$I$512:$AJ$512,0),10,1)),0)</f>
        <v>0</v>
      </c>
      <c r="AC53" s="188">
        <f t="array" aca="1" ref="AC53" ca="1">_xlfn.IFNA(SUM((AC$3&gt;='Gastos com Pessoal'!$E$7:$E$506)*(AC$3&lt;='Gastos com Pessoal'!$F$7:$F$506)*OFFSET('Encargos e Benefícios'!$D$5,1,MATCH($B53,'Encargos e Benefícios'!$E$5:$AB$5,0),500,1)),0)+_xlfn.IFNA(SUM((AC$3&gt;='Gastos com Pessoal'!$E$513:$E$522)*(AC$3&lt;='Gastos com Pessoal'!$F$513:$F$522)*OFFSET('Encargos e Benefícios'!$D$511,1,MATCH($B53,'Encargos e Benefícios'!$E$511:$AB$511,0),10,1)),0)+_xlfn.IFNA(SUM((AC$3&gt;='Gastos com Pessoal'!$E$7:$E$506)*(AC$3&lt;='Gastos com Pessoal'!$F$7:$F$506)*(IF('Gastos com Pessoal'!$G$7:$G$506&lt;=AC$3,1,0))*OFFSET('Gastos com Pessoal'!$H$6,1,MATCH(1&amp;$B53,'Gastos com Pessoal'!$I$532:$AJ$532&amp;'Gastos com Pessoal'!$I$6:$AJ$6,0),500,1)),0)+_xlfn.IFNA(SUM((AC$3&gt;='Gastos com Pessoal'!$E$7:$E$506)*(AC$3&lt;='Gastos com Pessoal'!$F$7:$F$506)*(IF('Gastos com Pessoal'!$M$7:$M$506&lt;=AC$3,1,0))*OFFSET('Gastos com Pessoal'!$H$6,1,MATCH(2&amp;$B53,'Gastos com Pessoal'!$I$532:$AJ$532&amp;'Gastos com Pessoal'!$I$6:$AJ$6,0),500,1)),0)+_xlfn.IFNA(SUM((AC$3&gt;='Gastos com Pessoal'!$E$7:$E$506)*(AC$3&lt;='Gastos com Pessoal'!$F$7:$F$506)*(IF('Gastos com Pessoal'!$S$7:$S$506&lt;=AC$3,1,0))*OFFSET('Gastos com Pessoal'!$H$6,1,MATCH(3&amp;$B53,'Gastos com Pessoal'!$I$532:$AJ$532&amp;'Gastos com Pessoal'!$I$6:$AJ$6,0),500,1)),0)+_xlfn.IFNA(SUM((AC$3&gt;='Gastos com Pessoal'!$E$7:$E$506)*(AC$3&lt;='Gastos com Pessoal'!$F$7:$F$506)*(IF('Gastos com Pessoal'!$Y$7:$Y$506&lt;=AC$3,1,0))*OFFSET('Gastos com Pessoal'!$H$6,1,MATCH(4&amp;$B53,'Gastos com Pessoal'!$I$532:$AJ$532&amp;'Gastos com Pessoal'!$I$6:$AJ$6,0),500,1)),0)+_xlfn.IFNA(SUM((AC$3&gt;='Gastos com Pessoal'!$E$7:$E$506)*(AC$3&lt;='Gastos com Pessoal'!$F$7:$F$506)*(IF('Gastos com Pessoal'!$AE$7:$AE$506&lt;=AC$3,1,0))*OFFSET('Gastos com Pessoal'!$H$6,1,MATCH(5&amp;$B53,'Gastos com Pessoal'!$I$532:$AJ$532&amp;'Gastos com Pessoal'!$I$6:$AJ$6,0),500,1)),0)+_xlfn.IFNA(SUM((AC$3&gt;='Gastos com Pessoal'!$E$513:$E$522)*(AC$3&lt;='Gastos com Pessoal'!$F$513:$F$522)*(IF('Gastos com Pessoal'!$G$513:$G$522&lt;=AC$3,1,0))*OFFSET('Gastos com Pessoal'!$H$512,1,MATCH(1&amp;$B53,'Gastos com Pessoal'!$I$532:$AJ$532&amp;'Gastos com Pessoal'!$I$512:$AJ$512,0),10,1)),0)+_xlfn.IFNA(SUM((AC$3&gt;='Gastos com Pessoal'!$E$513:$E$522)*(AC$3&lt;='Gastos com Pessoal'!$F$513:$F$522)*(IF('Gastos com Pessoal'!$M$513:$M$522&lt;=AC$3,1,0))*OFFSET('Gastos com Pessoal'!$H$512,1,MATCH(2&amp;$B53,'Gastos com Pessoal'!$I$532:$AJ$532&amp;'Gastos com Pessoal'!$I$512:$AJ$512,0),10,1)),0)+_xlfn.IFNA(SUM((AC$3&gt;='Gastos com Pessoal'!$E$513:$E$522)*(AC$3&lt;='Gastos com Pessoal'!$F$513:$F$522)*(IF('Gastos com Pessoal'!$S$513:$S$522&lt;=AC$3,1,0))*OFFSET('Gastos com Pessoal'!$H$512,1,MATCH(3&amp;$B53,'Gastos com Pessoal'!$I$532:$AJ$532&amp;'Gastos com Pessoal'!$I$512:$AJ$512,0),10,1)),0)+_xlfn.IFNA(SUM((AC$3&gt;='Gastos com Pessoal'!$E$513:$E$522)*(AC$3&lt;='Gastos com Pessoal'!$F$513:$F$522)*(IF('Gastos com Pessoal'!$Y$513:$Y$522&lt;=AC$3,1,0))*OFFSET('Gastos com Pessoal'!$H$512,1,MATCH(4&amp;$B53,'Gastos com Pessoal'!$I$532:$AJ$532&amp;'Gastos com Pessoal'!$I$512:$AJ$512,0),10,1)),0)+_xlfn.IFNA(SUM((AC$3&gt;='Gastos com Pessoal'!$E$513:$E$522)*(AC$3&lt;='Gastos com Pessoal'!$F$513:$F$522)*(IF('Gastos com Pessoal'!$AE$513:$AE$522&lt;=AC$3,1,0))*OFFSET('Gastos com Pessoal'!$H$512,1,MATCH(5&amp;$B53,'Gastos com Pessoal'!$I$532:$AJ$532&amp;'Gastos com Pessoal'!$I$512:$AJ$512,0),10,1)),0)</f>
        <v>0</v>
      </c>
      <c r="AD53" s="188">
        <f t="array" aca="1" ref="AD53" ca="1">_xlfn.IFNA(SUM((AD$3&gt;='Gastos com Pessoal'!$E$7:$E$506)*(AD$3&lt;='Gastos com Pessoal'!$F$7:$F$506)*OFFSET('Encargos e Benefícios'!$D$5,1,MATCH($B53,'Encargos e Benefícios'!$E$5:$AB$5,0),500,1)),0)+_xlfn.IFNA(SUM((AD$3&gt;='Gastos com Pessoal'!$E$513:$E$522)*(AD$3&lt;='Gastos com Pessoal'!$F$513:$F$522)*OFFSET('Encargos e Benefícios'!$D$511,1,MATCH($B53,'Encargos e Benefícios'!$E$511:$AB$511,0),10,1)),0)+_xlfn.IFNA(SUM((AD$3&gt;='Gastos com Pessoal'!$E$7:$E$506)*(AD$3&lt;='Gastos com Pessoal'!$F$7:$F$506)*(IF('Gastos com Pessoal'!$G$7:$G$506&lt;=AD$3,1,0))*OFFSET('Gastos com Pessoal'!$H$6,1,MATCH(1&amp;$B53,'Gastos com Pessoal'!$I$532:$AJ$532&amp;'Gastos com Pessoal'!$I$6:$AJ$6,0),500,1)),0)+_xlfn.IFNA(SUM((AD$3&gt;='Gastos com Pessoal'!$E$7:$E$506)*(AD$3&lt;='Gastos com Pessoal'!$F$7:$F$506)*(IF('Gastos com Pessoal'!$M$7:$M$506&lt;=AD$3,1,0))*OFFSET('Gastos com Pessoal'!$H$6,1,MATCH(2&amp;$B53,'Gastos com Pessoal'!$I$532:$AJ$532&amp;'Gastos com Pessoal'!$I$6:$AJ$6,0),500,1)),0)+_xlfn.IFNA(SUM((AD$3&gt;='Gastos com Pessoal'!$E$7:$E$506)*(AD$3&lt;='Gastos com Pessoal'!$F$7:$F$506)*(IF('Gastos com Pessoal'!$S$7:$S$506&lt;=AD$3,1,0))*OFFSET('Gastos com Pessoal'!$H$6,1,MATCH(3&amp;$B53,'Gastos com Pessoal'!$I$532:$AJ$532&amp;'Gastos com Pessoal'!$I$6:$AJ$6,0),500,1)),0)+_xlfn.IFNA(SUM((AD$3&gt;='Gastos com Pessoal'!$E$7:$E$506)*(AD$3&lt;='Gastos com Pessoal'!$F$7:$F$506)*(IF('Gastos com Pessoal'!$Y$7:$Y$506&lt;=AD$3,1,0))*OFFSET('Gastos com Pessoal'!$H$6,1,MATCH(4&amp;$B53,'Gastos com Pessoal'!$I$532:$AJ$532&amp;'Gastos com Pessoal'!$I$6:$AJ$6,0),500,1)),0)+_xlfn.IFNA(SUM((AD$3&gt;='Gastos com Pessoal'!$E$7:$E$506)*(AD$3&lt;='Gastos com Pessoal'!$F$7:$F$506)*(IF('Gastos com Pessoal'!$AE$7:$AE$506&lt;=AD$3,1,0))*OFFSET('Gastos com Pessoal'!$H$6,1,MATCH(5&amp;$B53,'Gastos com Pessoal'!$I$532:$AJ$532&amp;'Gastos com Pessoal'!$I$6:$AJ$6,0),500,1)),0)+_xlfn.IFNA(SUM((AD$3&gt;='Gastos com Pessoal'!$E$513:$E$522)*(AD$3&lt;='Gastos com Pessoal'!$F$513:$F$522)*(IF('Gastos com Pessoal'!$G$513:$G$522&lt;=AD$3,1,0))*OFFSET('Gastos com Pessoal'!$H$512,1,MATCH(1&amp;$B53,'Gastos com Pessoal'!$I$532:$AJ$532&amp;'Gastos com Pessoal'!$I$512:$AJ$512,0),10,1)),0)+_xlfn.IFNA(SUM((AD$3&gt;='Gastos com Pessoal'!$E$513:$E$522)*(AD$3&lt;='Gastos com Pessoal'!$F$513:$F$522)*(IF('Gastos com Pessoal'!$M$513:$M$522&lt;=AD$3,1,0))*OFFSET('Gastos com Pessoal'!$H$512,1,MATCH(2&amp;$B53,'Gastos com Pessoal'!$I$532:$AJ$532&amp;'Gastos com Pessoal'!$I$512:$AJ$512,0),10,1)),0)+_xlfn.IFNA(SUM((AD$3&gt;='Gastos com Pessoal'!$E$513:$E$522)*(AD$3&lt;='Gastos com Pessoal'!$F$513:$F$522)*(IF('Gastos com Pessoal'!$S$513:$S$522&lt;=AD$3,1,0))*OFFSET('Gastos com Pessoal'!$H$512,1,MATCH(3&amp;$B53,'Gastos com Pessoal'!$I$532:$AJ$532&amp;'Gastos com Pessoal'!$I$512:$AJ$512,0),10,1)),0)+_xlfn.IFNA(SUM((AD$3&gt;='Gastos com Pessoal'!$E$513:$E$522)*(AD$3&lt;='Gastos com Pessoal'!$F$513:$F$522)*(IF('Gastos com Pessoal'!$Y$513:$Y$522&lt;=AD$3,1,0))*OFFSET('Gastos com Pessoal'!$H$512,1,MATCH(4&amp;$B53,'Gastos com Pessoal'!$I$532:$AJ$532&amp;'Gastos com Pessoal'!$I$512:$AJ$512,0),10,1)),0)+_xlfn.IFNA(SUM((AD$3&gt;='Gastos com Pessoal'!$E$513:$E$522)*(AD$3&lt;='Gastos com Pessoal'!$F$513:$F$522)*(IF('Gastos com Pessoal'!$AE$513:$AE$522&lt;=AD$3,1,0))*OFFSET('Gastos com Pessoal'!$H$512,1,MATCH(5&amp;$B53,'Gastos com Pessoal'!$I$532:$AJ$532&amp;'Gastos com Pessoal'!$I$512:$AJ$512,0),10,1)),0)</f>
        <v>0</v>
      </c>
      <c r="AE53" s="188">
        <f t="array" aca="1" ref="AE53" ca="1">_xlfn.IFNA(SUM((AE$3&gt;='Gastos com Pessoal'!$E$7:$E$506)*(AE$3&lt;='Gastos com Pessoal'!$F$7:$F$506)*OFFSET('Encargos e Benefícios'!$D$5,1,MATCH($B53,'Encargos e Benefícios'!$E$5:$AB$5,0),500,1)),0)+_xlfn.IFNA(SUM((AE$3&gt;='Gastos com Pessoal'!$E$513:$E$522)*(AE$3&lt;='Gastos com Pessoal'!$F$513:$F$522)*OFFSET('Encargos e Benefícios'!$D$511,1,MATCH($B53,'Encargos e Benefícios'!$E$511:$AB$511,0),10,1)),0)+_xlfn.IFNA(SUM((AE$3&gt;='Gastos com Pessoal'!$E$7:$E$506)*(AE$3&lt;='Gastos com Pessoal'!$F$7:$F$506)*(IF('Gastos com Pessoal'!$G$7:$G$506&lt;=AE$3,1,0))*OFFSET('Gastos com Pessoal'!$H$6,1,MATCH(1&amp;$B53,'Gastos com Pessoal'!$I$532:$AJ$532&amp;'Gastos com Pessoal'!$I$6:$AJ$6,0),500,1)),0)+_xlfn.IFNA(SUM((AE$3&gt;='Gastos com Pessoal'!$E$7:$E$506)*(AE$3&lt;='Gastos com Pessoal'!$F$7:$F$506)*(IF('Gastos com Pessoal'!$M$7:$M$506&lt;=AE$3,1,0))*OFFSET('Gastos com Pessoal'!$H$6,1,MATCH(2&amp;$B53,'Gastos com Pessoal'!$I$532:$AJ$532&amp;'Gastos com Pessoal'!$I$6:$AJ$6,0),500,1)),0)+_xlfn.IFNA(SUM((AE$3&gt;='Gastos com Pessoal'!$E$7:$E$506)*(AE$3&lt;='Gastos com Pessoal'!$F$7:$F$506)*(IF('Gastos com Pessoal'!$S$7:$S$506&lt;=AE$3,1,0))*OFFSET('Gastos com Pessoal'!$H$6,1,MATCH(3&amp;$B53,'Gastos com Pessoal'!$I$532:$AJ$532&amp;'Gastos com Pessoal'!$I$6:$AJ$6,0),500,1)),0)+_xlfn.IFNA(SUM((AE$3&gt;='Gastos com Pessoal'!$E$7:$E$506)*(AE$3&lt;='Gastos com Pessoal'!$F$7:$F$506)*(IF('Gastos com Pessoal'!$Y$7:$Y$506&lt;=AE$3,1,0))*OFFSET('Gastos com Pessoal'!$H$6,1,MATCH(4&amp;$B53,'Gastos com Pessoal'!$I$532:$AJ$532&amp;'Gastos com Pessoal'!$I$6:$AJ$6,0),500,1)),0)+_xlfn.IFNA(SUM((AE$3&gt;='Gastos com Pessoal'!$E$7:$E$506)*(AE$3&lt;='Gastos com Pessoal'!$F$7:$F$506)*(IF('Gastos com Pessoal'!$AE$7:$AE$506&lt;=AE$3,1,0))*OFFSET('Gastos com Pessoal'!$H$6,1,MATCH(5&amp;$B53,'Gastos com Pessoal'!$I$532:$AJ$532&amp;'Gastos com Pessoal'!$I$6:$AJ$6,0),500,1)),0)+_xlfn.IFNA(SUM((AE$3&gt;='Gastos com Pessoal'!$E$513:$E$522)*(AE$3&lt;='Gastos com Pessoal'!$F$513:$F$522)*(IF('Gastos com Pessoal'!$G$513:$G$522&lt;=AE$3,1,0))*OFFSET('Gastos com Pessoal'!$H$512,1,MATCH(1&amp;$B53,'Gastos com Pessoal'!$I$532:$AJ$532&amp;'Gastos com Pessoal'!$I$512:$AJ$512,0),10,1)),0)+_xlfn.IFNA(SUM((AE$3&gt;='Gastos com Pessoal'!$E$513:$E$522)*(AE$3&lt;='Gastos com Pessoal'!$F$513:$F$522)*(IF('Gastos com Pessoal'!$M$513:$M$522&lt;=AE$3,1,0))*OFFSET('Gastos com Pessoal'!$H$512,1,MATCH(2&amp;$B53,'Gastos com Pessoal'!$I$532:$AJ$532&amp;'Gastos com Pessoal'!$I$512:$AJ$512,0),10,1)),0)+_xlfn.IFNA(SUM((AE$3&gt;='Gastos com Pessoal'!$E$513:$E$522)*(AE$3&lt;='Gastos com Pessoal'!$F$513:$F$522)*(IF('Gastos com Pessoal'!$S$513:$S$522&lt;=AE$3,1,0))*OFFSET('Gastos com Pessoal'!$H$512,1,MATCH(3&amp;$B53,'Gastos com Pessoal'!$I$532:$AJ$532&amp;'Gastos com Pessoal'!$I$512:$AJ$512,0),10,1)),0)+_xlfn.IFNA(SUM((AE$3&gt;='Gastos com Pessoal'!$E$513:$E$522)*(AE$3&lt;='Gastos com Pessoal'!$F$513:$F$522)*(IF('Gastos com Pessoal'!$Y$513:$Y$522&lt;=AE$3,1,0))*OFFSET('Gastos com Pessoal'!$H$512,1,MATCH(4&amp;$B53,'Gastos com Pessoal'!$I$532:$AJ$532&amp;'Gastos com Pessoal'!$I$512:$AJ$512,0),10,1)),0)+_xlfn.IFNA(SUM((AE$3&gt;='Gastos com Pessoal'!$E$513:$E$522)*(AE$3&lt;='Gastos com Pessoal'!$F$513:$F$522)*(IF('Gastos com Pessoal'!$AE$513:$AE$522&lt;=AE$3,1,0))*OFFSET('Gastos com Pessoal'!$H$512,1,MATCH(5&amp;$B53,'Gastos com Pessoal'!$I$532:$AJ$532&amp;'Gastos com Pessoal'!$I$512:$AJ$512,0),10,1)),0)</f>
        <v>0</v>
      </c>
      <c r="AF53" s="188">
        <f t="array" aca="1" ref="AF53" ca="1">_xlfn.IFNA(SUM((AF$3&gt;='Gastos com Pessoal'!$E$7:$E$506)*(AF$3&lt;='Gastos com Pessoal'!$F$7:$F$506)*OFFSET('Encargos e Benefícios'!$D$5,1,MATCH($B53,'Encargos e Benefícios'!$E$5:$AB$5,0),500,1)),0)+_xlfn.IFNA(SUM((AF$3&gt;='Gastos com Pessoal'!$E$513:$E$522)*(AF$3&lt;='Gastos com Pessoal'!$F$513:$F$522)*OFFSET('Encargos e Benefícios'!$D$511,1,MATCH($B53,'Encargos e Benefícios'!$E$511:$AB$511,0),10,1)),0)+_xlfn.IFNA(SUM((AF$3&gt;='Gastos com Pessoal'!$E$7:$E$506)*(AF$3&lt;='Gastos com Pessoal'!$F$7:$F$506)*(IF('Gastos com Pessoal'!$G$7:$G$506&lt;=AF$3,1,0))*OFFSET('Gastos com Pessoal'!$H$6,1,MATCH(1&amp;$B53,'Gastos com Pessoal'!$I$532:$AJ$532&amp;'Gastos com Pessoal'!$I$6:$AJ$6,0),500,1)),0)+_xlfn.IFNA(SUM((AF$3&gt;='Gastos com Pessoal'!$E$7:$E$506)*(AF$3&lt;='Gastos com Pessoal'!$F$7:$F$506)*(IF('Gastos com Pessoal'!$M$7:$M$506&lt;=AF$3,1,0))*OFFSET('Gastos com Pessoal'!$H$6,1,MATCH(2&amp;$B53,'Gastos com Pessoal'!$I$532:$AJ$532&amp;'Gastos com Pessoal'!$I$6:$AJ$6,0),500,1)),0)+_xlfn.IFNA(SUM((AF$3&gt;='Gastos com Pessoal'!$E$7:$E$506)*(AF$3&lt;='Gastos com Pessoal'!$F$7:$F$506)*(IF('Gastos com Pessoal'!$S$7:$S$506&lt;=AF$3,1,0))*OFFSET('Gastos com Pessoal'!$H$6,1,MATCH(3&amp;$B53,'Gastos com Pessoal'!$I$532:$AJ$532&amp;'Gastos com Pessoal'!$I$6:$AJ$6,0),500,1)),0)+_xlfn.IFNA(SUM((AF$3&gt;='Gastos com Pessoal'!$E$7:$E$506)*(AF$3&lt;='Gastos com Pessoal'!$F$7:$F$506)*(IF('Gastos com Pessoal'!$Y$7:$Y$506&lt;=AF$3,1,0))*OFFSET('Gastos com Pessoal'!$H$6,1,MATCH(4&amp;$B53,'Gastos com Pessoal'!$I$532:$AJ$532&amp;'Gastos com Pessoal'!$I$6:$AJ$6,0),500,1)),0)+_xlfn.IFNA(SUM((AF$3&gt;='Gastos com Pessoal'!$E$7:$E$506)*(AF$3&lt;='Gastos com Pessoal'!$F$7:$F$506)*(IF('Gastos com Pessoal'!$AE$7:$AE$506&lt;=AF$3,1,0))*OFFSET('Gastos com Pessoal'!$H$6,1,MATCH(5&amp;$B53,'Gastos com Pessoal'!$I$532:$AJ$532&amp;'Gastos com Pessoal'!$I$6:$AJ$6,0),500,1)),0)+_xlfn.IFNA(SUM((AF$3&gt;='Gastos com Pessoal'!$E$513:$E$522)*(AF$3&lt;='Gastos com Pessoal'!$F$513:$F$522)*(IF('Gastos com Pessoal'!$G$513:$G$522&lt;=AF$3,1,0))*OFFSET('Gastos com Pessoal'!$H$512,1,MATCH(1&amp;$B53,'Gastos com Pessoal'!$I$532:$AJ$532&amp;'Gastos com Pessoal'!$I$512:$AJ$512,0),10,1)),0)+_xlfn.IFNA(SUM((AF$3&gt;='Gastos com Pessoal'!$E$513:$E$522)*(AF$3&lt;='Gastos com Pessoal'!$F$513:$F$522)*(IF('Gastos com Pessoal'!$M$513:$M$522&lt;=AF$3,1,0))*OFFSET('Gastos com Pessoal'!$H$512,1,MATCH(2&amp;$B53,'Gastos com Pessoal'!$I$532:$AJ$532&amp;'Gastos com Pessoal'!$I$512:$AJ$512,0),10,1)),0)+_xlfn.IFNA(SUM((AF$3&gt;='Gastos com Pessoal'!$E$513:$E$522)*(AF$3&lt;='Gastos com Pessoal'!$F$513:$F$522)*(IF('Gastos com Pessoal'!$S$513:$S$522&lt;=AF$3,1,0))*OFFSET('Gastos com Pessoal'!$H$512,1,MATCH(3&amp;$B53,'Gastos com Pessoal'!$I$532:$AJ$532&amp;'Gastos com Pessoal'!$I$512:$AJ$512,0),10,1)),0)+_xlfn.IFNA(SUM((AF$3&gt;='Gastos com Pessoal'!$E$513:$E$522)*(AF$3&lt;='Gastos com Pessoal'!$F$513:$F$522)*(IF('Gastos com Pessoal'!$Y$513:$Y$522&lt;=AF$3,1,0))*OFFSET('Gastos com Pessoal'!$H$512,1,MATCH(4&amp;$B53,'Gastos com Pessoal'!$I$532:$AJ$532&amp;'Gastos com Pessoal'!$I$512:$AJ$512,0),10,1)),0)+_xlfn.IFNA(SUM((AF$3&gt;='Gastos com Pessoal'!$E$513:$E$522)*(AF$3&lt;='Gastos com Pessoal'!$F$513:$F$522)*(IF('Gastos com Pessoal'!$AE$513:$AE$522&lt;=AF$3,1,0))*OFFSET('Gastos com Pessoal'!$H$512,1,MATCH(5&amp;$B53,'Gastos com Pessoal'!$I$532:$AJ$532&amp;'Gastos com Pessoal'!$I$512:$AJ$512,0),10,1)),0)</f>
        <v>0</v>
      </c>
      <c r="AG53" s="188">
        <f t="array" aca="1" ref="AG53" ca="1">_xlfn.IFNA(SUM((AG$3&gt;='Gastos com Pessoal'!$E$7:$E$506)*(AG$3&lt;='Gastos com Pessoal'!$F$7:$F$506)*OFFSET('Encargos e Benefícios'!$D$5,1,MATCH($B53,'Encargos e Benefícios'!$E$5:$AB$5,0),500,1)),0)+_xlfn.IFNA(SUM((AG$3&gt;='Gastos com Pessoal'!$E$513:$E$522)*(AG$3&lt;='Gastos com Pessoal'!$F$513:$F$522)*OFFSET('Encargos e Benefícios'!$D$511,1,MATCH($B53,'Encargos e Benefícios'!$E$511:$AB$511,0),10,1)),0)+_xlfn.IFNA(SUM((AG$3&gt;='Gastos com Pessoal'!$E$7:$E$506)*(AG$3&lt;='Gastos com Pessoal'!$F$7:$F$506)*(IF('Gastos com Pessoal'!$G$7:$G$506&lt;=AG$3,1,0))*OFFSET('Gastos com Pessoal'!$H$6,1,MATCH(1&amp;$B53,'Gastos com Pessoal'!$I$532:$AJ$532&amp;'Gastos com Pessoal'!$I$6:$AJ$6,0),500,1)),0)+_xlfn.IFNA(SUM((AG$3&gt;='Gastos com Pessoal'!$E$7:$E$506)*(AG$3&lt;='Gastos com Pessoal'!$F$7:$F$506)*(IF('Gastos com Pessoal'!$M$7:$M$506&lt;=AG$3,1,0))*OFFSET('Gastos com Pessoal'!$H$6,1,MATCH(2&amp;$B53,'Gastos com Pessoal'!$I$532:$AJ$532&amp;'Gastos com Pessoal'!$I$6:$AJ$6,0),500,1)),0)+_xlfn.IFNA(SUM((AG$3&gt;='Gastos com Pessoal'!$E$7:$E$506)*(AG$3&lt;='Gastos com Pessoal'!$F$7:$F$506)*(IF('Gastos com Pessoal'!$S$7:$S$506&lt;=AG$3,1,0))*OFFSET('Gastos com Pessoal'!$H$6,1,MATCH(3&amp;$B53,'Gastos com Pessoal'!$I$532:$AJ$532&amp;'Gastos com Pessoal'!$I$6:$AJ$6,0),500,1)),0)+_xlfn.IFNA(SUM((AG$3&gt;='Gastos com Pessoal'!$E$7:$E$506)*(AG$3&lt;='Gastos com Pessoal'!$F$7:$F$506)*(IF('Gastos com Pessoal'!$Y$7:$Y$506&lt;=AG$3,1,0))*OFFSET('Gastos com Pessoal'!$H$6,1,MATCH(4&amp;$B53,'Gastos com Pessoal'!$I$532:$AJ$532&amp;'Gastos com Pessoal'!$I$6:$AJ$6,0),500,1)),0)+_xlfn.IFNA(SUM((AG$3&gt;='Gastos com Pessoal'!$E$7:$E$506)*(AG$3&lt;='Gastos com Pessoal'!$F$7:$F$506)*(IF('Gastos com Pessoal'!$AE$7:$AE$506&lt;=AG$3,1,0))*OFFSET('Gastos com Pessoal'!$H$6,1,MATCH(5&amp;$B53,'Gastos com Pessoal'!$I$532:$AJ$532&amp;'Gastos com Pessoal'!$I$6:$AJ$6,0),500,1)),0)+_xlfn.IFNA(SUM((AG$3&gt;='Gastos com Pessoal'!$E$513:$E$522)*(AG$3&lt;='Gastos com Pessoal'!$F$513:$F$522)*(IF('Gastos com Pessoal'!$G$513:$G$522&lt;=AG$3,1,0))*OFFSET('Gastos com Pessoal'!$H$512,1,MATCH(1&amp;$B53,'Gastos com Pessoal'!$I$532:$AJ$532&amp;'Gastos com Pessoal'!$I$512:$AJ$512,0),10,1)),0)+_xlfn.IFNA(SUM((AG$3&gt;='Gastos com Pessoal'!$E$513:$E$522)*(AG$3&lt;='Gastos com Pessoal'!$F$513:$F$522)*(IF('Gastos com Pessoal'!$M$513:$M$522&lt;=AG$3,1,0))*OFFSET('Gastos com Pessoal'!$H$512,1,MATCH(2&amp;$B53,'Gastos com Pessoal'!$I$532:$AJ$532&amp;'Gastos com Pessoal'!$I$512:$AJ$512,0),10,1)),0)+_xlfn.IFNA(SUM((AG$3&gt;='Gastos com Pessoal'!$E$513:$E$522)*(AG$3&lt;='Gastos com Pessoal'!$F$513:$F$522)*(IF('Gastos com Pessoal'!$S$513:$S$522&lt;=AG$3,1,0))*OFFSET('Gastos com Pessoal'!$H$512,1,MATCH(3&amp;$B53,'Gastos com Pessoal'!$I$532:$AJ$532&amp;'Gastos com Pessoal'!$I$512:$AJ$512,0),10,1)),0)+_xlfn.IFNA(SUM((AG$3&gt;='Gastos com Pessoal'!$E$513:$E$522)*(AG$3&lt;='Gastos com Pessoal'!$F$513:$F$522)*(IF('Gastos com Pessoal'!$Y$513:$Y$522&lt;=AG$3,1,0))*OFFSET('Gastos com Pessoal'!$H$512,1,MATCH(4&amp;$B53,'Gastos com Pessoal'!$I$532:$AJ$532&amp;'Gastos com Pessoal'!$I$512:$AJ$512,0),10,1)),0)+_xlfn.IFNA(SUM((AG$3&gt;='Gastos com Pessoal'!$E$513:$E$522)*(AG$3&lt;='Gastos com Pessoal'!$F$513:$F$522)*(IF('Gastos com Pessoal'!$AE$513:$AE$522&lt;=AG$3,1,0))*OFFSET('Gastos com Pessoal'!$H$512,1,MATCH(5&amp;$B53,'Gastos com Pessoal'!$I$532:$AJ$532&amp;'Gastos com Pessoal'!$I$512:$AJ$512,0),10,1)),0)</f>
        <v>0</v>
      </c>
      <c r="AH53" s="188">
        <f t="array" aca="1" ref="AH53" ca="1">_xlfn.IFNA(SUM((AH$3&gt;='Gastos com Pessoal'!$E$7:$E$506)*(AH$3&lt;='Gastos com Pessoal'!$F$7:$F$506)*OFFSET('Encargos e Benefícios'!$D$5,1,MATCH($B53,'Encargos e Benefícios'!$E$5:$AB$5,0),500,1)),0)+_xlfn.IFNA(SUM((AH$3&gt;='Gastos com Pessoal'!$E$513:$E$522)*(AH$3&lt;='Gastos com Pessoal'!$F$513:$F$522)*OFFSET('Encargos e Benefícios'!$D$511,1,MATCH($B53,'Encargos e Benefícios'!$E$511:$AB$511,0),10,1)),0)+_xlfn.IFNA(SUM((AH$3&gt;='Gastos com Pessoal'!$E$7:$E$506)*(AH$3&lt;='Gastos com Pessoal'!$F$7:$F$506)*(IF('Gastos com Pessoal'!$G$7:$G$506&lt;=AH$3,1,0))*OFFSET('Gastos com Pessoal'!$H$6,1,MATCH(1&amp;$B53,'Gastos com Pessoal'!$I$532:$AJ$532&amp;'Gastos com Pessoal'!$I$6:$AJ$6,0),500,1)),0)+_xlfn.IFNA(SUM((AH$3&gt;='Gastos com Pessoal'!$E$7:$E$506)*(AH$3&lt;='Gastos com Pessoal'!$F$7:$F$506)*(IF('Gastos com Pessoal'!$M$7:$M$506&lt;=AH$3,1,0))*OFFSET('Gastos com Pessoal'!$H$6,1,MATCH(2&amp;$B53,'Gastos com Pessoal'!$I$532:$AJ$532&amp;'Gastos com Pessoal'!$I$6:$AJ$6,0),500,1)),0)+_xlfn.IFNA(SUM((AH$3&gt;='Gastos com Pessoal'!$E$7:$E$506)*(AH$3&lt;='Gastos com Pessoal'!$F$7:$F$506)*(IF('Gastos com Pessoal'!$S$7:$S$506&lt;=AH$3,1,0))*OFFSET('Gastos com Pessoal'!$H$6,1,MATCH(3&amp;$B53,'Gastos com Pessoal'!$I$532:$AJ$532&amp;'Gastos com Pessoal'!$I$6:$AJ$6,0),500,1)),0)+_xlfn.IFNA(SUM((AH$3&gt;='Gastos com Pessoal'!$E$7:$E$506)*(AH$3&lt;='Gastos com Pessoal'!$F$7:$F$506)*(IF('Gastos com Pessoal'!$Y$7:$Y$506&lt;=AH$3,1,0))*OFFSET('Gastos com Pessoal'!$H$6,1,MATCH(4&amp;$B53,'Gastos com Pessoal'!$I$532:$AJ$532&amp;'Gastos com Pessoal'!$I$6:$AJ$6,0),500,1)),0)+_xlfn.IFNA(SUM((AH$3&gt;='Gastos com Pessoal'!$E$7:$E$506)*(AH$3&lt;='Gastos com Pessoal'!$F$7:$F$506)*(IF('Gastos com Pessoal'!$AE$7:$AE$506&lt;=AH$3,1,0))*OFFSET('Gastos com Pessoal'!$H$6,1,MATCH(5&amp;$B53,'Gastos com Pessoal'!$I$532:$AJ$532&amp;'Gastos com Pessoal'!$I$6:$AJ$6,0),500,1)),0)+_xlfn.IFNA(SUM((AH$3&gt;='Gastos com Pessoal'!$E$513:$E$522)*(AH$3&lt;='Gastos com Pessoal'!$F$513:$F$522)*(IF('Gastos com Pessoal'!$G$513:$G$522&lt;=AH$3,1,0))*OFFSET('Gastos com Pessoal'!$H$512,1,MATCH(1&amp;$B53,'Gastos com Pessoal'!$I$532:$AJ$532&amp;'Gastos com Pessoal'!$I$512:$AJ$512,0),10,1)),0)+_xlfn.IFNA(SUM((AH$3&gt;='Gastos com Pessoal'!$E$513:$E$522)*(AH$3&lt;='Gastos com Pessoal'!$F$513:$F$522)*(IF('Gastos com Pessoal'!$M$513:$M$522&lt;=AH$3,1,0))*OFFSET('Gastos com Pessoal'!$H$512,1,MATCH(2&amp;$B53,'Gastos com Pessoal'!$I$532:$AJ$532&amp;'Gastos com Pessoal'!$I$512:$AJ$512,0),10,1)),0)+_xlfn.IFNA(SUM((AH$3&gt;='Gastos com Pessoal'!$E$513:$E$522)*(AH$3&lt;='Gastos com Pessoal'!$F$513:$F$522)*(IF('Gastos com Pessoal'!$S$513:$S$522&lt;=AH$3,1,0))*OFFSET('Gastos com Pessoal'!$H$512,1,MATCH(3&amp;$B53,'Gastos com Pessoal'!$I$532:$AJ$532&amp;'Gastos com Pessoal'!$I$512:$AJ$512,0),10,1)),0)+_xlfn.IFNA(SUM((AH$3&gt;='Gastos com Pessoal'!$E$513:$E$522)*(AH$3&lt;='Gastos com Pessoal'!$F$513:$F$522)*(IF('Gastos com Pessoal'!$Y$513:$Y$522&lt;=AH$3,1,0))*OFFSET('Gastos com Pessoal'!$H$512,1,MATCH(4&amp;$B53,'Gastos com Pessoal'!$I$532:$AJ$532&amp;'Gastos com Pessoal'!$I$512:$AJ$512,0),10,1)),0)+_xlfn.IFNA(SUM((AH$3&gt;='Gastos com Pessoal'!$E$513:$E$522)*(AH$3&lt;='Gastos com Pessoal'!$F$513:$F$522)*(IF('Gastos com Pessoal'!$AE$513:$AE$522&lt;=AH$3,1,0))*OFFSET('Gastos com Pessoal'!$H$512,1,MATCH(5&amp;$B53,'Gastos com Pessoal'!$I$532:$AJ$532&amp;'Gastos com Pessoal'!$I$512:$AJ$512,0),10,1)),0)</f>
        <v>0</v>
      </c>
      <c r="AI53" s="188">
        <f t="array" aca="1" ref="AI53" ca="1">_xlfn.IFNA(SUM((AI$3&gt;='Gastos com Pessoal'!$E$7:$E$506)*(AI$3&lt;='Gastos com Pessoal'!$F$7:$F$506)*OFFSET('Encargos e Benefícios'!$D$5,1,MATCH($B53,'Encargos e Benefícios'!$E$5:$AB$5,0),500,1)),0)+_xlfn.IFNA(SUM((AI$3&gt;='Gastos com Pessoal'!$E$513:$E$522)*(AI$3&lt;='Gastos com Pessoal'!$F$513:$F$522)*OFFSET('Encargos e Benefícios'!$D$511,1,MATCH($B53,'Encargos e Benefícios'!$E$511:$AB$511,0),10,1)),0)+_xlfn.IFNA(SUM((AI$3&gt;='Gastos com Pessoal'!$E$7:$E$506)*(AI$3&lt;='Gastos com Pessoal'!$F$7:$F$506)*(IF('Gastos com Pessoal'!$G$7:$G$506&lt;=AI$3,1,0))*OFFSET('Gastos com Pessoal'!$H$6,1,MATCH(1&amp;$B53,'Gastos com Pessoal'!$I$532:$AJ$532&amp;'Gastos com Pessoal'!$I$6:$AJ$6,0),500,1)),0)+_xlfn.IFNA(SUM((AI$3&gt;='Gastos com Pessoal'!$E$7:$E$506)*(AI$3&lt;='Gastos com Pessoal'!$F$7:$F$506)*(IF('Gastos com Pessoal'!$M$7:$M$506&lt;=AI$3,1,0))*OFFSET('Gastos com Pessoal'!$H$6,1,MATCH(2&amp;$B53,'Gastos com Pessoal'!$I$532:$AJ$532&amp;'Gastos com Pessoal'!$I$6:$AJ$6,0),500,1)),0)+_xlfn.IFNA(SUM((AI$3&gt;='Gastos com Pessoal'!$E$7:$E$506)*(AI$3&lt;='Gastos com Pessoal'!$F$7:$F$506)*(IF('Gastos com Pessoal'!$S$7:$S$506&lt;=AI$3,1,0))*OFFSET('Gastos com Pessoal'!$H$6,1,MATCH(3&amp;$B53,'Gastos com Pessoal'!$I$532:$AJ$532&amp;'Gastos com Pessoal'!$I$6:$AJ$6,0),500,1)),0)+_xlfn.IFNA(SUM((AI$3&gt;='Gastos com Pessoal'!$E$7:$E$506)*(AI$3&lt;='Gastos com Pessoal'!$F$7:$F$506)*(IF('Gastos com Pessoal'!$Y$7:$Y$506&lt;=AI$3,1,0))*OFFSET('Gastos com Pessoal'!$H$6,1,MATCH(4&amp;$B53,'Gastos com Pessoal'!$I$532:$AJ$532&amp;'Gastos com Pessoal'!$I$6:$AJ$6,0),500,1)),0)+_xlfn.IFNA(SUM((AI$3&gt;='Gastos com Pessoal'!$E$7:$E$506)*(AI$3&lt;='Gastos com Pessoal'!$F$7:$F$506)*(IF('Gastos com Pessoal'!$AE$7:$AE$506&lt;=AI$3,1,0))*OFFSET('Gastos com Pessoal'!$H$6,1,MATCH(5&amp;$B53,'Gastos com Pessoal'!$I$532:$AJ$532&amp;'Gastos com Pessoal'!$I$6:$AJ$6,0),500,1)),0)+_xlfn.IFNA(SUM((AI$3&gt;='Gastos com Pessoal'!$E$513:$E$522)*(AI$3&lt;='Gastos com Pessoal'!$F$513:$F$522)*(IF('Gastos com Pessoal'!$G$513:$G$522&lt;=AI$3,1,0))*OFFSET('Gastos com Pessoal'!$H$512,1,MATCH(1&amp;$B53,'Gastos com Pessoal'!$I$532:$AJ$532&amp;'Gastos com Pessoal'!$I$512:$AJ$512,0),10,1)),0)+_xlfn.IFNA(SUM((AI$3&gt;='Gastos com Pessoal'!$E$513:$E$522)*(AI$3&lt;='Gastos com Pessoal'!$F$513:$F$522)*(IF('Gastos com Pessoal'!$M$513:$M$522&lt;=AI$3,1,0))*OFFSET('Gastos com Pessoal'!$H$512,1,MATCH(2&amp;$B53,'Gastos com Pessoal'!$I$532:$AJ$532&amp;'Gastos com Pessoal'!$I$512:$AJ$512,0),10,1)),0)+_xlfn.IFNA(SUM((AI$3&gt;='Gastos com Pessoal'!$E$513:$E$522)*(AI$3&lt;='Gastos com Pessoal'!$F$513:$F$522)*(IF('Gastos com Pessoal'!$S$513:$S$522&lt;=AI$3,1,0))*OFFSET('Gastos com Pessoal'!$H$512,1,MATCH(3&amp;$B53,'Gastos com Pessoal'!$I$532:$AJ$532&amp;'Gastos com Pessoal'!$I$512:$AJ$512,0),10,1)),0)+_xlfn.IFNA(SUM((AI$3&gt;='Gastos com Pessoal'!$E$513:$E$522)*(AI$3&lt;='Gastos com Pessoal'!$F$513:$F$522)*(IF('Gastos com Pessoal'!$Y$513:$Y$522&lt;=AI$3,1,0))*OFFSET('Gastos com Pessoal'!$H$512,1,MATCH(4&amp;$B53,'Gastos com Pessoal'!$I$532:$AJ$532&amp;'Gastos com Pessoal'!$I$512:$AJ$512,0),10,1)),0)+_xlfn.IFNA(SUM((AI$3&gt;='Gastos com Pessoal'!$E$513:$E$522)*(AI$3&lt;='Gastos com Pessoal'!$F$513:$F$522)*(IF('Gastos com Pessoal'!$AE$513:$AE$522&lt;=AI$3,1,0))*OFFSET('Gastos com Pessoal'!$H$512,1,MATCH(5&amp;$B53,'Gastos com Pessoal'!$I$532:$AJ$532&amp;'Gastos com Pessoal'!$I$512:$AJ$512,0),10,1)),0)</f>
        <v>0</v>
      </c>
      <c r="AJ53" s="188">
        <f t="array" aca="1" ref="AJ53" ca="1">_xlfn.IFNA(SUM((AJ$3&gt;='Gastos com Pessoal'!$E$7:$E$506)*(AJ$3&lt;='Gastos com Pessoal'!$F$7:$F$506)*OFFSET('Encargos e Benefícios'!$D$5,1,MATCH($B53,'Encargos e Benefícios'!$E$5:$AB$5,0),500,1)),0)+_xlfn.IFNA(SUM((AJ$3&gt;='Gastos com Pessoal'!$E$513:$E$522)*(AJ$3&lt;='Gastos com Pessoal'!$F$513:$F$522)*OFFSET('Encargos e Benefícios'!$D$511,1,MATCH($B53,'Encargos e Benefícios'!$E$511:$AB$511,0),10,1)),0)+_xlfn.IFNA(SUM((AJ$3&gt;='Gastos com Pessoal'!$E$7:$E$506)*(AJ$3&lt;='Gastos com Pessoal'!$F$7:$F$506)*(IF('Gastos com Pessoal'!$G$7:$G$506&lt;=AJ$3,1,0))*OFFSET('Gastos com Pessoal'!$H$6,1,MATCH(1&amp;$B53,'Gastos com Pessoal'!$I$532:$AJ$532&amp;'Gastos com Pessoal'!$I$6:$AJ$6,0),500,1)),0)+_xlfn.IFNA(SUM((AJ$3&gt;='Gastos com Pessoal'!$E$7:$E$506)*(AJ$3&lt;='Gastos com Pessoal'!$F$7:$F$506)*(IF('Gastos com Pessoal'!$M$7:$M$506&lt;=AJ$3,1,0))*OFFSET('Gastos com Pessoal'!$H$6,1,MATCH(2&amp;$B53,'Gastos com Pessoal'!$I$532:$AJ$532&amp;'Gastos com Pessoal'!$I$6:$AJ$6,0),500,1)),0)+_xlfn.IFNA(SUM((AJ$3&gt;='Gastos com Pessoal'!$E$7:$E$506)*(AJ$3&lt;='Gastos com Pessoal'!$F$7:$F$506)*(IF('Gastos com Pessoal'!$S$7:$S$506&lt;=AJ$3,1,0))*OFFSET('Gastos com Pessoal'!$H$6,1,MATCH(3&amp;$B53,'Gastos com Pessoal'!$I$532:$AJ$532&amp;'Gastos com Pessoal'!$I$6:$AJ$6,0),500,1)),0)+_xlfn.IFNA(SUM((AJ$3&gt;='Gastos com Pessoal'!$E$7:$E$506)*(AJ$3&lt;='Gastos com Pessoal'!$F$7:$F$506)*(IF('Gastos com Pessoal'!$Y$7:$Y$506&lt;=AJ$3,1,0))*OFFSET('Gastos com Pessoal'!$H$6,1,MATCH(4&amp;$B53,'Gastos com Pessoal'!$I$532:$AJ$532&amp;'Gastos com Pessoal'!$I$6:$AJ$6,0),500,1)),0)+_xlfn.IFNA(SUM((AJ$3&gt;='Gastos com Pessoal'!$E$7:$E$506)*(AJ$3&lt;='Gastos com Pessoal'!$F$7:$F$506)*(IF('Gastos com Pessoal'!$AE$7:$AE$506&lt;=AJ$3,1,0))*OFFSET('Gastos com Pessoal'!$H$6,1,MATCH(5&amp;$B53,'Gastos com Pessoal'!$I$532:$AJ$532&amp;'Gastos com Pessoal'!$I$6:$AJ$6,0),500,1)),0)+_xlfn.IFNA(SUM((AJ$3&gt;='Gastos com Pessoal'!$E$513:$E$522)*(AJ$3&lt;='Gastos com Pessoal'!$F$513:$F$522)*(IF('Gastos com Pessoal'!$G$513:$G$522&lt;=AJ$3,1,0))*OFFSET('Gastos com Pessoal'!$H$512,1,MATCH(1&amp;$B53,'Gastos com Pessoal'!$I$532:$AJ$532&amp;'Gastos com Pessoal'!$I$512:$AJ$512,0),10,1)),0)+_xlfn.IFNA(SUM((AJ$3&gt;='Gastos com Pessoal'!$E$513:$E$522)*(AJ$3&lt;='Gastos com Pessoal'!$F$513:$F$522)*(IF('Gastos com Pessoal'!$M$513:$M$522&lt;=AJ$3,1,0))*OFFSET('Gastos com Pessoal'!$H$512,1,MATCH(2&amp;$B53,'Gastos com Pessoal'!$I$532:$AJ$532&amp;'Gastos com Pessoal'!$I$512:$AJ$512,0),10,1)),0)+_xlfn.IFNA(SUM((AJ$3&gt;='Gastos com Pessoal'!$E$513:$E$522)*(AJ$3&lt;='Gastos com Pessoal'!$F$513:$F$522)*(IF('Gastos com Pessoal'!$S$513:$S$522&lt;=AJ$3,1,0))*OFFSET('Gastos com Pessoal'!$H$512,1,MATCH(3&amp;$B53,'Gastos com Pessoal'!$I$532:$AJ$532&amp;'Gastos com Pessoal'!$I$512:$AJ$512,0),10,1)),0)+_xlfn.IFNA(SUM((AJ$3&gt;='Gastos com Pessoal'!$E$513:$E$522)*(AJ$3&lt;='Gastos com Pessoal'!$F$513:$F$522)*(IF('Gastos com Pessoal'!$Y$513:$Y$522&lt;=AJ$3,1,0))*OFFSET('Gastos com Pessoal'!$H$512,1,MATCH(4&amp;$B53,'Gastos com Pessoal'!$I$532:$AJ$532&amp;'Gastos com Pessoal'!$I$512:$AJ$512,0),10,1)),0)+_xlfn.IFNA(SUM((AJ$3&gt;='Gastos com Pessoal'!$E$513:$E$522)*(AJ$3&lt;='Gastos com Pessoal'!$F$513:$F$522)*(IF('Gastos com Pessoal'!$AE$513:$AE$522&lt;=AJ$3,1,0))*OFFSET('Gastos com Pessoal'!$H$512,1,MATCH(5&amp;$B53,'Gastos com Pessoal'!$I$532:$AJ$532&amp;'Gastos com Pessoal'!$I$512:$AJ$512,0),10,1)),0)</f>
        <v>0</v>
      </c>
      <c r="AK53" s="188">
        <f t="array" aca="1" ref="AK53" ca="1">_xlfn.IFNA(SUM((AK$3&gt;='Gastos com Pessoal'!$E$7:$E$506)*(AK$3&lt;='Gastos com Pessoal'!$F$7:$F$506)*OFFSET('Encargos e Benefícios'!$D$5,1,MATCH($B53,'Encargos e Benefícios'!$E$5:$AB$5,0),500,1)),0)+_xlfn.IFNA(SUM((AK$3&gt;='Gastos com Pessoal'!$E$513:$E$522)*(AK$3&lt;='Gastos com Pessoal'!$F$513:$F$522)*OFFSET('Encargos e Benefícios'!$D$511,1,MATCH($B53,'Encargos e Benefícios'!$E$511:$AB$511,0),10,1)),0)+_xlfn.IFNA(SUM((AK$3&gt;='Gastos com Pessoal'!$E$7:$E$506)*(AK$3&lt;='Gastos com Pessoal'!$F$7:$F$506)*(IF('Gastos com Pessoal'!$G$7:$G$506&lt;=AK$3,1,0))*OFFSET('Gastos com Pessoal'!$H$6,1,MATCH(1&amp;$B53,'Gastos com Pessoal'!$I$532:$AJ$532&amp;'Gastos com Pessoal'!$I$6:$AJ$6,0),500,1)),0)+_xlfn.IFNA(SUM((AK$3&gt;='Gastos com Pessoal'!$E$7:$E$506)*(AK$3&lt;='Gastos com Pessoal'!$F$7:$F$506)*(IF('Gastos com Pessoal'!$M$7:$M$506&lt;=AK$3,1,0))*OFFSET('Gastos com Pessoal'!$H$6,1,MATCH(2&amp;$B53,'Gastos com Pessoal'!$I$532:$AJ$532&amp;'Gastos com Pessoal'!$I$6:$AJ$6,0),500,1)),0)+_xlfn.IFNA(SUM((AK$3&gt;='Gastos com Pessoal'!$E$7:$E$506)*(AK$3&lt;='Gastos com Pessoal'!$F$7:$F$506)*(IF('Gastos com Pessoal'!$S$7:$S$506&lt;=AK$3,1,0))*OFFSET('Gastos com Pessoal'!$H$6,1,MATCH(3&amp;$B53,'Gastos com Pessoal'!$I$532:$AJ$532&amp;'Gastos com Pessoal'!$I$6:$AJ$6,0),500,1)),0)+_xlfn.IFNA(SUM((AK$3&gt;='Gastos com Pessoal'!$E$7:$E$506)*(AK$3&lt;='Gastos com Pessoal'!$F$7:$F$506)*(IF('Gastos com Pessoal'!$Y$7:$Y$506&lt;=AK$3,1,0))*OFFSET('Gastos com Pessoal'!$H$6,1,MATCH(4&amp;$B53,'Gastos com Pessoal'!$I$532:$AJ$532&amp;'Gastos com Pessoal'!$I$6:$AJ$6,0),500,1)),0)+_xlfn.IFNA(SUM((AK$3&gt;='Gastos com Pessoal'!$E$7:$E$506)*(AK$3&lt;='Gastos com Pessoal'!$F$7:$F$506)*(IF('Gastos com Pessoal'!$AE$7:$AE$506&lt;=AK$3,1,0))*OFFSET('Gastos com Pessoal'!$H$6,1,MATCH(5&amp;$B53,'Gastos com Pessoal'!$I$532:$AJ$532&amp;'Gastos com Pessoal'!$I$6:$AJ$6,0),500,1)),0)+_xlfn.IFNA(SUM((AK$3&gt;='Gastos com Pessoal'!$E$513:$E$522)*(AK$3&lt;='Gastos com Pessoal'!$F$513:$F$522)*(IF('Gastos com Pessoal'!$G$513:$G$522&lt;=AK$3,1,0))*OFFSET('Gastos com Pessoal'!$H$512,1,MATCH(1&amp;$B53,'Gastos com Pessoal'!$I$532:$AJ$532&amp;'Gastos com Pessoal'!$I$512:$AJ$512,0),10,1)),0)+_xlfn.IFNA(SUM((AK$3&gt;='Gastos com Pessoal'!$E$513:$E$522)*(AK$3&lt;='Gastos com Pessoal'!$F$513:$F$522)*(IF('Gastos com Pessoal'!$M$513:$M$522&lt;=AK$3,1,0))*OFFSET('Gastos com Pessoal'!$H$512,1,MATCH(2&amp;$B53,'Gastos com Pessoal'!$I$532:$AJ$532&amp;'Gastos com Pessoal'!$I$512:$AJ$512,0),10,1)),0)+_xlfn.IFNA(SUM((AK$3&gt;='Gastos com Pessoal'!$E$513:$E$522)*(AK$3&lt;='Gastos com Pessoal'!$F$513:$F$522)*(IF('Gastos com Pessoal'!$S$513:$S$522&lt;=AK$3,1,0))*OFFSET('Gastos com Pessoal'!$H$512,1,MATCH(3&amp;$B53,'Gastos com Pessoal'!$I$532:$AJ$532&amp;'Gastos com Pessoal'!$I$512:$AJ$512,0),10,1)),0)+_xlfn.IFNA(SUM((AK$3&gt;='Gastos com Pessoal'!$E$513:$E$522)*(AK$3&lt;='Gastos com Pessoal'!$F$513:$F$522)*(IF('Gastos com Pessoal'!$Y$513:$Y$522&lt;=AK$3,1,0))*OFFSET('Gastos com Pessoal'!$H$512,1,MATCH(4&amp;$B53,'Gastos com Pessoal'!$I$532:$AJ$532&amp;'Gastos com Pessoal'!$I$512:$AJ$512,0),10,1)),0)+_xlfn.IFNA(SUM((AK$3&gt;='Gastos com Pessoal'!$E$513:$E$522)*(AK$3&lt;='Gastos com Pessoal'!$F$513:$F$522)*(IF('Gastos com Pessoal'!$AE$513:$AE$522&lt;=AK$3,1,0))*OFFSET('Gastos com Pessoal'!$H$512,1,MATCH(5&amp;$B53,'Gastos com Pessoal'!$I$532:$AJ$532&amp;'Gastos com Pessoal'!$I$512:$AJ$512,0),10,1)),0)</f>
        <v>0</v>
      </c>
      <c r="AL53" s="188">
        <f t="array" aca="1" ref="AL53" ca="1">_xlfn.IFNA(SUM((AL$3&gt;='Gastos com Pessoal'!$E$7:$E$506)*(AL$3&lt;='Gastos com Pessoal'!$F$7:$F$506)*OFFSET('Encargos e Benefícios'!$D$5,1,MATCH($B53,'Encargos e Benefícios'!$E$5:$AB$5,0),500,1)),0)+_xlfn.IFNA(SUM((AL$3&gt;='Gastos com Pessoal'!$E$513:$E$522)*(AL$3&lt;='Gastos com Pessoal'!$F$513:$F$522)*OFFSET('Encargos e Benefícios'!$D$511,1,MATCH($B53,'Encargos e Benefícios'!$E$511:$AB$511,0),10,1)),0)+_xlfn.IFNA(SUM((AL$3&gt;='Gastos com Pessoal'!$E$7:$E$506)*(AL$3&lt;='Gastos com Pessoal'!$F$7:$F$506)*(IF('Gastos com Pessoal'!$G$7:$G$506&lt;=AL$3,1,0))*OFFSET('Gastos com Pessoal'!$H$6,1,MATCH(1&amp;$B53,'Gastos com Pessoal'!$I$532:$AJ$532&amp;'Gastos com Pessoal'!$I$6:$AJ$6,0),500,1)),0)+_xlfn.IFNA(SUM((AL$3&gt;='Gastos com Pessoal'!$E$7:$E$506)*(AL$3&lt;='Gastos com Pessoal'!$F$7:$F$506)*(IF('Gastos com Pessoal'!$M$7:$M$506&lt;=AL$3,1,0))*OFFSET('Gastos com Pessoal'!$H$6,1,MATCH(2&amp;$B53,'Gastos com Pessoal'!$I$532:$AJ$532&amp;'Gastos com Pessoal'!$I$6:$AJ$6,0),500,1)),0)+_xlfn.IFNA(SUM((AL$3&gt;='Gastos com Pessoal'!$E$7:$E$506)*(AL$3&lt;='Gastos com Pessoal'!$F$7:$F$506)*(IF('Gastos com Pessoal'!$S$7:$S$506&lt;=AL$3,1,0))*OFFSET('Gastos com Pessoal'!$H$6,1,MATCH(3&amp;$B53,'Gastos com Pessoal'!$I$532:$AJ$532&amp;'Gastos com Pessoal'!$I$6:$AJ$6,0),500,1)),0)+_xlfn.IFNA(SUM((AL$3&gt;='Gastos com Pessoal'!$E$7:$E$506)*(AL$3&lt;='Gastos com Pessoal'!$F$7:$F$506)*(IF('Gastos com Pessoal'!$Y$7:$Y$506&lt;=AL$3,1,0))*OFFSET('Gastos com Pessoal'!$H$6,1,MATCH(4&amp;$B53,'Gastos com Pessoal'!$I$532:$AJ$532&amp;'Gastos com Pessoal'!$I$6:$AJ$6,0),500,1)),0)+_xlfn.IFNA(SUM((AL$3&gt;='Gastos com Pessoal'!$E$7:$E$506)*(AL$3&lt;='Gastos com Pessoal'!$F$7:$F$506)*(IF('Gastos com Pessoal'!$AE$7:$AE$506&lt;=AL$3,1,0))*OFFSET('Gastos com Pessoal'!$H$6,1,MATCH(5&amp;$B53,'Gastos com Pessoal'!$I$532:$AJ$532&amp;'Gastos com Pessoal'!$I$6:$AJ$6,0),500,1)),0)+_xlfn.IFNA(SUM((AL$3&gt;='Gastos com Pessoal'!$E$513:$E$522)*(AL$3&lt;='Gastos com Pessoal'!$F$513:$F$522)*(IF('Gastos com Pessoal'!$G$513:$G$522&lt;=AL$3,1,0))*OFFSET('Gastos com Pessoal'!$H$512,1,MATCH(1&amp;$B53,'Gastos com Pessoal'!$I$532:$AJ$532&amp;'Gastos com Pessoal'!$I$512:$AJ$512,0),10,1)),0)+_xlfn.IFNA(SUM((AL$3&gt;='Gastos com Pessoal'!$E$513:$E$522)*(AL$3&lt;='Gastos com Pessoal'!$F$513:$F$522)*(IF('Gastos com Pessoal'!$M$513:$M$522&lt;=AL$3,1,0))*OFFSET('Gastos com Pessoal'!$H$512,1,MATCH(2&amp;$B53,'Gastos com Pessoal'!$I$532:$AJ$532&amp;'Gastos com Pessoal'!$I$512:$AJ$512,0),10,1)),0)+_xlfn.IFNA(SUM((AL$3&gt;='Gastos com Pessoal'!$E$513:$E$522)*(AL$3&lt;='Gastos com Pessoal'!$F$513:$F$522)*(IF('Gastos com Pessoal'!$S$513:$S$522&lt;=AL$3,1,0))*OFFSET('Gastos com Pessoal'!$H$512,1,MATCH(3&amp;$B53,'Gastos com Pessoal'!$I$532:$AJ$532&amp;'Gastos com Pessoal'!$I$512:$AJ$512,0),10,1)),0)+_xlfn.IFNA(SUM((AL$3&gt;='Gastos com Pessoal'!$E$513:$E$522)*(AL$3&lt;='Gastos com Pessoal'!$F$513:$F$522)*(IF('Gastos com Pessoal'!$Y$513:$Y$522&lt;=AL$3,1,0))*OFFSET('Gastos com Pessoal'!$H$512,1,MATCH(4&amp;$B53,'Gastos com Pessoal'!$I$532:$AJ$532&amp;'Gastos com Pessoal'!$I$512:$AJ$512,0),10,1)),0)+_xlfn.IFNA(SUM((AL$3&gt;='Gastos com Pessoal'!$E$513:$E$522)*(AL$3&lt;='Gastos com Pessoal'!$F$513:$F$522)*(IF('Gastos com Pessoal'!$AE$513:$AE$522&lt;=AL$3,1,0))*OFFSET('Gastos com Pessoal'!$H$512,1,MATCH(5&amp;$B53,'Gastos com Pessoal'!$I$532:$AJ$532&amp;'Gastos com Pessoal'!$I$512:$AJ$512,0),10,1)),0)</f>
        <v>0</v>
      </c>
      <c r="AM53" s="188">
        <f t="array" aca="1" ref="AM53" ca="1">_xlfn.IFNA(SUM((AM$3&gt;='Gastos com Pessoal'!$E$7:$E$506)*(AM$3&lt;='Gastos com Pessoal'!$F$7:$F$506)*OFFSET('Encargos e Benefícios'!$D$5,1,MATCH($B53,'Encargos e Benefícios'!$E$5:$AB$5,0),500,1)),0)+_xlfn.IFNA(SUM((AM$3&gt;='Gastos com Pessoal'!$E$513:$E$522)*(AM$3&lt;='Gastos com Pessoal'!$F$513:$F$522)*OFFSET('Encargos e Benefícios'!$D$511,1,MATCH($B53,'Encargos e Benefícios'!$E$511:$AB$511,0),10,1)),0)+_xlfn.IFNA(SUM((AM$3&gt;='Gastos com Pessoal'!$E$7:$E$506)*(AM$3&lt;='Gastos com Pessoal'!$F$7:$F$506)*(IF('Gastos com Pessoal'!$G$7:$G$506&lt;=AM$3,1,0))*OFFSET('Gastos com Pessoal'!$H$6,1,MATCH(1&amp;$B53,'Gastos com Pessoal'!$I$532:$AJ$532&amp;'Gastos com Pessoal'!$I$6:$AJ$6,0),500,1)),0)+_xlfn.IFNA(SUM((AM$3&gt;='Gastos com Pessoal'!$E$7:$E$506)*(AM$3&lt;='Gastos com Pessoal'!$F$7:$F$506)*(IF('Gastos com Pessoal'!$M$7:$M$506&lt;=AM$3,1,0))*OFFSET('Gastos com Pessoal'!$H$6,1,MATCH(2&amp;$B53,'Gastos com Pessoal'!$I$532:$AJ$532&amp;'Gastos com Pessoal'!$I$6:$AJ$6,0),500,1)),0)+_xlfn.IFNA(SUM((AM$3&gt;='Gastos com Pessoal'!$E$7:$E$506)*(AM$3&lt;='Gastos com Pessoal'!$F$7:$F$506)*(IF('Gastos com Pessoal'!$S$7:$S$506&lt;=AM$3,1,0))*OFFSET('Gastos com Pessoal'!$H$6,1,MATCH(3&amp;$B53,'Gastos com Pessoal'!$I$532:$AJ$532&amp;'Gastos com Pessoal'!$I$6:$AJ$6,0),500,1)),0)+_xlfn.IFNA(SUM((AM$3&gt;='Gastos com Pessoal'!$E$7:$E$506)*(AM$3&lt;='Gastos com Pessoal'!$F$7:$F$506)*(IF('Gastos com Pessoal'!$Y$7:$Y$506&lt;=AM$3,1,0))*OFFSET('Gastos com Pessoal'!$H$6,1,MATCH(4&amp;$B53,'Gastos com Pessoal'!$I$532:$AJ$532&amp;'Gastos com Pessoal'!$I$6:$AJ$6,0),500,1)),0)+_xlfn.IFNA(SUM((AM$3&gt;='Gastos com Pessoal'!$E$7:$E$506)*(AM$3&lt;='Gastos com Pessoal'!$F$7:$F$506)*(IF('Gastos com Pessoal'!$AE$7:$AE$506&lt;=AM$3,1,0))*OFFSET('Gastos com Pessoal'!$H$6,1,MATCH(5&amp;$B53,'Gastos com Pessoal'!$I$532:$AJ$532&amp;'Gastos com Pessoal'!$I$6:$AJ$6,0),500,1)),0)+_xlfn.IFNA(SUM((AM$3&gt;='Gastos com Pessoal'!$E$513:$E$522)*(AM$3&lt;='Gastos com Pessoal'!$F$513:$F$522)*(IF('Gastos com Pessoal'!$G$513:$G$522&lt;=AM$3,1,0))*OFFSET('Gastos com Pessoal'!$H$512,1,MATCH(1&amp;$B53,'Gastos com Pessoal'!$I$532:$AJ$532&amp;'Gastos com Pessoal'!$I$512:$AJ$512,0),10,1)),0)+_xlfn.IFNA(SUM((AM$3&gt;='Gastos com Pessoal'!$E$513:$E$522)*(AM$3&lt;='Gastos com Pessoal'!$F$513:$F$522)*(IF('Gastos com Pessoal'!$M$513:$M$522&lt;=AM$3,1,0))*OFFSET('Gastos com Pessoal'!$H$512,1,MATCH(2&amp;$B53,'Gastos com Pessoal'!$I$532:$AJ$532&amp;'Gastos com Pessoal'!$I$512:$AJ$512,0),10,1)),0)+_xlfn.IFNA(SUM((AM$3&gt;='Gastos com Pessoal'!$E$513:$E$522)*(AM$3&lt;='Gastos com Pessoal'!$F$513:$F$522)*(IF('Gastos com Pessoal'!$S$513:$S$522&lt;=AM$3,1,0))*OFFSET('Gastos com Pessoal'!$H$512,1,MATCH(3&amp;$B53,'Gastos com Pessoal'!$I$532:$AJ$532&amp;'Gastos com Pessoal'!$I$512:$AJ$512,0),10,1)),0)+_xlfn.IFNA(SUM((AM$3&gt;='Gastos com Pessoal'!$E$513:$E$522)*(AM$3&lt;='Gastos com Pessoal'!$F$513:$F$522)*(IF('Gastos com Pessoal'!$Y$513:$Y$522&lt;=AM$3,1,0))*OFFSET('Gastos com Pessoal'!$H$512,1,MATCH(4&amp;$B53,'Gastos com Pessoal'!$I$532:$AJ$532&amp;'Gastos com Pessoal'!$I$512:$AJ$512,0),10,1)),0)+_xlfn.IFNA(SUM((AM$3&gt;='Gastos com Pessoal'!$E$513:$E$522)*(AM$3&lt;='Gastos com Pessoal'!$F$513:$F$522)*(IF('Gastos com Pessoal'!$AE$513:$AE$522&lt;=AM$3,1,0))*OFFSET('Gastos com Pessoal'!$H$512,1,MATCH(5&amp;$B53,'Gastos com Pessoal'!$I$532:$AJ$532&amp;'Gastos com Pessoal'!$I$512:$AJ$512,0),10,1)),0)</f>
        <v>0</v>
      </c>
      <c r="AN53" s="188">
        <f t="array" aca="1" ref="AN53" ca="1">_xlfn.IFNA(SUM((AN$3&gt;='Gastos com Pessoal'!$E$7:$E$506)*(AN$3&lt;='Gastos com Pessoal'!$F$7:$F$506)*OFFSET('Encargos e Benefícios'!$D$5,1,MATCH($B53,'Encargos e Benefícios'!$E$5:$AB$5,0),500,1)),0)+_xlfn.IFNA(SUM((AN$3&gt;='Gastos com Pessoal'!$E$513:$E$522)*(AN$3&lt;='Gastos com Pessoal'!$F$513:$F$522)*OFFSET('Encargos e Benefícios'!$D$511,1,MATCH($B53,'Encargos e Benefícios'!$E$511:$AB$511,0),10,1)),0)+_xlfn.IFNA(SUM((AN$3&gt;='Gastos com Pessoal'!$E$7:$E$506)*(AN$3&lt;='Gastos com Pessoal'!$F$7:$F$506)*(IF('Gastos com Pessoal'!$G$7:$G$506&lt;=AN$3,1,0))*OFFSET('Gastos com Pessoal'!$H$6,1,MATCH(1&amp;$B53,'Gastos com Pessoal'!$I$532:$AJ$532&amp;'Gastos com Pessoal'!$I$6:$AJ$6,0),500,1)),0)+_xlfn.IFNA(SUM((AN$3&gt;='Gastos com Pessoal'!$E$7:$E$506)*(AN$3&lt;='Gastos com Pessoal'!$F$7:$F$506)*(IF('Gastos com Pessoal'!$M$7:$M$506&lt;=AN$3,1,0))*OFFSET('Gastos com Pessoal'!$H$6,1,MATCH(2&amp;$B53,'Gastos com Pessoal'!$I$532:$AJ$532&amp;'Gastos com Pessoal'!$I$6:$AJ$6,0),500,1)),0)+_xlfn.IFNA(SUM((AN$3&gt;='Gastos com Pessoal'!$E$7:$E$506)*(AN$3&lt;='Gastos com Pessoal'!$F$7:$F$506)*(IF('Gastos com Pessoal'!$S$7:$S$506&lt;=AN$3,1,0))*OFFSET('Gastos com Pessoal'!$H$6,1,MATCH(3&amp;$B53,'Gastos com Pessoal'!$I$532:$AJ$532&amp;'Gastos com Pessoal'!$I$6:$AJ$6,0),500,1)),0)+_xlfn.IFNA(SUM((AN$3&gt;='Gastos com Pessoal'!$E$7:$E$506)*(AN$3&lt;='Gastos com Pessoal'!$F$7:$F$506)*(IF('Gastos com Pessoal'!$Y$7:$Y$506&lt;=AN$3,1,0))*OFFSET('Gastos com Pessoal'!$H$6,1,MATCH(4&amp;$B53,'Gastos com Pessoal'!$I$532:$AJ$532&amp;'Gastos com Pessoal'!$I$6:$AJ$6,0),500,1)),0)+_xlfn.IFNA(SUM((AN$3&gt;='Gastos com Pessoal'!$E$7:$E$506)*(AN$3&lt;='Gastos com Pessoal'!$F$7:$F$506)*(IF('Gastos com Pessoal'!$AE$7:$AE$506&lt;=AN$3,1,0))*OFFSET('Gastos com Pessoal'!$H$6,1,MATCH(5&amp;$B53,'Gastos com Pessoal'!$I$532:$AJ$532&amp;'Gastos com Pessoal'!$I$6:$AJ$6,0),500,1)),0)+_xlfn.IFNA(SUM((AN$3&gt;='Gastos com Pessoal'!$E$513:$E$522)*(AN$3&lt;='Gastos com Pessoal'!$F$513:$F$522)*(IF('Gastos com Pessoal'!$G$513:$G$522&lt;=AN$3,1,0))*OFFSET('Gastos com Pessoal'!$H$512,1,MATCH(1&amp;$B53,'Gastos com Pessoal'!$I$532:$AJ$532&amp;'Gastos com Pessoal'!$I$512:$AJ$512,0),10,1)),0)+_xlfn.IFNA(SUM((AN$3&gt;='Gastos com Pessoal'!$E$513:$E$522)*(AN$3&lt;='Gastos com Pessoal'!$F$513:$F$522)*(IF('Gastos com Pessoal'!$M$513:$M$522&lt;=AN$3,1,0))*OFFSET('Gastos com Pessoal'!$H$512,1,MATCH(2&amp;$B53,'Gastos com Pessoal'!$I$532:$AJ$532&amp;'Gastos com Pessoal'!$I$512:$AJ$512,0),10,1)),0)+_xlfn.IFNA(SUM((AN$3&gt;='Gastos com Pessoal'!$E$513:$E$522)*(AN$3&lt;='Gastos com Pessoal'!$F$513:$F$522)*(IF('Gastos com Pessoal'!$S$513:$S$522&lt;=AN$3,1,0))*OFFSET('Gastos com Pessoal'!$H$512,1,MATCH(3&amp;$B53,'Gastos com Pessoal'!$I$532:$AJ$532&amp;'Gastos com Pessoal'!$I$512:$AJ$512,0),10,1)),0)+_xlfn.IFNA(SUM((AN$3&gt;='Gastos com Pessoal'!$E$513:$E$522)*(AN$3&lt;='Gastos com Pessoal'!$F$513:$F$522)*(IF('Gastos com Pessoal'!$Y$513:$Y$522&lt;=AN$3,1,0))*OFFSET('Gastos com Pessoal'!$H$512,1,MATCH(4&amp;$B53,'Gastos com Pessoal'!$I$532:$AJ$532&amp;'Gastos com Pessoal'!$I$512:$AJ$512,0),10,1)),0)+_xlfn.IFNA(SUM((AN$3&gt;='Gastos com Pessoal'!$E$513:$E$522)*(AN$3&lt;='Gastos com Pessoal'!$F$513:$F$522)*(IF('Gastos com Pessoal'!$AE$513:$AE$522&lt;=AN$3,1,0))*OFFSET('Gastos com Pessoal'!$H$512,1,MATCH(5&amp;$B53,'Gastos com Pessoal'!$I$532:$AJ$532&amp;'Gastos com Pessoal'!$I$512:$AJ$512,0),10,1)),0)</f>
        <v>0</v>
      </c>
      <c r="AO53" s="188">
        <f t="array" aca="1" ref="AO53" ca="1">_xlfn.IFNA(SUM((AO$3&gt;='Gastos com Pessoal'!$E$7:$E$506)*(AO$3&lt;='Gastos com Pessoal'!$F$7:$F$506)*OFFSET('Encargos e Benefícios'!$D$5,1,MATCH($B53,'Encargos e Benefícios'!$E$5:$AB$5,0),500,1)),0)+_xlfn.IFNA(SUM((AO$3&gt;='Gastos com Pessoal'!$E$513:$E$522)*(AO$3&lt;='Gastos com Pessoal'!$F$513:$F$522)*OFFSET('Encargos e Benefícios'!$D$511,1,MATCH($B53,'Encargos e Benefícios'!$E$511:$AB$511,0),10,1)),0)+_xlfn.IFNA(SUM((AO$3&gt;='Gastos com Pessoal'!$E$7:$E$506)*(AO$3&lt;='Gastos com Pessoal'!$F$7:$F$506)*(IF('Gastos com Pessoal'!$G$7:$G$506&lt;=AO$3,1,0))*OFFSET('Gastos com Pessoal'!$H$6,1,MATCH(1&amp;$B53,'Gastos com Pessoal'!$I$532:$AJ$532&amp;'Gastos com Pessoal'!$I$6:$AJ$6,0),500,1)),0)+_xlfn.IFNA(SUM((AO$3&gt;='Gastos com Pessoal'!$E$7:$E$506)*(AO$3&lt;='Gastos com Pessoal'!$F$7:$F$506)*(IF('Gastos com Pessoal'!$M$7:$M$506&lt;=AO$3,1,0))*OFFSET('Gastos com Pessoal'!$H$6,1,MATCH(2&amp;$B53,'Gastos com Pessoal'!$I$532:$AJ$532&amp;'Gastos com Pessoal'!$I$6:$AJ$6,0),500,1)),0)+_xlfn.IFNA(SUM((AO$3&gt;='Gastos com Pessoal'!$E$7:$E$506)*(AO$3&lt;='Gastos com Pessoal'!$F$7:$F$506)*(IF('Gastos com Pessoal'!$S$7:$S$506&lt;=AO$3,1,0))*OFFSET('Gastos com Pessoal'!$H$6,1,MATCH(3&amp;$B53,'Gastos com Pessoal'!$I$532:$AJ$532&amp;'Gastos com Pessoal'!$I$6:$AJ$6,0),500,1)),0)+_xlfn.IFNA(SUM((AO$3&gt;='Gastos com Pessoal'!$E$7:$E$506)*(AO$3&lt;='Gastos com Pessoal'!$F$7:$F$506)*(IF('Gastos com Pessoal'!$Y$7:$Y$506&lt;=AO$3,1,0))*OFFSET('Gastos com Pessoal'!$H$6,1,MATCH(4&amp;$B53,'Gastos com Pessoal'!$I$532:$AJ$532&amp;'Gastos com Pessoal'!$I$6:$AJ$6,0),500,1)),0)+_xlfn.IFNA(SUM((AO$3&gt;='Gastos com Pessoal'!$E$7:$E$506)*(AO$3&lt;='Gastos com Pessoal'!$F$7:$F$506)*(IF('Gastos com Pessoal'!$AE$7:$AE$506&lt;=AO$3,1,0))*OFFSET('Gastos com Pessoal'!$H$6,1,MATCH(5&amp;$B53,'Gastos com Pessoal'!$I$532:$AJ$532&amp;'Gastos com Pessoal'!$I$6:$AJ$6,0),500,1)),0)+_xlfn.IFNA(SUM((AO$3&gt;='Gastos com Pessoal'!$E$513:$E$522)*(AO$3&lt;='Gastos com Pessoal'!$F$513:$F$522)*(IF('Gastos com Pessoal'!$G$513:$G$522&lt;=AO$3,1,0))*OFFSET('Gastos com Pessoal'!$H$512,1,MATCH(1&amp;$B53,'Gastos com Pessoal'!$I$532:$AJ$532&amp;'Gastos com Pessoal'!$I$512:$AJ$512,0),10,1)),0)+_xlfn.IFNA(SUM((AO$3&gt;='Gastos com Pessoal'!$E$513:$E$522)*(AO$3&lt;='Gastos com Pessoal'!$F$513:$F$522)*(IF('Gastos com Pessoal'!$M$513:$M$522&lt;=AO$3,1,0))*OFFSET('Gastos com Pessoal'!$H$512,1,MATCH(2&amp;$B53,'Gastos com Pessoal'!$I$532:$AJ$532&amp;'Gastos com Pessoal'!$I$512:$AJ$512,0),10,1)),0)+_xlfn.IFNA(SUM((AO$3&gt;='Gastos com Pessoal'!$E$513:$E$522)*(AO$3&lt;='Gastos com Pessoal'!$F$513:$F$522)*(IF('Gastos com Pessoal'!$S$513:$S$522&lt;=AO$3,1,0))*OFFSET('Gastos com Pessoal'!$H$512,1,MATCH(3&amp;$B53,'Gastos com Pessoal'!$I$532:$AJ$532&amp;'Gastos com Pessoal'!$I$512:$AJ$512,0),10,1)),0)+_xlfn.IFNA(SUM((AO$3&gt;='Gastos com Pessoal'!$E$513:$E$522)*(AO$3&lt;='Gastos com Pessoal'!$F$513:$F$522)*(IF('Gastos com Pessoal'!$Y$513:$Y$522&lt;=AO$3,1,0))*OFFSET('Gastos com Pessoal'!$H$512,1,MATCH(4&amp;$B53,'Gastos com Pessoal'!$I$532:$AJ$532&amp;'Gastos com Pessoal'!$I$512:$AJ$512,0),10,1)),0)+_xlfn.IFNA(SUM((AO$3&gt;='Gastos com Pessoal'!$E$513:$E$522)*(AO$3&lt;='Gastos com Pessoal'!$F$513:$F$522)*(IF('Gastos com Pessoal'!$AE$513:$AE$522&lt;=AO$3,1,0))*OFFSET('Gastos com Pessoal'!$H$512,1,MATCH(5&amp;$B53,'Gastos com Pessoal'!$I$532:$AJ$532&amp;'Gastos com Pessoal'!$I$512:$AJ$512,0),10,1)),0)</f>
        <v>0</v>
      </c>
      <c r="AP53" s="188">
        <f t="array" aca="1" ref="AP53" ca="1">_xlfn.IFNA(SUM((AP$3&gt;='Gastos com Pessoal'!$E$7:$E$506)*(AP$3&lt;='Gastos com Pessoal'!$F$7:$F$506)*OFFSET('Encargos e Benefícios'!$D$5,1,MATCH($B53,'Encargos e Benefícios'!$E$5:$AB$5,0),500,1)),0)+_xlfn.IFNA(SUM((AP$3&gt;='Gastos com Pessoal'!$E$513:$E$522)*(AP$3&lt;='Gastos com Pessoal'!$F$513:$F$522)*OFFSET('Encargos e Benefícios'!$D$511,1,MATCH($B53,'Encargos e Benefícios'!$E$511:$AB$511,0),10,1)),0)+_xlfn.IFNA(SUM((AP$3&gt;='Gastos com Pessoal'!$E$7:$E$506)*(AP$3&lt;='Gastos com Pessoal'!$F$7:$F$506)*(IF('Gastos com Pessoal'!$G$7:$G$506&lt;=AP$3,1,0))*OFFSET('Gastos com Pessoal'!$H$6,1,MATCH(1&amp;$B53,'Gastos com Pessoal'!$I$532:$AJ$532&amp;'Gastos com Pessoal'!$I$6:$AJ$6,0),500,1)),0)+_xlfn.IFNA(SUM((AP$3&gt;='Gastos com Pessoal'!$E$7:$E$506)*(AP$3&lt;='Gastos com Pessoal'!$F$7:$F$506)*(IF('Gastos com Pessoal'!$M$7:$M$506&lt;=AP$3,1,0))*OFFSET('Gastos com Pessoal'!$H$6,1,MATCH(2&amp;$B53,'Gastos com Pessoal'!$I$532:$AJ$532&amp;'Gastos com Pessoal'!$I$6:$AJ$6,0),500,1)),0)+_xlfn.IFNA(SUM((AP$3&gt;='Gastos com Pessoal'!$E$7:$E$506)*(AP$3&lt;='Gastos com Pessoal'!$F$7:$F$506)*(IF('Gastos com Pessoal'!$S$7:$S$506&lt;=AP$3,1,0))*OFFSET('Gastos com Pessoal'!$H$6,1,MATCH(3&amp;$B53,'Gastos com Pessoal'!$I$532:$AJ$532&amp;'Gastos com Pessoal'!$I$6:$AJ$6,0),500,1)),0)+_xlfn.IFNA(SUM((AP$3&gt;='Gastos com Pessoal'!$E$7:$E$506)*(AP$3&lt;='Gastos com Pessoal'!$F$7:$F$506)*(IF('Gastos com Pessoal'!$Y$7:$Y$506&lt;=AP$3,1,0))*OFFSET('Gastos com Pessoal'!$H$6,1,MATCH(4&amp;$B53,'Gastos com Pessoal'!$I$532:$AJ$532&amp;'Gastos com Pessoal'!$I$6:$AJ$6,0),500,1)),0)+_xlfn.IFNA(SUM((AP$3&gt;='Gastos com Pessoal'!$E$7:$E$506)*(AP$3&lt;='Gastos com Pessoal'!$F$7:$F$506)*(IF('Gastos com Pessoal'!$AE$7:$AE$506&lt;=AP$3,1,0))*OFFSET('Gastos com Pessoal'!$H$6,1,MATCH(5&amp;$B53,'Gastos com Pessoal'!$I$532:$AJ$532&amp;'Gastos com Pessoal'!$I$6:$AJ$6,0),500,1)),0)+_xlfn.IFNA(SUM((AP$3&gt;='Gastos com Pessoal'!$E$513:$E$522)*(AP$3&lt;='Gastos com Pessoal'!$F$513:$F$522)*(IF('Gastos com Pessoal'!$G$513:$G$522&lt;=AP$3,1,0))*OFFSET('Gastos com Pessoal'!$H$512,1,MATCH(1&amp;$B53,'Gastos com Pessoal'!$I$532:$AJ$532&amp;'Gastos com Pessoal'!$I$512:$AJ$512,0),10,1)),0)+_xlfn.IFNA(SUM((AP$3&gt;='Gastos com Pessoal'!$E$513:$E$522)*(AP$3&lt;='Gastos com Pessoal'!$F$513:$F$522)*(IF('Gastos com Pessoal'!$M$513:$M$522&lt;=AP$3,1,0))*OFFSET('Gastos com Pessoal'!$H$512,1,MATCH(2&amp;$B53,'Gastos com Pessoal'!$I$532:$AJ$532&amp;'Gastos com Pessoal'!$I$512:$AJ$512,0),10,1)),0)+_xlfn.IFNA(SUM((AP$3&gt;='Gastos com Pessoal'!$E$513:$E$522)*(AP$3&lt;='Gastos com Pessoal'!$F$513:$F$522)*(IF('Gastos com Pessoal'!$S$513:$S$522&lt;=AP$3,1,0))*OFFSET('Gastos com Pessoal'!$H$512,1,MATCH(3&amp;$B53,'Gastos com Pessoal'!$I$532:$AJ$532&amp;'Gastos com Pessoal'!$I$512:$AJ$512,0),10,1)),0)+_xlfn.IFNA(SUM((AP$3&gt;='Gastos com Pessoal'!$E$513:$E$522)*(AP$3&lt;='Gastos com Pessoal'!$F$513:$F$522)*(IF('Gastos com Pessoal'!$Y$513:$Y$522&lt;=AP$3,1,0))*OFFSET('Gastos com Pessoal'!$H$512,1,MATCH(4&amp;$B53,'Gastos com Pessoal'!$I$532:$AJ$532&amp;'Gastos com Pessoal'!$I$512:$AJ$512,0),10,1)),0)+_xlfn.IFNA(SUM((AP$3&gt;='Gastos com Pessoal'!$E$513:$E$522)*(AP$3&lt;='Gastos com Pessoal'!$F$513:$F$522)*(IF('Gastos com Pessoal'!$AE$513:$AE$522&lt;=AP$3,1,0))*OFFSET('Gastos com Pessoal'!$H$512,1,MATCH(5&amp;$B53,'Gastos com Pessoal'!$I$532:$AJ$532&amp;'Gastos com Pessoal'!$I$512:$AJ$512,0),10,1)),0)</f>
        <v>0</v>
      </c>
      <c r="AQ53" s="188">
        <f t="array" aca="1" ref="AQ53" ca="1">_xlfn.IFNA(SUM((AQ$3&gt;='Gastos com Pessoal'!$E$7:$E$506)*(AQ$3&lt;='Gastos com Pessoal'!$F$7:$F$506)*OFFSET('Encargos e Benefícios'!$D$5,1,MATCH($B53,'Encargos e Benefícios'!$E$5:$AB$5,0),500,1)),0)+_xlfn.IFNA(SUM((AQ$3&gt;='Gastos com Pessoal'!$E$513:$E$522)*(AQ$3&lt;='Gastos com Pessoal'!$F$513:$F$522)*OFFSET('Encargos e Benefícios'!$D$511,1,MATCH($B53,'Encargos e Benefícios'!$E$511:$AB$511,0),10,1)),0)+_xlfn.IFNA(SUM((AQ$3&gt;='Gastos com Pessoal'!$E$7:$E$506)*(AQ$3&lt;='Gastos com Pessoal'!$F$7:$F$506)*(IF('Gastos com Pessoal'!$G$7:$G$506&lt;=AQ$3,1,0))*OFFSET('Gastos com Pessoal'!$H$6,1,MATCH(1&amp;$B53,'Gastos com Pessoal'!$I$532:$AJ$532&amp;'Gastos com Pessoal'!$I$6:$AJ$6,0),500,1)),0)+_xlfn.IFNA(SUM((AQ$3&gt;='Gastos com Pessoal'!$E$7:$E$506)*(AQ$3&lt;='Gastos com Pessoal'!$F$7:$F$506)*(IF('Gastos com Pessoal'!$M$7:$M$506&lt;=AQ$3,1,0))*OFFSET('Gastos com Pessoal'!$H$6,1,MATCH(2&amp;$B53,'Gastos com Pessoal'!$I$532:$AJ$532&amp;'Gastos com Pessoal'!$I$6:$AJ$6,0),500,1)),0)+_xlfn.IFNA(SUM((AQ$3&gt;='Gastos com Pessoal'!$E$7:$E$506)*(AQ$3&lt;='Gastos com Pessoal'!$F$7:$F$506)*(IF('Gastos com Pessoal'!$S$7:$S$506&lt;=AQ$3,1,0))*OFFSET('Gastos com Pessoal'!$H$6,1,MATCH(3&amp;$B53,'Gastos com Pessoal'!$I$532:$AJ$532&amp;'Gastos com Pessoal'!$I$6:$AJ$6,0),500,1)),0)+_xlfn.IFNA(SUM((AQ$3&gt;='Gastos com Pessoal'!$E$7:$E$506)*(AQ$3&lt;='Gastos com Pessoal'!$F$7:$F$506)*(IF('Gastos com Pessoal'!$Y$7:$Y$506&lt;=AQ$3,1,0))*OFFSET('Gastos com Pessoal'!$H$6,1,MATCH(4&amp;$B53,'Gastos com Pessoal'!$I$532:$AJ$532&amp;'Gastos com Pessoal'!$I$6:$AJ$6,0),500,1)),0)+_xlfn.IFNA(SUM((AQ$3&gt;='Gastos com Pessoal'!$E$7:$E$506)*(AQ$3&lt;='Gastos com Pessoal'!$F$7:$F$506)*(IF('Gastos com Pessoal'!$AE$7:$AE$506&lt;=AQ$3,1,0))*OFFSET('Gastos com Pessoal'!$H$6,1,MATCH(5&amp;$B53,'Gastos com Pessoal'!$I$532:$AJ$532&amp;'Gastos com Pessoal'!$I$6:$AJ$6,0),500,1)),0)+_xlfn.IFNA(SUM((AQ$3&gt;='Gastos com Pessoal'!$E$513:$E$522)*(AQ$3&lt;='Gastos com Pessoal'!$F$513:$F$522)*(IF('Gastos com Pessoal'!$G$513:$G$522&lt;=AQ$3,1,0))*OFFSET('Gastos com Pessoal'!$H$512,1,MATCH(1&amp;$B53,'Gastos com Pessoal'!$I$532:$AJ$532&amp;'Gastos com Pessoal'!$I$512:$AJ$512,0),10,1)),0)+_xlfn.IFNA(SUM((AQ$3&gt;='Gastos com Pessoal'!$E$513:$E$522)*(AQ$3&lt;='Gastos com Pessoal'!$F$513:$F$522)*(IF('Gastos com Pessoal'!$M$513:$M$522&lt;=AQ$3,1,0))*OFFSET('Gastos com Pessoal'!$H$512,1,MATCH(2&amp;$B53,'Gastos com Pessoal'!$I$532:$AJ$532&amp;'Gastos com Pessoal'!$I$512:$AJ$512,0),10,1)),0)+_xlfn.IFNA(SUM((AQ$3&gt;='Gastos com Pessoal'!$E$513:$E$522)*(AQ$3&lt;='Gastos com Pessoal'!$F$513:$F$522)*(IF('Gastos com Pessoal'!$S$513:$S$522&lt;=AQ$3,1,0))*OFFSET('Gastos com Pessoal'!$H$512,1,MATCH(3&amp;$B53,'Gastos com Pessoal'!$I$532:$AJ$532&amp;'Gastos com Pessoal'!$I$512:$AJ$512,0),10,1)),0)+_xlfn.IFNA(SUM((AQ$3&gt;='Gastos com Pessoal'!$E$513:$E$522)*(AQ$3&lt;='Gastos com Pessoal'!$F$513:$F$522)*(IF('Gastos com Pessoal'!$Y$513:$Y$522&lt;=AQ$3,1,0))*OFFSET('Gastos com Pessoal'!$H$512,1,MATCH(4&amp;$B53,'Gastos com Pessoal'!$I$532:$AJ$532&amp;'Gastos com Pessoal'!$I$512:$AJ$512,0),10,1)),0)+_xlfn.IFNA(SUM((AQ$3&gt;='Gastos com Pessoal'!$E$513:$E$522)*(AQ$3&lt;='Gastos com Pessoal'!$F$513:$F$522)*(IF('Gastos com Pessoal'!$AE$513:$AE$522&lt;=AQ$3,1,0))*OFFSET('Gastos com Pessoal'!$H$512,1,MATCH(5&amp;$B53,'Gastos com Pessoal'!$I$532:$AJ$532&amp;'Gastos com Pessoal'!$I$512:$AJ$512,0),10,1)),0)</f>
        <v>0</v>
      </c>
      <c r="AR53" s="188">
        <f t="array" aca="1" ref="AR53" ca="1">_xlfn.IFNA(SUM((AR$3&gt;='Gastos com Pessoal'!$E$7:$E$506)*(AR$3&lt;='Gastos com Pessoal'!$F$7:$F$506)*OFFSET('Encargos e Benefícios'!$D$5,1,MATCH($B53,'Encargos e Benefícios'!$E$5:$AB$5,0),500,1)),0)+_xlfn.IFNA(SUM((AR$3&gt;='Gastos com Pessoal'!$E$513:$E$522)*(AR$3&lt;='Gastos com Pessoal'!$F$513:$F$522)*OFFSET('Encargos e Benefícios'!$D$511,1,MATCH($B53,'Encargos e Benefícios'!$E$511:$AB$511,0),10,1)),0)+_xlfn.IFNA(SUM((AR$3&gt;='Gastos com Pessoal'!$E$7:$E$506)*(AR$3&lt;='Gastos com Pessoal'!$F$7:$F$506)*(IF('Gastos com Pessoal'!$G$7:$G$506&lt;=AR$3,1,0))*OFFSET('Gastos com Pessoal'!$H$6,1,MATCH(1&amp;$B53,'Gastos com Pessoal'!$I$532:$AJ$532&amp;'Gastos com Pessoal'!$I$6:$AJ$6,0),500,1)),0)+_xlfn.IFNA(SUM((AR$3&gt;='Gastos com Pessoal'!$E$7:$E$506)*(AR$3&lt;='Gastos com Pessoal'!$F$7:$F$506)*(IF('Gastos com Pessoal'!$M$7:$M$506&lt;=AR$3,1,0))*OFFSET('Gastos com Pessoal'!$H$6,1,MATCH(2&amp;$B53,'Gastos com Pessoal'!$I$532:$AJ$532&amp;'Gastos com Pessoal'!$I$6:$AJ$6,0),500,1)),0)+_xlfn.IFNA(SUM((AR$3&gt;='Gastos com Pessoal'!$E$7:$E$506)*(AR$3&lt;='Gastos com Pessoal'!$F$7:$F$506)*(IF('Gastos com Pessoal'!$S$7:$S$506&lt;=AR$3,1,0))*OFFSET('Gastos com Pessoal'!$H$6,1,MATCH(3&amp;$B53,'Gastos com Pessoal'!$I$532:$AJ$532&amp;'Gastos com Pessoal'!$I$6:$AJ$6,0),500,1)),0)+_xlfn.IFNA(SUM((AR$3&gt;='Gastos com Pessoal'!$E$7:$E$506)*(AR$3&lt;='Gastos com Pessoal'!$F$7:$F$506)*(IF('Gastos com Pessoal'!$Y$7:$Y$506&lt;=AR$3,1,0))*OFFSET('Gastos com Pessoal'!$H$6,1,MATCH(4&amp;$B53,'Gastos com Pessoal'!$I$532:$AJ$532&amp;'Gastos com Pessoal'!$I$6:$AJ$6,0),500,1)),0)+_xlfn.IFNA(SUM((AR$3&gt;='Gastos com Pessoal'!$E$7:$E$506)*(AR$3&lt;='Gastos com Pessoal'!$F$7:$F$506)*(IF('Gastos com Pessoal'!$AE$7:$AE$506&lt;=AR$3,1,0))*OFFSET('Gastos com Pessoal'!$H$6,1,MATCH(5&amp;$B53,'Gastos com Pessoal'!$I$532:$AJ$532&amp;'Gastos com Pessoal'!$I$6:$AJ$6,0),500,1)),0)+_xlfn.IFNA(SUM((AR$3&gt;='Gastos com Pessoal'!$E$513:$E$522)*(AR$3&lt;='Gastos com Pessoal'!$F$513:$F$522)*(IF('Gastos com Pessoal'!$G$513:$G$522&lt;=AR$3,1,0))*OFFSET('Gastos com Pessoal'!$H$512,1,MATCH(1&amp;$B53,'Gastos com Pessoal'!$I$532:$AJ$532&amp;'Gastos com Pessoal'!$I$512:$AJ$512,0),10,1)),0)+_xlfn.IFNA(SUM((AR$3&gt;='Gastos com Pessoal'!$E$513:$E$522)*(AR$3&lt;='Gastos com Pessoal'!$F$513:$F$522)*(IF('Gastos com Pessoal'!$M$513:$M$522&lt;=AR$3,1,0))*OFFSET('Gastos com Pessoal'!$H$512,1,MATCH(2&amp;$B53,'Gastos com Pessoal'!$I$532:$AJ$532&amp;'Gastos com Pessoal'!$I$512:$AJ$512,0),10,1)),0)+_xlfn.IFNA(SUM((AR$3&gt;='Gastos com Pessoal'!$E$513:$E$522)*(AR$3&lt;='Gastos com Pessoal'!$F$513:$F$522)*(IF('Gastos com Pessoal'!$S$513:$S$522&lt;=AR$3,1,0))*OFFSET('Gastos com Pessoal'!$H$512,1,MATCH(3&amp;$B53,'Gastos com Pessoal'!$I$532:$AJ$532&amp;'Gastos com Pessoal'!$I$512:$AJ$512,0),10,1)),0)+_xlfn.IFNA(SUM((AR$3&gt;='Gastos com Pessoal'!$E$513:$E$522)*(AR$3&lt;='Gastos com Pessoal'!$F$513:$F$522)*(IF('Gastos com Pessoal'!$Y$513:$Y$522&lt;=AR$3,1,0))*OFFSET('Gastos com Pessoal'!$H$512,1,MATCH(4&amp;$B53,'Gastos com Pessoal'!$I$532:$AJ$532&amp;'Gastos com Pessoal'!$I$512:$AJ$512,0),10,1)),0)+_xlfn.IFNA(SUM((AR$3&gt;='Gastos com Pessoal'!$E$513:$E$522)*(AR$3&lt;='Gastos com Pessoal'!$F$513:$F$522)*(IF('Gastos com Pessoal'!$AE$513:$AE$522&lt;=AR$3,1,0))*OFFSET('Gastos com Pessoal'!$H$512,1,MATCH(5&amp;$B53,'Gastos com Pessoal'!$I$532:$AJ$532&amp;'Gastos com Pessoal'!$I$512:$AJ$512,0),10,1)),0)</f>
        <v>0</v>
      </c>
      <c r="AS53" s="188">
        <f t="array" aca="1" ref="AS53" ca="1">_xlfn.IFNA(SUM((AS$3&gt;='Gastos com Pessoal'!$E$7:$E$506)*(AS$3&lt;='Gastos com Pessoal'!$F$7:$F$506)*OFFSET('Encargos e Benefícios'!$D$5,1,MATCH($B53,'Encargos e Benefícios'!$E$5:$AB$5,0),500,1)),0)+_xlfn.IFNA(SUM((AS$3&gt;='Gastos com Pessoal'!$E$513:$E$522)*(AS$3&lt;='Gastos com Pessoal'!$F$513:$F$522)*OFFSET('Encargos e Benefícios'!$D$511,1,MATCH($B53,'Encargos e Benefícios'!$E$511:$AB$511,0),10,1)),0)+_xlfn.IFNA(SUM((AS$3&gt;='Gastos com Pessoal'!$E$7:$E$506)*(AS$3&lt;='Gastos com Pessoal'!$F$7:$F$506)*(IF('Gastos com Pessoal'!$G$7:$G$506&lt;=AS$3,1,0))*OFFSET('Gastos com Pessoal'!$H$6,1,MATCH(1&amp;$B53,'Gastos com Pessoal'!$I$532:$AJ$532&amp;'Gastos com Pessoal'!$I$6:$AJ$6,0),500,1)),0)+_xlfn.IFNA(SUM((AS$3&gt;='Gastos com Pessoal'!$E$7:$E$506)*(AS$3&lt;='Gastos com Pessoal'!$F$7:$F$506)*(IF('Gastos com Pessoal'!$M$7:$M$506&lt;=AS$3,1,0))*OFFSET('Gastos com Pessoal'!$H$6,1,MATCH(2&amp;$B53,'Gastos com Pessoal'!$I$532:$AJ$532&amp;'Gastos com Pessoal'!$I$6:$AJ$6,0),500,1)),0)+_xlfn.IFNA(SUM((AS$3&gt;='Gastos com Pessoal'!$E$7:$E$506)*(AS$3&lt;='Gastos com Pessoal'!$F$7:$F$506)*(IF('Gastos com Pessoal'!$S$7:$S$506&lt;=AS$3,1,0))*OFFSET('Gastos com Pessoal'!$H$6,1,MATCH(3&amp;$B53,'Gastos com Pessoal'!$I$532:$AJ$532&amp;'Gastos com Pessoal'!$I$6:$AJ$6,0),500,1)),0)+_xlfn.IFNA(SUM((AS$3&gt;='Gastos com Pessoal'!$E$7:$E$506)*(AS$3&lt;='Gastos com Pessoal'!$F$7:$F$506)*(IF('Gastos com Pessoal'!$Y$7:$Y$506&lt;=AS$3,1,0))*OFFSET('Gastos com Pessoal'!$H$6,1,MATCH(4&amp;$B53,'Gastos com Pessoal'!$I$532:$AJ$532&amp;'Gastos com Pessoal'!$I$6:$AJ$6,0),500,1)),0)+_xlfn.IFNA(SUM((AS$3&gt;='Gastos com Pessoal'!$E$7:$E$506)*(AS$3&lt;='Gastos com Pessoal'!$F$7:$F$506)*(IF('Gastos com Pessoal'!$AE$7:$AE$506&lt;=AS$3,1,0))*OFFSET('Gastos com Pessoal'!$H$6,1,MATCH(5&amp;$B53,'Gastos com Pessoal'!$I$532:$AJ$532&amp;'Gastos com Pessoal'!$I$6:$AJ$6,0),500,1)),0)+_xlfn.IFNA(SUM((AS$3&gt;='Gastos com Pessoal'!$E$513:$E$522)*(AS$3&lt;='Gastos com Pessoal'!$F$513:$F$522)*(IF('Gastos com Pessoal'!$G$513:$G$522&lt;=AS$3,1,0))*OFFSET('Gastos com Pessoal'!$H$512,1,MATCH(1&amp;$B53,'Gastos com Pessoal'!$I$532:$AJ$532&amp;'Gastos com Pessoal'!$I$512:$AJ$512,0),10,1)),0)+_xlfn.IFNA(SUM((AS$3&gt;='Gastos com Pessoal'!$E$513:$E$522)*(AS$3&lt;='Gastos com Pessoal'!$F$513:$F$522)*(IF('Gastos com Pessoal'!$M$513:$M$522&lt;=AS$3,1,0))*OFFSET('Gastos com Pessoal'!$H$512,1,MATCH(2&amp;$B53,'Gastos com Pessoal'!$I$532:$AJ$532&amp;'Gastos com Pessoal'!$I$512:$AJ$512,0),10,1)),0)+_xlfn.IFNA(SUM((AS$3&gt;='Gastos com Pessoal'!$E$513:$E$522)*(AS$3&lt;='Gastos com Pessoal'!$F$513:$F$522)*(IF('Gastos com Pessoal'!$S$513:$S$522&lt;=AS$3,1,0))*OFFSET('Gastos com Pessoal'!$H$512,1,MATCH(3&amp;$B53,'Gastos com Pessoal'!$I$532:$AJ$532&amp;'Gastos com Pessoal'!$I$512:$AJ$512,0),10,1)),0)+_xlfn.IFNA(SUM((AS$3&gt;='Gastos com Pessoal'!$E$513:$E$522)*(AS$3&lt;='Gastos com Pessoal'!$F$513:$F$522)*(IF('Gastos com Pessoal'!$Y$513:$Y$522&lt;=AS$3,1,0))*OFFSET('Gastos com Pessoal'!$H$512,1,MATCH(4&amp;$B53,'Gastos com Pessoal'!$I$532:$AJ$532&amp;'Gastos com Pessoal'!$I$512:$AJ$512,0),10,1)),0)+_xlfn.IFNA(SUM((AS$3&gt;='Gastos com Pessoal'!$E$513:$E$522)*(AS$3&lt;='Gastos com Pessoal'!$F$513:$F$522)*(IF('Gastos com Pessoal'!$AE$513:$AE$522&lt;=AS$3,1,0))*OFFSET('Gastos com Pessoal'!$H$512,1,MATCH(5&amp;$B53,'Gastos com Pessoal'!$I$532:$AJ$532&amp;'Gastos com Pessoal'!$I$512:$AJ$512,0),10,1)),0)</f>
        <v>0</v>
      </c>
      <c r="AT53" s="188">
        <f t="array" aca="1" ref="AT53" ca="1">_xlfn.IFNA(SUM((AT$3&gt;='Gastos com Pessoal'!$E$7:$E$506)*(AT$3&lt;='Gastos com Pessoal'!$F$7:$F$506)*OFFSET('Encargos e Benefícios'!$D$5,1,MATCH($B53,'Encargos e Benefícios'!$E$5:$AB$5,0),500,1)),0)+_xlfn.IFNA(SUM((AT$3&gt;='Gastos com Pessoal'!$E$513:$E$522)*(AT$3&lt;='Gastos com Pessoal'!$F$513:$F$522)*OFFSET('Encargos e Benefícios'!$D$511,1,MATCH($B53,'Encargos e Benefícios'!$E$511:$AB$511,0),10,1)),0)+_xlfn.IFNA(SUM((AT$3&gt;='Gastos com Pessoal'!$E$7:$E$506)*(AT$3&lt;='Gastos com Pessoal'!$F$7:$F$506)*(IF('Gastos com Pessoal'!$G$7:$G$506&lt;=AT$3,1,0))*OFFSET('Gastos com Pessoal'!$H$6,1,MATCH(1&amp;$B53,'Gastos com Pessoal'!$I$532:$AJ$532&amp;'Gastos com Pessoal'!$I$6:$AJ$6,0),500,1)),0)+_xlfn.IFNA(SUM((AT$3&gt;='Gastos com Pessoal'!$E$7:$E$506)*(AT$3&lt;='Gastos com Pessoal'!$F$7:$F$506)*(IF('Gastos com Pessoal'!$M$7:$M$506&lt;=AT$3,1,0))*OFFSET('Gastos com Pessoal'!$H$6,1,MATCH(2&amp;$B53,'Gastos com Pessoal'!$I$532:$AJ$532&amp;'Gastos com Pessoal'!$I$6:$AJ$6,0),500,1)),0)+_xlfn.IFNA(SUM((AT$3&gt;='Gastos com Pessoal'!$E$7:$E$506)*(AT$3&lt;='Gastos com Pessoal'!$F$7:$F$506)*(IF('Gastos com Pessoal'!$S$7:$S$506&lt;=AT$3,1,0))*OFFSET('Gastos com Pessoal'!$H$6,1,MATCH(3&amp;$B53,'Gastos com Pessoal'!$I$532:$AJ$532&amp;'Gastos com Pessoal'!$I$6:$AJ$6,0),500,1)),0)+_xlfn.IFNA(SUM((AT$3&gt;='Gastos com Pessoal'!$E$7:$E$506)*(AT$3&lt;='Gastos com Pessoal'!$F$7:$F$506)*(IF('Gastos com Pessoal'!$Y$7:$Y$506&lt;=AT$3,1,0))*OFFSET('Gastos com Pessoal'!$H$6,1,MATCH(4&amp;$B53,'Gastos com Pessoal'!$I$532:$AJ$532&amp;'Gastos com Pessoal'!$I$6:$AJ$6,0),500,1)),0)+_xlfn.IFNA(SUM((AT$3&gt;='Gastos com Pessoal'!$E$7:$E$506)*(AT$3&lt;='Gastos com Pessoal'!$F$7:$F$506)*(IF('Gastos com Pessoal'!$AE$7:$AE$506&lt;=AT$3,1,0))*OFFSET('Gastos com Pessoal'!$H$6,1,MATCH(5&amp;$B53,'Gastos com Pessoal'!$I$532:$AJ$532&amp;'Gastos com Pessoal'!$I$6:$AJ$6,0),500,1)),0)+_xlfn.IFNA(SUM((AT$3&gt;='Gastos com Pessoal'!$E$513:$E$522)*(AT$3&lt;='Gastos com Pessoal'!$F$513:$F$522)*(IF('Gastos com Pessoal'!$G$513:$G$522&lt;=AT$3,1,0))*OFFSET('Gastos com Pessoal'!$H$512,1,MATCH(1&amp;$B53,'Gastos com Pessoal'!$I$532:$AJ$532&amp;'Gastos com Pessoal'!$I$512:$AJ$512,0),10,1)),0)+_xlfn.IFNA(SUM((AT$3&gt;='Gastos com Pessoal'!$E$513:$E$522)*(AT$3&lt;='Gastos com Pessoal'!$F$513:$F$522)*(IF('Gastos com Pessoal'!$M$513:$M$522&lt;=AT$3,1,0))*OFFSET('Gastos com Pessoal'!$H$512,1,MATCH(2&amp;$B53,'Gastos com Pessoal'!$I$532:$AJ$532&amp;'Gastos com Pessoal'!$I$512:$AJ$512,0),10,1)),0)+_xlfn.IFNA(SUM((AT$3&gt;='Gastos com Pessoal'!$E$513:$E$522)*(AT$3&lt;='Gastos com Pessoal'!$F$513:$F$522)*(IF('Gastos com Pessoal'!$S$513:$S$522&lt;=AT$3,1,0))*OFFSET('Gastos com Pessoal'!$H$512,1,MATCH(3&amp;$B53,'Gastos com Pessoal'!$I$532:$AJ$532&amp;'Gastos com Pessoal'!$I$512:$AJ$512,0),10,1)),0)+_xlfn.IFNA(SUM((AT$3&gt;='Gastos com Pessoal'!$E$513:$E$522)*(AT$3&lt;='Gastos com Pessoal'!$F$513:$F$522)*(IF('Gastos com Pessoal'!$Y$513:$Y$522&lt;=AT$3,1,0))*OFFSET('Gastos com Pessoal'!$H$512,1,MATCH(4&amp;$B53,'Gastos com Pessoal'!$I$532:$AJ$532&amp;'Gastos com Pessoal'!$I$512:$AJ$512,0),10,1)),0)+_xlfn.IFNA(SUM((AT$3&gt;='Gastos com Pessoal'!$E$513:$E$522)*(AT$3&lt;='Gastos com Pessoal'!$F$513:$F$522)*(IF('Gastos com Pessoal'!$AE$513:$AE$522&lt;=AT$3,1,0))*OFFSET('Gastos com Pessoal'!$H$512,1,MATCH(5&amp;$B53,'Gastos com Pessoal'!$I$532:$AJ$532&amp;'Gastos com Pessoal'!$I$512:$AJ$512,0),10,1)),0)</f>
        <v>0</v>
      </c>
      <c r="AU53" s="188">
        <f t="array" aca="1" ref="AU53" ca="1">_xlfn.IFNA(SUM((AU$3&gt;='Gastos com Pessoal'!$E$7:$E$506)*(AU$3&lt;='Gastos com Pessoal'!$F$7:$F$506)*OFFSET('Encargos e Benefícios'!$D$5,1,MATCH($B53,'Encargos e Benefícios'!$E$5:$AB$5,0),500,1)),0)+_xlfn.IFNA(SUM((AU$3&gt;='Gastos com Pessoal'!$E$513:$E$522)*(AU$3&lt;='Gastos com Pessoal'!$F$513:$F$522)*OFFSET('Encargos e Benefícios'!$D$511,1,MATCH($B53,'Encargos e Benefícios'!$E$511:$AB$511,0),10,1)),0)+_xlfn.IFNA(SUM((AU$3&gt;='Gastos com Pessoal'!$E$7:$E$506)*(AU$3&lt;='Gastos com Pessoal'!$F$7:$F$506)*(IF('Gastos com Pessoal'!$G$7:$G$506&lt;=AU$3,1,0))*OFFSET('Gastos com Pessoal'!$H$6,1,MATCH(1&amp;$B53,'Gastos com Pessoal'!$I$532:$AJ$532&amp;'Gastos com Pessoal'!$I$6:$AJ$6,0),500,1)),0)+_xlfn.IFNA(SUM((AU$3&gt;='Gastos com Pessoal'!$E$7:$E$506)*(AU$3&lt;='Gastos com Pessoal'!$F$7:$F$506)*(IF('Gastos com Pessoal'!$M$7:$M$506&lt;=AU$3,1,0))*OFFSET('Gastos com Pessoal'!$H$6,1,MATCH(2&amp;$B53,'Gastos com Pessoal'!$I$532:$AJ$532&amp;'Gastos com Pessoal'!$I$6:$AJ$6,0),500,1)),0)+_xlfn.IFNA(SUM((AU$3&gt;='Gastos com Pessoal'!$E$7:$E$506)*(AU$3&lt;='Gastos com Pessoal'!$F$7:$F$506)*(IF('Gastos com Pessoal'!$S$7:$S$506&lt;=AU$3,1,0))*OFFSET('Gastos com Pessoal'!$H$6,1,MATCH(3&amp;$B53,'Gastos com Pessoal'!$I$532:$AJ$532&amp;'Gastos com Pessoal'!$I$6:$AJ$6,0),500,1)),0)+_xlfn.IFNA(SUM((AU$3&gt;='Gastos com Pessoal'!$E$7:$E$506)*(AU$3&lt;='Gastos com Pessoal'!$F$7:$F$506)*(IF('Gastos com Pessoal'!$Y$7:$Y$506&lt;=AU$3,1,0))*OFFSET('Gastos com Pessoal'!$H$6,1,MATCH(4&amp;$B53,'Gastos com Pessoal'!$I$532:$AJ$532&amp;'Gastos com Pessoal'!$I$6:$AJ$6,0),500,1)),0)+_xlfn.IFNA(SUM((AU$3&gt;='Gastos com Pessoal'!$E$7:$E$506)*(AU$3&lt;='Gastos com Pessoal'!$F$7:$F$506)*(IF('Gastos com Pessoal'!$AE$7:$AE$506&lt;=AU$3,1,0))*OFFSET('Gastos com Pessoal'!$H$6,1,MATCH(5&amp;$B53,'Gastos com Pessoal'!$I$532:$AJ$532&amp;'Gastos com Pessoal'!$I$6:$AJ$6,0),500,1)),0)+_xlfn.IFNA(SUM((AU$3&gt;='Gastos com Pessoal'!$E$513:$E$522)*(AU$3&lt;='Gastos com Pessoal'!$F$513:$F$522)*(IF('Gastos com Pessoal'!$G$513:$G$522&lt;=AU$3,1,0))*OFFSET('Gastos com Pessoal'!$H$512,1,MATCH(1&amp;$B53,'Gastos com Pessoal'!$I$532:$AJ$532&amp;'Gastos com Pessoal'!$I$512:$AJ$512,0),10,1)),0)+_xlfn.IFNA(SUM((AU$3&gt;='Gastos com Pessoal'!$E$513:$E$522)*(AU$3&lt;='Gastos com Pessoal'!$F$513:$F$522)*(IF('Gastos com Pessoal'!$M$513:$M$522&lt;=AU$3,1,0))*OFFSET('Gastos com Pessoal'!$H$512,1,MATCH(2&amp;$B53,'Gastos com Pessoal'!$I$532:$AJ$532&amp;'Gastos com Pessoal'!$I$512:$AJ$512,0),10,1)),0)+_xlfn.IFNA(SUM((AU$3&gt;='Gastos com Pessoal'!$E$513:$E$522)*(AU$3&lt;='Gastos com Pessoal'!$F$513:$F$522)*(IF('Gastos com Pessoal'!$S$513:$S$522&lt;=AU$3,1,0))*OFFSET('Gastos com Pessoal'!$H$512,1,MATCH(3&amp;$B53,'Gastos com Pessoal'!$I$532:$AJ$532&amp;'Gastos com Pessoal'!$I$512:$AJ$512,0),10,1)),0)+_xlfn.IFNA(SUM((AU$3&gt;='Gastos com Pessoal'!$E$513:$E$522)*(AU$3&lt;='Gastos com Pessoal'!$F$513:$F$522)*(IF('Gastos com Pessoal'!$Y$513:$Y$522&lt;=AU$3,1,0))*OFFSET('Gastos com Pessoal'!$H$512,1,MATCH(4&amp;$B53,'Gastos com Pessoal'!$I$532:$AJ$532&amp;'Gastos com Pessoal'!$I$512:$AJ$512,0),10,1)),0)+_xlfn.IFNA(SUM((AU$3&gt;='Gastos com Pessoal'!$E$513:$E$522)*(AU$3&lt;='Gastos com Pessoal'!$F$513:$F$522)*(IF('Gastos com Pessoal'!$AE$513:$AE$522&lt;=AU$3,1,0))*OFFSET('Gastos com Pessoal'!$H$512,1,MATCH(5&amp;$B53,'Gastos com Pessoal'!$I$532:$AJ$532&amp;'Gastos com Pessoal'!$I$512:$AJ$512,0),10,1)),0)</f>
        <v>0</v>
      </c>
      <c r="AV53" s="188">
        <f t="array" aca="1" ref="AV53" ca="1">_xlfn.IFNA(SUM((AV$3&gt;='Gastos com Pessoal'!$E$7:$E$506)*(AV$3&lt;='Gastos com Pessoal'!$F$7:$F$506)*OFFSET('Encargos e Benefícios'!$D$5,1,MATCH($B53,'Encargos e Benefícios'!$E$5:$AB$5,0),500,1)),0)+_xlfn.IFNA(SUM((AV$3&gt;='Gastos com Pessoal'!$E$513:$E$522)*(AV$3&lt;='Gastos com Pessoal'!$F$513:$F$522)*OFFSET('Encargos e Benefícios'!$D$511,1,MATCH($B53,'Encargos e Benefícios'!$E$511:$AB$511,0),10,1)),0)+_xlfn.IFNA(SUM((AV$3&gt;='Gastos com Pessoal'!$E$7:$E$506)*(AV$3&lt;='Gastos com Pessoal'!$F$7:$F$506)*(IF('Gastos com Pessoal'!$G$7:$G$506&lt;=AV$3,1,0))*OFFSET('Gastos com Pessoal'!$H$6,1,MATCH(1&amp;$B53,'Gastos com Pessoal'!$I$532:$AJ$532&amp;'Gastos com Pessoal'!$I$6:$AJ$6,0),500,1)),0)+_xlfn.IFNA(SUM((AV$3&gt;='Gastos com Pessoal'!$E$7:$E$506)*(AV$3&lt;='Gastos com Pessoal'!$F$7:$F$506)*(IF('Gastos com Pessoal'!$M$7:$M$506&lt;=AV$3,1,0))*OFFSET('Gastos com Pessoal'!$H$6,1,MATCH(2&amp;$B53,'Gastos com Pessoal'!$I$532:$AJ$532&amp;'Gastos com Pessoal'!$I$6:$AJ$6,0),500,1)),0)+_xlfn.IFNA(SUM((AV$3&gt;='Gastos com Pessoal'!$E$7:$E$506)*(AV$3&lt;='Gastos com Pessoal'!$F$7:$F$506)*(IF('Gastos com Pessoal'!$S$7:$S$506&lt;=AV$3,1,0))*OFFSET('Gastos com Pessoal'!$H$6,1,MATCH(3&amp;$B53,'Gastos com Pessoal'!$I$532:$AJ$532&amp;'Gastos com Pessoal'!$I$6:$AJ$6,0),500,1)),0)+_xlfn.IFNA(SUM((AV$3&gt;='Gastos com Pessoal'!$E$7:$E$506)*(AV$3&lt;='Gastos com Pessoal'!$F$7:$F$506)*(IF('Gastos com Pessoal'!$Y$7:$Y$506&lt;=AV$3,1,0))*OFFSET('Gastos com Pessoal'!$H$6,1,MATCH(4&amp;$B53,'Gastos com Pessoal'!$I$532:$AJ$532&amp;'Gastos com Pessoal'!$I$6:$AJ$6,0),500,1)),0)+_xlfn.IFNA(SUM((AV$3&gt;='Gastos com Pessoal'!$E$7:$E$506)*(AV$3&lt;='Gastos com Pessoal'!$F$7:$F$506)*(IF('Gastos com Pessoal'!$AE$7:$AE$506&lt;=AV$3,1,0))*OFFSET('Gastos com Pessoal'!$H$6,1,MATCH(5&amp;$B53,'Gastos com Pessoal'!$I$532:$AJ$532&amp;'Gastos com Pessoal'!$I$6:$AJ$6,0),500,1)),0)+_xlfn.IFNA(SUM((AV$3&gt;='Gastos com Pessoal'!$E$513:$E$522)*(AV$3&lt;='Gastos com Pessoal'!$F$513:$F$522)*(IF('Gastos com Pessoal'!$G$513:$G$522&lt;=AV$3,1,0))*OFFSET('Gastos com Pessoal'!$H$512,1,MATCH(1&amp;$B53,'Gastos com Pessoal'!$I$532:$AJ$532&amp;'Gastos com Pessoal'!$I$512:$AJ$512,0),10,1)),0)+_xlfn.IFNA(SUM((AV$3&gt;='Gastos com Pessoal'!$E$513:$E$522)*(AV$3&lt;='Gastos com Pessoal'!$F$513:$F$522)*(IF('Gastos com Pessoal'!$M$513:$M$522&lt;=AV$3,1,0))*OFFSET('Gastos com Pessoal'!$H$512,1,MATCH(2&amp;$B53,'Gastos com Pessoal'!$I$532:$AJ$532&amp;'Gastos com Pessoal'!$I$512:$AJ$512,0),10,1)),0)+_xlfn.IFNA(SUM((AV$3&gt;='Gastos com Pessoal'!$E$513:$E$522)*(AV$3&lt;='Gastos com Pessoal'!$F$513:$F$522)*(IF('Gastos com Pessoal'!$S$513:$S$522&lt;=AV$3,1,0))*OFFSET('Gastos com Pessoal'!$H$512,1,MATCH(3&amp;$B53,'Gastos com Pessoal'!$I$532:$AJ$532&amp;'Gastos com Pessoal'!$I$512:$AJ$512,0),10,1)),0)+_xlfn.IFNA(SUM((AV$3&gt;='Gastos com Pessoal'!$E$513:$E$522)*(AV$3&lt;='Gastos com Pessoal'!$F$513:$F$522)*(IF('Gastos com Pessoal'!$Y$513:$Y$522&lt;=AV$3,1,0))*OFFSET('Gastos com Pessoal'!$H$512,1,MATCH(4&amp;$B53,'Gastos com Pessoal'!$I$532:$AJ$532&amp;'Gastos com Pessoal'!$I$512:$AJ$512,0),10,1)),0)+_xlfn.IFNA(SUM((AV$3&gt;='Gastos com Pessoal'!$E$513:$E$522)*(AV$3&lt;='Gastos com Pessoal'!$F$513:$F$522)*(IF('Gastos com Pessoal'!$AE$513:$AE$522&lt;=AV$3,1,0))*OFFSET('Gastos com Pessoal'!$H$512,1,MATCH(5&amp;$B53,'Gastos com Pessoal'!$I$532:$AJ$532&amp;'Gastos com Pessoal'!$I$512:$AJ$512,0),10,1)),0)</f>
        <v>0</v>
      </c>
      <c r="AW53" s="188">
        <f t="array" aca="1" ref="AW53" ca="1">_xlfn.IFNA(SUM((AW$3&gt;='Gastos com Pessoal'!$E$7:$E$506)*(AW$3&lt;='Gastos com Pessoal'!$F$7:$F$506)*OFFSET('Encargos e Benefícios'!$D$5,1,MATCH($B53,'Encargos e Benefícios'!$E$5:$AB$5,0),500,1)),0)+_xlfn.IFNA(SUM((AW$3&gt;='Gastos com Pessoal'!$E$513:$E$522)*(AW$3&lt;='Gastos com Pessoal'!$F$513:$F$522)*OFFSET('Encargos e Benefícios'!$D$511,1,MATCH($B53,'Encargos e Benefícios'!$E$511:$AB$511,0),10,1)),0)+_xlfn.IFNA(SUM((AW$3&gt;='Gastos com Pessoal'!$E$7:$E$506)*(AW$3&lt;='Gastos com Pessoal'!$F$7:$F$506)*(IF('Gastos com Pessoal'!$G$7:$G$506&lt;=AW$3,1,0))*OFFSET('Gastos com Pessoal'!$H$6,1,MATCH(1&amp;$B53,'Gastos com Pessoal'!$I$532:$AJ$532&amp;'Gastos com Pessoal'!$I$6:$AJ$6,0),500,1)),0)+_xlfn.IFNA(SUM((AW$3&gt;='Gastos com Pessoal'!$E$7:$E$506)*(AW$3&lt;='Gastos com Pessoal'!$F$7:$F$506)*(IF('Gastos com Pessoal'!$M$7:$M$506&lt;=AW$3,1,0))*OFFSET('Gastos com Pessoal'!$H$6,1,MATCH(2&amp;$B53,'Gastos com Pessoal'!$I$532:$AJ$532&amp;'Gastos com Pessoal'!$I$6:$AJ$6,0),500,1)),0)+_xlfn.IFNA(SUM((AW$3&gt;='Gastos com Pessoal'!$E$7:$E$506)*(AW$3&lt;='Gastos com Pessoal'!$F$7:$F$506)*(IF('Gastos com Pessoal'!$S$7:$S$506&lt;=AW$3,1,0))*OFFSET('Gastos com Pessoal'!$H$6,1,MATCH(3&amp;$B53,'Gastos com Pessoal'!$I$532:$AJ$532&amp;'Gastos com Pessoal'!$I$6:$AJ$6,0),500,1)),0)+_xlfn.IFNA(SUM((AW$3&gt;='Gastos com Pessoal'!$E$7:$E$506)*(AW$3&lt;='Gastos com Pessoal'!$F$7:$F$506)*(IF('Gastos com Pessoal'!$Y$7:$Y$506&lt;=AW$3,1,0))*OFFSET('Gastos com Pessoal'!$H$6,1,MATCH(4&amp;$B53,'Gastos com Pessoal'!$I$532:$AJ$532&amp;'Gastos com Pessoal'!$I$6:$AJ$6,0),500,1)),0)+_xlfn.IFNA(SUM((AW$3&gt;='Gastos com Pessoal'!$E$7:$E$506)*(AW$3&lt;='Gastos com Pessoal'!$F$7:$F$506)*(IF('Gastos com Pessoal'!$AE$7:$AE$506&lt;=AW$3,1,0))*OFFSET('Gastos com Pessoal'!$H$6,1,MATCH(5&amp;$B53,'Gastos com Pessoal'!$I$532:$AJ$532&amp;'Gastos com Pessoal'!$I$6:$AJ$6,0),500,1)),0)+_xlfn.IFNA(SUM((AW$3&gt;='Gastos com Pessoal'!$E$513:$E$522)*(AW$3&lt;='Gastos com Pessoal'!$F$513:$F$522)*(IF('Gastos com Pessoal'!$G$513:$G$522&lt;=AW$3,1,0))*OFFSET('Gastos com Pessoal'!$H$512,1,MATCH(1&amp;$B53,'Gastos com Pessoal'!$I$532:$AJ$532&amp;'Gastos com Pessoal'!$I$512:$AJ$512,0),10,1)),0)+_xlfn.IFNA(SUM((AW$3&gt;='Gastos com Pessoal'!$E$513:$E$522)*(AW$3&lt;='Gastos com Pessoal'!$F$513:$F$522)*(IF('Gastos com Pessoal'!$M$513:$M$522&lt;=AW$3,1,0))*OFFSET('Gastos com Pessoal'!$H$512,1,MATCH(2&amp;$B53,'Gastos com Pessoal'!$I$532:$AJ$532&amp;'Gastos com Pessoal'!$I$512:$AJ$512,0),10,1)),0)+_xlfn.IFNA(SUM((AW$3&gt;='Gastos com Pessoal'!$E$513:$E$522)*(AW$3&lt;='Gastos com Pessoal'!$F$513:$F$522)*(IF('Gastos com Pessoal'!$S$513:$S$522&lt;=AW$3,1,0))*OFFSET('Gastos com Pessoal'!$H$512,1,MATCH(3&amp;$B53,'Gastos com Pessoal'!$I$532:$AJ$532&amp;'Gastos com Pessoal'!$I$512:$AJ$512,0),10,1)),0)+_xlfn.IFNA(SUM((AW$3&gt;='Gastos com Pessoal'!$E$513:$E$522)*(AW$3&lt;='Gastos com Pessoal'!$F$513:$F$522)*(IF('Gastos com Pessoal'!$Y$513:$Y$522&lt;=AW$3,1,0))*OFFSET('Gastos com Pessoal'!$H$512,1,MATCH(4&amp;$B53,'Gastos com Pessoal'!$I$532:$AJ$532&amp;'Gastos com Pessoal'!$I$512:$AJ$512,0),10,1)),0)+_xlfn.IFNA(SUM((AW$3&gt;='Gastos com Pessoal'!$E$513:$E$522)*(AW$3&lt;='Gastos com Pessoal'!$F$513:$F$522)*(IF('Gastos com Pessoal'!$AE$513:$AE$522&lt;=AW$3,1,0))*OFFSET('Gastos com Pessoal'!$H$512,1,MATCH(5&amp;$B53,'Gastos com Pessoal'!$I$532:$AJ$532&amp;'Gastos com Pessoal'!$I$512:$AJ$512,0),10,1)),0)</f>
        <v>0</v>
      </c>
      <c r="AX53" s="188">
        <f t="array" aca="1" ref="AX53" ca="1">_xlfn.IFNA(SUM((AX$3&gt;='Gastos com Pessoal'!$E$7:$E$506)*(AX$3&lt;='Gastos com Pessoal'!$F$7:$F$506)*OFFSET('Encargos e Benefícios'!$D$5,1,MATCH($B53,'Encargos e Benefícios'!$E$5:$AB$5,0),500,1)),0)+_xlfn.IFNA(SUM((AX$3&gt;='Gastos com Pessoal'!$E$513:$E$522)*(AX$3&lt;='Gastos com Pessoal'!$F$513:$F$522)*OFFSET('Encargos e Benefícios'!$D$511,1,MATCH($B53,'Encargos e Benefícios'!$E$511:$AB$511,0),10,1)),0)+_xlfn.IFNA(SUM((AX$3&gt;='Gastos com Pessoal'!$E$7:$E$506)*(AX$3&lt;='Gastos com Pessoal'!$F$7:$F$506)*(IF('Gastos com Pessoal'!$G$7:$G$506&lt;=AX$3,1,0))*OFFSET('Gastos com Pessoal'!$H$6,1,MATCH(1&amp;$B53,'Gastos com Pessoal'!$I$532:$AJ$532&amp;'Gastos com Pessoal'!$I$6:$AJ$6,0),500,1)),0)+_xlfn.IFNA(SUM((AX$3&gt;='Gastos com Pessoal'!$E$7:$E$506)*(AX$3&lt;='Gastos com Pessoal'!$F$7:$F$506)*(IF('Gastos com Pessoal'!$M$7:$M$506&lt;=AX$3,1,0))*OFFSET('Gastos com Pessoal'!$H$6,1,MATCH(2&amp;$B53,'Gastos com Pessoal'!$I$532:$AJ$532&amp;'Gastos com Pessoal'!$I$6:$AJ$6,0),500,1)),0)+_xlfn.IFNA(SUM((AX$3&gt;='Gastos com Pessoal'!$E$7:$E$506)*(AX$3&lt;='Gastos com Pessoal'!$F$7:$F$506)*(IF('Gastos com Pessoal'!$S$7:$S$506&lt;=AX$3,1,0))*OFFSET('Gastos com Pessoal'!$H$6,1,MATCH(3&amp;$B53,'Gastos com Pessoal'!$I$532:$AJ$532&amp;'Gastos com Pessoal'!$I$6:$AJ$6,0),500,1)),0)+_xlfn.IFNA(SUM((AX$3&gt;='Gastos com Pessoal'!$E$7:$E$506)*(AX$3&lt;='Gastos com Pessoal'!$F$7:$F$506)*(IF('Gastos com Pessoal'!$Y$7:$Y$506&lt;=AX$3,1,0))*OFFSET('Gastos com Pessoal'!$H$6,1,MATCH(4&amp;$B53,'Gastos com Pessoal'!$I$532:$AJ$532&amp;'Gastos com Pessoal'!$I$6:$AJ$6,0),500,1)),0)+_xlfn.IFNA(SUM((AX$3&gt;='Gastos com Pessoal'!$E$7:$E$506)*(AX$3&lt;='Gastos com Pessoal'!$F$7:$F$506)*(IF('Gastos com Pessoal'!$AE$7:$AE$506&lt;=AX$3,1,0))*OFFSET('Gastos com Pessoal'!$H$6,1,MATCH(5&amp;$B53,'Gastos com Pessoal'!$I$532:$AJ$532&amp;'Gastos com Pessoal'!$I$6:$AJ$6,0),500,1)),0)+_xlfn.IFNA(SUM((AX$3&gt;='Gastos com Pessoal'!$E$513:$E$522)*(AX$3&lt;='Gastos com Pessoal'!$F$513:$F$522)*(IF('Gastos com Pessoal'!$G$513:$G$522&lt;=AX$3,1,0))*OFFSET('Gastos com Pessoal'!$H$512,1,MATCH(1&amp;$B53,'Gastos com Pessoal'!$I$532:$AJ$532&amp;'Gastos com Pessoal'!$I$512:$AJ$512,0),10,1)),0)+_xlfn.IFNA(SUM((AX$3&gt;='Gastos com Pessoal'!$E$513:$E$522)*(AX$3&lt;='Gastos com Pessoal'!$F$513:$F$522)*(IF('Gastos com Pessoal'!$M$513:$M$522&lt;=AX$3,1,0))*OFFSET('Gastos com Pessoal'!$H$512,1,MATCH(2&amp;$B53,'Gastos com Pessoal'!$I$532:$AJ$532&amp;'Gastos com Pessoal'!$I$512:$AJ$512,0),10,1)),0)+_xlfn.IFNA(SUM((AX$3&gt;='Gastos com Pessoal'!$E$513:$E$522)*(AX$3&lt;='Gastos com Pessoal'!$F$513:$F$522)*(IF('Gastos com Pessoal'!$S$513:$S$522&lt;=AX$3,1,0))*OFFSET('Gastos com Pessoal'!$H$512,1,MATCH(3&amp;$B53,'Gastos com Pessoal'!$I$532:$AJ$532&amp;'Gastos com Pessoal'!$I$512:$AJ$512,0),10,1)),0)+_xlfn.IFNA(SUM((AX$3&gt;='Gastos com Pessoal'!$E$513:$E$522)*(AX$3&lt;='Gastos com Pessoal'!$F$513:$F$522)*(IF('Gastos com Pessoal'!$Y$513:$Y$522&lt;=AX$3,1,0))*OFFSET('Gastos com Pessoal'!$H$512,1,MATCH(4&amp;$B53,'Gastos com Pessoal'!$I$532:$AJ$532&amp;'Gastos com Pessoal'!$I$512:$AJ$512,0),10,1)),0)+_xlfn.IFNA(SUM((AX$3&gt;='Gastos com Pessoal'!$E$513:$E$522)*(AX$3&lt;='Gastos com Pessoal'!$F$513:$F$522)*(IF('Gastos com Pessoal'!$AE$513:$AE$522&lt;=AX$3,1,0))*OFFSET('Gastos com Pessoal'!$H$512,1,MATCH(5&amp;$B53,'Gastos com Pessoal'!$I$532:$AJ$532&amp;'Gastos com Pessoal'!$I$512:$AJ$512,0),10,1)),0)</f>
        <v>0</v>
      </c>
      <c r="AY53" s="188">
        <f t="array" aca="1" ref="AY53" ca="1">_xlfn.IFNA(SUM((AY$3&gt;='Gastos com Pessoal'!$E$7:$E$506)*(AY$3&lt;='Gastos com Pessoal'!$F$7:$F$506)*OFFSET('Encargos e Benefícios'!$D$5,1,MATCH($B53,'Encargos e Benefícios'!$E$5:$AB$5,0),500,1)),0)+_xlfn.IFNA(SUM((AY$3&gt;='Gastos com Pessoal'!$E$513:$E$522)*(AY$3&lt;='Gastos com Pessoal'!$F$513:$F$522)*OFFSET('Encargos e Benefícios'!$D$511,1,MATCH($B53,'Encargos e Benefícios'!$E$511:$AB$511,0),10,1)),0)+_xlfn.IFNA(SUM((AY$3&gt;='Gastos com Pessoal'!$E$7:$E$506)*(AY$3&lt;='Gastos com Pessoal'!$F$7:$F$506)*(IF('Gastos com Pessoal'!$G$7:$G$506&lt;=AY$3,1,0))*OFFSET('Gastos com Pessoal'!$H$6,1,MATCH(1&amp;$B53,'Gastos com Pessoal'!$I$532:$AJ$532&amp;'Gastos com Pessoal'!$I$6:$AJ$6,0),500,1)),0)+_xlfn.IFNA(SUM((AY$3&gt;='Gastos com Pessoal'!$E$7:$E$506)*(AY$3&lt;='Gastos com Pessoal'!$F$7:$F$506)*(IF('Gastos com Pessoal'!$M$7:$M$506&lt;=AY$3,1,0))*OFFSET('Gastos com Pessoal'!$H$6,1,MATCH(2&amp;$B53,'Gastos com Pessoal'!$I$532:$AJ$532&amp;'Gastos com Pessoal'!$I$6:$AJ$6,0),500,1)),0)+_xlfn.IFNA(SUM((AY$3&gt;='Gastos com Pessoal'!$E$7:$E$506)*(AY$3&lt;='Gastos com Pessoal'!$F$7:$F$506)*(IF('Gastos com Pessoal'!$S$7:$S$506&lt;=AY$3,1,0))*OFFSET('Gastos com Pessoal'!$H$6,1,MATCH(3&amp;$B53,'Gastos com Pessoal'!$I$532:$AJ$532&amp;'Gastos com Pessoal'!$I$6:$AJ$6,0),500,1)),0)+_xlfn.IFNA(SUM((AY$3&gt;='Gastos com Pessoal'!$E$7:$E$506)*(AY$3&lt;='Gastos com Pessoal'!$F$7:$F$506)*(IF('Gastos com Pessoal'!$Y$7:$Y$506&lt;=AY$3,1,0))*OFFSET('Gastos com Pessoal'!$H$6,1,MATCH(4&amp;$B53,'Gastos com Pessoal'!$I$532:$AJ$532&amp;'Gastos com Pessoal'!$I$6:$AJ$6,0),500,1)),0)+_xlfn.IFNA(SUM((AY$3&gt;='Gastos com Pessoal'!$E$7:$E$506)*(AY$3&lt;='Gastos com Pessoal'!$F$7:$F$506)*(IF('Gastos com Pessoal'!$AE$7:$AE$506&lt;=AY$3,1,0))*OFFSET('Gastos com Pessoal'!$H$6,1,MATCH(5&amp;$B53,'Gastos com Pessoal'!$I$532:$AJ$532&amp;'Gastos com Pessoal'!$I$6:$AJ$6,0),500,1)),0)+_xlfn.IFNA(SUM((AY$3&gt;='Gastos com Pessoal'!$E$513:$E$522)*(AY$3&lt;='Gastos com Pessoal'!$F$513:$F$522)*(IF('Gastos com Pessoal'!$G$513:$G$522&lt;=AY$3,1,0))*OFFSET('Gastos com Pessoal'!$H$512,1,MATCH(1&amp;$B53,'Gastos com Pessoal'!$I$532:$AJ$532&amp;'Gastos com Pessoal'!$I$512:$AJ$512,0),10,1)),0)+_xlfn.IFNA(SUM((AY$3&gt;='Gastos com Pessoal'!$E$513:$E$522)*(AY$3&lt;='Gastos com Pessoal'!$F$513:$F$522)*(IF('Gastos com Pessoal'!$M$513:$M$522&lt;=AY$3,1,0))*OFFSET('Gastos com Pessoal'!$H$512,1,MATCH(2&amp;$B53,'Gastos com Pessoal'!$I$532:$AJ$532&amp;'Gastos com Pessoal'!$I$512:$AJ$512,0),10,1)),0)+_xlfn.IFNA(SUM((AY$3&gt;='Gastos com Pessoal'!$E$513:$E$522)*(AY$3&lt;='Gastos com Pessoal'!$F$513:$F$522)*(IF('Gastos com Pessoal'!$S$513:$S$522&lt;=AY$3,1,0))*OFFSET('Gastos com Pessoal'!$H$512,1,MATCH(3&amp;$B53,'Gastos com Pessoal'!$I$532:$AJ$532&amp;'Gastos com Pessoal'!$I$512:$AJ$512,0),10,1)),0)+_xlfn.IFNA(SUM((AY$3&gt;='Gastos com Pessoal'!$E$513:$E$522)*(AY$3&lt;='Gastos com Pessoal'!$F$513:$F$522)*(IF('Gastos com Pessoal'!$Y$513:$Y$522&lt;=AY$3,1,0))*OFFSET('Gastos com Pessoal'!$H$512,1,MATCH(4&amp;$B53,'Gastos com Pessoal'!$I$532:$AJ$532&amp;'Gastos com Pessoal'!$I$512:$AJ$512,0),10,1)),0)+_xlfn.IFNA(SUM((AY$3&gt;='Gastos com Pessoal'!$E$513:$E$522)*(AY$3&lt;='Gastos com Pessoal'!$F$513:$F$522)*(IF('Gastos com Pessoal'!$AE$513:$AE$522&lt;=AY$3,1,0))*OFFSET('Gastos com Pessoal'!$H$512,1,MATCH(5&amp;$B53,'Gastos com Pessoal'!$I$532:$AJ$532&amp;'Gastos com Pessoal'!$I$512:$AJ$512,0),10,1)),0)</f>
        <v>0</v>
      </c>
      <c r="AZ53" s="188">
        <f t="array" aca="1" ref="AZ53" ca="1">_xlfn.IFNA(SUM((AZ$3&gt;='Gastos com Pessoal'!$E$7:$E$506)*(AZ$3&lt;='Gastos com Pessoal'!$F$7:$F$506)*OFFSET('Encargos e Benefícios'!$D$5,1,MATCH($B53,'Encargos e Benefícios'!$E$5:$AB$5,0),500,1)),0)+_xlfn.IFNA(SUM((AZ$3&gt;='Gastos com Pessoal'!$E$513:$E$522)*(AZ$3&lt;='Gastos com Pessoal'!$F$513:$F$522)*OFFSET('Encargos e Benefícios'!$D$511,1,MATCH($B53,'Encargos e Benefícios'!$E$511:$AB$511,0),10,1)),0)+_xlfn.IFNA(SUM((AZ$3&gt;='Gastos com Pessoal'!$E$7:$E$506)*(AZ$3&lt;='Gastos com Pessoal'!$F$7:$F$506)*(IF('Gastos com Pessoal'!$G$7:$G$506&lt;=AZ$3,1,0))*OFFSET('Gastos com Pessoal'!$H$6,1,MATCH(1&amp;$B53,'Gastos com Pessoal'!$I$532:$AJ$532&amp;'Gastos com Pessoal'!$I$6:$AJ$6,0),500,1)),0)+_xlfn.IFNA(SUM((AZ$3&gt;='Gastos com Pessoal'!$E$7:$E$506)*(AZ$3&lt;='Gastos com Pessoal'!$F$7:$F$506)*(IF('Gastos com Pessoal'!$M$7:$M$506&lt;=AZ$3,1,0))*OFFSET('Gastos com Pessoal'!$H$6,1,MATCH(2&amp;$B53,'Gastos com Pessoal'!$I$532:$AJ$532&amp;'Gastos com Pessoal'!$I$6:$AJ$6,0),500,1)),0)+_xlfn.IFNA(SUM((AZ$3&gt;='Gastos com Pessoal'!$E$7:$E$506)*(AZ$3&lt;='Gastos com Pessoal'!$F$7:$F$506)*(IF('Gastos com Pessoal'!$S$7:$S$506&lt;=AZ$3,1,0))*OFFSET('Gastos com Pessoal'!$H$6,1,MATCH(3&amp;$B53,'Gastos com Pessoal'!$I$532:$AJ$532&amp;'Gastos com Pessoal'!$I$6:$AJ$6,0),500,1)),0)+_xlfn.IFNA(SUM((AZ$3&gt;='Gastos com Pessoal'!$E$7:$E$506)*(AZ$3&lt;='Gastos com Pessoal'!$F$7:$F$506)*(IF('Gastos com Pessoal'!$Y$7:$Y$506&lt;=AZ$3,1,0))*OFFSET('Gastos com Pessoal'!$H$6,1,MATCH(4&amp;$B53,'Gastos com Pessoal'!$I$532:$AJ$532&amp;'Gastos com Pessoal'!$I$6:$AJ$6,0),500,1)),0)+_xlfn.IFNA(SUM((AZ$3&gt;='Gastos com Pessoal'!$E$7:$E$506)*(AZ$3&lt;='Gastos com Pessoal'!$F$7:$F$506)*(IF('Gastos com Pessoal'!$AE$7:$AE$506&lt;=AZ$3,1,0))*OFFSET('Gastos com Pessoal'!$H$6,1,MATCH(5&amp;$B53,'Gastos com Pessoal'!$I$532:$AJ$532&amp;'Gastos com Pessoal'!$I$6:$AJ$6,0),500,1)),0)+_xlfn.IFNA(SUM((AZ$3&gt;='Gastos com Pessoal'!$E$513:$E$522)*(AZ$3&lt;='Gastos com Pessoal'!$F$513:$F$522)*(IF('Gastos com Pessoal'!$G$513:$G$522&lt;=AZ$3,1,0))*OFFSET('Gastos com Pessoal'!$H$512,1,MATCH(1&amp;$B53,'Gastos com Pessoal'!$I$532:$AJ$532&amp;'Gastos com Pessoal'!$I$512:$AJ$512,0),10,1)),0)+_xlfn.IFNA(SUM((AZ$3&gt;='Gastos com Pessoal'!$E$513:$E$522)*(AZ$3&lt;='Gastos com Pessoal'!$F$513:$F$522)*(IF('Gastos com Pessoal'!$M$513:$M$522&lt;=AZ$3,1,0))*OFFSET('Gastos com Pessoal'!$H$512,1,MATCH(2&amp;$B53,'Gastos com Pessoal'!$I$532:$AJ$532&amp;'Gastos com Pessoal'!$I$512:$AJ$512,0),10,1)),0)+_xlfn.IFNA(SUM((AZ$3&gt;='Gastos com Pessoal'!$E$513:$E$522)*(AZ$3&lt;='Gastos com Pessoal'!$F$513:$F$522)*(IF('Gastos com Pessoal'!$S$513:$S$522&lt;=AZ$3,1,0))*OFFSET('Gastos com Pessoal'!$H$512,1,MATCH(3&amp;$B53,'Gastos com Pessoal'!$I$532:$AJ$532&amp;'Gastos com Pessoal'!$I$512:$AJ$512,0),10,1)),0)+_xlfn.IFNA(SUM((AZ$3&gt;='Gastos com Pessoal'!$E$513:$E$522)*(AZ$3&lt;='Gastos com Pessoal'!$F$513:$F$522)*(IF('Gastos com Pessoal'!$Y$513:$Y$522&lt;=AZ$3,1,0))*OFFSET('Gastos com Pessoal'!$H$512,1,MATCH(4&amp;$B53,'Gastos com Pessoal'!$I$532:$AJ$532&amp;'Gastos com Pessoal'!$I$512:$AJ$512,0),10,1)),0)+_xlfn.IFNA(SUM((AZ$3&gt;='Gastos com Pessoal'!$E$513:$E$522)*(AZ$3&lt;='Gastos com Pessoal'!$F$513:$F$522)*(IF('Gastos com Pessoal'!$AE$513:$AE$522&lt;=AZ$3,1,0))*OFFSET('Gastos com Pessoal'!$H$512,1,MATCH(5&amp;$B53,'Gastos com Pessoal'!$I$532:$AJ$532&amp;'Gastos com Pessoal'!$I$512:$AJ$512,0),10,1)),0)</f>
        <v>0</v>
      </c>
      <c r="BA53" s="188">
        <f t="array" aca="1" ref="BA53" ca="1">_xlfn.IFNA(SUM((BA$3&gt;='Gastos com Pessoal'!$E$7:$E$506)*(BA$3&lt;='Gastos com Pessoal'!$F$7:$F$506)*OFFSET('Encargos e Benefícios'!$D$5,1,MATCH($B53,'Encargos e Benefícios'!$E$5:$AB$5,0),500,1)),0)+_xlfn.IFNA(SUM((BA$3&gt;='Gastos com Pessoal'!$E$513:$E$522)*(BA$3&lt;='Gastos com Pessoal'!$F$513:$F$522)*OFFSET('Encargos e Benefícios'!$D$511,1,MATCH($B53,'Encargos e Benefícios'!$E$511:$AB$511,0),10,1)),0)+_xlfn.IFNA(SUM((BA$3&gt;='Gastos com Pessoal'!$E$7:$E$506)*(BA$3&lt;='Gastos com Pessoal'!$F$7:$F$506)*(IF('Gastos com Pessoal'!$G$7:$G$506&lt;=BA$3,1,0))*OFFSET('Gastos com Pessoal'!$H$6,1,MATCH(1&amp;$B53,'Gastos com Pessoal'!$I$532:$AJ$532&amp;'Gastos com Pessoal'!$I$6:$AJ$6,0),500,1)),0)+_xlfn.IFNA(SUM((BA$3&gt;='Gastos com Pessoal'!$E$7:$E$506)*(BA$3&lt;='Gastos com Pessoal'!$F$7:$F$506)*(IF('Gastos com Pessoal'!$M$7:$M$506&lt;=BA$3,1,0))*OFFSET('Gastos com Pessoal'!$H$6,1,MATCH(2&amp;$B53,'Gastos com Pessoal'!$I$532:$AJ$532&amp;'Gastos com Pessoal'!$I$6:$AJ$6,0),500,1)),0)+_xlfn.IFNA(SUM((BA$3&gt;='Gastos com Pessoal'!$E$7:$E$506)*(BA$3&lt;='Gastos com Pessoal'!$F$7:$F$506)*(IF('Gastos com Pessoal'!$S$7:$S$506&lt;=BA$3,1,0))*OFFSET('Gastos com Pessoal'!$H$6,1,MATCH(3&amp;$B53,'Gastos com Pessoal'!$I$532:$AJ$532&amp;'Gastos com Pessoal'!$I$6:$AJ$6,0),500,1)),0)+_xlfn.IFNA(SUM((BA$3&gt;='Gastos com Pessoal'!$E$7:$E$506)*(BA$3&lt;='Gastos com Pessoal'!$F$7:$F$506)*(IF('Gastos com Pessoal'!$Y$7:$Y$506&lt;=BA$3,1,0))*OFFSET('Gastos com Pessoal'!$H$6,1,MATCH(4&amp;$B53,'Gastos com Pessoal'!$I$532:$AJ$532&amp;'Gastos com Pessoal'!$I$6:$AJ$6,0),500,1)),0)+_xlfn.IFNA(SUM((BA$3&gt;='Gastos com Pessoal'!$E$7:$E$506)*(BA$3&lt;='Gastos com Pessoal'!$F$7:$F$506)*(IF('Gastos com Pessoal'!$AE$7:$AE$506&lt;=BA$3,1,0))*OFFSET('Gastos com Pessoal'!$H$6,1,MATCH(5&amp;$B53,'Gastos com Pessoal'!$I$532:$AJ$532&amp;'Gastos com Pessoal'!$I$6:$AJ$6,0),500,1)),0)+_xlfn.IFNA(SUM((BA$3&gt;='Gastos com Pessoal'!$E$513:$E$522)*(BA$3&lt;='Gastos com Pessoal'!$F$513:$F$522)*(IF('Gastos com Pessoal'!$G$513:$G$522&lt;=BA$3,1,0))*OFFSET('Gastos com Pessoal'!$H$512,1,MATCH(1&amp;$B53,'Gastos com Pessoal'!$I$532:$AJ$532&amp;'Gastos com Pessoal'!$I$512:$AJ$512,0),10,1)),0)+_xlfn.IFNA(SUM((BA$3&gt;='Gastos com Pessoal'!$E$513:$E$522)*(BA$3&lt;='Gastos com Pessoal'!$F$513:$F$522)*(IF('Gastos com Pessoal'!$M$513:$M$522&lt;=BA$3,1,0))*OFFSET('Gastos com Pessoal'!$H$512,1,MATCH(2&amp;$B53,'Gastos com Pessoal'!$I$532:$AJ$532&amp;'Gastos com Pessoal'!$I$512:$AJ$512,0),10,1)),0)+_xlfn.IFNA(SUM((BA$3&gt;='Gastos com Pessoal'!$E$513:$E$522)*(BA$3&lt;='Gastos com Pessoal'!$F$513:$F$522)*(IF('Gastos com Pessoal'!$S$513:$S$522&lt;=BA$3,1,0))*OFFSET('Gastos com Pessoal'!$H$512,1,MATCH(3&amp;$B53,'Gastos com Pessoal'!$I$532:$AJ$532&amp;'Gastos com Pessoal'!$I$512:$AJ$512,0),10,1)),0)+_xlfn.IFNA(SUM((BA$3&gt;='Gastos com Pessoal'!$E$513:$E$522)*(BA$3&lt;='Gastos com Pessoal'!$F$513:$F$522)*(IF('Gastos com Pessoal'!$Y$513:$Y$522&lt;=BA$3,1,0))*OFFSET('Gastos com Pessoal'!$H$512,1,MATCH(4&amp;$B53,'Gastos com Pessoal'!$I$532:$AJ$532&amp;'Gastos com Pessoal'!$I$512:$AJ$512,0),10,1)),0)+_xlfn.IFNA(SUM((BA$3&gt;='Gastos com Pessoal'!$E$513:$E$522)*(BA$3&lt;='Gastos com Pessoal'!$F$513:$F$522)*(IF('Gastos com Pessoal'!$AE$513:$AE$522&lt;=BA$3,1,0))*OFFSET('Gastos com Pessoal'!$H$512,1,MATCH(5&amp;$B53,'Gastos com Pessoal'!$I$532:$AJ$532&amp;'Gastos com Pessoal'!$I$512:$AJ$512,0),10,1)),0)</f>
        <v>0</v>
      </c>
      <c r="BB53" s="188">
        <f t="array" aca="1" ref="BB53" ca="1">_xlfn.IFNA(SUM((BB$3&gt;='Gastos com Pessoal'!$E$7:$E$506)*(BB$3&lt;='Gastos com Pessoal'!$F$7:$F$506)*OFFSET('Encargos e Benefícios'!$D$5,1,MATCH($B53,'Encargos e Benefícios'!$E$5:$AB$5,0),500,1)),0)+_xlfn.IFNA(SUM((BB$3&gt;='Gastos com Pessoal'!$E$513:$E$522)*(BB$3&lt;='Gastos com Pessoal'!$F$513:$F$522)*OFFSET('Encargos e Benefícios'!$D$511,1,MATCH($B53,'Encargos e Benefícios'!$E$511:$AB$511,0),10,1)),0)+_xlfn.IFNA(SUM((BB$3&gt;='Gastos com Pessoal'!$E$7:$E$506)*(BB$3&lt;='Gastos com Pessoal'!$F$7:$F$506)*(IF('Gastos com Pessoal'!$G$7:$G$506&lt;=BB$3,1,0))*OFFSET('Gastos com Pessoal'!$H$6,1,MATCH(1&amp;$B53,'Gastos com Pessoal'!$I$532:$AJ$532&amp;'Gastos com Pessoal'!$I$6:$AJ$6,0),500,1)),0)+_xlfn.IFNA(SUM((BB$3&gt;='Gastos com Pessoal'!$E$7:$E$506)*(BB$3&lt;='Gastos com Pessoal'!$F$7:$F$506)*(IF('Gastos com Pessoal'!$M$7:$M$506&lt;=BB$3,1,0))*OFFSET('Gastos com Pessoal'!$H$6,1,MATCH(2&amp;$B53,'Gastos com Pessoal'!$I$532:$AJ$532&amp;'Gastos com Pessoal'!$I$6:$AJ$6,0),500,1)),0)+_xlfn.IFNA(SUM((BB$3&gt;='Gastos com Pessoal'!$E$7:$E$506)*(BB$3&lt;='Gastos com Pessoal'!$F$7:$F$506)*(IF('Gastos com Pessoal'!$S$7:$S$506&lt;=BB$3,1,0))*OFFSET('Gastos com Pessoal'!$H$6,1,MATCH(3&amp;$B53,'Gastos com Pessoal'!$I$532:$AJ$532&amp;'Gastos com Pessoal'!$I$6:$AJ$6,0),500,1)),0)+_xlfn.IFNA(SUM((BB$3&gt;='Gastos com Pessoal'!$E$7:$E$506)*(BB$3&lt;='Gastos com Pessoal'!$F$7:$F$506)*(IF('Gastos com Pessoal'!$Y$7:$Y$506&lt;=BB$3,1,0))*OFFSET('Gastos com Pessoal'!$H$6,1,MATCH(4&amp;$B53,'Gastos com Pessoal'!$I$532:$AJ$532&amp;'Gastos com Pessoal'!$I$6:$AJ$6,0),500,1)),0)+_xlfn.IFNA(SUM((BB$3&gt;='Gastos com Pessoal'!$E$7:$E$506)*(BB$3&lt;='Gastos com Pessoal'!$F$7:$F$506)*(IF('Gastos com Pessoal'!$AE$7:$AE$506&lt;=BB$3,1,0))*OFFSET('Gastos com Pessoal'!$H$6,1,MATCH(5&amp;$B53,'Gastos com Pessoal'!$I$532:$AJ$532&amp;'Gastos com Pessoal'!$I$6:$AJ$6,0),500,1)),0)+_xlfn.IFNA(SUM((BB$3&gt;='Gastos com Pessoal'!$E$513:$E$522)*(BB$3&lt;='Gastos com Pessoal'!$F$513:$F$522)*(IF('Gastos com Pessoal'!$G$513:$G$522&lt;=BB$3,1,0))*OFFSET('Gastos com Pessoal'!$H$512,1,MATCH(1&amp;$B53,'Gastos com Pessoal'!$I$532:$AJ$532&amp;'Gastos com Pessoal'!$I$512:$AJ$512,0),10,1)),0)+_xlfn.IFNA(SUM((BB$3&gt;='Gastos com Pessoal'!$E$513:$E$522)*(BB$3&lt;='Gastos com Pessoal'!$F$513:$F$522)*(IF('Gastos com Pessoal'!$M$513:$M$522&lt;=BB$3,1,0))*OFFSET('Gastos com Pessoal'!$H$512,1,MATCH(2&amp;$B53,'Gastos com Pessoal'!$I$532:$AJ$532&amp;'Gastos com Pessoal'!$I$512:$AJ$512,0),10,1)),0)+_xlfn.IFNA(SUM((BB$3&gt;='Gastos com Pessoal'!$E$513:$E$522)*(BB$3&lt;='Gastos com Pessoal'!$F$513:$F$522)*(IF('Gastos com Pessoal'!$S$513:$S$522&lt;=BB$3,1,0))*OFFSET('Gastos com Pessoal'!$H$512,1,MATCH(3&amp;$B53,'Gastos com Pessoal'!$I$532:$AJ$532&amp;'Gastos com Pessoal'!$I$512:$AJ$512,0),10,1)),0)+_xlfn.IFNA(SUM((BB$3&gt;='Gastos com Pessoal'!$E$513:$E$522)*(BB$3&lt;='Gastos com Pessoal'!$F$513:$F$522)*(IF('Gastos com Pessoal'!$Y$513:$Y$522&lt;=BB$3,1,0))*OFFSET('Gastos com Pessoal'!$H$512,1,MATCH(4&amp;$B53,'Gastos com Pessoal'!$I$532:$AJ$532&amp;'Gastos com Pessoal'!$I$512:$AJ$512,0),10,1)),0)+_xlfn.IFNA(SUM((BB$3&gt;='Gastos com Pessoal'!$E$513:$E$522)*(BB$3&lt;='Gastos com Pessoal'!$F$513:$F$522)*(IF('Gastos com Pessoal'!$AE$513:$AE$522&lt;=BB$3,1,0))*OFFSET('Gastos com Pessoal'!$H$512,1,MATCH(5&amp;$B53,'Gastos com Pessoal'!$I$532:$AJ$532&amp;'Gastos com Pessoal'!$I$512:$AJ$512,0),10,1)),0)</f>
        <v>0</v>
      </c>
      <c r="BC53" s="188">
        <f t="array" aca="1" ref="BC53" ca="1">_xlfn.IFNA(SUM((BC$3&gt;='Gastos com Pessoal'!$E$7:$E$506)*(BC$3&lt;='Gastos com Pessoal'!$F$7:$F$506)*OFFSET('Encargos e Benefícios'!$D$5,1,MATCH($B53,'Encargos e Benefícios'!$E$5:$AB$5,0),500,1)),0)+_xlfn.IFNA(SUM((BC$3&gt;='Gastos com Pessoal'!$E$513:$E$522)*(BC$3&lt;='Gastos com Pessoal'!$F$513:$F$522)*OFFSET('Encargos e Benefícios'!$D$511,1,MATCH($B53,'Encargos e Benefícios'!$E$511:$AB$511,0),10,1)),0)+_xlfn.IFNA(SUM((BC$3&gt;='Gastos com Pessoal'!$E$7:$E$506)*(BC$3&lt;='Gastos com Pessoal'!$F$7:$F$506)*(IF('Gastos com Pessoal'!$G$7:$G$506&lt;=BC$3,1,0))*OFFSET('Gastos com Pessoal'!$H$6,1,MATCH(1&amp;$B53,'Gastos com Pessoal'!$I$532:$AJ$532&amp;'Gastos com Pessoal'!$I$6:$AJ$6,0),500,1)),0)+_xlfn.IFNA(SUM((BC$3&gt;='Gastos com Pessoal'!$E$7:$E$506)*(BC$3&lt;='Gastos com Pessoal'!$F$7:$F$506)*(IF('Gastos com Pessoal'!$M$7:$M$506&lt;=BC$3,1,0))*OFFSET('Gastos com Pessoal'!$H$6,1,MATCH(2&amp;$B53,'Gastos com Pessoal'!$I$532:$AJ$532&amp;'Gastos com Pessoal'!$I$6:$AJ$6,0),500,1)),0)+_xlfn.IFNA(SUM((BC$3&gt;='Gastos com Pessoal'!$E$7:$E$506)*(BC$3&lt;='Gastos com Pessoal'!$F$7:$F$506)*(IF('Gastos com Pessoal'!$S$7:$S$506&lt;=BC$3,1,0))*OFFSET('Gastos com Pessoal'!$H$6,1,MATCH(3&amp;$B53,'Gastos com Pessoal'!$I$532:$AJ$532&amp;'Gastos com Pessoal'!$I$6:$AJ$6,0),500,1)),0)+_xlfn.IFNA(SUM((BC$3&gt;='Gastos com Pessoal'!$E$7:$E$506)*(BC$3&lt;='Gastos com Pessoal'!$F$7:$F$506)*(IF('Gastos com Pessoal'!$Y$7:$Y$506&lt;=BC$3,1,0))*OFFSET('Gastos com Pessoal'!$H$6,1,MATCH(4&amp;$B53,'Gastos com Pessoal'!$I$532:$AJ$532&amp;'Gastos com Pessoal'!$I$6:$AJ$6,0),500,1)),0)+_xlfn.IFNA(SUM((BC$3&gt;='Gastos com Pessoal'!$E$7:$E$506)*(BC$3&lt;='Gastos com Pessoal'!$F$7:$F$506)*(IF('Gastos com Pessoal'!$AE$7:$AE$506&lt;=BC$3,1,0))*OFFSET('Gastos com Pessoal'!$H$6,1,MATCH(5&amp;$B53,'Gastos com Pessoal'!$I$532:$AJ$532&amp;'Gastos com Pessoal'!$I$6:$AJ$6,0),500,1)),0)+_xlfn.IFNA(SUM((BC$3&gt;='Gastos com Pessoal'!$E$513:$E$522)*(BC$3&lt;='Gastos com Pessoal'!$F$513:$F$522)*(IF('Gastos com Pessoal'!$G$513:$G$522&lt;=BC$3,1,0))*OFFSET('Gastos com Pessoal'!$H$512,1,MATCH(1&amp;$B53,'Gastos com Pessoal'!$I$532:$AJ$532&amp;'Gastos com Pessoal'!$I$512:$AJ$512,0),10,1)),0)+_xlfn.IFNA(SUM((BC$3&gt;='Gastos com Pessoal'!$E$513:$E$522)*(BC$3&lt;='Gastos com Pessoal'!$F$513:$F$522)*(IF('Gastos com Pessoal'!$M$513:$M$522&lt;=BC$3,1,0))*OFFSET('Gastos com Pessoal'!$H$512,1,MATCH(2&amp;$B53,'Gastos com Pessoal'!$I$532:$AJ$532&amp;'Gastos com Pessoal'!$I$512:$AJ$512,0),10,1)),0)+_xlfn.IFNA(SUM((BC$3&gt;='Gastos com Pessoal'!$E$513:$E$522)*(BC$3&lt;='Gastos com Pessoal'!$F$513:$F$522)*(IF('Gastos com Pessoal'!$S$513:$S$522&lt;=BC$3,1,0))*OFFSET('Gastos com Pessoal'!$H$512,1,MATCH(3&amp;$B53,'Gastos com Pessoal'!$I$532:$AJ$532&amp;'Gastos com Pessoal'!$I$512:$AJ$512,0),10,1)),0)+_xlfn.IFNA(SUM((BC$3&gt;='Gastos com Pessoal'!$E$513:$E$522)*(BC$3&lt;='Gastos com Pessoal'!$F$513:$F$522)*(IF('Gastos com Pessoal'!$Y$513:$Y$522&lt;=BC$3,1,0))*OFFSET('Gastos com Pessoal'!$H$512,1,MATCH(4&amp;$B53,'Gastos com Pessoal'!$I$532:$AJ$532&amp;'Gastos com Pessoal'!$I$512:$AJ$512,0),10,1)),0)+_xlfn.IFNA(SUM((BC$3&gt;='Gastos com Pessoal'!$E$513:$E$522)*(BC$3&lt;='Gastos com Pessoal'!$F$513:$F$522)*(IF('Gastos com Pessoal'!$AE$513:$AE$522&lt;=BC$3,1,0))*OFFSET('Gastos com Pessoal'!$H$512,1,MATCH(5&amp;$B53,'Gastos com Pessoal'!$I$532:$AJ$532&amp;'Gastos com Pessoal'!$I$512:$AJ$512,0),10,1)),0)</f>
        <v>0</v>
      </c>
      <c r="BD53" s="188">
        <f t="array" aca="1" ref="BD53" ca="1">_xlfn.IFNA(SUM((BD$3&gt;='Gastos com Pessoal'!$E$7:$E$506)*(BD$3&lt;='Gastos com Pessoal'!$F$7:$F$506)*OFFSET('Encargos e Benefícios'!$D$5,1,MATCH($B53,'Encargos e Benefícios'!$E$5:$AB$5,0),500,1)),0)+_xlfn.IFNA(SUM((BD$3&gt;='Gastos com Pessoal'!$E$513:$E$522)*(BD$3&lt;='Gastos com Pessoal'!$F$513:$F$522)*OFFSET('Encargos e Benefícios'!$D$511,1,MATCH($B53,'Encargos e Benefícios'!$E$511:$AB$511,0),10,1)),0)+_xlfn.IFNA(SUM((BD$3&gt;='Gastos com Pessoal'!$E$7:$E$506)*(BD$3&lt;='Gastos com Pessoal'!$F$7:$F$506)*(IF('Gastos com Pessoal'!$G$7:$G$506&lt;=BD$3,1,0))*OFFSET('Gastos com Pessoal'!$H$6,1,MATCH(1&amp;$B53,'Gastos com Pessoal'!$I$532:$AJ$532&amp;'Gastos com Pessoal'!$I$6:$AJ$6,0),500,1)),0)+_xlfn.IFNA(SUM((BD$3&gt;='Gastos com Pessoal'!$E$7:$E$506)*(BD$3&lt;='Gastos com Pessoal'!$F$7:$F$506)*(IF('Gastos com Pessoal'!$M$7:$M$506&lt;=BD$3,1,0))*OFFSET('Gastos com Pessoal'!$H$6,1,MATCH(2&amp;$B53,'Gastos com Pessoal'!$I$532:$AJ$532&amp;'Gastos com Pessoal'!$I$6:$AJ$6,0),500,1)),0)+_xlfn.IFNA(SUM((BD$3&gt;='Gastos com Pessoal'!$E$7:$E$506)*(BD$3&lt;='Gastos com Pessoal'!$F$7:$F$506)*(IF('Gastos com Pessoal'!$S$7:$S$506&lt;=BD$3,1,0))*OFFSET('Gastos com Pessoal'!$H$6,1,MATCH(3&amp;$B53,'Gastos com Pessoal'!$I$532:$AJ$532&amp;'Gastos com Pessoal'!$I$6:$AJ$6,0),500,1)),0)+_xlfn.IFNA(SUM((BD$3&gt;='Gastos com Pessoal'!$E$7:$E$506)*(BD$3&lt;='Gastos com Pessoal'!$F$7:$F$506)*(IF('Gastos com Pessoal'!$Y$7:$Y$506&lt;=BD$3,1,0))*OFFSET('Gastos com Pessoal'!$H$6,1,MATCH(4&amp;$B53,'Gastos com Pessoal'!$I$532:$AJ$532&amp;'Gastos com Pessoal'!$I$6:$AJ$6,0),500,1)),0)+_xlfn.IFNA(SUM((BD$3&gt;='Gastos com Pessoal'!$E$7:$E$506)*(BD$3&lt;='Gastos com Pessoal'!$F$7:$F$506)*(IF('Gastos com Pessoal'!$AE$7:$AE$506&lt;=BD$3,1,0))*OFFSET('Gastos com Pessoal'!$H$6,1,MATCH(5&amp;$B53,'Gastos com Pessoal'!$I$532:$AJ$532&amp;'Gastos com Pessoal'!$I$6:$AJ$6,0),500,1)),0)+_xlfn.IFNA(SUM((BD$3&gt;='Gastos com Pessoal'!$E$513:$E$522)*(BD$3&lt;='Gastos com Pessoal'!$F$513:$F$522)*(IF('Gastos com Pessoal'!$G$513:$G$522&lt;=BD$3,1,0))*OFFSET('Gastos com Pessoal'!$H$512,1,MATCH(1&amp;$B53,'Gastos com Pessoal'!$I$532:$AJ$532&amp;'Gastos com Pessoal'!$I$512:$AJ$512,0),10,1)),0)+_xlfn.IFNA(SUM((BD$3&gt;='Gastos com Pessoal'!$E$513:$E$522)*(BD$3&lt;='Gastos com Pessoal'!$F$513:$F$522)*(IF('Gastos com Pessoal'!$M$513:$M$522&lt;=BD$3,1,0))*OFFSET('Gastos com Pessoal'!$H$512,1,MATCH(2&amp;$B53,'Gastos com Pessoal'!$I$532:$AJ$532&amp;'Gastos com Pessoal'!$I$512:$AJ$512,0),10,1)),0)+_xlfn.IFNA(SUM((BD$3&gt;='Gastos com Pessoal'!$E$513:$E$522)*(BD$3&lt;='Gastos com Pessoal'!$F$513:$F$522)*(IF('Gastos com Pessoal'!$S$513:$S$522&lt;=BD$3,1,0))*OFFSET('Gastos com Pessoal'!$H$512,1,MATCH(3&amp;$B53,'Gastos com Pessoal'!$I$532:$AJ$532&amp;'Gastos com Pessoal'!$I$512:$AJ$512,0),10,1)),0)+_xlfn.IFNA(SUM((BD$3&gt;='Gastos com Pessoal'!$E$513:$E$522)*(BD$3&lt;='Gastos com Pessoal'!$F$513:$F$522)*(IF('Gastos com Pessoal'!$Y$513:$Y$522&lt;=BD$3,1,0))*OFFSET('Gastos com Pessoal'!$H$512,1,MATCH(4&amp;$B53,'Gastos com Pessoal'!$I$532:$AJ$532&amp;'Gastos com Pessoal'!$I$512:$AJ$512,0),10,1)),0)+_xlfn.IFNA(SUM((BD$3&gt;='Gastos com Pessoal'!$E$513:$E$522)*(BD$3&lt;='Gastos com Pessoal'!$F$513:$F$522)*(IF('Gastos com Pessoal'!$AE$513:$AE$522&lt;=BD$3,1,0))*OFFSET('Gastos com Pessoal'!$H$512,1,MATCH(5&amp;$B53,'Gastos com Pessoal'!$I$532:$AJ$532&amp;'Gastos com Pessoal'!$I$512:$AJ$512,0),10,1)),0)</f>
        <v>0</v>
      </c>
      <c r="BE53" s="188">
        <f t="array" aca="1" ref="BE53" ca="1">_xlfn.IFNA(SUM((BE$3&gt;='Gastos com Pessoal'!$E$7:$E$506)*(BE$3&lt;='Gastos com Pessoal'!$F$7:$F$506)*OFFSET('Encargos e Benefícios'!$D$5,1,MATCH($B53,'Encargos e Benefícios'!$E$5:$AB$5,0),500,1)),0)+_xlfn.IFNA(SUM((BE$3&gt;='Gastos com Pessoal'!$E$513:$E$522)*(BE$3&lt;='Gastos com Pessoal'!$F$513:$F$522)*OFFSET('Encargos e Benefícios'!$D$511,1,MATCH($B53,'Encargos e Benefícios'!$E$511:$AB$511,0),10,1)),0)+_xlfn.IFNA(SUM((BE$3&gt;='Gastos com Pessoal'!$E$7:$E$506)*(BE$3&lt;='Gastos com Pessoal'!$F$7:$F$506)*(IF('Gastos com Pessoal'!$G$7:$G$506&lt;=BE$3,1,0))*OFFSET('Gastos com Pessoal'!$H$6,1,MATCH(1&amp;$B53,'Gastos com Pessoal'!$I$532:$AJ$532&amp;'Gastos com Pessoal'!$I$6:$AJ$6,0),500,1)),0)+_xlfn.IFNA(SUM((BE$3&gt;='Gastos com Pessoal'!$E$7:$E$506)*(BE$3&lt;='Gastos com Pessoal'!$F$7:$F$506)*(IF('Gastos com Pessoal'!$M$7:$M$506&lt;=BE$3,1,0))*OFFSET('Gastos com Pessoal'!$H$6,1,MATCH(2&amp;$B53,'Gastos com Pessoal'!$I$532:$AJ$532&amp;'Gastos com Pessoal'!$I$6:$AJ$6,0),500,1)),0)+_xlfn.IFNA(SUM((BE$3&gt;='Gastos com Pessoal'!$E$7:$E$506)*(BE$3&lt;='Gastos com Pessoal'!$F$7:$F$506)*(IF('Gastos com Pessoal'!$S$7:$S$506&lt;=BE$3,1,0))*OFFSET('Gastos com Pessoal'!$H$6,1,MATCH(3&amp;$B53,'Gastos com Pessoal'!$I$532:$AJ$532&amp;'Gastos com Pessoal'!$I$6:$AJ$6,0),500,1)),0)+_xlfn.IFNA(SUM((BE$3&gt;='Gastos com Pessoal'!$E$7:$E$506)*(BE$3&lt;='Gastos com Pessoal'!$F$7:$F$506)*(IF('Gastos com Pessoal'!$Y$7:$Y$506&lt;=BE$3,1,0))*OFFSET('Gastos com Pessoal'!$H$6,1,MATCH(4&amp;$B53,'Gastos com Pessoal'!$I$532:$AJ$532&amp;'Gastos com Pessoal'!$I$6:$AJ$6,0),500,1)),0)+_xlfn.IFNA(SUM((BE$3&gt;='Gastos com Pessoal'!$E$7:$E$506)*(BE$3&lt;='Gastos com Pessoal'!$F$7:$F$506)*(IF('Gastos com Pessoal'!$AE$7:$AE$506&lt;=BE$3,1,0))*OFFSET('Gastos com Pessoal'!$H$6,1,MATCH(5&amp;$B53,'Gastos com Pessoal'!$I$532:$AJ$532&amp;'Gastos com Pessoal'!$I$6:$AJ$6,0),500,1)),0)+_xlfn.IFNA(SUM((BE$3&gt;='Gastos com Pessoal'!$E$513:$E$522)*(BE$3&lt;='Gastos com Pessoal'!$F$513:$F$522)*(IF('Gastos com Pessoal'!$G$513:$G$522&lt;=BE$3,1,0))*OFFSET('Gastos com Pessoal'!$H$512,1,MATCH(1&amp;$B53,'Gastos com Pessoal'!$I$532:$AJ$532&amp;'Gastos com Pessoal'!$I$512:$AJ$512,0),10,1)),0)+_xlfn.IFNA(SUM((BE$3&gt;='Gastos com Pessoal'!$E$513:$E$522)*(BE$3&lt;='Gastos com Pessoal'!$F$513:$F$522)*(IF('Gastos com Pessoal'!$M$513:$M$522&lt;=BE$3,1,0))*OFFSET('Gastos com Pessoal'!$H$512,1,MATCH(2&amp;$B53,'Gastos com Pessoal'!$I$532:$AJ$532&amp;'Gastos com Pessoal'!$I$512:$AJ$512,0),10,1)),0)+_xlfn.IFNA(SUM((BE$3&gt;='Gastos com Pessoal'!$E$513:$E$522)*(BE$3&lt;='Gastos com Pessoal'!$F$513:$F$522)*(IF('Gastos com Pessoal'!$S$513:$S$522&lt;=BE$3,1,0))*OFFSET('Gastos com Pessoal'!$H$512,1,MATCH(3&amp;$B53,'Gastos com Pessoal'!$I$532:$AJ$532&amp;'Gastos com Pessoal'!$I$512:$AJ$512,0),10,1)),0)+_xlfn.IFNA(SUM((BE$3&gt;='Gastos com Pessoal'!$E$513:$E$522)*(BE$3&lt;='Gastos com Pessoal'!$F$513:$F$522)*(IF('Gastos com Pessoal'!$Y$513:$Y$522&lt;=BE$3,1,0))*OFFSET('Gastos com Pessoal'!$H$512,1,MATCH(4&amp;$B53,'Gastos com Pessoal'!$I$532:$AJ$532&amp;'Gastos com Pessoal'!$I$512:$AJ$512,0),10,1)),0)+_xlfn.IFNA(SUM((BE$3&gt;='Gastos com Pessoal'!$E$513:$E$522)*(BE$3&lt;='Gastos com Pessoal'!$F$513:$F$522)*(IF('Gastos com Pessoal'!$AE$513:$AE$522&lt;=BE$3,1,0))*OFFSET('Gastos com Pessoal'!$H$512,1,MATCH(5&amp;$B53,'Gastos com Pessoal'!$I$532:$AJ$532&amp;'Gastos com Pessoal'!$I$512:$AJ$512,0),10,1)),0)</f>
        <v>0</v>
      </c>
      <c r="BF53" s="188">
        <f t="array" aca="1" ref="BF53" ca="1">_xlfn.IFNA(SUM((BF$3&gt;='Gastos com Pessoal'!$E$7:$E$506)*(BF$3&lt;='Gastos com Pessoal'!$F$7:$F$506)*OFFSET('Encargos e Benefícios'!$D$5,1,MATCH($B53,'Encargos e Benefícios'!$E$5:$AB$5,0),500,1)),0)+_xlfn.IFNA(SUM((BF$3&gt;='Gastos com Pessoal'!$E$513:$E$522)*(BF$3&lt;='Gastos com Pessoal'!$F$513:$F$522)*OFFSET('Encargos e Benefícios'!$D$511,1,MATCH($B53,'Encargos e Benefícios'!$E$511:$AB$511,0),10,1)),0)+_xlfn.IFNA(SUM((BF$3&gt;='Gastos com Pessoal'!$E$7:$E$506)*(BF$3&lt;='Gastos com Pessoal'!$F$7:$F$506)*(IF('Gastos com Pessoal'!$G$7:$G$506&lt;=BF$3,1,0))*OFFSET('Gastos com Pessoal'!$H$6,1,MATCH(1&amp;$B53,'Gastos com Pessoal'!$I$532:$AJ$532&amp;'Gastos com Pessoal'!$I$6:$AJ$6,0),500,1)),0)+_xlfn.IFNA(SUM((BF$3&gt;='Gastos com Pessoal'!$E$7:$E$506)*(BF$3&lt;='Gastos com Pessoal'!$F$7:$F$506)*(IF('Gastos com Pessoal'!$M$7:$M$506&lt;=BF$3,1,0))*OFFSET('Gastos com Pessoal'!$H$6,1,MATCH(2&amp;$B53,'Gastos com Pessoal'!$I$532:$AJ$532&amp;'Gastos com Pessoal'!$I$6:$AJ$6,0),500,1)),0)+_xlfn.IFNA(SUM((BF$3&gt;='Gastos com Pessoal'!$E$7:$E$506)*(BF$3&lt;='Gastos com Pessoal'!$F$7:$F$506)*(IF('Gastos com Pessoal'!$S$7:$S$506&lt;=BF$3,1,0))*OFFSET('Gastos com Pessoal'!$H$6,1,MATCH(3&amp;$B53,'Gastos com Pessoal'!$I$532:$AJ$532&amp;'Gastos com Pessoal'!$I$6:$AJ$6,0),500,1)),0)+_xlfn.IFNA(SUM((BF$3&gt;='Gastos com Pessoal'!$E$7:$E$506)*(BF$3&lt;='Gastos com Pessoal'!$F$7:$F$506)*(IF('Gastos com Pessoal'!$Y$7:$Y$506&lt;=BF$3,1,0))*OFFSET('Gastos com Pessoal'!$H$6,1,MATCH(4&amp;$B53,'Gastos com Pessoal'!$I$532:$AJ$532&amp;'Gastos com Pessoal'!$I$6:$AJ$6,0),500,1)),0)+_xlfn.IFNA(SUM((BF$3&gt;='Gastos com Pessoal'!$E$7:$E$506)*(BF$3&lt;='Gastos com Pessoal'!$F$7:$F$506)*(IF('Gastos com Pessoal'!$AE$7:$AE$506&lt;=BF$3,1,0))*OFFSET('Gastos com Pessoal'!$H$6,1,MATCH(5&amp;$B53,'Gastos com Pessoal'!$I$532:$AJ$532&amp;'Gastos com Pessoal'!$I$6:$AJ$6,0),500,1)),0)+_xlfn.IFNA(SUM((BF$3&gt;='Gastos com Pessoal'!$E$513:$E$522)*(BF$3&lt;='Gastos com Pessoal'!$F$513:$F$522)*(IF('Gastos com Pessoal'!$G$513:$G$522&lt;=BF$3,1,0))*OFFSET('Gastos com Pessoal'!$H$512,1,MATCH(1&amp;$B53,'Gastos com Pessoal'!$I$532:$AJ$532&amp;'Gastos com Pessoal'!$I$512:$AJ$512,0),10,1)),0)+_xlfn.IFNA(SUM((BF$3&gt;='Gastos com Pessoal'!$E$513:$E$522)*(BF$3&lt;='Gastos com Pessoal'!$F$513:$F$522)*(IF('Gastos com Pessoal'!$M$513:$M$522&lt;=BF$3,1,0))*OFFSET('Gastos com Pessoal'!$H$512,1,MATCH(2&amp;$B53,'Gastos com Pessoal'!$I$532:$AJ$532&amp;'Gastos com Pessoal'!$I$512:$AJ$512,0),10,1)),0)+_xlfn.IFNA(SUM((BF$3&gt;='Gastos com Pessoal'!$E$513:$E$522)*(BF$3&lt;='Gastos com Pessoal'!$F$513:$F$522)*(IF('Gastos com Pessoal'!$S$513:$S$522&lt;=BF$3,1,0))*OFFSET('Gastos com Pessoal'!$H$512,1,MATCH(3&amp;$B53,'Gastos com Pessoal'!$I$532:$AJ$532&amp;'Gastos com Pessoal'!$I$512:$AJ$512,0),10,1)),0)+_xlfn.IFNA(SUM((BF$3&gt;='Gastos com Pessoal'!$E$513:$E$522)*(BF$3&lt;='Gastos com Pessoal'!$F$513:$F$522)*(IF('Gastos com Pessoal'!$Y$513:$Y$522&lt;=BF$3,1,0))*OFFSET('Gastos com Pessoal'!$H$512,1,MATCH(4&amp;$B53,'Gastos com Pessoal'!$I$532:$AJ$532&amp;'Gastos com Pessoal'!$I$512:$AJ$512,0),10,1)),0)+_xlfn.IFNA(SUM((BF$3&gt;='Gastos com Pessoal'!$E$513:$E$522)*(BF$3&lt;='Gastos com Pessoal'!$F$513:$F$522)*(IF('Gastos com Pessoal'!$AE$513:$AE$522&lt;=BF$3,1,0))*OFFSET('Gastos com Pessoal'!$H$512,1,MATCH(5&amp;$B53,'Gastos com Pessoal'!$I$532:$AJ$532&amp;'Gastos com Pessoal'!$I$512:$AJ$512,0),10,1)),0)</f>
        <v>0</v>
      </c>
      <c r="BG53" s="188">
        <f t="array" aca="1" ref="BG53" ca="1">_xlfn.IFNA(SUM((BG$3&gt;='Gastos com Pessoal'!$E$7:$E$506)*(BG$3&lt;='Gastos com Pessoal'!$F$7:$F$506)*OFFSET('Encargos e Benefícios'!$D$5,1,MATCH($B53,'Encargos e Benefícios'!$E$5:$AB$5,0),500,1)),0)+_xlfn.IFNA(SUM((BG$3&gt;='Gastos com Pessoal'!$E$513:$E$522)*(BG$3&lt;='Gastos com Pessoal'!$F$513:$F$522)*OFFSET('Encargos e Benefícios'!$D$511,1,MATCH($B53,'Encargos e Benefícios'!$E$511:$AB$511,0),10,1)),0)+_xlfn.IFNA(SUM((BG$3&gt;='Gastos com Pessoal'!$E$7:$E$506)*(BG$3&lt;='Gastos com Pessoal'!$F$7:$F$506)*(IF('Gastos com Pessoal'!$G$7:$G$506&lt;=BG$3,1,0))*OFFSET('Gastos com Pessoal'!$H$6,1,MATCH(1&amp;$B53,'Gastos com Pessoal'!$I$532:$AJ$532&amp;'Gastos com Pessoal'!$I$6:$AJ$6,0),500,1)),0)+_xlfn.IFNA(SUM((BG$3&gt;='Gastos com Pessoal'!$E$7:$E$506)*(BG$3&lt;='Gastos com Pessoal'!$F$7:$F$506)*(IF('Gastos com Pessoal'!$M$7:$M$506&lt;=BG$3,1,0))*OFFSET('Gastos com Pessoal'!$H$6,1,MATCH(2&amp;$B53,'Gastos com Pessoal'!$I$532:$AJ$532&amp;'Gastos com Pessoal'!$I$6:$AJ$6,0),500,1)),0)+_xlfn.IFNA(SUM((BG$3&gt;='Gastos com Pessoal'!$E$7:$E$506)*(BG$3&lt;='Gastos com Pessoal'!$F$7:$F$506)*(IF('Gastos com Pessoal'!$S$7:$S$506&lt;=BG$3,1,0))*OFFSET('Gastos com Pessoal'!$H$6,1,MATCH(3&amp;$B53,'Gastos com Pessoal'!$I$532:$AJ$532&amp;'Gastos com Pessoal'!$I$6:$AJ$6,0),500,1)),0)+_xlfn.IFNA(SUM((BG$3&gt;='Gastos com Pessoal'!$E$7:$E$506)*(BG$3&lt;='Gastos com Pessoal'!$F$7:$F$506)*(IF('Gastos com Pessoal'!$Y$7:$Y$506&lt;=BG$3,1,0))*OFFSET('Gastos com Pessoal'!$H$6,1,MATCH(4&amp;$B53,'Gastos com Pessoal'!$I$532:$AJ$532&amp;'Gastos com Pessoal'!$I$6:$AJ$6,0),500,1)),0)+_xlfn.IFNA(SUM((BG$3&gt;='Gastos com Pessoal'!$E$7:$E$506)*(BG$3&lt;='Gastos com Pessoal'!$F$7:$F$506)*(IF('Gastos com Pessoal'!$AE$7:$AE$506&lt;=BG$3,1,0))*OFFSET('Gastos com Pessoal'!$H$6,1,MATCH(5&amp;$B53,'Gastos com Pessoal'!$I$532:$AJ$532&amp;'Gastos com Pessoal'!$I$6:$AJ$6,0),500,1)),0)+_xlfn.IFNA(SUM((BG$3&gt;='Gastos com Pessoal'!$E$513:$E$522)*(BG$3&lt;='Gastos com Pessoal'!$F$513:$F$522)*(IF('Gastos com Pessoal'!$G$513:$G$522&lt;=BG$3,1,0))*OFFSET('Gastos com Pessoal'!$H$512,1,MATCH(1&amp;$B53,'Gastos com Pessoal'!$I$532:$AJ$532&amp;'Gastos com Pessoal'!$I$512:$AJ$512,0),10,1)),0)+_xlfn.IFNA(SUM((BG$3&gt;='Gastos com Pessoal'!$E$513:$E$522)*(BG$3&lt;='Gastos com Pessoal'!$F$513:$F$522)*(IF('Gastos com Pessoal'!$M$513:$M$522&lt;=BG$3,1,0))*OFFSET('Gastos com Pessoal'!$H$512,1,MATCH(2&amp;$B53,'Gastos com Pessoal'!$I$532:$AJ$532&amp;'Gastos com Pessoal'!$I$512:$AJ$512,0),10,1)),0)+_xlfn.IFNA(SUM((BG$3&gt;='Gastos com Pessoal'!$E$513:$E$522)*(BG$3&lt;='Gastos com Pessoal'!$F$513:$F$522)*(IF('Gastos com Pessoal'!$S$513:$S$522&lt;=BG$3,1,0))*OFFSET('Gastos com Pessoal'!$H$512,1,MATCH(3&amp;$B53,'Gastos com Pessoal'!$I$532:$AJ$532&amp;'Gastos com Pessoal'!$I$512:$AJ$512,0),10,1)),0)+_xlfn.IFNA(SUM((BG$3&gt;='Gastos com Pessoal'!$E$513:$E$522)*(BG$3&lt;='Gastos com Pessoal'!$F$513:$F$522)*(IF('Gastos com Pessoal'!$Y$513:$Y$522&lt;=BG$3,1,0))*OFFSET('Gastos com Pessoal'!$H$512,1,MATCH(4&amp;$B53,'Gastos com Pessoal'!$I$532:$AJ$532&amp;'Gastos com Pessoal'!$I$512:$AJ$512,0),10,1)),0)+_xlfn.IFNA(SUM((BG$3&gt;='Gastos com Pessoal'!$E$513:$E$522)*(BG$3&lt;='Gastos com Pessoal'!$F$513:$F$522)*(IF('Gastos com Pessoal'!$AE$513:$AE$522&lt;=BG$3,1,0))*OFFSET('Gastos com Pessoal'!$H$512,1,MATCH(5&amp;$B53,'Gastos com Pessoal'!$I$532:$AJ$532&amp;'Gastos com Pessoal'!$I$512:$AJ$512,0),10,1)),0)</f>
        <v>0</v>
      </c>
      <c r="BH53" s="188">
        <f t="array" aca="1" ref="BH53" ca="1">_xlfn.IFNA(SUM((BH$3&gt;='Gastos com Pessoal'!$E$7:$E$506)*(BH$3&lt;='Gastos com Pessoal'!$F$7:$F$506)*OFFSET('Encargos e Benefícios'!$D$5,1,MATCH($B53,'Encargos e Benefícios'!$E$5:$AB$5,0),500,1)),0)+_xlfn.IFNA(SUM((BH$3&gt;='Gastos com Pessoal'!$E$513:$E$522)*(BH$3&lt;='Gastos com Pessoal'!$F$513:$F$522)*OFFSET('Encargos e Benefícios'!$D$511,1,MATCH($B53,'Encargos e Benefícios'!$E$511:$AB$511,0),10,1)),0)+_xlfn.IFNA(SUM((BH$3&gt;='Gastos com Pessoal'!$E$7:$E$506)*(BH$3&lt;='Gastos com Pessoal'!$F$7:$F$506)*(IF('Gastos com Pessoal'!$G$7:$G$506&lt;=BH$3,1,0))*OFFSET('Gastos com Pessoal'!$H$6,1,MATCH(1&amp;$B53,'Gastos com Pessoal'!$I$532:$AJ$532&amp;'Gastos com Pessoal'!$I$6:$AJ$6,0),500,1)),0)+_xlfn.IFNA(SUM((BH$3&gt;='Gastos com Pessoal'!$E$7:$E$506)*(BH$3&lt;='Gastos com Pessoal'!$F$7:$F$506)*(IF('Gastos com Pessoal'!$M$7:$M$506&lt;=BH$3,1,0))*OFFSET('Gastos com Pessoal'!$H$6,1,MATCH(2&amp;$B53,'Gastos com Pessoal'!$I$532:$AJ$532&amp;'Gastos com Pessoal'!$I$6:$AJ$6,0),500,1)),0)+_xlfn.IFNA(SUM((BH$3&gt;='Gastos com Pessoal'!$E$7:$E$506)*(BH$3&lt;='Gastos com Pessoal'!$F$7:$F$506)*(IF('Gastos com Pessoal'!$S$7:$S$506&lt;=BH$3,1,0))*OFFSET('Gastos com Pessoal'!$H$6,1,MATCH(3&amp;$B53,'Gastos com Pessoal'!$I$532:$AJ$532&amp;'Gastos com Pessoal'!$I$6:$AJ$6,0),500,1)),0)+_xlfn.IFNA(SUM((BH$3&gt;='Gastos com Pessoal'!$E$7:$E$506)*(BH$3&lt;='Gastos com Pessoal'!$F$7:$F$506)*(IF('Gastos com Pessoal'!$Y$7:$Y$506&lt;=BH$3,1,0))*OFFSET('Gastos com Pessoal'!$H$6,1,MATCH(4&amp;$B53,'Gastos com Pessoal'!$I$532:$AJ$532&amp;'Gastos com Pessoal'!$I$6:$AJ$6,0),500,1)),0)+_xlfn.IFNA(SUM((BH$3&gt;='Gastos com Pessoal'!$E$7:$E$506)*(BH$3&lt;='Gastos com Pessoal'!$F$7:$F$506)*(IF('Gastos com Pessoal'!$AE$7:$AE$506&lt;=BH$3,1,0))*OFFSET('Gastos com Pessoal'!$H$6,1,MATCH(5&amp;$B53,'Gastos com Pessoal'!$I$532:$AJ$532&amp;'Gastos com Pessoal'!$I$6:$AJ$6,0),500,1)),0)+_xlfn.IFNA(SUM((BH$3&gt;='Gastos com Pessoal'!$E$513:$E$522)*(BH$3&lt;='Gastos com Pessoal'!$F$513:$F$522)*(IF('Gastos com Pessoal'!$G$513:$G$522&lt;=BH$3,1,0))*OFFSET('Gastos com Pessoal'!$H$512,1,MATCH(1&amp;$B53,'Gastos com Pessoal'!$I$532:$AJ$532&amp;'Gastos com Pessoal'!$I$512:$AJ$512,0),10,1)),0)+_xlfn.IFNA(SUM((BH$3&gt;='Gastos com Pessoal'!$E$513:$E$522)*(BH$3&lt;='Gastos com Pessoal'!$F$513:$F$522)*(IF('Gastos com Pessoal'!$M$513:$M$522&lt;=BH$3,1,0))*OFFSET('Gastos com Pessoal'!$H$512,1,MATCH(2&amp;$B53,'Gastos com Pessoal'!$I$532:$AJ$532&amp;'Gastos com Pessoal'!$I$512:$AJ$512,0),10,1)),0)+_xlfn.IFNA(SUM((BH$3&gt;='Gastos com Pessoal'!$E$513:$E$522)*(BH$3&lt;='Gastos com Pessoal'!$F$513:$F$522)*(IF('Gastos com Pessoal'!$S$513:$S$522&lt;=BH$3,1,0))*OFFSET('Gastos com Pessoal'!$H$512,1,MATCH(3&amp;$B53,'Gastos com Pessoal'!$I$532:$AJ$532&amp;'Gastos com Pessoal'!$I$512:$AJ$512,0),10,1)),0)+_xlfn.IFNA(SUM((BH$3&gt;='Gastos com Pessoal'!$E$513:$E$522)*(BH$3&lt;='Gastos com Pessoal'!$F$513:$F$522)*(IF('Gastos com Pessoal'!$Y$513:$Y$522&lt;=BH$3,1,0))*OFFSET('Gastos com Pessoal'!$H$512,1,MATCH(4&amp;$B53,'Gastos com Pessoal'!$I$532:$AJ$532&amp;'Gastos com Pessoal'!$I$512:$AJ$512,0),10,1)),0)+_xlfn.IFNA(SUM((BH$3&gt;='Gastos com Pessoal'!$E$513:$E$522)*(BH$3&lt;='Gastos com Pessoal'!$F$513:$F$522)*(IF('Gastos com Pessoal'!$AE$513:$AE$522&lt;=BH$3,1,0))*OFFSET('Gastos com Pessoal'!$H$512,1,MATCH(5&amp;$B53,'Gastos com Pessoal'!$I$532:$AJ$532&amp;'Gastos com Pessoal'!$I$512:$AJ$512,0),10,1)),0)</f>
        <v>0</v>
      </c>
      <c r="BI53" s="188">
        <f t="array" aca="1" ref="BI53" ca="1">_xlfn.IFNA(SUM((BI$3&gt;='Gastos com Pessoal'!$E$7:$E$506)*(BI$3&lt;='Gastos com Pessoal'!$F$7:$F$506)*OFFSET('Encargos e Benefícios'!$D$5,1,MATCH($B53,'Encargos e Benefícios'!$E$5:$AB$5,0),500,1)),0)+_xlfn.IFNA(SUM((BI$3&gt;='Gastos com Pessoal'!$E$513:$E$522)*(BI$3&lt;='Gastos com Pessoal'!$F$513:$F$522)*OFFSET('Encargos e Benefícios'!$D$511,1,MATCH($B53,'Encargos e Benefícios'!$E$511:$AB$511,0),10,1)),0)+_xlfn.IFNA(SUM((BI$3&gt;='Gastos com Pessoal'!$E$7:$E$506)*(BI$3&lt;='Gastos com Pessoal'!$F$7:$F$506)*(IF('Gastos com Pessoal'!$G$7:$G$506&lt;=BI$3,1,0))*OFFSET('Gastos com Pessoal'!$H$6,1,MATCH(1&amp;$B53,'Gastos com Pessoal'!$I$532:$AJ$532&amp;'Gastos com Pessoal'!$I$6:$AJ$6,0),500,1)),0)+_xlfn.IFNA(SUM((BI$3&gt;='Gastos com Pessoal'!$E$7:$E$506)*(BI$3&lt;='Gastos com Pessoal'!$F$7:$F$506)*(IF('Gastos com Pessoal'!$M$7:$M$506&lt;=BI$3,1,0))*OFFSET('Gastos com Pessoal'!$H$6,1,MATCH(2&amp;$B53,'Gastos com Pessoal'!$I$532:$AJ$532&amp;'Gastos com Pessoal'!$I$6:$AJ$6,0),500,1)),0)+_xlfn.IFNA(SUM((BI$3&gt;='Gastos com Pessoal'!$E$7:$E$506)*(BI$3&lt;='Gastos com Pessoal'!$F$7:$F$506)*(IF('Gastos com Pessoal'!$S$7:$S$506&lt;=BI$3,1,0))*OFFSET('Gastos com Pessoal'!$H$6,1,MATCH(3&amp;$B53,'Gastos com Pessoal'!$I$532:$AJ$532&amp;'Gastos com Pessoal'!$I$6:$AJ$6,0),500,1)),0)+_xlfn.IFNA(SUM((BI$3&gt;='Gastos com Pessoal'!$E$7:$E$506)*(BI$3&lt;='Gastos com Pessoal'!$F$7:$F$506)*(IF('Gastos com Pessoal'!$Y$7:$Y$506&lt;=BI$3,1,0))*OFFSET('Gastos com Pessoal'!$H$6,1,MATCH(4&amp;$B53,'Gastos com Pessoal'!$I$532:$AJ$532&amp;'Gastos com Pessoal'!$I$6:$AJ$6,0),500,1)),0)+_xlfn.IFNA(SUM((BI$3&gt;='Gastos com Pessoal'!$E$7:$E$506)*(BI$3&lt;='Gastos com Pessoal'!$F$7:$F$506)*(IF('Gastos com Pessoal'!$AE$7:$AE$506&lt;=BI$3,1,0))*OFFSET('Gastos com Pessoal'!$H$6,1,MATCH(5&amp;$B53,'Gastos com Pessoal'!$I$532:$AJ$532&amp;'Gastos com Pessoal'!$I$6:$AJ$6,0),500,1)),0)+_xlfn.IFNA(SUM((BI$3&gt;='Gastos com Pessoal'!$E$513:$E$522)*(BI$3&lt;='Gastos com Pessoal'!$F$513:$F$522)*(IF('Gastos com Pessoal'!$G$513:$G$522&lt;=BI$3,1,0))*OFFSET('Gastos com Pessoal'!$H$512,1,MATCH(1&amp;$B53,'Gastos com Pessoal'!$I$532:$AJ$532&amp;'Gastos com Pessoal'!$I$512:$AJ$512,0),10,1)),0)+_xlfn.IFNA(SUM((BI$3&gt;='Gastos com Pessoal'!$E$513:$E$522)*(BI$3&lt;='Gastos com Pessoal'!$F$513:$F$522)*(IF('Gastos com Pessoal'!$M$513:$M$522&lt;=BI$3,1,0))*OFFSET('Gastos com Pessoal'!$H$512,1,MATCH(2&amp;$B53,'Gastos com Pessoal'!$I$532:$AJ$532&amp;'Gastos com Pessoal'!$I$512:$AJ$512,0),10,1)),0)+_xlfn.IFNA(SUM((BI$3&gt;='Gastos com Pessoal'!$E$513:$E$522)*(BI$3&lt;='Gastos com Pessoal'!$F$513:$F$522)*(IF('Gastos com Pessoal'!$S$513:$S$522&lt;=BI$3,1,0))*OFFSET('Gastos com Pessoal'!$H$512,1,MATCH(3&amp;$B53,'Gastos com Pessoal'!$I$532:$AJ$532&amp;'Gastos com Pessoal'!$I$512:$AJ$512,0),10,1)),0)+_xlfn.IFNA(SUM((BI$3&gt;='Gastos com Pessoal'!$E$513:$E$522)*(BI$3&lt;='Gastos com Pessoal'!$F$513:$F$522)*(IF('Gastos com Pessoal'!$Y$513:$Y$522&lt;=BI$3,1,0))*OFFSET('Gastos com Pessoal'!$H$512,1,MATCH(4&amp;$B53,'Gastos com Pessoal'!$I$532:$AJ$532&amp;'Gastos com Pessoal'!$I$512:$AJ$512,0),10,1)),0)+_xlfn.IFNA(SUM((BI$3&gt;='Gastos com Pessoal'!$E$513:$E$522)*(BI$3&lt;='Gastos com Pessoal'!$F$513:$F$522)*(IF('Gastos com Pessoal'!$AE$513:$AE$522&lt;=BI$3,1,0))*OFFSET('Gastos com Pessoal'!$H$512,1,MATCH(5&amp;$B53,'Gastos com Pessoal'!$I$532:$AJ$532&amp;'Gastos com Pessoal'!$I$512:$AJ$512,0),10,1)),0)</f>
        <v>0</v>
      </c>
      <c r="BJ53" s="188">
        <f t="array" aca="1" ref="BJ53" ca="1">_xlfn.IFNA(SUM((BJ$3&gt;='Gastos com Pessoal'!$E$7:$E$506)*(BJ$3&lt;='Gastos com Pessoal'!$F$7:$F$506)*OFFSET('Encargos e Benefícios'!$D$5,1,MATCH($B53,'Encargos e Benefícios'!$E$5:$AB$5,0),500,1)),0)+_xlfn.IFNA(SUM((BJ$3&gt;='Gastos com Pessoal'!$E$513:$E$522)*(BJ$3&lt;='Gastos com Pessoal'!$F$513:$F$522)*OFFSET('Encargos e Benefícios'!$D$511,1,MATCH($B53,'Encargos e Benefícios'!$E$511:$AB$511,0),10,1)),0)+_xlfn.IFNA(SUM((BJ$3&gt;='Gastos com Pessoal'!$E$7:$E$506)*(BJ$3&lt;='Gastos com Pessoal'!$F$7:$F$506)*(IF('Gastos com Pessoal'!$G$7:$G$506&lt;=BJ$3,1,0))*OFFSET('Gastos com Pessoal'!$H$6,1,MATCH(1&amp;$B53,'Gastos com Pessoal'!$I$532:$AJ$532&amp;'Gastos com Pessoal'!$I$6:$AJ$6,0),500,1)),0)+_xlfn.IFNA(SUM((BJ$3&gt;='Gastos com Pessoal'!$E$7:$E$506)*(BJ$3&lt;='Gastos com Pessoal'!$F$7:$F$506)*(IF('Gastos com Pessoal'!$M$7:$M$506&lt;=BJ$3,1,0))*OFFSET('Gastos com Pessoal'!$H$6,1,MATCH(2&amp;$B53,'Gastos com Pessoal'!$I$532:$AJ$532&amp;'Gastos com Pessoal'!$I$6:$AJ$6,0),500,1)),0)+_xlfn.IFNA(SUM((BJ$3&gt;='Gastos com Pessoal'!$E$7:$E$506)*(BJ$3&lt;='Gastos com Pessoal'!$F$7:$F$506)*(IF('Gastos com Pessoal'!$S$7:$S$506&lt;=BJ$3,1,0))*OFFSET('Gastos com Pessoal'!$H$6,1,MATCH(3&amp;$B53,'Gastos com Pessoal'!$I$532:$AJ$532&amp;'Gastos com Pessoal'!$I$6:$AJ$6,0),500,1)),0)+_xlfn.IFNA(SUM((BJ$3&gt;='Gastos com Pessoal'!$E$7:$E$506)*(BJ$3&lt;='Gastos com Pessoal'!$F$7:$F$506)*(IF('Gastos com Pessoal'!$Y$7:$Y$506&lt;=BJ$3,1,0))*OFFSET('Gastos com Pessoal'!$H$6,1,MATCH(4&amp;$B53,'Gastos com Pessoal'!$I$532:$AJ$532&amp;'Gastos com Pessoal'!$I$6:$AJ$6,0),500,1)),0)+_xlfn.IFNA(SUM((BJ$3&gt;='Gastos com Pessoal'!$E$7:$E$506)*(BJ$3&lt;='Gastos com Pessoal'!$F$7:$F$506)*(IF('Gastos com Pessoal'!$AE$7:$AE$506&lt;=BJ$3,1,0))*OFFSET('Gastos com Pessoal'!$H$6,1,MATCH(5&amp;$B53,'Gastos com Pessoal'!$I$532:$AJ$532&amp;'Gastos com Pessoal'!$I$6:$AJ$6,0),500,1)),0)+_xlfn.IFNA(SUM((BJ$3&gt;='Gastos com Pessoal'!$E$513:$E$522)*(BJ$3&lt;='Gastos com Pessoal'!$F$513:$F$522)*(IF('Gastos com Pessoal'!$G$513:$G$522&lt;=BJ$3,1,0))*OFFSET('Gastos com Pessoal'!$H$512,1,MATCH(1&amp;$B53,'Gastos com Pessoal'!$I$532:$AJ$532&amp;'Gastos com Pessoal'!$I$512:$AJ$512,0),10,1)),0)+_xlfn.IFNA(SUM((BJ$3&gt;='Gastos com Pessoal'!$E$513:$E$522)*(BJ$3&lt;='Gastos com Pessoal'!$F$513:$F$522)*(IF('Gastos com Pessoal'!$M$513:$M$522&lt;=BJ$3,1,0))*OFFSET('Gastos com Pessoal'!$H$512,1,MATCH(2&amp;$B53,'Gastos com Pessoal'!$I$532:$AJ$532&amp;'Gastos com Pessoal'!$I$512:$AJ$512,0),10,1)),0)+_xlfn.IFNA(SUM((BJ$3&gt;='Gastos com Pessoal'!$E$513:$E$522)*(BJ$3&lt;='Gastos com Pessoal'!$F$513:$F$522)*(IF('Gastos com Pessoal'!$S$513:$S$522&lt;=BJ$3,1,0))*OFFSET('Gastos com Pessoal'!$H$512,1,MATCH(3&amp;$B53,'Gastos com Pessoal'!$I$532:$AJ$532&amp;'Gastos com Pessoal'!$I$512:$AJ$512,0),10,1)),0)+_xlfn.IFNA(SUM((BJ$3&gt;='Gastos com Pessoal'!$E$513:$E$522)*(BJ$3&lt;='Gastos com Pessoal'!$F$513:$F$522)*(IF('Gastos com Pessoal'!$Y$513:$Y$522&lt;=BJ$3,1,0))*OFFSET('Gastos com Pessoal'!$H$512,1,MATCH(4&amp;$B53,'Gastos com Pessoal'!$I$532:$AJ$532&amp;'Gastos com Pessoal'!$I$512:$AJ$512,0),10,1)),0)+_xlfn.IFNA(SUM((BJ$3&gt;='Gastos com Pessoal'!$E$513:$E$522)*(BJ$3&lt;='Gastos com Pessoal'!$F$513:$F$522)*(IF('Gastos com Pessoal'!$AE$513:$AE$522&lt;=BJ$3,1,0))*OFFSET('Gastos com Pessoal'!$H$512,1,MATCH(5&amp;$B53,'Gastos com Pessoal'!$I$532:$AJ$532&amp;'Gastos com Pessoal'!$I$512:$AJ$512,0),10,1)),0)</f>
        <v>0</v>
      </c>
      <c r="BK53" s="189">
        <f t="shared" ca="1" si="28"/>
        <v>0</v>
      </c>
      <c r="BL53" s="136">
        <f t="shared" ca="1" si="29"/>
        <v>0</v>
      </c>
      <c r="BN53" s="188">
        <f t="array" aca="1" ref="BN53" ca="1">_xlfn.IFNA(SUM((BN$3&gt;='Gastos com Pessoal'!$E$7:$E$506)*(BN$3&lt;='Gastos com Pessoal'!$F$7:$F$506)*OFFSET('Encargos e Benefícios'!$D$5,1,MATCH($B53,'Encargos e Benefícios'!$E$5:$AB$5,0),500,1)),0)+_xlfn.IFNA(SUM((BN$3&gt;='Gastos com Pessoal'!$E$513:$E$522)*(BN$3&lt;='Gastos com Pessoal'!$F$513:$F$522)*OFFSET('Encargos e Benefícios'!$D$511,1,MATCH($B53,'Encargos e Benefícios'!$E$511:$AB$511,0),10,1)),0)+_xlfn.IFNA(SUM((BN$3&gt;='Gastos com Pessoal'!$E$7:$E$506)*(BN$3&lt;='Gastos com Pessoal'!$F$7:$F$506)*(IF('Gastos com Pessoal'!$G$7:$G$506&lt;=BN$3,1,0))*OFFSET('Gastos com Pessoal'!$H$6,1,MATCH(1&amp;$B53,'Gastos com Pessoal'!$I$532:$AJ$532&amp;'Gastos com Pessoal'!$I$6:$AJ$6,0),500,1)),0)+_xlfn.IFNA(SUM((BN$3&gt;='Gastos com Pessoal'!$E$7:$E$506)*(BN$3&lt;='Gastos com Pessoal'!$F$7:$F$506)*(IF('Gastos com Pessoal'!$M$7:$M$506&lt;=BN$3,1,0))*OFFSET('Gastos com Pessoal'!$H$6,1,MATCH(2&amp;$B53,'Gastos com Pessoal'!$I$532:$AJ$532&amp;'Gastos com Pessoal'!$I$6:$AJ$6,0),500,1)),0)+_xlfn.IFNA(SUM((BN$3&gt;='Gastos com Pessoal'!$E$7:$E$506)*(BN$3&lt;='Gastos com Pessoal'!$F$7:$F$506)*(IF('Gastos com Pessoal'!$S$7:$S$506&lt;=BN$3,1,0))*OFFSET('Gastos com Pessoal'!$H$6,1,MATCH(3&amp;$B53,'Gastos com Pessoal'!$I$532:$AJ$532&amp;'Gastos com Pessoal'!$I$6:$AJ$6,0),500,1)),0)+_xlfn.IFNA(SUM((BN$3&gt;='Gastos com Pessoal'!$E$7:$E$506)*(BN$3&lt;='Gastos com Pessoal'!$F$7:$F$506)*(IF('Gastos com Pessoal'!$Y$7:$Y$506&lt;=BN$3,1,0))*OFFSET('Gastos com Pessoal'!$H$6,1,MATCH(4&amp;$B53,'Gastos com Pessoal'!$I$532:$AJ$532&amp;'Gastos com Pessoal'!$I$6:$AJ$6,0),500,1)),0)+_xlfn.IFNA(SUM((BN$3&gt;='Gastos com Pessoal'!$E$7:$E$506)*(BN$3&lt;='Gastos com Pessoal'!$F$7:$F$506)*(IF('Gastos com Pessoal'!$AE$7:$AE$506&lt;=BN$3,1,0))*OFFSET('Gastos com Pessoal'!$H$6,1,MATCH(5&amp;$B53,'Gastos com Pessoal'!$I$532:$AJ$532&amp;'Gastos com Pessoal'!$I$6:$AJ$6,0),500,1)),0)+_xlfn.IFNA(SUM((BN$3&gt;='Gastos com Pessoal'!$E$513:$E$522)*(BN$3&lt;='Gastos com Pessoal'!$F$513:$F$522)*(IF('Gastos com Pessoal'!$G$513:$G$522&lt;=BN$3,1,0))*OFFSET('Gastos com Pessoal'!$H$512,1,MATCH(1&amp;$B53,'Gastos com Pessoal'!$I$532:$AJ$532&amp;'Gastos com Pessoal'!$I$512:$AJ$512,0),10,1)),0)+_xlfn.IFNA(SUM((BN$3&gt;='Gastos com Pessoal'!$E$513:$E$522)*(BN$3&lt;='Gastos com Pessoal'!$F$513:$F$522)*(IF('Gastos com Pessoal'!$M$513:$M$522&lt;=BN$3,1,0))*OFFSET('Gastos com Pessoal'!$H$512,1,MATCH(2&amp;$B53,'Gastos com Pessoal'!$I$532:$AJ$532&amp;'Gastos com Pessoal'!$I$512:$AJ$512,0),10,1)),0)+_xlfn.IFNA(SUM((BN$3&gt;='Gastos com Pessoal'!$E$513:$E$522)*(BN$3&lt;='Gastos com Pessoal'!$F$513:$F$522)*(IF('Gastos com Pessoal'!$S$513:$S$522&lt;=BN$3,1,0))*OFFSET('Gastos com Pessoal'!$H$512,1,MATCH(3&amp;$B53,'Gastos com Pessoal'!$I$532:$AJ$532&amp;'Gastos com Pessoal'!$I$512:$AJ$512,0),10,1)),0)+_xlfn.IFNA(SUM((BN$3&gt;='Gastos com Pessoal'!$E$513:$E$522)*(BN$3&lt;='Gastos com Pessoal'!$F$513:$F$522)*(IF('Gastos com Pessoal'!$Y$513:$Y$522&lt;=BN$3,1,0))*OFFSET('Gastos com Pessoal'!$H$512,1,MATCH(4&amp;$B53,'Gastos com Pessoal'!$I$532:$AJ$532&amp;'Gastos com Pessoal'!$I$512:$AJ$512,0),10,1)),0)+_xlfn.IFNA(SUM((BN$3&gt;='Gastos com Pessoal'!$E$513:$E$522)*(BN$3&lt;='Gastos com Pessoal'!$F$513:$F$522)*(IF('Gastos com Pessoal'!$AE$513:$AE$522&lt;=BN$3,1,0))*OFFSET('Gastos com Pessoal'!$H$512,1,MATCH(5&amp;$B53,'Gastos com Pessoal'!$I$532:$AJ$532&amp;'Gastos com Pessoal'!$I$512:$AJ$512,0),10,1)),0)</f>
        <v>0</v>
      </c>
    </row>
    <row r="54" spans="1:66" s="160" customFormat="1" ht="23.25" customHeight="1">
      <c r="A54" s="80" t="s">
        <v>190</v>
      </c>
      <c r="B54" s="81" t="s">
        <v>191</v>
      </c>
      <c r="C54" s="188">
        <f t="shared" ca="1" si="27"/>
        <v>1617.6599999999974</v>
      </c>
      <c r="D54" s="188">
        <f t="array" aca="1" ref="D54" ca="1">_xlfn.IFNA(SUM((D$3&gt;='Gastos com Pessoal'!$E$7:$E$506)*(D$3&lt;='Gastos com Pessoal'!$F$7:$F$506)*OFFSET('Encargos e Benefícios'!$D$5,1,MATCH($B54,'Encargos e Benefícios'!$E$5:$AB$5,0),500,1)),0)+_xlfn.IFNA(SUM((D$3&gt;='Gastos com Pessoal'!$E$513:$E$522)*(D$3&lt;='Gastos com Pessoal'!$F$513:$F$522)*OFFSET('Encargos e Benefícios'!$D$511,1,MATCH($B54,'Encargos e Benefícios'!$E$511:$AB$511,0),10,1)),0)+_xlfn.IFNA(SUM((D$3&gt;='Gastos com Pessoal'!$E$7:$E$506)*(D$3&lt;='Gastos com Pessoal'!$F$7:$F$506)*(IF('Gastos com Pessoal'!$G$7:$G$506&lt;=D$3,1,0))*OFFSET('Gastos com Pessoal'!$H$6,1,MATCH(1&amp;$B54,'Gastos com Pessoal'!$I$532:$AJ$532&amp;'Gastos com Pessoal'!$I$6:$AJ$6,0),500,1)),0)+_xlfn.IFNA(SUM((D$3&gt;='Gastos com Pessoal'!$E$7:$E$506)*(D$3&lt;='Gastos com Pessoal'!$F$7:$F$506)*(IF('Gastos com Pessoal'!$M$7:$M$506&lt;=D$3,1,0))*OFFSET('Gastos com Pessoal'!$H$6,1,MATCH(2&amp;$B54,'Gastos com Pessoal'!$I$532:$AJ$532&amp;'Gastos com Pessoal'!$I$6:$AJ$6,0),500,1)),0)+_xlfn.IFNA(SUM((D$3&gt;='Gastos com Pessoal'!$E$7:$E$506)*(D$3&lt;='Gastos com Pessoal'!$F$7:$F$506)*(IF('Gastos com Pessoal'!$S$7:$S$506&lt;=D$3,1,0))*OFFSET('Gastos com Pessoal'!$H$6,1,MATCH(3&amp;$B54,'Gastos com Pessoal'!$I$532:$AJ$532&amp;'Gastos com Pessoal'!$I$6:$AJ$6,0),500,1)),0)+_xlfn.IFNA(SUM((D$3&gt;='Gastos com Pessoal'!$E$7:$E$506)*(D$3&lt;='Gastos com Pessoal'!$F$7:$F$506)*(IF('Gastos com Pessoal'!$Y$7:$Y$506&lt;=D$3,1,0))*OFFSET('Gastos com Pessoal'!$H$6,1,MATCH(4&amp;$B54,'Gastos com Pessoal'!$I$532:$AJ$532&amp;'Gastos com Pessoal'!$I$6:$AJ$6,0),500,1)),0)+_xlfn.IFNA(SUM((D$3&gt;='Gastos com Pessoal'!$E$7:$E$506)*(D$3&lt;='Gastos com Pessoal'!$F$7:$F$506)*(IF('Gastos com Pessoal'!$AE$7:$AE$506&lt;=D$3,1,0))*OFFSET('Gastos com Pessoal'!$H$6,1,MATCH(5&amp;$B54,'Gastos com Pessoal'!$I$532:$AJ$532&amp;'Gastos com Pessoal'!$I$6:$AJ$6,0),500,1)),0)+_xlfn.IFNA(SUM((D$3&gt;='Gastos com Pessoal'!$E$513:$E$522)*(D$3&lt;='Gastos com Pessoal'!$F$513:$F$522)*(IF('Gastos com Pessoal'!$G$513:$G$522&lt;=D$3,1,0))*OFFSET('Gastos com Pessoal'!$H$512,1,MATCH(1&amp;$B54,'Gastos com Pessoal'!$I$532:$AJ$532&amp;'Gastos com Pessoal'!$I$512:$AJ$512,0),10,1)),0)+_xlfn.IFNA(SUM((D$3&gt;='Gastos com Pessoal'!$E$513:$E$522)*(D$3&lt;='Gastos com Pessoal'!$F$513:$F$522)*(IF('Gastos com Pessoal'!$M$513:$M$522&lt;=D$3,1,0))*OFFSET('Gastos com Pessoal'!$H$512,1,MATCH(2&amp;$B54,'Gastos com Pessoal'!$I$532:$AJ$532&amp;'Gastos com Pessoal'!$I$512:$AJ$512,0),10,1)),0)+_xlfn.IFNA(SUM((D$3&gt;='Gastos com Pessoal'!$E$513:$E$522)*(D$3&lt;='Gastos com Pessoal'!$F$513:$F$522)*(IF('Gastos com Pessoal'!$S$513:$S$522&lt;=D$3,1,0))*OFFSET('Gastos com Pessoal'!$H$512,1,MATCH(3&amp;$B54,'Gastos com Pessoal'!$I$532:$AJ$532&amp;'Gastos com Pessoal'!$I$512:$AJ$512,0),10,1)),0)+_xlfn.IFNA(SUM((D$3&gt;='Gastos com Pessoal'!$E$513:$E$522)*(D$3&lt;='Gastos com Pessoal'!$F$513:$F$522)*(IF('Gastos com Pessoal'!$Y$513:$Y$522&lt;=D$3,1,0))*OFFSET('Gastos com Pessoal'!$H$512,1,MATCH(4&amp;$B54,'Gastos com Pessoal'!$I$532:$AJ$532&amp;'Gastos com Pessoal'!$I$512:$AJ$512,0),10,1)),0)+_xlfn.IFNA(SUM((D$3&gt;='Gastos com Pessoal'!$E$513:$E$522)*(D$3&lt;='Gastos com Pessoal'!$F$513:$F$522)*(IF('Gastos com Pessoal'!$AE$513:$AE$522&lt;=D$3,1,0))*OFFSET('Gastos com Pessoal'!$H$512,1,MATCH(5&amp;$B54,'Gastos com Pessoal'!$I$532:$AJ$532&amp;'Gastos com Pessoal'!$I$512:$AJ$512,0),10,1)),0)</f>
        <v>5794.2499999999854</v>
      </c>
      <c r="E54" s="188">
        <f t="array" aca="1" ref="E54" ca="1">_xlfn.IFNA(SUM((E$3&gt;='Gastos com Pessoal'!$E$7:$E$506)*(E$3&lt;='Gastos com Pessoal'!$F$7:$F$506)*OFFSET('Encargos e Benefícios'!$D$5,1,MATCH($B54,'Encargos e Benefícios'!$E$5:$AB$5,0),500,1)),0)+_xlfn.IFNA(SUM((E$3&gt;='Gastos com Pessoal'!$E$513:$E$522)*(E$3&lt;='Gastos com Pessoal'!$F$513:$F$522)*OFFSET('Encargos e Benefícios'!$D$511,1,MATCH($B54,'Encargos e Benefícios'!$E$511:$AB$511,0),10,1)),0)+_xlfn.IFNA(SUM((E$3&gt;='Gastos com Pessoal'!$E$7:$E$506)*(E$3&lt;='Gastos com Pessoal'!$F$7:$F$506)*(IF('Gastos com Pessoal'!$G$7:$G$506&lt;=E$3,1,0))*OFFSET('Gastos com Pessoal'!$H$6,1,MATCH(1&amp;$B54,'Gastos com Pessoal'!$I$532:$AJ$532&amp;'Gastos com Pessoal'!$I$6:$AJ$6,0),500,1)),0)+_xlfn.IFNA(SUM((E$3&gt;='Gastos com Pessoal'!$E$7:$E$506)*(E$3&lt;='Gastos com Pessoal'!$F$7:$F$506)*(IF('Gastos com Pessoal'!$M$7:$M$506&lt;=E$3,1,0))*OFFSET('Gastos com Pessoal'!$H$6,1,MATCH(2&amp;$B54,'Gastos com Pessoal'!$I$532:$AJ$532&amp;'Gastos com Pessoal'!$I$6:$AJ$6,0),500,1)),0)+_xlfn.IFNA(SUM((E$3&gt;='Gastos com Pessoal'!$E$7:$E$506)*(E$3&lt;='Gastos com Pessoal'!$F$7:$F$506)*(IF('Gastos com Pessoal'!$S$7:$S$506&lt;=E$3,1,0))*OFFSET('Gastos com Pessoal'!$H$6,1,MATCH(3&amp;$B54,'Gastos com Pessoal'!$I$532:$AJ$532&amp;'Gastos com Pessoal'!$I$6:$AJ$6,0),500,1)),0)+_xlfn.IFNA(SUM((E$3&gt;='Gastos com Pessoal'!$E$7:$E$506)*(E$3&lt;='Gastos com Pessoal'!$F$7:$F$506)*(IF('Gastos com Pessoal'!$Y$7:$Y$506&lt;=E$3,1,0))*OFFSET('Gastos com Pessoal'!$H$6,1,MATCH(4&amp;$B54,'Gastos com Pessoal'!$I$532:$AJ$532&amp;'Gastos com Pessoal'!$I$6:$AJ$6,0),500,1)),0)+_xlfn.IFNA(SUM((E$3&gt;='Gastos com Pessoal'!$E$7:$E$506)*(E$3&lt;='Gastos com Pessoal'!$F$7:$F$506)*(IF('Gastos com Pessoal'!$AE$7:$AE$506&lt;=E$3,1,0))*OFFSET('Gastos com Pessoal'!$H$6,1,MATCH(5&amp;$B54,'Gastos com Pessoal'!$I$532:$AJ$532&amp;'Gastos com Pessoal'!$I$6:$AJ$6,0),500,1)),0)+_xlfn.IFNA(SUM((E$3&gt;='Gastos com Pessoal'!$E$513:$E$522)*(E$3&lt;='Gastos com Pessoal'!$F$513:$F$522)*(IF('Gastos com Pessoal'!$G$513:$G$522&lt;=E$3,1,0))*OFFSET('Gastos com Pessoal'!$H$512,1,MATCH(1&amp;$B54,'Gastos com Pessoal'!$I$532:$AJ$532&amp;'Gastos com Pessoal'!$I$512:$AJ$512,0),10,1)),0)+_xlfn.IFNA(SUM((E$3&gt;='Gastos com Pessoal'!$E$513:$E$522)*(E$3&lt;='Gastos com Pessoal'!$F$513:$F$522)*(IF('Gastos com Pessoal'!$M$513:$M$522&lt;=E$3,1,0))*OFFSET('Gastos com Pessoal'!$H$512,1,MATCH(2&amp;$B54,'Gastos com Pessoal'!$I$532:$AJ$532&amp;'Gastos com Pessoal'!$I$512:$AJ$512,0),10,1)),0)+_xlfn.IFNA(SUM((E$3&gt;='Gastos com Pessoal'!$E$513:$E$522)*(E$3&lt;='Gastos com Pessoal'!$F$513:$F$522)*(IF('Gastos com Pessoal'!$S$513:$S$522&lt;=E$3,1,0))*OFFSET('Gastos com Pessoal'!$H$512,1,MATCH(3&amp;$B54,'Gastos com Pessoal'!$I$532:$AJ$532&amp;'Gastos com Pessoal'!$I$512:$AJ$512,0),10,1)),0)+_xlfn.IFNA(SUM((E$3&gt;='Gastos com Pessoal'!$E$513:$E$522)*(E$3&lt;='Gastos com Pessoal'!$F$513:$F$522)*(IF('Gastos com Pessoal'!$Y$513:$Y$522&lt;=E$3,1,0))*OFFSET('Gastos com Pessoal'!$H$512,1,MATCH(4&amp;$B54,'Gastos com Pessoal'!$I$532:$AJ$532&amp;'Gastos com Pessoal'!$I$512:$AJ$512,0),10,1)),0)+_xlfn.IFNA(SUM((E$3&gt;='Gastos com Pessoal'!$E$513:$E$522)*(E$3&lt;='Gastos com Pessoal'!$F$513:$F$522)*(IF('Gastos com Pessoal'!$AE$513:$AE$522&lt;=E$3,1,0))*OFFSET('Gastos com Pessoal'!$H$512,1,MATCH(5&amp;$B54,'Gastos com Pessoal'!$I$532:$AJ$532&amp;'Gastos com Pessoal'!$I$512:$AJ$512,0),10,1)),0)</f>
        <v>6101.6999999999807</v>
      </c>
      <c r="F54" s="188">
        <f t="array" aca="1" ref="F54" ca="1">_xlfn.IFNA(SUM((F$3&gt;='Gastos com Pessoal'!$E$7:$E$506)*(F$3&lt;='Gastos com Pessoal'!$F$7:$F$506)*OFFSET('Encargos e Benefícios'!$D$5,1,MATCH($B54,'Encargos e Benefícios'!$E$5:$AB$5,0),500,1)),0)+_xlfn.IFNA(SUM((F$3&gt;='Gastos com Pessoal'!$E$513:$E$522)*(F$3&lt;='Gastos com Pessoal'!$F$513:$F$522)*OFFSET('Encargos e Benefícios'!$D$511,1,MATCH($B54,'Encargos e Benefícios'!$E$511:$AB$511,0),10,1)),0)+_xlfn.IFNA(SUM((F$3&gt;='Gastos com Pessoal'!$E$7:$E$506)*(F$3&lt;='Gastos com Pessoal'!$F$7:$F$506)*(IF('Gastos com Pessoal'!$G$7:$G$506&lt;=F$3,1,0))*OFFSET('Gastos com Pessoal'!$H$6,1,MATCH(1&amp;$B54,'Gastos com Pessoal'!$I$532:$AJ$532&amp;'Gastos com Pessoal'!$I$6:$AJ$6,0),500,1)),0)+_xlfn.IFNA(SUM((F$3&gt;='Gastos com Pessoal'!$E$7:$E$506)*(F$3&lt;='Gastos com Pessoal'!$F$7:$F$506)*(IF('Gastos com Pessoal'!$M$7:$M$506&lt;=F$3,1,0))*OFFSET('Gastos com Pessoal'!$H$6,1,MATCH(2&amp;$B54,'Gastos com Pessoal'!$I$532:$AJ$532&amp;'Gastos com Pessoal'!$I$6:$AJ$6,0),500,1)),0)+_xlfn.IFNA(SUM((F$3&gt;='Gastos com Pessoal'!$E$7:$E$506)*(F$3&lt;='Gastos com Pessoal'!$F$7:$F$506)*(IF('Gastos com Pessoal'!$S$7:$S$506&lt;=F$3,1,0))*OFFSET('Gastos com Pessoal'!$H$6,1,MATCH(3&amp;$B54,'Gastos com Pessoal'!$I$532:$AJ$532&amp;'Gastos com Pessoal'!$I$6:$AJ$6,0),500,1)),0)+_xlfn.IFNA(SUM((F$3&gt;='Gastos com Pessoal'!$E$7:$E$506)*(F$3&lt;='Gastos com Pessoal'!$F$7:$F$506)*(IF('Gastos com Pessoal'!$Y$7:$Y$506&lt;=F$3,1,0))*OFFSET('Gastos com Pessoal'!$H$6,1,MATCH(4&amp;$B54,'Gastos com Pessoal'!$I$532:$AJ$532&amp;'Gastos com Pessoal'!$I$6:$AJ$6,0),500,1)),0)+_xlfn.IFNA(SUM((F$3&gt;='Gastos com Pessoal'!$E$7:$E$506)*(F$3&lt;='Gastos com Pessoal'!$F$7:$F$506)*(IF('Gastos com Pessoal'!$AE$7:$AE$506&lt;=F$3,1,0))*OFFSET('Gastos com Pessoal'!$H$6,1,MATCH(5&amp;$B54,'Gastos com Pessoal'!$I$532:$AJ$532&amp;'Gastos com Pessoal'!$I$6:$AJ$6,0),500,1)),0)+_xlfn.IFNA(SUM((F$3&gt;='Gastos com Pessoal'!$E$513:$E$522)*(F$3&lt;='Gastos com Pessoal'!$F$513:$F$522)*(IF('Gastos com Pessoal'!$G$513:$G$522&lt;=F$3,1,0))*OFFSET('Gastos com Pessoal'!$H$512,1,MATCH(1&amp;$B54,'Gastos com Pessoal'!$I$532:$AJ$532&amp;'Gastos com Pessoal'!$I$512:$AJ$512,0),10,1)),0)+_xlfn.IFNA(SUM((F$3&gt;='Gastos com Pessoal'!$E$513:$E$522)*(F$3&lt;='Gastos com Pessoal'!$F$513:$F$522)*(IF('Gastos com Pessoal'!$M$513:$M$522&lt;=F$3,1,0))*OFFSET('Gastos com Pessoal'!$H$512,1,MATCH(2&amp;$B54,'Gastos com Pessoal'!$I$532:$AJ$532&amp;'Gastos com Pessoal'!$I$512:$AJ$512,0),10,1)),0)+_xlfn.IFNA(SUM((F$3&gt;='Gastos com Pessoal'!$E$513:$E$522)*(F$3&lt;='Gastos com Pessoal'!$F$513:$F$522)*(IF('Gastos com Pessoal'!$S$513:$S$522&lt;=F$3,1,0))*OFFSET('Gastos com Pessoal'!$H$512,1,MATCH(3&amp;$B54,'Gastos com Pessoal'!$I$532:$AJ$532&amp;'Gastos com Pessoal'!$I$512:$AJ$512,0),10,1)),0)+_xlfn.IFNA(SUM((F$3&gt;='Gastos com Pessoal'!$E$513:$E$522)*(F$3&lt;='Gastos com Pessoal'!$F$513:$F$522)*(IF('Gastos com Pessoal'!$Y$513:$Y$522&lt;=F$3,1,0))*OFFSET('Gastos com Pessoal'!$H$512,1,MATCH(4&amp;$B54,'Gastos com Pessoal'!$I$532:$AJ$532&amp;'Gastos com Pessoal'!$I$512:$AJ$512,0),10,1)),0)+_xlfn.IFNA(SUM((F$3&gt;='Gastos com Pessoal'!$E$513:$E$522)*(F$3&lt;='Gastos com Pessoal'!$F$513:$F$522)*(IF('Gastos com Pessoal'!$AE$513:$AE$522&lt;=F$3,1,0))*OFFSET('Gastos com Pessoal'!$H$512,1,MATCH(5&amp;$B54,'Gastos com Pessoal'!$I$532:$AJ$532&amp;'Gastos com Pessoal'!$I$512:$AJ$512,0),10,1)),0)</f>
        <v>6101.6999999999807</v>
      </c>
      <c r="G54" s="188">
        <f t="array" aca="1" ref="G54" ca="1">_xlfn.IFNA(SUM((G$3&gt;='Gastos com Pessoal'!$E$7:$E$506)*(G$3&lt;='Gastos com Pessoal'!$F$7:$F$506)*OFFSET('Encargos e Benefícios'!$D$5,1,MATCH($B54,'Encargos e Benefícios'!$E$5:$AB$5,0),500,1)),0)+_xlfn.IFNA(SUM((G$3&gt;='Gastos com Pessoal'!$E$513:$E$522)*(G$3&lt;='Gastos com Pessoal'!$F$513:$F$522)*OFFSET('Encargos e Benefícios'!$D$511,1,MATCH($B54,'Encargos e Benefícios'!$E$511:$AB$511,0),10,1)),0)+_xlfn.IFNA(SUM((G$3&gt;='Gastos com Pessoal'!$E$7:$E$506)*(G$3&lt;='Gastos com Pessoal'!$F$7:$F$506)*(IF('Gastos com Pessoal'!$G$7:$G$506&lt;=G$3,1,0))*OFFSET('Gastos com Pessoal'!$H$6,1,MATCH(1&amp;$B54,'Gastos com Pessoal'!$I$532:$AJ$532&amp;'Gastos com Pessoal'!$I$6:$AJ$6,0),500,1)),0)+_xlfn.IFNA(SUM((G$3&gt;='Gastos com Pessoal'!$E$7:$E$506)*(G$3&lt;='Gastos com Pessoal'!$F$7:$F$506)*(IF('Gastos com Pessoal'!$M$7:$M$506&lt;=G$3,1,0))*OFFSET('Gastos com Pessoal'!$H$6,1,MATCH(2&amp;$B54,'Gastos com Pessoal'!$I$532:$AJ$532&amp;'Gastos com Pessoal'!$I$6:$AJ$6,0),500,1)),0)+_xlfn.IFNA(SUM((G$3&gt;='Gastos com Pessoal'!$E$7:$E$506)*(G$3&lt;='Gastos com Pessoal'!$F$7:$F$506)*(IF('Gastos com Pessoal'!$S$7:$S$506&lt;=G$3,1,0))*OFFSET('Gastos com Pessoal'!$H$6,1,MATCH(3&amp;$B54,'Gastos com Pessoal'!$I$532:$AJ$532&amp;'Gastos com Pessoal'!$I$6:$AJ$6,0),500,1)),0)+_xlfn.IFNA(SUM((G$3&gt;='Gastos com Pessoal'!$E$7:$E$506)*(G$3&lt;='Gastos com Pessoal'!$F$7:$F$506)*(IF('Gastos com Pessoal'!$Y$7:$Y$506&lt;=G$3,1,0))*OFFSET('Gastos com Pessoal'!$H$6,1,MATCH(4&amp;$B54,'Gastos com Pessoal'!$I$532:$AJ$532&amp;'Gastos com Pessoal'!$I$6:$AJ$6,0),500,1)),0)+_xlfn.IFNA(SUM((G$3&gt;='Gastos com Pessoal'!$E$7:$E$506)*(G$3&lt;='Gastos com Pessoal'!$F$7:$F$506)*(IF('Gastos com Pessoal'!$AE$7:$AE$506&lt;=G$3,1,0))*OFFSET('Gastos com Pessoal'!$H$6,1,MATCH(5&amp;$B54,'Gastos com Pessoal'!$I$532:$AJ$532&amp;'Gastos com Pessoal'!$I$6:$AJ$6,0),500,1)),0)+_xlfn.IFNA(SUM((G$3&gt;='Gastos com Pessoal'!$E$513:$E$522)*(G$3&lt;='Gastos com Pessoal'!$F$513:$F$522)*(IF('Gastos com Pessoal'!$G$513:$G$522&lt;=G$3,1,0))*OFFSET('Gastos com Pessoal'!$H$512,1,MATCH(1&amp;$B54,'Gastos com Pessoal'!$I$532:$AJ$532&amp;'Gastos com Pessoal'!$I$512:$AJ$512,0),10,1)),0)+_xlfn.IFNA(SUM((G$3&gt;='Gastos com Pessoal'!$E$513:$E$522)*(G$3&lt;='Gastos com Pessoal'!$F$513:$F$522)*(IF('Gastos com Pessoal'!$M$513:$M$522&lt;=G$3,1,0))*OFFSET('Gastos com Pessoal'!$H$512,1,MATCH(2&amp;$B54,'Gastos com Pessoal'!$I$532:$AJ$532&amp;'Gastos com Pessoal'!$I$512:$AJ$512,0),10,1)),0)+_xlfn.IFNA(SUM((G$3&gt;='Gastos com Pessoal'!$E$513:$E$522)*(G$3&lt;='Gastos com Pessoal'!$F$513:$F$522)*(IF('Gastos com Pessoal'!$S$513:$S$522&lt;=G$3,1,0))*OFFSET('Gastos com Pessoal'!$H$512,1,MATCH(3&amp;$B54,'Gastos com Pessoal'!$I$532:$AJ$532&amp;'Gastos com Pessoal'!$I$512:$AJ$512,0),10,1)),0)+_xlfn.IFNA(SUM((G$3&gt;='Gastos com Pessoal'!$E$513:$E$522)*(G$3&lt;='Gastos com Pessoal'!$F$513:$F$522)*(IF('Gastos com Pessoal'!$Y$513:$Y$522&lt;=G$3,1,0))*OFFSET('Gastos com Pessoal'!$H$512,1,MATCH(4&amp;$B54,'Gastos com Pessoal'!$I$532:$AJ$532&amp;'Gastos com Pessoal'!$I$512:$AJ$512,0),10,1)),0)+_xlfn.IFNA(SUM((G$3&gt;='Gastos com Pessoal'!$E$513:$E$522)*(G$3&lt;='Gastos com Pessoal'!$F$513:$F$522)*(IF('Gastos com Pessoal'!$AE$513:$AE$522&lt;=G$3,1,0))*OFFSET('Gastos com Pessoal'!$H$512,1,MATCH(5&amp;$B54,'Gastos com Pessoal'!$I$532:$AJ$532&amp;'Gastos com Pessoal'!$I$512:$AJ$512,0),10,1)),0)</f>
        <v>6101.6999999999807</v>
      </c>
      <c r="H54" s="188">
        <f t="array" aca="1" ref="H54" ca="1">_xlfn.IFNA(SUM((H$3&gt;='Gastos com Pessoal'!$E$7:$E$506)*(H$3&lt;='Gastos com Pessoal'!$F$7:$F$506)*OFFSET('Encargos e Benefícios'!$D$5,1,MATCH($B54,'Encargos e Benefícios'!$E$5:$AB$5,0),500,1)),0)+_xlfn.IFNA(SUM((H$3&gt;='Gastos com Pessoal'!$E$513:$E$522)*(H$3&lt;='Gastos com Pessoal'!$F$513:$F$522)*OFFSET('Encargos e Benefícios'!$D$511,1,MATCH($B54,'Encargos e Benefícios'!$E$511:$AB$511,0),10,1)),0)+_xlfn.IFNA(SUM((H$3&gt;='Gastos com Pessoal'!$E$7:$E$506)*(H$3&lt;='Gastos com Pessoal'!$F$7:$F$506)*(IF('Gastos com Pessoal'!$G$7:$G$506&lt;=H$3,1,0))*OFFSET('Gastos com Pessoal'!$H$6,1,MATCH(1&amp;$B54,'Gastos com Pessoal'!$I$532:$AJ$532&amp;'Gastos com Pessoal'!$I$6:$AJ$6,0),500,1)),0)+_xlfn.IFNA(SUM((H$3&gt;='Gastos com Pessoal'!$E$7:$E$506)*(H$3&lt;='Gastos com Pessoal'!$F$7:$F$506)*(IF('Gastos com Pessoal'!$M$7:$M$506&lt;=H$3,1,0))*OFFSET('Gastos com Pessoal'!$H$6,1,MATCH(2&amp;$B54,'Gastos com Pessoal'!$I$532:$AJ$532&amp;'Gastos com Pessoal'!$I$6:$AJ$6,0),500,1)),0)+_xlfn.IFNA(SUM((H$3&gt;='Gastos com Pessoal'!$E$7:$E$506)*(H$3&lt;='Gastos com Pessoal'!$F$7:$F$506)*(IF('Gastos com Pessoal'!$S$7:$S$506&lt;=H$3,1,0))*OFFSET('Gastos com Pessoal'!$H$6,1,MATCH(3&amp;$B54,'Gastos com Pessoal'!$I$532:$AJ$532&amp;'Gastos com Pessoal'!$I$6:$AJ$6,0),500,1)),0)+_xlfn.IFNA(SUM((H$3&gt;='Gastos com Pessoal'!$E$7:$E$506)*(H$3&lt;='Gastos com Pessoal'!$F$7:$F$506)*(IF('Gastos com Pessoal'!$Y$7:$Y$506&lt;=H$3,1,0))*OFFSET('Gastos com Pessoal'!$H$6,1,MATCH(4&amp;$B54,'Gastos com Pessoal'!$I$532:$AJ$532&amp;'Gastos com Pessoal'!$I$6:$AJ$6,0),500,1)),0)+_xlfn.IFNA(SUM((H$3&gt;='Gastos com Pessoal'!$E$7:$E$506)*(H$3&lt;='Gastos com Pessoal'!$F$7:$F$506)*(IF('Gastos com Pessoal'!$AE$7:$AE$506&lt;=H$3,1,0))*OFFSET('Gastos com Pessoal'!$H$6,1,MATCH(5&amp;$B54,'Gastos com Pessoal'!$I$532:$AJ$532&amp;'Gastos com Pessoal'!$I$6:$AJ$6,0),500,1)),0)+_xlfn.IFNA(SUM((H$3&gt;='Gastos com Pessoal'!$E$513:$E$522)*(H$3&lt;='Gastos com Pessoal'!$F$513:$F$522)*(IF('Gastos com Pessoal'!$G$513:$G$522&lt;=H$3,1,0))*OFFSET('Gastos com Pessoal'!$H$512,1,MATCH(1&amp;$B54,'Gastos com Pessoal'!$I$532:$AJ$532&amp;'Gastos com Pessoal'!$I$512:$AJ$512,0),10,1)),0)+_xlfn.IFNA(SUM((H$3&gt;='Gastos com Pessoal'!$E$513:$E$522)*(H$3&lt;='Gastos com Pessoal'!$F$513:$F$522)*(IF('Gastos com Pessoal'!$M$513:$M$522&lt;=H$3,1,0))*OFFSET('Gastos com Pessoal'!$H$512,1,MATCH(2&amp;$B54,'Gastos com Pessoal'!$I$532:$AJ$532&amp;'Gastos com Pessoal'!$I$512:$AJ$512,0),10,1)),0)+_xlfn.IFNA(SUM((H$3&gt;='Gastos com Pessoal'!$E$513:$E$522)*(H$3&lt;='Gastos com Pessoal'!$F$513:$F$522)*(IF('Gastos com Pessoal'!$S$513:$S$522&lt;=H$3,1,0))*OFFSET('Gastos com Pessoal'!$H$512,1,MATCH(3&amp;$B54,'Gastos com Pessoal'!$I$532:$AJ$532&amp;'Gastos com Pessoal'!$I$512:$AJ$512,0),10,1)),0)+_xlfn.IFNA(SUM((H$3&gt;='Gastos com Pessoal'!$E$513:$E$522)*(H$3&lt;='Gastos com Pessoal'!$F$513:$F$522)*(IF('Gastos com Pessoal'!$Y$513:$Y$522&lt;=H$3,1,0))*OFFSET('Gastos com Pessoal'!$H$512,1,MATCH(4&amp;$B54,'Gastos com Pessoal'!$I$532:$AJ$532&amp;'Gastos com Pessoal'!$I$512:$AJ$512,0),10,1)),0)+_xlfn.IFNA(SUM((H$3&gt;='Gastos com Pessoal'!$E$513:$E$522)*(H$3&lt;='Gastos com Pessoal'!$F$513:$F$522)*(IF('Gastos com Pessoal'!$AE$513:$AE$522&lt;=H$3,1,0))*OFFSET('Gastos com Pessoal'!$H$512,1,MATCH(5&amp;$B54,'Gastos com Pessoal'!$I$532:$AJ$532&amp;'Gastos com Pessoal'!$I$512:$AJ$512,0),10,1)),0)</f>
        <v>6101.6999999999807</v>
      </c>
      <c r="I54" s="188">
        <f t="array" aca="1" ref="I54" ca="1">_xlfn.IFNA(SUM((I$3&gt;='Gastos com Pessoal'!$E$7:$E$506)*(I$3&lt;='Gastos com Pessoal'!$F$7:$F$506)*OFFSET('Encargos e Benefícios'!$D$5,1,MATCH($B54,'Encargos e Benefícios'!$E$5:$AB$5,0),500,1)),0)+_xlfn.IFNA(SUM((I$3&gt;='Gastos com Pessoal'!$E$513:$E$522)*(I$3&lt;='Gastos com Pessoal'!$F$513:$F$522)*OFFSET('Encargos e Benefícios'!$D$511,1,MATCH($B54,'Encargos e Benefícios'!$E$511:$AB$511,0),10,1)),0)+_xlfn.IFNA(SUM((I$3&gt;='Gastos com Pessoal'!$E$7:$E$506)*(I$3&lt;='Gastos com Pessoal'!$F$7:$F$506)*(IF('Gastos com Pessoal'!$G$7:$G$506&lt;=I$3,1,0))*OFFSET('Gastos com Pessoal'!$H$6,1,MATCH(1&amp;$B54,'Gastos com Pessoal'!$I$532:$AJ$532&amp;'Gastos com Pessoal'!$I$6:$AJ$6,0),500,1)),0)+_xlfn.IFNA(SUM((I$3&gt;='Gastos com Pessoal'!$E$7:$E$506)*(I$3&lt;='Gastos com Pessoal'!$F$7:$F$506)*(IF('Gastos com Pessoal'!$M$7:$M$506&lt;=I$3,1,0))*OFFSET('Gastos com Pessoal'!$H$6,1,MATCH(2&amp;$B54,'Gastos com Pessoal'!$I$532:$AJ$532&amp;'Gastos com Pessoal'!$I$6:$AJ$6,0),500,1)),0)+_xlfn.IFNA(SUM((I$3&gt;='Gastos com Pessoal'!$E$7:$E$506)*(I$3&lt;='Gastos com Pessoal'!$F$7:$F$506)*(IF('Gastos com Pessoal'!$S$7:$S$506&lt;=I$3,1,0))*OFFSET('Gastos com Pessoal'!$H$6,1,MATCH(3&amp;$B54,'Gastos com Pessoal'!$I$532:$AJ$532&amp;'Gastos com Pessoal'!$I$6:$AJ$6,0),500,1)),0)+_xlfn.IFNA(SUM((I$3&gt;='Gastos com Pessoal'!$E$7:$E$506)*(I$3&lt;='Gastos com Pessoal'!$F$7:$F$506)*(IF('Gastos com Pessoal'!$Y$7:$Y$506&lt;=I$3,1,0))*OFFSET('Gastos com Pessoal'!$H$6,1,MATCH(4&amp;$B54,'Gastos com Pessoal'!$I$532:$AJ$532&amp;'Gastos com Pessoal'!$I$6:$AJ$6,0),500,1)),0)+_xlfn.IFNA(SUM((I$3&gt;='Gastos com Pessoal'!$E$7:$E$506)*(I$3&lt;='Gastos com Pessoal'!$F$7:$F$506)*(IF('Gastos com Pessoal'!$AE$7:$AE$506&lt;=I$3,1,0))*OFFSET('Gastos com Pessoal'!$H$6,1,MATCH(5&amp;$B54,'Gastos com Pessoal'!$I$532:$AJ$532&amp;'Gastos com Pessoal'!$I$6:$AJ$6,0),500,1)),0)+_xlfn.IFNA(SUM((I$3&gt;='Gastos com Pessoal'!$E$513:$E$522)*(I$3&lt;='Gastos com Pessoal'!$F$513:$F$522)*(IF('Gastos com Pessoal'!$G$513:$G$522&lt;=I$3,1,0))*OFFSET('Gastos com Pessoal'!$H$512,1,MATCH(1&amp;$B54,'Gastos com Pessoal'!$I$532:$AJ$532&amp;'Gastos com Pessoal'!$I$512:$AJ$512,0),10,1)),0)+_xlfn.IFNA(SUM((I$3&gt;='Gastos com Pessoal'!$E$513:$E$522)*(I$3&lt;='Gastos com Pessoal'!$F$513:$F$522)*(IF('Gastos com Pessoal'!$M$513:$M$522&lt;=I$3,1,0))*OFFSET('Gastos com Pessoal'!$H$512,1,MATCH(2&amp;$B54,'Gastos com Pessoal'!$I$532:$AJ$532&amp;'Gastos com Pessoal'!$I$512:$AJ$512,0),10,1)),0)+_xlfn.IFNA(SUM((I$3&gt;='Gastos com Pessoal'!$E$513:$E$522)*(I$3&lt;='Gastos com Pessoal'!$F$513:$F$522)*(IF('Gastos com Pessoal'!$S$513:$S$522&lt;=I$3,1,0))*OFFSET('Gastos com Pessoal'!$H$512,1,MATCH(3&amp;$B54,'Gastos com Pessoal'!$I$532:$AJ$532&amp;'Gastos com Pessoal'!$I$512:$AJ$512,0),10,1)),0)+_xlfn.IFNA(SUM((I$3&gt;='Gastos com Pessoal'!$E$513:$E$522)*(I$3&lt;='Gastos com Pessoal'!$F$513:$F$522)*(IF('Gastos com Pessoal'!$Y$513:$Y$522&lt;=I$3,1,0))*OFFSET('Gastos com Pessoal'!$H$512,1,MATCH(4&amp;$B54,'Gastos com Pessoal'!$I$532:$AJ$532&amp;'Gastos com Pessoal'!$I$512:$AJ$512,0),10,1)),0)+_xlfn.IFNA(SUM((I$3&gt;='Gastos com Pessoal'!$E$513:$E$522)*(I$3&lt;='Gastos com Pessoal'!$F$513:$F$522)*(IF('Gastos com Pessoal'!$AE$513:$AE$522&lt;=I$3,1,0))*OFFSET('Gastos com Pessoal'!$H$512,1,MATCH(5&amp;$B54,'Gastos com Pessoal'!$I$532:$AJ$532&amp;'Gastos com Pessoal'!$I$512:$AJ$512,0),10,1)),0)</f>
        <v>6101.6999999999807</v>
      </c>
      <c r="J54" s="188">
        <f t="array" aca="1" ref="J54" ca="1">_xlfn.IFNA(SUM((J$3&gt;='Gastos com Pessoal'!$E$7:$E$506)*(J$3&lt;='Gastos com Pessoal'!$F$7:$F$506)*OFFSET('Encargos e Benefícios'!$D$5,1,MATCH($B54,'Encargos e Benefícios'!$E$5:$AB$5,0),500,1)),0)+_xlfn.IFNA(SUM((J$3&gt;='Gastos com Pessoal'!$E$513:$E$522)*(J$3&lt;='Gastos com Pessoal'!$F$513:$F$522)*OFFSET('Encargos e Benefícios'!$D$511,1,MATCH($B54,'Encargos e Benefícios'!$E$511:$AB$511,0),10,1)),0)+_xlfn.IFNA(SUM((J$3&gt;='Gastos com Pessoal'!$E$7:$E$506)*(J$3&lt;='Gastos com Pessoal'!$F$7:$F$506)*(IF('Gastos com Pessoal'!$G$7:$G$506&lt;=J$3,1,0))*OFFSET('Gastos com Pessoal'!$H$6,1,MATCH(1&amp;$B54,'Gastos com Pessoal'!$I$532:$AJ$532&amp;'Gastos com Pessoal'!$I$6:$AJ$6,0),500,1)),0)+_xlfn.IFNA(SUM((J$3&gt;='Gastos com Pessoal'!$E$7:$E$506)*(J$3&lt;='Gastos com Pessoal'!$F$7:$F$506)*(IF('Gastos com Pessoal'!$M$7:$M$506&lt;=J$3,1,0))*OFFSET('Gastos com Pessoal'!$H$6,1,MATCH(2&amp;$B54,'Gastos com Pessoal'!$I$532:$AJ$532&amp;'Gastos com Pessoal'!$I$6:$AJ$6,0),500,1)),0)+_xlfn.IFNA(SUM((J$3&gt;='Gastos com Pessoal'!$E$7:$E$506)*(J$3&lt;='Gastos com Pessoal'!$F$7:$F$506)*(IF('Gastos com Pessoal'!$S$7:$S$506&lt;=J$3,1,0))*OFFSET('Gastos com Pessoal'!$H$6,1,MATCH(3&amp;$B54,'Gastos com Pessoal'!$I$532:$AJ$532&amp;'Gastos com Pessoal'!$I$6:$AJ$6,0),500,1)),0)+_xlfn.IFNA(SUM((J$3&gt;='Gastos com Pessoal'!$E$7:$E$506)*(J$3&lt;='Gastos com Pessoal'!$F$7:$F$506)*(IF('Gastos com Pessoal'!$Y$7:$Y$506&lt;=J$3,1,0))*OFFSET('Gastos com Pessoal'!$H$6,1,MATCH(4&amp;$B54,'Gastos com Pessoal'!$I$532:$AJ$532&amp;'Gastos com Pessoal'!$I$6:$AJ$6,0),500,1)),0)+_xlfn.IFNA(SUM((J$3&gt;='Gastos com Pessoal'!$E$7:$E$506)*(J$3&lt;='Gastos com Pessoal'!$F$7:$F$506)*(IF('Gastos com Pessoal'!$AE$7:$AE$506&lt;=J$3,1,0))*OFFSET('Gastos com Pessoal'!$H$6,1,MATCH(5&amp;$B54,'Gastos com Pessoal'!$I$532:$AJ$532&amp;'Gastos com Pessoal'!$I$6:$AJ$6,0),500,1)),0)+_xlfn.IFNA(SUM((J$3&gt;='Gastos com Pessoal'!$E$513:$E$522)*(J$3&lt;='Gastos com Pessoal'!$F$513:$F$522)*(IF('Gastos com Pessoal'!$G$513:$G$522&lt;=J$3,1,0))*OFFSET('Gastos com Pessoal'!$H$512,1,MATCH(1&amp;$B54,'Gastos com Pessoal'!$I$532:$AJ$532&amp;'Gastos com Pessoal'!$I$512:$AJ$512,0),10,1)),0)+_xlfn.IFNA(SUM((J$3&gt;='Gastos com Pessoal'!$E$513:$E$522)*(J$3&lt;='Gastos com Pessoal'!$F$513:$F$522)*(IF('Gastos com Pessoal'!$M$513:$M$522&lt;=J$3,1,0))*OFFSET('Gastos com Pessoal'!$H$512,1,MATCH(2&amp;$B54,'Gastos com Pessoal'!$I$532:$AJ$532&amp;'Gastos com Pessoal'!$I$512:$AJ$512,0),10,1)),0)+_xlfn.IFNA(SUM((J$3&gt;='Gastos com Pessoal'!$E$513:$E$522)*(J$3&lt;='Gastos com Pessoal'!$F$513:$F$522)*(IF('Gastos com Pessoal'!$S$513:$S$522&lt;=J$3,1,0))*OFFSET('Gastos com Pessoal'!$H$512,1,MATCH(3&amp;$B54,'Gastos com Pessoal'!$I$532:$AJ$532&amp;'Gastos com Pessoal'!$I$512:$AJ$512,0),10,1)),0)+_xlfn.IFNA(SUM((J$3&gt;='Gastos com Pessoal'!$E$513:$E$522)*(J$3&lt;='Gastos com Pessoal'!$F$513:$F$522)*(IF('Gastos com Pessoal'!$Y$513:$Y$522&lt;=J$3,1,0))*OFFSET('Gastos com Pessoal'!$H$512,1,MATCH(4&amp;$B54,'Gastos com Pessoal'!$I$532:$AJ$532&amp;'Gastos com Pessoal'!$I$512:$AJ$512,0),10,1)),0)+_xlfn.IFNA(SUM((J$3&gt;='Gastos com Pessoal'!$E$513:$E$522)*(J$3&lt;='Gastos com Pessoal'!$F$513:$F$522)*(IF('Gastos com Pessoal'!$AE$513:$AE$522&lt;=J$3,1,0))*OFFSET('Gastos com Pessoal'!$H$512,1,MATCH(5&amp;$B54,'Gastos com Pessoal'!$I$532:$AJ$532&amp;'Gastos com Pessoal'!$I$512:$AJ$512,0),10,1)),0)</f>
        <v>6101.6999999999807</v>
      </c>
      <c r="K54" s="188">
        <f t="array" aca="1" ref="K54" ca="1">_xlfn.IFNA(SUM((K$3&gt;='Gastos com Pessoal'!$E$7:$E$506)*(K$3&lt;='Gastos com Pessoal'!$F$7:$F$506)*OFFSET('Encargos e Benefícios'!$D$5,1,MATCH($B54,'Encargos e Benefícios'!$E$5:$AB$5,0),500,1)),0)+_xlfn.IFNA(SUM((K$3&gt;='Gastos com Pessoal'!$E$513:$E$522)*(K$3&lt;='Gastos com Pessoal'!$F$513:$F$522)*OFFSET('Encargos e Benefícios'!$D$511,1,MATCH($B54,'Encargos e Benefícios'!$E$511:$AB$511,0),10,1)),0)+_xlfn.IFNA(SUM((K$3&gt;='Gastos com Pessoal'!$E$7:$E$506)*(K$3&lt;='Gastos com Pessoal'!$F$7:$F$506)*(IF('Gastos com Pessoal'!$G$7:$G$506&lt;=K$3,1,0))*OFFSET('Gastos com Pessoal'!$H$6,1,MATCH(1&amp;$B54,'Gastos com Pessoal'!$I$532:$AJ$532&amp;'Gastos com Pessoal'!$I$6:$AJ$6,0),500,1)),0)+_xlfn.IFNA(SUM((K$3&gt;='Gastos com Pessoal'!$E$7:$E$506)*(K$3&lt;='Gastos com Pessoal'!$F$7:$F$506)*(IF('Gastos com Pessoal'!$M$7:$M$506&lt;=K$3,1,0))*OFFSET('Gastos com Pessoal'!$H$6,1,MATCH(2&amp;$B54,'Gastos com Pessoal'!$I$532:$AJ$532&amp;'Gastos com Pessoal'!$I$6:$AJ$6,0),500,1)),0)+_xlfn.IFNA(SUM((K$3&gt;='Gastos com Pessoal'!$E$7:$E$506)*(K$3&lt;='Gastos com Pessoal'!$F$7:$F$506)*(IF('Gastos com Pessoal'!$S$7:$S$506&lt;=K$3,1,0))*OFFSET('Gastos com Pessoal'!$H$6,1,MATCH(3&amp;$B54,'Gastos com Pessoal'!$I$532:$AJ$532&amp;'Gastos com Pessoal'!$I$6:$AJ$6,0),500,1)),0)+_xlfn.IFNA(SUM((K$3&gt;='Gastos com Pessoal'!$E$7:$E$506)*(K$3&lt;='Gastos com Pessoal'!$F$7:$F$506)*(IF('Gastos com Pessoal'!$Y$7:$Y$506&lt;=K$3,1,0))*OFFSET('Gastos com Pessoal'!$H$6,1,MATCH(4&amp;$B54,'Gastos com Pessoal'!$I$532:$AJ$532&amp;'Gastos com Pessoal'!$I$6:$AJ$6,0),500,1)),0)+_xlfn.IFNA(SUM((K$3&gt;='Gastos com Pessoal'!$E$7:$E$506)*(K$3&lt;='Gastos com Pessoal'!$F$7:$F$506)*(IF('Gastos com Pessoal'!$AE$7:$AE$506&lt;=K$3,1,0))*OFFSET('Gastos com Pessoal'!$H$6,1,MATCH(5&amp;$B54,'Gastos com Pessoal'!$I$532:$AJ$532&amp;'Gastos com Pessoal'!$I$6:$AJ$6,0),500,1)),0)+_xlfn.IFNA(SUM((K$3&gt;='Gastos com Pessoal'!$E$513:$E$522)*(K$3&lt;='Gastos com Pessoal'!$F$513:$F$522)*(IF('Gastos com Pessoal'!$G$513:$G$522&lt;=K$3,1,0))*OFFSET('Gastos com Pessoal'!$H$512,1,MATCH(1&amp;$B54,'Gastos com Pessoal'!$I$532:$AJ$532&amp;'Gastos com Pessoal'!$I$512:$AJ$512,0),10,1)),0)+_xlfn.IFNA(SUM((K$3&gt;='Gastos com Pessoal'!$E$513:$E$522)*(K$3&lt;='Gastos com Pessoal'!$F$513:$F$522)*(IF('Gastos com Pessoal'!$M$513:$M$522&lt;=K$3,1,0))*OFFSET('Gastos com Pessoal'!$H$512,1,MATCH(2&amp;$B54,'Gastos com Pessoal'!$I$532:$AJ$532&amp;'Gastos com Pessoal'!$I$512:$AJ$512,0),10,1)),0)+_xlfn.IFNA(SUM((K$3&gt;='Gastos com Pessoal'!$E$513:$E$522)*(K$3&lt;='Gastos com Pessoal'!$F$513:$F$522)*(IF('Gastos com Pessoal'!$S$513:$S$522&lt;=K$3,1,0))*OFFSET('Gastos com Pessoal'!$H$512,1,MATCH(3&amp;$B54,'Gastos com Pessoal'!$I$532:$AJ$532&amp;'Gastos com Pessoal'!$I$512:$AJ$512,0),10,1)),0)+_xlfn.IFNA(SUM((K$3&gt;='Gastos com Pessoal'!$E$513:$E$522)*(K$3&lt;='Gastos com Pessoal'!$F$513:$F$522)*(IF('Gastos com Pessoal'!$Y$513:$Y$522&lt;=K$3,1,0))*OFFSET('Gastos com Pessoal'!$H$512,1,MATCH(4&amp;$B54,'Gastos com Pessoal'!$I$532:$AJ$532&amp;'Gastos com Pessoal'!$I$512:$AJ$512,0),10,1)),0)+_xlfn.IFNA(SUM((K$3&gt;='Gastos com Pessoal'!$E$513:$E$522)*(K$3&lt;='Gastos com Pessoal'!$F$513:$F$522)*(IF('Gastos com Pessoal'!$AE$513:$AE$522&lt;=K$3,1,0))*OFFSET('Gastos com Pessoal'!$H$512,1,MATCH(5&amp;$B54,'Gastos com Pessoal'!$I$532:$AJ$532&amp;'Gastos com Pessoal'!$I$512:$AJ$512,0),10,1)),0)</f>
        <v>6101.6999999999807</v>
      </c>
      <c r="L54" s="188">
        <f t="array" aca="1" ref="L54" ca="1">_xlfn.IFNA(SUM((L$3&gt;='Gastos com Pessoal'!$E$7:$E$506)*(L$3&lt;='Gastos com Pessoal'!$F$7:$F$506)*OFFSET('Encargos e Benefícios'!$D$5,1,MATCH($B54,'Encargos e Benefícios'!$E$5:$AB$5,0),500,1)),0)+_xlfn.IFNA(SUM((L$3&gt;='Gastos com Pessoal'!$E$513:$E$522)*(L$3&lt;='Gastos com Pessoal'!$F$513:$F$522)*OFFSET('Encargos e Benefícios'!$D$511,1,MATCH($B54,'Encargos e Benefícios'!$E$511:$AB$511,0),10,1)),0)+_xlfn.IFNA(SUM((L$3&gt;='Gastos com Pessoal'!$E$7:$E$506)*(L$3&lt;='Gastos com Pessoal'!$F$7:$F$506)*(IF('Gastos com Pessoal'!$G$7:$G$506&lt;=L$3,1,0))*OFFSET('Gastos com Pessoal'!$H$6,1,MATCH(1&amp;$B54,'Gastos com Pessoal'!$I$532:$AJ$532&amp;'Gastos com Pessoal'!$I$6:$AJ$6,0),500,1)),0)+_xlfn.IFNA(SUM((L$3&gt;='Gastos com Pessoal'!$E$7:$E$506)*(L$3&lt;='Gastos com Pessoal'!$F$7:$F$506)*(IF('Gastos com Pessoal'!$M$7:$M$506&lt;=L$3,1,0))*OFFSET('Gastos com Pessoal'!$H$6,1,MATCH(2&amp;$B54,'Gastos com Pessoal'!$I$532:$AJ$532&amp;'Gastos com Pessoal'!$I$6:$AJ$6,0),500,1)),0)+_xlfn.IFNA(SUM((L$3&gt;='Gastos com Pessoal'!$E$7:$E$506)*(L$3&lt;='Gastos com Pessoal'!$F$7:$F$506)*(IF('Gastos com Pessoal'!$S$7:$S$506&lt;=L$3,1,0))*OFFSET('Gastos com Pessoal'!$H$6,1,MATCH(3&amp;$B54,'Gastos com Pessoal'!$I$532:$AJ$532&amp;'Gastos com Pessoal'!$I$6:$AJ$6,0),500,1)),0)+_xlfn.IFNA(SUM((L$3&gt;='Gastos com Pessoal'!$E$7:$E$506)*(L$3&lt;='Gastos com Pessoal'!$F$7:$F$506)*(IF('Gastos com Pessoal'!$Y$7:$Y$506&lt;=L$3,1,0))*OFFSET('Gastos com Pessoal'!$H$6,1,MATCH(4&amp;$B54,'Gastos com Pessoal'!$I$532:$AJ$532&amp;'Gastos com Pessoal'!$I$6:$AJ$6,0),500,1)),0)+_xlfn.IFNA(SUM((L$3&gt;='Gastos com Pessoal'!$E$7:$E$506)*(L$3&lt;='Gastos com Pessoal'!$F$7:$F$506)*(IF('Gastos com Pessoal'!$AE$7:$AE$506&lt;=L$3,1,0))*OFFSET('Gastos com Pessoal'!$H$6,1,MATCH(5&amp;$B54,'Gastos com Pessoal'!$I$532:$AJ$532&amp;'Gastos com Pessoal'!$I$6:$AJ$6,0),500,1)),0)+_xlfn.IFNA(SUM((L$3&gt;='Gastos com Pessoal'!$E$513:$E$522)*(L$3&lt;='Gastos com Pessoal'!$F$513:$F$522)*(IF('Gastos com Pessoal'!$G$513:$G$522&lt;=L$3,1,0))*OFFSET('Gastos com Pessoal'!$H$512,1,MATCH(1&amp;$B54,'Gastos com Pessoal'!$I$532:$AJ$532&amp;'Gastos com Pessoal'!$I$512:$AJ$512,0),10,1)),0)+_xlfn.IFNA(SUM((L$3&gt;='Gastos com Pessoal'!$E$513:$E$522)*(L$3&lt;='Gastos com Pessoal'!$F$513:$F$522)*(IF('Gastos com Pessoal'!$M$513:$M$522&lt;=L$3,1,0))*OFFSET('Gastos com Pessoal'!$H$512,1,MATCH(2&amp;$B54,'Gastos com Pessoal'!$I$532:$AJ$532&amp;'Gastos com Pessoal'!$I$512:$AJ$512,0),10,1)),0)+_xlfn.IFNA(SUM((L$3&gt;='Gastos com Pessoal'!$E$513:$E$522)*(L$3&lt;='Gastos com Pessoal'!$F$513:$F$522)*(IF('Gastos com Pessoal'!$S$513:$S$522&lt;=L$3,1,0))*OFFSET('Gastos com Pessoal'!$H$512,1,MATCH(3&amp;$B54,'Gastos com Pessoal'!$I$532:$AJ$532&amp;'Gastos com Pessoal'!$I$512:$AJ$512,0),10,1)),0)+_xlfn.IFNA(SUM((L$3&gt;='Gastos com Pessoal'!$E$513:$E$522)*(L$3&lt;='Gastos com Pessoal'!$F$513:$F$522)*(IF('Gastos com Pessoal'!$Y$513:$Y$522&lt;=L$3,1,0))*OFFSET('Gastos com Pessoal'!$H$512,1,MATCH(4&amp;$B54,'Gastos com Pessoal'!$I$532:$AJ$532&amp;'Gastos com Pessoal'!$I$512:$AJ$512,0),10,1)),0)+_xlfn.IFNA(SUM((L$3&gt;='Gastos com Pessoal'!$E$513:$E$522)*(L$3&lt;='Gastos com Pessoal'!$F$513:$F$522)*(IF('Gastos com Pessoal'!$AE$513:$AE$522&lt;=L$3,1,0))*OFFSET('Gastos com Pessoal'!$H$512,1,MATCH(5&amp;$B54,'Gastos com Pessoal'!$I$532:$AJ$532&amp;'Gastos com Pessoal'!$I$512:$AJ$512,0),10,1)),0)</f>
        <v>6101.6999999999807</v>
      </c>
      <c r="M54" s="188">
        <f t="array" aca="1" ref="M54" ca="1">_xlfn.IFNA(SUM((M$3&gt;='Gastos com Pessoal'!$E$7:$E$506)*(M$3&lt;='Gastos com Pessoal'!$F$7:$F$506)*OFFSET('Encargos e Benefícios'!$D$5,1,MATCH($B54,'Encargos e Benefícios'!$E$5:$AB$5,0),500,1)),0)+_xlfn.IFNA(SUM((M$3&gt;='Gastos com Pessoal'!$E$513:$E$522)*(M$3&lt;='Gastos com Pessoal'!$F$513:$F$522)*OFFSET('Encargos e Benefícios'!$D$511,1,MATCH($B54,'Encargos e Benefícios'!$E$511:$AB$511,0),10,1)),0)+_xlfn.IFNA(SUM((M$3&gt;='Gastos com Pessoal'!$E$7:$E$506)*(M$3&lt;='Gastos com Pessoal'!$F$7:$F$506)*(IF('Gastos com Pessoal'!$G$7:$G$506&lt;=M$3,1,0))*OFFSET('Gastos com Pessoal'!$H$6,1,MATCH(1&amp;$B54,'Gastos com Pessoal'!$I$532:$AJ$532&amp;'Gastos com Pessoal'!$I$6:$AJ$6,0),500,1)),0)+_xlfn.IFNA(SUM((M$3&gt;='Gastos com Pessoal'!$E$7:$E$506)*(M$3&lt;='Gastos com Pessoal'!$F$7:$F$506)*(IF('Gastos com Pessoal'!$M$7:$M$506&lt;=M$3,1,0))*OFFSET('Gastos com Pessoal'!$H$6,1,MATCH(2&amp;$B54,'Gastos com Pessoal'!$I$532:$AJ$532&amp;'Gastos com Pessoal'!$I$6:$AJ$6,0),500,1)),0)+_xlfn.IFNA(SUM((M$3&gt;='Gastos com Pessoal'!$E$7:$E$506)*(M$3&lt;='Gastos com Pessoal'!$F$7:$F$506)*(IF('Gastos com Pessoal'!$S$7:$S$506&lt;=M$3,1,0))*OFFSET('Gastos com Pessoal'!$H$6,1,MATCH(3&amp;$B54,'Gastos com Pessoal'!$I$532:$AJ$532&amp;'Gastos com Pessoal'!$I$6:$AJ$6,0),500,1)),0)+_xlfn.IFNA(SUM((M$3&gt;='Gastos com Pessoal'!$E$7:$E$506)*(M$3&lt;='Gastos com Pessoal'!$F$7:$F$506)*(IF('Gastos com Pessoal'!$Y$7:$Y$506&lt;=M$3,1,0))*OFFSET('Gastos com Pessoal'!$H$6,1,MATCH(4&amp;$B54,'Gastos com Pessoal'!$I$532:$AJ$532&amp;'Gastos com Pessoal'!$I$6:$AJ$6,0),500,1)),0)+_xlfn.IFNA(SUM((M$3&gt;='Gastos com Pessoal'!$E$7:$E$506)*(M$3&lt;='Gastos com Pessoal'!$F$7:$F$506)*(IF('Gastos com Pessoal'!$AE$7:$AE$506&lt;=M$3,1,0))*OFFSET('Gastos com Pessoal'!$H$6,1,MATCH(5&amp;$B54,'Gastos com Pessoal'!$I$532:$AJ$532&amp;'Gastos com Pessoal'!$I$6:$AJ$6,0),500,1)),0)+_xlfn.IFNA(SUM((M$3&gt;='Gastos com Pessoal'!$E$513:$E$522)*(M$3&lt;='Gastos com Pessoal'!$F$513:$F$522)*(IF('Gastos com Pessoal'!$G$513:$G$522&lt;=M$3,1,0))*OFFSET('Gastos com Pessoal'!$H$512,1,MATCH(1&amp;$B54,'Gastos com Pessoal'!$I$532:$AJ$532&amp;'Gastos com Pessoal'!$I$512:$AJ$512,0),10,1)),0)+_xlfn.IFNA(SUM((M$3&gt;='Gastos com Pessoal'!$E$513:$E$522)*(M$3&lt;='Gastos com Pessoal'!$F$513:$F$522)*(IF('Gastos com Pessoal'!$M$513:$M$522&lt;=M$3,1,0))*OFFSET('Gastos com Pessoal'!$H$512,1,MATCH(2&amp;$B54,'Gastos com Pessoal'!$I$532:$AJ$532&amp;'Gastos com Pessoal'!$I$512:$AJ$512,0),10,1)),0)+_xlfn.IFNA(SUM((M$3&gt;='Gastos com Pessoal'!$E$513:$E$522)*(M$3&lt;='Gastos com Pessoal'!$F$513:$F$522)*(IF('Gastos com Pessoal'!$S$513:$S$522&lt;=M$3,1,0))*OFFSET('Gastos com Pessoal'!$H$512,1,MATCH(3&amp;$B54,'Gastos com Pessoal'!$I$532:$AJ$532&amp;'Gastos com Pessoal'!$I$512:$AJ$512,0),10,1)),0)+_xlfn.IFNA(SUM((M$3&gt;='Gastos com Pessoal'!$E$513:$E$522)*(M$3&lt;='Gastos com Pessoal'!$F$513:$F$522)*(IF('Gastos com Pessoal'!$Y$513:$Y$522&lt;=M$3,1,0))*OFFSET('Gastos com Pessoal'!$H$512,1,MATCH(4&amp;$B54,'Gastos com Pessoal'!$I$532:$AJ$532&amp;'Gastos com Pessoal'!$I$512:$AJ$512,0),10,1)),0)+_xlfn.IFNA(SUM((M$3&gt;='Gastos com Pessoal'!$E$513:$E$522)*(M$3&lt;='Gastos com Pessoal'!$F$513:$F$522)*(IF('Gastos com Pessoal'!$AE$513:$AE$522&lt;=M$3,1,0))*OFFSET('Gastos com Pessoal'!$H$512,1,MATCH(5&amp;$B54,'Gastos com Pessoal'!$I$532:$AJ$532&amp;'Gastos com Pessoal'!$I$512:$AJ$512,0),10,1)),0)</f>
        <v>6148.99999999998</v>
      </c>
      <c r="N54" s="188">
        <f t="array" aca="1" ref="N54" ca="1">_xlfn.IFNA(SUM((N$3&gt;='Gastos com Pessoal'!$E$7:$E$506)*(N$3&lt;='Gastos com Pessoal'!$F$7:$F$506)*OFFSET('Encargos e Benefícios'!$D$5,1,MATCH($B54,'Encargos e Benefícios'!$E$5:$AB$5,0),500,1)),0)+_xlfn.IFNA(SUM((N$3&gt;='Gastos com Pessoal'!$E$513:$E$522)*(N$3&lt;='Gastos com Pessoal'!$F$513:$F$522)*OFFSET('Encargos e Benefícios'!$D$511,1,MATCH($B54,'Encargos e Benefícios'!$E$511:$AB$511,0),10,1)),0)+_xlfn.IFNA(SUM((N$3&gt;='Gastos com Pessoal'!$E$7:$E$506)*(N$3&lt;='Gastos com Pessoal'!$F$7:$F$506)*(IF('Gastos com Pessoal'!$G$7:$G$506&lt;=N$3,1,0))*OFFSET('Gastos com Pessoal'!$H$6,1,MATCH(1&amp;$B54,'Gastos com Pessoal'!$I$532:$AJ$532&amp;'Gastos com Pessoal'!$I$6:$AJ$6,0),500,1)),0)+_xlfn.IFNA(SUM((N$3&gt;='Gastos com Pessoal'!$E$7:$E$506)*(N$3&lt;='Gastos com Pessoal'!$F$7:$F$506)*(IF('Gastos com Pessoal'!$M$7:$M$506&lt;=N$3,1,0))*OFFSET('Gastos com Pessoal'!$H$6,1,MATCH(2&amp;$B54,'Gastos com Pessoal'!$I$532:$AJ$532&amp;'Gastos com Pessoal'!$I$6:$AJ$6,0),500,1)),0)+_xlfn.IFNA(SUM((N$3&gt;='Gastos com Pessoal'!$E$7:$E$506)*(N$3&lt;='Gastos com Pessoal'!$F$7:$F$506)*(IF('Gastos com Pessoal'!$S$7:$S$506&lt;=N$3,1,0))*OFFSET('Gastos com Pessoal'!$H$6,1,MATCH(3&amp;$B54,'Gastos com Pessoal'!$I$532:$AJ$532&amp;'Gastos com Pessoal'!$I$6:$AJ$6,0),500,1)),0)+_xlfn.IFNA(SUM((N$3&gt;='Gastos com Pessoal'!$E$7:$E$506)*(N$3&lt;='Gastos com Pessoal'!$F$7:$F$506)*(IF('Gastos com Pessoal'!$Y$7:$Y$506&lt;=N$3,1,0))*OFFSET('Gastos com Pessoal'!$H$6,1,MATCH(4&amp;$B54,'Gastos com Pessoal'!$I$532:$AJ$532&amp;'Gastos com Pessoal'!$I$6:$AJ$6,0),500,1)),0)+_xlfn.IFNA(SUM((N$3&gt;='Gastos com Pessoal'!$E$7:$E$506)*(N$3&lt;='Gastos com Pessoal'!$F$7:$F$506)*(IF('Gastos com Pessoal'!$AE$7:$AE$506&lt;=N$3,1,0))*OFFSET('Gastos com Pessoal'!$H$6,1,MATCH(5&amp;$B54,'Gastos com Pessoal'!$I$532:$AJ$532&amp;'Gastos com Pessoal'!$I$6:$AJ$6,0),500,1)),0)+_xlfn.IFNA(SUM((N$3&gt;='Gastos com Pessoal'!$E$513:$E$522)*(N$3&lt;='Gastos com Pessoal'!$F$513:$F$522)*(IF('Gastos com Pessoal'!$G$513:$G$522&lt;=N$3,1,0))*OFFSET('Gastos com Pessoal'!$H$512,1,MATCH(1&amp;$B54,'Gastos com Pessoal'!$I$532:$AJ$532&amp;'Gastos com Pessoal'!$I$512:$AJ$512,0),10,1)),0)+_xlfn.IFNA(SUM((N$3&gt;='Gastos com Pessoal'!$E$513:$E$522)*(N$3&lt;='Gastos com Pessoal'!$F$513:$F$522)*(IF('Gastos com Pessoal'!$M$513:$M$522&lt;=N$3,1,0))*OFFSET('Gastos com Pessoal'!$H$512,1,MATCH(2&amp;$B54,'Gastos com Pessoal'!$I$532:$AJ$532&amp;'Gastos com Pessoal'!$I$512:$AJ$512,0),10,1)),0)+_xlfn.IFNA(SUM((N$3&gt;='Gastos com Pessoal'!$E$513:$E$522)*(N$3&lt;='Gastos com Pessoal'!$F$513:$F$522)*(IF('Gastos com Pessoal'!$S$513:$S$522&lt;=N$3,1,0))*OFFSET('Gastos com Pessoal'!$H$512,1,MATCH(3&amp;$B54,'Gastos com Pessoal'!$I$532:$AJ$532&amp;'Gastos com Pessoal'!$I$512:$AJ$512,0),10,1)),0)+_xlfn.IFNA(SUM((N$3&gt;='Gastos com Pessoal'!$E$513:$E$522)*(N$3&lt;='Gastos com Pessoal'!$F$513:$F$522)*(IF('Gastos com Pessoal'!$Y$513:$Y$522&lt;=N$3,1,0))*OFFSET('Gastos com Pessoal'!$H$512,1,MATCH(4&amp;$B54,'Gastos com Pessoal'!$I$532:$AJ$532&amp;'Gastos com Pessoal'!$I$512:$AJ$512,0),10,1)),0)+_xlfn.IFNA(SUM((N$3&gt;='Gastos com Pessoal'!$E$513:$E$522)*(N$3&lt;='Gastos com Pessoal'!$F$513:$F$522)*(IF('Gastos com Pessoal'!$AE$513:$AE$522&lt;=N$3,1,0))*OFFSET('Gastos com Pessoal'!$H$512,1,MATCH(5&amp;$B54,'Gastos com Pessoal'!$I$532:$AJ$532&amp;'Gastos com Pessoal'!$I$512:$AJ$512,0),10,1)),0)</f>
        <v>6456.4499999999753</v>
      </c>
      <c r="O54" s="188">
        <f t="array" aca="1" ref="O54" ca="1">_xlfn.IFNA(SUM((O$3&gt;='Gastos com Pessoal'!$E$7:$E$506)*(O$3&lt;='Gastos com Pessoal'!$F$7:$F$506)*OFFSET('Encargos e Benefícios'!$D$5,1,MATCH($B54,'Encargos e Benefícios'!$E$5:$AB$5,0),500,1)),0)+_xlfn.IFNA(SUM((O$3&gt;='Gastos com Pessoal'!$E$513:$E$522)*(O$3&lt;='Gastos com Pessoal'!$F$513:$F$522)*OFFSET('Encargos e Benefícios'!$D$511,1,MATCH($B54,'Encargos e Benefícios'!$E$511:$AB$511,0),10,1)),0)+_xlfn.IFNA(SUM((O$3&gt;='Gastos com Pessoal'!$E$7:$E$506)*(O$3&lt;='Gastos com Pessoal'!$F$7:$F$506)*(IF('Gastos com Pessoal'!$G$7:$G$506&lt;=O$3,1,0))*OFFSET('Gastos com Pessoal'!$H$6,1,MATCH(1&amp;$B54,'Gastos com Pessoal'!$I$532:$AJ$532&amp;'Gastos com Pessoal'!$I$6:$AJ$6,0),500,1)),0)+_xlfn.IFNA(SUM((O$3&gt;='Gastos com Pessoal'!$E$7:$E$506)*(O$3&lt;='Gastos com Pessoal'!$F$7:$F$506)*(IF('Gastos com Pessoal'!$M$7:$M$506&lt;=O$3,1,0))*OFFSET('Gastos com Pessoal'!$H$6,1,MATCH(2&amp;$B54,'Gastos com Pessoal'!$I$532:$AJ$532&amp;'Gastos com Pessoal'!$I$6:$AJ$6,0),500,1)),0)+_xlfn.IFNA(SUM((O$3&gt;='Gastos com Pessoal'!$E$7:$E$506)*(O$3&lt;='Gastos com Pessoal'!$F$7:$F$506)*(IF('Gastos com Pessoal'!$S$7:$S$506&lt;=O$3,1,0))*OFFSET('Gastos com Pessoal'!$H$6,1,MATCH(3&amp;$B54,'Gastos com Pessoal'!$I$532:$AJ$532&amp;'Gastos com Pessoal'!$I$6:$AJ$6,0),500,1)),0)+_xlfn.IFNA(SUM((O$3&gt;='Gastos com Pessoal'!$E$7:$E$506)*(O$3&lt;='Gastos com Pessoal'!$F$7:$F$506)*(IF('Gastos com Pessoal'!$Y$7:$Y$506&lt;=O$3,1,0))*OFFSET('Gastos com Pessoal'!$H$6,1,MATCH(4&amp;$B54,'Gastos com Pessoal'!$I$532:$AJ$532&amp;'Gastos com Pessoal'!$I$6:$AJ$6,0),500,1)),0)+_xlfn.IFNA(SUM((O$3&gt;='Gastos com Pessoal'!$E$7:$E$506)*(O$3&lt;='Gastos com Pessoal'!$F$7:$F$506)*(IF('Gastos com Pessoal'!$AE$7:$AE$506&lt;=O$3,1,0))*OFFSET('Gastos com Pessoal'!$H$6,1,MATCH(5&amp;$B54,'Gastos com Pessoal'!$I$532:$AJ$532&amp;'Gastos com Pessoal'!$I$6:$AJ$6,0),500,1)),0)+_xlfn.IFNA(SUM((O$3&gt;='Gastos com Pessoal'!$E$513:$E$522)*(O$3&lt;='Gastos com Pessoal'!$F$513:$F$522)*(IF('Gastos com Pessoal'!$G$513:$G$522&lt;=O$3,1,0))*OFFSET('Gastos com Pessoal'!$H$512,1,MATCH(1&amp;$B54,'Gastos com Pessoal'!$I$532:$AJ$532&amp;'Gastos com Pessoal'!$I$512:$AJ$512,0),10,1)),0)+_xlfn.IFNA(SUM((O$3&gt;='Gastos com Pessoal'!$E$513:$E$522)*(O$3&lt;='Gastos com Pessoal'!$F$513:$F$522)*(IF('Gastos com Pessoal'!$M$513:$M$522&lt;=O$3,1,0))*OFFSET('Gastos com Pessoal'!$H$512,1,MATCH(2&amp;$B54,'Gastos com Pessoal'!$I$532:$AJ$532&amp;'Gastos com Pessoal'!$I$512:$AJ$512,0),10,1)),0)+_xlfn.IFNA(SUM((O$3&gt;='Gastos com Pessoal'!$E$513:$E$522)*(O$3&lt;='Gastos com Pessoal'!$F$513:$F$522)*(IF('Gastos com Pessoal'!$S$513:$S$522&lt;=O$3,1,0))*OFFSET('Gastos com Pessoal'!$H$512,1,MATCH(3&amp;$B54,'Gastos com Pessoal'!$I$532:$AJ$532&amp;'Gastos com Pessoal'!$I$512:$AJ$512,0),10,1)),0)+_xlfn.IFNA(SUM((O$3&gt;='Gastos com Pessoal'!$E$513:$E$522)*(O$3&lt;='Gastos com Pessoal'!$F$513:$F$522)*(IF('Gastos com Pessoal'!$Y$513:$Y$522&lt;=O$3,1,0))*OFFSET('Gastos com Pessoal'!$H$512,1,MATCH(4&amp;$B54,'Gastos com Pessoal'!$I$532:$AJ$532&amp;'Gastos com Pessoal'!$I$512:$AJ$512,0),10,1)),0)+_xlfn.IFNA(SUM((O$3&gt;='Gastos com Pessoal'!$E$513:$E$522)*(O$3&lt;='Gastos com Pessoal'!$F$513:$F$522)*(IF('Gastos com Pessoal'!$AE$513:$AE$522&lt;=O$3,1,0))*OFFSET('Gastos com Pessoal'!$H$512,1,MATCH(5&amp;$B54,'Gastos com Pessoal'!$I$532:$AJ$532&amp;'Gastos com Pessoal'!$I$512:$AJ$512,0),10,1)),0)</f>
        <v>6456.4499999999753</v>
      </c>
      <c r="P54" s="188">
        <f t="array" aca="1" ref="P54" ca="1">_xlfn.IFNA(SUM((P$3&gt;='Gastos com Pessoal'!$E$7:$E$506)*(P$3&lt;='Gastos com Pessoal'!$F$7:$F$506)*OFFSET('Encargos e Benefícios'!$D$5,1,MATCH($B54,'Encargos e Benefícios'!$E$5:$AB$5,0),500,1)),0)+_xlfn.IFNA(SUM((P$3&gt;='Gastos com Pessoal'!$E$513:$E$522)*(P$3&lt;='Gastos com Pessoal'!$F$513:$F$522)*OFFSET('Encargos e Benefícios'!$D$511,1,MATCH($B54,'Encargos e Benefícios'!$E$511:$AB$511,0),10,1)),0)+_xlfn.IFNA(SUM((P$3&gt;='Gastos com Pessoal'!$E$7:$E$506)*(P$3&lt;='Gastos com Pessoal'!$F$7:$F$506)*(IF('Gastos com Pessoal'!$G$7:$G$506&lt;=P$3,1,0))*OFFSET('Gastos com Pessoal'!$H$6,1,MATCH(1&amp;$B54,'Gastos com Pessoal'!$I$532:$AJ$532&amp;'Gastos com Pessoal'!$I$6:$AJ$6,0),500,1)),0)+_xlfn.IFNA(SUM((P$3&gt;='Gastos com Pessoal'!$E$7:$E$506)*(P$3&lt;='Gastos com Pessoal'!$F$7:$F$506)*(IF('Gastos com Pessoal'!$M$7:$M$506&lt;=P$3,1,0))*OFFSET('Gastos com Pessoal'!$H$6,1,MATCH(2&amp;$B54,'Gastos com Pessoal'!$I$532:$AJ$532&amp;'Gastos com Pessoal'!$I$6:$AJ$6,0),500,1)),0)+_xlfn.IFNA(SUM((P$3&gt;='Gastos com Pessoal'!$E$7:$E$506)*(P$3&lt;='Gastos com Pessoal'!$F$7:$F$506)*(IF('Gastos com Pessoal'!$S$7:$S$506&lt;=P$3,1,0))*OFFSET('Gastos com Pessoal'!$H$6,1,MATCH(3&amp;$B54,'Gastos com Pessoal'!$I$532:$AJ$532&amp;'Gastos com Pessoal'!$I$6:$AJ$6,0),500,1)),0)+_xlfn.IFNA(SUM((P$3&gt;='Gastos com Pessoal'!$E$7:$E$506)*(P$3&lt;='Gastos com Pessoal'!$F$7:$F$506)*(IF('Gastos com Pessoal'!$Y$7:$Y$506&lt;=P$3,1,0))*OFFSET('Gastos com Pessoal'!$H$6,1,MATCH(4&amp;$B54,'Gastos com Pessoal'!$I$532:$AJ$532&amp;'Gastos com Pessoal'!$I$6:$AJ$6,0),500,1)),0)+_xlfn.IFNA(SUM((P$3&gt;='Gastos com Pessoal'!$E$7:$E$506)*(P$3&lt;='Gastos com Pessoal'!$F$7:$F$506)*(IF('Gastos com Pessoal'!$AE$7:$AE$506&lt;=P$3,1,0))*OFFSET('Gastos com Pessoal'!$H$6,1,MATCH(5&amp;$B54,'Gastos com Pessoal'!$I$532:$AJ$532&amp;'Gastos com Pessoal'!$I$6:$AJ$6,0),500,1)),0)+_xlfn.IFNA(SUM((P$3&gt;='Gastos com Pessoal'!$E$513:$E$522)*(P$3&lt;='Gastos com Pessoal'!$F$513:$F$522)*(IF('Gastos com Pessoal'!$G$513:$G$522&lt;=P$3,1,0))*OFFSET('Gastos com Pessoal'!$H$512,1,MATCH(1&amp;$B54,'Gastos com Pessoal'!$I$532:$AJ$532&amp;'Gastos com Pessoal'!$I$512:$AJ$512,0),10,1)),0)+_xlfn.IFNA(SUM((P$3&gt;='Gastos com Pessoal'!$E$513:$E$522)*(P$3&lt;='Gastos com Pessoal'!$F$513:$F$522)*(IF('Gastos com Pessoal'!$M$513:$M$522&lt;=P$3,1,0))*OFFSET('Gastos com Pessoal'!$H$512,1,MATCH(2&amp;$B54,'Gastos com Pessoal'!$I$532:$AJ$532&amp;'Gastos com Pessoal'!$I$512:$AJ$512,0),10,1)),0)+_xlfn.IFNA(SUM((P$3&gt;='Gastos com Pessoal'!$E$513:$E$522)*(P$3&lt;='Gastos com Pessoal'!$F$513:$F$522)*(IF('Gastos com Pessoal'!$S$513:$S$522&lt;=P$3,1,0))*OFFSET('Gastos com Pessoal'!$H$512,1,MATCH(3&amp;$B54,'Gastos com Pessoal'!$I$532:$AJ$532&amp;'Gastos com Pessoal'!$I$512:$AJ$512,0),10,1)),0)+_xlfn.IFNA(SUM((P$3&gt;='Gastos com Pessoal'!$E$513:$E$522)*(P$3&lt;='Gastos com Pessoal'!$F$513:$F$522)*(IF('Gastos com Pessoal'!$Y$513:$Y$522&lt;=P$3,1,0))*OFFSET('Gastos com Pessoal'!$H$512,1,MATCH(4&amp;$B54,'Gastos com Pessoal'!$I$532:$AJ$532&amp;'Gastos com Pessoal'!$I$512:$AJ$512,0),10,1)),0)+_xlfn.IFNA(SUM((P$3&gt;='Gastos com Pessoal'!$E$513:$E$522)*(P$3&lt;='Gastos com Pessoal'!$F$513:$F$522)*(IF('Gastos com Pessoal'!$AE$513:$AE$522&lt;=P$3,1,0))*OFFSET('Gastos com Pessoal'!$H$512,1,MATCH(5&amp;$B54,'Gastos com Pessoal'!$I$532:$AJ$532&amp;'Gastos com Pessoal'!$I$512:$AJ$512,0),10,1)),0)</f>
        <v>6503.7499999999745</v>
      </c>
      <c r="Q54" s="188">
        <f t="array" aca="1" ref="Q54" ca="1">_xlfn.IFNA(SUM((Q$3&gt;='Gastos com Pessoal'!$E$7:$E$506)*(Q$3&lt;='Gastos com Pessoal'!$F$7:$F$506)*OFFSET('Encargos e Benefícios'!$D$5,1,MATCH($B54,'Encargos e Benefícios'!$E$5:$AB$5,0),500,1)),0)+_xlfn.IFNA(SUM((Q$3&gt;='Gastos com Pessoal'!$E$513:$E$522)*(Q$3&lt;='Gastos com Pessoal'!$F$513:$F$522)*OFFSET('Encargos e Benefícios'!$D$511,1,MATCH($B54,'Encargos e Benefícios'!$E$511:$AB$511,0),10,1)),0)+_xlfn.IFNA(SUM((Q$3&gt;='Gastos com Pessoal'!$E$7:$E$506)*(Q$3&lt;='Gastos com Pessoal'!$F$7:$F$506)*(IF('Gastos com Pessoal'!$G$7:$G$506&lt;=Q$3,1,0))*OFFSET('Gastos com Pessoal'!$H$6,1,MATCH(1&amp;$B54,'Gastos com Pessoal'!$I$532:$AJ$532&amp;'Gastos com Pessoal'!$I$6:$AJ$6,0),500,1)),0)+_xlfn.IFNA(SUM((Q$3&gt;='Gastos com Pessoal'!$E$7:$E$506)*(Q$3&lt;='Gastos com Pessoal'!$F$7:$F$506)*(IF('Gastos com Pessoal'!$M$7:$M$506&lt;=Q$3,1,0))*OFFSET('Gastos com Pessoal'!$H$6,1,MATCH(2&amp;$B54,'Gastos com Pessoal'!$I$532:$AJ$532&amp;'Gastos com Pessoal'!$I$6:$AJ$6,0),500,1)),0)+_xlfn.IFNA(SUM((Q$3&gt;='Gastos com Pessoal'!$E$7:$E$506)*(Q$3&lt;='Gastos com Pessoal'!$F$7:$F$506)*(IF('Gastos com Pessoal'!$S$7:$S$506&lt;=Q$3,1,0))*OFFSET('Gastos com Pessoal'!$H$6,1,MATCH(3&amp;$B54,'Gastos com Pessoal'!$I$532:$AJ$532&amp;'Gastos com Pessoal'!$I$6:$AJ$6,0),500,1)),0)+_xlfn.IFNA(SUM((Q$3&gt;='Gastos com Pessoal'!$E$7:$E$506)*(Q$3&lt;='Gastos com Pessoal'!$F$7:$F$506)*(IF('Gastos com Pessoal'!$Y$7:$Y$506&lt;=Q$3,1,0))*OFFSET('Gastos com Pessoal'!$H$6,1,MATCH(4&amp;$B54,'Gastos com Pessoal'!$I$532:$AJ$532&amp;'Gastos com Pessoal'!$I$6:$AJ$6,0),500,1)),0)+_xlfn.IFNA(SUM((Q$3&gt;='Gastos com Pessoal'!$E$7:$E$506)*(Q$3&lt;='Gastos com Pessoal'!$F$7:$F$506)*(IF('Gastos com Pessoal'!$AE$7:$AE$506&lt;=Q$3,1,0))*OFFSET('Gastos com Pessoal'!$H$6,1,MATCH(5&amp;$B54,'Gastos com Pessoal'!$I$532:$AJ$532&amp;'Gastos com Pessoal'!$I$6:$AJ$6,0),500,1)),0)+_xlfn.IFNA(SUM((Q$3&gt;='Gastos com Pessoal'!$E$513:$E$522)*(Q$3&lt;='Gastos com Pessoal'!$F$513:$F$522)*(IF('Gastos com Pessoal'!$G$513:$G$522&lt;=Q$3,1,0))*OFFSET('Gastos com Pessoal'!$H$512,1,MATCH(1&amp;$B54,'Gastos com Pessoal'!$I$532:$AJ$532&amp;'Gastos com Pessoal'!$I$512:$AJ$512,0),10,1)),0)+_xlfn.IFNA(SUM((Q$3&gt;='Gastos com Pessoal'!$E$513:$E$522)*(Q$3&lt;='Gastos com Pessoal'!$F$513:$F$522)*(IF('Gastos com Pessoal'!$M$513:$M$522&lt;=Q$3,1,0))*OFFSET('Gastos com Pessoal'!$H$512,1,MATCH(2&amp;$B54,'Gastos com Pessoal'!$I$532:$AJ$532&amp;'Gastos com Pessoal'!$I$512:$AJ$512,0),10,1)),0)+_xlfn.IFNA(SUM((Q$3&gt;='Gastos com Pessoal'!$E$513:$E$522)*(Q$3&lt;='Gastos com Pessoal'!$F$513:$F$522)*(IF('Gastos com Pessoal'!$S$513:$S$522&lt;=Q$3,1,0))*OFFSET('Gastos com Pessoal'!$H$512,1,MATCH(3&amp;$B54,'Gastos com Pessoal'!$I$532:$AJ$532&amp;'Gastos com Pessoal'!$I$512:$AJ$512,0),10,1)),0)+_xlfn.IFNA(SUM((Q$3&gt;='Gastos com Pessoal'!$E$513:$E$522)*(Q$3&lt;='Gastos com Pessoal'!$F$513:$F$522)*(IF('Gastos com Pessoal'!$Y$513:$Y$522&lt;=Q$3,1,0))*OFFSET('Gastos com Pessoal'!$H$512,1,MATCH(4&amp;$B54,'Gastos com Pessoal'!$I$532:$AJ$532&amp;'Gastos com Pessoal'!$I$512:$AJ$512,0),10,1)),0)+_xlfn.IFNA(SUM((Q$3&gt;='Gastos com Pessoal'!$E$513:$E$522)*(Q$3&lt;='Gastos com Pessoal'!$F$513:$F$522)*(IF('Gastos com Pessoal'!$AE$513:$AE$522&lt;=Q$3,1,0))*OFFSET('Gastos com Pessoal'!$H$512,1,MATCH(5&amp;$B54,'Gastos com Pessoal'!$I$532:$AJ$532&amp;'Gastos com Pessoal'!$I$512:$AJ$512,0),10,1)),0)</f>
        <v>6811.1999999999698</v>
      </c>
      <c r="R54" s="188">
        <f t="array" aca="1" ref="R54" ca="1">_xlfn.IFNA(SUM((R$3&gt;='Gastos com Pessoal'!$E$7:$E$506)*(R$3&lt;='Gastos com Pessoal'!$F$7:$F$506)*OFFSET('Encargos e Benefícios'!$D$5,1,MATCH($B54,'Encargos e Benefícios'!$E$5:$AB$5,0),500,1)),0)+_xlfn.IFNA(SUM((R$3&gt;='Gastos com Pessoal'!$E$513:$E$522)*(R$3&lt;='Gastos com Pessoal'!$F$513:$F$522)*OFFSET('Encargos e Benefícios'!$D$511,1,MATCH($B54,'Encargos e Benefícios'!$E$511:$AB$511,0),10,1)),0)+_xlfn.IFNA(SUM((R$3&gt;='Gastos com Pessoal'!$E$7:$E$506)*(R$3&lt;='Gastos com Pessoal'!$F$7:$F$506)*(IF('Gastos com Pessoal'!$G$7:$G$506&lt;=R$3,1,0))*OFFSET('Gastos com Pessoal'!$H$6,1,MATCH(1&amp;$B54,'Gastos com Pessoal'!$I$532:$AJ$532&amp;'Gastos com Pessoal'!$I$6:$AJ$6,0),500,1)),0)+_xlfn.IFNA(SUM((R$3&gt;='Gastos com Pessoal'!$E$7:$E$506)*(R$3&lt;='Gastos com Pessoal'!$F$7:$F$506)*(IF('Gastos com Pessoal'!$M$7:$M$506&lt;=R$3,1,0))*OFFSET('Gastos com Pessoal'!$H$6,1,MATCH(2&amp;$B54,'Gastos com Pessoal'!$I$532:$AJ$532&amp;'Gastos com Pessoal'!$I$6:$AJ$6,0),500,1)),0)+_xlfn.IFNA(SUM((R$3&gt;='Gastos com Pessoal'!$E$7:$E$506)*(R$3&lt;='Gastos com Pessoal'!$F$7:$F$506)*(IF('Gastos com Pessoal'!$S$7:$S$506&lt;=R$3,1,0))*OFFSET('Gastos com Pessoal'!$H$6,1,MATCH(3&amp;$B54,'Gastos com Pessoal'!$I$532:$AJ$532&amp;'Gastos com Pessoal'!$I$6:$AJ$6,0),500,1)),0)+_xlfn.IFNA(SUM((R$3&gt;='Gastos com Pessoal'!$E$7:$E$506)*(R$3&lt;='Gastos com Pessoal'!$F$7:$F$506)*(IF('Gastos com Pessoal'!$Y$7:$Y$506&lt;=R$3,1,0))*OFFSET('Gastos com Pessoal'!$H$6,1,MATCH(4&amp;$B54,'Gastos com Pessoal'!$I$532:$AJ$532&amp;'Gastos com Pessoal'!$I$6:$AJ$6,0),500,1)),0)+_xlfn.IFNA(SUM((R$3&gt;='Gastos com Pessoal'!$E$7:$E$506)*(R$3&lt;='Gastos com Pessoal'!$F$7:$F$506)*(IF('Gastos com Pessoal'!$AE$7:$AE$506&lt;=R$3,1,0))*OFFSET('Gastos com Pessoal'!$H$6,1,MATCH(5&amp;$B54,'Gastos com Pessoal'!$I$532:$AJ$532&amp;'Gastos com Pessoal'!$I$6:$AJ$6,0),500,1)),0)+_xlfn.IFNA(SUM((R$3&gt;='Gastos com Pessoal'!$E$513:$E$522)*(R$3&lt;='Gastos com Pessoal'!$F$513:$F$522)*(IF('Gastos com Pessoal'!$G$513:$G$522&lt;=R$3,1,0))*OFFSET('Gastos com Pessoal'!$H$512,1,MATCH(1&amp;$B54,'Gastos com Pessoal'!$I$532:$AJ$532&amp;'Gastos com Pessoal'!$I$512:$AJ$512,0),10,1)),0)+_xlfn.IFNA(SUM((R$3&gt;='Gastos com Pessoal'!$E$513:$E$522)*(R$3&lt;='Gastos com Pessoal'!$F$513:$F$522)*(IF('Gastos com Pessoal'!$M$513:$M$522&lt;=R$3,1,0))*OFFSET('Gastos com Pessoal'!$H$512,1,MATCH(2&amp;$B54,'Gastos com Pessoal'!$I$532:$AJ$532&amp;'Gastos com Pessoal'!$I$512:$AJ$512,0),10,1)),0)+_xlfn.IFNA(SUM((R$3&gt;='Gastos com Pessoal'!$E$513:$E$522)*(R$3&lt;='Gastos com Pessoal'!$F$513:$F$522)*(IF('Gastos com Pessoal'!$S$513:$S$522&lt;=R$3,1,0))*OFFSET('Gastos com Pessoal'!$H$512,1,MATCH(3&amp;$B54,'Gastos com Pessoal'!$I$532:$AJ$532&amp;'Gastos com Pessoal'!$I$512:$AJ$512,0),10,1)),0)+_xlfn.IFNA(SUM((R$3&gt;='Gastos com Pessoal'!$E$513:$E$522)*(R$3&lt;='Gastos com Pessoal'!$F$513:$F$522)*(IF('Gastos com Pessoal'!$Y$513:$Y$522&lt;=R$3,1,0))*OFFSET('Gastos com Pessoal'!$H$512,1,MATCH(4&amp;$B54,'Gastos com Pessoal'!$I$532:$AJ$532&amp;'Gastos com Pessoal'!$I$512:$AJ$512,0),10,1)),0)+_xlfn.IFNA(SUM((R$3&gt;='Gastos com Pessoal'!$E$513:$E$522)*(R$3&lt;='Gastos com Pessoal'!$F$513:$F$522)*(IF('Gastos com Pessoal'!$AE$513:$AE$522&lt;=R$3,1,0))*OFFSET('Gastos com Pessoal'!$H$512,1,MATCH(5&amp;$B54,'Gastos com Pessoal'!$I$532:$AJ$532&amp;'Gastos com Pessoal'!$I$512:$AJ$512,0),10,1)),0)</f>
        <v>6811.1999999999698</v>
      </c>
      <c r="S54" s="188">
        <f t="array" aca="1" ref="S54" ca="1">_xlfn.IFNA(SUM((S$3&gt;='Gastos com Pessoal'!$E$7:$E$506)*(S$3&lt;='Gastos com Pessoal'!$F$7:$F$506)*OFFSET('Encargos e Benefícios'!$D$5,1,MATCH($B54,'Encargos e Benefícios'!$E$5:$AB$5,0),500,1)),0)+_xlfn.IFNA(SUM((S$3&gt;='Gastos com Pessoal'!$E$513:$E$522)*(S$3&lt;='Gastos com Pessoal'!$F$513:$F$522)*OFFSET('Encargos e Benefícios'!$D$511,1,MATCH($B54,'Encargos e Benefícios'!$E$511:$AB$511,0),10,1)),0)+_xlfn.IFNA(SUM((S$3&gt;='Gastos com Pessoal'!$E$7:$E$506)*(S$3&lt;='Gastos com Pessoal'!$F$7:$F$506)*(IF('Gastos com Pessoal'!$G$7:$G$506&lt;=S$3,1,0))*OFFSET('Gastos com Pessoal'!$H$6,1,MATCH(1&amp;$B54,'Gastos com Pessoal'!$I$532:$AJ$532&amp;'Gastos com Pessoal'!$I$6:$AJ$6,0),500,1)),0)+_xlfn.IFNA(SUM((S$3&gt;='Gastos com Pessoal'!$E$7:$E$506)*(S$3&lt;='Gastos com Pessoal'!$F$7:$F$506)*(IF('Gastos com Pessoal'!$M$7:$M$506&lt;=S$3,1,0))*OFFSET('Gastos com Pessoal'!$H$6,1,MATCH(2&amp;$B54,'Gastos com Pessoal'!$I$532:$AJ$532&amp;'Gastos com Pessoal'!$I$6:$AJ$6,0),500,1)),0)+_xlfn.IFNA(SUM((S$3&gt;='Gastos com Pessoal'!$E$7:$E$506)*(S$3&lt;='Gastos com Pessoal'!$F$7:$F$506)*(IF('Gastos com Pessoal'!$S$7:$S$506&lt;=S$3,1,0))*OFFSET('Gastos com Pessoal'!$H$6,1,MATCH(3&amp;$B54,'Gastos com Pessoal'!$I$532:$AJ$532&amp;'Gastos com Pessoal'!$I$6:$AJ$6,0),500,1)),0)+_xlfn.IFNA(SUM((S$3&gt;='Gastos com Pessoal'!$E$7:$E$506)*(S$3&lt;='Gastos com Pessoal'!$F$7:$F$506)*(IF('Gastos com Pessoal'!$Y$7:$Y$506&lt;=S$3,1,0))*OFFSET('Gastos com Pessoal'!$H$6,1,MATCH(4&amp;$B54,'Gastos com Pessoal'!$I$532:$AJ$532&amp;'Gastos com Pessoal'!$I$6:$AJ$6,0),500,1)),0)+_xlfn.IFNA(SUM((S$3&gt;='Gastos com Pessoal'!$E$7:$E$506)*(S$3&lt;='Gastos com Pessoal'!$F$7:$F$506)*(IF('Gastos com Pessoal'!$AE$7:$AE$506&lt;=S$3,1,0))*OFFSET('Gastos com Pessoal'!$H$6,1,MATCH(5&amp;$B54,'Gastos com Pessoal'!$I$532:$AJ$532&amp;'Gastos com Pessoal'!$I$6:$AJ$6,0),500,1)),0)+_xlfn.IFNA(SUM((S$3&gt;='Gastos com Pessoal'!$E$513:$E$522)*(S$3&lt;='Gastos com Pessoal'!$F$513:$F$522)*(IF('Gastos com Pessoal'!$G$513:$G$522&lt;=S$3,1,0))*OFFSET('Gastos com Pessoal'!$H$512,1,MATCH(1&amp;$B54,'Gastos com Pessoal'!$I$532:$AJ$532&amp;'Gastos com Pessoal'!$I$512:$AJ$512,0),10,1)),0)+_xlfn.IFNA(SUM((S$3&gt;='Gastos com Pessoal'!$E$513:$E$522)*(S$3&lt;='Gastos com Pessoal'!$F$513:$F$522)*(IF('Gastos com Pessoal'!$M$513:$M$522&lt;=S$3,1,0))*OFFSET('Gastos com Pessoal'!$H$512,1,MATCH(2&amp;$B54,'Gastos com Pessoal'!$I$532:$AJ$532&amp;'Gastos com Pessoal'!$I$512:$AJ$512,0),10,1)),0)+_xlfn.IFNA(SUM((S$3&gt;='Gastos com Pessoal'!$E$513:$E$522)*(S$3&lt;='Gastos com Pessoal'!$F$513:$F$522)*(IF('Gastos com Pessoal'!$S$513:$S$522&lt;=S$3,1,0))*OFFSET('Gastos com Pessoal'!$H$512,1,MATCH(3&amp;$B54,'Gastos com Pessoal'!$I$532:$AJ$532&amp;'Gastos com Pessoal'!$I$512:$AJ$512,0),10,1)),0)+_xlfn.IFNA(SUM((S$3&gt;='Gastos com Pessoal'!$E$513:$E$522)*(S$3&lt;='Gastos com Pessoal'!$F$513:$F$522)*(IF('Gastos com Pessoal'!$Y$513:$Y$522&lt;=S$3,1,0))*OFFSET('Gastos com Pessoal'!$H$512,1,MATCH(4&amp;$B54,'Gastos com Pessoal'!$I$532:$AJ$532&amp;'Gastos com Pessoal'!$I$512:$AJ$512,0),10,1)),0)+_xlfn.IFNA(SUM((S$3&gt;='Gastos com Pessoal'!$E$513:$E$522)*(S$3&lt;='Gastos com Pessoal'!$F$513:$F$522)*(IF('Gastos com Pessoal'!$AE$513:$AE$522&lt;=S$3,1,0))*OFFSET('Gastos com Pessoal'!$H$512,1,MATCH(5&amp;$B54,'Gastos com Pessoal'!$I$532:$AJ$532&amp;'Gastos com Pessoal'!$I$512:$AJ$512,0),10,1)),0)</f>
        <v>6811.1999999999698</v>
      </c>
      <c r="T54" s="188">
        <f t="array" aca="1" ref="T54" ca="1">_xlfn.IFNA(SUM((T$3&gt;='Gastos com Pessoal'!$E$7:$E$506)*(T$3&lt;='Gastos com Pessoal'!$F$7:$F$506)*OFFSET('Encargos e Benefícios'!$D$5,1,MATCH($B54,'Encargos e Benefícios'!$E$5:$AB$5,0),500,1)),0)+_xlfn.IFNA(SUM((T$3&gt;='Gastos com Pessoal'!$E$513:$E$522)*(T$3&lt;='Gastos com Pessoal'!$F$513:$F$522)*OFFSET('Encargos e Benefícios'!$D$511,1,MATCH($B54,'Encargos e Benefícios'!$E$511:$AB$511,0),10,1)),0)+_xlfn.IFNA(SUM((T$3&gt;='Gastos com Pessoal'!$E$7:$E$506)*(T$3&lt;='Gastos com Pessoal'!$F$7:$F$506)*(IF('Gastos com Pessoal'!$G$7:$G$506&lt;=T$3,1,0))*OFFSET('Gastos com Pessoal'!$H$6,1,MATCH(1&amp;$B54,'Gastos com Pessoal'!$I$532:$AJ$532&amp;'Gastos com Pessoal'!$I$6:$AJ$6,0),500,1)),0)+_xlfn.IFNA(SUM((T$3&gt;='Gastos com Pessoal'!$E$7:$E$506)*(T$3&lt;='Gastos com Pessoal'!$F$7:$F$506)*(IF('Gastos com Pessoal'!$M$7:$M$506&lt;=T$3,1,0))*OFFSET('Gastos com Pessoal'!$H$6,1,MATCH(2&amp;$B54,'Gastos com Pessoal'!$I$532:$AJ$532&amp;'Gastos com Pessoal'!$I$6:$AJ$6,0),500,1)),0)+_xlfn.IFNA(SUM((T$3&gt;='Gastos com Pessoal'!$E$7:$E$506)*(T$3&lt;='Gastos com Pessoal'!$F$7:$F$506)*(IF('Gastos com Pessoal'!$S$7:$S$506&lt;=T$3,1,0))*OFFSET('Gastos com Pessoal'!$H$6,1,MATCH(3&amp;$B54,'Gastos com Pessoal'!$I$532:$AJ$532&amp;'Gastos com Pessoal'!$I$6:$AJ$6,0),500,1)),0)+_xlfn.IFNA(SUM((T$3&gt;='Gastos com Pessoal'!$E$7:$E$506)*(T$3&lt;='Gastos com Pessoal'!$F$7:$F$506)*(IF('Gastos com Pessoal'!$Y$7:$Y$506&lt;=T$3,1,0))*OFFSET('Gastos com Pessoal'!$H$6,1,MATCH(4&amp;$B54,'Gastos com Pessoal'!$I$532:$AJ$532&amp;'Gastos com Pessoal'!$I$6:$AJ$6,0),500,1)),0)+_xlfn.IFNA(SUM((T$3&gt;='Gastos com Pessoal'!$E$7:$E$506)*(T$3&lt;='Gastos com Pessoal'!$F$7:$F$506)*(IF('Gastos com Pessoal'!$AE$7:$AE$506&lt;=T$3,1,0))*OFFSET('Gastos com Pessoal'!$H$6,1,MATCH(5&amp;$B54,'Gastos com Pessoal'!$I$532:$AJ$532&amp;'Gastos com Pessoal'!$I$6:$AJ$6,0),500,1)),0)+_xlfn.IFNA(SUM((T$3&gt;='Gastos com Pessoal'!$E$513:$E$522)*(T$3&lt;='Gastos com Pessoal'!$F$513:$F$522)*(IF('Gastos com Pessoal'!$G$513:$G$522&lt;=T$3,1,0))*OFFSET('Gastos com Pessoal'!$H$512,1,MATCH(1&amp;$B54,'Gastos com Pessoal'!$I$532:$AJ$532&amp;'Gastos com Pessoal'!$I$512:$AJ$512,0),10,1)),0)+_xlfn.IFNA(SUM((T$3&gt;='Gastos com Pessoal'!$E$513:$E$522)*(T$3&lt;='Gastos com Pessoal'!$F$513:$F$522)*(IF('Gastos com Pessoal'!$M$513:$M$522&lt;=T$3,1,0))*OFFSET('Gastos com Pessoal'!$H$512,1,MATCH(2&amp;$B54,'Gastos com Pessoal'!$I$532:$AJ$532&amp;'Gastos com Pessoal'!$I$512:$AJ$512,0),10,1)),0)+_xlfn.IFNA(SUM((T$3&gt;='Gastos com Pessoal'!$E$513:$E$522)*(T$3&lt;='Gastos com Pessoal'!$F$513:$F$522)*(IF('Gastos com Pessoal'!$S$513:$S$522&lt;=T$3,1,0))*OFFSET('Gastos com Pessoal'!$H$512,1,MATCH(3&amp;$B54,'Gastos com Pessoal'!$I$532:$AJ$532&amp;'Gastos com Pessoal'!$I$512:$AJ$512,0),10,1)),0)+_xlfn.IFNA(SUM((T$3&gt;='Gastos com Pessoal'!$E$513:$E$522)*(T$3&lt;='Gastos com Pessoal'!$F$513:$F$522)*(IF('Gastos com Pessoal'!$Y$513:$Y$522&lt;=T$3,1,0))*OFFSET('Gastos com Pessoal'!$H$512,1,MATCH(4&amp;$B54,'Gastos com Pessoal'!$I$532:$AJ$532&amp;'Gastos com Pessoal'!$I$512:$AJ$512,0),10,1)),0)+_xlfn.IFNA(SUM((T$3&gt;='Gastos com Pessoal'!$E$513:$E$522)*(T$3&lt;='Gastos com Pessoal'!$F$513:$F$522)*(IF('Gastos com Pessoal'!$AE$513:$AE$522&lt;=T$3,1,0))*OFFSET('Gastos com Pessoal'!$H$512,1,MATCH(5&amp;$B54,'Gastos com Pessoal'!$I$532:$AJ$532&amp;'Gastos com Pessoal'!$I$512:$AJ$512,0),10,1)),0)</f>
        <v>6811.1999999999698</v>
      </c>
      <c r="U54" s="188">
        <f t="array" aca="1" ref="U54" ca="1">_xlfn.IFNA(SUM((U$3&gt;='Gastos com Pessoal'!$E$7:$E$506)*(U$3&lt;='Gastos com Pessoal'!$F$7:$F$506)*OFFSET('Encargos e Benefícios'!$D$5,1,MATCH($B54,'Encargos e Benefícios'!$E$5:$AB$5,0),500,1)),0)+_xlfn.IFNA(SUM((U$3&gt;='Gastos com Pessoal'!$E$513:$E$522)*(U$3&lt;='Gastos com Pessoal'!$F$513:$F$522)*OFFSET('Encargos e Benefícios'!$D$511,1,MATCH($B54,'Encargos e Benefícios'!$E$511:$AB$511,0),10,1)),0)+_xlfn.IFNA(SUM((U$3&gt;='Gastos com Pessoal'!$E$7:$E$506)*(U$3&lt;='Gastos com Pessoal'!$F$7:$F$506)*(IF('Gastos com Pessoal'!$G$7:$G$506&lt;=U$3,1,0))*OFFSET('Gastos com Pessoal'!$H$6,1,MATCH(1&amp;$B54,'Gastos com Pessoal'!$I$532:$AJ$532&amp;'Gastos com Pessoal'!$I$6:$AJ$6,0),500,1)),0)+_xlfn.IFNA(SUM((U$3&gt;='Gastos com Pessoal'!$E$7:$E$506)*(U$3&lt;='Gastos com Pessoal'!$F$7:$F$506)*(IF('Gastos com Pessoal'!$M$7:$M$506&lt;=U$3,1,0))*OFFSET('Gastos com Pessoal'!$H$6,1,MATCH(2&amp;$B54,'Gastos com Pessoal'!$I$532:$AJ$532&amp;'Gastos com Pessoal'!$I$6:$AJ$6,0),500,1)),0)+_xlfn.IFNA(SUM((U$3&gt;='Gastos com Pessoal'!$E$7:$E$506)*(U$3&lt;='Gastos com Pessoal'!$F$7:$F$506)*(IF('Gastos com Pessoal'!$S$7:$S$506&lt;=U$3,1,0))*OFFSET('Gastos com Pessoal'!$H$6,1,MATCH(3&amp;$B54,'Gastos com Pessoal'!$I$532:$AJ$532&amp;'Gastos com Pessoal'!$I$6:$AJ$6,0),500,1)),0)+_xlfn.IFNA(SUM((U$3&gt;='Gastos com Pessoal'!$E$7:$E$506)*(U$3&lt;='Gastos com Pessoal'!$F$7:$F$506)*(IF('Gastos com Pessoal'!$Y$7:$Y$506&lt;=U$3,1,0))*OFFSET('Gastos com Pessoal'!$H$6,1,MATCH(4&amp;$B54,'Gastos com Pessoal'!$I$532:$AJ$532&amp;'Gastos com Pessoal'!$I$6:$AJ$6,0),500,1)),0)+_xlfn.IFNA(SUM((U$3&gt;='Gastos com Pessoal'!$E$7:$E$506)*(U$3&lt;='Gastos com Pessoal'!$F$7:$F$506)*(IF('Gastos com Pessoal'!$AE$7:$AE$506&lt;=U$3,1,0))*OFFSET('Gastos com Pessoal'!$H$6,1,MATCH(5&amp;$B54,'Gastos com Pessoal'!$I$532:$AJ$532&amp;'Gastos com Pessoal'!$I$6:$AJ$6,0),500,1)),0)+_xlfn.IFNA(SUM((U$3&gt;='Gastos com Pessoal'!$E$513:$E$522)*(U$3&lt;='Gastos com Pessoal'!$F$513:$F$522)*(IF('Gastos com Pessoal'!$G$513:$G$522&lt;=U$3,1,0))*OFFSET('Gastos com Pessoal'!$H$512,1,MATCH(1&amp;$B54,'Gastos com Pessoal'!$I$532:$AJ$532&amp;'Gastos com Pessoal'!$I$512:$AJ$512,0),10,1)),0)+_xlfn.IFNA(SUM((U$3&gt;='Gastos com Pessoal'!$E$513:$E$522)*(U$3&lt;='Gastos com Pessoal'!$F$513:$F$522)*(IF('Gastos com Pessoal'!$M$513:$M$522&lt;=U$3,1,0))*OFFSET('Gastos com Pessoal'!$H$512,1,MATCH(2&amp;$B54,'Gastos com Pessoal'!$I$532:$AJ$532&amp;'Gastos com Pessoal'!$I$512:$AJ$512,0),10,1)),0)+_xlfn.IFNA(SUM((U$3&gt;='Gastos com Pessoal'!$E$513:$E$522)*(U$3&lt;='Gastos com Pessoal'!$F$513:$F$522)*(IF('Gastos com Pessoal'!$S$513:$S$522&lt;=U$3,1,0))*OFFSET('Gastos com Pessoal'!$H$512,1,MATCH(3&amp;$B54,'Gastos com Pessoal'!$I$532:$AJ$532&amp;'Gastos com Pessoal'!$I$512:$AJ$512,0),10,1)),0)+_xlfn.IFNA(SUM((U$3&gt;='Gastos com Pessoal'!$E$513:$E$522)*(U$3&lt;='Gastos com Pessoal'!$F$513:$F$522)*(IF('Gastos com Pessoal'!$Y$513:$Y$522&lt;=U$3,1,0))*OFFSET('Gastos com Pessoal'!$H$512,1,MATCH(4&amp;$B54,'Gastos com Pessoal'!$I$532:$AJ$532&amp;'Gastos com Pessoal'!$I$512:$AJ$512,0),10,1)),0)+_xlfn.IFNA(SUM((U$3&gt;='Gastos com Pessoal'!$E$513:$E$522)*(U$3&lt;='Gastos com Pessoal'!$F$513:$F$522)*(IF('Gastos com Pessoal'!$AE$513:$AE$522&lt;=U$3,1,0))*OFFSET('Gastos com Pessoal'!$H$512,1,MATCH(5&amp;$B54,'Gastos com Pessoal'!$I$532:$AJ$532&amp;'Gastos com Pessoal'!$I$512:$AJ$512,0),10,1)),0)</f>
        <v>6811.1999999999698</v>
      </c>
      <c r="V54" s="188">
        <f t="array" aca="1" ref="V54" ca="1">_xlfn.IFNA(SUM((V$3&gt;='Gastos com Pessoal'!$E$7:$E$506)*(V$3&lt;='Gastos com Pessoal'!$F$7:$F$506)*OFFSET('Encargos e Benefícios'!$D$5,1,MATCH($B54,'Encargos e Benefícios'!$E$5:$AB$5,0),500,1)),0)+_xlfn.IFNA(SUM((V$3&gt;='Gastos com Pessoal'!$E$513:$E$522)*(V$3&lt;='Gastos com Pessoal'!$F$513:$F$522)*OFFSET('Encargos e Benefícios'!$D$511,1,MATCH($B54,'Encargos e Benefícios'!$E$511:$AB$511,0),10,1)),0)+_xlfn.IFNA(SUM((V$3&gt;='Gastos com Pessoal'!$E$7:$E$506)*(V$3&lt;='Gastos com Pessoal'!$F$7:$F$506)*(IF('Gastos com Pessoal'!$G$7:$G$506&lt;=V$3,1,0))*OFFSET('Gastos com Pessoal'!$H$6,1,MATCH(1&amp;$B54,'Gastos com Pessoal'!$I$532:$AJ$532&amp;'Gastos com Pessoal'!$I$6:$AJ$6,0),500,1)),0)+_xlfn.IFNA(SUM((V$3&gt;='Gastos com Pessoal'!$E$7:$E$506)*(V$3&lt;='Gastos com Pessoal'!$F$7:$F$506)*(IF('Gastos com Pessoal'!$M$7:$M$506&lt;=V$3,1,0))*OFFSET('Gastos com Pessoal'!$H$6,1,MATCH(2&amp;$B54,'Gastos com Pessoal'!$I$532:$AJ$532&amp;'Gastos com Pessoal'!$I$6:$AJ$6,0),500,1)),0)+_xlfn.IFNA(SUM((V$3&gt;='Gastos com Pessoal'!$E$7:$E$506)*(V$3&lt;='Gastos com Pessoal'!$F$7:$F$506)*(IF('Gastos com Pessoal'!$S$7:$S$506&lt;=V$3,1,0))*OFFSET('Gastos com Pessoal'!$H$6,1,MATCH(3&amp;$B54,'Gastos com Pessoal'!$I$532:$AJ$532&amp;'Gastos com Pessoal'!$I$6:$AJ$6,0),500,1)),0)+_xlfn.IFNA(SUM((V$3&gt;='Gastos com Pessoal'!$E$7:$E$506)*(V$3&lt;='Gastos com Pessoal'!$F$7:$F$506)*(IF('Gastos com Pessoal'!$Y$7:$Y$506&lt;=V$3,1,0))*OFFSET('Gastos com Pessoal'!$H$6,1,MATCH(4&amp;$B54,'Gastos com Pessoal'!$I$532:$AJ$532&amp;'Gastos com Pessoal'!$I$6:$AJ$6,0),500,1)),0)+_xlfn.IFNA(SUM((V$3&gt;='Gastos com Pessoal'!$E$7:$E$506)*(V$3&lt;='Gastos com Pessoal'!$F$7:$F$506)*(IF('Gastos com Pessoal'!$AE$7:$AE$506&lt;=V$3,1,0))*OFFSET('Gastos com Pessoal'!$H$6,1,MATCH(5&amp;$B54,'Gastos com Pessoal'!$I$532:$AJ$532&amp;'Gastos com Pessoal'!$I$6:$AJ$6,0),500,1)),0)+_xlfn.IFNA(SUM((V$3&gt;='Gastos com Pessoal'!$E$513:$E$522)*(V$3&lt;='Gastos com Pessoal'!$F$513:$F$522)*(IF('Gastos com Pessoal'!$G$513:$G$522&lt;=V$3,1,0))*OFFSET('Gastos com Pessoal'!$H$512,1,MATCH(1&amp;$B54,'Gastos com Pessoal'!$I$532:$AJ$532&amp;'Gastos com Pessoal'!$I$512:$AJ$512,0),10,1)),0)+_xlfn.IFNA(SUM((V$3&gt;='Gastos com Pessoal'!$E$513:$E$522)*(V$3&lt;='Gastos com Pessoal'!$F$513:$F$522)*(IF('Gastos com Pessoal'!$M$513:$M$522&lt;=V$3,1,0))*OFFSET('Gastos com Pessoal'!$H$512,1,MATCH(2&amp;$B54,'Gastos com Pessoal'!$I$532:$AJ$532&amp;'Gastos com Pessoal'!$I$512:$AJ$512,0),10,1)),0)+_xlfn.IFNA(SUM((V$3&gt;='Gastos com Pessoal'!$E$513:$E$522)*(V$3&lt;='Gastos com Pessoal'!$F$513:$F$522)*(IF('Gastos com Pessoal'!$S$513:$S$522&lt;=V$3,1,0))*OFFSET('Gastos com Pessoal'!$H$512,1,MATCH(3&amp;$B54,'Gastos com Pessoal'!$I$532:$AJ$532&amp;'Gastos com Pessoal'!$I$512:$AJ$512,0),10,1)),0)+_xlfn.IFNA(SUM((V$3&gt;='Gastos com Pessoal'!$E$513:$E$522)*(V$3&lt;='Gastos com Pessoal'!$F$513:$F$522)*(IF('Gastos com Pessoal'!$Y$513:$Y$522&lt;=V$3,1,0))*OFFSET('Gastos com Pessoal'!$H$512,1,MATCH(4&amp;$B54,'Gastos com Pessoal'!$I$532:$AJ$532&amp;'Gastos com Pessoal'!$I$512:$AJ$512,0),10,1)),0)+_xlfn.IFNA(SUM((V$3&gt;='Gastos com Pessoal'!$E$513:$E$522)*(V$3&lt;='Gastos com Pessoal'!$F$513:$F$522)*(IF('Gastos com Pessoal'!$AE$513:$AE$522&lt;=V$3,1,0))*OFFSET('Gastos com Pessoal'!$H$512,1,MATCH(5&amp;$B54,'Gastos com Pessoal'!$I$532:$AJ$532&amp;'Gastos com Pessoal'!$I$512:$AJ$512,0),10,1)),0)</f>
        <v>6811.1999999999698</v>
      </c>
      <c r="W54" s="188">
        <f t="array" aca="1" ref="W54" ca="1">_xlfn.IFNA(SUM((W$3&gt;='Gastos com Pessoal'!$E$7:$E$506)*(W$3&lt;='Gastos com Pessoal'!$F$7:$F$506)*OFFSET('Encargos e Benefícios'!$D$5,1,MATCH($B54,'Encargos e Benefícios'!$E$5:$AB$5,0),500,1)),0)+_xlfn.IFNA(SUM((W$3&gt;='Gastos com Pessoal'!$E$513:$E$522)*(W$3&lt;='Gastos com Pessoal'!$F$513:$F$522)*OFFSET('Encargos e Benefícios'!$D$511,1,MATCH($B54,'Encargos e Benefícios'!$E$511:$AB$511,0),10,1)),0)+_xlfn.IFNA(SUM((W$3&gt;='Gastos com Pessoal'!$E$7:$E$506)*(W$3&lt;='Gastos com Pessoal'!$F$7:$F$506)*(IF('Gastos com Pessoal'!$G$7:$G$506&lt;=W$3,1,0))*OFFSET('Gastos com Pessoal'!$H$6,1,MATCH(1&amp;$B54,'Gastos com Pessoal'!$I$532:$AJ$532&amp;'Gastos com Pessoal'!$I$6:$AJ$6,0),500,1)),0)+_xlfn.IFNA(SUM((W$3&gt;='Gastos com Pessoal'!$E$7:$E$506)*(W$3&lt;='Gastos com Pessoal'!$F$7:$F$506)*(IF('Gastos com Pessoal'!$M$7:$M$506&lt;=W$3,1,0))*OFFSET('Gastos com Pessoal'!$H$6,1,MATCH(2&amp;$B54,'Gastos com Pessoal'!$I$532:$AJ$532&amp;'Gastos com Pessoal'!$I$6:$AJ$6,0),500,1)),0)+_xlfn.IFNA(SUM((W$3&gt;='Gastos com Pessoal'!$E$7:$E$506)*(W$3&lt;='Gastos com Pessoal'!$F$7:$F$506)*(IF('Gastos com Pessoal'!$S$7:$S$506&lt;=W$3,1,0))*OFFSET('Gastos com Pessoal'!$H$6,1,MATCH(3&amp;$B54,'Gastos com Pessoal'!$I$532:$AJ$532&amp;'Gastos com Pessoal'!$I$6:$AJ$6,0),500,1)),0)+_xlfn.IFNA(SUM((W$3&gt;='Gastos com Pessoal'!$E$7:$E$506)*(W$3&lt;='Gastos com Pessoal'!$F$7:$F$506)*(IF('Gastos com Pessoal'!$Y$7:$Y$506&lt;=W$3,1,0))*OFFSET('Gastos com Pessoal'!$H$6,1,MATCH(4&amp;$B54,'Gastos com Pessoal'!$I$532:$AJ$532&amp;'Gastos com Pessoal'!$I$6:$AJ$6,0),500,1)),0)+_xlfn.IFNA(SUM((W$3&gt;='Gastos com Pessoal'!$E$7:$E$506)*(W$3&lt;='Gastos com Pessoal'!$F$7:$F$506)*(IF('Gastos com Pessoal'!$AE$7:$AE$506&lt;=W$3,1,0))*OFFSET('Gastos com Pessoal'!$H$6,1,MATCH(5&amp;$B54,'Gastos com Pessoal'!$I$532:$AJ$532&amp;'Gastos com Pessoal'!$I$6:$AJ$6,0),500,1)),0)+_xlfn.IFNA(SUM((W$3&gt;='Gastos com Pessoal'!$E$513:$E$522)*(W$3&lt;='Gastos com Pessoal'!$F$513:$F$522)*(IF('Gastos com Pessoal'!$G$513:$G$522&lt;=W$3,1,0))*OFFSET('Gastos com Pessoal'!$H$512,1,MATCH(1&amp;$B54,'Gastos com Pessoal'!$I$532:$AJ$532&amp;'Gastos com Pessoal'!$I$512:$AJ$512,0),10,1)),0)+_xlfn.IFNA(SUM((W$3&gt;='Gastos com Pessoal'!$E$513:$E$522)*(W$3&lt;='Gastos com Pessoal'!$F$513:$F$522)*(IF('Gastos com Pessoal'!$M$513:$M$522&lt;=W$3,1,0))*OFFSET('Gastos com Pessoal'!$H$512,1,MATCH(2&amp;$B54,'Gastos com Pessoal'!$I$532:$AJ$532&amp;'Gastos com Pessoal'!$I$512:$AJ$512,0),10,1)),0)+_xlfn.IFNA(SUM((W$3&gt;='Gastos com Pessoal'!$E$513:$E$522)*(W$3&lt;='Gastos com Pessoal'!$F$513:$F$522)*(IF('Gastos com Pessoal'!$S$513:$S$522&lt;=W$3,1,0))*OFFSET('Gastos com Pessoal'!$H$512,1,MATCH(3&amp;$B54,'Gastos com Pessoal'!$I$532:$AJ$532&amp;'Gastos com Pessoal'!$I$512:$AJ$512,0),10,1)),0)+_xlfn.IFNA(SUM((W$3&gt;='Gastos com Pessoal'!$E$513:$E$522)*(W$3&lt;='Gastos com Pessoal'!$F$513:$F$522)*(IF('Gastos com Pessoal'!$Y$513:$Y$522&lt;=W$3,1,0))*OFFSET('Gastos com Pessoal'!$H$512,1,MATCH(4&amp;$B54,'Gastos com Pessoal'!$I$532:$AJ$532&amp;'Gastos com Pessoal'!$I$512:$AJ$512,0),10,1)),0)+_xlfn.IFNA(SUM((W$3&gt;='Gastos com Pessoal'!$E$513:$E$522)*(W$3&lt;='Gastos com Pessoal'!$F$513:$F$522)*(IF('Gastos com Pessoal'!$AE$513:$AE$522&lt;=W$3,1,0))*OFFSET('Gastos com Pessoal'!$H$512,1,MATCH(5&amp;$B54,'Gastos com Pessoal'!$I$532:$AJ$532&amp;'Gastos com Pessoal'!$I$512:$AJ$512,0),10,1)),0)</f>
        <v>6811.1999999999698</v>
      </c>
      <c r="X54" s="188">
        <f t="array" aca="1" ref="X54" ca="1">_xlfn.IFNA(SUM((X$3&gt;='Gastos com Pessoal'!$E$7:$E$506)*(X$3&lt;='Gastos com Pessoal'!$F$7:$F$506)*OFFSET('Encargos e Benefícios'!$D$5,1,MATCH($B54,'Encargos e Benefícios'!$E$5:$AB$5,0),500,1)),0)+_xlfn.IFNA(SUM((X$3&gt;='Gastos com Pessoal'!$E$513:$E$522)*(X$3&lt;='Gastos com Pessoal'!$F$513:$F$522)*OFFSET('Encargos e Benefícios'!$D$511,1,MATCH($B54,'Encargos e Benefícios'!$E$511:$AB$511,0),10,1)),0)+_xlfn.IFNA(SUM((X$3&gt;='Gastos com Pessoal'!$E$7:$E$506)*(X$3&lt;='Gastos com Pessoal'!$F$7:$F$506)*(IF('Gastos com Pessoal'!$G$7:$G$506&lt;=X$3,1,0))*OFFSET('Gastos com Pessoal'!$H$6,1,MATCH(1&amp;$B54,'Gastos com Pessoal'!$I$532:$AJ$532&amp;'Gastos com Pessoal'!$I$6:$AJ$6,0),500,1)),0)+_xlfn.IFNA(SUM((X$3&gt;='Gastos com Pessoal'!$E$7:$E$506)*(X$3&lt;='Gastos com Pessoal'!$F$7:$F$506)*(IF('Gastos com Pessoal'!$M$7:$M$506&lt;=X$3,1,0))*OFFSET('Gastos com Pessoal'!$H$6,1,MATCH(2&amp;$B54,'Gastos com Pessoal'!$I$532:$AJ$532&amp;'Gastos com Pessoal'!$I$6:$AJ$6,0),500,1)),0)+_xlfn.IFNA(SUM((X$3&gt;='Gastos com Pessoal'!$E$7:$E$506)*(X$3&lt;='Gastos com Pessoal'!$F$7:$F$506)*(IF('Gastos com Pessoal'!$S$7:$S$506&lt;=X$3,1,0))*OFFSET('Gastos com Pessoal'!$H$6,1,MATCH(3&amp;$B54,'Gastos com Pessoal'!$I$532:$AJ$532&amp;'Gastos com Pessoal'!$I$6:$AJ$6,0),500,1)),0)+_xlfn.IFNA(SUM((X$3&gt;='Gastos com Pessoal'!$E$7:$E$506)*(X$3&lt;='Gastos com Pessoal'!$F$7:$F$506)*(IF('Gastos com Pessoal'!$Y$7:$Y$506&lt;=X$3,1,0))*OFFSET('Gastos com Pessoal'!$H$6,1,MATCH(4&amp;$B54,'Gastos com Pessoal'!$I$532:$AJ$532&amp;'Gastos com Pessoal'!$I$6:$AJ$6,0),500,1)),0)+_xlfn.IFNA(SUM((X$3&gt;='Gastos com Pessoal'!$E$7:$E$506)*(X$3&lt;='Gastos com Pessoal'!$F$7:$F$506)*(IF('Gastos com Pessoal'!$AE$7:$AE$506&lt;=X$3,1,0))*OFFSET('Gastos com Pessoal'!$H$6,1,MATCH(5&amp;$B54,'Gastos com Pessoal'!$I$532:$AJ$532&amp;'Gastos com Pessoal'!$I$6:$AJ$6,0),500,1)),0)+_xlfn.IFNA(SUM((X$3&gt;='Gastos com Pessoal'!$E$513:$E$522)*(X$3&lt;='Gastos com Pessoal'!$F$513:$F$522)*(IF('Gastos com Pessoal'!$G$513:$G$522&lt;=X$3,1,0))*OFFSET('Gastos com Pessoal'!$H$512,1,MATCH(1&amp;$B54,'Gastos com Pessoal'!$I$532:$AJ$532&amp;'Gastos com Pessoal'!$I$512:$AJ$512,0),10,1)),0)+_xlfn.IFNA(SUM((X$3&gt;='Gastos com Pessoal'!$E$513:$E$522)*(X$3&lt;='Gastos com Pessoal'!$F$513:$F$522)*(IF('Gastos com Pessoal'!$M$513:$M$522&lt;=X$3,1,0))*OFFSET('Gastos com Pessoal'!$H$512,1,MATCH(2&amp;$B54,'Gastos com Pessoal'!$I$532:$AJ$532&amp;'Gastos com Pessoal'!$I$512:$AJ$512,0),10,1)),0)+_xlfn.IFNA(SUM((X$3&gt;='Gastos com Pessoal'!$E$513:$E$522)*(X$3&lt;='Gastos com Pessoal'!$F$513:$F$522)*(IF('Gastos com Pessoal'!$S$513:$S$522&lt;=X$3,1,0))*OFFSET('Gastos com Pessoal'!$H$512,1,MATCH(3&amp;$B54,'Gastos com Pessoal'!$I$532:$AJ$532&amp;'Gastos com Pessoal'!$I$512:$AJ$512,0),10,1)),0)+_xlfn.IFNA(SUM((X$3&gt;='Gastos com Pessoal'!$E$513:$E$522)*(X$3&lt;='Gastos com Pessoal'!$F$513:$F$522)*(IF('Gastos com Pessoal'!$Y$513:$Y$522&lt;=X$3,1,0))*OFFSET('Gastos com Pessoal'!$H$512,1,MATCH(4&amp;$B54,'Gastos com Pessoal'!$I$532:$AJ$532&amp;'Gastos com Pessoal'!$I$512:$AJ$512,0),10,1)),0)+_xlfn.IFNA(SUM((X$3&gt;='Gastos com Pessoal'!$E$513:$E$522)*(X$3&lt;='Gastos com Pessoal'!$F$513:$F$522)*(IF('Gastos com Pessoal'!$AE$513:$AE$522&lt;=X$3,1,0))*OFFSET('Gastos com Pessoal'!$H$512,1,MATCH(5&amp;$B54,'Gastos com Pessoal'!$I$532:$AJ$532&amp;'Gastos com Pessoal'!$I$512:$AJ$512,0),10,1)),0)</f>
        <v>6811.1999999999698</v>
      </c>
      <c r="Y54" s="188">
        <f t="array" aca="1" ref="Y54" ca="1">_xlfn.IFNA(SUM((Y$3&gt;='Gastos com Pessoal'!$E$7:$E$506)*(Y$3&lt;='Gastos com Pessoal'!$F$7:$F$506)*OFFSET('Encargos e Benefícios'!$D$5,1,MATCH($B54,'Encargos e Benefícios'!$E$5:$AB$5,0),500,1)),0)+_xlfn.IFNA(SUM((Y$3&gt;='Gastos com Pessoal'!$E$513:$E$522)*(Y$3&lt;='Gastos com Pessoal'!$F$513:$F$522)*OFFSET('Encargos e Benefícios'!$D$511,1,MATCH($B54,'Encargos e Benefícios'!$E$511:$AB$511,0),10,1)),0)+_xlfn.IFNA(SUM((Y$3&gt;='Gastos com Pessoal'!$E$7:$E$506)*(Y$3&lt;='Gastos com Pessoal'!$F$7:$F$506)*(IF('Gastos com Pessoal'!$G$7:$G$506&lt;=Y$3,1,0))*OFFSET('Gastos com Pessoal'!$H$6,1,MATCH(1&amp;$B54,'Gastos com Pessoal'!$I$532:$AJ$532&amp;'Gastos com Pessoal'!$I$6:$AJ$6,0),500,1)),0)+_xlfn.IFNA(SUM((Y$3&gt;='Gastos com Pessoal'!$E$7:$E$506)*(Y$3&lt;='Gastos com Pessoal'!$F$7:$F$506)*(IF('Gastos com Pessoal'!$M$7:$M$506&lt;=Y$3,1,0))*OFFSET('Gastos com Pessoal'!$H$6,1,MATCH(2&amp;$B54,'Gastos com Pessoal'!$I$532:$AJ$532&amp;'Gastos com Pessoal'!$I$6:$AJ$6,0),500,1)),0)+_xlfn.IFNA(SUM((Y$3&gt;='Gastos com Pessoal'!$E$7:$E$506)*(Y$3&lt;='Gastos com Pessoal'!$F$7:$F$506)*(IF('Gastos com Pessoal'!$S$7:$S$506&lt;=Y$3,1,0))*OFFSET('Gastos com Pessoal'!$H$6,1,MATCH(3&amp;$B54,'Gastos com Pessoal'!$I$532:$AJ$532&amp;'Gastos com Pessoal'!$I$6:$AJ$6,0),500,1)),0)+_xlfn.IFNA(SUM((Y$3&gt;='Gastos com Pessoal'!$E$7:$E$506)*(Y$3&lt;='Gastos com Pessoal'!$F$7:$F$506)*(IF('Gastos com Pessoal'!$Y$7:$Y$506&lt;=Y$3,1,0))*OFFSET('Gastos com Pessoal'!$H$6,1,MATCH(4&amp;$B54,'Gastos com Pessoal'!$I$532:$AJ$532&amp;'Gastos com Pessoal'!$I$6:$AJ$6,0),500,1)),0)+_xlfn.IFNA(SUM((Y$3&gt;='Gastos com Pessoal'!$E$7:$E$506)*(Y$3&lt;='Gastos com Pessoal'!$F$7:$F$506)*(IF('Gastos com Pessoal'!$AE$7:$AE$506&lt;=Y$3,1,0))*OFFSET('Gastos com Pessoal'!$H$6,1,MATCH(5&amp;$B54,'Gastos com Pessoal'!$I$532:$AJ$532&amp;'Gastos com Pessoal'!$I$6:$AJ$6,0),500,1)),0)+_xlfn.IFNA(SUM((Y$3&gt;='Gastos com Pessoal'!$E$513:$E$522)*(Y$3&lt;='Gastos com Pessoal'!$F$513:$F$522)*(IF('Gastos com Pessoal'!$G$513:$G$522&lt;=Y$3,1,0))*OFFSET('Gastos com Pessoal'!$H$512,1,MATCH(1&amp;$B54,'Gastos com Pessoal'!$I$532:$AJ$532&amp;'Gastos com Pessoal'!$I$512:$AJ$512,0),10,1)),0)+_xlfn.IFNA(SUM((Y$3&gt;='Gastos com Pessoal'!$E$513:$E$522)*(Y$3&lt;='Gastos com Pessoal'!$F$513:$F$522)*(IF('Gastos com Pessoal'!$M$513:$M$522&lt;=Y$3,1,0))*OFFSET('Gastos com Pessoal'!$H$512,1,MATCH(2&amp;$B54,'Gastos com Pessoal'!$I$532:$AJ$532&amp;'Gastos com Pessoal'!$I$512:$AJ$512,0),10,1)),0)+_xlfn.IFNA(SUM((Y$3&gt;='Gastos com Pessoal'!$E$513:$E$522)*(Y$3&lt;='Gastos com Pessoal'!$F$513:$F$522)*(IF('Gastos com Pessoal'!$S$513:$S$522&lt;=Y$3,1,0))*OFFSET('Gastos com Pessoal'!$H$512,1,MATCH(3&amp;$B54,'Gastos com Pessoal'!$I$532:$AJ$532&amp;'Gastos com Pessoal'!$I$512:$AJ$512,0),10,1)),0)+_xlfn.IFNA(SUM((Y$3&gt;='Gastos com Pessoal'!$E$513:$E$522)*(Y$3&lt;='Gastos com Pessoal'!$F$513:$F$522)*(IF('Gastos com Pessoal'!$Y$513:$Y$522&lt;=Y$3,1,0))*OFFSET('Gastos com Pessoal'!$H$512,1,MATCH(4&amp;$B54,'Gastos com Pessoal'!$I$532:$AJ$532&amp;'Gastos com Pessoal'!$I$512:$AJ$512,0),10,1)),0)+_xlfn.IFNA(SUM((Y$3&gt;='Gastos com Pessoal'!$E$513:$E$522)*(Y$3&lt;='Gastos com Pessoal'!$F$513:$F$522)*(IF('Gastos com Pessoal'!$AE$513:$AE$522&lt;=Y$3,1,0))*OFFSET('Gastos com Pessoal'!$H$512,1,MATCH(5&amp;$B54,'Gastos com Pessoal'!$I$532:$AJ$532&amp;'Gastos com Pessoal'!$I$512:$AJ$512,0),10,1)),0)</f>
        <v>6811.1999999999698</v>
      </c>
      <c r="Z54" s="188">
        <f t="array" aca="1" ref="Z54" ca="1">_xlfn.IFNA(SUM((Z$3&gt;='Gastos com Pessoal'!$E$7:$E$506)*(Z$3&lt;='Gastos com Pessoal'!$F$7:$F$506)*OFFSET('Encargos e Benefícios'!$D$5,1,MATCH($B54,'Encargos e Benefícios'!$E$5:$AB$5,0),500,1)),0)+_xlfn.IFNA(SUM((Z$3&gt;='Gastos com Pessoal'!$E$513:$E$522)*(Z$3&lt;='Gastos com Pessoal'!$F$513:$F$522)*OFFSET('Encargos e Benefícios'!$D$511,1,MATCH($B54,'Encargos e Benefícios'!$E$511:$AB$511,0),10,1)),0)+_xlfn.IFNA(SUM((Z$3&gt;='Gastos com Pessoal'!$E$7:$E$506)*(Z$3&lt;='Gastos com Pessoal'!$F$7:$F$506)*(IF('Gastos com Pessoal'!$G$7:$G$506&lt;=Z$3,1,0))*OFFSET('Gastos com Pessoal'!$H$6,1,MATCH(1&amp;$B54,'Gastos com Pessoal'!$I$532:$AJ$532&amp;'Gastos com Pessoal'!$I$6:$AJ$6,0),500,1)),0)+_xlfn.IFNA(SUM((Z$3&gt;='Gastos com Pessoal'!$E$7:$E$506)*(Z$3&lt;='Gastos com Pessoal'!$F$7:$F$506)*(IF('Gastos com Pessoal'!$M$7:$M$506&lt;=Z$3,1,0))*OFFSET('Gastos com Pessoal'!$H$6,1,MATCH(2&amp;$B54,'Gastos com Pessoal'!$I$532:$AJ$532&amp;'Gastos com Pessoal'!$I$6:$AJ$6,0),500,1)),0)+_xlfn.IFNA(SUM((Z$3&gt;='Gastos com Pessoal'!$E$7:$E$506)*(Z$3&lt;='Gastos com Pessoal'!$F$7:$F$506)*(IF('Gastos com Pessoal'!$S$7:$S$506&lt;=Z$3,1,0))*OFFSET('Gastos com Pessoal'!$H$6,1,MATCH(3&amp;$B54,'Gastos com Pessoal'!$I$532:$AJ$532&amp;'Gastos com Pessoal'!$I$6:$AJ$6,0),500,1)),0)+_xlfn.IFNA(SUM((Z$3&gt;='Gastos com Pessoal'!$E$7:$E$506)*(Z$3&lt;='Gastos com Pessoal'!$F$7:$F$506)*(IF('Gastos com Pessoal'!$Y$7:$Y$506&lt;=Z$3,1,0))*OFFSET('Gastos com Pessoal'!$H$6,1,MATCH(4&amp;$B54,'Gastos com Pessoal'!$I$532:$AJ$532&amp;'Gastos com Pessoal'!$I$6:$AJ$6,0),500,1)),0)+_xlfn.IFNA(SUM((Z$3&gt;='Gastos com Pessoal'!$E$7:$E$506)*(Z$3&lt;='Gastos com Pessoal'!$F$7:$F$506)*(IF('Gastos com Pessoal'!$AE$7:$AE$506&lt;=Z$3,1,0))*OFFSET('Gastos com Pessoal'!$H$6,1,MATCH(5&amp;$B54,'Gastos com Pessoal'!$I$532:$AJ$532&amp;'Gastos com Pessoal'!$I$6:$AJ$6,0),500,1)),0)+_xlfn.IFNA(SUM((Z$3&gt;='Gastos com Pessoal'!$E$513:$E$522)*(Z$3&lt;='Gastos com Pessoal'!$F$513:$F$522)*(IF('Gastos com Pessoal'!$G$513:$G$522&lt;=Z$3,1,0))*OFFSET('Gastos com Pessoal'!$H$512,1,MATCH(1&amp;$B54,'Gastos com Pessoal'!$I$532:$AJ$532&amp;'Gastos com Pessoal'!$I$512:$AJ$512,0),10,1)),0)+_xlfn.IFNA(SUM((Z$3&gt;='Gastos com Pessoal'!$E$513:$E$522)*(Z$3&lt;='Gastos com Pessoal'!$F$513:$F$522)*(IF('Gastos com Pessoal'!$M$513:$M$522&lt;=Z$3,1,0))*OFFSET('Gastos com Pessoal'!$H$512,1,MATCH(2&amp;$B54,'Gastos com Pessoal'!$I$532:$AJ$532&amp;'Gastos com Pessoal'!$I$512:$AJ$512,0),10,1)),0)+_xlfn.IFNA(SUM((Z$3&gt;='Gastos com Pessoal'!$E$513:$E$522)*(Z$3&lt;='Gastos com Pessoal'!$F$513:$F$522)*(IF('Gastos com Pessoal'!$S$513:$S$522&lt;=Z$3,1,0))*OFFSET('Gastos com Pessoal'!$H$512,1,MATCH(3&amp;$B54,'Gastos com Pessoal'!$I$532:$AJ$532&amp;'Gastos com Pessoal'!$I$512:$AJ$512,0),10,1)),0)+_xlfn.IFNA(SUM((Z$3&gt;='Gastos com Pessoal'!$E$513:$E$522)*(Z$3&lt;='Gastos com Pessoal'!$F$513:$F$522)*(IF('Gastos com Pessoal'!$Y$513:$Y$522&lt;=Z$3,1,0))*OFFSET('Gastos com Pessoal'!$H$512,1,MATCH(4&amp;$B54,'Gastos com Pessoal'!$I$532:$AJ$532&amp;'Gastos com Pessoal'!$I$512:$AJ$512,0),10,1)),0)+_xlfn.IFNA(SUM((Z$3&gt;='Gastos com Pessoal'!$E$513:$E$522)*(Z$3&lt;='Gastos com Pessoal'!$F$513:$F$522)*(IF('Gastos com Pessoal'!$AE$513:$AE$522&lt;=Z$3,1,0))*OFFSET('Gastos com Pessoal'!$H$512,1,MATCH(5&amp;$B54,'Gastos com Pessoal'!$I$532:$AJ$532&amp;'Gastos com Pessoal'!$I$512:$AJ$512,0),10,1)),0)</f>
        <v>6811.1999999999698</v>
      </c>
      <c r="AA54" s="188">
        <f t="array" aca="1" ref="AA54" ca="1">_xlfn.IFNA(SUM((AA$3&gt;='Gastos com Pessoal'!$E$7:$E$506)*(AA$3&lt;='Gastos com Pessoal'!$F$7:$F$506)*OFFSET('Encargos e Benefícios'!$D$5,1,MATCH($B54,'Encargos e Benefícios'!$E$5:$AB$5,0),500,1)),0)+_xlfn.IFNA(SUM((AA$3&gt;='Gastos com Pessoal'!$E$513:$E$522)*(AA$3&lt;='Gastos com Pessoal'!$F$513:$F$522)*OFFSET('Encargos e Benefícios'!$D$511,1,MATCH($B54,'Encargos e Benefícios'!$E$511:$AB$511,0),10,1)),0)+_xlfn.IFNA(SUM((AA$3&gt;='Gastos com Pessoal'!$E$7:$E$506)*(AA$3&lt;='Gastos com Pessoal'!$F$7:$F$506)*(IF('Gastos com Pessoal'!$G$7:$G$506&lt;=AA$3,1,0))*OFFSET('Gastos com Pessoal'!$H$6,1,MATCH(1&amp;$B54,'Gastos com Pessoal'!$I$532:$AJ$532&amp;'Gastos com Pessoal'!$I$6:$AJ$6,0),500,1)),0)+_xlfn.IFNA(SUM((AA$3&gt;='Gastos com Pessoal'!$E$7:$E$506)*(AA$3&lt;='Gastos com Pessoal'!$F$7:$F$506)*(IF('Gastos com Pessoal'!$M$7:$M$506&lt;=AA$3,1,0))*OFFSET('Gastos com Pessoal'!$H$6,1,MATCH(2&amp;$B54,'Gastos com Pessoal'!$I$532:$AJ$532&amp;'Gastos com Pessoal'!$I$6:$AJ$6,0),500,1)),0)+_xlfn.IFNA(SUM((AA$3&gt;='Gastos com Pessoal'!$E$7:$E$506)*(AA$3&lt;='Gastos com Pessoal'!$F$7:$F$506)*(IF('Gastos com Pessoal'!$S$7:$S$506&lt;=AA$3,1,0))*OFFSET('Gastos com Pessoal'!$H$6,1,MATCH(3&amp;$B54,'Gastos com Pessoal'!$I$532:$AJ$532&amp;'Gastos com Pessoal'!$I$6:$AJ$6,0),500,1)),0)+_xlfn.IFNA(SUM((AA$3&gt;='Gastos com Pessoal'!$E$7:$E$506)*(AA$3&lt;='Gastos com Pessoal'!$F$7:$F$506)*(IF('Gastos com Pessoal'!$Y$7:$Y$506&lt;=AA$3,1,0))*OFFSET('Gastos com Pessoal'!$H$6,1,MATCH(4&amp;$B54,'Gastos com Pessoal'!$I$532:$AJ$532&amp;'Gastos com Pessoal'!$I$6:$AJ$6,0),500,1)),0)+_xlfn.IFNA(SUM((AA$3&gt;='Gastos com Pessoal'!$E$7:$E$506)*(AA$3&lt;='Gastos com Pessoal'!$F$7:$F$506)*(IF('Gastos com Pessoal'!$AE$7:$AE$506&lt;=AA$3,1,0))*OFFSET('Gastos com Pessoal'!$H$6,1,MATCH(5&amp;$B54,'Gastos com Pessoal'!$I$532:$AJ$532&amp;'Gastos com Pessoal'!$I$6:$AJ$6,0),500,1)),0)+_xlfn.IFNA(SUM((AA$3&gt;='Gastos com Pessoal'!$E$513:$E$522)*(AA$3&lt;='Gastos com Pessoal'!$F$513:$F$522)*(IF('Gastos com Pessoal'!$G$513:$G$522&lt;=AA$3,1,0))*OFFSET('Gastos com Pessoal'!$H$512,1,MATCH(1&amp;$B54,'Gastos com Pessoal'!$I$532:$AJ$532&amp;'Gastos com Pessoal'!$I$512:$AJ$512,0),10,1)),0)+_xlfn.IFNA(SUM((AA$3&gt;='Gastos com Pessoal'!$E$513:$E$522)*(AA$3&lt;='Gastos com Pessoal'!$F$513:$F$522)*(IF('Gastos com Pessoal'!$M$513:$M$522&lt;=AA$3,1,0))*OFFSET('Gastos com Pessoal'!$H$512,1,MATCH(2&amp;$B54,'Gastos com Pessoal'!$I$532:$AJ$532&amp;'Gastos com Pessoal'!$I$512:$AJ$512,0),10,1)),0)+_xlfn.IFNA(SUM((AA$3&gt;='Gastos com Pessoal'!$E$513:$E$522)*(AA$3&lt;='Gastos com Pessoal'!$F$513:$F$522)*(IF('Gastos com Pessoal'!$S$513:$S$522&lt;=AA$3,1,0))*OFFSET('Gastos com Pessoal'!$H$512,1,MATCH(3&amp;$B54,'Gastos com Pessoal'!$I$532:$AJ$532&amp;'Gastos com Pessoal'!$I$512:$AJ$512,0),10,1)),0)+_xlfn.IFNA(SUM((AA$3&gt;='Gastos com Pessoal'!$E$513:$E$522)*(AA$3&lt;='Gastos com Pessoal'!$F$513:$F$522)*(IF('Gastos com Pessoal'!$Y$513:$Y$522&lt;=AA$3,1,0))*OFFSET('Gastos com Pessoal'!$H$512,1,MATCH(4&amp;$B54,'Gastos com Pessoal'!$I$532:$AJ$532&amp;'Gastos com Pessoal'!$I$512:$AJ$512,0),10,1)),0)+_xlfn.IFNA(SUM((AA$3&gt;='Gastos com Pessoal'!$E$513:$E$522)*(AA$3&lt;='Gastos com Pessoal'!$F$513:$F$522)*(IF('Gastos com Pessoal'!$AE$513:$AE$522&lt;=AA$3,1,0))*OFFSET('Gastos com Pessoal'!$H$512,1,MATCH(5&amp;$B54,'Gastos com Pessoal'!$I$532:$AJ$532&amp;'Gastos com Pessoal'!$I$512:$AJ$512,0),10,1)),0)</f>
        <v>6811.1999999999698</v>
      </c>
      <c r="AB54" s="188">
        <f t="array" aca="1" ref="AB54" ca="1">_xlfn.IFNA(SUM((AB$3&gt;='Gastos com Pessoal'!$E$7:$E$506)*(AB$3&lt;='Gastos com Pessoal'!$F$7:$F$506)*OFFSET('Encargos e Benefícios'!$D$5,1,MATCH($B54,'Encargos e Benefícios'!$E$5:$AB$5,0),500,1)),0)+_xlfn.IFNA(SUM((AB$3&gt;='Gastos com Pessoal'!$E$513:$E$522)*(AB$3&lt;='Gastos com Pessoal'!$F$513:$F$522)*OFFSET('Encargos e Benefícios'!$D$511,1,MATCH($B54,'Encargos e Benefícios'!$E$511:$AB$511,0),10,1)),0)+_xlfn.IFNA(SUM((AB$3&gt;='Gastos com Pessoal'!$E$7:$E$506)*(AB$3&lt;='Gastos com Pessoal'!$F$7:$F$506)*(IF('Gastos com Pessoal'!$G$7:$G$506&lt;=AB$3,1,0))*OFFSET('Gastos com Pessoal'!$H$6,1,MATCH(1&amp;$B54,'Gastos com Pessoal'!$I$532:$AJ$532&amp;'Gastos com Pessoal'!$I$6:$AJ$6,0),500,1)),0)+_xlfn.IFNA(SUM((AB$3&gt;='Gastos com Pessoal'!$E$7:$E$506)*(AB$3&lt;='Gastos com Pessoal'!$F$7:$F$506)*(IF('Gastos com Pessoal'!$M$7:$M$506&lt;=AB$3,1,0))*OFFSET('Gastos com Pessoal'!$H$6,1,MATCH(2&amp;$B54,'Gastos com Pessoal'!$I$532:$AJ$532&amp;'Gastos com Pessoal'!$I$6:$AJ$6,0),500,1)),0)+_xlfn.IFNA(SUM((AB$3&gt;='Gastos com Pessoal'!$E$7:$E$506)*(AB$3&lt;='Gastos com Pessoal'!$F$7:$F$506)*(IF('Gastos com Pessoal'!$S$7:$S$506&lt;=AB$3,1,0))*OFFSET('Gastos com Pessoal'!$H$6,1,MATCH(3&amp;$B54,'Gastos com Pessoal'!$I$532:$AJ$532&amp;'Gastos com Pessoal'!$I$6:$AJ$6,0),500,1)),0)+_xlfn.IFNA(SUM((AB$3&gt;='Gastos com Pessoal'!$E$7:$E$506)*(AB$3&lt;='Gastos com Pessoal'!$F$7:$F$506)*(IF('Gastos com Pessoal'!$Y$7:$Y$506&lt;=AB$3,1,0))*OFFSET('Gastos com Pessoal'!$H$6,1,MATCH(4&amp;$B54,'Gastos com Pessoal'!$I$532:$AJ$532&amp;'Gastos com Pessoal'!$I$6:$AJ$6,0),500,1)),0)+_xlfn.IFNA(SUM((AB$3&gt;='Gastos com Pessoal'!$E$7:$E$506)*(AB$3&lt;='Gastos com Pessoal'!$F$7:$F$506)*(IF('Gastos com Pessoal'!$AE$7:$AE$506&lt;=AB$3,1,0))*OFFSET('Gastos com Pessoal'!$H$6,1,MATCH(5&amp;$B54,'Gastos com Pessoal'!$I$532:$AJ$532&amp;'Gastos com Pessoal'!$I$6:$AJ$6,0),500,1)),0)+_xlfn.IFNA(SUM((AB$3&gt;='Gastos com Pessoal'!$E$513:$E$522)*(AB$3&lt;='Gastos com Pessoal'!$F$513:$F$522)*(IF('Gastos com Pessoal'!$G$513:$G$522&lt;=AB$3,1,0))*OFFSET('Gastos com Pessoal'!$H$512,1,MATCH(1&amp;$B54,'Gastos com Pessoal'!$I$532:$AJ$532&amp;'Gastos com Pessoal'!$I$512:$AJ$512,0),10,1)),0)+_xlfn.IFNA(SUM((AB$3&gt;='Gastos com Pessoal'!$E$513:$E$522)*(AB$3&lt;='Gastos com Pessoal'!$F$513:$F$522)*(IF('Gastos com Pessoal'!$M$513:$M$522&lt;=AB$3,1,0))*OFFSET('Gastos com Pessoal'!$H$512,1,MATCH(2&amp;$B54,'Gastos com Pessoal'!$I$532:$AJ$532&amp;'Gastos com Pessoal'!$I$512:$AJ$512,0),10,1)),0)+_xlfn.IFNA(SUM((AB$3&gt;='Gastos com Pessoal'!$E$513:$E$522)*(AB$3&lt;='Gastos com Pessoal'!$F$513:$F$522)*(IF('Gastos com Pessoal'!$S$513:$S$522&lt;=AB$3,1,0))*OFFSET('Gastos com Pessoal'!$H$512,1,MATCH(3&amp;$B54,'Gastos com Pessoal'!$I$532:$AJ$532&amp;'Gastos com Pessoal'!$I$512:$AJ$512,0),10,1)),0)+_xlfn.IFNA(SUM((AB$3&gt;='Gastos com Pessoal'!$E$513:$E$522)*(AB$3&lt;='Gastos com Pessoal'!$F$513:$F$522)*(IF('Gastos com Pessoal'!$Y$513:$Y$522&lt;=AB$3,1,0))*OFFSET('Gastos com Pessoal'!$H$512,1,MATCH(4&amp;$B54,'Gastos com Pessoal'!$I$532:$AJ$532&amp;'Gastos com Pessoal'!$I$512:$AJ$512,0),10,1)),0)+_xlfn.IFNA(SUM((AB$3&gt;='Gastos com Pessoal'!$E$513:$E$522)*(AB$3&lt;='Gastos com Pessoal'!$F$513:$F$522)*(IF('Gastos com Pessoal'!$AE$513:$AE$522&lt;=AB$3,1,0))*OFFSET('Gastos com Pessoal'!$H$512,1,MATCH(5&amp;$B54,'Gastos com Pessoal'!$I$532:$AJ$532&amp;'Gastos com Pessoal'!$I$512:$AJ$512,0),10,1)),0)</f>
        <v>6811.1999999999698</v>
      </c>
      <c r="AC54" s="188">
        <f t="array" aca="1" ref="AC54" ca="1">_xlfn.IFNA(SUM((AC$3&gt;='Gastos com Pessoal'!$E$7:$E$506)*(AC$3&lt;='Gastos com Pessoal'!$F$7:$F$506)*OFFSET('Encargos e Benefícios'!$D$5,1,MATCH($B54,'Encargos e Benefícios'!$E$5:$AB$5,0),500,1)),0)+_xlfn.IFNA(SUM((AC$3&gt;='Gastos com Pessoal'!$E$513:$E$522)*(AC$3&lt;='Gastos com Pessoal'!$F$513:$F$522)*OFFSET('Encargos e Benefícios'!$D$511,1,MATCH($B54,'Encargos e Benefícios'!$E$511:$AB$511,0),10,1)),0)+_xlfn.IFNA(SUM((AC$3&gt;='Gastos com Pessoal'!$E$7:$E$506)*(AC$3&lt;='Gastos com Pessoal'!$F$7:$F$506)*(IF('Gastos com Pessoal'!$G$7:$G$506&lt;=AC$3,1,0))*OFFSET('Gastos com Pessoal'!$H$6,1,MATCH(1&amp;$B54,'Gastos com Pessoal'!$I$532:$AJ$532&amp;'Gastos com Pessoal'!$I$6:$AJ$6,0),500,1)),0)+_xlfn.IFNA(SUM((AC$3&gt;='Gastos com Pessoal'!$E$7:$E$506)*(AC$3&lt;='Gastos com Pessoal'!$F$7:$F$506)*(IF('Gastos com Pessoal'!$M$7:$M$506&lt;=AC$3,1,0))*OFFSET('Gastos com Pessoal'!$H$6,1,MATCH(2&amp;$B54,'Gastos com Pessoal'!$I$532:$AJ$532&amp;'Gastos com Pessoal'!$I$6:$AJ$6,0),500,1)),0)+_xlfn.IFNA(SUM((AC$3&gt;='Gastos com Pessoal'!$E$7:$E$506)*(AC$3&lt;='Gastos com Pessoal'!$F$7:$F$506)*(IF('Gastos com Pessoal'!$S$7:$S$506&lt;=AC$3,1,0))*OFFSET('Gastos com Pessoal'!$H$6,1,MATCH(3&amp;$B54,'Gastos com Pessoal'!$I$532:$AJ$532&amp;'Gastos com Pessoal'!$I$6:$AJ$6,0),500,1)),0)+_xlfn.IFNA(SUM((AC$3&gt;='Gastos com Pessoal'!$E$7:$E$506)*(AC$3&lt;='Gastos com Pessoal'!$F$7:$F$506)*(IF('Gastos com Pessoal'!$Y$7:$Y$506&lt;=AC$3,1,0))*OFFSET('Gastos com Pessoal'!$H$6,1,MATCH(4&amp;$B54,'Gastos com Pessoal'!$I$532:$AJ$532&amp;'Gastos com Pessoal'!$I$6:$AJ$6,0),500,1)),0)+_xlfn.IFNA(SUM((AC$3&gt;='Gastos com Pessoal'!$E$7:$E$506)*(AC$3&lt;='Gastos com Pessoal'!$F$7:$F$506)*(IF('Gastos com Pessoal'!$AE$7:$AE$506&lt;=AC$3,1,0))*OFFSET('Gastos com Pessoal'!$H$6,1,MATCH(5&amp;$B54,'Gastos com Pessoal'!$I$532:$AJ$532&amp;'Gastos com Pessoal'!$I$6:$AJ$6,0),500,1)),0)+_xlfn.IFNA(SUM((AC$3&gt;='Gastos com Pessoal'!$E$513:$E$522)*(AC$3&lt;='Gastos com Pessoal'!$F$513:$F$522)*(IF('Gastos com Pessoal'!$G$513:$G$522&lt;=AC$3,1,0))*OFFSET('Gastos com Pessoal'!$H$512,1,MATCH(1&amp;$B54,'Gastos com Pessoal'!$I$532:$AJ$532&amp;'Gastos com Pessoal'!$I$512:$AJ$512,0),10,1)),0)+_xlfn.IFNA(SUM((AC$3&gt;='Gastos com Pessoal'!$E$513:$E$522)*(AC$3&lt;='Gastos com Pessoal'!$F$513:$F$522)*(IF('Gastos com Pessoal'!$M$513:$M$522&lt;=AC$3,1,0))*OFFSET('Gastos com Pessoal'!$H$512,1,MATCH(2&amp;$B54,'Gastos com Pessoal'!$I$532:$AJ$532&amp;'Gastos com Pessoal'!$I$512:$AJ$512,0),10,1)),0)+_xlfn.IFNA(SUM((AC$3&gt;='Gastos com Pessoal'!$E$513:$E$522)*(AC$3&lt;='Gastos com Pessoal'!$F$513:$F$522)*(IF('Gastos com Pessoal'!$S$513:$S$522&lt;=AC$3,1,0))*OFFSET('Gastos com Pessoal'!$H$512,1,MATCH(3&amp;$B54,'Gastos com Pessoal'!$I$532:$AJ$532&amp;'Gastos com Pessoal'!$I$512:$AJ$512,0),10,1)),0)+_xlfn.IFNA(SUM((AC$3&gt;='Gastos com Pessoal'!$E$513:$E$522)*(AC$3&lt;='Gastos com Pessoal'!$F$513:$F$522)*(IF('Gastos com Pessoal'!$Y$513:$Y$522&lt;=AC$3,1,0))*OFFSET('Gastos com Pessoal'!$H$512,1,MATCH(4&amp;$B54,'Gastos com Pessoal'!$I$532:$AJ$532&amp;'Gastos com Pessoal'!$I$512:$AJ$512,0),10,1)),0)+_xlfn.IFNA(SUM((AC$3&gt;='Gastos com Pessoal'!$E$513:$E$522)*(AC$3&lt;='Gastos com Pessoal'!$F$513:$F$522)*(IF('Gastos com Pessoal'!$AE$513:$AE$522&lt;=AC$3,1,0))*OFFSET('Gastos com Pessoal'!$H$512,1,MATCH(5&amp;$B54,'Gastos com Pessoal'!$I$532:$AJ$532&amp;'Gastos com Pessoal'!$I$512:$AJ$512,0),10,1)),0)</f>
        <v>6811.1999999999698</v>
      </c>
      <c r="AD54" s="188">
        <f t="array" aca="1" ref="AD54" ca="1">_xlfn.IFNA(SUM((AD$3&gt;='Gastos com Pessoal'!$E$7:$E$506)*(AD$3&lt;='Gastos com Pessoal'!$F$7:$F$506)*OFFSET('Encargos e Benefícios'!$D$5,1,MATCH($B54,'Encargos e Benefícios'!$E$5:$AB$5,0),500,1)),0)+_xlfn.IFNA(SUM((AD$3&gt;='Gastos com Pessoal'!$E$513:$E$522)*(AD$3&lt;='Gastos com Pessoal'!$F$513:$F$522)*OFFSET('Encargos e Benefícios'!$D$511,1,MATCH($B54,'Encargos e Benefícios'!$E$511:$AB$511,0),10,1)),0)+_xlfn.IFNA(SUM((AD$3&gt;='Gastos com Pessoal'!$E$7:$E$506)*(AD$3&lt;='Gastos com Pessoal'!$F$7:$F$506)*(IF('Gastos com Pessoal'!$G$7:$G$506&lt;=AD$3,1,0))*OFFSET('Gastos com Pessoal'!$H$6,1,MATCH(1&amp;$B54,'Gastos com Pessoal'!$I$532:$AJ$532&amp;'Gastos com Pessoal'!$I$6:$AJ$6,0),500,1)),0)+_xlfn.IFNA(SUM((AD$3&gt;='Gastos com Pessoal'!$E$7:$E$506)*(AD$3&lt;='Gastos com Pessoal'!$F$7:$F$506)*(IF('Gastos com Pessoal'!$M$7:$M$506&lt;=AD$3,1,0))*OFFSET('Gastos com Pessoal'!$H$6,1,MATCH(2&amp;$B54,'Gastos com Pessoal'!$I$532:$AJ$532&amp;'Gastos com Pessoal'!$I$6:$AJ$6,0),500,1)),0)+_xlfn.IFNA(SUM((AD$3&gt;='Gastos com Pessoal'!$E$7:$E$506)*(AD$3&lt;='Gastos com Pessoal'!$F$7:$F$506)*(IF('Gastos com Pessoal'!$S$7:$S$506&lt;=AD$3,1,0))*OFFSET('Gastos com Pessoal'!$H$6,1,MATCH(3&amp;$B54,'Gastos com Pessoal'!$I$532:$AJ$532&amp;'Gastos com Pessoal'!$I$6:$AJ$6,0),500,1)),0)+_xlfn.IFNA(SUM((AD$3&gt;='Gastos com Pessoal'!$E$7:$E$506)*(AD$3&lt;='Gastos com Pessoal'!$F$7:$F$506)*(IF('Gastos com Pessoal'!$Y$7:$Y$506&lt;=AD$3,1,0))*OFFSET('Gastos com Pessoal'!$H$6,1,MATCH(4&amp;$B54,'Gastos com Pessoal'!$I$532:$AJ$532&amp;'Gastos com Pessoal'!$I$6:$AJ$6,0),500,1)),0)+_xlfn.IFNA(SUM((AD$3&gt;='Gastos com Pessoal'!$E$7:$E$506)*(AD$3&lt;='Gastos com Pessoal'!$F$7:$F$506)*(IF('Gastos com Pessoal'!$AE$7:$AE$506&lt;=AD$3,1,0))*OFFSET('Gastos com Pessoal'!$H$6,1,MATCH(5&amp;$B54,'Gastos com Pessoal'!$I$532:$AJ$532&amp;'Gastos com Pessoal'!$I$6:$AJ$6,0),500,1)),0)+_xlfn.IFNA(SUM((AD$3&gt;='Gastos com Pessoal'!$E$513:$E$522)*(AD$3&lt;='Gastos com Pessoal'!$F$513:$F$522)*(IF('Gastos com Pessoal'!$G$513:$G$522&lt;=AD$3,1,0))*OFFSET('Gastos com Pessoal'!$H$512,1,MATCH(1&amp;$B54,'Gastos com Pessoal'!$I$532:$AJ$532&amp;'Gastos com Pessoal'!$I$512:$AJ$512,0),10,1)),0)+_xlfn.IFNA(SUM((AD$3&gt;='Gastos com Pessoal'!$E$513:$E$522)*(AD$3&lt;='Gastos com Pessoal'!$F$513:$F$522)*(IF('Gastos com Pessoal'!$M$513:$M$522&lt;=AD$3,1,0))*OFFSET('Gastos com Pessoal'!$H$512,1,MATCH(2&amp;$B54,'Gastos com Pessoal'!$I$532:$AJ$532&amp;'Gastos com Pessoal'!$I$512:$AJ$512,0),10,1)),0)+_xlfn.IFNA(SUM((AD$3&gt;='Gastos com Pessoal'!$E$513:$E$522)*(AD$3&lt;='Gastos com Pessoal'!$F$513:$F$522)*(IF('Gastos com Pessoal'!$S$513:$S$522&lt;=AD$3,1,0))*OFFSET('Gastos com Pessoal'!$H$512,1,MATCH(3&amp;$B54,'Gastos com Pessoal'!$I$532:$AJ$532&amp;'Gastos com Pessoal'!$I$512:$AJ$512,0),10,1)),0)+_xlfn.IFNA(SUM((AD$3&gt;='Gastos com Pessoal'!$E$513:$E$522)*(AD$3&lt;='Gastos com Pessoal'!$F$513:$F$522)*(IF('Gastos com Pessoal'!$Y$513:$Y$522&lt;=AD$3,1,0))*OFFSET('Gastos com Pessoal'!$H$512,1,MATCH(4&amp;$B54,'Gastos com Pessoal'!$I$532:$AJ$532&amp;'Gastos com Pessoal'!$I$512:$AJ$512,0),10,1)),0)+_xlfn.IFNA(SUM((AD$3&gt;='Gastos com Pessoal'!$E$513:$E$522)*(AD$3&lt;='Gastos com Pessoal'!$F$513:$F$522)*(IF('Gastos com Pessoal'!$AE$513:$AE$522&lt;=AD$3,1,0))*OFFSET('Gastos com Pessoal'!$H$512,1,MATCH(5&amp;$B54,'Gastos com Pessoal'!$I$532:$AJ$532&amp;'Gastos com Pessoal'!$I$512:$AJ$512,0),10,1)),0)</f>
        <v>6811.1999999999698</v>
      </c>
      <c r="AE54" s="188">
        <f t="array" aca="1" ref="AE54" ca="1">_xlfn.IFNA(SUM((AE$3&gt;='Gastos com Pessoal'!$E$7:$E$506)*(AE$3&lt;='Gastos com Pessoal'!$F$7:$F$506)*OFFSET('Encargos e Benefícios'!$D$5,1,MATCH($B54,'Encargos e Benefícios'!$E$5:$AB$5,0),500,1)),0)+_xlfn.IFNA(SUM((AE$3&gt;='Gastos com Pessoal'!$E$513:$E$522)*(AE$3&lt;='Gastos com Pessoal'!$F$513:$F$522)*OFFSET('Encargos e Benefícios'!$D$511,1,MATCH($B54,'Encargos e Benefícios'!$E$511:$AB$511,0),10,1)),0)+_xlfn.IFNA(SUM((AE$3&gt;='Gastos com Pessoal'!$E$7:$E$506)*(AE$3&lt;='Gastos com Pessoal'!$F$7:$F$506)*(IF('Gastos com Pessoal'!$G$7:$G$506&lt;=AE$3,1,0))*OFFSET('Gastos com Pessoal'!$H$6,1,MATCH(1&amp;$B54,'Gastos com Pessoal'!$I$532:$AJ$532&amp;'Gastos com Pessoal'!$I$6:$AJ$6,0),500,1)),0)+_xlfn.IFNA(SUM((AE$3&gt;='Gastos com Pessoal'!$E$7:$E$506)*(AE$3&lt;='Gastos com Pessoal'!$F$7:$F$506)*(IF('Gastos com Pessoal'!$M$7:$M$506&lt;=AE$3,1,0))*OFFSET('Gastos com Pessoal'!$H$6,1,MATCH(2&amp;$B54,'Gastos com Pessoal'!$I$532:$AJ$532&amp;'Gastos com Pessoal'!$I$6:$AJ$6,0),500,1)),0)+_xlfn.IFNA(SUM((AE$3&gt;='Gastos com Pessoal'!$E$7:$E$506)*(AE$3&lt;='Gastos com Pessoal'!$F$7:$F$506)*(IF('Gastos com Pessoal'!$S$7:$S$506&lt;=AE$3,1,0))*OFFSET('Gastos com Pessoal'!$H$6,1,MATCH(3&amp;$B54,'Gastos com Pessoal'!$I$532:$AJ$532&amp;'Gastos com Pessoal'!$I$6:$AJ$6,0),500,1)),0)+_xlfn.IFNA(SUM((AE$3&gt;='Gastos com Pessoal'!$E$7:$E$506)*(AE$3&lt;='Gastos com Pessoal'!$F$7:$F$506)*(IF('Gastos com Pessoal'!$Y$7:$Y$506&lt;=AE$3,1,0))*OFFSET('Gastos com Pessoal'!$H$6,1,MATCH(4&amp;$B54,'Gastos com Pessoal'!$I$532:$AJ$532&amp;'Gastos com Pessoal'!$I$6:$AJ$6,0),500,1)),0)+_xlfn.IFNA(SUM((AE$3&gt;='Gastos com Pessoal'!$E$7:$E$506)*(AE$3&lt;='Gastos com Pessoal'!$F$7:$F$506)*(IF('Gastos com Pessoal'!$AE$7:$AE$506&lt;=AE$3,1,0))*OFFSET('Gastos com Pessoal'!$H$6,1,MATCH(5&amp;$B54,'Gastos com Pessoal'!$I$532:$AJ$532&amp;'Gastos com Pessoal'!$I$6:$AJ$6,0),500,1)),0)+_xlfn.IFNA(SUM((AE$3&gt;='Gastos com Pessoal'!$E$513:$E$522)*(AE$3&lt;='Gastos com Pessoal'!$F$513:$F$522)*(IF('Gastos com Pessoal'!$G$513:$G$522&lt;=AE$3,1,0))*OFFSET('Gastos com Pessoal'!$H$512,1,MATCH(1&amp;$B54,'Gastos com Pessoal'!$I$532:$AJ$532&amp;'Gastos com Pessoal'!$I$512:$AJ$512,0),10,1)),0)+_xlfn.IFNA(SUM((AE$3&gt;='Gastos com Pessoal'!$E$513:$E$522)*(AE$3&lt;='Gastos com Pessoal'!$F$513:$F$522)*(IF('Gastos com Pessoal'!$M$513:$M$522&lt;=AE$3,1,0))*OFFSET('Gastos com Pessoal'!$H$512,1,MATCH(2&amp;$B54,'Gastos com Pessoal'!$I$532:$AJ$532&amp;'Gastos com Pessoal'!$I$512:$AJ$512,0),10,1)),0)+_xlfn.IFNA(SUM((AE$3&gt;='Gastos com Pessoal'!$E$513:$E$522)*(AE$3&lt;='Gastos com Pessoal'!$F$513:$F$522)*(IF('Gastos com Pessoal'!$S$513:$S$522&lt;=AE$3,1,0))*OFFSET('Gastos com Pessoal'!$H$512,1,MATCH(3&amp;$B54,'Gastos com Pessoal'!$I$532:$AJ$532&amp;'Gastos com Pessoal'!$I$512:$AJ$512,0),10,1)),0)+_xlfn.IFNA(SUM((AE$3&gt;='Gastos com Pessoal'!$E$513:$E$522)*(AE$3&lt;='Gastos com Pessoal'!$F$513:$F$522)*(IF('Gastos com Pessoal'!$Y$513:$Y$522&lt;=AE$3,1,0))*OFFSET('Gastos com Pessoal'!$H$512,1,MATCH(4&amp;$B54,'Gastos com Pessoal'!$I$532:$AJ$532&amp;'Gastos com Pessoal'!$I$512:$AJ$512,0),10,1)),0)+_xlfn.IFNA(SUM((AE$3&gt;='Gastos com Pessoal'!$E$513:$E$522)*(AE$3&lt;='Gastos com Pessoal'!$F$513:$F$522)*(IF('Gastos com Pessoal'!$AE$513:$AE$522&lt;=AE$3,1,0))*OFFSET('Gastos com Pessoal'!$H$512,1,MATCH(5&amp;$B54,'Gastos com Pessoal'!$I$532:$AJ$532&amp;'Gastos com Pessoal'!$I$512:$AJ$512,0),10,1)),0)</f>
        <v>6811.1999999999698</v>
      </c>
      <c r="AF54" s="188">
        <f t="array" aca="1" ref="AF54" ca="1">_xlfn.IFNA(SUM((AF$3&gt;='Gastos com Pessoal'!$E$7:$E$506)*(AF$3&lt;='Gastos com Pessoal'!$F$7:$F$506)*OFFSET('Encargos e Benefícios'!$D$5,1,MATCH($B54,'Encargos e Benefícios'!$E$5:$AB$5,0),500,1)),0)+_xlfn.IFNA(SUM((AF$3&gt;='Gastos com Pessoal'!$E$513:$E$522)*(AF$3&lt;='Gastos com Pessoal'!$F$513:$F$522)*OFFSET('Encargos e Benefícios'!$D$511,1,MATCH($B54,'Encargos e Benefícios'!$E$511:$AB$511,0),10,1)),0)+_xlfn.IFNA(SUM((AF$3&gt;='Gastos com Pessoal'!$E$7:$E$506)*(AF$3&lt;='Gastos com Pessoal'!$F$7:$F$506)*(IF('Gastos com Pessoal'!$G$7:$G$506&lt;=AF$3,1,0))*OFFSET('Gastos com Pessoal'!$H$6,1,MATCH(1&amp;$B54,'Gastos com Pessoal'!$I$532:$AJ$532&amp;'Gastos com Pessoal'!$I$6:$AJ$6,0),500,1)),0)+_xlfn.IFNA(SUM((AF$3&gt;='Gastos com Pessoal'!$E$7:$E$506)*(AF$3&lt;='Gastos com Pessoal'!$F$7:$F$506)*(IF('Gastos com Pessoal'!$M$7:$M$506&lt;=AF$3,1,0))*OFFSET('Gastos com Pessoal'!$H$6,1,MATCH(2&amp;$B54,'Gastos com Pessoal'!$I$532:$AJ$532&amp;'Gastos com Pessoal'!$I$6:$AJ$6,0),500,1)),0)+_xlfn.IFNA(SUM((AF$3&gt;='Gastos com Pessoal'!$E$7:$E$506)*(AF$3&lt;='Gastos com Pessoal'!$F$7:$F$506)*(IF('Gastos com Pessoal'!$S$7:$S$506&lt;=AF$3,1,0))*OFFSET('Gastos com Pessoal'!$H$6,1,MATCH(3&amp;$B54,'Gastos com Pessoal'!$I$532:$AJ$532&amp;'Gastos com Pessoal'!$I$6:$AJ$6,0),500,1)),0)+_xlfn.IFNA(SUM((AF$3&gt;='Gastos com Pessoal'!$E$7:$E$506)*(AF$3&lt;='Gastos com Pessoal'!$F$7:$F$506)*(IF('Gastos com Pessoal'!$Y$7:$Y$506&lt;=AF$3,1,0))*OFFSET('Gastos com Pessoal'!$H$6,1,MATCH(4&amp;$B54,'Gastos com Pessoal'!$I$532:$AJ$532&amp;'Gastos com Pessoal'!$I$6:$AJ$6,0),500,1)),0)+_xlfn.IFNA(SUM((AF$3&gt;='Gastos com Pessoal'!$E$7:$E$506)*(AF$3&lt;='Gastos com Pessoal'!$F$7:$F$506)*(IF('Gastos com Pessoal'!$AE$7:$AE$506&lt;=AF$3,1,0))*OFFSET('Gastos com Pessoal'!$H$6,1,MATCH(5&amp;$B54,'Gastos com Pessoal'!$I$532:$AJ$532&amp;'Gastos com Pessoal'!$I$6:$AJ$6,0),500,1)),0)+_xlfn.IFNA(SUM((AF$3&gt;='Gastos com Pessoal'!$E$513:$E$522)*(AF$3&lt;='Gastos com Pessoal'!$F$513:$F$522)*(IF('Gastos com Pessoal'!$G$513:$G$522&lt;=AF$3,1,0))*OFFSET('Gastos com Pessoal'!$H$512,1,MATCH(1&amp;$B54,'Gastos com Pessoal'!$I$532:$AJ$532&amp;'Gastos com Pessoal'!$I$512:$AJ$512,0),10,1)),0)+_xlfn.IFNA(SUM((AF$3&gt;='Gastos com Pessoal'!$E$513:$E$522)*(AF$3&lt;='Gastos com Pessoal'!$F$513:$F$522)*(IF('Gastos com Pessoal'!$M$513:$M$522&lt;=AF$3,1,0))*OFFSET('Gastos com Pessoal'!$H$512,1,MATCH(2&amp;$B54,'Gastos com Pessoal'!$I$532:$AJ$532&amp;'Gastos com Pessoal'!$I$512:$AJ$512,0),10,1)),0)+_xlfn.IFNA(SUM((AF$3&gt;='Gastos com Pessoal'!$E$513:$E$522)*(AF$3&lt;='Gastos com Pessoal'!$F$513:$F$522)*(IF('Gastos com Pessoal'!$S$513:$S$522&lt;=AF$3,1,0))*OFFSET('Gastos com Pessoal'!$H$512,1,MATCH(3&amp;$B54,'Gastos com Pessoal'!$I$532:$AJ$532&amp;'Gastos com Pessoal'!$I$512:$AJ$512,0),10,1)),0)+_xlfn.IFNA(SUM((AF$3&gt;='Gastos com Pessoal'!$E$513:$E$522)*(AF$3&lt;='Gastos com Pessoal'!$F$513:$F$522)*(IF('Gastos com Pessoal'!$Y$513:$Y$522&lt;=AF$3,1,0))*OFFSET('Gastos com Pessoal'!$H$512,1,MATCH(4&amp;$B54,'Gastos com Pessoal'!$I$532:$AJ$532&amp;'Gastos com Pessoal'!$I$512:$AJ$512,0),10,1)),0)+_xlfn.IFNA(SUM((AF$3&gt;='Gastos com Pessoal'!$E$513:$E$522)*(AF$3&lt;='Gastos com Pessoal'!$F$513:$F$522)*(IF('Gastos com Pessoal'!$AE$513:$AE$522&lt;=AF$3,1,0))*OFFSET('Gastos com Pessoal'!$H$512,1,MATCH(5&amp;$B54,'Gastos com Pessoal'!$I$532:$AJ$532&amp;'Gastos com Pessoal'!$I$512:$AJ$512,0),10,1)),0)</f>
        <v>6811.1999999999698</v>
      </c>
      <c r="AG54" s="188">
        <f t="array" aca="1" ref="AG54" ca="1">_xlfn.IFNA(SUM((AG$3&gt;='Gastos com Pessoal'!$E$7:$E$506)*(AG$3&lt;='Gastos com Pessoal'!$F$7:$F$506)*OFFSET('Encargos e Benefícios'!$D$5,1,MATCH($B54,'Encargos e Benefícios'!$E$5:$AB$5,0),500,1)),0)+_xlfn.IFNA(SUM((AG$3&gt;='Gastos com Pessoal'!$E$513:$E$522)*(AG$3&lt;='Gastos com Pessoal'!$F$513:$F$522)*OFFSET('Encargos e Benefícios'!$D$511,1,MATCH($B54,'Encargos e Benefícios'!$E$511:$AB$511,0),10,1)),0)+_xlfn.IFNA(SUM((AG$3&gt;='Gastos com Pessoal'!$E$7:$E$506)*(AG$3&lt;='Gastos com Pessoal'!$F$7:$F$506)*(IF('Gastos com Pessoal'!$G$7:$G$506&lt;=AG$3,1,0))*OFFSET('Gastos com Pessoal'!$H$6,1,MATCH(1&amp;$B54,'Gastos com Pessoal'!$I$532:$AJ$532&amp;'Gastos com Pessoal'!$I$6:$AJ$6,0),500,1)),0)+_xlfn.IFNA(SUM((AG$3&gt;='Gastos com Pessoal'!$E$7:$E$506)*(AG$3&lt;='Gastos com Pessoal'!$F$7:$F$506)*(IF('Gastos com Pessoal'!$M$7:$M$506&lt;=AG$3,1,0))*OFFSET('Gastos com Pessoal'!$H$6,1,MATCH(2&amp;$B54,'Gastos com Pessoal'!$I$532:$AJ$532&amp;'Gastos com Pessoal'!$I$6:$AJ$6,0),500,1)),0)+_xlfn.IFNA(SUM((AG$3&gt;='Gastos com Pessoal'!$E$7:$E$506)*(AG$3&lt;='Gastos com Pessoal'!$F$7:$F$506)*(IF('Gastos com Pessoal'!$S$7:$S$506&lt;=AG$3,1,0))*OFFSET('Gastos com Pessoal'!$H$6,1,MATCH(3&amp;$B54,'Gastos com Pessoal'!$I$532:$AJ$532&amp;'Gastos com Pessoal'!$I$6:$AJ$6,0),500,1)),0)+_xlfn.IFNA(SUM((AG$3&gt;='Gastos com Pessoal'!$E$7:$E$506)*(AG$3&lt;='Gastos com Pessoal'!$F$7:$F$506)*(IF('Gastos com Pessoal'!$Y$7:$Y$506&lt;=AG$3,1,0))*OFFSET('Gastos com Pessoal'!$H$6,1,MATCH(4&amp;$B54,'Gastos com Pessoal'!$I$532:$AJ$532&amp;'Gastos com Pessoal'!$I$6:$AJ$6,0),500,1)),0)+_xlfn.IFNA(SUM((AG$3&gt;='Gastos com Pessoal'!$E$7:$E$506)*(AG$3&lt;='Gastos com Pessoal'!$F$7:$F$506)*(IF('Gastos com Pessoal'!$AE$7:$AE$506&lt;=AG$3,1,0))*OFFSET('Gastos com Pessoal'!$H$6,1,MATCH(5&amp;$B54,'Gastos com Pessoal'!$I$532:$AJ$532&amp;'Gastos com Pessoal'!$I$6:$AJ$6,0),500,1)),0)+_xlfn.IFNA(SUM((AG$3&gt;='Gastos com Pessoal'!$E$513:$E$522)*(AG$3&lt;='Gastos com Pessoal'!$F$513:$F$522)*(IF('Gastos com Pessoal'!$G$513:$G$522&lt;=AG$3,1,0))*OFFSET('Gastos com Pessoal'!$H$512,1,MATCH(1&amp;$B54,'Gastos com Pessoal'!$I$532:$AJ$532&amp;'Gastos com Pessoal'!$I$512:$AJ$512,0),10,1)),0)+_xlfn.IFNA(SUM((AG$3&gt;='Gastos com Pessoal'!$E$513:$E$522)*(AG$3&lt;='Gastos com Pessoal'!$F$513:$F$522)*(IF('Gastos com Pessoal'!$M$513:$M$522&lt;=AG$3,1,0))*OFFSET('Gastos com Pessoal'!$H$512,1,MATCH(2&amp;$B54,'Gastos com Pessoal'!$I$532:$AJ$532&amp;'Gastos com Pessoal'!$I$512:$AJ$512,0),10,1)),0)+_xlfn.IFNA(SUM((AG$3&gt;='Gastos com Pessoal'!$E$513:$E$522)*(AG$3&lt;='Gastos com Pessoal'!$F$513:$F$522)*(IF('Gastos com Pessoal'!$S$513:$S$522&lt;=AG$3,1,0))*OFFSET('Gastos com Pessoal'!$H$512,1,MATCH(3&amp;$B54,'Gastos com Pessoal'!$I$532:$AJ$532&amp;'Gastos com Pessoal'!$I$512:$AJ$512,0),10,1)),0)+_xlfn.IFNA(SUM((AG$3&gt;='Gastos com Pessoal'!$E$513:$E$522)*(AG$3&lt;='Gastos com Pessoal'!$F$513:$F$522)*(IF('Gastos com Pessoal'!$Y$513:$Y$522&lt;=AG$3,1,0))*OFFSET('Gastos com Pessoal'!$H$512,1,MATCH(4&amp;$B54,'Gastos com Pessoal'!$I$532:$AJ$532&amp;'Gastos com Pessoal'!$I$512:$AJ$512,0),10,1)),0)+_xlfn.IFNA(SUM((AG$3&gt;='Gastos com Pessoal'!$E$513:$E$522)*(AG$3&lt;='Gastos com Pessoal'!$F$513:$F$522)*(IF('Gastos com Pessoal'!$AE$513:$AE$522&lt;=AG$3,1,0))*OFFSET('Gastos com Pessoal'!$H$512,1,MATCH(5&amp;$B54,'Gastos com Pessoal'!$I$532:$AJ$532&amp;'Gastos com Pessoal'!$I$512:$AJ$512,0),10,1)),0)</f>
        <v>6811.1999999999698</v>
      </c>
      <c r="AH54" s="188">
        <f t="array" aca="1" ref="AH54" ca="1">_xlfn.IFNA(SUM((AH$3&gt;='Gastos com Pessoal'!$E$7:$E$506)*(AH$3&lt;='Gastos com Pessoal'!$F$7:$F$506)*OFFSET('Encargos e Benefícios'!$D$5,1,MATCH($B54,'Encargos e Benefícios'!$E$5:$AB$5,0),500,1)),0)+_xlfn.IFNA(SUM((AH$3&gt;='Gastos com Pessoal'!$E$513:$E$522)*(AH$3&lt;='Gastos com Pessoal'!$F$513:$F$522)*OFFSET('Encargos e Benefícios'!$D$511,1,MATCH($B54,'Encargos e Benefícios'!$E$511:$AB$511,0),10,1)),0)+_xlfn.IFNA(SUM((AH$3&gt;='Gastos com Pessoal'!$E$7:$E$506)*(AH$3&lt;='Gastos com Pessoal'!$F$7:$F$506)*(IF('Gastos com Pessoal'!$G$7:$G$506&lt;=AH$3,1,0))*OFFSET('Gastos com Pessoal'!$H$6,1,MATCH(1&amp;$B54,'Gastos com Pessoal'!$I$532:$AJ$532&amp;'Gastos com Pessoal'!$I$6:$AJ$6,0),500,1)),0)+_xlfn.IFNA(SUM((AH$3&gt;='Gastos com Pessoal'!$E$7:$E$506)*(AH$3&lt;='Gastos com Pessoal'!$F$7:$F$506)*(IF('Gastos com Pessoal'!$M$7:$M$506&lt;=AH$3,1,0))*OFFSET('Gastos com Pessoal'!$H$6,1,MATCH(2&amp;$B54,'Gastos com Pessoal'!$I$532:$AJ$532&amp;'Gastos com Pessoal'!$I$6:$AJ$6,0),500,1)),0)+_xlfn.IFNA(SUM((AH$3&gt;='Gastos com Pessoal'!$E$7:$E$506)*(AH$3&lt;='Gastos com Pessoal'!$F$7:$F$506)*(IF('Gastos com Pessoal'!$S$7:$S$506&lt;=AH$3,1,0))*OFFSET('Gastos com Pessoal'!$H$6,1,MATCH(3&amp;$B54,'Gastos com Pessoal'!$I$532:$AJ$532&amp;'Gastos com Pessoal'!$I$6:$AJ$6,0),500,1)),0)+_xlfn.IFNA(SUM((AH$3&gt;='Gastos com Pessoal'!$E$7:$E$506)*(AH$3&lt;='Gastos com Pessoal'!$F$7:$F$506)*(IF('Gastos com Pessoal'!$Y$7:$Y$506&lt;=AH$3,1,0))*OFFSET('Gastos com Pessoal'!$H$6,1,MATCH(4&amp;$B54,'Gastos com Pessoal'!$I$532:$AJ$532&amp;'Gastos com Pessoal'!$I$6:$AJ$6,0),500,1)),0)+_xlfn.IFNA(SUM((AH$3&gt;='Gastos com Pessoal'!$E$7:$E$506)*(AH$3&lt;='Gastos com Pessoal'!$F$7:$F$506)*(IF('Gastos com Pessoal'!$AE$7:$AE$506&lt;=AH$3,1,0))*OFFSET('Gastos com Pessoal'!$H$6,1,MATCH(5&amp;$B54,'Gastos com Pessoal'!$I$532:$AJ$532&amp;'Gastos com Pessoal'!$I$6:$AJ$6,0),500,1)),0)+_xlfn.IFNA(SUM((AH$3&gt;='Gastos com Pessoal'!$E$513:$E$522)*(AH$3&lt;='Gastos com Pessoal'!$F$513:$F$522)*(IF('Gastos com Pessoal'!$G$513:$G$522&lt;=AH$3,1,0))*OFFSET('Gastos com Pessoal'!$H$512,1,MATCH(1&amp;$B54,'Gastos com Pessoal'!$I$532:$AJ$532&amp;'Gastos com Pessoal'!$I$512:$AJ$512,0),10,1)),0)+_xlfn.IFNA(SUM((AH$3&gt;='Gastos com Pessoal'!$E$513:$E$522)*(AH$3&lt;='Gastos com Pessoal'!$F$513:$F$522)*(IF('Gastos com Pessoal'!$M$513:$M$522&lt;=AH$3,1,0))*OFFSET('Gastos com Pessoal'!$H$512,1,MATCH(2&amp;$B54,'Gastos com Pessoal'!$I$532:$AJ$532&amp;'Gastos com Pessoal'!$I$512:$AJ$512,0),10,1)),0)+_xlfn.IFNA(SUM((AH$3&gt;='Gastos com Pessoal'!$E$513:$E$522)*(AH$3&lt;='Gastos com Pessoal'!$F$513:$F$522)*(IF('Gastos com Pessoal'!$S$513:$S$522&lt;=AH$3,1,0))*OFFSET('Gastos com Pessoal'!$H$512,1,MATCH(3&amp;$B54,'Gastos com Pessoal'!$I$532:$AJ$532&amp;'Gastos com Pessoal'!$I$512:$AJ$512,0),10,1)),0)+_xlfn.IFNA(SUM((AH$3&gt;='Gastos com Pessoal'!$E$513:$E$522)*(AH$3&lt;='Gastos com Pessoal'!$F$513:$F$522)*(IF('Gastos com Pessoal'!$Y$513:$Y$522&lt;=AH$3,1,0))*OFFSET('Gastos com Pessoal'!$H$512,1,MATCH(4&amp;$B54,'Gastos com Pessoal'!$I$532:$AJ$532&amp;'Gastos com Pessoal'!$I$512:$AJ$512,0),10,1)),0)+_xlfn.IFNA(SUM((AH$3&gt;='Gastos com Pessoal'!$E$513:$E$522)*(AH$3&lt;='Gastos com Pessoal'!$F$513:$F$522)*(IF('Gastos com Pessoal'!$AE$513:$AE$522&lt;=AH$3,1,0))*OFFSET('Gastos com Pessoal'!$H$512,1,MATCH(5&amp;$B54,'Gastos com Pessoal'!$I$532:$AJ$532&amp;'Gastos com Pessoal'!$I$512:$AJ$512,0),10,1)),0)</f>
        <v>6811.1999999999698</v>
      </c>
      <c r="AI54" s="188">
        <f t="array" aca="1" ref="AI54" ca="1">_xlfn.IFNA(SUM((AI$3&gt;='Gastos com Pessoal'!$E$7:$E$506)*(AI$3&lt;='Gastos com Pessoal'!$F$7:$F$506)*OFFSET('Encargos e Benefícios'!$D$5,1,MATCH($B54,'Encargos e Benefícios'!$E$5:$AB$5,0),500,1)),0)+_xlfn.IFNA(SUM((AI$3&gt;='Gastos com Pessoal'!$E$513:$E$522)*(AI$3&lt;='Gastos com Pessoal'!$F$513:$F$522)*OFFSET('Encargos e Benefícios'!$D$511,1,MATCH($B54,'Encargos e Benefícios'!$E$511:$AB$511,0),10,1)),0)+_xlfn.IFNA(SUM((AI$3&gt;='Gastos com Pessoal'!$E$7:$E$506)*(AI$3&lt;='Gastos com Pessoal'!$F$7:$F$506)*(IF('Gastos com Pessoal'!$G$7:$G$506&lt;=AI$3,1,0))*OFFSET('Gastos com Pessoal'!$H$6,1,MATCH(1&amp;$B54,'Gastos com Pessoal'!$I$532:$AJ$532&amp;'Gastos com Pessoal'!$I$6:$AJ$6,0),500,1)),0)+_xlfn.IFNA(SUM((AI$3&gt;='Gastos com Pessoal'!$E$7:$E$506)*(AI$3&lt;='Gastos com Pessoal'!$F$7:$F$506)*(IF('Gastos com Pessoal'!$M$7:$M$506&lt;=AI$3,1,0))*OFFSET('Gastos com Pessoal'!$H$6,1,MATCH(2&amp;$B54,'Gastos com Pessoal'!$I$532:$AJ$532&amp;'Gastos com Pessoal'!$I$6:$AJ$6,0),500,1)),0)+_xlfn.IFNA(SUM((AI$3&gt;='Gastos com Pessoal'!$E$7:$E$506)*(AI$3&lt;='Gastos com Pessoal'!$F$7:$F$506)*(IF('Gastos com Pessoal'!$S$7:$S$506&lt;=AI$3,1,0))*OFFSET('Gastos com Pessoal'!$H$6,1,MATCH(3&amp;$B54,'Gastos com Pessoal'!$I$532:$AJ$532&amp;'Gastos com Pessoal'!$I$6:$AJ$6,0),500,1)),0)+_xlfn.IFNA(SUM((AI$3&gt;='Gastos com Pessoal'!$E$7:$E$506)*(AI$3&lt;='Gastos com Pessoal'!$F$7:$F$506)*(IF('Gastos com Pessoal'!$Y$7:$Y$506&lt;=AI$3,1,0))*OFFSET('Gastos com Pessoal'!$H$6,1,MATCH(4&amp;$B54,'Gastos com Pessoal'!$I$532:$AJ$532&amp;'Gastos com Pessoal'!$I$6:$AJ$6,0),500,1)),0)+_xlfn.IFNA(SUM((AI$3&gt;='Gastos com Pessoal'!$E$7:$E$506)*(AI$3&lt;='Gastos com Pessoal'!$F$7:$F$506)*(IF('Gastos com Pessoal'!$AE$7:$AE$506&lt;=AI$3,1,0))*OFFSET('Gastos com Pessoal'!$H$6,1,MATCH(5&amp;$B54,'Gastos com Pessoal'!$I$532:$AJ$532&amp;'Gastos com Pessoal'!$I$6:$AJ$6,0),500,1)),0)+_xlfn.IFNA(SUM((AI$3&gt;='Gastos com Pessoal'!$E$513:$E$522)*(AI$3&lt;='Gastos com Pessoal'!$F$513:$F$522)*(IF('Gastos com Pessoal'!$G$513:$G$522&lt;=AI$3,1,0))*OFFSET('Gastos com Pessoal'!$H$512,1,MATCH(1&amp;$B54,'Gastos com Pessoal'!$I$532:$AJ$532&amp;'Gastos com Pessoal'!$I$512:$AJ$512,0),10,1)),0)+_xlfn.IFNA(SUM((AI$3&gt;='Gastos com Pessoal'!$E$513:$E$522)*(AI$3&lt;='Gastos com Pessoal'!$F$513:$F$522)*(IF('Gastos com Pessoal'!$M$513:$M$522&lt;=AI$3,1,0))*OFFSET('Gastos com Pessoal'!$H$512,1,MATCH(2&amp;$B54,'Gastos com Pessoal'!$I$532:$AJ$532&amp;'Gastos com Pessoal'!$I$512:$AJ$512,0),10,1)),0)+_xlfn.IFNA(SUM((AI$3&gt;='Gastos com Pessoal'!$E$513:$E$522)*(AI$3&lt;='Gastos com Pessoal'!$F$513:$F$522)*(IF('Gastos com Pessoal'!$S$513:$S$522&lt;=AI$3,1,0))*OFFSET('Gastos com Pessoal'!$H$512,1,MATCH(3&amp;$B54,'Gastos com Pessoal'!$I$532:$AJ$532&amp;'Gastos com Pessoal'!$I$512:$AJ$512,0),10,1)),0)+_xlfn.IFNA(SUM((AI$3&gt;='Gastos com Pessoal'!$E$513:$E$522)*(AI$3&lt;='Gastos com Pessoal'!$F$513:$F$522)*(IF('Gastos com Pessoal'!$Y$513:$Y$522&lt;=AI$3,1,0))*OFFSET('Gastos com Pessoal'!$H$512,1,MATCH(4&amp;$B54,'Gastos com Pessoal'!$I$532:$AJ$532&amp;'Gastos com Pessoal'!$I$512:$AJ$512,0),10,1)),0)+_xlfn.IFNA(SUM((AI$3&gt;='Gastos com Pessoal'!$E$513:$E$522)*(AI$3&lt;='Gastos com Pessoal'!$F$513:$F$522)*(IF('Gastos com Pessoal'!$AE$513:$AE$522&lt;=AI$3,1,0))*OFFSET('Gastos com Pessoal'!$H$512,1,MATCH(5&amp;$B54,'Gastos com Pessoal'!$I$532:$AJ$532&amp;'Gastos com Pessoal'!$I$512:$AJ$512,0),10,1)),0)</f>
        <v>6811.1999999999698</v>
      </c>
      <c r="AJ54" s="188">
        <f t="array" aca="1" ref="AJ54" ca="1">_xlfn.IFNA(SUM((AJ$3&gt;='Gastos com Pessoal'!$E$7:$E$506)*(AJ$3&lt;='Gastos com Pessoal'!$F$7:$F$506)*OFFSET('Encargos e Benefícios'!$D$5,1,MATCH($B54,'Encargos e Benefícios'!$E$5:$AB$5,0),500,1)),0)+_xlfn.IFNA(SUM((AJ$3&gt;='Gastos com Pessoal'!$E$513:$E$522)*(AJ$3&lt;='Gastos com Pessoal'!$F$513:$F$522)*OFFSET('Encargos e Benefícios'!$D$511,1,MATCH($B54,'Encargos e Benefícios'!$E$511:$AB$511,0),10,1)),0)+_xlfn.IFNA(SUM((AJ$3&gt;='Gastos com Pessoal'!$E$7:$E$506)*(AJ$3&lt;='Gastos com Pessoal'!$F$7:$F$506)*(IF('Gastos com Pessoal'!$G$7:$G$506&lt;=AJ$3,1,0))*OFFSET('Gastos com Pessoal'!$H$6,1,MATCH(1&amp;$B54,'Gastos com Pessoal'!$I$532:$AJ$532&amp;'Gastos com Pessoal'!$I$6:$AJ$6,0),500,1)),0)+_xlfn.IFNA(SUM((AJ$3&gt;='Gastos com Pessoal'!$E$7:$E$506)*(AJ$3&lt;='Gastos com Pessoal'!$F$7:$F$506)*(IF('Gastos com Pessoal'!$M$7:$M$506&lt;=AJ$3,1,0))*OFFSET('Gastos com Pessoal'!$H$6,1,MATCH(2&amp;$B54,'Gastos com Pessoal'!$I$532:$AJ$532&amp;'Gastos com Pessoal'!$I$6:$AJ$6,0),500,1)),0)+_xlfn.IFNA(SUM((AJ$3&gt;='Gastos com Pessoal'!$E$7:$E$506)*(AJ$3&lt;='Gastos com Pessoal'!$F$7:$F$506)*(IF('Gastos com Pessoal'!$S$7:$S$506&lt;=AJ$3,1,0))*OFFSET('Gastos com Pessoal'!$H$6,1,MATCH(3&amp;$B54,'Gastos com Pessoal'!$I$532:$AJ$532&amp;'Gastos com Pessoal'!$I$6:$AJ$6,0),500,1)),0)+_xlfn.IFNA(SUM((AJ$3&gt;='Gastos com Pessoal'!$E$7:$E$506)*(AJ$3&lt;='Gastos com Pessoal'!$F$7:$F$506)*(IF('Gastos com Pessoal'!$Y$7:$Y$506&lt;=AJ$3,1,0))*OFFSET('Gastos com Pessoal'!$H$6,1,MATCH(4&amp;$B54,'Gastos com Pessoal'!$I$532:$AJ$532&amp;'Gastos com Pessoal'!$I$6:$AJ$6,0),500,1)),0)+_xlfn.IFNA(SUM((AJ$3&gt;='Gastos com Pessoal'!$E$7:$E$506)*(AJ$3&lt;='Gastos com Pessoal'!$F$7:$F$506)*(IF('Gastos com Pessoal'!$AE$7:$AE$506&lt;=AJ$3,1,0))*OFFSET('Gastos com Pessoal'!$H$6,1,MATCH(5&amp;$B54,'Gastos com Pessoal'!$I$532:$AJ$532&amp;'Gastos com Pessoal'!$I$6:$AJ$6,0),500,1)),0)+_xlfn.IFNA(SUM((AJ$3&gt;='Gastos com Pessoal'!$E$513:$E$522)*(AJ$3&lt;='Gastos com Pessoal'!$F$513:$F$522)*(IF('Gastos com Pessoal'!$G$513:$G$522&lt;=AJ$3,1,0))*OFFSET('Gastos com Pessoal'!$H$512,1,MATCH(1&amp;$B54,'Gastos com Pessoal'!$I$532:$AJ$532&amp;'Gastos com Pessoal'!$I$512:$AJ$512,0),10,1)),0)+_xlfn.IFNA(SUM((AJ$3&gt;='Gastos com Pessoal'!$E$513:$E$522)*(AJ$3&lt;='Gastos com Pessoal'!$F$513:$F$522)*(IF('Gastos com Pessoal'!$M$513:$M$522&lt;=AJ$3,1,0))*OFFSET('Gastos com Pessoal'!$H$512,1,MATCH(2&amp;$B54,'Gastos com Pessoal'!$I$532:$AJ$532&amp;'Gastos com Pessoal'!$I$512:$AJ$512,0),10,1)),0)+_xlfn.IFNA(SUM((AJ$3&gt;='Gastos com Pessoal'!$E$513:$E$522)*(AJ$3&lt;='Gastos com Pessoal'!$F$513:$F$522)*(IF('Gastos com Pessoal'!$S$513:$S$522&lt;=AJ$3,1,0))*OFFSET('Gastos com Pessoal'!$H$512,1,MATCH(3&amp;$B54,'Gastos com Pessoal'!$I$532:$AJ$532&amp;'Gastos com Pessoal'!$I$512:$AJ$512,0),10,1)),0)+_xlfn.IFNA(SUM((AJ$3&gt;='Gastos com Pessoal'!$E$513:$E$522)*(AJ$3&lt;='Gastos com Pessoal'!$F$513:$F$522)*(IF('Gastos com Pessoal'!$Y$513:$Y$522&lt;=AJ$3,1,0))*OFFSET('Gastos com Pessoal'!$H$512,1,MATCH(4&amp;$B54,'Gastos com Pessoal'!$I$532:$AJ$532&amp;'Gastos com Pessoal'!$I$512:$AJ$512,0),10,1)),0)+_xlfn.IFNA(SUM((AJ$3&gt;='Gastos com Pessoal'!$E$513:$E$522)*(AJ$3&lt;='Gastos com Pessoal'!$F$513:$F$522)*(IF('Gastos com Pessoal'!$AE$513:$AE$522&lt;=AJ$3,1,0))*OFFSET('Gastos com Pessoal'!$H$512,1,MATCH(5&amp;$B54,'Gastos com Pessoal'!$I$532:$AJ$532&amp;'Gastos com Pessoal'!$I$512:$AJ$512,0),10,1)),0)</f>
        <v>6811.1999999999698</v>
      </c>
      <c r="AK54" s="188">
        <f t="array" aca="1" ref="AK54" ca="1">_xlfn.IFNA(SUM((AK$3&gt;='Gastos com Pessoal'!$E$7:$E$506)*(AK$3&lt;='Gastos com Pessoal'!$F$7:$F$506)*OFFSET('Encargos e Benefícios'!$D$5,1,MATCH($B54,'Encargos e Benefícios'!$E$5:$AB$5,0),500,1)),0)+_xlfn.IFNA(SUM((AK$3&gt;='Gastos com Pessoal'!$E$513:$E$522)*(AK$3&lt;='Gastos com Pessoal'!$F$513:$F$522)*OFFSET('Encargos e Benefícios'!$D$511,1,MATCH($B54,'Encargos e Benefícios'!$E$511:$AB$511,0),10,1)),0)+_xlfn.IFNA(SUM((AK$3&gt;='Gastos com Pessoal'!$E$7:$E$506)*(AK$3&lt;='Gastos com Pessoal'!$F$7:$F$506)*(IF('Gastos com Pessoal'!$G$7:$G$506&lt;=AK$3,1,0))*OFFSET('Gastos com Pessoal'!$H$6,1,MATCH(1&amp;$B54,'Gastos com Pessoal'!$I$532:$AJ$532&amp;'Gastos com Pessoal'!$I$6:$AJ$6,0),500,1)),0)+_xlfn.IFNA(SUM((AK$3&gt;='Gastos com Pessoal'!$E$7:$E$506)*(AK$3&lt;='Gastos com Pessoal'!$F$7:$F$506)*(IF('Gastos com Pessoal'!$M$7:$M$506&lt;=AK$3,1,0))*OFFSET('Gastos com Pessoal'!$H$6,1,MATCH(2&amp;$B54,'Gastos com Pessoal'!$I$532:$AJ$532&amp;'Gastos com Pessoal'!$I$6:$AJ$6,0),500,1)),0)+_xlfn.IFNA(SUM((AK$3&gt;='Gastos com Pessoal'!$E$7:$E$506)*(AK$3&lt;='Gastos com Pessoal'!$F$7:$F$506)*(IF('Gastos com Pessoal'!$S$7:$S$506&lt;=AK$3,1,0))*OFFSET('Gastos com Pessoal'!$H$6,1,MATCH(3&amp;$B54,'Gastos com Pessoal'!$I$532:$AJ$532&amp;'Gastos com Pessoal'!$I$6:$AJ$6,0),500,1)),0)+_xlfn.IFNA(SUM((AK$3&gt;='Gastos com Pessoal'!$E$7:$E$506)*(AK$3&lt;='Gastos com Pessoal'!$F$7:$F$506)*(IF('Gastos com Pessoal'!$Y$7:$Y$506&lt;=AK$3,1,0))*OFFSET('Gastos com Pessoal'!$H$6,1,MATCH(4&amp;$B54,'Gastos com Pessoal'!$I$532:$AJ$532&amp;'Gastos com Pessoal'!$I$6:$AJ$6,0),500,1)),0)+_xlfn.IFNA(SUM((AK$3&gt;='Gastos com Pessoal'!$E$7:$E$506)*(AK$3&lt;='Gastos com Pessoal'!$F$7:$F$506)*(IF('Gastos com Pessoal'!$AE$7:$AE$506&lt;=AK$3,1,0))*OFFSET('Gastos com Pessoal'!$H$6,1,MATCH(5&amp;$B54,'Gastos com Pessoal'!$I$532:$AJ$532&amp;'Gastos com Pessoal'!$I$6:$AJ$6,0),500,1)),0)+_xlfn.IFNA(SUM((AK$3&gt;='Gastos com Pessoal'!$E$513:$E$522)*(AK$3&lt;='Gastos com Pessoal'!$F$513:$F$522)*(IF('Gastos com Pessoal'!$G$513:$G$522&lt;=AK$3,1,0))*OFFSET('Gastos com Pessoal'!$H$512,1,MATCH(1&amp;$B54,'Gastos com Pessoal'!$I$532:$AJ$532&amp;'Gastos com Pessoal'!$I$512:$AJ$512,0),10,1)),0)+_xlfn.IFNA(SUM((AK$3&gt;='Gastos com Pessoal'!$E$513:$E$522)*(AK$3&lt;='Gastos com Pessoal'!$F$513:$F$522)*(IF('Gastos com Pessoal'!$M$513:$M$522&lt;=AK$3,1,0))*OFFSET('Gastos com Pessoal'!$H$512,1,MATCH(2&amp;$B54,'Gastos com Pessoal'!$I$532:$AJ$532&amp;'Gastos com Pessoal'!$I$512:$AJ$512,0),10,1)),0)+_xlfn.IFNA(SUM((AK$3&gt;='Gastos com Pessoal'!$E$513:$E$522)*(AK$3&lt;='Gastos com Pessoal'!$F$513:$F$522)*(IF('Gastos com Pessoal'!$S$513:$S$522&lt;=AK$3,1,0))*OFFSET('Gastos com Pessoal'!$H$512,1,MATCH(3&amp;$B54,'Gastos com Pessoal'!$I$532:$AJ$532&amp;'Gastos com Pessoal'!$I$512:$AJ$512,0),10,1)),0)+_xlfn.IFNA(SUM((AK$3&gt;='Gastos com Pessoal'!$E$513:$E$522)*(AK$3&lt;='Gastos com Pessoal'!$F$513:$F$522)*(IF('Gastos com Pessoal'!$Y$513:$Y$522&lt;=AK$3,1,0))*OFFSET('Gastos com Pessoal'!$H$512,1,MATCH(4&amp;$B54,'Gastos com Pessoal'!$I$532:$AJ$532&amp;'Gastos com Pessoal'!$I$512:$AJ$512,0),10,1)),0)+_xlfn.IFNA(SUM((AK$3&gt;='Gastos com Pessoal'!$E$513:$E$522)*(AK$3&lt;='Gastos com Pessoal'!$F$513:$F$522)*(IF('Gastos com Pessoal'!$AE$513:$AE$522&lt;=AK$3,1,0))*OFFSET('Gastos com Pessoal'!$H$512,1,MATCH(5&amp;$B54,'Gastos com Pessoal'!$I$532:$AJ$532&amp;'Gastos com Pessoal'!$I$512:$AJ$512,0),10,1)),0)</f>
        <v>6811.1999999999698</v>
      </c>
      <c r="AL54" s="188">
        <f t="array" aca="1" ref="AL54" ca="1">_xlfn.IFNA(SUM((AL$3&gt;='Gastos com Pessoal'!$E$7:$E$506)*(AL$3&lt;='Gastos com Pessoal'!$F$7:$F$506)*OFFSET('Encargos e Benefícios'!$D$5,1,MATCH($B54,'Encargos e Benefícios'!$E$5:$AB$5,0),500,1)),0)+_xlfn.IFNA(SUM((AL$3&gt;='Gastos com Pessoal'!$E$513:$E$522)*(AL$3&lt;='Gastos com Pessoal'!$F$513:$F$522)*OFFSET('Encargos e Benefícios'!$D$511,1,MATCH($B54,'Encargos e Benefícios'!$E$511:$AB$511,0),10,1)),0)+_xlfn.IFNA(SUM((AL$3&gt;='Gastos com Pessoal'!$E$7:$E$506)*(AL$3&lt;='Gastos com Pessoal'!$F$7:$F$506)*(IF('Gastos com Pessoal'!$G$7:$G$506&lt;=AL$3,1,0))*OFFSET('Gastos com Pessoal'!$H$6,1,MATCH(1&amp;$B54,'Gastos com Pessoal'!$I$532:$AJ$532&amp;'Gastos com Pessoal'!$I$6:$AJ$6,0),500,1)),0)+_xlfn.IFNA(SUM((AL$3&gt;='Gastos com Pessoal'!$E$7:$E$506)*(AL$3&lt;='Gastos com Pessoal'!$F$7:$F$506)*(IF('Gastos com Pessoal'!$M$7:$M$506&lt;=AL$3,1,0))*OFFSET('Gastos com Pessoal'!$H$6,1,MATCH(2&amp;$B54,'Gastos com Pessoal'!$I$532:$AJ$532&amp;'Gastos com Pessoal'!$I$6:$AJ$6,0),500,1)),0)+_xlfn.IFNA(SUM((AL$3&gt;='Gastos com Pessoal'!$E$7:$E$506)*(AL$3&lt;='Gastos com Pessoal'!$F$7:$F$506)*(IF('Gastos com Pessoal'!$S$7:$S$506&lt;=AL$3,1,0))*OFFSET('Gastos com Pessoal'!$H$6,1,MATCH(3&amp;$B54,'Gastos com Pessoal'!$I$532:$AJ$532&amp;'Gastos com Pessoal'!$I$6:$AJ$6,0),500,1)),0)+_xlfn.IFNA(SUM((AL$3&gt;='Gastos com Pessoal'!$E$7:$E$506)*(AL$3&lt;='Gastos com Pessoal'!$F$7:$F$506)*(IF('Gastos com Pessoal'!$Y$7:$Y$506&lt;=AL$3,1,0))*OFFSET('Gastos com Pessoal'!$H$6,1,MATCH(4&amp;$B54,'Gastos com Pessoal'!$I$532:$AJ$532&amp;'Gastos com Pessoal'!$I$6:$AJ$6,0),500,1)),0)+_xlfn.IFNA(SUM((AL$3&gt;='Gastos com Pessoal'!$E$7:$E$506)*(AL$3&lt;='Gastos com Pessoal'!$F$7:$F$506)*(IF('Gastos com Pessoal'!$AE$7:$AE$506&lt;=AL$3,1,0))*OFFSET('Gastos com Pessoal'!$H$6,1,MATCH(5&amp;$B54,'Gastos com Pessoal'!$I$532:$AJ$532&amp;'Gastos com Pessoal'!$I$6:$AJ$6,0),500,1)),0)+_xlfn.IFNA(SUM((AL$3&gt;='Gastos com Pessoal'!$E$513:$E$522)*(AL$3&lt;='Gastos com Pessoal'!$F$513:$F$522)*(IF('Gastos com Pessoal'!$G$513:$G$522&lt;=AL$3,1,0))*OFFSET('Gastos com Pessoal'!$H$512,1,MATCH(1&amp;$B54,'Gastos com Pessoal'!$I$532:$AJ$532&amp;'Gastos com Pessoal'!$I$512:$AJ$512,0),10,1)),0)+_xlfn.IFNA(SUM((AL$3&gt;='Gastos com Pessoal'!$E$513:$E$522)*(AL$3&lt;='Gastos com Pessoal'!$F$513:$F$522)*(IF('Gastos com Pessoal'!$M$513:$M$522&lt;=AL$3,1,0))*OFFSET('Gastos com Pessoal'!$H$512,1,MATCH(2&amp;$B54,'Gastos com Pessoal'!$I$532:$AJ$532&amp;'Gastos com Pessoal'!$I$512:$AJ$512,0),10,1)),0)+_xlfn.IFNA(SUM((AL$3&gt;='Gastos com Pessoal'!$E$513:$E$522)*(AL$3&lt;='Gastos com Pessoal'!$F$513:$F$522)*(IF('Gastos com Pessoal'!$S$513:$S$522&lt;=AL$3,1,0))*OFFSET('Gastos com Pessoal'!$H$512,1,MATCH(3&amp;$B54,'Gastos com Pessoal'!$I$532:$AJ$532&amp;'Gastos com Pessoal'!$I$512:$AJ$512,0),10,1)),0)+_xlfn.IFNA(SUM((AL$3&gt;='Gastos com Pessoal'!$E$513:$E$522)*(AL$3&lt;='Gastos com Pessoal'!$F$513:$F$522)*(IF('Gastos com Pessoal'!$Y$513:$Y$522&lt;=AL$3,1,0))*OFFSET('Gastos com Pessoal'!$H$512,1,MATCH(4&amp;$B54,'Gastos com Pessoal'!$I$532:$AJ$532&amp;'Gastos com Pessoal'!$I$512:$AJ$512,0),10,1)),0)+_xlfn.IFNA(SUM((AL$3&gt;='Gastos com Pessoal'!$E$513:$E$522)*(AL$3&lt;='Gastos com Pessoal'!$F$513:$F$522)*(IF('Gastos com Pessoal'!$AE$513:$AE$522&lt;=AL$3,1,0))*OFFSET('Gastos com Pessoal'!$H$512,1,MATCH(5&amp;$B54,'Gastos com Pessoal'!$I$532:$AJ$532&amp;'Gastos com Pessoal'!$I$512:$AJ$512,0),10,1)),0)</f>
        <v>6811.1999999999698</v>
      </c>
      <c r="AM54" s="188">
        <f t="array" aca="1" ref="AM54" ca="1">_xlfn.IFNA(SUM((AM$3&gt;='Gastos com Pessoal'!$E$7:$E$506)*(AM$3&lt;='Gastos com Pessoal'!$F$7:$F$506)*OFFSET('Encargos e Benefícios'!$D$5,1,MATCH($B54,'Encargos e Benefícios'!$E$5:$AB$5,0),500,1)),0)+_xlfn.IFNA(SUM((AM$3&gt;='Gastos com Pessoal'!$E$513:$E$522)*(AM$3&lt;='Gastos com Pessoal'!$F$513:$F$522)*OFFSET('Encargos e Benefícios'!$D$511,1,MATCH($B54,'Encargos e Benefícios'!$E$511:$AB$511,0),10,1)),0)+_xlfn.IFNA(SUM((AM$3&gt;='Gastos com Pessoal'!$E$7:$E$506)*(AM$3&lt;='Gastos com Pessoal'!$F$7:$F$506)*(IF('Gastos com Pessoal'!$G$7:$G$506&lt;=AM$3,1,0))*OFFSET('Gastos com Pessoal'!$H$6,1,MATCH(1&amp;$B54,'Gastos com Pessoal'!$I$532:$AJ$532&amp;'Gastos com Pessoal'!$I$6:$AJ$6,0),500,1)),0)+_xlfn.IFNA(SUM((AM$3&gt;='Gastos com Pessoal'!$E$7:$E$506)*(AM$3&lt;='Gastos com Pessoal'!$F$7:$F$506)*(IF('Gastos com Pessoal'!$M$7:$M$506&lt;=AM$3,1,0))*OFFSET('Gastos com Pessoal'!$H$6,1,MATCH(2&amp;$B54,'Gastos com Pessoal'!$I$532:$AJ$532&amp;'Gastos com Pessoal'!$I$6:$AJ$6,0),500,1)),0)+_xlfn.IFNA(SUM((AM$3&gt;='Gastos com Pessoal'!$E$7:$E$506)*(AM$3&lt;='Gastos com Pessoal'!$F$7:$F$506)*(IF('Gastos com Pessoal'!$S$7:$S$506&lt;=AM$3,1,0))*OFFSET('Gastos com Pessoal'!$H$6,1,MATCH(3&amp;$B54,'Gastos com Pessoal'!$I$532:$AJ$532&amp;'Gastos com Pessoal'!$I$6:$AJ$6,0),500,1)),0)+_xlfn.IFNA(SUM((AM$3&gt;='Gastos com Pessoal'!$E$7:$E$506)*(AM$3&lt;='Gastos com Pessoal'!$F$7:$F$506)*(IF('Gastos com Pessoal'!$Y$7:$Y$506&lt;=AM$3,1,0))*OFFSET('Gastos com Pessoal'!$H$6,1,MATCH(4&amp;$B54,'Gastos com Pessoal'!$I$532:$AJ$532&amp;'Gastos com Pessoal'!$I$6:$AJ$6,0),500,1)),0)+_xlfn.IFNA(SUM((AM$3&gt;='Gastos com Pessoal'!$E$7:$E$506)*(AM$3&lt;='Gastos com Pessoal'!$F$7:$F$506)*(IF('Gastos com Pessoal'!$AE$7:$AE$506&lt;=AM$3,1,0))*OFFSET('Gastos com Pessoal'!$H$6,1,MATCH(5&amp;$B54,'Gastos com Pessoal'!$I$532:$AJ$532&amp;'Gastos com Pessoal'!$I$6:$AJ$6,0),500,1)),0)+_xlfn.IFNA(SUM((AM$3&gt;='Gastos com Pessoal'!$E$513:$E$522)*(AM$3&lt;='Gastos com Pessoal'!$F$513:$F$522)*(IF('Gastos com Pessoal'!$G$513:$G$522&lt;=AM$3,1,0))*OFFSET('Gastos com Pessoal'!$H$512,1,MATCH(1&amp;$B54,'Gastos com Pessoal'!$I$532:$AJ$532&amp;'Gastos com Pessoal'!$I$512:$AJ$512,0),10,1)),0)+_xlfn.IFNA(SUM((AM$3&gt;='Gastos com Pessoal'!$E$513:$E$522)*(AM$3&lt;='Gastos com Pessoal'!$F$513:$F$522)*(IF('Gastos com Pessoal'!$M$513:$M$522&lt;=AM$3,1,0))*OFFSET('Gastos com Pessoal'!$H$512,1,MATCH(2&amp;$B54,'Gastos com Pessoal'!$I$532:$AJ$532&amp;'Gastos com Pessoal'!$I$512:$AJ$512,0),10,1)),0)+_xlfn.IFNA(SUM((AM$3&gt;='Gastos com Pessoal'!$E$513:$E$522)*(AM$3&lt;='Gastos com Pessoal'!$F$513:$F$522)*(IF('Gastos com Pessoal'!$S$513:$S$522&lt;=AM$3,1,0))*OFFSET('Gastos com Pessoal'!$H$512,1,MATCH(3&amp;$B54,'Gastos com Pessoal'!$I$532:$AJ$532&amp;'Gastos com Pessoal'!$I$512:$AJ$512,0),10,1)),0)+_xlfn.IFNA(SUM((AM$3&gt;='Gastos com Pessoal'!$E$513:$E$522)*(AM$3&lt;='Gastos com Pessoal'!$F$513:$F$522)*(IF('Gastos com Pessoal'!$Y$513:$Y$522&lt;=AM$3,1,0))*OFFSET('Gastos com Pessoal'!$H$512,1,MATCH(4&amp;$B54,'Gastos com Pessoal'!$I$532:$AJ$532&amp;'Gastos com Pessoal'!$I$512:$AJ$512,0),10,1)),0)+_xlfn.IFNA(SUM((AM$3&gt;='Gastos com Pessoal'!$E$513:$E$522)*(AM$3&lt;='Gastos com Pessoal'!$F$513:$F$522)*(IF('Gastos com Pessoal'!$AE$513:$AE$522&lt;=AM$3,1,0))*OFFSET('Gastos com Pessoal'!$H$512,1,MATCH(5&amp;$B54,'Gastos com Pessoal'!$I$532:$AJ$532&amp;'Gastos com Pessoal'!$I$512:$AJ$512,0),10,1)),0)</f>
        <v>6811.1999999999698</v>
      </c>
      <c r="AN54" s="188">
        <f t="array" aca="1" ref="AN54" ca="1">_xlfn.IFNA(SUM((AN$3&gt;='Gastos com Pessoal'!$E$7:$E$506)*(AN$3&lt;='Gastos com Pessoal'!$F$7:$F$506)*OFFSET('Encargos e Benefícios'!$D$5,1,MATCH($B54,'Encargos e Benefícios'!$E$5:$AB$5,0),500,1)),0)+_xlfn.IFNA(SUM((AN$3&gt;='Gastos com Pessoal'!$E$513:$E$522)*(AN$3&lt;='Gastos com Pessoal'!$F$513:$F$522)*OFFSET('Encargos e Benefícios'!$D$511,1,MATCH($B54,'Encargos e Benefícios'!$E$511:$AB$511,0),10,1)),0)+_xlfn.IFNA(SUM((AN$3&gt;='Gastos com Pessoal'!$E$7:$E$506)*(AN$3&lt;='Gastos com Pessoal'!$F$7:$F$506)*(IF('Gastos com Pessoal'!$G$7:$G$506&lt;=AN$3,1,0))*OFFSET('Gastos com Pessoal'!$H$6,1,MATCH(1&amp;$B54,'Gastos com Pessoal'!$I$532:$AJ$532&amp;'Gastos com Pessoal'!$I$6:$AJ$6,0),500,1)),0)+_xlfn.IFNA(SUM((AN$3&gt;='Gastos com Pessoal'!$E$7:$E$506)*(AN$3&lt;='Gastos com Pessoal'!$F$7:$F$506)*(IF('Gastos com Pessoal'!$M$7:$M$506&lt;=AN$3,1,0))*OFFSET('Gastos com Pessoal'!$H$6,1,MATCH(2&amp;$B54,'Gastos com Pessoal'!$I$532:$AJ$532&amp;'Gastos com Pessoal'!$I$6:$AJ$6,0),500,1)),0)+_xlfn.IFNA(SUM((AN$3&gt;='Gastos com Pessoal'!$E$7:$E$506)*(AN$3&lt;='Gastos com Pessoal'!$F$7:$F$506)*(IF('Gastos com Pessoal'!$S$7:$S$506&lt;=AN$3,1,0))*OFFSET('Gastos com Pessoal'!$H$6,1,MATCH(3&amp;$B54,'Gastos com Pessoal'!$I$532:$AJ$532&amp;'Gastos com Pessoal'!$I$6:$AJ$6,0),500,1)),0)+_xlfn.IFNA(SUM((AN$3&gt;='Gastos com Pessoal'!$E$7:$E$506)*(AN$3&lt;='Gastos com Pessoal'!$F$7:$F$506)*(IF('Gastos com Pessoal'!$Y$7:$Y$506&lt;=AN$3,1,0))*OFFSET('Gastos com Pessoal'!$H$6,1,MATCH(4&amp;$B54,'Gastos com Pessoal'!$I$532:$AJ$532&amp;'Gastos com Pessoal'!$I$6:$AJ$6,0),500,1)),0)+_xlfn.IFNA(SUM((AN$3&gt;='Gastos com Pessoal'!$E$7:$E$506)*(AN$3&lt;='Gastos com Pessoal'!$F$7:$F$506)*(IF('Gastos com Pessoal'!$AE$7:$AE$506&lt;=AN$3,1,0))*OFFSET('Gastos com Pessoal'!$H$6,1,MATCH(5&amp;$B54,'Gastos com Pessoal'!$I$532:$AJ$532&amp;'Gastos com Pessoal'!$I$6:$AJ$6,0),500,1)),0)+_xlfn.IFNA(SUM((AN$3&gt;='Gastos com Pessoal'!$E$513:$E$522)*(AN$3&lt;='Gastos com Pessoal'!$F$513:$F$522)*(IF('Gastos com Pessoal'!$G$513:$G$522&lt;=AN$3,1,0))*OFFSET('Gastos com Pessoal'!$H$512,1,MATCH(1&amp;$B54,'Gastos com Pessoal'!$I$532:$AJ$532&amp;'Gastos com Pessoal'!$I$512:$AJ$512,0),10,1)),0)+_xlfn.IFNA(SUM((AN$3&gt;='Gastos com Pessoal'!$E$513:$E$522)*(AN$3&lt;='Gastos com Pessoal'!$F$513:$F$522)*(IF('Gastos com Pessoal'!$M$513:$M$522&lt;=AN$3,1,0))*OFFSET('Gastos com Pessoal'!$H$512,1,MATCH(2&amp;$B54,'Gastos com Pessoal'!$I$532:$AJ$532&amp;'Gastos com Pessoal'!$I$512:$AJ$512,0),10,1)),0)+_xlfn.IFNA(SUM((AN$3&gt;='Gastos com Pessoal'!$E$513:$E$522)*(AN$3&lt;='Gastos com Pessoal'!$F$513:$F$522)*(IF('Gastos com Pessoal'!$S$513:$S$522&lt;=AN$3,1,0))*OFFSET('Gastos com Pessoal'!$H$512,1,MATCH(3&amp;$B54,'Gastos com Pessoal'!$I$532:$AJ$532&amp;'Gastos com Pessoal'!$I$512:$AJ$512,0),10,1)),0)+_xlfn.IFNA(SUM((AN$3&gt;='Gastos com Pessoal'!$E$513:$E$522)*(AN$3&lt;='Gastos com Pessoal'!$F$513:$F$522)*(IF('Gastos com Pessoal'!$Y$513:$Y$522&lt;=AN$3,1,0))*OFFSET('Gastos com Pessoal'!$H$512,1,MATCH(4&amp;$B54,'Gastos com Pessoal'!$I$532:$AJ$532&amp;'Gastos com Pessoal'!$I$512:$AJ$512,0),10,1)),0)+_xlfn.IFNA(SUM((AN$3&gt;='Gastos com Pessoal'!$E$513:$E$522)*(AN$3&lt;='Gastos com Pessoal'!$F$513:$F$522)*(IF('Gastos com Pessoal'!$AE$513:$AE$522&lt;=AN$3,1,0))*OFFSET('Gastos com Pessoal'!$H$512,1,MATCH(5&amp;$B54,'Gastos com Pessoal'!$I$532:$AJ$532&amp;'Gastos com Pessoal'!$I$512:$AJ$512,0),10,1)),0)</f>
        <v>6811.1999999999698</v>
      </c>
      <c r="AO54" s="188">
        <f t="array" aca="1" ref="AO54" ca="1">_xlfn.IFNA(SUM((AO$3&gt;='Gastos com Pessoal'!$E$7:$E$506)*(AO$3&lt;='Gastos com Pessoal'!$F$7:$F$506)*OFFSET('Encargos e Benefícios'!$D$5,1,MATCH($B54,'Encargos e Benefícios'!$E$5:$AB$5,0),500,1)),0)+_xlfn.IFNA(SUM((AO$3&gt;='Gastos com Pessoal'!$E$513:$E$522)*(AO$3&lt;='Gastos com Pessoal'!$F$513:$F$522)*OFFSET('Encargos e Benefícios'!$D$511,1,MATCH($B54,'Encargos e Benefícios'!$E$511:$AB$511,0),10,1)),0)+_xlfn.IFNA(SUM((AO$3&gt;='Gastos com Pessoal'!$E$7:$E$506)*(AO$3&lt;='Gastos com Pessoal'!$F$7:$F$506)*(IF('Gastos com Pessoal'!$G$7:$G$506&lt;=AO$3,1,0))*OFFSET('Gastos com Pessoal'!$H$6,1,MATCH(1&amp;$B54,'Gastos com Pessoal'!$I$532:$AJ$532&amp;'Gastos com Pessoal'!$I$6:$AJ$6,0),500,1)),0)+_xlfn.IFNA(SUM((AO$3&gt;='Gastos com Pessoal'!$E$7:$E$506)*(AO$3&lt;='Gastos com Pessoal'!$F$7:$F$506)*(IF('Gastos com Pessoal'!$M$7:$M$506&lt;=AO$3,1,0))*OFFSET('Gastos com Pessoal'!$H$6,1,MATCH(2&amp;$B54,'Gastos com Pessoal'!$I$532:$AJ$532&amp;'Gastos com Pessoal'!$I$6:$AJ$6,0),500,1)),0)+_xlfn.IFNA(SUM((AO$3&gt;='Gastos com Pessoal'!$E$7:$E$506)*(AO$3&lt;='Gastos com Pessoal'!$F$7:$F$506)*(IF('Gastos com Pessoal'!$S$7:$S$506&lt;=AO$3,1,0))*OFFSET('Gastos com Pessoal'!$H$6,1,MATCH(3&amp;$B54,'Gastos com Pessoal'!$I$532:$AJ$532&amp;'Gastos com Pessoal'!$I$6:$AJ$6,0),500,1)),0)+_xlfn.IFNA(SUM((AO$3&gt;='Gastos com Pessoal'!$E$7:$E$506)*(AO$3&lt;='Gastos com Pessoal'!$F$7:$F$506)*(IF('Gastos com Pessoal'!$Y$7:$Y$506&lt;=AO$3,1,0))*OFFSET('Gastos com Pessoal'!$H$6,1,MATCH(4&amp;$B54,'Gastos com Pessoal'!$I$532:$AJ$532&amp;'Gastos com Pessoal'!$I$6:$AJ$6,0),500,1)),0)+_xlfn.IFNA(SUM((AO$3&gt;='Gastos com Pessoal'!$E$7:$E$506)*(AO$3&lt;='Gastos com Pessoal'!$F$7:$F$506)*(IF('Gastos com Pessoal'!$AE$7:$AE$506&lt;=AO$3,1,0))*OFFSET('Gastos com Pessoal'!$H$6,1,MATCH(5&amp;$B54,'Gastos com Pessoal'!$I$532:$AJ$532&amp;'Gastos com Pessoal'!$I$6:$AJ$6,0),500,1)),0)+_xlfn.IFNA(SUM((AO$3&gt;='Gastos com Pessoal'!$E$513:$E$522)*(AO$3&lt;='Gastos com Pessoal'!$F$513:$F$522)*(IF('Gastos com Pessoal'!$G$513:$G$522&lt;=AO$3,1,0))*OFFSET('Gastos com Pessoal'!$H$512,1,MATCH(1&amp;$B54,'Gastos com Pessoal'!$I$532:$AJ$532&amp;'Gastos com Pessoal'!$I$512:$AJ$512,0),10,1)),0)+_xlfn.IFNA(SUM((AO$3&gt;='Gastos com Pessoal'!$E$513:$E$522)*(AO$3&lt;='Gastos com Pessoal'!$F$513:$F$522)*(IF('Gastos com Pessoal'!$M$513:$M$522&lt;=AO$3,1,0))*OFFSET('Gastos com Pessoal'!$H$512,1,MATCH(2&amp;$B54,'Gastos com Pessoal'!$I$532:$AJ$532&amp;'Gastos com Pessoal'!$I$512:$AJ$512,0),10,1)),0)+_xlfn.IFNA(SUM((AO$3&gt;='Gastos com Pessoal'!$E$513:$E$522)*(AO$3&lt;='Gastos com Pessoal'!$F$513:$F$522)*(IF('Gastos com Pessoal'!$S$513:$S$522&lt;=AO$3,1,0))*OFFSET('Gastos com Pessoal'!$H$512,1,MATCH(3&amp;$B54,'Gastos com Pessoal'!$I$532:$AJ$532&amp;'Gastos com Pessoal'!$I$512:$AJ$512,0),10,1)),0)+_xlfn.IFNA(SUM((AO$3&gt;='Gastos com Pessoal'!$E$513:$E$522)*(AO$3&lt;='Gastos com Pessoal'!$F$513:$F$522)*(IF('Gastos com Pessoal'!$Y$513:$Y$522&lt;=AO$3,1,0))*OFFSET('Gastos com Pessoal'!$H$512,1,MATCH(4&amp;$B54,'Gastos com Pessoal'!$I$532:$AJ$532&amp;'Gastos com Pessoal'!$I$512:$AJ$512,0),10,1)),0)+_xlfn.IFNA(SUM((AO$3&gt;='Gastos com Pessoal'!$E$513:$E$522)*(AO$3&lt;='Gastos com Pessoal'!$F$513:$F$522)*(IF('Gastos com Pessoal'!$AE$513:$AE$522&lt;=AO$3,1,0))*OFFSET('Gastos com Pessoal'!$H$512,1,MATCH(5&amp;$B54,'Gastos com Pessoal'!$I$532:$AJ$532&amp;'Gastos com Pessoal'!$I$512:$AJ$512,0),10,1)),0)</f>
        <v>6811.1999999999698</v>
      </c>
      <c r="AP54" s="188">
        <f t="array" aca="1" ref="AP54" ca="1">_xlfn.IFNA(SUM((AP$3&gt;='Gastos com Pessoal'!$E$7:$E$506)*(AP$3&lt;='Gastos com Pessoal'!$F$7:$F$506)*OFFSET('Encargos e Benefícios'!$D$5,1,MATCH($B54,'Encargos e Benefícios'!$E$5:$AB$5,0),500,1)),0)+_xlfn.IFNA(SUM((AP$3&gt;='Gastos com Pessoal'!$E$513:$E$522)*(AP$3&lt;='Gastos com Pessoal'!$F$513:$F$522)*OFFSET('Encargos e Benefícios'!$D$511,1,MATCH($B54,'Encargos e Benefícios'!$E$511:$AB$511,0),10,1)),0)+_xlfn.IFNA(SUM((AP$3&gt;='Gastos com Pessoal'!$E$7:$E$506)*(AP$3&lt;='Gastos com Pessoal'!$F$7:$F$506)*(IF('Gastos com Pessoal'!$G$7:$G$506&lt;=AP$3,1,0))*OFFSET('Gastos com Pessoal'!$H$6,1,MATCH(1&amp;$B54,'Gastos com Pessoal'!$I$532:$AJ$532&amp;'Gastos com Pessoal'!$I$6:$AJ$6,0),500,1)),0)+_xlfn.IFNA(SUM((AP$3&gt;='Gastos com Pessoal'!$E$7:$E$506)*(AP$3&lt;='Gastos com Pessoal'!$F$7:$F$506)*(IF('Gastos com Pessoal'!$M$7:$M$506&lt;=AP$3,1,0))*OFFSET('Gastos com Pessoal'!$H$6,1,MATCH(2&amp;$B54,'Gastos com Pessoal'!$I$532:$AJ$532&amp;'Gastos com Pessoal'!$I$6:$AJ$6,0),500,1)),0)+_xlfn.IFNA(SUM((AP$3&gt;='Gastos com Pessoal'!$E$7:$E$506)*(AP$3&lt;='Gastos com Pessoal'!$F$7:$F$506)*(IF('Gastos com Pessoal'!$S$7:$S$506&lt;=AP$3,1,0))*OFFSET('Gastos com Pessoal'!$H$6,1,MATCH(3&amp;$B54,'Gastos com Pessoal'!$I$532:$AJ$532&amp;'Gastos com Pessoal'!$I$6:$AJ$6,0),500,1)),0)+_xlfn.IFNA(SUM((AP$3&gt;='Gastos com Pessoal'!$E$7:$E$506)*(AP$3&lt;='Gastos com Pessoal'!$F$7:$F$506)*(IF('Gastos com Pessoal'!$Y$7:$Y$506&lt;=AP$3,1,0))*OFFSET('Gastos com Pessoal'!$H$6,1,MATCH(4&amp;$B54,'Gastos com Pessoal'!$I$532:$AJ$532&amp;'Gastos com Pessoal'!$I$6:$AJ$6,0),500,1)),0)+_xlfn.IFNA(SUM((AP$3&gt;='Gastos com Pessoal'!$E$7:$E$506)*(AP$3&lt;='Gastos com Pessoal'!$F$7:$F$506)*(IF('Gastos com Pessoal'!$AE$7:$AE$506&lt;=AP$3,1,0))*OFFSET('Gastos com Pessoal'!$H$6,1,MATCH(5&amp;$B54,'Gastos com Pessoal'!$I$532:$AJ$532&amp;'Gastos com Pessoal'!$I$6:$AJ$6,0),500,1)),0)+_xlfn.IFNA(SUM((AP$3&gt;='Gastos com Pessoal'!$E$513:$E$522)*(AP$3&lt;='Gastos com Pessoal'!$F$513:$F$522)*(IF('Gastos com Pessoal'!$G$513:$G$522&lt;=AP$3,1,0))*OFFSET('Gastos com Pessoal'!$H$512,1,MATCH(1&amp;$B54,'Gastos com Pessoal'!$I$532:$AJ$532&amp;'Gastos com Pessoal'!$I$512:$AJ$512,0),10,1)),0)+_xlfn.IFNA(SUM((AP$3&gt;='Gastos com Pessoal'!$E$513:$E$522)*(AP$3&lt;='Gastos com Pessoal'!$F$513:$F$522)*(IF('Gastos com Pessoal'!$M$513:$M$522&lt;=AP$3,1,0))*OFFSET('Gastos com Pessoal'!$H$512,1,MATCH(2&amp;$B54,'Gastos com Pessoal'!$I$532:$AJ$532&amp;'Gastos com Pessoal'!$I$512:$AJ$512,0),10,1)),0)+_xlfn.IFNA(SUM((AP$3&gt;='Gastos com Pessoal'!$E$513:$E$522)*(AP$3&lt;='Gastos com Pessoal'!$F$513:$F$522)*(IF('Gastos com Pessoal'!$S$513:$S$522&lt;=AP$3,1,0))*OFFSET('Gastos com Pessoal'!$H$512,1,MATCH(3&amp;$B54,'Gastos com Pessoal'!$I$532:$AJ$532&amp;'Gastos com Pessoal'!$I$512:$AJ$512,0),10,1)),0)+_xlfn.IFNA(SUM((AP$3&gt;='Gastos com Pessoal'!$E$513:$E$522)*(AP$3&lt;='Gastos com Pessoal'!$F$513:$F$522)*(IF('Gastos com Pessoal'!$Y$513:$Y$522&lt;=AP$3,1,0))*OFFSET('Gastos com Pessoal'!$H$512,1,MATCH(4&amp;$B54,'Gastos com Pessoal'!$I$532:$AJ$532&amp;'Gastos com Pessoal'!$I$512:$AJ$512,0),10,1)),0)+_xlfn.IFNA(SUM((AP$3&gt;='Gastos com Pessoal'!$E$513:$E$522)*(AP$3&lt;='Gastos com Pessoal'!$F$513:$F$522)*(IF('Gastos com Pessoal'!$AE$513:$AE$522&lt;=AP$3,1,0))*OFFSET('Gastos com Pessoal'!$H$512,1,MATCH(5&amp;$B54,'Gastos com Pessoal'!$I$532:$AJ$532&amp;'Gastos com Pessoal'!$I$512:$AJ$512,0),10,1)),0)</f>
        <v>6811.1999999999698</v>
      </c>
      <c r="AQ54" s="188">
        <f t="array" aca="1" ref="AQ54" ca="1">_xlfn.IFNA(SUM((AQ$3&gt;='Gastos com Pessoal'!$E$7:$E$506)*(AQ$3&lt;='Gastos com Pessoal'!$F$7:$F$506)*OFFSET('Encargos e Benefícios'!$D$5,1,MATCH($B54,'Encargos e Benefícios'!$E$5:$AB$5,0),500,1)),0)+_xlfn.IFNA(SUM((AQ$3&gt;='Gastos com Pessoal'!$E$513:$E$522)*(AQ$3&lt;='Gastos com Pessoal'!$F$513:$F$522)*OFFSET('Encargos e Benefícios'!$D$511,1,MATCH($B54,'Encargos e Benefícios'!$E$511:$AB$511,0),10,1)),0)+_xlfn.IFNA(SUM((AQ$3&gt;='Gastos com Pessoal'!$E$7:$E$506)*(AQ$3&lt;='Gastos com Pessoal'!$F$7:$F$506)*(IF('Gastos com Pessoal'!$G$7:$G$506&lt;=AQ$3,1,0))*OFFSET('Gastos com Pessoal'!$H$6,1,MATCH(1&amp;$B54,'Gastos com Pessoal'!$I$532:$AJ$532&amp;'Gastos com Pessoal'!$I$6:$AJ$6,0),500,1)),0)+_xlfn.IFNA(SUM((AQ$3&gt;='Gastos com Pessoal'!$E$7:$E$506)*(AQ$3&lt;='Gastos com Pessoal'!$F$7:$F$506)*(IF('Gastos com Pessoal'!$M$7:$M$506&lt;=AQ$3,1,0))*OFFSET('Gastos com Pessoal'!$H$6,1,MATCH(2&amp;$B54,'Gastos com Pessoal'!$I$532:$AJ$532&amp;'Gastos com Pessoal'!$I$6:$AJ$6,0),500,1)),0)+_xlfn.IFNA(SUM((AQ$3&gt;='Gastos com Pessoal'!$E$7:$E$506)*(AQ$3&lt;='Gastos com Pessoal'!$F$7:$F$506)*(IF('Gastos com Pessoal'!$S$7:$S$506&lt;=AQ$3,1,0))*OFFSET('Gastos com Pessoal'!$H$6,1,MATCH(3&amp;$B54,'Gastos com Pessoal'!$I$532:$AJ$532&amp;'Gastos com Pessoal'!$I$6:$AJ$6,0),500,1)),0)+_xlfn.IFNA(SUM((AQ$3&gt;='Gastos com Pessoal'!$E$7:$E$506)*(AQ$3&lt;='Gastos com Pessoal'!$F$7:$F$506)*(IF('Gastos com Pessoal'!$Y$7:$Y$506&lt;=AQ$3,1,0))*OFFSET('Gastos com Pessoal'!$H$6,1,MATCH(4&amp;$B54,'Gastos com Pessoal'!$I$532:$AJ$532&amp;'Gastos com Pessoal'!$I$6:$AJ$6,0),500,1)),0)+_xlfn.IFNA(SUM((AQ$3&gt;='Gastos com Pessoal'!$E$7:$E$506)*(AQ$3&lt;='Gastos com Pessoal'!$F$7:$F$506)*(IF('Gastos com Pessoal'!$AE$7:$AE$506&lt;=AQ$3,1,0))*OFFSET('Gastos com Pessoal'!$H$6,1,MATCH(5&amp;$B54,'Gastos com Pessoal'!$I$532:$AJ$532&amp;'Gastos com Pessoal'!$I$6:$AJ$6,0),500,1)),0)+_xlfn.IFNA(SUM((AQ$3&gt;='Gastos com Pessoal'!$E$513:$E$522)*(AQ$3&lt;='Gastos com Pessoal'!$F$513:$F$522)*(IF('Gastos com Pessoal'!$G$513:$G$522&lt;=AQ$3,1,0))*OFFSET('Gastos com Pessoal'!$H$512,1,MATCH(1&amp;$B54,'Gastos com Pessoal'!$I$532:$AJ$532&amp;'Gastos com Pessoal'!$I$512:$AJ$512,0),10,1)),0)+_xlfn.IFNA(SUM((AQ$3&gt;='Gastos com Pessoal'!$E$513:$E$522)*(AQ$3&lt;='Gastos com Pessoal'!$F$513:$F$522)*(IF('Gastos com Pessoal'!$M$513:$M$522&lt;=AQ$3,1,0))*OFFSET('Gastos com Pessoal'!$H$512,1,MATCH(2&amp;$B54,'Gastos com Pessoal'!$I$532:$AJ$532&amp;'Gastos com Pessoal'!$I$512:$AJ$512,0),10,1)),0)+_xlfn.IFNA(SUM((AQ$3&gt;='Gastos com Pessoal'!$E$513:$E$522)*(AQ$3&lt;='Gastos com Pessoal'!$F$513:$F$522)*(IF('Gastos com Pessoal'!$S$513:$S$522&lt;=AQ$3,1,0))*OFFSET('Gastos com Pessoal'!$H$512,1,MATCH(3&amp;$B54,'Gastos com Pessoal'!$I$532:$AJ$532&amp;'Gastos com Pessoal'!$I$512:$AJ$512,0),10,1)),0)+_xlfn.IFNA(SUM((AQ$3&gt;='Gastos com Pessoal'!$E$513:$E$522)*(AQ$3&lt;='Gastos com Pessoal'!$F$513:$F$522)*(IF('Gastos com Pessoal'!$Y$513:$Y$522&lt;=AQ$3,1,0))*OFFSET('Gastos com Pessoal'!$H$512,1,MATCH(4&amp;$B54,'Gastos com Pessoal'!$I$532:$AJ$532&amp;'Gastos com Pessoal'!$I$512:$AJ$512,0),10,1)),0)+_xlfn.IFNA(SUM((AQ$3&gt;='Gastos com Pessoal'!$E$513:$E$522)*(AQ$3&lt;='Gastos com Pessoal'!$F$513:$F$522)*(IF('Gastos com Pessoal'!$AE$513:$AE$522&lt;=AQ$3,1,0))*OFFSET('Gastos com Pessoal'!$H$512,1,MATCH(5&amp;$B54,'Gastos com Pessoal'!$I$532:$AJ$532&amp;'Gastos com Pessoal'!$I$512:$AJ$512,0),10,1)),0)</f>
        <v>6811.1999999999698</v>
      </c>
      <c r="AR54" s="188">
        <f t="array" aca="1" ref="AR54" ca="1">_xlfn.IFNA(SUM((AR$3&gt;='Gastos com Pessoal'!$E$7:$E$506)*(AR$3&lt;='Gastos com Pessoal'!$F$7:$F$506)*OFFSET('Encargos e Benefícios'!$D$5,1,MATCH($B54,'Encargos e Benefícios'!$E$5:$AB$5,0),500,1)),0)+_xlfn.IFNA(SUM((AR$3&gt;='Gastos com Pessoal'!$E$513:$E$522)*(AR$3&lt;='Gastos com Pessoal'!$F$513:$F$522)*OFFSET('Encargos e Benefícios'!$D$511,1,MATCH($B54,'Encargos e Benefícios'!$E$511:$AB$511,0),10,1)),0)+_xlfn.IFNA(SUM((AR$3&gt;='Gastos com Pessoal'!$E$7:$E$506)*(AR$3&lt;='Gastos com Pessoal'!$F$7:$F$506)*(IF('Gastos com Pessoal'!$G$7:$G$506&lt;=AR$3,1,0))*OFFSET('Gastos com Pessoal'!$H$6,1,MATCH(1&amp;$B54,'Gastos com Pessoal'!$I$532:$AJ$532&amp;'Gastos com Pessoal'!$I$6:$AJ$6,0),500,1)),0)+_xlfn.IFNA(SUM((AR$3&gt;='Gastos com Pessoal'!$E$7:$E$506)*(AR$3&lt;='Gastos com Pessoal'!$F$7:$F$506)*(IF('Gastos com Pessoal'!$M$7:$M$506&lt;=AR$3,1,0))*OFFSET('Gastos com Pessoal'!$H$6,1,MATCH(2&amp;$B54,'Gastos com Pessoal'!$I$532:$AJ$532&amp;'Gastos com Pessoal'!$I$6:$AJ$6,0),500,1)),0)+_xlfn.IFNA(SUM((AR$3&gt;='Gastos com Pessoal'!$E$7:$E$506)*(AR$3&lt;='Gastos com Pessoal'!$F$7:$F$506)*(IF('Gastos com Pessoal'!$S$7:$S$506&lt;=AR$3,1,0))*OFFSET('Gastos com Pessoal'!$H$6,1,MATCH(3&amp;$B54,'Gastos com Pessoal'!$I$532:$AJ$532&amp;'Gastos com Pessoal'!$I$6:$AJ$6,0),500,1)),0)+_xlfn.IFNA(SUM((AR$3&gt;='Gastos com Pessoal'!$E$7:$E$506)*(AR$3&lt;='Gastos com Pessoal'!$F$7:$F$506)*(IF('Gastos com Pessoal'!$Y$7:$Y$506&lt;=AR$3,1,0))*OFFSET('Gastos com Pessoal'!$H$6,1,MATCH(4&amp;$B54,'Gastos com Pessoal'!$I$532:$AJ$532&amp;'Gastos com Pessoal'!$I$6:$AJ$6,0),500,1)),0)+_xlfn.IFNA(SUM((AR$3&gt;='Gastos com Pessoal'!$E$7:$E$506)*(AR$3&lt;='Gastos com Pessoal'!$F$7:$F$506)*(IF('Gastos com Pessoal'!$AE$7:$AE$506&lt;=AR$3,1,0))*OFFSET('Gastos com Pessoal'!$H$6,1,MATCH(5&amp;$B54,'Gastos com Pessoal'!$I$532:$AJ$532&amp;'Gastos com Pessoal'!$I$6:$AJ$6,0),500,1)),0)+_xlfn.IFNA(SUM((AR$3&gt;='Gastos com Pessoal'!$E$513:$E$522)*(AR$3&lt;='Gastos com Pessoal'!$F$513:$F$522)*(IF('Gastos com Pessoal'!$G$513:$G$522&lt;=AR$3,1,0))*OFFSET('Gastos com Pessoal'!$H$512,1,MATCH(1&amp;$B54,'Gastos com Pessoal'!$I$532:$AJ$532&amp;'Gastos com Pessoal'!$I$512:$AJ$512,0),10,1)),0)+_xlfn.IFNA(SUM((AR$3&gt;='Gastos com Pessoal'!$E$513:$E$522)*(AR$3&lt;='Gastos com Pessoal'!$F$513:$F$522)*(IF('Gastos com Pessoal'!$M$513:$M$522&lt;=AR$3,1,0))*OFFSET('Gastos com Pessoal'!$H$512,1,MATCH(2&amp;$B54,'Gastos com Pessoal'!$I$532:$AJ$532&amp;'Gastos com Pessoal'!$I$512:$AJ$512,0),10,1)),0)+_xlfn.IFNA(SUM((AR$3&gt;='Gastos com Pessoal'!$E$513:$E$522)*(AR$3&lt;='Gastos com Pessoal'!$F$513:$F$522)*(IF('Gastos com Pessoal'!$S$513:$S$522&lt;=AR$3,1,0))*OFFSET('Gastos com Pessoal'!$H$512,1,MATCH(3&amp;$B54,'Gastos com Pessoal'!$I$532:$AJ$532&amp;'Gastos com Pessoal'!$I$512:$AJ$512,0),10,1)),0)+_xlfn.IFNA(SUM((AR$3&gt;='Gastos com Pessoal'!$E$513:$E$522)*(AR$3&lt;='Gastos com Pessoal'!$F$513:$F$522)*(IF('Gastos com Pessoal'!$Y$513:$Y$522&lt;=AR$3,1,0))*OFFSET('Gastos com Pessoal'!$H$512,1,MATCH(4&amp;$B54,'Gastos com Pessoal'!$I$532:$AJ$532&amp;'Gastos com Pessoal'!$I$512:$AJ$512,0),10,1)),0)+_xlfn.IFNA(SUM((AR$3&gt;='Gastos com Pessoal'!$E$513:$E$522)*(AR$3&lt;='Gastos com Pessoal'!$F$513:$F$522)*(IF('Gastos com Pessoal'!$AE$513:$AE$522&lt;=AR$3,1,0))*OFFSET('Gastos com Pessoal'!$H$512,1,MATCH(5&amp;$B54,'Gastos com Pessoal'!$I$532:$AJ$532&amp;'Gastos com Pessoal'!$I$512:$AJ$512,0),10,1)),0)</f>
        <v>6811.1999999999698</v>
      </c>
      <c r="AS54" s="188">
        <f t="array" aca="1" ref="AS54" ca="1">_xlfn.IFNA(SUM((AS$3&gt;='Gastos com Pessoal'!$E$7:$E$506)*(AS$3&lt;='Gastos com Pessoal'!$F$7:$F$506)*OFFSET('Encargos e Benefícios'!$D$5,1,MATCH($B54,'Encargos e Benefícios'!$E$5:$AB$5,0),500,1)),0)+_xlfn.IFNA(SUM((AS$3&gt;='Gastos com Pessoal'!$E$513:$E$522)*(AS$3&lt;='Gastos com Pessoal'!$F$513:$F$522)*OFFSET('Encargos e Benefícios'!$D$511,1,MATCH($B54,'Encargos e Benefícios'!$E$511:$AB$511,0),10,1)),0)+_xlfn.IFNA(SUM((AS$3&gt;='Gastos com Pessoal'!$E$7:$E$506)*(AS$3&lt;='Gastos com Pessoal'!$F$7:$F$506)*(IF('Gastos com Pessoal'!$G$7:$G$506&lt;=AS$3,1,0))*OFFSET('Gastos com Pessoal'!$H$6,1,MATCH(1&amp;$B54,'Gastos com Pessoal'!$I$532:$AJ$532&amp;'Gastos com Pessoal'!$I$6:$AJ$6,0),500,1)),0)+_xlfn.IFNA(SUM((AS$3&gt;='Gastos com Pessoal'!$E$7:$E$506)*(AS$3&lt;='Gastos com Pessoal'!$F$7:$F$506)*(IF('Gastos com Pessoal'!$M$7:$M$506&lt;=AS$3,1,0))*OFFSET('Gastos com Pessoal'!$H$6,1,MATCH(2&amp;$B54,'Gastos com Pessoal'!$I$532:$AJ$532&amp;'Gastos com Pessoal'!$I$6:$AJ$6,0),500,1)),0)+_xlfn.IFNA(SUM((AS$3&gt;='Gastos com Pessoal'!$E$7:$E$506)*(AS$3&lt;='Gastos com Pessoal'!$F$7:$F$506)*(IF('Gastos com Pessoal'!$S$7:$S$506&lt;=AS$3,1,0))*OFFSET('Gastos com Pessoal'!$H$6,1,MATCH(3&amp;$B54,'Gastos com Pessoal'!$I$532:$AJ$532&amp;'Gastos com Pessoal'!$I$6:$AJ$6,0),500,1)),0)+_xlfn.IFNA(SUM((AS$3&gt;='Gastos com Pessoal'!$E$7:$E$506)*(AS$3&lt;='Gastos com Pessoal'!$F$7:$F$506)*(IF('Gastos com Pessoal'!$Y$7:$Y$506&lt;=AS$3,1,0))*OFFSET('Gastos com Pessoal'!$H$6,1,MATCH(4&amp;$B54,'Gastos com Pessoal'!$I$532:$AJ$532&amp;'Gastos com Pessoal'!$I$6:$AJ$6,0),500,1)),0)+_xlfn.IFNA(SUM((AS$3&gt;='Gastos com Pessoal'!$E$7:$E$506)*(AS$3&lt;='Gastos com Pessoal'!$F$7:$F$506)*(IF('Gastos com Pessoal'!$AE$7:$AE$506&lt;=AS$3,1,0))*OFFSET('Gastos com Pessoal'!$H$6,1,MATCH(5&amp;$B54,'Gastos com Pessoal'!$I$532:$AJ$532&amp;'Gastos com Pessoal'!$I$6:$AJ$6,0),500,1)),0)+_xlfn.IFNA(SUM((AS$3&gt;='Gastos com Pessoal'!$E$513:$E$522)*(AS$3&lt;='Gastos com Pessoal'!$F$513:$F$522)*(IF('Gastos com Pessoal'!$G$513:$G$522&lt;=AS$3,1,0))*OFFSET('Gastos com Pessoal'!$H$512,1,MATCH(1&amp;$B54,'Gastos com Pessoal'!$I$532:$AJ$532&amp;'Gastos com Pessoal'!$I$512:$AJ$512,0),10,1)),0)+_xlfn.IFNA(SUM((AS$3&gt;='Gastos com Pessoal'!$E$513:$E$522)*(AS$3&lt;='Gastos com Pessoal'!$F$513:$F$522)*(IF('Gastos com Pessoal'!$M$513:$M$522&lt;=AS$3,1,0))*OFFSET('Gastos com Pessoal'!$H$512,1,MATCH(2&amp;$B54,'Gastos com Pessoal'!$I$532:$AJ$532&amp;'Gastos com Pessoal'!$I$512:$AJ$512,0),10,1)),0)+_xlfn.IFNA(SUM((AS$3&gt;='Gastos com Pessoal'!$E$513:$E$522)*(AS$3&lt;='Gastos com Pessoal'!$F$513:$F$522)*(IF('Gastos com Pessoal'!$S$513:$S$522&lt;=AS$3,1,0))*OFFSET('Gastos com Pessoal'!$H$512,1,MATCH(3&amp;$B54,'Gastos com Pessoal'!$I$532:$AJ$532&amp;'Gastos com Pessoal'!$I$512:$AJ$512,0),10,1)),0)+_xlfn.IFNA(SUM((AS$3&gt;='Gastos com Pessoal'!$E$513:$E$522)*(AS$3&lt;='Gastos com Pessoal'!$F$513:$F$522)*(IF('Gastos com Pessoal'!$Y$513:$Y$522&lt;=AS$3,1,0))*OFFSET('Gastos com Pessoal'!$H$512,1,MATCH(4&amp;$B54,'Gastos com Pessoal'!$I$532:$AJ$532&amp;'Gastos com Pessoal'!$I$512:$AJ$512,0),10,1)),0)+_xlfn.IFNA(SUM((AS$3&gt;='Gastos com Pessoal'!$E$513:$E$522)*(AS$3&lt;='Gastos com Pessoal'!$F$513:$F$522)*(IF('Gastos com Pessoal'!$AE$513:$AE$522&lt;=AS$3,1,0))*OFFSET('Gastos com Pessoal'!$H$512,1,MATCH(5&amp;$B54,'Gastos com Pessoal'!$I$532:$AJ$532&amp;'Gastos com Pessoal'!$I$512:$AJ$512,0),10,1)),0)</f>
        <v>6811.1999999999698</v>
      </c>
      <c r="AT54" s="188">
        <f t="array" aca="1" ref="AT54" ca="1">_xlfn.IFNA(SUM((AT$3&gt;='Gastos com Pessoal'!$E$7:$E$506)*(AT$3&lt;='Gastos com Pessoal'!$F$7:$F$506)*OFFSET('Encargos e Benefícios'!$D$5,1,MATCH($B54,'Encargos e Benefícios'!$E$5:$AB$5,0),500,1)),0)+_xlfn.IFNA(SUM((AT$3&gt;='Gastos com Pessoal'!$E$513:$E$522)*(AT$3&lt;='Gastos com Pessoal'!$F$513:$F$522)*OFFSET('Encargos e Benefícios'!$D$511,1,MATCH($B54,'Encargos e Benefícios'!$E$511:$AB$511,0),10,1)),0)+_xlfn.IFNA(SUM((AT$3&gt;='Gastos com Pessoal'!$E$7:$E$506)*(AT$3&lt;='Gastos com Pessoal'!$F$7:$F$506)*(IF('Gastos com Pessoal'!$G$7:$G$506&lt;=AT$3,1,0))*OFFSET('Gastos com Pessoal'!$H$6,1,MATCH(1&amp;$B54,'Gastos com Pessoal'!$I$532:$AJ$532&amp;'Gastos com Pessoal'!$I$6:$AJ$6,0),500,1)),0)+_xlfn.IFNA(SUM((AT$3&gt;='Gastos com Pessoal'!$E$7:$E$506)*(AT$3&lt;='Gastos com Pessoal'!$F$7:$F$506)*(IF('Gastos com Pessoal'!$M$7:$M$506&lt;=AT$3,1,0))*OFFSET('Gastos com Pessoal'!$H$6,1,MATCH(2&amp;$B54,'Gastos com Pessoal'!$I$532:$AJ$532&amp;'Gastos com Pessoal'!$I$6:$AJ$6,0),500,1)),0)+_xlfn.IFNA(SUM((AT$3&gt;='Gastos com Pessoal'!$E$7:$E$506)*(AT$3&lt;='Gastos com Pessoal'!$F$7:$F$506)*(IF('Gastos com Pessoal'!$S$7:$S$506&lt;=AT$3,1,0))*OFFSET('Gastos com Pessoal'!$H$6,1,MATCH(3&amp;$B54,'Gastos com Pessoal'!$I$532:$AJ$532&amp;'Gastos com Pessoal'!$I$6:$AJ$6,0),500,1)),0)+_xlfn.IFNA(SUM((AT$3&gt;='Gastos com Pessoal'!$E$7:$E$506)*(AT$3&lt;='Gastos com Pessoal'!$F$7:$F$506)*(IF('Gastos com Pessoal'!$Y$7:$Y$506&lt;=AT$3,1,0))*OFFSET('Gastos com Pessoal'!$H$6,1,MATCH(4&amp;$B54,'Gastos com Pessoal'!$I$532:$AJ$532&amp;'Gastos com Pessoal'!$I$6:$AJ$6,0),500,1)),0)+_xlfn.IFNA(SUM((AT$3&gt;='Gastos com Pessoal'!$E$7:$E$506)*(AT$3&lt;='Gastos com Pessoal'!$F$7:$F$506)*(IF('Gastos com Pessoal'!$AE$7:$AE$506&lt;=AT$3,1,0))*OFFSET('Gastos com Pessoal'!$H$6,1,MATCH(5&amp;$B54,'Gastos com Pessoal'!$I$532:$AJ$532&amp;'Gastos com Pessoal'!$I$6:$AJ$6,0),500,1)),0)+_xlfn.IFNA(SUM((AT$3&gt;='Gastos com Pessoal'!$E$513:$E$522)*(AT$3&lt;='Gastos com Pessoal'!$F$513:$F$522)*(IF('Gastos com Pessoal'!$G$513:$G$522&lt;=AT$3,1,0))*OFFSET('Gastos com Pessoal'!$H$512,1,MATCH(1&amp;$B54,'Gastos com Pessoal'!$I$532:$AJ$532&amp;'Gastos com Pessoal'!$I$512:$AJ$512,0),10,1)),0)+_xlfn.IFNA(SUM((AT$3&gt;='Gastos com Pessoal'!$E$513:$E$522)*(AT$3&lt;='Gastos com Pessoal'!$F$513:$F$522)*(IF('Gastos com Pessoal'!$M$513:$M$522&lt;=AT$3,1,0))*OFFSET('Gastos com Pessoal'!$H$512,1,MATCH(2&amp;$B54,'Gastos com Pessoal'!$I$532:$AJ$532&amp;'Gastos com Pessoal'!$I$512:$AJ$512,0),10,1)),0)+_xlfn.IFNA(SUM((AT$3&gt;='Gastos com Pessoal'!$E$513:$E$522)*(AT$3&lt;='Gastos com Pessoal'!$F$513:$F$522)*(IF('Gastos com Pessoal'!$S$513:$S$522&lt;=AT$3,1,0))*OFFSET('Gastos com Pessoal'!$H$512,1,MATCH(3&amp;$B54,'Gastos com Pessoal'!$I$532:$AJ$532&amp;'Gastos com Pessoal'!$I$512:$AJ$512,0),10,1)),0)+_xlfn.IFNA(SUM((AT$3&gt;='Gastos com Pessoal'!$E$513:$E$522)*(AT$3&lt;='Gastos com Pessoal'!$F$513:$F$522)*(IF('Gastos com Pessoal'!$Y$513:$Y$522&lt;=AT$3,1,0))*OFFSET('Gastos com Pessoal'!$H$512,1,MATCH(4&amp;$B54,'Gastos com Pessoal'!$I$532:$AJ$532&amp;'Gastos com Pessoal'!$I$512:$AJ$512,0),10,1)),0)+_xlfn.IFNA(SUM((AT$3&gt;='Gastos com Pessoal'!$E$513:$E$522)*(AT$3&lt;='Gastos com Pessoal'!$F$513:$F$522)*(IF('Gastos com Pessoal'!$AE$513:$AE$522&lt;=AT$3,1,0))*OFFSET('Gastos com Pessoal'!$H$512,1,MATCH(5&amp;$B54,'Gastos com Pessoal'!$I$532:$AJ$532&amp;'Gastos com Pessoal'!$I$512:$AJ$512,0),10,1)),0)</f>
        <v>6811.1999999999698</v>
      </c>
      <c r="AU54" s="188">
        <f t="array" aca="1" ref="AU54" ca="1">_xlfn.IFNA(SUM((AU$3&gt;='Gastos com Pessoal'!$E$7:$E$506)*(AU$3&lt;='Gastos com Pessoal'!$F$7:$F$506)*OFFSET('Encargos e Benefícios'!$D$5,1,MATCH($B54,'Encargos e Benefícios'!$E$5:$AB$5,0),500,1)),0)+_xlfn.IFNA(SUM((AU$3&gt;='Gastos com Pessoal'!$E$513:$E$522)*(AU$3&lt;='Gastos com Pessoal'!$F$513:$F$522)*OFFSET('Encargos e Benefícios'!$D$511,1,MATCH($B54,'Encargos e Benefícios'!$E$511:$AB$511,0),10,1)),0)+_xlfn.IFNA(SUM((AU$3&gt;='Gastos com Pessoal'!$E$7:$E$506)*(AU$3&lt;='Gastos com Pessoal'!$F$7:$F$506)*(IF('Gastos com Pessoal'!$G$7:$G$506&lt;=AU$3,1,0))*OFFSET('Gastos com Pessoal'!$H$6,1,MATCH(1&amp;$B54,'Gastos com Pessoal'!$I$532:$AJ$532&amp;'Gastos com Pessoal'!$I$6:$AJ$6,0),500,1)),0)+_xlfn.IFNA(SUM((AU$3&gt;='Gastos com Pessoal'!$E$7:$E$506)*(AU$3&lt;='Gastos com Pessoal'!$F$7:$F$506)*(IF('Gastos com Pessoal'!$M$7:$M$506&lt;=AU$3,1,0))*OFFSET('Gastos com Pessoal'!$H$6,1,MATCH(2&amp;$B54,'Gastos com Pessoal'!$I$532:$AJ$532&amp;'Gastos com Pessoal'!$I$6:$AJ$6,0),500,1)),0)+_xlfn.IFNA(SUM((AU$3&gt;='Gastos com Pessoal'!$E$7:$E$506)*(AU$3&lt;='Gastos com Pessoal'!$F$7:$F$506)*(IF('Gastos com Pessoal'!$S$7:$S$506&lt;=AU$3,1,0))*OFFSET('Gastos com Pessoal'!$H$6,1,MATCH(3&amp;$B54,'Gastos com Pessoal'!$I$532:$AJ$532&amp;'Gastos com Pessoal'!$I$6:$AJ$6,0),500,1)),0)+_xlfn.IFNA(SUM((AU$3&gt;='Gastos com Pessoal'!$E$7:$E$506)*(AU$3&lt;='Gastos com Pessoal'!$F$7:$F$506)*(IF('Gastos com Pessoal'!$Y$7:$Y$506&lt;=AU$3,1,0))*OFFSET('Gastos com Pessoal'!$H$6,1,MATCH(4&amp;$B54,'Gastos com Pessoal'!$I$532:$AJ$532&amp;'Gastos com Pessoal'!$I$6:$AJ$6,0),500,1)),0)+_xlfn.IFNA(SUM((AU$3&gt;='Gastos com Pessoal'!$E$7:$E$506)*(AU$3&lt;='Gastos com Pessoal'!$F$7:$F$506)*(IF('Gastos com Pessoal'!$AE$7:$AE$506&lt;=AU$3,1,0))*OFFSET('Gastos com Pessoal'!$H$6,1,MATCH(5&amp;$B54,'Gastos com Pessoal'!$I$532:$AJ$532&amp;'Gastos com Pessoal'!$I$6:$AJ$6,0),500,1)),0)+_xlfn.IFNA(SUM((AU$3&gt;='Gastos com Pessoal'!$E$513:$E$522)*(AU$3&lt;='Gastos com Pessoal'!$F$513:$F$522)*(IF('Gastos com Pessoal'!$G$513:$G$522&lt;=AU$3,1,0))*OFFSET('Gastos com Pessoal'!$H$512,1,MATCH(1&amp;$B54,'Gastos com Pessoal'!$I$532:$AJ$532&amp;'Gastos com Pessoal'!$I$512:$AJ$512,0),10,1)),0)+_xlfn.IFNA(SUM((AU$3&gt;='Gastos com Pessoal'!$E$513:$E$522)*(AU$3&lt;='Gastos com Pessoal'!$F$513:$F$522)*(IF('Gastos com Pessoal'!$M$513:$M$522&lt;=AU$3,1,0))*OFFSET('Gastos com Pessoal'!$H$512,1,MATCH(2&amp;$B54,'Gastos com Pessoal'!$I$532:$AJ$532&amp;'Gastos com Pessoal'!$I$512:$AJ$512,0),10,1)),0)+_xlfn.IFNA(SUM((AU$3&gt;='Gastos com Pessoal'!$E$513:$E$522)*(AU$3&lt;='Gastos com Pessoal'!$F$513:$F$522)*(IF('Gastos com Pessoal'!$S$513:$S$522&lt;=AU$3,1,0))*OFFSET('Gastos com Pessoal'!$H$512,1,MATCH(3&amp;$B54,'Gastos com Pessoal'!$I$532:$AJ$532&amp;'Gastos com Pessoal'!$I$512:$AJ$512,0),10,1)),0)+_xlfn.IFNA(SUM((AU$3&gt;='Gastos com Pessoal'!$E$513:$E$522)*(AU$3&lt;='Gastos com Pessoal'!$F$513:$F$522)*(IF('Gastos com Pessoal'!$Y$513:$Y$522&lt;=AU$3,1,0))*OFFSET('Gastos com Pessoal'!$H$512,1,MATCH(4&amp;$B54,'Gastos com Pessoal'!$I$532:$AJ$532&amp;'Gastos com Pessoal'!$I$512:$AJ$512,0),10,1)),0)+_xlfn.IFNA(SUM((AU$3&gt;='Gastos com Pessoal'!$E$513:$E$522)*(AU$3&lt;='Gastos com Pessoal'!$F$513:$F$522)*(IF('Gastos com Pessoal'!$AE$513:$AE$522&lt;=AU$3,1,0))*OFFSET('Gastos com Pessoal'!$H$512,1,MATCH(5&amp;$B54,'Gastos com Pessoal'!$I$532:$AJ$532&amp;'Gastos com Pessoal'!$I$512:$AJ$512,0),10,1)),0)</f>
        <v>6811.1999999999698</v>
      </c>
      <c r="AV54" s="188">
        <f t="array" aca="1" ref="AV54" ca="1">_xlfn.IFNA(SUM((AV$3&gt;='Gastos com Pessoal'!$E$7:$E$506)*(AV$3&lt;='Gastos com Pessoal'!$F$7:$F$506)*OFFSET('Encargos e Benefícios'!$D$5,1,MATCH($B54,'Encargos e Benefícios'!$E$5:$AB$5,0),500,1)),0)+_xlfn.IFNA(SUM((AV$3&gt;='Gastos com Pessoal'!$E$513:$E$522)*(AV$3&lt;='Gastos com Pessoal'!$F$513:$F$522)*OFFSET('Encargos e Benefícios'!$D$511,1,MATCH($B54,'Encargos e Benefícios'!$E$511:$AB$511,0),10,1)),0)+_xlfn.IFNA(SUM((AV$3&gt;='Gastos com Pessoal'!$E$7:$E$506)*(AV$3&lt;='Gastos com Pessoal'!$F$7:$F$506)*(IF('Gastos com Pessoal'!$G$7:$G$506&lt;=AV$3,1,0))*OFFSET('Gastos com Pessoal'!$H$6,1,MATCH(1&amp;$B54,'Gastos com Pessoal'!$I$532:$AJ$532&amp;'Gastos com Pessoal'!$I$6:$AJ$6,0),500,1)),0)+_xlfn.IFNA(SUM((AV$3&gt;='Gastos com Pessoal'!$E$7:$E$506)*(AV$3&lt;='Gastos com Pessoal'!$F$7:$F$506)*(IF('Gastos com Pessoal'!$M$7:$M$506&lt;=AV$3,1,0))*OFFSET('Gastos com Pessoal'!$H$6,1,MATCH(2&amp;$B54,'Gastos com Pessoal'!$I$532:$AJ$532&amp;'Gastos com Pessoal'!$I$6:$AJ$6,0),500,1)),0)+_xlfn.IFNA(SUM((AV$3&gt;='Gastos com Pessoal'!$E$7:$E$506)*(AV$3&lt;='Gastos com Pessoal'!$F$7:$F$506)*(IF('Gastos com Pessoal'!$S$7:$S$506&lt;=AV$3,1,0))*OFFSET('Gastos com Pessoal'!$H$6,1,MATCH(3&amp;$B54,'Gastos com Pessoal'!$I$532:$AJ$532&amp;'Gastos com Pessoal'!$I$6:$AJ$6,0),500,1)),0)+_xlfn.IFNA(SUM((AV$3&gt;='Gastos com Pessoal'!$E$7:$E$506)*(AV$3&lt;='Gastos com Pessoal'!$F$7:$F$506)*(IF('Gastos com Pessoal'!$Y$7:$Y$506&lt;=AV$3,1,0))*OFFSET('Gastos com Pessoal'!$H$6,1,MATCH(4&amp;$B54,'Gastos com Pessoal'!$I$532:$AJ$532&amp;'Gastos com Pessoal'!$I$6:$AJ$6,0),500,1)),0)+_xlfn.IFNA(SUM((AV$3&gt;='Gastos com Pessoal'!$E$7:$E$506)*(AV$3&lt;='Gastos com Pessoal'!$F$7:$F$506)*(IF('Gastos com Pessoal'!$AE$7:$AE$506&lt;=AV$3,1,0))*OFFSET('Gastos com Pessoal'!$H$6,1,MATCH(5&amp;$B54,'Gastos com Pessoal'!$I$532:$AJ$532&amp;'Gastos com Pessoal'!$I$6:$AJ$6,0),500,1)),0)+_xlfn.IFNA(SUM((AV$3&gt;='Gastos com Pessoal'!$E$513:$E$522)*(AV$3&lt;='Gastos com Pessoal'!$F$513:$F$522)*(IF('Gastos com Pessoal'!$G$513:$G$522&lt;=AV$3,1,0))*OFFSET('Gastos com Pessoal'!$H$512,1,MATCH(1&amp;$B54,'Gastos com Pessoal'!$I$532:$AJ$532&amp;'Gastos com Pessoal'!$I$512:$AJ$512,0),10,1)),0)+_xlfn.IFNA(SUM((AV$3&gt;='Gastos com Pessoal'!$E$513:$E$522)*(AV$3&lt;='Gastos com Pessoal'!$F$513:$F$522)*(IF('Gastos com Pessoal'!$M$513:$M$522&lt;=AV$3,1,0))*OFFSET('Gastos com Pessoal'!$H$512,1,MATCH(2&amp;$B54,'Gastos com Pessoal'!$I$532:$AJ$532&amp;'Gastos com Pessoal'!$I$512:$AJ$512,0),10,1)),0)+_xlfn.IFNA(SUM((AV$3&gt;='Gastos com Pessoal'!$E$513:$E$522)*(AV$3&lt;='Gastos com Pessoal'!$F$513:$F$522)*(IF('Gastos com Pessoal'!$S$513:$S$522&lt;=AV$3,1,0))*OFFSET('Gastos com Pessoal'!$H$512,1,MATCH(3&amp;$B54,'Gastos com Pessoal'!$I$532:$AJ$532&amp;'Gastos com Pessoal'!$I$512:$AJ$512,0),10,1)),0)+_xlfn.IFNA(SUM((AV$3&gt;='Gastos com Pessoal'!$E$513:$E$522)*(AV$3&lt;='Gastos com Pessoal'!$F$513:$F$522)*(IF('Gastos com Pessoal'!$Y$513:$Y$522&lt;=AV$3,1,0))*OFFSET('Gastos com Pessoal'!$H$512,1,MATCH(4&amp;$B54,'Gastos com Pessoal'!$I$532:$AJ$532&amp;'Gastos com Pessoal'!$I$512:$AJ$512,0),10,1)),0)+_xlfn.IFNA(SUM((AV$3&gt;='Gastos com Pessoal'!$E$513:$E$522)*(AV$3&lt;='Gastos com Pessoal'!$F$513:$F$522)*(IF('Gastos com Pessoal'!$AE$513:$AE$522&lt;=AV$3,1,0))*OFFSET('Gastos com Pessoal'!$H$512,1,MATCH(5&amp;$B54,'Gastos com Pessoal'!$I$532:$AJ$532&amp;'Gastos com Pessoal'!$I$512:$AJ$512,0),10,1)),0)</f>
        <v>6811.1999999999698</v>
      </c>
      <c r="AW54" s="188">
        <f t="array" aca="1" ref="AW54" ca="1">_xlfn.IFNA(SUM((AW$3&gt;='Gastos com Pessoal'!$E$7:$E$506)*(AW$3&lt;='Gastos com Pessoal'!$F$7:$F$506)*OFFSET('Encargos e Benefícios'!$D$5,1,MATCH($B54,'Encargos e Benefícios'!$E$5:$AB$5,0),500,1)),0)+_xlfn.IFNA(SUM((AW$3&gt;='Gastos com Pessoal'!$E$513:$E$522)*(AW$3&lt;='Gastos com Pessoal'!$F$513:$F$522)*OFFSET('Encargos e Benefícios'!$D$511,1,MATCH($B54,'Encargos e Benefícios'!$E$511:$AB$511,0),10,1)),0)+_xlfn.IFNA(SUM((AW$3&gt;='Gastos com Pessoal'!$E$7:$E$506)*(AW$3&lt;='Gastos com Pessoal'!$F$7:$F$506)*(IF('Gastos com Pessoal'!$G$7:$G$506&lt;=AW$3,1,0))*OFFSET('Gastos com Pessoal'!$H$6,1,MATCH(1&amp;$B54,'Gastos com Pessoal'!$I$532:$AJ$532&amp;'Gastos com Pessoal'!$I$6:$AJ$6,0),500,1)),0)+_xlfn.IFNA(SUM((AW$3&gt;='Gastos com Pessoal'!$E$7:$E$506)*(AW$3&lt;='Gastos com Pessoal'!$F$7:$F$506)*(IF('Gastos com Pessoal'!$M$7:$M$506&lt;=AW$3,1,0))*OFFSET('Gastos com Pessoal'!$H$6,1,MATCH(2&amp;$B54,'Gastos com Pessoal'!$I$532:$AJ$532&amp;'Gastos com Pessoal'!$I$6:$AJ$6,0),500,1)),0)+_xlfn.IFNA(SUM((AW$3&gt;='Gastos com Pessoal'!$E$7:$E$506)*(AW$3&lt;='Gastos com Pessoal'!$F$7:$F$506)*(IF('Gastos com Pessoal'!$S$7:$S$506&lt;=AW$3,1,0))*OFFSET('Gastos com Pessoal'!$H$6,1,MATCH(3&amp;$B54,'Gastos com Pessoal'!$I$532:$AJ$532&amp;'Gastos com Pessoal'!$I$6:$AJ$6,0),500,1)),0)+_xlfn.IFNA(SUM((AW$3&gt;='Gastos com Pessoal'!$E$7:$E$506)*(AW$3&lt;='Gastos com Pessoal'!$F$7:$F$506)*(IF('Gastos com Pessoal'!$Y$7:$Y$506&lt;=AW$3,1,0))*OFFSET('Gastos com Pessoal'!$H$6,1,MATCH(4&amp;$B54,'Gastos com Pessoal'!$I$532:$AJ$532&amp;'Gastos com Pessoal'!$I$6:$AJ$6,0),500,1)),0)+_xlfn.IFNA(SUM((AW$3&gt;='Gastos com Pessoal'!$E$7:$E$506)*(AW$3&lt;='Gastos com Pessoal'!$F$7:$F$506)*(IF('Gastos com Pessoal'!$AE$7:$AE$506&lt;=AW$3,1,0))*OFFSET('Gastos com Pessoal'!$H$6,1,MATCH(5&amp;$B54,'Gastos com Pessoal'!$I$532:$AJ$532&amp;'Gastos com Pessoal'!$I$6:$AJ$6,0),500,1)),0)+_xlfn.IFNA(SUM((AW$3&gt;='Gastos com Pessoal'!$E$513:$E$522)*(AW$3&lt;='Gastos com Pessoal'!$F$513:$F$522)*(IF('Gastos com Pessoal'!$G$513:$G$522&lt;=AW$3,1,0))*OFFSET('Gastos com Pessoal'!$H$512,1,MATCH(1&amp;$B54,'Gastos com Pessoal'!$I$532:$AJ$532&amp;'Gastos com Pessoal'!$I$512:$AJ$512,0),10,1)),0)+_xlfn.IFNA(SUM((AW$3&gt;='Gastos com Pessoal'!$E$513:$E$522)*(AW$3&lt;='Gastos com Pessoal'!$F$513:$F$522)*(IF('Gastos com Pessoal'!$M$513:$M$522&lt;=AW$3,1,0))*OFFSET('Gastos com Pessoal'!$H$512,1,MATCH(2&amp;$B54,'Gastos com Pessoal'!$I$532:$AJ$532&amp;'Gastos com Pessoal'!$I$512:$AJ$512,0),10,1)),0)+_xlfn.IFNA(SUM((AW$3&gt;='Gastos com Pessoal'!$E$513:$E$522)*(AW$3&lt;='Gastos com Pessoal'!$F$513:$F$522)*(IF('Gastos com Pessoal'!$S$513:$S$522&lt;=AW$3,1,0))*OFFSET('Gastos com Pessoal'!$H$512,1,MATCH(3&amp;$B54,'Gastos com Pessoal'!$I$532:$AJ$532&amp;'Gastos com Pessoal'!$I$512:$AJ$512,0),10,1)),0)+_xlfn.IFNA(SUM((AW$3&gt;='Gastos com Pessoal'!$E$513:$E$522)*(AW$3&lt;='Gastos com Pessoal'!$F$513:$F$522)*(IF('Gastos com Pessoal'!$Y$513:$Y$522&lt;=AW$3,1,0))*OFFSET('Gastos com Pessoal'!$H$512,1,MATCH(4&amp;$B54,'Gastos com Pessoal'!$I$532:$AJ$532&amp;'Gastos com Pessoal'!$I$512:$AJ$512,0),10,1)),0)+_xlfn.IFNA(SUM((AW$3&gt;='Gastos com Pessoal'!$E$513:$E$522)*(AW$3&lt;='Gastos com Pessoal'!$F$513:$F$522)*(IF('Gastos com Pessoal'!$AE$513:$AE$522&lt;=AW$3,1,0))*OFFSET('Gastos com Pessoal'!$H$512,1,MATCH(5&amp;$B54,'Gastos com Pessoal'!$I$532:$AJ$532&amp;'Gastos com Pessoal'!$I$512:$AJ$512,0),10,1)),0)</f>
        <v>6811.1999999999698</v>
      </c>
      <c r="AX54" s="188">
        <f t="array" aca="1" ref="AX54" ca="1">_xlfn.IFNA(SUM((AX$3&gt;='Gastos com Pessoal'!$E$7:$E$506)*(AX$3&lt;='Gastos com Pessoal'!$F$7:$F$506)*OFFSET('Encargos e Benefícios'!$D$5,1,MATCH($B54,'Encargos e Benefícios'!$E$5:$AB$5,0),500,1)),0)+_xlfn.IFNA(SUM((AX$3&gt;='Gastos com Pessoal'!$E$513:$E$522)*(AX$3&lt;='Gastos com Pessoal'!$F$513:$F$522)*OFFSET('Encargos e Benefícios'!$D$511,1,MATCH($B54,'Encargos e Benefícios'!$E$511:$AB$511,0),10,1)),0)+_xlfn.IFNA(SUM((AX$3&gt;='Gastos com Pessoal'!$E$7:$E$506)*(AX$3&lt;='Gastos com Pessoal'!$F$7:$F$506)*(IF('Gastos com Pessoal'!$G$7:$G$506&lt;=AX$3,1,0))*OFFSET('Gastos com Pessoal'!$H$6,1,MATCH(1&amp;$B54,'Gastos com Pessoal'!$I$532:$AJ$532&amp;'Gastos com Pessoal'!$I$6:$AJ$6,0),500,1)),0)+_xlfn.IFNA(SUM((AX$3&gt;='Gastos com Pessoal'!$E$7:$E$506)*(AX$3&lt;='Gastos com Pessoal'!$F$7:$F$506)*(IF('Gastos com Pessoal'!$M$7:$M$506&lt;=AX$3,1,0))*OFFSET('Gastos com Pessoal'!$H$6,1,MATCH(2&amp;$B54,'Gastos com Pessoal'!$I$532:$AJ$532&amp;'Gastos com Pessoal'!$I$6:$AJ$6,0),500,1)),0)+_xlfn.IFNA(SUM((AX$3&gt;='Gastos com Pessoal'!$E$7:$E$506)*(AX$3&lt;='Gastos com Pessoal'!$F$7:$F$506)*(IF('Gastos com Pessoal'!$S$7:$S$506&lt;=AX$3,1,0))*OFFSET('Gastos com Pessoal'!$H$6,1,MATCH(3&amp;$B54,'Gastos com Pessoal'!$I$532:$AJ$532&amp;'Gastos com Pessoal'!$I$6:$AJ$6,0),500,1)),0)+_xlfn.IFNA(SUM((AX$3&gt;='Gastos com Pessoal'!$E$7:$E$506)*(AX$3&lt;='Gastos com Pessoal'!$F$7:$F$506)*(IF('Gastos com Pessoal'!$Y$7:$Y$506&lt;=AX$3,1,0))*OFFSET('Gastos com Pessoal'!$H$6,1,MATCH(4&amp;$B54,'Gastos com Pessoal'!$I$532:$AJ$532&amp;'Gastos com Pessoal'!$I$6:$AJ$6,0),500,1)),0)+_xlfn.IFNA(SUM((AX$3&gt;='Gastos com Pessoal'!$E$7:$E$506)*(AX$3&lt;='Gastos com Pessoal'!$F$7:$F$506)*(IF('Gastos com Pessoal'!$AE$7:$AE$506&lt;=AX$3,1,0))*OFFSET('Gastos com Pessoal'!$H$6,1,MATCH(5&amp;$B54,'Gastos com Pessoal'!$I$532:$AJ$532&amp;'Gastos com Pessoal'!$I$6:$AJ$6,0),500,1)),0)+_xlfn.IFNA(SUM((AX$3&gt;='Gastos com Pessoal'!$E$513:$E$522)*(AX$3&lt;='Gastos com Pessoal'!$F$513:$F$522)*(IF('Gastos com Pessoal'!$G$513:$G$522&lt;=AX$3,1,0))*OFFSET('Gastos com Pessoal'!$H$512,1,MATCH(1&amp;$B54,'Gastos com Pessoal'!$I$532:$AJ$532&amp;'Gastos com Pessoal'!$I$512:$AJ$512,0),10,1)),0)+_xlfn.IFNA(SUM((AX$3&gt;='Gastos com Pessoal'!$E$513:$E$522)*(AX$3&lt;='Gastos com Pessoal'!$F$513:$F$522)*(IF('Gastos com Pessoal'!$M$513:$M$522&lt;=AX$3,1,0))*OFFSET('Gastos com Pessoal'!$H$512,1,MATCH(2&amp;$B54,'Gastos com Pessoal'!$I$532:$AJ$532&amp;'Gastos com Pessoal'!$I$512:$AJ$512,0),10,1)),0)+_xlfn.IFNA(SUM((AX$3&gt;='Gastos com Pessoal'!$E$513:$E$522)*(AX$3&lt;='Gastos com Pessoal'!$F$513:$F$522)*(IF('Gastos com Pessoal'!$S$513:$S$522&lt;=AX$3,1,0))*OFFSET('Gastos com Pessoal'!$H$512,1,MATCH(3&amp;$B54,'Gastos com Pessoal'!$I$532:$AJ$532&amp;'Gastos com Pessoal'!$I$512:$AJ$512,0),10,1)),0)+_xlfn.IFNA(SUM((AX$3&gt;='Gastos com Pessoal'!$E$513:$E$522)*(AX$3&lt;='Gastos com Pessoal'!$F$513:$F$522)*(IF('Gastos com Pessoal'!$Y$513:$Y$522&lt;=AX$3,1,0))*OFFSET('Gastos com Pessoal'!$H$512,1,MATCH(4&amp;$B54,'Gastos com Pessoal'!$I$532:$AJ$532&amp;'Gastos com Pessoal'!$I$512:$AJ$512,0),10,1)),0)+_xlfn.IFNA(SUM((AX$3&gt;='Gastos com Pessoal'!$E$513:$E$522)*(AX$3&lt;='Gastos com Pessoal'!$F$513:$F$522)*(IF('Gastos com Pessoal'!$AE$513:$AE$522&lt;=AX$3,1,0))*OFFSET('Gastos com Pessoal'!$H$512,1,MATCH(5&amp;$B54,'Gastos com Pessoal'!$I$532:$AJ$532&amp;'Gastos com Pessoal'!$I$512:$AJ$512,0),10,1)),0)</f>
        <v>6811.1999999999698</v>
      </c>
      <c r="AY54" s="188">
        <f t="array" aca="1" ref="AY54" ca="1">_xlfn.IFNA(SUM((AY$3&gt;='Gastos com Pessoal'!$E$7:$E$506)*(AY$3&lt;='Gastos com Pessoal'!$F$7:$F$506)*OFFSET('Encargos e Benefícios'!$D$5,1,MATCH($B54,'Encargos e Benefícios'!$E$5:$AB$5,0),500,1)),0)+_xlfn.IFNA(SUM((AY$3&gt;='Gastos com Pessoal'!$E$513:$E$522)*(AY$3&lt;='Gastos com Pessoal'!$F$513:$F$522)*OFFSET('Encargos e Benefícios'!$D$511,1,MATCH($B54,'Encargos e Benefícios'!$E$511:$AB$511,0),10,1)),0)+_xlfn.IFNA(SUM((AY$3&gt;='Gastos com Pessoal'!$E$7:$E$506)*(AY$3&lt;='Gastos com Pessoal'!$F$7:$F$506)*(IF('Gastos com Pessoal'!$G$7:$G$506&lt;=AY$3,1,0))*OFFSET('Gastos com Pessoal'!$H$6,1,MATCH(1&amp;$B54,'Gastos com Pessoal'!$I$532:$AJ$532&amp;'Gastos com Pessoal'!$I$6:$AJ$6,0),500,1)),0)+_xlfn.IFNA(SUM((AY$3&gt;='Gastos com Pessoal'!$E$7:$E$506)*(AY$3&lt;='Gastos com Pessoal'!$F$7:$F$506)*(IF('Gastos com Pessoal'!$M$7:$M$506&lt;=AY$3,1,0))*OFFSET('Gastos com Pessoal'!$H$6,1,MATCH(2&amp;$B54,'Gastos com Pessoal'!$I$532:$AJ$532&amp;'Gastos com Pessoal'!$I$6:$AJ$6,0),500,1)),0)+_xlfn.IFNA(SUM((AY$3&gt;='Gastos com Pessoal'!$E$7:$E$506)*(AY$3&lt;='Gastos com Pessoal'!$F$7:$F$506)*(IF('Gastos com Pessoal'!$S$7:$S$506&lt;=AY$3,1,0))*OFFSET('Gastos com Pessoal'!$H$6,1,MATCH(3&amp;$B54,'Gastos com Pessoal'!$I$532:$AJ$532&amp;'Gastos com Pessoal'!$I$6:$AJ$6,0),500,1)),0)+_xlfn.IFNA(SUM((AY$3&gt;='Gastos com Pessoal'!$E$7:$E$506)*(AY$3&lt;='Gastos com Pessoal'!$F$7:$F$506)*(IF('Gastos com Pessoal'!$Y$7:$Y$506&lt;=AY$3,1,0))*OFFSET('Gastos com Pessoal'!$H$6,1,MATCH(4&amp;$B54,'Gastos com Pessoal'!$I$532:$AJ$532&amp;'Gastos com Pessoal'!$I$6:$AJ$6,0),500,1)),0)+_xlfn.IFNA(SUM((AY$3&gt;='Gastos com Pessoal'!$E$7:$E$506)*(AY$3&lt;='Gastos com Pessoal'!$F$7:$F$506)*(IF('Gastos com Pessoal'!$AE$7:$AE$506&lt;=AY$3,1,0))*OFFSET('Gastos com Pessoal'!$H$6,1,MATCH(5&amp;$B54,'Gastos com Pessoal'!$I$532:$AJ$532&amp;'Gastos com Pessoal'!$I$6:$AJ$6,0),500,1)),0)+_xlfn.IFNA(SUM((AY$3&gt;='Gastos com Pessoal'!$E$513:$E$522)*(AY$3&lt;='Gastos com Pessoal'!$F$513:$F$522)*(IF('Gastos com Pessoal'!$G$513:$G$522&lt;=AY$3,1,0))*OFFSET('Gastos com Pessoal'!$H$512,1,MATCH(1&amp;$B54,'Gastos com Pessoal'!$I$532:$AJ$532&amp;'Gastos com Pessoal'!$I$512:$AJ$512,0),10,1)),0)+_xlfn.IFNA(SUM((AY$3&gt;='Gastos com Pessoal'!$E$513:$E$522)*(AY$3&lt;='Gastos com Pessoal'!$F$513:$F$522)*(IF('Gastos com Pessoal'!$M$513:$M$522&lt;=AY$3,1,0))*OFFSET('Gastos com Pessoal'!$H$512,1,MATCH(2&amp;$B54,'Gastos com Pessoal'!$I$532:$AJ$532&amp;'Gastos com Pessoal'!$I$512:$AJ$512,0),10,1)),0)+_xlfn.IFNA(SUM((AY$3&gt;='Gastos com Pessoal'!$E$513:$E$522)*(AY$3&lt;='Gastos com Pessoal'!$F$513:$F$522)*(IF('Gastos com Pessoal'!$S$513:$S$522&lt;=AY$3,1,0))*OFFSET('Gastos com Pessoal'!$H$512,1,MATCH(3&amp;$B54,'Gastos com Pessoal'!$I$532:$AJ$532&amp;'Gastos com Pessoal'!$I$512:$AJ$512,0),10,1)),0)+_xlfn.IFNA(SUM((AY$3&gt;='Gastos com Pessoal'!$E$513:$E$522)*(AY$3&lt;='Gastos com Pessoal'!$F$513:$F$522)*(IF('Gastos com Pessoal'!$Y$513:$Y$522&lt;=AY$3,1,0))*OFFSET('Gastos com Pessoal'!$H$512,1,MATCH(4&amp;$B54,'Gastos com Pessoal'!$I$532:$AJ$532&amp;'Gastos com Pessoal'!$I$512:$AJ$512,0),10,1)),0)+_xlfn.IFNA(SUM((AY$3&gt;='Gastos com Pessoal'!$E$513:$E$522)*(AY$3&lt;='Gastos com Pessoal'!$F$513:$F$522)*(IF('Gastos com Pessoal'!$AE$513:$AE$522&lt;=AY$3,1,0))*OFFSET('Gastos com Pessoal'!$H$512,1,MATCH(5&amp;$B54,'Gastos com Pessoal'!$I$532:$AJ$532&amp;'Gastos com Pessoal'!$I$512:$AJ$512,0),10,1)),0)</f>
        <v>6811.1999999999698</v>
      </c>
      <c r="AZ54" s="188">
        <f t="array" aca="1" ref="AZ54" ca="1">_xlfn.IFNA(SUM((AZ$3&gt;='Gastos com Pessoal'!$E$7:$E$506)*(AZ$3&lt;='Gastos com Pessoal'!$F$7:$F$506)*OFFSET('Encargos e Benefícios'!$D$5,1,MATCH($B54,'Encargos e Benefícios'!$E$5:$AB$5,0),500,1)),0)+_xlfn.IFNA(SUM((AZ$3&gt;='Gastos com Pessoal'!$E$513:$E$522)*(AZ$3&lt;='Gastos com Pessoal'!$F$513:$F$522)*OFFSET('Encargos e Benefícios'!$D$511,1,MATCH($B54,'Encargos e Benefícios'!$E$511:$AB$511,0),10,1)),0)+_xlfn.IFNA(SUM((AZ$3&gt;='Gastos com Pessoal'!$E$7:$E$506)*(AZ$3&lt;='Gastos com Pessoal'!$F$7:$F$506)*(IF('Gastos com Pessoal'!$G$7:$G$506&lt;=AZ$3,1,0))*OFFSET('Gastos com Pessoal'!$H$6,1,MATCH(1&amp;$B54,'Gastos com Pessoal'!$I$532:$AJ$532&amp;'Gastos com Pessoal'!$I$6:$AJ$6,0),500,1)),0)+_xlfn.IFNA(SUM((AZ$3&gt;='Gastos com Pessoal'!$E$7:$E$506)*(AZ$3&lt;='Gastos com Pessoal'!$F$7:$F$506)*(IF('Gastos com Pessoal'!$M$7:$M$506&lt;=AZ$3,1,0))*OFFSET('Gastos com Pessoal'!$H$6,1,MATCH(2&amp;$B54,'Gastos com Pessoal'!$I$532:$AJ$532&amp;'Gastos com Pessoal'!$I$6:$AJ$6,0),500,1)),0)+_xlfn.IFNA(SUM((AZ$3&gt;='Gastos com Pessoal'!$E$7:$E$506)*(AZ$3&lt;='Gastos com Pessoal'!$F$7:$F$506)*(IF('Gastos com Pessoal'!$S$7:$S$506&lt;=AZ$3,1,0))*OFFSET('Gastos com Pessoal'!$H$6,1,MATCH(3&amp;$B54,'Gastos com Pessoal'!$I$532:$AJ$532&amp;'Gastos com Pessoal'!$I$6:$AJ$6,0),500,1)),0)+_xlfn.IFNA(SUM((AZ$3&gt;='Gastos com Pessoal'!$E$7:$E$506)*(AZ$3&lt;='Gastos com Pessoal'!$F$7:$F$506)*(IF('Gastos com Pessoal'!$Y$7:$Y$506&lt;=AZ$3,1,0))*OFFSET('Gastos com Pessoal'!$H$6,1,MATCH(4&amp;$B54,'Gastos com Pessoal'!$I$532:$AJ$532&amp;'Gastos com Pessoal'!$I$6:$AJ$6,0),500,1)),0)+_xlfn.IFNA(SUM((AZ$3&gt;='Gastos com Pessoal'!$E$7:$E$506)*(AZ$3&lt;='Gastos com Pessoal'!$F$7:$F$506)*(IF('Gastos com Pessoal'!$AE$7:$AE$506&lt;=AZ$3,1,0))*OFFSET('Gastos com Pessoal'!$H$6,1,MATCH(5&amp;$B54,'Gastos com Pessoal'!$I$532:$AJ$532&amp;'Gastos com Pessoal'!$I$6:$AJ$6,0),500,1)),0)+_xlfn.IFNA(SUM((AZ$3&gt;='Gastos com Pessoal'!$E$513:$E$522)*(AZ$3&lt;='Gastos com Pessoal'!$F$513:$F$522)*(IF('Gastos com Pessoal'!$G$513:$G$522&lt;=AZ$3,1,0))*OFFSET('Gastos com Pessoal'!$H$512,1,MATCH(1&amp;$B54,'Gastos com Pessoal'!$I$532:$AJ$532&amp;'Gastos com Pessoal'!$I$512:$AJ$512,0),10,1)),0)+_xlfn.IFNA(SUM((AZ$3&gt;='Gastos com Pessoal'!$E$513:$E$522)*(AZ$3&lt;='Gastos com Pessoal'!$F$513:$F$522)*(IF('Gastos com Pessoal'!$M$513:$M$522&lt;=AZ$3,1,0))*OFFSET('Gastos com Pessoal'!$H$512,1,MATCH(2&amp;$B54,'Gastos com Pessoal'!$I$532:$AJ$532&amp;'Gastos com Pessoal'!$I$512:$AJ$512,0),10,1)),0)+_xlfn.IFNA(SUM((AZ$3&gt;='Gastos com Pessoal'!$E$513:$E$522)*(AZ$3&lt;='Gastos com Pessoal'!$F$513:$F$522)*(IF('Gastos com Pessoal'!$S$513:$S$522&lt;=AZ$3,1,0))*OFFSET('Gastos com Pessoal'!$H$512,1,MATCH(3&amp;$B54,'Gastos com Pessoal'!$I$532:$AJ$532&amp;'Gastos com Pessoal'!$I$512:$AJ$512,0),10,1)),0)+_xlfn.IFNA(SUM((AZ$3&gt;='Gastos com Pessoal'!$E$513:$E$522)*(AZ$3&lt;='Gastos com Pessoal'!$F$513:$F$522)*(IF('Gastos com Pessoal'!$Y$513:$Y$522&lt;=AZ$3,1,0))*OFFSET('Gastos com Pessoal'!$H$512,1,MATCH(4&amp;$B54,'Gastos com Pessoal'!$I$532:$AJ$532&amp;'Gastos com Pessoal'!$I$512:$AJ$512,0),10,1)),0)+_xlfn.IFNA(SUM((AZ$3&gt;='Gastos com Pessoal'!$E$513:$E$522)*(AZ$3&lt;='Gastos com Pessoal'!$F$513:$F$522)*(IF('Gastos com Pessoal'!$AE$513:$AE$522&lt;=AZ$3,1,0))*OFFSET('Gastos com Pessoal'!$H$512,1,MATCH(5&amp;$B54,'Gastos com Pessoal'!$I$532:$AJ$532&amp;'Gastos com Pessoal'!$I$512:$AJ$512,0),10,1)),0)</f>
        <v>6811.1999999999698</v>
      </c>
      <c r="BA54" s="188">
        <f t="array" aca="1" ref="BA54" ca="1">_xlfn.IFNA(SUM((BA$3&gt;='Gastos com Pessoal'!$E$7:$E$506)*(BA$3&lt;='Gastos com Pessoal'!$F$7:$F$506)*OFFSET('Encargos e Benefícios'!$D$5,1,MATCH($B54,'Encargos e Benefícios'!$E$5:$AB$5,0),500,1)),0)+_xlfn.IFNA(SUM((BA$3&gt;='Gastos com Pessoal'!$E$513:$E$522)*(BA$3&lt;='Gastos com Pessoal'!$F$513:$F$522)*OFFSET('Encargos e Benefícios'!$D$511,1,MATCH($B54,'Encargos e Benefícios'!$E$511:$AB$511,0),10,1)),0)+_xlfn.IFNA(SUM((BA$3&gt;='Gastos com Pessoal'!$E$7:$E$506)*(BA$3&lt;='Gastos com Pessoal'!$F$7:$F$506)*(IF('Gastos com Pessoal'!$G$7:$G$506&lt;=BA$3,1,0))*OFFSET('Gastos com Pessoal'!$H$6,1,MATCH(1&amp;$B54,'Gastos com Pessoal'!$I$532:$AJ$532&amp;'Gastos com Pessoal'!$I$6:$AJ$6,0),500,1)),0)+_xlfn.IFNA(SUM((BA$3&gt;='Gastos com Pessoal'!$E$7:$E$506)*(BA$3&lt;='Gastos com Pessoal'!$F$7:$F$506)*(IF('Gastos com Pessoal'!$M$7:$M$506&lt;=BA$3,1,0))*OFFSET('Gastos com Pessoal'!$H$6,1,MATCH(2&amp;$B54,'Gastos com Pessoal'!$I$532:$AJ$532&amp;'Gastos com Pessoal'!$I$6:$AJ$6,0),500,1)),0)+_xlfn.IFNA(SUM((BA$3&gt;='Gastos com Pessoal'!$E$7:$E$506)*(BA$3&lt;='Gastos com Pessoal'!$F$7:$F$506)*(IF('Gastos com Pessoal'!$S$7:$S$506&lt;=BA$3,1,0))*OFFSET('Gastos com Pessoal'!$H$6,1,MATCH(3&amp;$B54,'Gastos com Pessoal'!$I$532:$AJ$532&amp;'Gastos com Pessoal'!$I$6:$AJ$6,0),500,1)),0)+_xlfn.IFNA(SUM((BA$3&gt;='Gastos com Pessoal'!$E$7:$E$506)*(BA$3&lt;='Gastos com Pessoal'!$F$7:$F$506)*(IF('Gastos com Pessoal'!$Y$7:$Y$506&lt;=BA$3,1,0))*OFFSET('Gastos com Pessoal'!$H$6,1,MATCH(4&amp;$B54,'Gastos com Pessoal'!$I$532:$AJ$532&amp;'Gastos com Pessoal'!$I$6:$AJ$6,0),500,1)),0)+_xlfn.IFNA(SUM((BA$3&gt;='Gastos com Pessoal'!$E$7:$E$506)*(BA$3&lt;='Gastos com Pessoal'!$F$7:$F$506)*(IF('Gastos com Pessoal'!$AE$7:$AE$506&lt;=BA$3,1,0))*OFFSET('Gastos com Pessoal'!$H$6,1,MATCH(5&amp;$B54,'Gastos com Pessoal'!$I$532:$AJ$532&amp;'Gastos com Pessoal'!$I$6:$AJ$6,0),500,1)),0)+_xlfn.IFNA(SUM((BA$3&gt;='Gastos com Pessoal'!$E$513:$E$522)*(BA$3&lt;='Gastos com Pessoal'!$F$513:$F$522)*(IF('Gastos com Pessoal'!$G$513:$G$522&lt;=BA$3,1,0))*OFFSET('Gastos com Pessoal'!$H$512,1,MATCH(1&amp;$B54,'Gastos com Pessoal'!$I$532:$AJ$532&amp;'Gastos com Pessoal'!$I$512:$AJ$512,0),10,1)),0)+_xlfn.IFNA(SUM((BA$3&gt;='Gastos com Pessoal'!$E$513:$E$522)*(BA$3&lt;='Gastos com Pessoal'!$F$513:$F$522)*(IF('Gastos com Pessoal'!$M$513:$M$522&lt;=BA$3,1,0))*OFFSET('Gastos com Pessoal'!$H$512,1,MATCH(2&amp;$B54,'Gastos com Pessoal'!$I$532:$AJ$532&amp;'Gastos com Pessoal'!$I$512:$AJ$512,0),10,1)),0)+_xlfn.IFNA(SUM((BA$3&gt;='Gastos com Pessoal'!$E$513:$E$522)*(BA$3&lt;='Gastos com Pessoal'!$F$513:$F$522)*(IF('Gastos com Pessoal'!$S$513:$S$522&lt;=BA$3,1,0))*OFFSET('Gastos com Pessoal'!$H$512,1,MATCH(3&amp;$B54,'Gastos com Pessoal'!$I$532:$AJ$532&amp;'Gastos com Pessoal'!$I$512:$AJ$512,0),10,1)),0)+_xlfn.IFNA(SUM((BA$3&gt;='Gastos com Pessoal'!$E$513:$E$522)*(BA$3&lt;='Gastos com Pessoal'!$F$513:$F$522)*(IF('Gastos com Pessoal'!$Y$513:$Y$522&lt;=BA$3,1,0))*OFFSET('Gastos com Pessoal'!$H$512,1,MATCH(4&amp;$B54,'Gastos com Pessoal'!$I$532:$AJ$532&amp;'Gastos com Pessoal'!$I$512:$AJ$512,0),10,1)),0)+_xlfn.IFNA(SUM((BA$3&gt;='Gastos com Pessoal'!$E$513:$E$522)*(BA$3&lt;='Gastos com Pessoal'!$F$513:$F$522)*(IF('Gastos com Pessoal'!$AE$513:$AE$522&lt;=BA$3,1,0))*OFFSET('Gastos com Pessoal'!$H$512,1,MATCH(5&amp;$B54,'Gastos com Pessoal'!$I$532:$AJ$532&amp;'Gastos com Pessoal'!$I$512:$AJ$512,0),10,1)),0)</f>
        <v>6811.1999999999698</v>
      </c>
      <c r="BB54" s="188">
        <f t="array" aca="1" ref="BB54" ca="1">_xlfn.IFNA(SUM((BB$3&gt;='Gastos com Pessoal'!$E$7:$E$506)*(BB$3&lt;='Gastos com Pessoal'!$F$7:$F$506)*OFFSET('Encargos e Benefícios'!$D$5,1,MATCH($B54,'Encargos e Benefícios'!$E$5:$AB$5,0),500,1)),0)+_xlfn.IFNA(SUM((BB$3&gt;='Gastos com Pessoal'!$E$513:$E$522)*(BB$3&lt;='Gastos com Pessoal'!$F$513:$F$522)*OFFSET('Encargos e Benefícios'!$D$511,1,MATCH($B54,'Encargos e Benefícios'!$E$511:$AB$511,0),10,1)),0)+_xlfn.IFNA(SUM((BB$3&gt;='Gastos com Pessoal'!$E$7:$E$506)*(BB$3&lt;='Gastos com Pessoal'!$F$7:$F$506)*(IF('Gastos com Pessoal'!$G$7:$G$506&lt;=BB$3,1,0))*OFFSET('Gastos com Pessoal'!$H$6,1,MATCH(1&amp;$B54,'Gastos com Pessoal'!$I$532:$AJ$532&amp;'Gastos com Pessoal'!$I$6:$AJ$6,0),500,1)),0)+_xlfn.IFNA(SUM((BB$3&gt;='Gastos com Pessoal'!$E$7:$E$506)*(BB$3&lt;='Gastos com Pessoal'!$F$7:$F$506)*(IF('Gastos com Pessoal'!$M$7:$M$506&lt;=BB$3,1,0))*OFFSET('Gastos com Pessoal'!$H$6,1,MATCH(2&amp;$B54,'Gastos com Pessoal'!$I$532:$AJ$532&amp;'Gastos com Pessoal'!$I$6:$AJ$6,0),500,1)),0)+_xlfn.IFNA(SUM((BB$3&gt;='Gastos com Pessoal'!$E$7:$E$506)*(BB$3&lt;='Gastos com Pessoal'!$F$7:$F$506)*(IF('Gastos com Pessoal'!$S$7:$S$506&lt;=BB$3,1,0))*OFFSET('Gastos com Pessoal'!$H$6,1,MATCH(3&amp;$B54,'Gastos com Pessoal'!$I$532:$AJ$532&amp;'Gastos com Pessoal'!$I$6:$AJ$6,0),500,1)),0)+_xlfn.IFNA(SUM((BB$3&gt;='Gastos com Pessoal'!$E$7:$E$506)*(BB$3&lt;='Gastos com Pessoal'!$F$7:$F$506)*(IF('Gastos com Pessoal'!$Y$7:$Y$506&lt;=BB$3,1,0))*OFFSET('Gastos com Pessoal'!$H$6,1,MATCH(4&amp;$B54,'Gastos com Pessoal'!$I$532:$AJ$532&amp;'Gastos com Pessoal'!$I$6:$AJ$6,0),500,1)),0)+_xlfn.IFNA(SUM((BB$3&gt;='Gastos com Pessoal'!$E$7:$E$506)*(BB$3&lt;='Gastos com Pessoal'!$F$7:$F$506)*(IF('Gastos com Pessoal'!$AE$7:$AE$506&lt;=BB$3,1,0))*OFFSET('Gastos com Pessoal'!$H$6,1,MATCH(5&amp;$B54,'Gastos com Pessoal'!$I$532:$AJ$532&amp;'Gastos com Pessoal'!$I$6:$AJ$6,0),500,1)),0)+_xlfn.IFNA(SUM((BB$3&gt;='Gastos com Pessoal'!$E$513:$E$522)*(BB$3&lt;='Gastos com Pessoal'!$F$513:$F$522)*(IF('Gastos com Pessoal'!$G$513:$G$522&lt;=BB$3,1,0))*OFFSET('Gastos com Pessoal'!$H$512,1,MATCH(1&amp;$B54,'Gastos com Pessoal'!$I$532:$AJ$532&amp;'Gastos com Pessoal'!$I$512:$AJ$512,0),10,1)),0)+_xlfn.IFNA(SUM((BB$3&gt;='Gastos com Pessoal'!$E$513:$E$522)*(BB$3&lt;='Gastos com Pessoal'!$F$513:$F$522)*(IF('Gastos com Pessoal'!$M$513:$M$522&lt;=BB$3,1,0))*OFFSET('Gastos com Pessoal'!$H$512,1,MATCH(2&amp;$B54,'Gastos com Pessoal'!$I$532:$AJ$532&amp;'Gastos com Pessoal'!$I$512:$AJ$512,0),10,1)),0)+_xlfn.IFNA(SUM((BB$3&gt;='Gastos com Pessoal'!$E$513:$E$522)*(BB$3&lt;='Gastos com Pessoal'!$F$513:$F$522)*(IF('Gastos com Pessoal'!$S$513:$S$522&lt;=BB$3,1,0))*OFFSET('Gastos com Pessoal'!$H$512,1,MATCH(3&amp;$B54,'Gastos com Pessoal'!$I$532:$AJ$532&amp;'Gastos com Pessoal'!$I$512:$AJ$512,0),10,1)),0)+_xlfn.IFNA(SUM((BB$3&gt;='Gastos com Pessoal'!$E$513:$E$522)*(BB$3&lt;='Gastos com Pessoal'!$F$513:$F$522)*(IF('Gastos com Pessoal'!$Y$513:$Y$522&lt;=BB$3,1,0))*OFFSET('Gastos com Pessoal'!$H$512,1,MATCH(4&amp;$B54,'Gastos com Pessoal'!$I$532:$AJ$532&amp;'Gastos com Pessoal'!$I$512:$AJ$512,0),10,1)),0)+_xlfn.IFNA(SUM((BB$3&gt;='Gastos com Pessoal'!$E$513:$E$522)*(BB$3&lt;='Gastos com Pessoal'!$F$513:$F$522)*(IF('Gastos com Pessoal'!$AE$513:$AE$522&lt;=BB$3,1,0))*OFFSET('Gastos com Pessoal'!$H$512,1,MATCH(5&amp;$B54,'Gastos com Pessoal'!$I$532:$AJ$532&amp;'Gastos com Pessoal'!$I$512:$AJ$512,0),10,1)),0)</f>
        <v>6811.1999999999698</v>
      </c>
      <c r="BC54" s="188">
        <f t="array" aca="1" ref="BC54" ca="1">_xlfn.IFNA(SUM((BC$3&gt;='Gastos com Pessoal'!$E$7:$E$506)*(BC$3&lt;='Gastos com Pessoal'!$F$7:$F$506)*OFFSET('Encargos e Benefícios'!$D$5,1,MATCH($B54,'Encargos e Benefícios'!$E$5:$AB$5,0),500,1)),0)+_xlfn.IFNA(SUM((BC$3&gt;='Gastos com Pessoal'!$E$513:$E$522)*(BC$3&lt;='Gastos com Pessoal'!$F$513:$F$522)*OFFSET('Encargos e Benefícios'!$D$511,1,MATCH($B54,'Encargos e Benefícios'!$E$511:$AB$511,0),10,1)),0)+_xlfn.IFNA(SUM((BC$3&gt;='Gastos com Pessoal'!$E$7:$E$506)*(BC$3&lt;='Gastos com Pessoal'!$F$7:$F$506)*(IF('Gastos com Pessoal'!$G$7:$G$506&lt;=BC$3,1,0))*OFFSET('Gastos com Pessoal'!$H$6,1,MATCH(1&amp;$B54,'Gastos com Pessoal'!$I$532:$AJ$532&amp;'Gastos com Pessoal'!$I$6:$AJ$6,0),500,1)),0)+_xlfn.IFNA(SUM((BC$3&gt;='Gastos com Pessoal'!$E$7:$E$506)*(BC$3&lt;='Gastos com Pessoal'!$F$7:$F$506)*(IF('Gastos com Pessoal'!$M$7:$M$506&lt;=BC$3,1,0))*OFFSET('Gastos com Pessoal'!$H$6,1,MATCH(2&amp;$B54,'Gastos com Pessoal'!$I$532:$AJ$532&amp;'Gastos com Pessoal'!$I$6:$AJ$6,0),500,1)),0)+_xlfn.IFNA(SUM((BC$3&gt;='Gastos com Pessoal'!$E$7:$E$506)*(BC$3&lt;='Gastos com Pessoal'!$F$7:$F$506)*(IF('Gastos com Pessoal'!$S$7:$S$506&lt;=BC$3,1,0))*OFFSET('Gastos com Pessoal'!$H$6,1,MATCH(3&amp;$B54,'Gastos com Pessoal'!$I$532:$AJ$532&amp;'Gastos com Pessoal'!$I$6:$AJ$6,0),500,1)),0)+_xlfn.IFNA(SUM((BC$3&gt;='Gastos com Pessoal'!$E$7:$E$506)*(BC$3&lt;='Gastos com Pessoal'!$F$7:$F$506)*(IF('Gastos com Pessoal'!$Y$7:$Y$506&lt;=BC$3,1,0))*OFFSET('Gastos com Pessoal'!$H$6,1,MATCH(4&amp;$B54,'Gastos com Pessoal'!$I$532:$AJ$532&amp;'Gastos com Pessoal'!$I$6:$AJ$6,0),500,1)),0)+_xlfn.IFNA(SUM((BC$3&gt;='Gastos com Pessoal'!$E$7:$E$506)*(BC$3&lt;='Gastos com Pessoal'!$F$7:$F$506)*(IF('Gastos com Pessoal'!$AE$7:$AE$506&lt;=BC$3,1,0))*OFFSET('Gastos com Pessoal'!$H$6,1,MATCH(5&amp;$B54,'Gastos com Pessoal'!$I$532:$AJ$532&amp;'Gastos com Pessoal'!$I$6:$AJ$6,0),500,1)),0)+_xlfn.IFNA(SUM((BC$3&gt;='Gastos com Pessoal'!$E$513:$E$522)*(BC$3&lt;='Gastos com Pessoal'!$F$513:$F$522)*(IF('Gastos com Pessoal'!$G$513:$G$522&lt;=BC$3,1,0))*OFFSET('Gastos com Pessoal'!$H$512,1,MATCH(1&amp;$B54,'Gastos com Pessoal'!$I$532:$AJ$532&amp;'Gastos com Pessoal'!$I$512:$AJ$512,0),10,1)),0)+_xlfn.IFNA(SUM((BC$3&gt;='Gastos com Pessoal'!$E$513:$E$522)*(BC$3&lt;='Gastos com Pessoal'!$F$513:$F$522)*(IF('Gastos com Pessoal'!$M$513:$M$522&lt;=BC$3,1,0))*OFFSET('Gastos com Pessoal'!$H$512,1,MATCH(2&amp;$B54,'Gastos com Pessoal'!$I$532:$AJ$532&amp;'Gastos com Pessoal'!$I$512:$AJ$512,0),10,1)),0)+_xlfn.IFNA(SUM((BC$3&gt;='Gastos com Pessoal'!$E$513:$E$522)*(BC$3&lt;='Gastos com Pessoal'!$F$513:$F$522)*(IF('Gastos com Pessoal'!$S$513:$S$522&lt;=BC$3,1,0))*OFFSET('Gastos com Pessoal'!$H$512,1,MATCH(3&amp;$B54,'Gastos com Pessoal'!$I$532:$AJ$532&amp;'Gastos com Pessoal'!$I$512:$AJ$512,0),10,1)),0)+_xlfn.IFNA(SUM((BC$3&gt;='Gastos com Pessoal'!$E$513:$E$522)*(BC$3&lt;='Gastos com Pessoal'!$F$513:$F$522)*(IF('Gastos com Pessoal'!$Y$513:$Y$522&lt;=BC$3,1,0))*OFFSET('Gastos com Pessoal'!$H$512,1,MATCH(4&amp;$B54,'Gastos com Pessoal'!$I$532:$AJ$532&amp;'Gastos com Pessoal'!$I$512:$AJ$512,0),10,1)),0)+_xlfn.IFNA(SUM((BC$3&gt;='Gastos com Pessoal'!$E$513:$E$522)*(BC$3&lt;='Gastos com Pessoal'!$F$513:$F$522)*(IF('Gastos com Pessoal'!$AE$513:$AE$522&lt;=BC$3,1,0))*OFFSET('Gastos com Pessoal'!$H$512,1,MATCH(5&amp;$B54,'Gastos com Pessoal'!$I$532:$AJ$532&amp;'Gastos com Pessoal'!$I$512:$AJ$512,0),10,1)),0)</f>
        <v>6811.1999999999698</v>
      </c>
      <c r="BD54" s="188">
        <f t="array" aca="1" ref="BD54" ca="1">_xlfn.IFNA(SUM((BD$3&gt;='Gastos com Pessoal'!$E$7:$E$506)*(BD$3&lt;='Gastos com Pessoal'!$F$7:$F$506)*OFFSET('Encargos e Benefícios'!$D$5,1,MATCH($B54,'Encargos e Benefícios'!$E$5:$AB$5,0),500,1)),0)+_xlfn.IFNA(SUM((BD$3&gt;='Gastos com Pessoal'!$E$513:$E$522)*(BD$3&lt;='Gastos com Pessoal'!$F$513:$F$522)*OFFSET('Encargos e Benefícios'!$D$511,1,MATCH($B54,'Encargos e Benefícios'!$E$511:$AB$511,0),10,1)),0)+_xlfn.IFNA(SUM((BD$3&gt;='Gastos com Pessoal'!$E$7:$E$506)*(BD$3&lt;='Gastos com Pessoal'!$F$7:$F$506)*(IF('Gastos com Pessoal'!$G$7:$G$506&lt;=BD$3,1,0))*OFFSET('Gastos com Pessoal'!$H$6,1,MATCH(1&amp;$B54,'Gastos com Pessoal'!$I$532:$AJ$532&amp;'Gastos com Pessoal'!$I$6:$AJ$6,0),500,1)),0)+_xlfn.IFNA(SUM((BD$3&gt;='Gastos com Pessoal'!$E$7:$E$506)*(BD$3&lt;='Gastos com Pessoal'!$F$7:$F$506)*(IF('Gastos com Pessoal'!$M$7:$M$506&lt;=BD$3,1,0))*OFFSET('Gastos com Pessoal'!$H$6,1,MATCH(2&amp;$B54,'Gastos com Pessoal'!$I$532:$AJ$532&amp;'Gastos com Pessoal'!$I$6:$AJ$6,0),500,1)),0)+_xlfn.IFNA(SUM((BD$3&gt;='Gastos com Pessoal'!$E$7:$E$506)*(BD$3&lt;='Gastos com Pessoal'!$F$7:$F$506)*(IF('Gastos com Pessoal'!$S$7:$S$506&lt;=BD$3,1,0))*OFFSET('Gastos com Pessoal'!$H$6,1,MATCH(3&amp;$B54,'Gastos com Pessoal'!$I$532:$AJ$532&amp;'Gastos com Pessoal'!$I$6:$AJ$6,0),500,1)),0)+_xlfn.IFNA(SUM((BD$3&gt;='Gastos com Pessoal'!$E$7:$E$506)*(BD$3&lt;='Gastos com Pessoal'!$F$7:$F$506)*(IF('Gastos com Pessoal'!$Y$7:$Y$506&lt;=BD$3,1,0))*OFFSET('Gastos com Pessoal'!$H$6,1,MATCH(4&amp;$B54,'Gastos com Pessoal'!$I$532:$AJ$532&amp;'Gastos com Pessoal'!$I$6:$AJ$6,0),500,1)),0)+_xlfn.IFNA(SUM((BD$3&gt;='Gastos com Pessoal'!$E$7:$E$506)*(BD$3&lt;='Gastos com Pessoal'!$F$7:$F$506)*(IF('Gastos com Pessoal'!$AE$7:$AE$506&lt;=BD$3,1,0))*OFFSET('Gastos com Pessoal'!$H$6,1,MATCH(5&amp;$B54,'Gastos com Pessoal'!$I$532:$AJ$532&amp;'Gastos com Pessoal'!$I$6:$AJ$6,0),500,1)),0)+_xlfn.IFNA(SUM((BD$3&gt;='Gastos com Pessoal'!$E$513:$E$522)*(BD$3&lt;='Gastos com Pessoal'!$F$513:$F$522)*(IF('Gastos com Pessoal'!$G$513:$G$522&lt;=BD$3,1,0))*OFFSET('Gastos com Pessoal'!$H$512,1,MATCH(1&amp;$B54,'Gastos com Pessoal'!$I$532:$AJ$532&amp;'Gastos com Pessoal'!$I$512:$AJ$512,0),10,1)),0)+_xlfn.IFNA(SUM((BD$3&gt;='Gastos com Pessoal'!$E$513:$E$522)*(BD$3&lt;='Gastos com Pessoal'!$F$513:$F$522)*(IF('Gastos com Pessoal'!$M$513:$M$522&lt;=BD$3,1,0))*OFFSET('Gastos com Pessoal'!$H$512,1,MATCH(2&amp;$B54,'Gastos com Pessoal'!$I$532:$AJ$532&amp;'Gastos com Pessoal'!$I$512:$AJ$512,0),10,1)),0)+_xlfn.IFNA(SUM((BD$3&gt;='Gastos com Pessoal'!$E$513:$E$522)*(BD$3&lt;='Gastos com Pessoal'!$F$513:$F$522)*(IF('Gastos com Pessoal'!$S$513:$S$522&lt;=BD$3,1,0))*OFFSET('Gastos com Pessoal'!$H$512,1,MATCH(3&amp;$B54,'Gastos com Pessoal'!$I$532:$AJ$532&amp;'Gastos com Pessoal'!$I$512:$AJ$512,0),10,1)),0)+_xlfn.IFNA(SUM((BD$3&gt;='Gastos com Pessoal'!$E$513:$E$522)*(BD$3&lt;='Gastos com Pessoal'!$F$513:$F$522)*(IF('Gastos com Pessoal'!$Y$513:$Y$522&lt;=BD$3,1,0))*OFFSET('Gastos com Pessoal'!$H$512,1,MATCH(4&amp;$B54,'Gastos com Pessoal'!$I$532:$AJ$532&amp;'Gastos com Pessoal'!$I$512:$AJ$512,0),10,1)),0)+_xlfn.IFNA(SUM((BD$3&gt;='Gastos com Pessoal'!$E$513:$E$522)*(BD$3&lt;='Gastos com Pessoal'!$F$513:$F$522)*(IF('Gastos com Pessoal'!$AE$513:$AE$522&lt;=BD$3,1,0))*OFFSET('Gastos com Pessoal'!$H$512,1,MATCH(5&amp;$B54,'Gastos com Pessoal'!$I$532:$AJ$532&amp;'Gastos com Pessoal'!$I$512:$AJ$512,0),10,1)),0)</f>
        <v>6811.1999999999698</v>
      </c>
      <c r="BE54" s="188">
        <f t="array" aca="1" ref="BE54" ca="1">_xlfn.IFNA(SUM((BE$3&gt;='Gastos com Pessoal'!$E$7:$E$506)*(BE$3&lt;='Gastos com Pessoal'!$F$7:$F$506)*OFFSET('Encargos e Benefícios'!$D$5,1,MATCH($B54,'Encargos e Benefícios'!$E$5:$AB$5,0),500,1)),0)+_xlfn.IFNA(SUM((BE$3&gt;='Gastos com Pessoal'!$E$513:$E$522)*(BE$3&lt;='Gastos com Pessoal'!$F$513:$F$522)*OFFSET('Encargos e Benefícios'!$D$511,1,MATCH($B54,'Encargos e Benefícios'!$E$511:$AB$511,0),10,1)),0)+_xlfn.IFNA(SUM((BE$3&gt;='Gastos com Pessoal'!$E$7:$E$506)*(BE$3&lt;='Gastos com Pessoal'!$F$7:$F$506)*(IF('Gastos com Pessoal'!$G$7:$G$506&lt;=BE$3,1,0))*OFFSET('Gastos com Pessoal'!$H$6,1,MATCH(1&amp;$B54,'Gastos com Pessoal'!$I$532:$AJ$532&amp;'Gastos com Pessoal'!$I$6:$AJ$6,0),500,1)),0)+_xlfn.IFNA(SUM((BE$3&gt;='Gastos com Pessoal'!$E$7:$E$506)*(BE$3&lt;='Gastos com Pessoal'!$F$7:$F$506)*(IF('Gastos com Pessoal'!$M$7:$M$506&lt;=BE$3,1,0))*OFFSET('Gastos com Pessoal'!$H$6,1,MATCH(2&amp;$B54,'Gastos com Pessoal'!$I$532:$AJ$532&amp;'Gastos com Pessoal'!$I$6:$AJ$6,0),500,1)),0)+_xlfn.IFNA(SUM((BE$3&gt;='Gastos com Pessoal'!$E$7:$E$506)*(BE$3&lt;='Gastos com Pessoal'!$F$7:$F$506)*(IF('Gastos com Pessoal'!$S$7:$S$506&lt;=BE$3,1,0))*OFFSET('Gastos com Pessoal'!$H$6,1,MATCH(3&amp;$B54,'Gastos com Pessoal'!$I$532:$AJ$532&amp;'Gastos com Pessoal'!$I$6:$AJ$6,0),500,1)),0)+_xlfn.IFNA(SUM((BE$3&gt;='Gastos com Pessoal'!$E$7:$E$506)*(BE$3&lt;='Gastos com Pessoal'!$F$7:$F$506)*(IF('Gastos com Pessoal'!$Y$7:$Y$506&lt;=BE$3,1,0))*OFFSET('Gastos com Pessoal'!$H$6,1,MATCH(4&amp;$B54,'Gastos com Pessoal'!$I$532:$AJ$532&amp;'Gastos com Pessoal'!$I$6:$AJ$6,0),500,1)),0)+_xlfn.IFNA(SUM((BE$3&gt;='Gastos com Pessoal'!$E$7:$E$506)*(BE$3&lt;='Gastos com Pessoal'!$F$7:$F$506)*(IF('Gastos com Pessoal'!$AE$7:$AE$506&lt;=BE$3,1,0))*OFFSET('Gastos com Pessoal'!$H$6,1,MATCH(5&amp;$B54,'Gastos com Pessoal'!$I$532:$AJ$532&amp;'Gastos com Pessoal'!$I$6:$AJ$6,0),500,1)),0)+_xlfn.IFNA(SUM((BE$3&gt;='Gastos com Pessoal'!$E$513:$E$522)*(BE$3&lt;='Gastos com Pessoal'!$F$513:$F$522)*(IF('Gastos com Pessoal'!$G$513:$G$522&lt;=BE$3,1,0))*OFFSET('Gastos com Pessoal'!$H$512,1,MATCH(1&amp;$B54,'Gastos com Pessoal'!$I$532:$AJ$532&amp;'Gastos com Pessoal'!$I$512:$AJ$512,0),10,1)),0)+_xlfn.IFNA(SUM((BE$3&gt;='Gastos com Pessoal'!$E$513:$E$522)*(BE$3&lt;='Gastos com Pessoal'!$F$513:$F$522)*(IF('Gastos com Pessoal'!$M$513:$M$522&lt;=BE$3,1,0))*OFFSET('Gastos com Pessoal'!$H$512,1,MATCH(2&amp;$B54,'Gastos com Pessoal'!$I$532:$AJ$532&amp;'Gastos com Pessoal'!$I$512:$AJ$512,0),10,1)),0)+_xlfn.IFNA(SUM((BE$3&gt;='Gastos com Pessoal'!$E$513:$E$522)*(BE$3&lt;='Gastos com Pessoal'!$F$513:$F$522)*(IF('Gastos com Pessoal'!$S$513:$S$522&lt;=BE$3,1,0))*OFFSET('Gastos com Pessoal'!$H$512,1,MATCH(3&amp;$B54,'Gastos com Pessoal'!$I$532:$AJ$532&amp;'Gastos com Pessoal'!$I$512:$AJ$512,0),10,1)),0)+_xlfn.IFNA(SUM((BE$3&gt;='Gastos com Pessoal'!$E$513:$E$522)*(BE$3&lt;='Gastos com Pessoal'!$F$513:$F$522)*(IF('Gastos com Pessoal'!$Y$513:$Y$522&lt;=BE$3,1,0))*OFFSET('Gastos com Pessoal'!$H$512,1,MATCH(4&amp;$B54,'Gastos com Pessoal'!$I$532:$AJ$532&amp;'Gastos com Pessoal'!$I$512:$AJ$512,0),10,1)),0)+_xlfn.IFNA(SUM((BE$3&gt;='Gastos com Pessoal'!$E$513:$E$522)*(BE$3&lt;='Gastos com Pessoal'!$F$513:$F$522)*(IF('Gastos com Pessoal'!$AE$513:$AE$522&lt;=BE$3,1,0))*OFFSET('Gastos com Pessoal'!$H$512,1,MATCH(5&amp;$B54,'Gastos com Pessoal'!$I$532:$AJ$532&amp;'Gastos com Pessoal'!$I$512:$AJ$512,0),10,1)),0)</f>
        <v>6811.1999999999698</v>
      </c>
      <c r="BF54" s="188">
        <f t="array" aca="1" ref="BF54" ca="1">_xlfn.IFNA(SUM((BF$3&gt;='Gastos com Pessoal'!$E$7:$E$506)*(BF$3&lt;='Gastos com Pessoal'!$F$7:$F$506)*OFFSET('Encargos e Benefícios'!$D$5,1,MATCH($B54,'Encargos e Benefícios'!$E$5:$AB$5,0),500,1)),0)+_xlfn.IFNA(SUM((BF$3&gt;='Gastos com Pessoal'!$E$513:$E$522)*(BF$3&lt;='Gastos com Pessoal'!$F$513:$F$522)*OFFSET('Encargos e Benefícios'!$D$511,1,MATCH($B54,'Encargos e Benefícios'!$E$511:$AB$511,0),10,1)),0)+_xlfn.IFNA(SUM((BF$3&gt;='Gastos com Pessoal'!$E$7:$E$506)*(BF$3&lt;='Gastos com Pessoal'!$F$7:$F$506)*(IF('Gastos com Pessoal'!$G$7:$G$506&lt;=BF$3,1,0))*OFFSET('Gastos com Pessoal'!$H$6,1,MATCH(1&amp;$B54,'Gastos com Pessoal'!$I$532:$AJ$532&amp;'Gastos com Pessoal'!$I$6:$AJ$6,0),500,1)),0)+_xlfn.IFNA(SUM((BF$3&gt;='Gastos com Pessoal'!$E$7:$E$506)*(BF$3&lt;='Gastos com Pessoal'!$F$7:$F$506)*(IF('Gastos com Pessoal'!$M$7:$M$506&lt;=BF$3,1,0))*OFFSET('Gastos com Pessoal'!$H$6,1,MATCH(2&amp;$B54,'Gastos com Pessoal'!$I$532:$AJ$532&amp;'Gastos com Pessoal'!$I$6:$AJ$6,0),500,1)),0)+_xlfn.IFNA(SUM((BF$3&gt;='Gastos com Pessoal'!$E$7:$E$506)*(BF$3&lt;='Gastos com Pessoal'!$F$7:$F$506)*(IF('Gastos com Pessoal'!$S$7:$S$506&lt;=BF$3,1,0))*OFFSET('Gastos com Pessoal'!$H$6,1,MATCH(3&amp;$B54,'Gastos com Pessoal'!$I$532:$AJ$532&amp;'Gastos com Pessoal'!$I$6:$AJ$6,0),500,1)),0)+_xlfn.IFNA(SUM((BF$3&gt;='Gastos com Pessoal'!$E$7:$E$506)*(BF$3&lt;='Gastos com Pessoal'!$F$7:$F$506)*(IF('Gastos com Pessoal'!$Y$7:$Y$506&lt;=BF$3,1,0))*OFFSET('Gastos com Pessoal'!$H$6,1,MATCH(4&amp;$B54,'Gastos com Pessoal'!$I$532:$AJ$532&amp;'Gastos com Pessoal'!$I$6:$AJ$6,0),500,1)),0)+_xlfn.IFNA(SUM((BF$3&gt;='Gastos com Pessoal'!$E$7:$E$506)*(BF$3&lt;='Gastos com Pessoal'!$F$7:$F$506)*(IF('Gastos com Pessoal'!$AE$7:$AE$506&lt;=BF$3,1,0))*OFFSET('Gastos com Pessoal'!$H$6,1,MATCH(5&amp;$B54,'Gastos com Pessoal'!$I$532:$AJ$532&amp;'Gastos com Pessoal'!$I$6:$AJ$6,0),500,1)),0)+_xlfn.IFNA(SUM((BF$3&gt;='Gastos com Pessoal'!$E$513:$E$522)*(BF$3&lt;='Gastos com Pessoal'!$F$513:$F$522)*(IF('Gastos com Pessoal'!$G$513:$G$522&lt;=BF$3,1,0))*OFFSET('Gastos com Pessoal'!$H$512,1,MATCH(1&amp;$B54,'Gastos com Pessoal'!$I$532:$AJ$532&amp;'Gastos com Pessoal'!$I$512:$AJ$512,0),10,1)),0)+_xlfn.IFNA(SUM((BF$3&gt;='Gastos com Pessoal'!$E$513:$E$522)*(BF$3&lt;='Gastos com Pessoal'!$F$513:$F$522)*(IF('Gastos com Pessoal'!$M$513:$M$522&lt;=BF$3,1,0))*OFFSET('Gastos com Pessoal'!$H$512,1,MATCH(2&amp;$B54,'Gastos com Pessoal'!$I$532:$AJ$532&amp;'Gastos com Pessoal'!$I$512:$AJ$512,0),10,1)),0)+_xlfn.IFNA(SUM((BF$3&gt;='Gastos com Pessoal'!$E$513:$E$522)*(BF$3&lt;='Gastos com Pessoal'!$F$513:$F$522)*(IF('Gastos com Pessoal'!$S$513:$S$522&lt;=BF$3,1,0))*OFFSET('Gastos com Pessoal'!$H$512,1,MATCH(3&amp;$B54,'Gastos com Pessoal'!$I$532:$AJ$532&amp;'Gastos com Pessoal'!$I$512:$AJ$512,0),10,1)),0)+_xlfn.IFNA(SUM((BF$3&gt;='Gastos com Pessoal'!$E$513:$E$522)*(BF$3&lt;='Gastos com Pessoal'!$F$513:$F$522)*(IF('Gastos com Pessoal'!$Y$513:$Y$522&lt;=BF$3,1,0))*OFFSET('Gastos com Pessoal'!$H$512,1,MATCH(4&amp;$B54,'Gastos com Pessoal'!$I$532:$AJ$532&amp;'Gastos com Pessoal'!$I$512:$AJ$512,0),10,1)),0)+_xlfn.IFNA(SUM((BF$3&gt;='Gastos com Pessoal'!$E$513:$E$522)*(BF$3&lt;='Gastos com Pessoal'!$F$513:$F$522)*(IF('Gastos com Pessoal'!$AE$513:$AE$522&lt;=BF$3,1,0))*OFFSET('Gastos com Pessoal'!$H$512,1,MATCH(5&amp;$B54,'Gastos com Pessoal'!$I$532:$AJ$532&amp;'Gastos com Pessoal'!$I$512:$AJ$512,0),10,1)),0)</f>
        <v>6811.1999999999698</v>
      </c>
      <c r="BG54" s="188">
        <f t="array" aca="1" ref="BG54" ca="1">_xlfn.IFNA(SUM((BG$3&gt;='Gastos com Pessoal'!$E$7:$E$506)*(BG$3&lt;='Gastos com Pessoal'!$F$7:$F$506)*OFFSET('Encargos e Benefícios'!$D$5,1,MATCH($B54,'Encargos e Benefícios'!$E$5:$AB$5,0),500,1)),0)+_xlfn.IFNA(SUM((BG$3&gt;='Gastos com Pessoal'!$E$513:$E$522)*(BG$3&lt;='Gastos com Pessoal'!$F$513:$F$522)*OFFSET('Encargos e Benefícios'!$D$511,1,MATCH($B54,'Encargos e Benefícios'!$E$511:$AB$511,0),10,1)),0)+_xlfn.IFNA(SUM((BG$3&gt;='Gastos com Pessoal'!$E$7:$E$506)*(BG$3&lt;='Gastos com Pessoal'!$F$7:$F$506)*(IF('Gastos com Pessoal'!$G$7:$G$506&lt;=BG$3,1,0))*OFFSET('Gastos com Pessoal'!$H$6,1,MATCH(1&amp;$B54,'Gastos com Pessoal'!$I$532:$AJ$532&amp;'Gastos com Pessoal'!$I$6:$AJ$6,0),500,1)),0)+_xlfn.IFNA(SUM((BG$3&gt;='Gastos com Pessoal'!$E$7:$E$506)*(BG$3&lt;='Gastos com Pessoal'!$F$7:$F$506)*(IF('Gastos com Pessoal'!$M$7:$M$506&lt;=BG$3,1,0))*OFFSET('Gastos com Pessoal'!$H$6,1,MATCH(2&amp;$B54,'Gastos com Pessoal'!$I$532:$AJ$532&amp;'Gastos com Pessoal'!$I$6:$AJ$6,0),500,1)),0)+_xlfn.IFNA(SUM((BG$3&gt;='Gastos com Pessoal'!$E$7:$E$506)*(BG$3&lt;='Gastos com Pessoal'!$F$7:$F$506)*(IF('Gastos com Pessoal'!$S$7:$S$506&lt;=BG$3,1,0))*OFFSET('Gastos com Pessoal'!$H$6,1,MATCH(3&amp;$B54,'Gastos com Pessoal'!$I$532:$AJ$532&amp;'Gastos com Pessoal'!$I$6:$AJ$6,0),500,1)),0)+_xlfn.IFNA(SUM((BG$3&gt;='Gastos com Pessoal'!$E$7:$E$506)*(BG$3&lt;='Gastos com Pessoal'!$F$7:$F$506)*(IF('Gastos com Pessoal'!$Y$7:$Y$506&lt;=BG$3,1,0))*OFFSET('Gastos com Pessoal'!$H$6,1,MATCH(4&amp;$B54,'Gastos com Pessoal'!$I$532:$AJ$532&amp;'Gastos com Pessoal'!$I$6:$AJ$6,0),500,1)),0)+_xlfn.IFNA(SUM((BG$3&gt;='Gastos com Pessoal'!$E$7:$E$506)*(BG$3&lt;='Gastos com Pessoal'!$F$7:$F$506)*(IF('Gastos com Pessoal'!$AE$7:$AE$506&lt;=BG$3,1,0))*OFFSET('Gastos com Pessoal'!$H$6,1,MATCH(5&amp;$B54,'Gastos com Pessoal'!$I$532:$AJ$532&amp;'Gastos com Pessoal'!$I$6:$AJ$6,0),500,1)),0)+_xlfn.IFNA(SUM((BG$3&gt;='Gastos com Pessoal'!$E$513:$E$522)*(BG$3&lt;='Gastos com Pessoal'!$F$513:$F$522)*(IF('Gastos com Pessoal'!$G$513:$G$522&lt;=BG$3,1,0))*OFFSET('Gastos com Pessoal'!$H$512,1,MATCH(1&amp;$B54,'Gastos com Pessoal'!$I$532:$AJ$532&amp;'Gastos com Pessoal'!$I$512:$AJ$512,0),10,1)),0)+_xlfn.IFNA(SUM((BG$3&gt;='Gastos com Pessoal'!$E$513:$E$522)*(BG$3&lt;='Gastos com Pessoal'!$F$513:$F$522)*(IF('Gastos com Pessoal'!$M$513:$M$522&lt;=BG$3,1,0))*OFFSET('Gastos com Pessoal'!$H$512,1,MATCH(2&amp;$B54,'Gastos com Pessoal'!$I$532:$AJ$532&amp;'Gastos com Pessoal'!$I$512:$AJ$512,0),10,1)),0)+_xlfn.IFNA(SUM((BG$3&gt;='Gastos com Pessoal'!$E$513:$E$522)*(BG$3&lt;='Gastos com Pessoal'!$F$513:$F$522)*(IF('Gastos com Pessoal'!$S$513:$S$522&lt;=BG$3,1,0))*OFFSET('Gastos com Pessoal'!$H$512,1,MATCH(3&amp;$B54,'Gastos com Pessoal'!$I$532:$AJ$532&amp;'Gastos com Pessoal'!$I$512:$AJ$512,0),10,1)),0)+_xlfn.IFNA(SUM((BG$3&gt;='Gastos com Pessoal'!$E$513:$E$522)*(BG$3&lt;='Gastos com Pessoal'!$F$513:$F$522)*(IF('Gastos com Pessoal'!$Y$513:$Y$522&lt;=BG$3,1,0))*OFFSET('Gastos com Pessoal'!$H$512,1,MATCH(4&amp;$B54,'Gastos com Pessoal'!$I$532:$AJ$532&amp;'Gastos com Pessoal'!$I$512:$AJ$512,0),10,1)),0)+_xlfn.IFNA(SUM((BG$3&gt;='Gastos com Pessoal'!$E$513:$E$522)*(BG$3&lt;='Gastos com Pessoal'!$F$513:$F$522)*(IF('Gastos com Pessoal'!$AE$513:$AE$522&lt;=BG$3,1,0))*OFFSET('Gastos com Pessoal'!$H$512,1,MATCH(5&amp;$B54,'Gastos com Pessoal'!$I$532:$AJ$532&amp;'Gastos com Pessoal'!$I$512:$AJ$512,0),10,1)),0)</f>
        <v>6811.1999999999698</v>
      </c>
      <c r="BH54" s="188">
        <f t="array" aca="1" ref="BH54" ca="1">_xlfn.IFNA(SUM((BH$3&gt;='Gastos com Pessoal'!$E$7:$E$506)*(BH$3&lt;='Gastos com Pessoal'!$F$7:$F$506)*OFFSET('Encargos e Benefícios'!$D$5,1,MATCH($B54,'Encargos e Benefícios'!$E$5:$AB$5,0),500,1)),0)+_xlfn.IFNA(SUM((BH$3&gt;='Gastos com Pessoal'!$E$513:$E$522)*(BH$3&lt;='Gastos com Pessoal'!$F$513:$F$522)*OFFSET('Encargos e Benefícios'!$D$511,1,MATCH($B54,'Encargos e Benefícios'!$E$511:$AB$511,0),10,1)),0)+_xlfn.IFNA(SUM((BH$3&gt;='Gastos com Pessoal'!$E$7:$E$506)*(BH$3&lt;='Gastos com Pessoal'!$F$7:$F$506)*(IF('Gastos com Pessoal'!$G$7:$G$506&lt;=BH$3,1,0))*OFFSET('Gastos com Pessoal'!$H$6,1,MATCH(1&amp;$B54,'Gastos com Pessoal'!$I$532:$AJ$532&amp;'Gastos com Pessoal'!$I$6:$AJ$6,0),500,1)),0)+_xlfn.IFNA(SUM((BH$3&gt;='Gastos com Pessoal'!$E$7:$E$506)*(BH$3&lt;='Gastos com Pessoal'!$F$7:$F$506)*(IF('Gastos com Pessoal'!$M$7:$M$506&lt;=BH$3,1,0))*OFFSET('Gastos com Pessoal'!$H$6,1,MATCH(2&amp;$B54,'Gastos com Pessoal'!$I$532:$AJ$532&amp;'Gastos com Pessoal'!$I$6:$AJ$6,0),500,1)),0)+_xlfn.IFNA(SUM((BH$3&gt;='Gastos com Pessoal'!$E$7:$E$506)*(BH$3&lt;='Gastos com Pessoal'!$F$7:$F$506)*(IF('Gastos com Pessoal'!$S$7:$S$506&lt;=BH$3,1,0))*OFFSET('Gastos com Pessoal'!$H$6,1,MATCH(3&amp;$B54,'Gastos com Pessoal'!$I$532:$AJ$532&amp;'Gastos com Pessoal'!$I$6:$AJ$6,0),500,1)),0)+_xlfn.IFNA(SUM((BH$3&gt;='Gastos com Pessoal'!$E$7:$E$506)*(BH$3&lt;='Gastos com Pessoal'!$F$7:$F$506)*(IF('Gastos com Pessoal'!$Y$7:$Y$506&lt;=BH$3,1,0))*OFFSET('Gastos com Pessoal'!$H$6,1,MATCH(4&amp;$B54,'Gastos com Pessoal'!$I$532:$AJ$532&amp;'Gastos com Pessoal'!$I$6:$AJ$6,0),500,1)),0)+_xlfn.IFNA(SUM((BH$3&gt;='Gastos com Pessoal'!$E$7:$E$506)*(BH$3&lt;='Gastos com Pessoal'!$F$7:$F$506)*(IF('Gastos com Pessoal'!$AE$7:$AE$506&lt;=BH$3,1,0))*OFFSET('Gastos com Pessoal'!$H$6,1,MATCH(5&amp;$B54,'Gastos com Pessoal'!$I$532:$AJ$532&amp;'Gastos com Pessoal'!$I$6:$AJ$6,0),500,1)),0)+_xlfn.IFNA(SUM((BH$3&gt;='Gastos com Pessoal'!$E$513:$E$522)*(BH$3&lt;='Gastos com Pessoal'!$F$513:$F$522)*(IF('Gastos com Pessoal'!$G$513:$G$522&lt;=BH$3,1,0))*OFFSET('Gastos com Pessoal'!$H$512,1,MATCH(1&amp;$B54,'Gastos com Pessoal'!$I$532:$AJ$532&amp;'Gastos com Pessoal'!$I$512:$AJ$512,0),10,1)),0)+_xlfn.IFNA(SUM((BH$3&gt;='Gastos com Pessoal'!$E$513:$E$522)*(BH$3&lt;='Gastos com Pessoal'!$F$513:$F$522)*(IF('Gastos com Pessoal'!$M$513:$M$522&lt;=BH$3,1,0))*OFFSET('Gastos com Pessoal'!$H$512,1,MATCH(2&amp;$B54,'Gastos com Pessoal'!$I$532:$AJ$532&amp;'Gastos com Pessoal'!$I$512:$AJ$512,0),10,1)),0)+_xlfn.IFNA(SUM((BH$3&gt;='Gastos com Pessoal'!$E$513:$E$522)*(BH$3&lt;='Gastos com Pessoal'!$F$513:$F$522)*(IF('Gastos com Pessoal'!$S$513:$S$522&lt;=BH$3,1,0))*OFFSET('Gastos com Pessoal'!$H$512,1,MATCH(3&amp;$B54,'Gastos com Pessoal'!$I$532:$AJ$532&amp;'Gastos com Pessoal'!$I$512:$AJ$512,0),10,1)),0)+_xlfn.IFNA(SUM((BH$3&gt;='Gastos com Pessoal'!$E$513:$E$522)*(BH$3&lt;='Gastos com Pessoal'!$F$513:$F$522)*(IF('Gastos com Pessoal'!$Y$513:$Y$522&lt;=BH$3,1,0))*OFFSET('Gastos com Pessoal'!$H$512,1,MATCH(4&amp;$B54,'Gastos com Pessoal'!$I$532:$AJ$532&amp;'Gastos com Pessoal'!$I$512:$AJ$512,0),10,1)),0)+_xlfn.IFNA(SUM((BH$3&gt;='Gastos com Pessoal'!$E$513:$E$522)*(BH$3&lt;='Gastos com Pessoal'!$F$513:$F$522)*(IF('Gastos com Pessoal'!$AE$513:$AE$522&lt;=BH$3,1,0))*OFFSET('Gastos com Pessoal'!$H$512,1,MATCH(5&amp;$B54,'Gastos com Pessoal'!$I$532:$AJ$532&amp;'Gastos com Pessoal'!$I$512:$AJ$512,0),10,1)),0)</f>
        <v>6811.1999999999698</v>
      </c>
      <c r="BI54" s="188">
        <f t="array" aca="1" ref="BI54" ca="1">_xlfn.IFNA(SUM((BI$3&gt;='Gastos com Pessoal'!$E$7:$E$506)*(BI$3&lt;='Gastos com Pessoal'!$F$7:$F$506)*OFFSET('Encargos e Benefícios'!$D$5,1,MATCH($B54,'Encargos e Benefícios'!$E$5:$AB$5,0),500,1)),0)+_xlfn.IFNA(SUM((BI$3&gt;='Gastos com Pessoal'!$E$513:$E$522)*(BI$3&lt;='Gastos com Pessoal'!$F$513:$F$522)*OFFSET('Encargos e Benefícios'!$D$511,1,MATCH($B54,'Encargos e Benefícios'!$E$511:$AB$511,0),10,1)),0)+_xlfn.IFNA(SUM((BI$3&gt;='Gastos com Pessoal'!$E$7:$E$506)*(BI$3&lt;='Gastos com Pessoal'!$F$7:$F$506)*(IF('Gastos com Pessoal'!$G$7:$G$506&lt;=BI$3,1,0))*OFFSET('Gastos com Pessoal'!$H$6,1,MATCH(1&amp;$B54,'Gastos com Pessoal'!$I$532:$AJ$532&amp;'Gastos com Pessoal'!$I$6:$AJ$6,0),500,1)),0)+_xlfn.IFNA(SUM((BI$3&gt;='Gastos com Pessoal'!$E$7:$E$506)*(BI$3&lt;='Gastos com Pessoal'!$F$7:$F$506)*(IF('Gastos com Pessoal'!$M$7:$M$506&lt;=BI$3,1,0))*OFFSET('Gastos com Pessoal'!$H$6,1,MATCH(2&amp;$B54,'Gastos com Pessoal'!$I$532:$AJ$532&amp;'Gastos com Pessoal'!$I$6:$AJ$6,0),500,1)),0)+_xlfn.IFNA(SUM((BI$3&gt;='Gastos com Pessoal'!$E$7:$E$506)*(BI$3&lt;='Gastos com Pessoal'!$F$7:$F$506)*(IF('Gastos com Pessoal'!$S$7:$S$506&lt;=BI$3,1,0))*OFFSET('Gastos com Pessoal'!$H$6,1,MATCH(3&amp;$B54,'Gastos com Pessoal'!$I$532:$AJ$532&amp;'Gastos com Pessoal'!$I$6:$AJ$6,0),500,1)),0)+_xlfn.IFNA(SUM((BI$3&gt;='Gastos com Pessoal'!$E$7:$E$506)*(BI$3&lt;='Gastos com Pessoal'!$F$7:$F$506)*(IF('Gastos com Pessoal'!$Y$7:$Y$506&lt;=BI$3,1,0))*OFFSET('Gastos com Pessoal'!$H$6,1,MATCH(4&amp;$B54,'Gastos com Pessoal'!$I$532:$AJ$532&amp;'Gastos com Pessoal'!$I$6:$AJ$6,0),500,1)),0)+_xlfn.IFNA(SUM((BI$3&gt;='Gastos com Pessoal'!$E$7:$E$506)*(BI$3&lt;='Gastos com Pessoal'!$F$7:$F$506)*(IF('Gastos com Pessoal'!$AE$7:$AE$506&lt;=BI$3,1,0))*OFFSET('Gastos com Pessoal'!$H$6,1,MATCH(5&amp;$B54,'Gastos com Pessoal'!$I$532:$AJ$532&amp;'Gastos com Pessoal'!$I$6:$AJ$6,0),500,1)),0)+_xlfn.IFNA(SUM((BI$3&gt;='Gastos com Pessoal'!$E$513:$E$522)*(BI$3&lt;='Gastos com Pessoal'!$F$513:$F$522)*(IF('Gastos com Pessoal'!$G$513:$G$522&lt;=BI$3,1,0))*OFFSET('Gastos com Pessoal'!$H$512,1,MATCH(1&amp;$B54,'Gastos com Pessoal'!$I$532:$AJ$532&amp;'Gastos com Pessoal'!$I$512:$AJ$512,0),10,1)),0)+_xlfn.IFNA(SUM((BI$3&gt;='Gastos com Pessoal'!$E$513:$E$522)*(BI$3&lt;='Gastos com Pessoal'!$F$513:$F$522)*(IF('Gastos com Pessoal'!$M$513:$M$522&lt;=BI$3,1,0))*OFFSET('Gastos com Pessoal'!$H$512,1,MATCH(2&amp;$B54,'Gastos com Pessoal'!$I$532:$AJ$532&amp;'Gastos com Pessoal'!$I$512:$AJ$512,0),10,1)),0)+_xlfn.IFNA(SUM((BI$3&gt;='Gastos com Pessoal'!$E$513:$E$522)*(BI$3&lt;='Gastos com Pessoal'!$F$513:$F$522)*(IF('Gastos com Pessoal'!$S$513:$S$522&lt;=BI$3,1,0))*OFFSET('Gastos com Pessoal'!$H$512,1,MATCH(3&amp;$B54,'Gastos com Pessoal'!$I$532:$AJ$532&amp;'Gastos com Pessoal'!$I$512:$AJ$512,0),10,1)),0)+_xlfn.IFNA(SUM((BI$3&gt;='Gastos com Pessoal'!$E$513:$E$522)*(BI$3&lt;='Gastos com Pessoal'!$F$513:$F$522)*(IF('Gastos com Pessoal'!$Y$513:$Y$522&lt;=BI$3,1,0))*OFFSET('Gastos com Pessoal'!$H$512,1,MATCH(4&amp;$B54,'Gastos com Pessoal'!$I$532:$AJ$532&amp;'Gastos com Pessoal'!$I$512:$AJ$512,0),10,1)),0)+_xlfn.IFNA(SUM((BI$3&gt;='Gastos com Pessoal'!$E$513:$E$522)*(BI$3&lt;='Gastos com Pessoal'!$F$513:$F$522)*(IF('Gastos com Pessoal'!$AE$513:$AE$522&lt;=BI$3,1,0))*OFFSET('Gastos com Pessoal'!$H$512,1,MATCH(5&amp;$B54,'Gastos com Pessoal'!$I$532:$AJ$532&amp;'Gastos com Pessoal'!$I$512:$AJ$512,0),10,1)),0)</f>
        <v>6811.1999999999698</v>
      </c>
      <c r="BJ54" s="188">
        <f t="array" aca="1" ref="BJ54" ca="1">_xlfn.IFNA(SUM((BJ$3&gt;='Gastos com Pessoal'!$E$7:$E$506)*(BJ$3&lt;='Gastos com Pessoal'!$F$7:$F$506)*OFFSET('Encargos e Benefícios'!$D$5,1,MATCH($B54,'Encargos e Benefícios'!$E$5:$AB$5,0),500,1)),0)+_xlfn.IFNA(SUM((BJ$3&gt;='Gastos com Pessoal'!$E$513:$E$522)*(BJ$3&lt;='Gastos com Pessoal'!$F$513:$F$522)*OFFSET('Encargos e Benefícios'!$D$511,1,MATCH($B54,'Encargos e Benefícios'!$E$511:$AB$511,0),10,1)),0)+_xlfn.IFNA(SUM((BJ$3&gt;='Gastos com Pessoal'!$E$7:$E$506)*(BJ$3&lt;='Gastos com Pessoal'!$F$7:$F$506)*(IF('Gastos com Pessoal'!$G$7:$G$506&lt;=BJ$3,1,0))*OFFSET('Gastos com Pessoal'!$H$6,1,MATCH(1&amp;$B54,'Gastos com Pessoal'!$I$532:$AJ$532&amp;'Gastos com Pessoal'!$I$6:$AJ$6,0),500,1)),0)+_xlfn.IFNA(SUM((BJ$3&gt;='Gastos com Pessoal'!$E$7:$E$506)*(BJ$3&lt;='Gastos com Pessoal'!$F$7:$F$506)*(IF('Gastos com Pessoal'!$M$7:$M$506&lt;=BJ$3,1,0))*OFFSET('Gastos com Pessoal'!$H$6,1,MATCH(2&amp;$B54,'Gastos com Pessoal'!$I$532:$AJ$532&amp;'Gastos com Pessoal'!$I$6:$AJ$6,0),500,1)),0)+_xlfn.IFNA(SUM((BJ$3&gt;='Gastos com Pessoal'!$E$7:$E$506)*(BJ$3&lt;='Gastos com Pessoal'!$F$7:$F$506)*(IF('Gastos com Pessoal'!$S$7:$S$506&lt;=BJ$3,1,0))*OFFSET('Gastos com Pessoal'!$H$6,1,MATCH(3&amp;$B54,'Gastos com Pessoal'!$I$532:$AJ$532&amp;'Gastos com Pessoal'!$I$6:$AJ$6,0),500,1)),0)+_xlfn.IFNA(SUM((BJ$3&gt;='Gastos com Pessoal'!$E$7:$E$506)*(BJ$3&lt;='Gastos com Pessoal'!$F$7:$F$506)*(IF('Gastos com Pessoal'!$Y$7:$Y$506&lt;=BJ$3,1,0))*OFFSET('Gastos com Pessoal'!$H$6,1,MATCH(4&amp;$B54,'Gastos com Pessoal'!$I$532:$AJ$532&amp;'Gastos com Pessoal'!$I$6:$AJ$6,0),500,1)),0)+_xlfn.IFNA(SUM((BJ$3&gt;='Gastos com Pessoal'!$E$7:$E$506)*(BJ$3&lt;='Gastos com Pessoal'!$F$7:$F$506)*(IF('Gastos com Pessoal'!$AE$7:$AE$506&lt;=BJ$3,1,0))*OFFSET('Gastos com Pessoal'!$H$6,1,MATCH(5&amp;$B54,'Gastos com Pessoal'!$I$532:$AJ$532&amp;'Gastos com Pessoal'!$I$6:$AJ$6,0),500,1)),0)+_xlfn.IFNA(SUM((BJ$3&gt;='Gastos com Pessoal'!$E$513:$E$522)*(BJ$3&lt;='Gastos com Pessoal'!$F$513:$F$522)*(IF('Gastos com Pessoal'!$G$513:$G$522&lt;=BJ$3,1,0))*OFFSET('Gastos com Pessoal'!$H$512,1,MATCH(1&amp;$B54,'Gastos com Pessoal'!$I$532:$AJ$532&amp;'Gastos com Pessoal'!$I$512:$AJ$512,0),10,1)),0)+_xlfn.IFNA(SUM((BJ$3&gt;='Gastos com Pessoal'!$E$513:$E$522)*(BJ$3&lt;='Gastos com Pessoal'!$F$513:$F$522)*(IF('Gastos com Pessoal'!$M$513:$M$522&lt;=BJ$3,1,0))*OFFSET('Gastos com Pessoal'!$H$512,1,MATCH(2&amp;$B54,'Gastos com Pessoal'!$I$532:$AJ$532&amp;'Gastos com Pessoal'!$I$512:$AJ$512,0),10,1)),0)+_xlfn.IFNA(SUM((BJ$3&gt;='Gastos com Pessoal'!$E$513:$E$522)*(BJ$3&lt;='Gastos com Pessoal'!$F$513:$F$522)*(IF('Gastos com Pessoal'!$S$513:$S$522&lt;=BJ$3,1,0))*OFFSET('Gastos com Pessoal'!$H$512,1,MATCH(3&amp;$B54,'Gastos com Pessoal'!$I$532:$AJ$532&amp;'Gastos com Pessoal'!$I$512:$AJ$512,0),10,1)),0)+_xlfn.IFNA(SUM((BJ$3&gt;='Gastos com Pessoal'!$E$513:$E$522)*(BJ$3&lt;='Gastos com Pessoal'!$F$513:$F$522)*(IF('Gastos com Pessoal'!$Y$513:$Y$522&lt;=BJ$3,1,0))*OFFSET('Gastos com Pessoal'!$H$512,1,MATCH(4&amp;$B54,'Gastos com Pessoal'!$I$532:$AJ$532&amp;'Gastos com Pessoal'!$I$512:$AJ$512,0),10,1)),0)+_xlfn.IFNA(SUM((BJ$3&gt;='Gastos com Pessoal'!$E$513:$E$522)*(BJ$3&lt;='Gastos com Pessoal'!$F$513:$F$522)*(IF('Gastos com Pessoal'!$AE$513:$AE$522&lt;=BJ$3,1,0))*OFFSET('Gastos com Pessoal'!$H$512,1,MATCH(5&amp;$B54,'Gastos com Pessoal'!$I$532:$AJ$532&amp;'Gastos com Pessoal'!$I$512:$AJ$512,0),10,1)),0)</f>
        <v>6811.1999999999698</v>
      </c>
      <c r="BK54" s="189">
        <f t="shared" ca="1" si="28"/>
        <v>395106.35999999824</v>
      </c>
      <c r="BL54" s="136">
        <f t="shared" ca="1" si="29"/>
        <v>1.1808957914092354E-3</v>
      </c>
      <c r="BN54" s="188">
        <f t="array" aca="1" ref="BN54" ca="1">_xlfn.IFNA(SUM((BN$3&gt;='Gastos com Pessoal'!$E$7:$E$506)*(BN$3&lt;='Gastos com Pessoal'!$F$7:$F$506)*OFFSET('Encargos e Benefícios'!$D$5,1,MATCH($B54,'Encargos e Benefícios'!$E$5:$AB$5,0),500,1)),0)+_xlfn.IFNA(SUM((BN$3&gt;='Gastos com Pessoal'!$E$513:$E$522)*(BN$3&lt;='Gastos com Pessoal'!$F$513:$F$522)*OFFSET('Encargos e Benefícios'!$D$511,1,MATCH($B54,'Encargos e Benefícios'!$E$511:$AB$511,0),10,1)),0)+_xlfn.IFNA(SUM((BN$3&gt;='Gastos com Pessoal'!$E$7:$E$506)*(BN$3&lt;='Gastos com Pessoal'!$F$7:$F$506)*(IF('Gastos com Pessoal'!$G$7:$G$506&lt;=BN$3,1,0))*OFFSET('Gastos com Pessoal'!$H$6,1,MATCH(1&amp;$B54,'Gastos com Pessoal'!$I$532:$AJ$532&amp;'Gastos com Pessoal'!$I$6:$AJ$6,0),500,1)),0)+_xlfn.IFNA(SUM((BN$3&gt;='Gastos com Pessoal'!$E$7:$E$506)*(BN$3&lt;='Gastos com Pessoal'!$F$7:$F$506)*(IF('Gastos com Pessoal'!$M$7:$M$506&lt;=BN$3,1,0))*OFFSET('Gastos com Pessoal'!$H$6,1,MATCH(2&amp;$B54,'Gastos com Pessoal'!$I$532:$AJ$532&amp;'Gastos com Pessoal'!$I$6:$AJ$6,0),500,1)),0)+_xlfn.IFNA(SUM((BN$3&gt;='Gastos com Pessoal'!$E$7:$E$506)*(BN$3&lt;='Gastos com Pessoal'!$F$7:$F$506)*(IF('Gastos com Pessoal'!$S$7:$S$506&lt;=BN$3,1,0))*OFFSET('Gastos com Pessoal'!$H$6,1,MATCH(3&amp;$B54,'Gastos com Pessoal'!$I$532:$AJ$532&amp;'Gastos com Pessoal'!$I$6:$AJ$6,0),500,1)),0)+_xlfn.IFNA(SUM((BN$3&gt;='Gastos com Pessoal'!$E$7:$E$506)*(BN$3&lt;='Gastos com Pessoal'!$F$7:$F$506)*(IF('Gastos com Pessoal'!$Y$7:$Y$506&lt;=BN$3,1,0))*OFFSET('Gastos com Pessoal'!$H$6,1,MATCH(4&amp;$B54,'Gastos com Pessoal'!$I$532:$AJ$532&amp;'Gastos com Pessoal'!$I$6:$AJ$6,0),500,1)),0)+_xlfn.IFNA(SUM((BN$3&gt;='Gastos com Pessoal'!$E$7:$E$506)*(BN$3&lt;='Gastos com Pessoal'!$F$7:$F$506)*(IF('Gastos com Pessoal'!$AE$7:$AE$506&lt;=BN$3,1,0))*OFFSET('Gastos com Pessoal'!$H$6,1,MATCH(5&amp;$B54,'Gastos com Pessoal'!$I$532:$AJ$532&amp;'Gastos com Pessoal'!$I$6:$AJ$6,0),500,1)),0)+_xlfn.IFNA(SUM((BN$3&gt;='Gastos com Pessoal'!$E$513:$E$522)*(BN$3&lt;='Gastos com Pessoal'!$F$513:$F$522)*(IF('Gastos com Pessoal'!$G$513:$G$522&lt;=BN$3,1,0))*OFFSET('Gastos com Pessoal'!$H$512,1,MATCH(1&amp;$B54,'Gastos com Pessoal'!$I$532:$AJ$532&amp;'Gastos com Pessoal'!$I$512:$AJ$512,0),10,1)),0)+_xlfn.IFNA(SUM((BN$3&gt;='Gastos com Pessoal'!$E$513:$E$522)*(BN$3&lt;='Gastos com Pessoal'!$F$513:$F$522)*(IF('Gastos com Pessoal'!$M$513:$M$522&lt;=BN$3,1,0))*OFFSET('Gastos com Pessoal'!$H$512,1,MATCH(2&amp;$B54,'Gastos com Pessoal'!$I$532:$AJ$532&amp;'Gastos com Pessoal'!$I$512:$AJ$512,0),10,1)),0)+_xlfn.IFNA(SUM((BN$3&gt;='Gastos com Pessoal'!$E$513:$E$522)*(BN$3&lt;='Gastos com Pessoal'!$F$513:$F$522)*(IF('Gastos com Pessoal'!$S$513:$S$522&lt;=BN$3,1,0))*OFFSET('Gastos com Pessoal'!$H$512,1,MATCH(3&amp;$B54,'Gastos com Pessoal'!$I$532:$AJ$532&amp;'Gastos com Pessoal'!$I$512:$AJ$512,0),10,1)),0)+_xlfn.IFNA(SUM((BN$3&gt;='Gastos com Pessoal'!$E$513:$E$522)*(BN$3&lt;='Gastos com Pessoal'!$F$513:$F$522)*(IF('Gastos com Pessoal'!$Y$513:$Y$522&lt;=BN$3,1,0))*OFFSET('Gastos com Pessoal'!$H$512,1,MATCH(4&amp;$B54,'Gastos com Pessoal'!$I$532:$AJ$532&amp;'Gastos com Pessoal'!$I$512:$AJ$512,0),10,1)),0)+_xlfn.IFNA(SUM((BN$3&gt;='Gastos com Pessoal'!$E$513:$E$522)*(BN$3&lt;='Gastos com Pessoal'!$F$513:$F$522)*(IF('Gastos com Pessoal'!$AE$513:$AE$522&lt;=BN$3,1,0))*OFFSET('Gastos com Pessoal'!$H$512,1,MATCH(5&amp;$B54,'Gastos com Pessoal'!$I$532:$AJ$532&amp;'Gastos com Pessoal'!$I$512:$AJ$512,0),10,1)),0)</f>
        <v>5392.1999999999916</v>
      </c>
    </row>
    <row r="55" spans="1:66" s="160" customFormat="1" ht="23.25" customHeight="1">
      <c r="A55" s="80" t="s">
        <v>192</v>
      </c>
      <c r="B55" s="81" t="s">
        <v>193</v>
      </c>
      <c r="C55" s="188">
        <f t="shared" ca="1" si="27"/>
        <v>0</v>
      </c>
      <c r="D55" s="188">
        <f t="array" aca="1" ref="D55" ca="1">_xlfn.IFNA(SUM((D$3&gt;='Gastos com Pessoal'!$E$7:$E$506)*(D$3&lt;='Gastos com Pessoal'!$F$7:$F$506)*OFFSET('Encargos e Benefícios'!$D$5,1,MATCH($B55,'Encargos e Benefícios'!$E$5:$AB$5,0),500,1)),0)+_xlfn.IFNA(SUM((D$3&gt;='Gastos com Pessoal'!$E$513:$E$522)*(D$3&lt;='Gastos com Pessoal'!$F$513:$F$522)*OFFSET('Encargos e Benefícios'!$D$511,1,MATCH($B55,'Encargos e Benefícios'!$E$511:$AB$511,0),10,1)),0)+_xlfn.IFNA(SUM((D$3&gt;='Gastos com Pessoal'!$E$7:$E$506)*(D$3&lt;='Gastos com Pessoal'!$F$7:$F$506)*(IF('Gastos com Pessoal'!$G$7:$G$506&lt;=D$3,1,0))*OFFSET('Gastos com Pessoal'!$H$6,1,MATCH(1&amp;$B55,'Gastos com Pessoal'!$I$532:$AJ$532&amp;'Gastos com Pessoal'!$I$6:$AJ$6,0),500,1)),0)+_xlfn.IFNA(SUM((D$3&gt;='Gastos com Pessoal'!$E$7:$E$506)*(D$3&lt;='Gastos com Pessoal'!$F$7:$F$506)*(IF('Gastos com Pessoal'!$M$7:$M$506&lt;=D$3,1,0))*OFFSET('Gastos com Pessoal'!$H$6,1,MATCH(2&amp;$B55,'Gastos com Pessoal'!$I$532:$AJ$532&amp;'Gastos com Pessoal'!$I$6:$AJ$6,0),500,1)),0)+_xlfn.IFNA(SUM((D$3&gt;='Gastos com Pessoal'!$E$7:$E$506)*(D$3&lt;='Gastos com Pessoal'!$F$7:$F$506)*(IF('Gastos com Pessoal'!$S$7:$S$506&lt;=D$3,1,0))*OFFSET('Gastos com Pessoal'!$H$6,1,MATCH(3&amp;$B55,'Gastos com Pessoal'!$I$532:$AJ$532&amp;'Gastos com Pessoal'!$I$6:$AJ$6,0),500,1)),0)+_xlfn.IFNA(SUM((D$3&gt;='Gastos com Pessoal'!$E$7:$E$506)*(D$3&lt;='Gastos com Pessoal'!$F$7:$F$506)*(IF('Gastos com Pessoal'!$Y$7:$Y$506&lt;=D$3,1,0))*OFFSET('Gastos com Pessoal'!$H$6,1,MATCH(4&amp;$B55,'Gastos com Pessoal'!$I$532:$AJ$532&amp;'Gastos com Pessoal'!$I$6:$AJ$6,0),500,1)),0)+_xlfn.IFNA(SUM((D$3&gt;='Gastos com Pessoal'!$E$7:$E$506)*(D$3&lt;='Gastos com Pessoal'!$F$7:$F$506)*(IF('Gastos com Pessoal'!$AE$7:$AE$506&lt;=D$3,1,0))*OFFSET('Gastos com Pessoal'!$H$6,1,MATCH(5&amp;$B55,'Gastos com Pessoal'!$I$532:$AJ$532&amp;'Gastos com Pessoal'!$I$6:$AJ$6,0),500,1)),0)+_xlfn.IFNA(SUM((D$3&gt;='Gastos com Pessoal'!$E$513:$E$522)*(D$3&lt;='Gastos com Pessoal'!$F$513:$F$522)*(IF('Gastos com Pessoal'!$G$513:$G$522&lt;=D$3,1,0))*OFFSET('Gastos com Pessoal'!$H$512,1,MATCH(1&amp;$B55,'Gastos com Pessoal'!$I$532:$AJ$532&amp;'Gastos com Pessoal'!$I$512:$AJ$512,0),10,1)),0)+_xlfn.IFNA(SUM((D$3&gt;='Gastos com Pessoal'!$E$513:$E$522)*(D$3&lt;='Gastos com Pessoal'!$F$513:$F$522)*(IF('Gastos com Pessoal'!$M$513:$M$522&lt;=D$3,1,0))*OFFSET('Gastos com Pessoal'!$H$512,1,MATCH(2&amp;$B55,'Gastos com Pessoal'!$I$532:$AJ$532&amp;'Gastos com Pessoal'!$I$512:$AJ$512,0),10,1)),0)+_xlfn.IFNA(SUM((D$3&gt;='Gastos com Pessoal'!$E$513:$E$522)*(D$3&lt;='Gastos com Pessoal'!$F$513:$F$522)*(IF('Gastos com Pessoal'!$S$513:$S$522&lt;=D$3,1,0))*OFFSET('Gastos com Pessoal'!$H$512,1,MATCH(3&amp;$B55,'Gastos com Pessoal'!$I$532:$AJ$532&amp;'Gastos com Pessoal'!$I$512:$AJ$512,0),10,1)),0)+_xlfn.IFNA(SUM((D$3&gt;='Gastos com Pessoal'!$E$513:$E$522)*(D$3&lt;='Gastos com Pessoal'!$F$513:$F$522)*(IF('Gastos com Pessoal'!$Y$513:$Y$522&lt;=D$3,1,0))*OFFSET('Gastos com Pessoal'!$H$512,1,MATCH(4&amp;$B55,'Gastos com Pessoal'!$I$532:$AJ$532&amp;'Gastos com Pessoal'!$I$512:$AJ$512,0),10,1)),0)+_xlfn.IFNA(SUM((D$3&gt;='Gastos com Pessoal'!$E$513:$E$522)*(D$3&lt;='Gastos com Pessoal'!$F$513:$F$522)*(IF('Gastos com Pessoal'!$AE$513:$AE$522&lt;=D$3,1,0))*OFFSET('Gastos com Pessoal'!$H$512,1,MATCH(5&amp;$B55,'Gastos com Pessoal'!$I$532:$AJ$532&amp;'Gastos com Pessoal'!$I$512:$AJ$512,0),10,1)),0)</f>
        <v>0</v>
      </c>
      <c r="E55" s="188">
        <f t="array" aca="1" ref="E55" ca="1">_xlfn.IFNA(SUM((E$3&gt;='Gastos com Pessoal'!$E$7:$E$506)*(E$3&lt;='Gastos com Pessoal'!$F$7:$F$506)*OFFSET('Encargos e Benefícios'!$D$5,1,MATCH($B55,'Encargos e Benefícios'!$E$5:$AB$5,0),500,1)),0)+_xlfn.IFNA(SUM((E$3&gt;='Gastos com Pessoal'!$E$513:$E$522)*(E$3&lt;='Gastos com Pessoal'!$F$513:$F$522)*OFFSET('Encargos e Benefícios'!$D$511,1,MATCH($B55,'Encargos e Benefícios'!$E$511:$AB$511,0),10,1)),0)+_xlfn.IFNA(SUM((E$3&gt;='Gastos com Pessoal'!$E$7:$E$506)*(E$3&lt;='Gastos com Pessoal'!$F$7:$F$506)*(IF('Gastos com Pessoal'!$G$7:$G$506&lt;=E$3,1,0))*OFFSET('Gastos com Pessoal'!$H$6,1,MATCH(1&amp;$B55,'Gastos com Pessoal'!$I$532:$AJ$532&amp;'Gastos com Pessoal'!$I$6:$AJ$6,0),500,1)),0)+_xlfn.IFNA(SUM((E$3&gt;='Gastos com Pessoal'!$E$7:$E$506)*(E$3&lt;='Gastos com Pessoal'!$F$7:$F$506)*(IF('Gastos com Pessoal'!$M$7:$M$506&lt;=E$3,1,0))*OFFSET('Gastos com Pessoal'!$H$6,1,MATCH(2&amp;$B55,'Gastos com Pessoal'!$I$532:$AJ$532&amp;'Gastos com Pessoal'!$I$6:$AJ$6,0),500,1)),0)+_xlfn.IFNA(SUM((E$3&gt;='Gastos com Pessoal'!$E$7:$E$506)*(E$3&lt;='Gastos com Pessoal'!$F$7:$F$506)*(IF('Gastos com Pessoal'!$S$7:$S$506&lt;=E$3,1,0))*OFFSET('Gastos com Pessoal'!$H$6,1,MATCH(3&amp;$B55,'Gastos com Pessoal'!$I$532:$AJ$532&amp;'Gastos com Pessoal'!$I$6:$AJ$6,0),500,1)),0)+_xlfn.IFNA(SUM((E$3&gt;='Gastos com Pessoal'!$E$7:$E$506)*(E$3&lt;='Gastos com Pessoal'!$F$7:$F$506)*(IF('Gastos com Pessoal'!$Y$7:$Y$506&lt;=E$3,1,0))*OFFSET('Gastos com Pessoal'!$H$6,1,MATCH(4&amp;$B55,'Gastos com Pessoal'!$I$532:$AJ$532&amp;'Gastos com Pessoal'!$I$6:$AJ$6,0),500,1)),0)+_xlfn.IFNA(SUM((E$3&gt;='Gastos com Pessoal'!$E$7:$E$506)*(E$3&lt;='Gastos com Pessoal'!$F$7:$F$506)*(IF('Gastos com Pessoal'!$AE$7:$AE$506&lt;=E$3,1,0))*OFFSET('Gastos com Pessoal'!$H$6,1,MATCH(5&amp;$B55,'Gastos com Pessoal'!$I$532:$AJ$532&amp;'Gastos com Pessoal'!$I$6:$AJ$6,0),500,1)),0)+_xlfn.IFNA(SUM((E$3&gt;='Gastos com Pessoal'!$E$513:$E$522)*(E$3&lt;='Gastos com Pessoal'!$F$513:$F$522)*(IF('Gastos com Pessoal'!$G$513:$G$522&lt;=E$3,1,0))*OFFSET('Gastos com Pessoal'!$H$512,1,MATCH(1&amp;$B55,'Gastos com Pessoal'!$I$532:$AJ$532&amp;'Gastos com Pessoal'!$I$512:$AJ$512,0),10,1)),0)+_xlfn.IFNA(SUM((E$3&gt;='Gastos com Pessoal'!$E$513:$E$522)*(E$3&lt;='Gastos com Pessoal'!$F$513:$F$522)*(IF('Gastos com Pessoal'!$M$513:$M$522&lt;=E$3,1,0))*OFFSET('Gastos com Pessoal'!$H$512,1,MATCH(2&amp;$B55,'Gastos com Pessoal'!$I$532:$AJ$532&amp;'Gastos com Pessoal'!$I$512:$AJ$512,0),10,1)),0)+_xlfn.IFNA(SUM((E$3&gt;='Gastos com Pessoal'!$E$513:$E$522)*(E$3&lt;='Gastos com Pessoal'!$F$513:$F$522)*(IF('Gastos com Pessoal'!$S$513:$S$522&lt;=E$3,1,0))*OFFSET('Gastos com Pessoal'!$H$512,1,MATCH(3&amp;$B55,'Gastos com Pessoal'!$I$532:$AJ$532&amp;'Gastos com Pessoal'!$I$512:$AJ$512,0),10,1)),0)+_xlfn.IFNA(SUM((E$3&gt;='Gastos com Pessoal'!$E$513:$E$522)*(E$3&lt;='Gastos com Pessoal'!$F$513:$F$522)*(IF('Gastos com Pessoal'!$Y$513:$Y$522&lt;=E$3,1,0))*OFFSET('Gastos com Pessoal'!$H$512,1,MATCH(4&amp;$B55,'Gastos com Pessoal'!$I$532:$AJ$532&amp;'Gastos com Pessoal'!$I$512:$AJ$512,0),10,1)),0)+_xlfn.IFNA(SUM((E$3&gt;='Gastos com Pessoal'!$E$513:$E$522)*(E$3&lt;='Gastos com Pessoal'!$F$513:$F$522)*(IF('Gastos com Pessoal'!$AE$513:$AE$522&lt;=E$3,1,0))*OFFSET('Gastos com Pessoal'!$H$512,1,MATCH(5&amp;$B55,'Gastos com Pessoal'!$I$532:$AJ$532&amp;'Gastos com Pessoal'!$I$512:$AJ$512,0),10,1)),0)</f>
        <v>0</v>
      </c>
      <c r="F55" s="188">
        <f t="array" aca="1" ref="F55" ca="1">_xlfn.IFNA(SUM((F$3&gt;='Gastos com Pessoal'!$E$7:$E$506)*(F$3&lt;='Gastos com Pessoal'!$F$7:$F$506)*OFFSET('Encargos e Benefícios'!$D$5,1,MATCH($B55,'Encargos e Benefícios'!$E$5:$AB$5,0),500,1)),0)+_xlfn.IFNA(SUM((F$3&gt;='Gastos com Pessoal'!$E$513:$E$522)*(F$3&lt;='Gastos com Pessoal'!$F$513:$F$522)*OFFSET('Encargos e Benefícios'!$D$511,1,MATCH($B55,'Encargos e Benefícios'!$E$511:$AB$511,0),10,1)),0)+_xlfn.IFNA(SUM((F$3&gt;='Gastos com Pessoal'!$E$7:$E$506)*(F$3&lt;='Gastos com Pessoal'!$F$7:$F$506)*(IF('Gastos com Pessoal'!$G$7:$G$506&lt;=F$3,1,0))*OFFSET('Gastos com Pessoal'!$H$6,1,MATCH(1&amp;$B55,'Gastos com Pessoal'!$I$532:$AJ$532&amp;'Gastos com Pessoal'!$I$6:$AJ$6,0),500,1)),0)+_xlfn.IFNA(SUM((F$3&gt;='Gastos com Pessoal'!$E$7:$E$506)*(F$3&lt;='Gastos com Pessoal'!$F$7:$F$506)*(IF('Gastos com Pessoal'!$M$7:$M$506&lt;=F$3,1,0))*OFFSET('Gastos com Pessoal'!$H$6,1,MATCH(2&amp;$B55,'Gastos com Pessoal'!$I$532:$AJ$532&amp;'Gastos com Pessoal'!$I$6:$AJ$6,0),500,1)),0)+_xlfn.IFNA(SUM((F$3&gt;='Gastos com Pessoal'!$E$7:$E$506)*(F$3&lt;='Gastos com Pessoal'!$F$7:$F$506)*(IF('Gastos com Pessoal'!$S$7:$S$506&lt;=F$3,1,0))*OFFSET('Gastos com Pessoal'!$H$6,1,MATCH(3&amp;$B55,'Gastos com Pessoal'!$I$532:$AJ$532&amp;'Gastos com Pessoal'!$I$6:$AJ$6,0),500,1)),0)+_xlfn.IFNA(SUM((F$3&gt;='Gastos com Pessoal'!$E$7:$E$506)*(F$3&lt;='Gastos com Pessoal'!$F$7:$F$506)*(IF('Gastos com Pessoal'!$Y$7:$Y$506&lt;=F$3,1,0))*OFFSET('Gastos com Pessoal'!$H$6,1,MATCH(4&amp;$B55,'Gastos com Pessoal'!$I$532:$AJ$532&amp;'Gastos com Pessoal'!$I$6:$AJ$6,0),500,1)),0)+_xlfn.IFNA(SUM((F$3&gt;='Gastos com Pessoal'!$E$7:$E$506)*(F$3&lt;='Gastos com Pessoal'!$F$7:$F$506)*(IF('Gastos com Pessoal'!$AE$7:$AE$506&lt;=F$3,1,0))*OFFSET('Gastos com Pessoal'!$H$6,1,MATCH(5&amp;$B55,'Gastos com Pessoal'!$I$532:$AJ$532&amp;'Gastos com Pessoal'!$I$6:$AJ$6,0),500,1)),0)+_xlfn.IFNA(SUM((F$3&gt;='Gastos com Pessoal'!$E$513:$E$522)*(F$3&lt;='Gastos com Pessoal'!$F$513:$F$522)*(IF('Gastos com Pessoal'!$G$513:$G$522&lt;=F$3,1,0))*OFFSET('Gastos com Pessoal'!$H$512,1,MATCH(1&amp;$B55,'Gastos com Pessoal'!$I$532:$AJ$532&amp;'Gastos com Pessoal'!$I$512:$AJ$512,0),10,1)),0)+_xlfn.IFNA(SUM((F$3&gt;='Gastos com Pessoal'!$E$513:$E$522)*(F$3&lt;='Gastos com Pessoal'!$F$513:$F$522)*(IF('Gastos com Pessoal'!$M$513:$M$522&lt;=F$3,1,0))*OFFSET('Gastos com Pessoal'!$H$512,1,MATCH(2&amp;$B55,'Gastos com Pessoal'!$I$532:$AJ$532&amp;'Gastos com Pessoal'!$I$512:$AJ$512,0),10,1)),0)+_xlfn.IFNA(SUM((F$3&gt;='Gastos com Pessoal'!$E$513:$E$522)*(F$3&lt;='Gastos com Pessoal'!$F$513:$F$522)*(IF('Gastos com Pessoal'!$S$513:$S$522&lt;=F$3,1,0))*OFFSET('Gastos com Pessoal'!$H$512,1,MATCH(3&amp;$B55,'Gastos com Pessoal'!$I$532:$AJ$532&amp;'Gastos com Pessoal'!$I$512:$AJ$512,0),10,1)),0)+_xlfn.IFNA(SUM((F$3&gt;='Gastos com Pessoal'!$E$513:$E$522)*(F$3&lt;='Gastos com Pessoal'!$F$513:$F$522)*(IF('Gastos com Pessoal'!$Y$513:$Y$522&lt;=F$3,1,0))*OFFSET('Gastos com Pessoal'!$H$512,1,MATCH(4&amp;$B55,'Gastos com Pessoal'!$I$532:$AJ$532&amp;'Gastos com Pessoal'!$I$512:$AJ$512,0),10,1)),0)+_xlfn.IFNA(SUM((F$3&gt;='Gastos com Pessoal'!$E$513:$E$522)*(F$3&lt;='Gastos com Pessoal'!$F$513:$F$522)*(IF('Gastos com Pessoal'!$AE$513:$AE$522&lt;=F$3,1,0))*OFFSET('Gastos com Pessoal'!$H$512,1,MATCH(5&amp;$B55,'Gastos com Pessoal'!$I$532:$AJ$532&amp;'Gastos com Pessoal'!$I$512:$AJ$512,0),10,1)),0)</f>
        <v>0</v>
      </c>
      <c r="G55" s="188">
        <f t="array" aca="1" ref="G55" ca="1">_xlfn.IFNA(SUM((G$3&gt;='Gastos com Pessoal'!$E$7:$E$506)*(G$3&lt;='Gastos com Pessoal'!$F$7:$F$506)*OFFSET('Encargos e Benefícios'!$D$5,1,MATCH($B55,'Encargos e Benefícios'!$E$5:$AB$5,0),500,1)),0)+_xlfn.IFNA(SUM((G$3&gt;='Gastos com Pessoal'!$E$513:$E$522)*(G$3&lt;='Gastos com Pessoal'!$F$513:$F$522)*OFFSET('Encargos e Benefícios'!$D$511,1,MATCH($B55,'Encargos e Benefícios'!$E$511:$AB$511,0),10,1)),0)+_xlfn.IFNA(SUM((G$3&gt;='Gastos com Pessoal'!$E$7:$E$506)*(G$3&lt;='Gastos com Pessoal'!$F$7:$F$506)*(IF('Gastos com Pessoal'!$G$7:$G$506&lt;=G$3,1,0))*OFFSET('Gastos com Pessoal'!$H$6,1,MATCH(1&amp;$B55,'Gastos com Pessoal'!$I$532:$AJ$532&amp;'Gastos com Pessoal'!$I$6:$AJ$6,0),500,1)),0)+_xlfn.IFNA(SUM((G$3&gt;='Gastos com Pessoal'!$E$7:$E$506)*(G$3&lt;='Gastos com Pessoal'!$F$7:$F$506)*(IF('Gastos com Pessoal'!$M$7:$M$506&lt;=G$3,1,0))*OFFSET('Gastos com Pessoal'!$H$6,1,MATCH(2&amp;$B55,'Gastos com Pessoal'!$I$532:$AJ$532&amp;'Gastos com Pessoal'!$I$6:$AJ$6,0),500,1)),0)+_xlfn.IFNA(SUM((G$3&gt;='Gastos com Pessoal'!$E$7:$E$506)*(G$3&lt;='Gastos com Pessoal'!$F$7:$F$506)*(IF('Gastos com Pessoal'!$S$7:$S$506&lt;=G$3,1,0))*OFFSET('Gastos com Pessoal'!$H$6,1,MATCH(3&amp;$B55,'Gastos com Pessoal'!$I$532:$AJ$532&amp;'Gastos com Pessoal'!$I$6:$AJ$6,0),500,1)),0)+_xlfn.IFNA(SUM((G$3&gt;='Gastos com Pessoal'!$E$7:$E$506)*(G$3&lt;='Gastos com Pessoal'!$F$7:$F$506)*(IF('Gastos com Pessoal'!$Y$7:$Y$506&lt;=G$3,1,0))*OFFSET('Gastos com Pessoal'!$H$6,1,MATCH(4&amp;$B55,'Gastos com Pessoal'!$I$532:$AJ$532&amp;'Gastos com Pessoal'!$I$6:$AJ$6,0),500,1)),0)+_xlfn.IFNA(SUM((G$3&gt;='Gastos com Pessoal'!$E$7:$E$506)*(G$3&lt;='Gastos com Pessoal'!$F$7:$F$506)*(IF('Gastos com Pessoal'!$AE$7:$AE$506&lt;=G$3,1,0))*OFFSET('Gastos com Pessoal'!$H$6,1,MATCH(5&amp;$B55,'Gastos com Pessoal'!$I$532:$AJ$532&amp;'Gastos com Pessoal'!$I$6:$AJ$6,0),500,1)),0)+_xlfn.IFNA(SUM((G$3&gt;='Gastos com Pessoal'!$E$513:$E$522)*(G$3&lt;='Gastos com Pessoal'!$F$513:$F$522)*(IF('Gastos com Pessoal'!$G$513:$G$522&lt;=G$3,1,0))*OFFSET('Gastos com Pessoal'!$H$512,1,MATCH(1&amp;$B55,'Gastos com Pessoal'!$I$532:$AJ$532&amp;'Gastos com Pessoal'!$I$512:$AJ$512,0),10,1)),0)+_xlfn.IFNA(SUM((G$3&gt;='Gastos com Pessoal'!$E$513:$E$522)*(G$3&lt;='Gastos com Pessoal'!$F$513:$F$522)*(IF('Gastos com Pessoal'!$M$513:$M$522&lt;=G$3,1,0))*OFFSET('Gastos com Pessoal'!$H$512,1,MATCH(2&amp;$B55,'Gastos com Pessoal'!$I$532:$AJ$532&amp;'Gastos com Pessoal'!$I$512:$AJ$512,0),10,1)),0)+_xlfn.IFNA(SUM((G$3&gt;='Gastos com Pessoal'!$E$513:$E$522)*(G$3&lt;='Gastos com Pessoal'!$F$513:$F$522)*(IF('Gastos com Pessoal'!$S$513:$S$522&lt;=G$3,1,0))*OFFSET('Gastos com Pessoal'!$H$512,1,MATCH(3&amp;$B55,'Gastos com Pessoal'!$I$532:$AJ$532&amp;'Gastos com Pessoal'!$I$512:$AJ$512,0),10,1)),0)+_xlfn.IFNA(SUM((G$3&gt;='Gastos com Pessoal'!$E$513:$E$522)*(G$3&lt;='Gastos com Pessoal'!$F$513:$F$522)*(IF('Gastos com Pessoal'!$Y$513:$Y$522&lt;=G$3,1,0))*OFFSET('Gastos com Pessoal'!$H$512,1,MATCH(4&amp;$B55,'Gastos com Pessoal'!$I$532:$AJ$532&amp;'Gastos com Pessoal'!$I$512:$AJ$512,0),10,1)),0)+_xlfn.IFNA(SUM((G$3&gt;='Gastos com Pessoal'!$E$513:$E$522)*(G$3&lt;='Gastos com Pessoal'!$F$513:$F$522)*(IF('Gastos com Pessoal'!$AE$513:$AE$522&lt;=G$3,1,0))*OFFSET('Gastos com Pessoal'!$H$512,1,MATCH(5&amp;$B55,'Gastos com Pessoal'!$I$532:$AJ$532&amp;'Gastos com Pessoal'!$I$512:$AJ$512,0),10,1)),0)</f>
        <v>0</v>
      </c>
      <c r="H55" s="188">
        <f t="array" aca="1" ref="H55" ca="1">_xlfn.IFNA(SUM((H$3&gt;='Gastos com Pessoal'!$E$7:$E$506)*(H$3&lt;='Gastos com Pessoal'!$F$7:$F$506)*OFFSET('Encargos e Benefícios'!$D$5,1,MATCH($B55,'Encargos e Benefícios'!$E$5:$AB$5,0),500,1)),0)+_xlfn.IFNA(SUM((H$3&gt;='Gastos com Pessoal'!$E$513:$E$522)*(H$3&lt;='Gastos com Pessoal'!$F$513:$F$522)*OFFSET('Encargos e Benefícios'!$D$511,1,MATCH($B55,'Encargos e Benefícios'!$E$511:$AB$511,0),10,1)),0)+_xlfn.IFNA(SUM((H$3&gt;='Gastos com Pessoal'!$E$7:$E$506)*(H$3&lt;='Gastos com Pessoal'!$F$7:$F$506)*(IF('Gastos com Pessoal'!$G$7:$G$506&lt;=H$3,1,0))*OFFSET('Gastos com Pessoal'!$H$6,1,MATCH(1&amp;$B55,'Gastos com Pessoal'!$I$532:$AJ$532&amp;'Gastos com Pessoal'!$I$6:$AJ$6,0),500,1)),0)+_xlfn.IFNA(SUM((H$3&gt;='Gastos com Pessoal'!$E$7:$E$506)*(H$3&lt;='Gastos com Pessoal'!$F$7:$F$506)*(IF('Gastos com Pessoal'!$M$7:$M$506&lt;=H$3,1,0))*OFFSET('Gastos com Pessoal'!$H$6,1,MATCH(2&amp;$B55,'Gastos com Pessoal'!$I$532:$AJ$532&amp;'Gastos com Pessoal'!$I$6:$AJ$6,0),500,1)),0)+_xlfn.IFNA(SUM((H$3&gt;='Gastos com Pessoal'!$E$7:$E$506)*(H$3&lt;='Gastos com Pessoal'!$F$7:$F$506)*(IF('Gastos com Pessoal'!$S$7:$S$506&lt;=H$3,1,0))*OFFSET('Gastos com Pessoal'!$H$6,1,MATCH(3&amp;$B55,'Gastos com Pessoal'!$I$532:$AJ$532&amp;'Gastos com Pessoal'!$I$6:$AJ$6,0),500,1)),0)+_xlfn.IFNA(SUM((H$3&gt;='Gastos com Pessoal'!$E$7:$E$506)*(H$3&lt;='Gastos com Pessoal'!$F$7:$F$506)*(IF('Gastos com Pessoal'!$Y$7:$Y$506&lt;=H$3,1,0))*OFFSET('Gastos com Pessoal'!$H$6,1,MATCH(4&amp;$B55,'Gastos com Pessoal'!$I$532:$AJ$532&amp;'Gastos com Pessoal'!$I$6:$AJ$6,0),500,1)),0)+_xlfn.IFNA(SUM((H$3&gt;='Gastos com Pessoal'!$E$7:$E$506)*(H$3&lt;='Gastos com Pessoal'!$F$7:$F$506)*(IF('Gastos com Pessoal'!$AE$7:$AE$506&lt;=H$3,1,0))*OFFSET('Gastos com Pessoal'!$H$6,1,MATCH(5&amp;$B55,'Gastos com Pessoal'!$I$532:$AJ$532&amp;'Gastos com Pessoal'!$I$6:$AJ$6,0),500,1)),0)+_xlfn.IFNA(SUM((H$3&gt;='Gastos com Pessoal'!$E$513:$E$522)*(H$3&lt;='Gastos com Pessoal'!$F$513:$F$522)*(IF('Gastos com Pessoal'!$G$513:$G$522&lt;=H$3,1,0))*OFFSET('Gastos com Pessoal'!$H$512,1,MATCH(1&amp;$B55,'Gastos com Pessoal'!$I$532:$AJ$532&amp;'Gastos com Pessoal'!$I$512:$AJ$512,0),10,1)),0)+_xlfn.IFNA(SUM((H$3&gt;='Gastos com Pessoal'!$E$513:$E$522)*(H$3&lt;='Gastos com Pessoal'!$F$513:$F$522)*(IF('Gastos com Pessoal'!$M$513:$M$522&lt;=H$3,1,0))*OFFSET('Gastos com Pessoal'!$H$512,1,MATCH(2&amp;$B55,'Gastos com Pessoal'!$I$532:$AJ$532&amp;'Gastos com Pessoal'!$I$512:$AJ$512,0),10,1)),0)+_xlfn.IFNA(SUM((H$3&gt;='Gastos com Pessoal'!$E$513:$E$522)*(H$3&lt;='Gastos com Pessoal'!$F$513:$F$522)*(IF('Gastos com Pessoal'!$S$513:$S$522&lt;=H$3,1,0))*OFFSET('Gastos com Pessoal'!$H$512,1,MATCH(3&amp;$B55,'Gastos com Pessoal'!$I$532:$AJ$532&amp;'Gastos com Pessoal'!$I$512:$AJ$512,0),10,1)),0)+_xlfn.IFNA(SUM((H$3&gt;='Gastos com Pessoal'!$E$513:$E$522)*(H$3&lt;='Gastos com Pessoal'!$F$513:$F$522)*(IF('Gastos com Pessoal'!$Y$513:$Y$522&lt;=H$3,1,0))*OFFSET('Gastos com Pessoal'!$H$512,1,MATCH(4&amp;$B55,'Gastos com Pessoal'!$I$532:$AJ$532&amp;'Gastos com Pessoal'!$I$512:$AJ$512,0),10,1)),0)+_xlfn.IFNA(SUM((H$3&gt;='Gastos com Pessoal'!$E$513:$E$522)*(H$3&lt;='Gastos com Pessoal'!$F$513:$F$522)*(IF('Gastos com Pessoal'!$AE$513:$AE$522&lt;=H$3,1,0))*OFFSET('Gastos com Pessoal'!$H$512,1,MATCH(5&amp;$B55,'Gastos com Pessoal'!$I$532:$AJ$532&amp;'Gastos com Pessoal'!$I$512:$AJ$512,0),10,1)),0)</f>
        <v>0</v>
      </c>
      <c r="I55" s="188">
        <f t="array" aca="1" ref="I55" ca="1">_xlfn.IFNA(SUM((I$3&gt;='Gastos com Pessoal'!$E$7:$E$506)*(I$3&lt;='Gastos com Pessoal'!$F$7:$F$506)*OFFSET('Encargos e Benefícios'!$D$5,1,MATCH($B55,'Encargos e Benefícios'!$E$5:$AB$5,0),500,1)),0)+_xlfn.IFNA(SUM((I$3&gt;='Gastos com Pessoal'!$E$513:$E$522)*(I$3&lt;='Gastos com Pessoal'!$F$513:$F$522)*OFFSET('Encargos e Benefícios'!$D$511,1,MATCH($B55,'Encargos e Benefícios'!$E$511:$AB$511,0),10,1)),0)+_xlfn.IFNA(SUM((I$3&gt;='Gastos com Pessoal'!$E$7:$E$506)*(I$3&lt;='Gastos com Pessoal'!$F$7:$F$506)*(IF('Gastos com Pessoal'!$G$7:$G$506&lt;=I$3,1,0))*OFFSET('Gastos com Pessoal'!$H$6,1,MATCH(1&amp;$B55,'Gastos com Pessoal'!$I$532:$AJ$532&amp;'Gastos com Pessoal'!$I$6:$AJ$6,0),500,1)),0)+_xlfn.IFNA(SUM((I$3&gt;='Gastos com Pessoal'!$E$7:$E$506)*(I$3&lt;='Gastos com Pessoal'!$F$7:$F$506)*(IF('Gastos com Pessoal'!$M$7:$M$506&lt;=I$3,1,0))*OFFSET('Gastos com Pessoal'!$H$6,1,MATCH(2&amp;$B55,'Gastos com Pessoal'!$I$532:$AJ$532&amp;'Gastos com Pessoal'!$I$6:$AJ$6,0),500,1)),0)+_xlfn.IFNA(SUM((I$3&gt;='Gastos com Pessoal'!$E$7:$E$506)*(I$3&lt;='Gastos com Pessoal'!$F$7:$F$506)*(IF('Gastos com Pessoal'!$S$7:$S$506&lt;=I$3,1,0))*OFFSET('Gastos com Pessoal'!$H$6,1,MATCH(3&amp;$B55,'Gastos com Pessoal'!$I$532:$AJ$532&amp;'Gastos com Pessoal'!$I$6:$AJ$6,0),500,1)),0)+_xlfn.IFNA(SUM((I$3&gt;='Gastos com Pessoal'!$E$7:$E$506)*(I$3&lt;='Gastos com Pessoal'!$F$7:$F$506)*(IF('Gastos com Pessoal'!$Y$7:$Y$506&lt;=I$3,1,0))*OFFSET('Gastos com Pessoal'!$H$6,1,MATCH(4&amp;$B55,'Gastos com Pessoal'!$I$532:$AJ$532&amp;'Gastos com Pessoal'!$I$6:$AJ$6,0),500,1)),0)+_xlfn.IFNA(SUM((I$3&gt;='Gastos com Pessoal'!$E$7:$E$506)*(I$3&lt;='Gastos com Pessoal'!$F$7:$F$506)*(IF('Gastos com Pessoal'!$AE$7:$AE$506&lt;=I$3,1,0))*OFFSET('Gastos com Pessoal'!$H$6,1,MATCH(5&amp;$B55,'Gastos com Pessoal'!$I$532:$AJ$532&amp;'Gastos com Pessoal'!$I$6:$AJ$6,0),500,1)),0)+_xlfn.IFNA(SUM((I$3&gt;='Gastos com Pessoal'!$E$513:$E$522)*(I$3&lt;='Gastos com Pessoal'!$F$513:$F$522)*(IF('Gastos com Pessoal'!$G$513:$G$522&lt;=I$3,1,0))*OFFSET('Gastos com Pessoal'!$H$512,1,MATCH(1&amp;$B55,'Gastos com Pessoal'!$I$532:$AJ$532&amp;'Gastos com Pessoal'!$I$512:$AJ$512,0),10,1)),0)+_xlfn.IFNA(SUM((I$3&gt;='Gastos com Pessoal'!$E$513:$E$522)*(I$3&lt;='Gastos com Pessoal'!$F$513:$F$522)*(IF('Gastos com Pessoal'!$M$513:$M$522&lt;=I$3,1,0))*OFFSET('Gastos com Pessoal'!$H$512,1,MATCH(2&amp;$B55,'Gastos com Pessoal'!$I$532:$AJ$532&amp;'Gastos com Pessoal'!$I$512:$AJ$512,0),10,1)),0)+_xlfn.IFNA(SUM((I$3&gt;='Gastos com Pessoal'!$E$513:$E$522)*(I$3&lt;='Gastos com Pessoal'!$F$513:$F$522)*(IF('Gastos com Pessoal'!$S$513:$S$522&lt;=I$3,1,0))*OFFSET('Gastos com Pessoal'!$H$512,1,MATCH(3&amp;$B55,'Gastos com Pessoal'!$I$532:$AJ$532&amp;'Gastos com Pessoal'!$I$512:$AJ$512,0),10,1)),0)+_xlfn.IFNA(SUM((I$3&gt;='Gastos com Pessoal'!$E$513:$E$522)*(I$3&lt;='Gastos com Pessoal'!$F$513:$F$522)*(IF('Gastos com Pessoal'!$Y$513:$Y$522&lt;=I$3,1,0))*OFFSET('Gastos com Pessoal'!$H$512,1,MATCH(4&amp;$B55,'Gastos com Pessoal'!$I$532:$AJ$532&amp;'Gastos com Pessoal'!$I$512:$AJ$512,0),10,1)),0)+_xlfn.IFNA(SUM((I$3&gt;='Gastos com Pessoal'!$E$513:$E$522)*(I$3&lt;='Gastos com Pessoal'!$F$513:$F$522)*(IF('Gastos com Pessoal'!$AE$513:$AE$522&lt;=I$3,1,0))*OFFSET('Gastos com Pessoal'!$H$512,1,MATCH(5&amp;$B55,'Gastos com Pessoal'!$I$532:$AJ$532&amp;'Gastos com Pessoal'!$I$512:$AJ$512,0),10,1)),0)</f>
        <v>0</v>
      </c>
      <c r="J55" s="188">
        <f t="array" aca="1" ref="J55" ca="1">_xlfn.IFNA(SUM((J$3&gt;='Gastos com Pessoal'!$E$7:$E$506)*(J$3&lt;='Gastos com Pessoal'!$F$7:$F$506)*OFFSET('Encargos e Benefícios'!$D$5,1,MATCH($B55,'Encargos e Benefícios'!$E$5:$AB$5,0),500,1)),0)+_xlfn.IFNA(SUM((J$3&gt;='Gastos com Pessoal'!$E$513:$E$522)*(J$3&lt;='Gastos com Pessoal'!$F$513:$F$522)*OFFSET('Encargos e Benefícios'!$D$511,1,MATCH($B55,'Encargos e Benefícios'!$E$511:$AB$511,0),10,1)),0)+_xlfn.IFNA(SUM((J$3&gt;='Gastos com Pessoal'!$E$7:$E$506)*(J$3&lt;='Gastos com Pessoal'!$F$7:$F$506)*(IF('Gastos com Pessoal'!$G$7:$G$506&lt;=J$3,1,0))*OFFSET('Gastos com Pessoal'!$H$6,1,MATCH(1&amp;$B55,'Gastos com Pessoal'!$I$532:$AJ$532&amp;'Gastos com Pessoal'!$I$6:$AJ$6,0),500,1)),0)+_xlfn.IFNA(SUM((J$3&gt;='Gastos com Pessoal'!$E$7:$E$506)*(J$3&lt;='Gastos com Pessoal'!$F$7:$F$506)*(IF('Gastos com Pessoal'!$M$7:$M$506&lt;=J$3,1,0))*OFFSET('Gastos com Pessoal'!$H$6,1,MATCH(2&amp;$B55,'Gastos com Pessoal'!$I$532:$AJ$532&amp;'Gastos com Pessoal'!$I$6:$AJ$6,0),500,1)),0)+_xlfn.IFNA(SUM((J$3&gt;='Gastos com Pessoal'!$E$7:$E$506)*(J$3&lt;='Gastos com Pessoal'!$F$7:$F$506)*(IF('Gastos com Pessoal'!$S$7:$S$506&lt;=J$3,1,0))*OFFSET('Gastos com Pessoal'!$H$6,1,MATCH(3&amp;$B55,'Gastos com Pessoal'!$I$532:$AJ$532&amp;'Gastos com Pessoal'!$I$6:$AJ$6,0),500,1)),0)+_xlfn.IFNA(SUM((J$3&gt;='Gastos com Pessoal'!$E$7:$E$506)*(J$3&lt;='Gastos com Pessoal'!$F$7:$F$506)*(IF('Gastos com Pessoal'!$Y$7:$Y$506&lt;=J$3,1,0))*OFFSET('Gastos com Pessoal'!$H$6,1,MATCH(4&amp;$B55,'Gastos com Pessoal'!$I$532:$AJ$532&amp;'Gastos com Pessoal'!$I$6:$AJ$6,0),500,1)),0)+_xlfn.IFNA(SUM((J$3&gt;='Gastos com Pessoal'!$E$7:$E$506)*(J$3&lt;='Gastos com Pessoal'!$F$7:$F$506)*(IF('Gastos com Pessoal'!$AE$7:$AE$506&lt;=J$3,1,0))*OFFSET('Gastos com Pessoal'!$H$6,1,MATCH(5&amp;$B55,'Gastos com Pessoal'!$I$532:$AJ$532&amp;'Gastos com Pessoal'!$I$6:$AJ$6,0),500,1)),0)+_xlfn.IFNA(SUM((J$3&gt;='Gastos com Pessoal'!$E$513:$E$522)*(J$3&lt;='Gastos com Pessoal'!$F$513:$F$522)*(IF('Gastos com Pessoal'!$G$513:$G$522&lt;=J$3,1,0))*OFFSET('Gastos com Pessoal'!$H$512,1,MATCH(1&amp;$B55,'Gastos com Pessoal'!$I$532:$AJ$532&amp;'Gastos com Pessoal'!$I$512:$AJ$512,0),10,1)),0)+_xlfn.IFNA(SUM((J$3&gt;='Gastos com Pessoal'!$E$513:$E$522)*(J$3&lt;='Gastos com Pessoal'!$F$513:$F$522)*(IF('Gastos com Pessoal'!$M$513:$M$522&lt;=J$3,1,0))*OFFSET('Gastos com Pessoal'!$H$512,1,MATCH(2&amp;$B55,'Gastos com Pessoal'!$I$532:$AJ$532&amp;'Gastos com Pessoal'!$I$512:$AJ$512,0),10,1)),0)+_xlfn.IFNA(SUM((J$3&gt;='Gastos com Pessoal'!$E$513:$E$522)*(J$3&lt;='Gastos com Pessoal'!$F$513:$F$522)*(IF('Gastos com Pessoal'!$S$513:$S$522&lt;=J$3,1,0))*OFFSET('Gastos com Pessoal'!$H$512,1,MATCH(3&amp;$B55,'Gastos com Pessoal'!$I$532:$AJ$532&amp;'Gastos com Pessoal'!$I$512:$AJ$512,0),10,1)),0)+_xlfn.IFNA(SUM((J$3&gt;='Gastos com Pessoal'!$E$513:$E$522)*(J$3&lt;='Gastos com Pessoal'!$F$513:$F$522)*(IF('Gastos com Pessoal'!$Y$513:$Y$522&lt;=J$3,1,0))*OFFSET('Gastos com Pessoal'!$H$512,1,MATCH(4&amp;$B55,'Gastos com Pessoal'!$I$532:$AJ$532&amp;'Gastos com Pessoal'!$I$512:$AJ$512,0),10,1)),0)+_xlfn.IFNA(SUM((J$3&gt;='Gastos com Pessoal'!$E$513:$E$522)*(J$3&lt;='Gastos com Pessoal'!$F$513:$F$522)*(IF('Gastos com Pessoal'!$AE$513:$AE$522&lt;=J$3,1,0))*OFFSET('Gastos com Pessoal'!$H$512,1,MATCH(5&amp;$B55,'Gastos com Pessoal'!$I$532:$AJ$532&amp;'Gastos com Pessoal'!$I$512:$AJ$512,0),10,1)),0)</f>
        <v>0</v>
      </c>
      <c r="K55" s="188">
        <f t="array" aca="1" ref="K55" ca="1">_xlfn.IFNA(SUM((K$3&gt;='Gastos com Pessoal'!$E$7:$E$506)*(K$3&lt;='Gastos com Pessoal'!$F$7:$F$506)*OFFSET('Encargos e Benefícios'!$D$5,1,MATCH($B55,'Encargos e Benefícios'!$E$5:$AB$5,0),500,1)),0)+_xlfn.IFNA(SUM((K$3&gt;='Gastos com Pessoal'!$E$513:$E$522)*(K$3&lt;='Gastos com Pessoal'!$F$513:$F$522)*OFFSET('Encargos e Benefícios'!$D$511,1,MATCH($B55,'Encargos e Benefícios'!$E$511:$AB$511,0),10,1)),0)+_xlfn.IFNA(SUM((K$3&gt;='Gastos com Pessoal'!$E$7:$E$506)*(K$3&lt;='Gastos com Pessoal'!$F$7:$F$506)*(IF('Gastos com Pessoal'!$G$7:$G$506&lt;=K$3,1,0))*OFFSET('Gastos com Pessoal'!$H$6,1,MATCH(1&amp;$B55,'Gastos com Pessoal'!$I$532:$AJ$532&amp;'Gastos com Pessoal'!$I$6:$AJ$6,0),500,1)),0)+_xlfn.IFNA(SUM((K$3&gt;='Gastos com Pessoal'!$E$7:$E$506)*(K$3&lt;='Gastos com Pessoal'!$F$7:$F$506)*(IF('Gastos com Pessoal'!$M$7:$M$506&lt;=K$3,1,0))*OFFSET('Gastos com Pessoal'!$H$6,1,MATCH(2&amp;$B55,'Gastos com Pessoal'!$I$532:$AJ$532&amp;'Gastos com Pessoal'!$I$6:$AJ$6,0),500,1)),0)+_xlfn.IFNA(SUM((K$3&gt;='Gastos com Pessoal'!$E$7:$E$506)*(K$3&lt;='Gastos com Pessoal'!$F$7:$F$506)*(IF('Gastos com Pessoal'!$S$7:$S$506&lt;=K$3,1,0))*OFFSET('Gastos com Pessoal'!$H$6,1,MATCH(3&amp;$B55,'Gastos com Pessoal'!$I$532:$AJ$532&amp;'Gastos com Pessoal'!$I$6:$AJ$6,0),500,1)),0)+_xlfn.IFNA(SUM((K$3&gt;='Gastos com Pessoal'!$E$7:$E$506)*(K$3&lt;='Gastos com Pessoal'!$F$7:$F$506)*(IF('Gastos com Pessoal'!$Y$7:$Y$506&lt;=K$3,1,0))*OFFSET('Gastos com Pessoal'!$H$6,1,MATCH(4&amp;$B55,'Gastos com Pessoal'!$I$532:$AJ$532&amp;'Gastos com Pessoal'!$I$6:$AJ$6,0),500,1)),0)+_xlfn.IFNA(SUM((K$3&gt;='Gastos com Pessoal'!$E$7:$E$506)*(K$3&lt;='Gastos com Pessoal'!$F$7:$F$506)*(IF('Gastos com Pessoal'!$AE$7:$AE$506&lt;=K$3,1,0))*OFFSET('Gastos com Pessoal'!$H$6,1,MATCH(5&amp;$B55,'Gastos com Pessoal'!$I$532:$AJ$532&amp;'Gastos com Pessoal'!$I$6:$AJ$6,0),500,1)),0)+_xlfn.IFNA(SUM((K$3&gt;='Gastos com Pessoal'!$E$513:$E$522)*(K$3&lt;='Gastos com Pessoal'!$F$513:$F$522)*(IF('Gastos com Pessoal'!$G$513:$G$522&lt;=K$3,1,0))*OFFSET('Gastos com Pessoal'!$H$512,1,MATCH(1&amp;$B55,'Gastos com Pessoal'!$I$532:$AJ$532&amp;'Gastos com Pessoal'!$I$512:$AJ$512,0),10,1)),0)+_xlfn.IFNA(SUM((K$3&gt;='Gastos com Pessoal'!$E$513:$E$522)*(K$3&lt;='Gastos com Pessoal'!$F$513:$F$522)*(IF('Gastos com Pessoal'!$M$513:$M$522&lt;=K$3,1,0))*OFFSET('Gastos com Pessoal'!$H$512,1,MATCH(2&amp;$B55,'Gastos com Pessoal'!$I$532:$AJ$532&amp;'Gastos com Pessoal'!$I$512:$AJ$512,0),10,1)),0)+_xlfn.IFNA(SUM((K$3&gt;='Gastos com Pessoal'!$E$513:$E$522)*(K$3&lt;='Gastos com Pessoal'!$F$513:$F$522)*(IF('Gastos com Pessoal'!$S$513:$S$522&lt;=K$3,1,0))*OFFSET('Gastos com Pessoal'!$H$512,1,MATCH(3&amp;$B55,'Gastos com Pessoal'!$I$532:$AJ$532&amp;'Gastos com Pessoal'!$I$512:$AJ$512,0),10,1)),0)+_xlfn.IFNA(SUM((K$3&gt;='Gastos com Pessoal'!$E$513:$E$522)*(K$3&lt;='Gastos com Pessoal'!$F$513:$F$522)*(IF('Gastos com Pessoal'!$Y$513:$Y$522&lt;=K$3,1,0))*OFFSET('Gastos com Pessoal'!$H$512,1,MATCH(4&amp;$B55,'Gastos com Pessoal'!$I$532:$AJ$532&amp;'Gastos com Pessoal'!$I$512:$AJ$512,0),10,1)),0)+_xlfn.IFNA(SUM((K$3&gt;='Gastos com Pessoal'!$E$513:$E$522)*(K$3&lt;='Gastos com Pessoal'!$F$513:$F$522)*(IF('Gastos com Pessoal'!$AE$513:$AE$522&lt;=K$3,1,0))*OFFSET('Gastos com Pessoal'!$H$512,1,MATCH(5&amp;$B55,'Gastos com Pessoal'!$I$532:$AJ$532&amp;'Gastos com Pessoal'!$I$512:$AJ$512,0),10,1)),0)</f>
        <v>0</v>
      </c>
      <c r="L55" s="188">
        <f t="array" aca="1" ref="L55" ca="1">_xlfn.IFNA(SUM((L$3&gt;='Gastos com Pessoal'!$E$7:$E$506)*(L$3&lt;='Gastos com Pessoal'!$F$7:$F$506)*OFFSET('Encargos e Benefícios'!$D$5,1,MATCH($B55,'Encargos e Benefícios'!$E$5:$AB$5,0),500,1)),0)+_xlfn.IFNA(SUM((L$3&gt;='Gastos com Pessoal'!$E$513:$E$522)*(L$3&lt;='Gastos com Pessoal'!$F$513:$F$522)*OFFSET('Encargos e Benefícios'!$D$511,1,MATCH($B55,'Encargos e Benefícios'!$E$511:$AB$511,0),10,1)),0)+_xlfn.IFNA(SUM((L$3&gt;='Gastos com Pessoal'!$E$7:$E$506)*(L$3&lt;='Gastos com Pessoal'!$F$7:$F$506)*(IF('Gastos com Pessoal'!$G$7:$G$506&lt;=L$3,1,0))*OFFSET('Gastos com Pessoal'!$H$6,1,MATCH(1&amp;$B55,'Gastos com Pessoal'!$I$532:$AJ$532&amp;'Gastos com Pessoal'!$I$6:$AJ$6,0),500,1)),0)+_xlfn.IFNA(SUM((L$3&gt;='Gastos com Pessoal'!$E$7:$E$506)*(L$3&lt;='Gastos com Pessoal'!$F$7:$F$506)*(IF('Gastos com Pessoal'!$M$7:$M$506&lt;=L$3,1,0))*OFFSET('Gastos com Pessoal'!$H$6,1,MATCH(2&amp;$B55,'Gastos com Pessoal'!$I$532:$AJ$532&amp;'Gastos com Pessoal'!$I$6:$AJ$6,0),500,1)),0)+_xlfn.IFNA(SUM((L$3&gt;='Gastos com Pessoal'!$E$7:$E$506)*(L$3&lt;='Gastos com Pessoal'!$F$7:$F$506)*(IF('Gastos com Pessoal'!$S$7:$S$506&lt;=L$3,1,0))*OFFSET('Gastos com Pessoal'!$H$6,1,MATCH(3&amp;$B55,'Gastos com Pessoal'!$I$532:$AJ$532&amp;'Gastos com Pessoal'!$I$6:$AJ$6,0),500,1)),0)+_xlfn.IFNA(SUM((L$3&gt;='Gastos com Pessoal'!$E$7:$E$506)*(L$3&lt;='Gastos com Pessoal'!$F$7:$F$506)*(IF('Gastos com Pessoal'!$Y$7:$Y$506&lt;=L$3,1,0))*OFFSET('Gastos com Pessoal'!$H$6,1,MATCH(4&amp;$B55,'Gastos com Pessoal'!$I$532:$AJ$532&amp;'Gastos com Pessoal'!$I$6:$AJ$6,0),500,1)),0)+_xlfn.IFNA(SUM((L$3&gt;='Gastos com Pessoal'!$E$7:$E$506)*(L$3&lt;='Gastos com Pessoal'!$F$7:$F$506)*(IF('Gastos com Pessoal'!$AE$7:$AE$506&lt;=L$3,1,0))*OFFSET('Gastos com Pessoal'!$H$6,1,MATCH(5&amp;$B55,'Gastos com Pessoal'!$I$532:$AJ$532&amp;'Gastos com Pessoal'!$I$6:$AJ$6,0),500,1)),0)+_xlfn.IFNA(SUM((L$3&gt;='Gastos com Pessoal'!$E$513:$E$522)*(L$3&lt;='Gastos com Pessoal'!$F$513:$F$522)*(IF('Gastos com Pessoal'!$G$513:$G$522&lt;=L$3,1,0))*OFFSET('Gastos com Pessoal'!$H$512,1,MATCH(1&amp;$B55,'Gastos com Pessoal'!$I$532:$AJ$532&amp;'Gastos com Pessoal'!$I$512:$AJ$512,0),10,1)),0)+_xlfn.IFNA(SUM((L$3&gt;='Gastos com Pessoal'!$E$513:$E$522)*(L$3&lt;='Gastos com Pessoal'!$F$513:$F$522)*(IF('Gastos com Pessoal'!$M$513:$M$522&lt;=L$3,1,0))*OFFSET('Gastos com Pessoal'!$H$512,1,MATCH(2&amp;$B55,'Gastos com Pessoal'!$I$532:$AJ$532&amp;'Gastos com Pessoal'!$I$512:$AJ$512,0),10,1)),0)+_xlfn.IFNA(SUM((L$3&gt;='Gastos com Pessoal'!$E$513:$E$522)*(L$3&lt;='Gastos com Pessoal'!$F$513:$F$522)*(IF('Gastos com Pessoal'!$S$513:$S$522&lt;=L$3,1,0))*OFFSET('Gastos com Pessoal'!$H$512,1,MATCH(3&amp;$B55,'Gastos com Pessoal'!$I$532:$AJ$532&amp;'Gastos com Pessoal'!$I$512:$AJ$512,0),10,1)),0)+_xlfn.IFNA(SUM((L$3&gt;='Gastos com Pessoal'!$E$513:$E$522)*(L$3&lt;='Gastos com Pessoal'!$F$513:$F$522)*(IF('Gastos com Pessoal'!$Y$513:$Y$522&lt;=L$3,1,0))*OFFSET('Gastos com Pessoal'!$H$512,1,MATCH(4&amp;$B55,'Gastos com Pessoal'!$I$532:$AJ$532&amp;'Gastos com Pessoal'!$I$512:$AJ$512,0),10,1)),0)+_xlfn.IFNA(SUM((L$3&gt;='Gastos com Pessoal'!$E$513:$E$522)*(L$3&lt;='Gastos com Pessoal'!$F$513:$F$522)*(IF('Gastos com Pessoal'!$AE$513:$AE$522&lt;=L$3,1,0))*OFFSET('Gastos com Pessoal'!$H$512,1,MATCH(5&amp;$B55,'Gastos com Pessoal'!$I$532:$AJ$532&amp;'Gastos com Pessoal'!$I$512:$AJ$512,0),10,1)),0)</f>
        <v>0</v>
      </c>
      <c r="M55" s="188">
        <f t="array" aca="1" ref="M55" ca="1">_xlfn.IFNA(SUM((M$3&gt;='Gastos com Pessoal'!$E$7:$E$506)*(M$3&lt;='Gastos com Pessoal'!$F$7:$F$506)*OFFSET('Encargos e Benefícios'!$D$5,1,MATCH($B55,'Encargos e Benefícios'!$E$5:$AB$5,0),500,1)),0)+_xlfn.IFNA(SUM((M$3&gt;='Gastos com Pessoal'!$E$513:$E$522)*(M$3&lt;='Gastos com Pessoal'!$F$513:$F$522)*OFFSET('Encargos e Benefícios'!$D$511,1,MATCH($B55,'Encargos e Benefícios'!$E$511:$AB$511,0),10,1)),0)+_xlfn.IFNA(SUM((M$3&gt;='Gastos com Pessoal'!$E$7:$E$506)*(M$3&lt;='Gastos com Pessoal'!$F$7:$F$506)*(IF('Gastos com Pessoal'!$G$7:$G$506&lt;=M$3,1,0))*OFFSET('Gastos com Pessoal'!$H$6,1,MATCH(1&amp;$B55,'Gastos com Pessoal'!$I$532:$AJ$532&amp;'Gastos com Pessoal'!$I$6:$AJ$6,0),500,1)),0)+_xlfn.IFNA(SUM((M$3&gt;='Gastos com Pessoal'!$E$7:$E$506)*(M$3&lt;='Gastos com Pessoal'!$F$7:$F$506)*(IF('Gastos com Pessoal'!$M$7:$M$506&lt;=M$3,1,0))*OFFSET('Gastos com Pessoal'!$H$6,1,MATCH(2&amp;$B55,'Gastos com Pessoal'!$I$532:$AJ$532&amp;'Gastos com Pessoal'!$I$6:$AJ$6,0),500,1)),0)+_xlfn.IFNA(SUM((M$3&gt;='Gastos com Pessoal'!$E$7:$E$506)*(M$3&lt;='Gastos com Pessoal'!$F$7:$F$506)*(IF('Gastos com Pessoal'!$S$7:$S$506&lt;=M$3,1,0))*OFFSET('Gastos com Pessoal'!$H$6,1,MATCH(3&amp;$B55,'Gastos com Pessoal'!$I$532:$AJ$532&amp;'Gastos com Pessoal'!$I$6:$AJ$6,0),500,1)),0)+_xlfn.IFNA(SUM((M$3&gt;='Gastos com Pessoal'!$E$7:$E$506)*(M$3&lt;='Gastos com Pessoal'!$F$7:$F$506)*(IF('Gastos com Pessoal'!$Y$7:$Y$506&lt;=M$3,1,0))*OFFSET('Gastos com Pessoal'!$H$6,1,MATCH(4&amp;$B55,'Gastos com Pessoal'!$I$532:$AJ$532&amp;'Gastos com Pessoal'!$I$6:$AJ$6,0),500,1)),0)+_xlfn.IFNA(SUM((M$3&gt;='Gastos com Pessoal'!$E$7:$E$506)*(M$3&lt;='Gastos com Pessoal'!$F$7:$F$506)*(IF('Gastos com Pessoal'!$AE$7:$AE$506&lt;=M$3,1,0))*OFFSET('Gastos com Pessoal'!$H$6,1,MATCH(5&amp;$B55,'Gastos com Pessoal'!$I$532:$AJ$532&amp;'Gastos com Pessoal'!$I$6:$AJ$6,0),500,1)),0)+_xlfn.IFNA(SUM((M$3&gt;='Gastos com Pessoal'!$E$513:$E$522)*(M$3&lt;='Gastos com Pessoal'!$F$513:$F$522)*(IF('Gastos com Pessoal'!$G$513:$G$522&lt;=M$3,1,0))*OFFSET('Gastos com Pessoal'!$H$512,1,MATCH(1&amp;$B55,'Gastos com Pessoal'!$I$532:$AJ$532&amp;'Gastos com Pessoal'!$I$512:$AJ$512,0),10,1)),0)+_xlfn.IFNA(SUM((M$3&gt;='Gastos com Pessoal'!$E$513:$E$522)*(M$3&lt;='Gastos com Pessoal'!$F$513:$F$522)*(IF('Gastos com Pessoal'!$M$513:$M$522&lt;=M$3,1,0))*OFFSET('Gastos com Pessoal'!$H$512,1,MATCH(2&amp;$B55,'Gastos com Pessoal'!$I$532:$AJ$532&amp;'Gastos com Pessoal'!$I$512:$AJ$512,0),10,1)),0)+_xlfn.IFNA(SUM((M$3&gt;='Gastos com Pessoal'!$E$513:$E$522)*(M$3&lt;='Gastos com Pessoal'!$F$513:$F$522)*(IF('Gastos com Pessoal'!$S$513:$S$522&lt;=M$3,1,0))*OFFSET('Gastos com Pessoal'!$H$512,1,MATCH(3&amp;$B55,'Gastos com Pessoal'!$I$532:$AJ$532&amp;'Gastos com Pessoal'!$I$512:$AJ$512,0),10,1)),0)+_xlfn.IFNA(SUM((M$3&gt;='Gastos com Pessoal'!$E$513:$E$522)*(M$3&lt;='Gastos com Pessoal'!$F$513:$F$522)*(IF('Gastos com Pessoal'!$Y$513:$Y$522&lt;=M$3,1,0))*OFFSET('Gastos com Pessoal'!$H$512,1,MATCH(4&amp;$B55,'Gastos com Pessoal'!$I$532:$AJ$532&amp;'Gastos com Pessoal'!$I$512:$AJ$512,0),10,1)),0)+_xlfn.IFNA(SUM((M$3&gt;='Gastos com Pessoal'!$E$513:$E$522)*(M$3&lt;='Gastos com Pessoal'!$F$513:$F$522)*(IF('Gastos com Pessoal'!$AE$513:$AE$522&lt;=M$3,1,0))*OFFSET('Gastos com Pessoal'!$H$512,1,MATCH(5&amp;$B55,'Gastos com Pessoal'!$I$532:$AJ$532&amp;'Gastos com Pessoal'!$I$512:$AJ$512,0),10,1)),0)</f>
        <v>0</v>
      </c>
      <c r="N55" s="188">
        <f t="array" aca="1" ref="N55" ca="1">_xlfn.IFNA(SUM((N$3&gt;='Gastos com Pessoal'!$E$7:$E$506)*(N$3&lt;='Gastos com Pessoal'!$F$7:$F$506)*OFFSET('Encargos e Benefícios'!$D$5,1,MATCH($B55,'Encargos e Benefícios'!$E$5:$AB$5,0),500,1)),0)+_xlfn.IFNA(SUM((N$3&gt;='Gastos com Pessoal'!$E$513:$E$522)*(N$3&lt;='Gastos com Pessoal'!$F$513:$F$522)*OFFSET('Encargos e Benefícios'!$D$511,1,MATCH($B55,'Encargos e Benefícios'!$E$511:$AB$511,0),10,1)),0)+_xlfn.IFNA(SUM((N$3&gt;='Gastos com Pessoal'!$E$7:$E$506)*(N$3&lt;='Gastos com Pessoal'!$F$7:$F$506)*(IF('Gastos com Pessoal'!$G$7:$G$506&lt;=N$3,1,0))*OFFSET('Gastos com Pessoal'!$H$6,1,MATCH(1&amp;$B55,'Gastos com Pessoal'!$I$532:$AJ$532&amp;'Gastos com Pessoal'!$I$6:$AJ$6,0),500,1)),0)+_xlfn.IFNA(SUM((N$3&gt;='Gastos com Pessoal'!$E$7:$E$506)*(N$3&lt;='Gastos com Pessoal'!$F$7:$F$506)*(IF('Gastos com Pessoal'!$M$7:$M$506&lt;=N$3,1,0))*OFFSET('Gastos com Pessoal'!$H$6,1,MATCH(2&amp;$B55,'Gastos com Pessoal'!$I$532:$AJ$532&amp;'Gastos com Pessoal'!$I$6:$AJ$6,0),500,1)),0)+_xlfn.IFNA(SUM((N$3&gt;='Gastos com Pessoal'!$E$7:$E$506)*(N$3&lt;='Gastos com Pessoal'!$F$7:$F$506)*(IF('Gastos com Pessoal'!$S$7:$S$506&lt;=N$3,1,0))*OFFSET('Gastos com Pessoal'!$H$6,1,MATCH(3&amp;$B55,'Gastos com Pessoal'!$I$532:$AJ$532&amp;'Gastos com Pessoal'!$I$6:$AJ$6,0),500,1)),0)+_xlfn.IFNA(SUM((N$3&gt;='Gastos com Pessoal'!$E$7:$E$506)*(N$3&lt;='Gastos com Pessoal'!$F$7:$F$506)*(IF('Gastos com Pessoal'!$Y$7:$Y$506&lt;=N$3,1,0))*OFFSET('Gastos com Pessoal'!$H$6,1,MATCH(4&amp;$B55,'Gastos com Pessoal'!$I$532:$AJ$532&amp;'Gastos com Pessoal'!$I$6:$AJ$6,0),500,1)),0)+_xlfn.IFNA(SUM((N$3&gt;='Gastos com Pessoal'!$E$7:$E$506)*(N$3&lt;='Gastos com Pessoal'!$F$7:$F$506)*(IF('Gastos com Pessoal'!$AE$7:$AE$506&lt;=N$3,1,0))*OFFSET('Gastos com Pessoal'!$H$6,1,MATCH(5&amp;$B55,'Gastos com Pessoal'!$I$532:$AJ$532&amp;'Gastos com Pessoal'!$I$6:$AJ$6,0),500,1)),0)+_xlfn.IFNA(SUM((N$3&gt;='Gastos com Pessoal'!$E$513:$E$522)*(N$3&lt;='Gastos com Pessoal'!$F$513:$F$522)*(IF('Gastos com Pessoal'!$G$513:$G$522&lt;=N$3,1,0))*OFFSET('Gastos com Pessoal'!$H$512,1,MATCH(1&amp;$B55,'Gastos com Pessoal'!$I$532:$AJ$532&amp;'Gastos com Pessoal'!$I$512:$AJ$512,0),10,1)),0)+_xlfn.IFNA(SUM((N$3&gt;='Gastos com Pessoal'!$E$513:$E$522)*(N$3&lt;='Gastos com Pessoal'!$F$513:$F$522)*(IF('Gastos com Pessoal'!$M$513:$M$522&lt;=N$3,1,0))*OFFSET('Gastos com Pessoal'!$H$512,1,MATCH(2&amp;$B55,'Gastos com Pessoal'!$I$532:$AJ$532&amp;'Gastos com Pessoal'!$I$512:$AJ$512,0),10,1)),0)+_xlfn.IFNA(SUM((N$3&gt;='Gastos com Pessoal'!$E$513:$E$522)*(N$3&lt;='Gastos com Pessoal'!$F$513:$F$522)*(IF('Gastos com Pessoal'!$S$513:$S$522&lt;=N$3,1,0))*OFFSET('Gastos com Pessoal'!$H$512,1,MATCH(3&amp;$B55,'Gastos com Pessoal'!$I$532:$AJ$532&amp;'Gastos com Pessoal'!$I$512:$AJ$512,0),10,1)),0)+_xlfn.IFNA(SUM((N$3&gt;='Gastos com Pessoal'!$E$513:$E$522)*(N$3&lt;='Gastos com Pessoal'!$F$513:$F$522)*(IF('Gastos com Pessoal'!$Y$513:$Y$522&lt;=N$3,1,0))*OFFSET('Gastos com Pessoal'!$H$512,1,MATCH(4&amp;$B55,'Gastos com Pessoal'!$I$532:$AJ$532&amp;'Gastos com Pessoal'!$I$512:$AJ$512,0),10,1)),0)+_xlfn.IFNA(SUM((N$3&gt;='Gastos com Pessoal'!$E$513:$E$522)*(N$3&lt;='Gastos com Pessoal'!$F$513:$F$522)*(IF('Gastos com Pessoal'!$AE$513:$AE$522&lt;=N$3,1,0))*OFFSET('Gastos com Pessoal'!$H$512,1,MATCH(5&amp;$B55,'Gastos com Pessoal'!$I$532:$AJ$532&amp;'Gastos com Pessoal'!$I$512:$AJ$512,0),10,1)),0)</f>
        <v>0</v>
      </c>
      <c r="O55" s="188">
        <f t="array" aca="1" ref="O55" ca="1">_xlfn.IFNA(SUM((O$3&gt;='Gastos com Pessoal'!$E$7:$E$506)*(O$3&lt;='Gastos com Pessoal'!$F$7:$F$506)*OFFSET('Encargos e Benefícios'!$D$5,1,MATCH($B55,'Encargos e Benefícios'!$E$5:$AB$5,0),500,1)),0)+_xlfn.IFNA(SUM((O$3&gt;='Gastos com Pessoal'!$E$513:$E$522)*(O$3&lt;='Gastos com Pessoal'!$F$513:$F$522)*OFFSET('Encargos e Benefícios'!$D$511,1,MATCH($B55,'Encargos e Benefícios'!$E$511:$AB$511,0),10,1)),0)+_xlfn.IFNA(SUM((O$3&gt;='Gastos com Pessoal'!$E$7:$E$506)*(O$3&lt;='Gastos com Pessoal'!$F$7:$F$506)*(IF('Gastos com Pessoal'!$G$7:$G$506&lt;=O$3,1,0))*OFFSET('Gastos com Pessoal'!$H$6,1,MATCH(1&amp;$B55,'Gastos com Pessoal'!$I$532:$AJ$532&amp;'Gastos com Pessoal'!$I$6:$AJ$6,0),500,1)),0)+_xlfn.IFNA(SUM((O$3&gt;='Gastos com Pessoal'!$E$7:$E$506)*(O$3&lt;='Gastos com Pessoal'!$F$7:$F$506)*(IF('Gastos com Pessoal'!$M$7:$M$506&lt;=O$3,1,0))*OFFSET('Gastos com Pessoal'!$H$6,1,MATCH(2&amp;$B55,'Gastos com Pessoal'!$I$532:$AJ$532&amp;'Gastos com Pessoal'!$I$6:$AJ$6,0),500,1)),0)+_xlfn.IFNA(SUM((O$3&gt;='Gastos com Pessoal'!$E$7:$E$506)*(O$3&lt;='Gastos com Pessoal'!$F$7:$F$506)*(IF('Gastos com Pessoal'!$S$7:$S$506&lt;=O$3,1,0))*OFFSET('Gastos com Pessoal'!$H$6,1,MATCH(3&amp;$B55,'Gastos com Pessoal'!$I$532:$AJ$532&amp;'Gastos com Pessoal'!$I$6:$AJ$6,0),500,1)),0)+_xlfn.IFNA(SUM((O$3&gt;='Gastos com Pessoal'!$E$7:$E$506)*(O$3&lt;='Gastos com Pessoal'!$F$7:$F$506)*(IF('Gastos com Pessoal'!$Y$7:$Y$506&lt;=O$3,1,0))*OFFSET('Gastos com Pessoal'!$H$6,1,MATCH(4&amp;$B55,'Gastos com Pessoal'!$I$532:$AJ$532&amp;'Gastos com Pessoal'!$I$6:$AJ$6,0),500,1)),0)+_xlfn.IFNA(SUM((O$3&gt;='Gastos com Pessoal'!$E$7:$E$506)*(O$3&lt;='Gastos com Pessoal'!$F$7:$F$506)*(IF('Gastos com Pessoal'!$AE$7:$AE$506&lt;=O$3,1,0))*OFFSET('Gastos com Pessoal'!$H$6,1,MATCH(5&amp;$B55,'Gastos com Pessoal'!$I$532:$AJ$532&amp;'Gastos com Pessoal'!$I$6:$AJ$6,0),500,1)),0)+_xlfn.IFNA(SUM((O$3&gt;='Gastos com Pessoal'!$E$513:$E$522)*(O$3&lt;='Gastos com Pessoal'!$F$513:$F$522)*(IF('Gastos com Pessoal'!$G$513:$G$522&lt;=O$3,1,0))*OFFSET('Gastos com Pessoal'!$H$512,1,MATCH(1&amp;$B55,'Gastos com Pessoal'!$I$532:$AJ$532&amp;'Gastos com Pessoal'!$I$512:$AJ$512,0),10,1)),0)+_xlfn.IFNA(SUM((O$3&gt;='Gastos com Pessoal'!$E$513:$E$522)*(O$3&lt;='Gastos com Pessoal'!$F$513:$F$522)*(IF('Gastos com Pessoal'!$M$513:$M$522&lt;=O$3,1,0))*OFFSET('Gastos com Pessoal'!$H$512,1,MATCH(2&amp;$B55,'Gastos com Pessoal'!$I$532:$AJ$532&amp;'Gastos com Pessoal'!$I$512:$AJ$512,0),10,1)),0)+_xlfn.IFNA(SUM((O$3&gt;='Gastos com Pessoal'!$E$513:$E$522)*(O$3&lt;='Gastos com Pessoal'!$F$513:$F$522)*(IF('Gastos com Pessoal'!$S$513:$S$522&lt;=O$3,1,0))*OFFSET('Gastos com Pessoal'!$H$512,1,MATCH(3&amp;$B55,'Gastos com Pessoal'!$I$532:$AJ$532&amp;'Gastos com Pessoal'!$I$512:$AJ$512,0),10,1)),0)+_xlfn.IFNA(SUM((O$3&gt;='Gastos com Pessoal'!$E$513:$E$522)*(O$3&lt;='Gastos com Pessoal'!$F$513:$F$522)*(IF('Gastos com Pessoal'!$Y$513:$Y$522&lt;=O$3,1,0))*OFFSET('Gastos com Pessoal'!$H$512,1,MATCH(4&amp;$B55,'Gastos com Pessoal'!$I$532:$AJ$532&amp;'Gastos com Pessoal'!$I$512:$AJ$512,0),10,1)),0)+_xlfn.IFNA(SUM((O$3&gt;='Gastos com Pessoal'!$E$513:$E$522)*(O$3&lt;='Gastos com Pessoal'!$F$513:$F$522)*(IF('Gastos com Pessoal'!$AE$513:$AE$522&lt;=O$3,1,0))*OFFSET('Gastos com Pessoal'!$H$512,1,MATCH(5&amp;$B55,'Gastos com Pessoal'!$I$532:$AJ$532&amp;'Gastos com Pessoal'!$I$512:$AJ$512,0),10,1)),0)</f>
        <v>0</v>
      </c>
      <c r="P55" s="188">
        <f t="array" aca="1" ref="P55" ca="1">_xlfn.IFNA(SUM((P$3&gt;='Gastos com Pessoal'!$E$7:$E$506)*(P$3&lt;='Gastos com Pessoal'!$F$7:$F$506)*OFFSET('Encargos e Benefícios'!$D$5,1,MATCH($B55,'Encargos e Benefícios'!$E$5:$AB$5,0),500,1)),0)+_xlfn.IFNA(SUM((P$3&gt;='Gastos com Pessoal'!$E$513:$E$522)*(P$3&lt;='Gastos com Pessoal'!$F$513:$F$522)*OFFSET('Encargos e Benefícios'!$D$511,1,MATCH($B55,'Encargos e Benefícios'!$E$511:$AB$511,0),10,1)),0)+_xlfn.IFNA(SUM((P$3&gt;='Gastos com Pessoal'!$E$7:$E$506)*(P$3&lt;='Gastos com Pessoal'!$F$7:$F$506)*(IF('Gastos com Pessoal'!$G$7:$G$506&lt;=P$3,1,0))*OFFSET('Gastos com Pessoal'!$H$6,1,MATCH(1&amp;$B55,'Gastos com Pessoal'!$I$532:$AJ$532&amp;'Gastos com Pessoal'!$I$6:$AJ$6,0),500,1)),0)+_xlfn.IFNA(SUM((P$3&gt;='Gastos com Pessoal'!$E$7:$E$506)*(P$3&lt;='Gastos com Pessoal'!$F$7:$F$506)*(IF('Gastos com Pessoal'!$M$7:$M$506&lt;=P$3,1,0))*OFFSET('Gastos com Pessoal'!$H$6,1,MATCH(2&amp;$B55,'Gastos com Pessoal'!$I$532:$AJ$532&amp;'Gastos com Pessoal'!$I$6:$AJ$6,0),500,1)),0)+_xlfn.IFNA(SUM((P$3&gt;='Gastos com Pessoal'!$E$7:$E$506)*(P$3&lt;='Gastos com Pessoal'!$F$7:$F$506)*(IF('Gastos com Pessoal'!$S$7:$S$506&lt;=P$3,1,0))*OFFSET('Gastos com Pessoal'!$H$6,1,MATCH(3&amp;$B55,'Gastos com Pessoal'!$I$532:$AJ$532&amp;'Gastos com Pessoal'!$I$6:$AJ$6,0),500,1)),0)+_xlfn.IFNA(SUM((P$3&gt;='Gastos com Pessoal'!$E$7:$E$506)*(P$3&lt;='Gastos com Pessoal'!$F$7:$F$506)*(IF('Gastos com Pessoal'!$Y$7:$Y$506&lt;=P$3,1,0))*OFFSET('Gastos com Pessoal'!$H$6,1,MATCH(4&amp;$B55,'Gastos com Pessoal'!$I$532:$AJ$532&amp;'Gastos com Pessoal'!$I$6:$AJ$6,0),500,1)),0)+_xlfn.IFNA(SUM((P$3&gt;='Gastos com Pessoal'!$E$7:$E$506)*(P$3&lt;='Gastos com Pessoal'!$F$7:$F$506)*(IF('Gastos com Pessoal'!$AE$7:$AE$506&lt;=P$3,1,0))*OFFSET('Gastos com Pessoal'!$H$6,1,MATCH(5&amp;$B55,'Gastos com Pessoal'!$I$532:$AJ$532&amp;'Gastos com Pessoal'!$I$6:$AJ$6,0),500,1)),0)+_xlfn.IFNA(SUM((P$3&gt;='Gastos com Pessoal'!$E$513:$E$522)*(P$3&lt;='Gastos com Pessoal'!$F$513:$F$522)*(IF('Gastos com Pessoal'!$G$513:$G$522&lt;=P$3,1,0))*OFFSET('Gastos com Pessoal'!$H$512,1,MATCH(1&amp;$B55,'Gastos com Pessoal'!$I$532:$AJ$532&amp;'Gastos com Pessoal'!$I$512:$AJ$512,0),10,1)),0)+_xlfn.IFNA(SUM((P$3&gt;='Gastos com Pessoal'!$E$513:$E$522)*(P$3&lt;='Gastos com Pessoal'!$F$513:$F$522)*(IF('Gastos com Pessoal'!$M$513:$M$522&lt;=P$3,1,0))*OFFSET('Gastos com Pessoal'!$H$512,1,MATCH(2&amp;$B55,'Gastos com Pessoal'!$I$532:$AJ$532&amp;'Gastos com Pessoal'!$I$512:$AJ$512,0),10,1)),0)+_xlfn.IFNA(SUM((P$3&gt;='Gastos com Pessoal'!$E$513:$E$522)*(P$3&lt;='Gastos com Pessoal'!$F$513:$F$522)*(IF('Gastos com Pessoal'!$S$513:$S$522&lt;=P$3,1,0))*OFFSET('Gastos com Pessoal'!$H$512,1,MATCH(3&amp;$B55,'Gastos com Pessoal'!$I$532:$AJ$532&amp;'Gastos com Pessoal'!$I$512:$AJ$512,0),10,1)),0)+_xlfn.IFNA(SUM((P$3&gt;='Gastos com Pessoal'!$E$513:$E$522)*(P$3&lt;='Gastos com Pessoal'!$F$513:$F$522)*(IF('Gastos com Pessoal'!$Y$513:$Y$522&lt;=P$3,1,0))*OFFSET('Gastos com Pessoal'!$H$512,1,MATCH(4&amp;$B55,'Gastos com Pessoal'!$I$532:$AJ$532&amp;'Gastos com Pessoal'!$I$512:$AJ$512,0),10,1)),0)+_xlfn.IFNA(SUM((P$3&gt;='Gastos com Pessoal'!$E$513:$E$522)*(P$3&lt;='Gastos com Pessoal'!$F$513:$F$522)*(IF('Gastos com Pessoal'!$AE$513:$AE$522&lt;=P$3,1,0))*OFFSET('Gastos com Pessoal'!$H$512,1,MATCH(5&amp;$B55,'Gastos com Pessoal'!$I$532:$AJ$532&amp;'Gastos com Pessoal'!$I$512:$AJ$512,0),10,1)),0)</f>
        <v>0</v>
      </c>
      <c r="Q55" s="188">
        <f t="array" aca="1" ref="Q55" ca="1">_xlfn.IFNA(SUM((Q$3&gt;='Gastos com Pessoal'!$E$7:$E$506)*(Q$3&lt;='Gastos com Pessoal'!$F$7:$F$506)*OFFSET('Encargos e Benefícios'!$D$5,1,MATCH($B55,'Encargos e Benefícios'!$E$5:$AB$5,0),500,1)),0)+_xlfn.IFNA(SUM((Q$3&gt;='Gastos com Pessoal'!$E$513:$E$522)*(Q$3&lt;='Gastos com Pessoal'!$F$513:$F$522)*OFFSET('Encargos e Benefícios'!$D$511,1,MATCH($B55,'Encargos e Benefícios'!$E$511:$AB$511,0),10,1)),0)+_xlfn.IFNA(SUM((Q$3&gt;='Gastos com Pessoal'!$E$7:$E$506)*(Q$3&lt;='Gastos com Pessoal'!$F$7:$F$506)*(IF('Gastos com Pessoal'!$G$7:$G$506&lt;=Q$3,1,0))*OFFSET('Gastos com Pessoal'!$H$6,1,MATCH(1&amp;$B55,'Gastos com Pessoal'!$I$532:$AJ$532&amp;'Gastos com Pessoal'!$I$6:$AJ$6,0),500,1)),0)+_xlfn.IFNA(SUM((Q$3&gt;='Gastos com Pessoal'!$E$7:$E$506)*(Q$3&lt;='Gastos com Pessoal'!$F$7:$F$506)*(IF('Gastos com Pessoal'!$M$7:$M$506&lt;=Q$3,1,0))*OFFSET('Gastos com Pessoal'!$H$6,1,MATCH(2&amp;$B55,'Gastos com Pessoal'!$I$532:$AJ$532&amp;'Gastos com Pessoal'!$I$6:$AJ$6,0),500,1)),0)+_xlfn.IFNA(SUM((Q$3&gt;='Gastos com Pessoal'!$E$7:$E$506)*(Q$3&lt;='Gastos com Pessoal'!$F$7:$F$506)*(IF('Gastos com Pessoal'!$S$7:$S$506&lt;=Q$3,1,0))*OFFSET('Gastos com Pessoal'!$H$6,1,MATCH(3&amp;$B55,'Gastos com Pessoal'!$I$532:$AJ$532&amp;'Gastos com Pessoal'!$I$6:$AJ$6,0),500,1)),0)+_xlfn.IFNA(SUM((Q$3&gt;='Gastos com Pessoal'!$E$7:$E$506)*(Q$3&lt;='Gastos com Pessoal'!$F$7:$F$506)*(IF('Gastos com Pessoal'!$Y$7:$Y$506&lt;=Q$3,1,0))*OFFSET('Gastos com Pessoal'!$H$6,1,MATCH(4&amp;$B55,'Gastos com Pessoal'!$I$532:$AJ$532&amp;'Gastos com Pessoal'!$I$6:$AJ$6,0),500,1)),0)+_xlfn.IFNA(SUM((Q$3&gt;='Gastos com Pessoal'!$E$7:$E$506)*(Q$3&lt;='Gastos com Pessoal'!$F$7:$F$506)*(IF('Gastos com Pessoal'!$AE$7:$AE$506&lt;=Q$3,1,0))*OFFSET('Gastos com Pessoal'!$H$6,1,MATCH(5&amp;$B55,'Gastos com Pessoal'!$I$532:$AJ$532&amp;'Gastos com Pessoal'!$I$6:$AJ$6,0),500,1)),0)+_xlfn.IFNA(SUM((Q$3&gt;='Gastos com Pessoal'!$E$513:$E$522)*(Q$3&lt;='Gastos com Pessoal'!$F$513:$F$522)*(IF('Gastos com Pessoal'!$G$513:$G$522&lt;=Q$3,1,0))*OFFSET('Gastos com Pessoal'!$H$512,1,MATCH(1&amp;$B55,'Gastos com Pessoal'!$I$532:$AJ$532&amp;'Gastos com Pessoal'!$I$512:$AJ$512,0),10,1)),0)+_xlfn.IFNA(SUM((Q$3&gt;='Gastos com Pessoal'!$E$513:$E$522)*(Q$3&lt;='Gastos com Pessoal'!$F$513:$F$522)*(IF('Gastos com Pessoal'!$M$513:$M$522&lt;=Q$3,1,0))*OFFSET('Gastos com Pessoal'!$H$512,1,MATCH(2&amp;$B55,'Gastos com Pessoal'!$I$532:$AJ$532&amp;'Gastos com Pessoal'!$I$512:$AJ$512,0),10,1)),0)+_xlfn.IFNA(SUM((Q$3&gt;='Gastos com Pessoal'!$E$513:$E$522)*(Q$3&lt;='Gastos com Pessoal'!$F$513:$F$522)*(IF('Gastos com Pessoal'!$S$513:$S$522&lt;=Q$3,1,0))*OFFSET('Gastos com Pessoal'!$H$512,1,MATCH(3&amp;$B55,'Gastos com Pessoal'!$I$532:$AJ$532&amp;'Gastos com Pessoal'!$I$512:$AJ$512,0),10,1)),0)+_xlfn.IFNA(SUM((Q$3&gt;='Gastos com Pessoal'!$E$513:$E$522)*(Q$3&lt;='Gastos com Pessoal'!$F$513:$F$522)*(IF('Gastos com Pessoal'!$Y$513:$Y$522&lt;=Q$3,1,0))*OFFSET('Gastos com Pessoal'!$H$512,1,MATCH(4&amp;$B55,'Gastos com Pessoal'!$I$532:$AJ$532&amp;'Gastos com Pessoal'!$I$512:$AJ$512,0),10,1)),0)+_xlfn.IFNA(SUM((Q$3&gt;='Gastos com Pessoal'!$E$513:$E$522)*(Q$3&lt;='Gastos com Pessoal'!$F$513:$F$522)*(IF('Gastos com Pessoal'!$AE$513:$AE$522&lt;=Q$3,1,0))*OFFSET('Gastos com Pessoal'!$H$512,1,MATCH(5&amp;$B55,'Gastos com Pessoal'!$I$532:$AJ$532&amp;'Gastos com Pessoal'!$I$512:$AJ$512,0),10,1)),0)</f>
        <v>0</v>
      </c>
      <c r="R55" s="188">
        <f t="array" aca="1" ref="R55" ca="1">_xlfn.IFNA(SUM((R$3&gt;='Gastos com Pessoal'!$E$7:$E$506)*(R$3&lt;='Gastos com Pessoal'!$F$7:$F$506)*OFFSET('Encargos e Benefícios'!$D$5,1,MATCH($B55,'Encargos e Benefícios'!$E$5:$AB$5,0),500,1)),0)+_xlfn.IFNA(SUM((R$3&gt;='Gastos com Pessoal'!$E$513:$E$522)*(R$3&lt;='Gastos com Pessoal'!$F$513:$F$522)*OFFSET('Encargos e Benefícios'!$D$511,1,MATCH($B55,'Encargos e Benefícios'!$E$511:$AB$511,0),10,1)),0)+_xlfn.IFNA(SUM((R$3&gt;='Gastos com Pessoal'!$E$7:$E$506)*(R$3&lt;='Gastos com Pessoal'!$F$7:$F$506)*(IF('Gastos com Pessoal'!$G$7:$G$506&lt;=R$3,1,0))*OFFSET('Gastos com Pessoal'!$H$6,1,MATCH(1&amp;$B55,'Gastos com Pessoal'!$I$532:$AJ$532&amp;'Gastos com Pessoal'!$I$6:$AJ$6,0),500,1)),0)+_xlfn.IFNA(SUM((R$3&gt;='Gastos com Pessoal'!$E$7:$E$506)*(R$3&lt;='Gastos com Pessoal'!$F$7:$F$506)*(IF('Gastos com Pessoal'!$M$7:$M$506&lt;=R$3,1,0))*OFFSET('Gastos com Pessoal'!$H$6,1,MATCH(2&amp;$B55,'Gastos com Pessoal'!$I$532:$AJ$532&amp;'Gastos com Pessoal'!$I$6:$AJ$6,0),500,1)),0)+_xlfn.IFNA(SUM((R$3&gt;='Gastos com Pessoal'!$E$7:$E$506)*(R$3&lt;='Gastos com Pessoal'!$F$7:$F$506)*(IF('Gastos com Pessoal'!$S$7:$S$506&lt;=R$3,1,0))*OFFSET('Gastos com Pessoal'!$H$6,1,MATCH(3&amp;$B55,'Gastos com Pessoal'!$I$532:$AJ$532&amp;'Gastos com Pessoal'!$I$6:$AJ$6,0),500,1)),0)+_xlfn.IFNA(SUM((R$3&gt;='Gastos com Pessoal'!$E$7:$E$506)*(R$3&lt;='Gastos com Pessoal'!$F$7:$F$506)*(IF('Gastos com Pessoal'!$Y$7:$Y$506&lt;=R$3,1,0))*OFFSET('Gastos com Pessoal'!$H$6,1,MATCH(4&amp;$B55,'Gastos com Pessoal'!$I$532:$AJ$532&amp;'Gastos com Pessoal'!$I$6:$AJ$6,0),500,1)),0)+_xlfn.IFNA(SUM((R$3&gt;='Gastos com Pessoal'!$E$7:$E$506)*(R$3&lt;='Gastos com Pessoal'!$F$7:$F$506)*(IF('Gastos com Pessoal'!$AE$7:$AE$506&lt;=R$3,1,0))*OFFSET('Gastos com Pessoal'!$H$6,1,MATCH(5&amp;$B55,'Gastos com Pessoal'!$I$532:$AJ$532&amp;'Gastos com Pessoal'!$I$6:$AJ$6,0),500,1)),0)+_xlfn.IFNA(SUM((R$3&gt;='Gastos com Pessoal'!$E$513:$E$522)*(R$3&lt;='Gastos com Pessoal'!$F$513:$F$522)*(IF('Gastos com Pessoal'!$G$513:$G$522&lt;=R$3,1,0))*OFFSET('Gastos com Pessoal'!$H$512,1,MATCH(1&amp;$B55,'Gastos com Pessoal'!$I$532:$AJ$532&amp;'Gastos com Pessoal'!$I$512:$AJ$512,0),10,1)),0)+_xlfn.IFNA(SUM((R$3&gt;='Gastos com Pessoal'!$E$513:$E$522)*(R$3&lt;='Gastos com Pessoal'!$F$513:$F$522)*(IF('Gastos com Pessoal'!$M$513:$M$522&lt;=R$3,1,0))*OFFSET('Gastos com Pessoal'!$H$512,1,MATCH(2&amp;$B55,'Gastos com Pessoal'!$I$532:$AJ$532&amp;'Gastos com Pessoal'!$I$512:$AJ$512,0),10,1)),0)+_xlfn.IFNA(SUM((R$3&gt;='Gastos com Pessoal'!$E$513:$E$522)*(R$3&lt;='Gastos com Pessoal'!$F$513:$F$522)*(IF('Gastos com Pessoal'!$S$513:$S$522&lt;=R$3,1,0))*OFFSET('Gastos com Pessoal'!$H$512,1,MATCH(3&amp;$B55,'Gastos com Pessoal'!$I$532:$AJ$532&amp;'Gastos com Pessoal'!$I$512:$AJ$512,0),10,1)),0)+_xlfn.IFNA(SUM((R$3&gt;='Gastos com Pessoal'!$E$513:$E$522)*(R$3&lt;='Gastos com Pessoal'!$F$513:$F$522)*(IF('Gastos com Pessoal'!$Y$513:$Y$522&lt;=R$3,1,0))*OFFSET('Gastos com Pessoal'!$H$512,1,MATCH(4&amp;$B55,'Gastos com Pessoal'!$I$532:$AJ$532&amp;'Gastos com Pessoal'!$I$512:$AJ$512,0),10,1)),0)+_xlfn.IFNA(SUM((R$3&gt;='Gastos com Pessoal'!$E$513:$E$522)*(R$3&lt;='Gastos com Pessoal'!$F$513:$F$522)*(IF('Gastos com Pessoal'!$AE$513:$AE$522&lt;=R$3,1,0))*OFFSET('Gastos com Pessoal'!$H$512,1,MATCH(5&amp;$B55,'Gastos com Pessoal'!$I$532:$AJ$532&amp;'Gastos com Pessoal'!$I$512:$AJ$512,0),10,1)),0)</f>
        <v>0</v>
      </c>
      <c r="S55" s="188">
        <f t="array" aca="1" ref="S55" ca="1">_xlfn.IFNA(SUM((S$3&gt;='Gastos com Pessoal'!$E$7:$E$506)*(S$3&lt;='Gastos com Pessoal'!$F$7:$F$506)*OFFSET('Encargos e Benefícios'!$D$5,1,MATCH($B55,'Encargos e Benefícios'!$E$5:$AB$5,0),500,1)),0)+_xlfn.IFNA(SUM((S$3&gt;='Gastos com Pessoal'!$E$513:$E$522)*(S$3&lt;='Gastos com Pessoal'!$F$513:$F$522)*OFFSET('Encargos e Benefícios'!$D$511,1,MATCH($B55,'Encargos e Benefícios'!$E$511:$AB$511,0),10,1)),0)+_xlfn.IFNA(SUM((S$3&gt;='Gastos com Pessoal'!$E$7:$E$506)*(S$3&lt;='Gastos com Pessoal'!$F$7:$F$506)*(IF('Gastos com Pessoal'!$G$7:$G$506&lt;=S$3,1,0))*OFFSET('Gastos com Pessoal'!$H$6,1,MATCH(1&amp;$B55,'Gastos com Pessoal'!$I$532:$AJ$532&amp;'Gastos com Pessoal'!$I$6:$AJ$6,0),500,1)),0)+_xlfn.IFNA(SUM((S$3&gt;='Gastos com Pessoal'!$E$7:$E$506)*(S$3&lt;='Gastos com Pessoal'!$F$7:$F$506)*(IF('Gastos com Pessoal'!$M$7:$M$506&lt;=S$3,1,0))*OFFSET('Gastos com Pessoal'!$H$6,1,MATCH(2&amp;$B55,'Gastos com Pessoal'!$I$532:$AJ$532&amp;'Gastos com Pessoal'!$I$6:$AJ$6,0),500,1)),0)+_xlfn.IFNA(SUM((S$3&gt;='Gastos com Pessoal'!$E$7:$E$506)*(S$3&lt;='Gastos com Pessoal'!$F$7:$F$506)*(IF('Gastos com Pessoal'!$S$7:$S$506&lt;=S$3,1,0))*OFFSET('Gastos com Pessoal'!$H$6,1,MATCH(3&amp;$B55,'Gastos com Pessoal'!$I$532:$AJ$532&amp;'Gastos com Pessoal'!$I$6:$AJ$6,0),500,1)),0)+_xlfn.IFNA(SUM((S$3&gt;='Gastos com Pessoal'!$E$7:$E$506)*(S$3&lt;='Gastos com Pessoal'!$F$7:$F$506)*(IF('Gastos com Pessoal'!$Y$7:$Y$506&lt;=S$3,1,0))*OFFSET('Gastos com Pessoal'!$H$6,1,MATCH(4&amp;$B55,'Gastos com Pessoal'!$I$532:$AJ$532&amp;'Gastos com Pessoal'!$I$6:$AJ$6,0),500,1)),0)+_xlfn.IFNA(SUM((S$3&gt;='Gastos com Pessoal'!$E$7:$E$506)*(S$3&lt;='Gastos com Pessoal'!$F$7:$F$506)*(IF('Gastos com Pessoal'!$AE$7:$AE$506&lt;=S$3,1,0))*OFFSET('Gastos com Pessoal'!$H$6,1,MATCH(5&amp;$B55,'Gastos com Pessoal'!$I$532:$AJ$532&amp;'Gastos com Pessoal'!$I$6:$AJ$6,0),500,1)),0)+_xlfn.IFNA(SUM((S$3&gt;='Gastos com Pessoal'!$E$513:$E$522)*(S$3&lt;='Gastos com Pessoal'!$F$513:$F$522)*(IF('Gastos com Pessoal'!$G$513:$G$522&lt;=S$3,1,0))*OFFSET('Gastos com Pessoal'!$H$512,1,MATCH(1&amp;$B55,'Gastos com Pessoal'!$I$532:$AJ$532&amp;'Gastos com Pessoal'!$I$512:$AJ$512,0),10,1)),0)+_xlfn.IFNA(SUM((S$3&gt;='Gastos com Pessoal'!$E$513:$E$522)*(S$3&lt;='Gastos com Pessoal'!$F$513:$F$522)*(IF('Gastos com Pessoal'!$M$513:$M$522&lt;=S$3,1,0))*OFFSET('Gastos com Pessoal'!$H$512,1,MATCH(2&amp;$B55,'Gastos com Pessoal'!$I$532:$AJ$532&amp;'Gastos com Pessoal'!$I$512:$AJ$512,0),10,1)),0)+_xlfn.IFNA(SUM((S$3&gt;='Gastos com Pessoal'!$E$513:$E$522)*(S$3&lt;='Gastos com Pessoal'!$F$513:$F$522)*(IF('Gastos com Pessoal'!$S$513:$S$522&lt;=S$3,1,0))*OFFSET('Gastos com Pessoal'!$H$512,1,MATCH(3&amp;$B55,'Gastos com Pessoal'!$I$532:$AJ$532&amp;'Gastos com Pessoal'!$I$512:$AJ$512,0),10,1)),0)+_xlfn.IFNA(SUM((S$3&gt;='Gastos com Pessoal'!$E$513:$E$522)*(S$3&lt;='Gastos com Pessoal'!$F$513:$F$522)*(IF('Gastos com Pessoal'!$Y$513:$Y$522&lt;=S$3,1,0))*OFFSET('Gastos com Pessoal'!$H$512,1,MATCH(4&amp;$B55,'Gastos com Pessoal'!$I$532:$AJ$532&amp;'Gastos com Pessoal'!$I$512:$AJ$512,0),10,1)),0)+_xlfn.IFNA(SUM((S$3&gt;='Gastos com Pessoal'!$E$513:$E$522)*(S$3&lt;='Gastos com Pessoal'!$F$513:$F$522)*(IF('Gastos com Pessoal'!$AE$513:$AE$522&lt;=S$3,1,0))*OFFSET('Gastos com Pessoal'!$H$512,1,MATCH(5&amp;$B55,'Gastos com Pessoal'!$I$532:$AJ$532&amp;'Gastos com Pessoal'!$I$512:$AJ$512,0),10,1)),0)</f>
        <v>0</v>
      </c>
      <c r="T55" s="188">
        <f t="array" aca="1" ref="T55" ca="1">_xlfn.IFNA(SUM((T$3&gt;='Gastos com Pessoal'!$E$7:$E$506)*(T$3&lt;='Gastos com Pessoal'!$F$7:$F$506)*OFFSET('Encargos e Benefícios'!$D$5,1,MATCH($B55,'Encargos e Benefícios'!$E$5:$AB$5,0),500,1)),0)+_xlfn.IFNA(SUM((T$3&gt;='Gastos com Pessoal'!$E$513:$E$522)*(T$3&lt;='Gastos com Pessoal'!$F$513:$F$522)*OFFSET('Encargos e Benefícios'!$D$511,1,MATCH($B55,'Encargos e Benefícios'!$E$511:$AB$511,0),10,1)),0)+_xlfn.IFNA(SUM((T$3&gt;='Gastos com Pessoal'!$E$7:$E$506)*(T$3&lt;='Gastos com Pessoal'!$F$7:$F$506)*(IF('Gastos com Pessoal'!$G$7:$G$506&lt;=T$3,1,0))*OFFSET('Gastos com Pessoal'!$H$6,1,MATCH(1&amp;$B55,'Gastos com Pessoal'!$I$532:$AJ$532&amp;'Gastos com Pessoal'!$I$6:$AJ$6,0),500,1)),0)+_xlfn.IFNA(SUM((T$3&gt;='Gastos com Pessoal'!$E$7:$E$506)*(T$3&lt;='Gastos com Pessoal'!$F$7:$F$506)*(IF('Gastos com Pessoal'!$M$7:$M$506&lt;=T$3,1,0))*OFFSET('Gastos com Pessoal'!$H$6,1,MATCH(2&amp;$B55,'Gastos com Pessoal'!$I$532:$AJ$532&amp;'Gastos com Pessoal'!$I$6:$AJ$6,0),500,1)),0)+_xlfn.IFNA(SUM((T$3&gt;='Gastos com Pessoal'!$E$7:$E$506)*(T$3&lt;='Gastos com Pessoal'!$F$7:$F$506)*(IF('Gastos com Pessoal'!$S$7:$S$506&lt;=T$3,1,0))*OFFSET('Gastos com Pessoal'!$H$6,1,MATCH(3&amp;$B55,'Gastos com Pessoal'!$I$532:$AJ$532&amp;'Gastos com Pessoal'!$I$6:$AJ$6,0),500,1)),0)+_xlfn.IFNA(SUM((T$3&gt;='Gastos com Pessoal'!$E$7:$E$506)*(T$3&lt;='Gastos com Pessoal'!$F$7:$F$506)*(IF('Gastos com Pessoal'!$Y$7:$Y$506&lt;=T$3,1,0))*OFFSET('Gastos com Pessoal'!$H$6,1,MATCH(4&amp;$B55,'Gastos com Pessoal'!$I$532:$AJ$532&amp;'Gastos com Pessoal'!$I$6:$AJ$6,0),500,1)),0)+_xlfn.IFNA(SUM((T$3&gt;='Gastos com Pessoal'!$E$7:$E$506)*(T$3&lt;='Gastos com Pessoal'!$F$7:$F$506)*(IF('Gastos com Pessoal'!$AE$7:$AE$506&lt;=T$3,1,0))*OFFSET('Gastos com Pessoal'!$H$6,1,MATCH(5&amp;$B55,'Gastos com Pessoal'!$I$532:$AJ$532&amp;'Gastos com Pessoal'!$I$6:$AJ$6,0),500,1)),0)+_xlfn.IFNA(SUM((T$3&gt;='Gastos com Pessoal'!$E$513:$E$522)*(T$3&lt;='Gastos com Pessoal'!$F$513:$F$522)*(IF('Gastos com Pessoal'!$G$513:$G$522&lt;=T$3,1,0))*OFFSET('Gastos com Pessoal'!$H$512,1,MATCH(1&amp;$B55,'Gastos com Pessoal'!$I$532:$AJ$532&amp;'Gastos com Pessoal'!$I$512:$AJ$512,0),10,1)),0)+_xlfn.IFNA(SUM((T$3&gt;='Gastos com Pessoal'!$E$513:$E$522)*(T$3&lt;='Gastos com Pessoal'!$F$513:$F$522)*(IF('Gastos com Pessoal'!$M$513:$M$522&lt;=T$3,1,0))*OFFSET('Gastos com Pessoal'!$H$512,1,MATCH(2&amp;$B55,'Gastos com Pessoal'!$I$532:$AJ$532&amp;'Gastos com Pessoal'!$I$512:$AJ$512,0),10,1)),0)+_xlfn.IFNA(SUM((T$3&gt;='Gastos com Pessoal'!$E$513:$E$522)*(T$3&lt;='Gastos com Pessoal'!$F$513:$F$522)*(IF('Gastos com Pessoal'!$S$513:$S$522&lt;=T$3,1,0))*OFFSET('Gastos com Pessoal'!$H$512,1,MATCH(3&amp;$B55,'Gastos com Pessoal'!$I$532:$AJ$532&amp;'Gastos com Pessoal'!$I$512:$AJ$512,0),10,1)),0)+_xlfn.IFNA(SUM((T$3&gt;='Gastos com Pessoal'!$E$513:$E$522)*(T$3&lt;='Gastos com Pessoal'!$F$513:$F$522)*(IF('Gastos com Pessoal'!$Y$513:$Y$522&lt;=T$3,1,0))*OFFSET('Gastos com Pessoal'!$H$512,1,MATCH(4&amp;$B55,'Gastos com Pessoal'!$I$532:$AJ$532&amp;'Gastos com Pessoal'!$I$512:$AJ$512,0),10,1)),0)+_xlfn.IFNA(SUM((T$3&gt;='Gastos com Pessoal'!$E$513:$E$522)*(T$3&lt;='Gastos com Pessoal'!$F$513:$F$522)*(IF('Gastos com Pessoal'!$AE$513:$AE$522&lt;=T$3,1,0))*OFFSET('Gastos com Pessoal'!$H$512,1,MATCH(5&amp;$B55,'Gastos com Pessoal'!$I$532:$AJ$532&amp;'Gastos com Pessoal'!$I$512:$AJ$512,0),10,1)),0)</f>
        <v>0</v>
      </c>
      <c r="U55" s="188">
        <f t="array" aca="1" ref="U55" ca="1">_xlfn.IFNA(SUM((U$3&gt;='Gastos com Pessoal'!$E$7:$E$506)*(U$3&lt;='Gastos com Pessoal'!$F$7:$F$506)*OFFSET('Encargos e Benefícios'!$D$5,1,MATCH($B55,'Encargos e Benefícios'!$E$5:$AB$5,0),500,1)),0)+_xlfn.IFNA(SUM((U$3&gt;='Gastos com Pessoal'!$E$513:$E$522)*(U$3&lt;='Gastos com Pessoal'!$F$513:$F$522)*OFFSET('Encargos e Benefícios'!$D$511,1,MATCH($B55,'Encargos e Benefícios'!$E$511:$AB$511,0),10,1)),0)+_xlfn.IFNA(SUM((U$3&gt;='Gastos com Pessoal'!$E$7:$E$506)*(U$3&lt;='Gastos com Pessoal'!$F$7:$F$506)*(IF('Gastos com Pessoal'!$G$7:$G$506&lt;=U$3,1,0))*OFFSET('Gastos com Pessoal'!$H$6,1,MATCH(1&amp;$B55,'Gastos com Pessoal'!$I$532:$AJ$532&amp;'Gastos com Pessoal'!$I$6:$AJ$6,0),500,1)),0)+_xlfn.IFNA(SUM((U$3&gt;='Gastos com Pessoal'!$E$7:$E$506)*(U$3&lt;='Gastos com Pessoal'!$F$7:$F$506)*(IF('Gastos com Pessoal'!$M$7:$M$506&lt;=U$3,1,0))*OFFSET('Gastos com Pessoal'!$H$6,1,MATCH(2&amp;$B55,'Gastos com Pessoal'!$I$532:$AJ$532&amp;'Gastos com Pessoal'!$I$6:$AJ$6,0),500,1)),0)+_xlfn.IFNA(SUM((U$3&gt;='Gastos com Pessoal'!$E$7:$E$506)*(U$3&lt;='Gastos com Pessoal'!$F$7:$F$506)*(IF('Gastos com Pessoal'!$S$7:$S$506&lt;=U$3,1,0))*OFFSET('Gastos com Pessoal'!$H$6,1,MATCH(3&amp;$B55,'Gastos com Pessoal'!$I$532:$AJ$532&amp;'Gastos com Pessoal'!$I$6:$AJ$6,0),500,1)),0)+_xlfn.IFNA(SUM((U$3&gt;='Gastos com Pessoal'!$E$7:$E$506)*(U$3&lt;='Gastos com Pessoal'!$F$7:$F$506)*(IF('Gastos com Pessoal'!$Y$7:$Y$506&lt;=U$3,1,0))*OFFSET('Gastos com Pessoal'!$H$6,1,MATCH(4&amp;$B55,'Gastos com Pessoal'!$I$532:$AJ$532&amp;'Gastos com Pessoal'!$I$6:$AJ$6,0),500,1)),0)+_xlfn.IFNA(SUM((U$3&gt;='Gastos com Pessoal'!$E$7:$E$506)*(U$3&lt;='Gastos com Pessoal'!$F$7:$F$506)*(IF('Gastos com Pessoal'!$AE$7:$AE$506&lt;=U$3,1,0))*OFFSET('Gastos com Pessoal'!$H$6,1,MATCH(5&amp;$B55,'Gastos com Pessoal'!$I$532:$AJ$532&amp;'Gastos com Pessoal'!$I$6:$AJ$6,0),500,1)),0)+_xlfn.IFNA(SUM((U$3&gt;='Gastos com Pessoal'!$E$513:$E$522)*(U$3&lt;='Gastos com Pessoal'!$F$513:$F$522)*(IF('Gastos com Pessoal'!$G$513:$G$522&lt;=U$3,1,0))*OFFSET('Gastos com Pessoal'!$H$512,1,MATCH(1&amp;$B55,'Gastos com Pessoal'!$I$532:$AJ$532&amp;'Gastos com Pessoal'!$I$512:$AJ$512,0),10,1)),0)+_xlfn.IFNA(SUM((U$3&gt;='Gastos com Pessoal'!$E$513:$E$522)*(U$3&lt;='Gastos com Pessoal'!$F$513:$F$522)*(IF('Gastos com Pessoal'!$M$513:$M$522&lt;=U$3,1,0))*OFFSET('Gastos com Pessoal'!$H$512,1,MATCH(2&amp;$B55,'Gastos com Pessoal'!$I$532:$AJ$532&amp;'Gastos com Pessoal'!$I$512:$AJ$512,0),10,1)),0)+_xlfn.IFNA(SUM((U$3&gt;='Gastos com Pessoal'!$E$513:$E$522)*(U$3&lt;='Gastos com Pessoal'!$F$513:$F$522)*(IF('Gastos com Pessoal'!$S$513:$S$522&lt;=U$3,1,0))*OFFSET('Gastos com Pessoal'!$H$512,1,MATCH(3&amp;$B55,'Gastos com Pessoal'!$I$532:$AJ$532&amp;'Gastos com Pessoal'!$I$512:$AJ$512,0),10,1)),0)+_xlfn.IFNA(SUM((U$3&gt;='Gastos com Pessoal'!$E$513:$E$522)*(U$3&lt;='Gastos com Pessoal'!$F$513:$F$522)*(IF('Gastos com Pessoal'!$Y$513:$Y$522&lt;=U$3,1,0))*OFFSET('Gastos com Pessoal'!$H$512,1,MATCH(4&amp;$B55,'Gastos com Pessoal'!$I$532:$AJ$532&amp;'Gastos com Pessoal'!$I$512:$AJ$512,0),10,1)),0)+_xlfn.IFNA(SUM((U$3&gt;='Gastos com Pessoal'!$E$513:$E$522)*(U$3&lt;='Gastos com Pessoal'!$F$513:$F$522)*(IF('Gastos com Pessoal'!$AE$513:$AE$522&lt;=U$3,1,0))*OFFSET('Gastos com Pessoal'!$H$512,1,MATCH(5&amp;$B55,'Gastos com Pessoal'!$I$532:$AJ$532&amp;'Gastos com Pessoal'!$I$512:$AJ$512,0),10,1)),0)</f>
        <v>0</v>
      </c>
      <c r="V55" s="188">
        <f t="array" aca="1" ref="V55" ca="1">_xlfn.IFNA(SUM((V$3&gt;='Gastos com Pessoal'!$E$7:$E$506)*(V$3&lt;='Gastos com Pessoal'!$F$7:$F$506)*OFFSET('Encargos e Benefícios'!$D$5,1,MATCH($B55,'Encargos e Benefícios'!$E$5:$AB$5,0),500,1)),0)+_xlfn.IFNA(SUM((V$3&gt;='Gastos com Pessoal'!$E$513:$E$522)*(V$3&lt;='Gastos com Pessoal'!$F$513:$F$522)*OFFSET('Encargos e Benefícios'!$D$511,1,MATCH($B55,'Encargos e Benefícios'!$E$511:$AB$511,0),10,1)),0)+_xlfn.IFNA(SUM((V$3&gt;='Gastos com Pessoal'!$E$7:$E$506)*(V$3&lt;='Gastos com Pessoal'!$F$7:$F$506)*(IF('Gastos com Pessoal'!$G$7:$G$506&lt;=V$3,1,0))*OFFSET('Gastos com Pessoal'!$H$6,1,MATCH(1&amp;$B55,'Gastos com Pessoal'!$I$532:$AJ$532&amp;'Gastos com Pessoal'!$I$6:$AJ$6,0),500,1)),0)+_xlfn.IFNA(SUM((V$3&gt;='Gastos com Pessoal'!$E$7:$E$506)*(V$3&lt;='Gastos com Pessoal'!$F$7:$F$506)*(IF('Gastos com Pessoal'!$M$7:$M$506&lt;=V$3,1,0))*OFFSET('Gastos com Pessoal'!$H$6,1,MATCH(2&amp;$B55,'Gastos com Pessoal'!$I$532:$AJ$532&amp;'Gastos com Pessoal'!$I$6:$AJ$6,0),500,1)),0)+_xlfn.IFNA(SUM((V$3&gt;='Gastos com Pessoal'!$E$7:$E$506)*(V$3&lt;='Gastos com Pessoal'!$F$7:$F$506)*(IF('Gastos com Pessoal'!$S$7:$S$506&lt;=V$3,1,0))*OFFSET('Gastos com Pessoal'!$H$6,1,MATCH(3&amp;$B55,'Gastos com Pessoal'!$I$532:$AJ$532&amp;'Gastos com Pessoal'!$I$6:$AJ$6,0),500,1)),0)+_xlfn.IFNA(SUM((V$3&gt;='Gastos com Pessoal'!$E$7:$E$506)*(V$3&lt;='Gastos com Pessoal'!$F$7:$F$506)*(IF('Gastos com Pessoal'!$Y$7:$Y$506&lt;=V$3,1,0))*OFFSET('Gastos com Pessoal'!$H$6,1,MATCH(4&amp;$B55,'Gastos com Pessoal'!$I$532:$AJ$532&amp;'Gastos com Pessoal'!$I$6:$AJ$6,0),500,1)),0)+_xlfn.IFNA(SUM((V$3&gt;='Gastos com Pessoal'!$E$7:$E$506)*(V$3&lt;='Gastos com Pessoal'!$F$7:$F$506)*(IF('Gastos com Pessoal'!$AE$7:$AE$506&lt;=V$3,1,0))*OFFSET('Gastos com Pessoal'!$H$6,1,MATCH(5&amp;$B55,'Gastos com Pessoal'!$I$532:$AJ$532&amp;'Gastos com Pessoal'!$I$6:$AJ$6,0),500,1)),0)+_xlfn.IFNA(SUM((V$3&gt;='Gastos com Pessoal'!$E$513:$E$522)*(V$3&lt;='Gastos com Pessoal'!$F$513:$F$522)*(IF('Gastos com Pessoal'!$G$513:$G$522&lt;=V$3,1,0))*OFFSET('Gastos com Pessoal'!$H$512,1,MATCH(1&amp;$B55,'Gastos com Pessoal'!$I$532:$AJ$532&amp;'Gastos com Pessoal'!$I$512:$AJ$512,0),10,1)),0)+_xlfn.IFNA(SUM((V$3&gt;='Gastos com Pessoal'!$E$513:$E$522)*(V$3&lt;='Gastos com Pessoal'!$F$513:$F$522)*(IF('Gastos com Pessoal'!$M$513:$M$522&lt;=V$3,1,0))*OFFSET('Gastos com Pessoal'!$H$512,1,MATCH(2&amp;$B55,'Gastos com Pessoal'!$I$532:$AJ$532&amp;'Gastos com Pessoal'!$I$512:$AJ$512,0),10,1)),0)+_xlfn.IFNA(SUM((V$3&gt;='Gastos com Pessoal'!$E$513:$E$522)*(V$3&lt;='Gastos com Pessoal'!$F$513:$F$522)*(IF('Gastos com Pessoal'!$S$513:$S$522&lt;=V$3,1,0))*OFFSET('Gastos com Pessoal'!$H$512,1,MATCH(3&amp;$B55,'Gastos com Pessoal'!$I$532:$AJ$532&amp;'Gastos com Pessoal'!$I$512:$AJ$512,0),10,1)),0)+_xlfn.IFNA(SUM((V$3&gt;='Gastos com Pessoal'!$E$513:$E$522)*(V$3&lt;='Gastos com Pessoal'!$F$513:$F$522)*(IF('Gastos com Pessoal'!$Y$513:$Y$522&lt;=V$3,1,0))*OFFSET('Gastos com Pessoal'!$H$512,1,MATCH(4&amp;$B55,'Gastos com Pessoal'!$I$532:$AJ$532&amp;'Gastos com Pessoal'!$I$512:$AJ$512,0),10,1)),0)+_xlfn.IFNA(SUM((V$3&gt;='Gastos com Pessoal'!$E$513:$E$522)*(V$3&lt;='Gastos com Pessoal'!$F$513:$F$522)*(IF('Gastos com Pessoal'!$AE$513:$AE$522&lt;=V$3,1,0))*OFFSET('Gastos com Pessoal'!$H$512,1,MATCH(5&amp;$B55,'Gastos com Pessoal'!$I$532:$AJ$532&amp;'Gastos com Pessoal'!$I$512:$AJ$512,0),10,1)),0)</f>
        <v>0</v>
      </c>
      <c r="W55" s="188">
        <f t="array" aca="1" ref="W55" ca="1">_xlfn.IFNA(SUM((W$3&gt;='Gastos com Pessoal'!$E$7:$E$506)*(W$3&lt;='Gastos com Pessoal'!$F$7:$F$506)*OFFSET('Encargos e Benefícios'!$D$5,1,MATCH($B55,'Encargos e Benefícios'!$E$5:$AB$5,0),500,1)),0)+_xlfn.IFNA(SUM((W$3&gt;='Gastos com Pessoal'!$E$513:$E$522)*(W$3&lt;='Gastos com Pessoal'!$F$513:$F$522)*OFFSET('Encargos e Benefícios'!$D$511,1,MATCH($B55,'Encargos e Benefícios'!$E$511:$AB$511,0),10,1)),0)+_xlfn.IFNA(SUM((W$3&gt;='Gastos com Pessoal'!$E$7:$E$506)*(W$3&lt;='Gastos com Pessoal'!$F$7:$F$506)*(IF('Gastos com Pessoal'!$G$7:$G$506&lt;=W$3,1,0))*OFFSET('Gastos com Pessoal'!$H$6,1,MATCH(1&amp;$B55,'Gastos com Pessoal'!$I$532:$AJ$532&amp;'Gastos com Pessoal'!$I$6:$AJ$6,0),500,1)),0)+_xlfn.IFNA(SUM((W$3&gt;='Gastos com Pessoal'!$E$7:$E$506)*(W$3&lt;='Gastos com Pessoal'!$F$7:$F$506)*(IF('Gastos com Pessoal'!$M$7:$M$506&lt;=W$3,1,0))*OFFSET('Gastos com Pessoal'!$H$6,1,MATCH(2&amp;$B55,'Gastos com Pessoal'!$I$532:$AJ$532&amp;'Gastos com Pessoal'!$I$6:$AJ$6,0),500,1)),0)+_xlfn.IFNA(SUM((W$3&gt;='Gastos com Pessoal'!$E$7:$E$506)*(W$3&lt;='Gastos com Pessoal'!$F$7:$F$506)*(IF('Gastos com Pessoal'!$S$7:$S$506&lt;=W$3,1,0))*OFFSET('Gastos com Pessoal'!$H$6,1,MATCH(3&amp;$B55,'Gastos com Pessoal'!$I$532:$AJ$532&amp;'Gastos com Pessoal'!$I$6:$AJ$6,0),500,1)),0)+_xlfn.IFNA(SUM((W$3&gt;='Gastos com Pessoal'!$E$7:$E$506)*(W$3&lt;='Gastos com Pessoal'!$F$7:$F$506)*(IF('Gastos com Pessoal'!$Y$7:$Y$506&lt;=W$3,1,0))*OFFSET('Gastos com Pessoal'!$H$6,1,MATCH(4&amp;$B55,'Gastos com Pessoal'!$I$532:$AJ$532&amp;'Gastos com Pessoal'!$I$6:$AJ$6,0),500,1)),0)+_xlfn.IFNA(SUM((W$3&gt;='Gastos com Pessoal'!$E$7:$E$506)*(W$3&lt;='Gastos com Pessoal'!$F$7:$F$506)*(IF('Gastos com Pessoal'!$AE$7:$AE$506&lt;=W$3,1,0))*OFFSET('Gastos com Pessoal'!$H$6,1,MATCH(5&amp;$B55,'Gastos com Pessoal'!$I$532:$AJ$532&amp;'Gastos com Pessoal'!$I$6:$AJ$6,0),500,1)),0)+_xlfn.IFNA(SUM((W$3&gt;='Gastos com Pessoal'!$E$513:$E$522)*(W$3&lt;='Gastos com Pessoal'!$F$513:$F$522)*(IF('Gastos com Pessoal'!$G$513:$G$522&lt;=W$3,1,0))*OFFSET('Gastos com Pessoal'!$H$512,1,MATCH(1&amp;$B55,'Gastos com Pessoal'!$I$532:$AJ$532&amp;'Gastos com Pessoal'!$I$512:$AJ$512,0),10,1)),0)+_xlfn.IFNA(SUM((W$3&gt;='Gastos com Pessoal'!$E$513:$E$522)*(W$3&lt;='Gastos com Pessoal'!$F$513:$F$522)*(IF('Gastos com Pessoal'!$M$513:$M$522&lt;=W$3,1,0))*OFFSET('Gastos com Pessoal'!$H$512,1,MATCH(2&amp;$B55,'Gastos com Pessoal'!$I$532:$AJ$532&amp;'Gastos com Pessoal'!$I$512:$AJ$512,0),10,1)),0)+_xlfn.IFNA(SUM((W$3&gt;='Gastos com Pessoal'!$E$513:$E$522)*(W$3&lt;='Gastos com Pessoal'!$F$513:$F$522)*(IF('Gastos com Pessoal'!$S$513:$S$522&lt;=W$3,1,0))*OFFSET('Gastos com Pessoal'!$H$512,1,MATCH(3&amp;$B55,'Gastos com Pessoal'!$I$532:$AJ$532&amp;'Gastos com Pessoal'!$I$512:$AJ$512,0),10,1)),0)+_xlfn.IFNA(SUM((W$3&gt;='Gastos com Pessoal'!$E$513:$E$522)*(W$3&lt;='Gastos com Pessoal'!$F$513:$F$522)*(IF('Gastos com Pessoal'!$Y$513:$Y$522&lt;=W$3,1,0))*OFFSET('Gastos com Pessoal'!$H$512,1,MATCH(4&amp;$B55,'Gastos com Pessoal'!$I$532:$AJ$532&amp;'Gastos com Pessoal'!$I$512:$AJ$512,0),10,1)),0)+_xlfn.IFNA(SUM((W$3&gt;='Gastos com Pessoal'!$E$513:$E$522)*(W$3&lt;='Gastos com Pessoal'!$F$513:$F$522)*(IF('Gastos com Pessoal'!$AE$513:$AE$522&lt;=W$3,1,0))*OFFSET('Gastos com Pessoal'!$H$512,1,MATCH(5&amp;$B55,'Gastos com Pessoal'!$I$532:$AJ$532&amp;'Gastos com Pessoal'!$I$512:$AJ$512,0),10,1)),0)</f>
        <v>0</v>
      </c>
      <c r="X55" s="188">
        <f t="array" aca="1" ref="X55" ca="1">_xlfn.IFNA(SUM((X$3&gt;='Gastos com Pessoal'!$E$7:$E$506)*(X$3&lt;='Gastos com Pessoal'!$F$7:$F$506)*OFFSET('Encargos e Benefícios'!$D$5,1,MATCH($B55,'Encargos e Benefícios'!$E$5:$AB$5,0),500,1)),0)+_xlfn.IFNA(SUM((X$3&gt;='Gastos com Pessoal'!$E$513:$E$522)*(X$3&lt;='Gastos com Pessoal'!$F$513:$F$522)*OFFSET('Encargos e Benefícios'!$D$511,1,MATCH($B55,'Encargos e Benefícios'!$E$511:$AB$511,0),10,1)),0)+_xlfn.IFNA(SUM((X$3&gt;='Gastos com Pessoal'!$E$7:$E$506)*(X$3&lt;='Gastos com Pessoal'!$F$7:$F$506)*(IF('Gastos com Pessoal'!$G$7:$G$506&lt;=X$3,1,0))*OFFSET('Gastos com Pessoal'!$H$6,1,MATCH(1&amp;$B55,'Gastos com Pessoal'!$I$532:$AJ$532&amp;'Gastos com Pessoal'!$I$6:$AJ$6,0),500,1)),0)+_xlfn.IFNA(SUM((X$3&gt;='Gastos com Pessoal'!$E$7:$E$506)*(X$3&lt;='Gastos com Pessoal'!$F$7:$F$506)*(IF('Gastos com Pessoal'!$M$7:$M$506&lt;=X$3,1,0))*OFFSET('Gastos com Pessoal'!$H$6,1,MATCH(2&amp;$B55,'Gastos com Pessoal'!$I$532:$AJ$532&amp;'Gastos com Pessoal'!$I$6:$AJ$6,0),500,1)),0)+_xlfn.IFNA(SUM((X$3&gt;='Gastos com Pessoal'!$E$7:$E$506)*(X$3&lt;='Gastos com Pessoal'!$F$7:$F$506)*(IF('Gastos com Pessoal'!$S$7:$S$506&lt;=X$3,1,0))*OFFSET('Gastos com Pessoal'!$H$6,1,MATCH(3&amp;$B55,'Gastos com Pessoal'!$I$532:$AJ$532&amp;'Gastos com Pessoal'!$I$6:$AJ$6,0),500,1)),0)+_xlfn.IFNA(SUM((X$3&gt;='Gastos com Pessoal'!$E$7:$E$506)*(X$3&lt;='Gastos com Pessoal'!$F$7:$F$506)*(IF('Gastos com Pessoal'!$Y$7:$Y$506&lt;=X$3,1,0))*OFFSET('Gastos com Pessoal'!$H$6,1,MATCH(4&amp;$B55,'Gastos com Pessoal'!$I$532:$AJ$532&amp;'Gastos com Pessoal'!$I$6:$AJ$6,0),500,1)),0)+_xlfn.IFNA(SUM((X$3&gt;='Gastos com Pessoal'!$E$7:$E$506)*(X$3&lt;='Gastos com Pessoal'!$F$7:$F$506)*(IF('Gastos com Pessoal'!$AE$7:$AE$506&lt;=X$3,1,0))*OFFSET('Gastos com Pessoal'!$H$6,1,MATCH(5&amp;$B55,'Gastos com Pessoal'!$I$532:$AJ$532&amp;'Gastos com Pessoal'!$I$6:$AJ$6,0),500,1)),0)+_xlfn.IFNA(SUM((X$3&gt;='Gastos com Pessoal'!$E$513:$E$522)*(X$3&lt;='Gastos com Pessoal'!$F$513:$F$522)*(IF('Gastos com Pessoal'!$G$513:$G$522&lt;=X$3,1,0))*OFFSET('Gastos com Pessoal'!$H$512,1,MATCH(1&amp;$B55,'Gastos com Pessoal'!$I$532:$AJ$532&amp;'Gastos com Pessoal'!$I$512:$AJ$512,0),10,1)),0)+_xlfn.IFNA(SUM((X$3&gt;='Gastos com Pessoal'!$E$513:$E$522)*(X$3&lt;='Gastos com Pessoal'!$F$513:$F$522)*(IF('Gastos com Pessoal'!$M$513:$M$522&lt;=X$3,1,0))*OFFSET('Gastos com Pessoal'!$H$512,1,MATCH(2&amp;$B55,'Gastos com Pessoal'!$I$532:$AJ$532&amp;'Gastos com Pessoal'!$I$512:$AJ$512,0),10,1)),0)+_xlfn.IFNA(SUM((X$3&gt;='Gastos com Pessoal'!$E$513:$E$522)*(X$3&lt;='Gastos com Pessoal'!$F$513:$F$522)*(IF('Gastos com Pessoal'!$S$513:$S$522&lt;=X$3,1,0))*OFFSET('Gastos com Pessoal'!$H$512,1,MATCH(3&amp;$B55,'Gastos com Pessoal'!$I$532:$AJ$532&amp;'Gastos com Pessoal'!$I$512:$AJ$512,0),10,1)),0)+_xlfn.IFNA(SUM((X$3&gt;='Gastos com Pessoal'!$E$513:$E$522)*(X$3&lt;='Gastos com Pessoal'!$F$513:$F$522)*(IF('Gastos com Pessoal'!$Y$513:$Y$522&lt;=X$3,1,0))*OFFSET('Gastos com Pessoal'!$H$512,1,MATCH(4&amp;$B55,'Gastos com Pessoal'!$I$532:$AJ$532&amp;'Gastos com Pessoal'!$I$512:$AJ$512,0),10,1)),0)+_xlfn.IFNA(SUM((X$3&gt;='Gastos com Pessoal'!$E$513:$E$522)*(X$3&lt;='Gastos com Pessoal'!$F$513:$F$522)*(IF('Gastos com Pessoal'!$AE$513:$AE$522&lt;=X$3,1,0))*OFFSET('Gastos com Pessoal'!$H$512,1,MATCH(5&amp;$B55,'Gastos com Pessoal'!$I$532:$AJ$532&amp;'Gastos com Pessoal'!$I$512:$AJ$512,0),10,1)),0)</f>
        <v>0</v>
      </c>
      <c r="Y55" s="188">
        <f t="array" aca="1" ref="Y55" ca="1">_xlfn.IFNA(SUM((Y$3&gt;='Gastos com Pessoal'!$E$7:$E$506)*(Y$3&lt;='Gastos com Pessoal'!$F$7:$F$506)*OFFSET('Encargos e Benefícios'!$D$5,1,MATCH($B55,'Encargos e Benefícios'!$E$5:$AB$5,0),500,1)),0)+_xlfn.IFNA(SUM((Y$3&gt;='Gastos com Pessoal'!$E$513:$E$522)*(Y$3&lt;='Gastos com Pessoal'!$F$513:$F$522)*OFFSET('Encargos e Benefícios'!$D$511,1,MATCH($B55,'Encargos e Benefícios'!$E$511:$AB$511,0),10,1)),0)+_xlfn.IFNA(SUM((Y$3&gt;='Gastos com Pessoal'!$E$7:$E$506)*(Y$3&lt;='Gastos com Pessoal'!$F$7:$F$506)*(IF('Gastos com Pessoal'!$G$7:$G$506&lt;=Y$3,1,0))*OFFSET('Gastos com Pessoal'!$H$6,1,MATCH(1&amp;$B55,'Gastos com Pessoal'!$I$532:$AJ$532&amp;'Gastos com Pessoal'!$I$6:$AJ$6,0),500,1)),0)+_xlfn.IFNA(SUM((Y$3&gt;='Gastos com Pessoal'!$E$7:$E$506)*(Y$3&lt;='Gastos com Pessoal'!$F$7:$F$506)*(IF('Gastos com Pessoal'!$M$7:$M$506&lt;=Y$3,1,0))*OFFSET('Gastos com Pessoal'!$H$6,1,MATCH(2&amp;$B55,'Gastos com Pessoal'!$I$532:$AJ$532&amp;'Gastos com Pessoal'!$I$6:$AJ$6,0),500,1)),0)+_xlfn.IFNA(SUM((Y$3&gt;='Gastos com Pessoal'!$E$7:$E$506)*(Y$3&lt;='Gastos com Pessoal'!$F$7:$F$506)*(IF('Gastos com Pessoal'!$S$7:$S$506&lt;=Y$3,1,0))*OFFSET('Gastos com Pessoal'!$H$6,1,MATCH(3&amp;$B55,'Gastos com Pessoal'!$I$532:$AJ$532&amp;'Gastos com Pessoal'!$I$6:$AJ$6,0),500,1)),0)+_xlfn.IFNA(SUM((Y$3&gt;='Gastos com Pessoal'!$E$7:$E$506)*(Y$3&lt;='Gastos com Pessoal'!$F$7:$F$506)*(IF('Gastos com Pessoal'!$Y$7:$Y$506&lt;=Y$3,1,0))*OFFSET('Gastos com Pessoal'!$H$6,1,MATCH(4&amp;$B55,'Gastos com Pessoal'!$I$532:$AJ$532&amp;'Gastos com Pessoal'!$I$6:$AJ$6,0),500,1)),0)+_xlfn.IFNA(SUM((Y$3&gt;='Gastos com Pessoal'!$E$7:$E$506)*(Y$3&lt;='Gastos com Pessoal'!$F$7:$F$506)*(IF('Gastos com Pessoal'!$AE$7:$AE$506&lt;=Y$3,1,0))*OFFSET('Gastos com Pessoal'!$H$6,1,MATCH(5&amp;$B55,'Gastos com Pessoal'!$I$532:$AJ$532&amp;'Gastos com Pessoal'!$I$6:$AJ$6,0),500,1)),0)+_xlfn.IFNA(SUM((Y$3&gt;='Gastos com Pessoal'!$E$513:$E$522)*(Y$3&lt;='Gastos com Pessoal'!$F$513:$F$522)*(IF('Gastos com Pessoal'!$G$513:$G$522&lt;=Y$3,1,0))*OFFSET('Gastos com Pessoal'!$H$512,1,MATCH(1&amp;$B55,'Gastos com Pessoal'!$I$532:$AJ$532&amp;'Gastos com Pessoal'!$I$512:$AJ$512,0),10,1)),0)+_xlfn.IFNA(SUM((Y$3&gt;='Gastos com Pessoal'!$E$513:$E$522)*(Y$3&lt;='Gastos com Pessoal'!$F$513:$F$522)*(IF('Gastos com Pessoal'!$M$513:$M$522&lt;=Y$3,1,0))*OFFSET('Gastos com Pessoal'!$H$512,1,MATCH(2&amp;$B55,'Gastos com Pessoal'!$I$532:$AJ$532&amp;'Gastos com Pessoal'!$I$512:$AJ$512,0),10,1)),0)+_xlfn.IFNA(SUM((Y$3&gt;='Gastos com Pessoal'!$E$513:$E$522)*(Y$3&lt;='Gastos com Pessoal'!$F$513:$F$522)*(IF('Gastos com Pessoal'!$S$513:$S$522&lt;=Y$3,1,0))*OFFSET('Gastos com Pessoal'!$H$512,1,MATCH(3&amp;$B55,'Gastos com Pessoal'!$I$532:$AJ$532&amp;'Gastos com Pessoal'!$I$512:$AJ$512,0),10,1)),0)+_xlfn.IFNA(SUM((Y$3&gt;='Gastos com Pessoal'!$E$513:$E$522)*(Y$3&lt;='Gastos com Pessoal'!$F$513:$F$522)*(IF('Gastos com Pessoal'!$Y$513:$Y$522&lt;=Y$3,1,0))*OFFSET('Gastos com Pessoal'!$H$512,1,MATCH(4&amp;$B55,'Gastos com Pessoal'!$I$532:$AJ$532&amp;'Gastos com Pessoal'!$I$512:$AJ$512,0),10,1)),0)+_xlfn.IFNA(SUM((Y$3&gt;='Gastos com Pessoal'!$E$513:$E$522)*(Y$3&lt;='Gastos com Pessoal'!$F$513:$F$522)*(IF('Gastos com Pessoal'!$AE$513:$AE$522&lt;=Y$3,1,0))*OFFSET('Gastos com Pessoal'!$H$512,1,MATCH(5&amp;$B55,'Gastos com Pessoal'!$I$532:$AJ$532&amp;'Gastos com Pessoal'!$I$512:$AJ$512,0),10,1)),0)</f>
        <v>0</v>
      </c>
      <c r="Z55" s="188">
        <f t="array" aca="1" ref="Z55" ca="1">_xlfn.IFNA(SUM((Z$3&gt;='Gastos com Pessoal'!$E$7:$E$506)*(Z$3&lt;='Gastos com Pessoal'!$F$7:$F$506)*OFFSET('Encargos e Benefícios'!$D$5,1,MATCH($B55,'Encargos e Benefícios'!$E$5:$AB$5,0),500,1)),0)+_xlfn.IFNA(SUM((Z$3&gt;='Gastos com Pessoal'!$E$513:$E$522)*(Z$3&lt;='Gastos com Pessoal'!$F$513:$F$522)*OFFSET('Encargos e Benefícios'!$D$511,1,MATCH($B55,'Encargos e Benefícios'!$E$511:$AB$511,0),10,1)),0)+_xlfn.IFNA(SUM((Z$3&gt;='Gastos com Pessoal'!$E$7:$E$506)*(Z$3&lt;='Gastos com Pessoal'!$F$7:$F$506)*(IF('Gastos com Pessoal'!$G$7:$G$506&lt;=Z$3,1,0))*OFFSET('Gastos com Pessoal'!$H$6,1,MATCH(1&amp;$B55,'Gastos com Pessoal'!$I$532:$AJ$532&amp;'Gastos com Pessoal'!$I$6:$AJ$6,0),500,1)),0)+_xlfn.IFNA(SUM((Z$3&gt;='Gastos com Pessoal'!$E$7:$E$506)*(Z$3&lt;='Gastos com Pessoal'!$F$7:$F$506)*(IF('Gastos com Pessoal'!$M$7:$M$506&lt;=Z$3,1,0))*OFFSET('Gastos com Pessoal'!$H$6,1,MATCH(2&amp;$B55,'Gastos com Pessoal'!$I$532:$AJ$532&amp;'Gastos com Pessoal'!$I$6:$AJ$6,0),500,1)),0)+_xlfn.IFNA(SUM((Z$3&gt;='Gastos com Pessoal'!$E$7:$E$506)*(Z$3&lt;='Gastos com Pessoal'!$F$7:$F$506)*(IF('Gastos com Pessoal'!$S$7:$S$506&lt;=Z$3,1,0))*OFFSET('Gastos com Pessoal'!$H$6,1,MATCH(3&amp;$B55,'Gastos com Pessoal'!$I$532:$AJ$532&amp;'Gastos com Pessoal'!$I$6:$AJ$6,0),500,1)),0)+_xlfn.IFNA(SUM((Z$3&gt;='Gastos com Pessoal'!$E$7:$E$506)*(Z$3&lt;='Gastos com Pessoal'!$F$7:$F$506)*(IF('Gastos com Pessoal'!$Y$7:$Y$506&lt;=Z$3,1,0))*OFFSET('Gastos com Pessoal'!$H$6,1,MATCH(4&amp;$B55,'Gastos com Pessoal'!$I$532:$AJ$532&amp;'Gastos com Pessoal'!$I$6:$AJ$6,0),500,1)),0)+_xlfn.IFNA(SUM((Z$3&gt;='Gastos com Pessoal'!$E$7:$E$506)*(Z$3&lt;='Gastos com Pessoal'!$F$7:$F$506)*(IF('Gastos com Pessoal'!$AE$7:$AE$506&lt;=Z$3,1,0))*OFFSET('Gastos com Pessoal'!$H$6,1,MATCH(5&amp;$B55,'Gastos com Pessoal'!$I$532:$AJ$532&amp;'Gastos com Pessoal'!$I$6:$AJ$6,0),500,1)),0)+_xlfn.IFNA(SUM((Z$3&gt;='Gastos com Pessoal'!$E$513:$E$522)*(Z$3&lt;='Gastos com Pessoal'!$F$513:$F$522)*(IF('Gastos com Pessoal'!$G$513:$G$522&lt;=Z$3,1,0))*OFFSET('Gastos com Pessoal'!$H$512,1,MATCH(1&amp;$B55,'Gastos com Pessoal'!$I$532:$AJ$532&amp;'Gastos com Pessoal'!$I$512:$AJ$512,0),10,1)),0)+_xlfn.IFNA(SUM((Z$3&gt;='Gastos com Pessoal'!$E$513:$E$522)*(Z$3&lt;='Gastos com Pessoal'!$F$513:$F$522)*(IF('Gastos com Pessoal'!$M$513:$M$522&lt;=Z$3,1,0))*OFFSET('Gastos com Pessoal'!$H$512,1,MATCH(2&amp;$B55,'Gastos com Pessoal'!$I$532:$AJ$532&amp;'Gastos com Pessoal'!$I$512:$AJ$512,0),10,1)),0)+_xlfn.IFNA(SUM((Z$3&gt;='Gastos com Pessoal'!$E$513:$E$522)*(Z$3&lt;='Gastos com Pessoal'!$F$513:$F$522)*(IF('Gastos com Pessoal'!$S$513:$S$522&lt;=Z$3,1,0))*OFFSET('Gastos com Pessoal'!$H$512,1,MATCH(3&amp;$B55,'Gastos com Pessoal'!$I$532:$AJ$532&amp;'Gastos com Pessoal'!$I$512:$AJ$512,0),10,1)),0)+_xlfn.IFNA(SUM((Z$3&gt;='Gastos com Pessoal'!$E$513:$E$522)*(Z$3&lt;='Gastos com Pessoal'!$F$513:$F$522)*(IF('Gastos com Pessoal'!$Y$513:$Y$522&lt;=Z$3,1,0))*OFFSET('Gastos com Pessoal'!$H$512,1,MATCH(4&amp;$B55,'Gastos com Pessoal'!$I$532:$AJ$532&amp;'Gastos com Pessoal'!$I$512:$AJ$512,0),10,1)),0)+_xlfn.IFNA(SUM((Z$3&gt;='Gastos com Pessoal'!$E$513:$E$522)*(Z$3&lt;='Gastos com Pessoal'!$F$513:$F$522)*(IF('Gastos com Pessoal'!$AE$513:$AE$522&lt;=Z$3,1,0))*OFFSET('Gastos com Pessoal'!$H$512,1,MATCH(5&amp;$B55,'Gastos com Pessoal'!$I$532:$AJ$532&amp;'Gastos com Pessoal'!$I$512:$AJ$512,0),10,1)),0)</f>
        <v>0</v>
      </c>
      <c r="AA55" s="188">
        <f t="array" aca="1" ref="AA55" ca="1">_xlfn.IFNA(SUM((AA$3&gt;='Gastos com Pessoal'!$E$7:$E$506)*(AA$3&lt;='Gastos com Pessoal'!$F$7:$F$506)*OFFSET('Encargos e Benefícios'!$D$5,1,MATCH($B55,'Encargos e Benefícios'!$E$5:$AB$5,0),500,1)),0)+_xlfn.IFNA(SUM((AA$3&gt;='Gastos com Pessoal'!$E$513:$E$522)*(AA$3&lt;='Gastos com Pessoal'!$F$513:$F$522)*OFFSET('Encargos e Benefícios'!$D$511,1,MATCH($B55,'Encargos e Benefícios'!$E$511:$AB$511,0),10,1)),0)+_xlfn.IFNA(SUM((AA$3&gt;='Gastos com Pessoal'!$E$7:$E$506)*(AA$3&lt;='Gastos com Pessoal'!$F$7:$F$506)*(IF('Gastos com Pessoal'!$G$7:$G$506&lt;=AA$3,1,0))*OFFSET('Gastos com Pessoal'!$H$6,1,MATCH(1&amp;$B55,'Gastos com Pessoal'!$I$532:$AJ$532&amp;'Gastos com Pessoal'!$I$6:$AJ$6,0),500,1)),0)+_xlfn.IFNA(SUM((AA$3&gt;='Gastos com Pessoal'!$E$7:$E$506)*(AA$3&lt;='Gastos com Pessoal'!$F$7:$F$506)*(IF('Gastos com Pessoal'!$M$7:$M$506&lt;=AA$3,1,0))*OFFSET('Gastos com Pessoal'!$H$6,1,MATCH(2&amp;$B55,'Gastos com Pessoal'!$I$532:$AJ$532&amp;'Gastos com Pessoal'!$I$6:$AJ$6,0),500,1)),0)+_xlfn.IFNA(SUM((AA$3&gt;='Gastos com Pessoal'!$E$7:$E$506)*(AA$3&lt;='Gastos com Pessoal'!$F$7:$F$506)*(IF('Gastos com Pessoal'!$S$7:$S$506&lt;=AA$3,1,0))*OFFSET('Gastos com Pessoal'!$H$6,1,MATCH(3&amp;$B55,'Gastos com Pessoal'!$I$532:$AJ$532&amp;'Gastos com Pessoal'!$I$6:$AJ$6,0),500,1)),0)+_xlfn.IFNA(SUM((AA$3&gt;='Gastos com Pessoal'!$E$7:$E$506)*(AA$3&lt;='Gastos com Pessoal'!$F$7:$F$506)*(IF('Gastos com Pessoal'!$Y$7:$Y$506&lt;=AA$3,1,0))*OFFSET('Gastos com Pessoal'!$H$6,1,MATCH(4&amp;$B55,'Gastos com Pessoal'!$I$532:$AJ$532&amp;'Gastos com Pessoal'!$I$6:$AJ$6,0),500,1)),0)+_xlfn.IFNA(SUM((AA$3&gt;='Gastos com Pessoal'!$E$7:$E$506)*(AA$3&lt;='Gastos com Pessoal'!$F$7:$F$506)*(IF('Gastos com Pessoal'!$AE$7:$AE$506&lt;=AA$3,1,0))*OFFSET('Gastos com Pessoal'!$H$6,1,MATCH(5&amp;$B55,'Gastos com Pessoal'!$I$532:$AJ$532&amp;'Gastos com Pessoal'!$I$6:$AJ$6,0),500,1)),0)+_xlfn.IFNA(SUM((AA$3&gt;='Gastos com Pessoal'!$E$513:$E$522)*(AA$3&lt;='Gastos com Pessoal'!$F$513:$F$522)*(IF('Gastos com Pessoal'!$G$513:$G$522&lt;=AA$3,1,0))*OFFSET('Gastos com Pessoal'!$H$512,1,MATCH(1&amp;$B55,'Gastos com Pessoal'!$I$532:$AJ$532&amp;'Gastos com Pessoal'!$I$512:$AJ$512,0),10,1)),0)+_xlfn.IFNA(SUM((AA$3&gt;='Gastos com Pessoal'!$E$513:$E$522)*(AA$3&lt;='Gastos com Pessoal'!$F$513:$F$522)*(IF('Gastos com Pessoal'!$M$513:$M$522&lt;=AA$3,1,0))*OFFSET('Gastos com Pessoal'!$H$512,1,MATCH(2&amp;$B55,'Gastos com Pessoal'!$I$532:$AJ$532&amp;'Gastos com Pessoal'!$I$512:$AJ$512,0),10,1)),0)+_xlfn.IFNA(SUM((AA$3&gt;='Gastos com Pessoal'!$E$513:$E$522)*(AA$3&lt;='Gastos com Pessoal'!$F$513:$F$522)*(IF('Gastos com Pessoal'!$S$513:$S$522&lt;=AA$3,1,0))*OFFSET('Gastos com Pessoal'!$H$512,1,MATCH(3&amp;$B55,'Gastos com Pessoal'!$I$532:$AJ$532&amp;'Gastos com Pessoal'!$I$512:$AJ$512,0),10,1)),0)+_xlfn.IFNA(SUM((AA$3&gt;='Gastos com Pessoal'!$E$513:$E$522)*(AA$3&lt;='Gastos com Pessoal'!$F$513:$F$522)*(IF('Gastos com Pessoal'!$Y$513:$Y$522&lt;=AA$3,1,0))*OFFSET('Gastos com Pessoal'!$H$512,1,MATCH(4&amp;$B55,'Gastos com Pessoal'!$I$532:$AJ$532&amp;'Gastos com Pessoal'!$I$512:$AJ$512,0),10,1)),0)+_xlfn.IFNA(SUM((AA$3&gt;='Gastos com Pessoal'!$E$513:$E$522)*(AA$3&lt;='Gastos com Pessoal'!$F$513:$F$522)*(IF('Gastos com Pessoal'!$AE$513:$AE$522&lt;=AA$3,1,0))*OFFSET('Gastos com Pessoal'!$H$512,1,MATCH(5&amp;$B55,'Gastos com Pessoal'!$I$532:$AJ$532&amp;'Gastos com Pessoal'!$I$512:$AJ$512,0),10,1)),0)</f>
        <v>0</v>
      </c>
      <c r="AB55" s="188">
        <f t="array" aca="1" ref="AB55" ca="1">_xlfn.IFNA(SUM((AB$3&gt;='Gastos com Pessoal'!$E$7:$E$506)*(AB$3&lt;='Gastos com Pessoal'!$F$7:$F$506)*OFFSET('Encargos e Benefícios'!$D$5,1,MATCH($B55,'Encargos e Benefícios'!$E$5:$AB$5,0),500,1)),0)+_xlfn.IFNA(SUM((AB$3&gt;='Gastos com Pessoal'!$E$513:$E$522)*(AB$3&lt;='Gastos com Pessoal'!$F$513:$F$522)*OFFSET('Encargos e Benefícios'!$D$511,1,MATCH($B55,'Encargos e Benefícios'!$E$511:$AB$511,0),10,1)),0)+_xlfn.IFNA(SUM((AB$3&gt;='Gastos com Pessoal'!$E$7:$E$506)*(AB$3&lt;='Gastos com Pessoal'!$F$7:$F$506)*(IF('Gastos com Pessoal'!$G$7:$G$506&lt;=AB$3,1,0))*OFFSET('Gastos com Pessoal'!$H$6,1,MATCH(1&amp;$B55,'Gastos com Pessoal'!$I$532:$AJ$532&amp;'Gastos com Pessoal'!$I$6:$AJ$6,0),500,1)),0)+_xlfn.IFNA(SUM((AB$3&gt;='Gastos com Pessoal'!$E$7:$E$506)*(AB$3&lt;='Gastos com Pessoal'!$F$7:$F$506)*(IF('Gastos com Pessoal'!$M$7:$M$506&lt;=AB$3,1,0))*OFFSET('Gastos com Pessoal'!$H$6,1,MATCH(2&amp;$B55,'Gastos com Pessoal'!$I$532:$AJ$532&amp;'Gastos com Pessoal'!$I$6:$AJ$6,0),500,1)),0)+_xlfn.IFNA(SUM((AB$3&gt;='Gastos com Pessoal'!$E$7:$E$506)*(AB$3&lt;='Gastos com Pessoal'!$F$7:$F$506)*(IF('Gastos com Pessoal'!$S$7:$S$506&lt;=AB$3,1,0))*OFFSET('Gastos com Pessoal'!$H$6,1,MATCH(3&amp;$B55,'Gastos com Pessoal'!$I$532:$AJ$532&amp;'Gastos com Pessoal'!$I$6:$AJ$6,0),500,1)),0)+_xlfn.IFNA(SUM((AB$3&gt;='Gastos com Pessoal'!$E$7:$E$506)*(AB$3&lt;='Gastos com Pessoal'!$F$7:$F$506)*(IF('Gastos com Pessoal'!$Y$7:$Y$506&lt;=AB$3,1,0))*OFFSET('Gastos com Pessoal'!$H$6,1,MATCH(4&amp;$B55,'Gastos com Pessoal'!$I$532:$AJ$532&amp;'Gastos com Pessoal'!$I$6:$AJ$6,0),500,1)),0)+_xlfn.IFNA(SUM((AB$3&gt;='Gastos com Pessoal'!$E$7:$E$506)*(AB$3&lt;='Gastos com Pessoal'!$F$7:$F$506)*(IF('Gastos com Pessoal'!$AE$7:$AE$506&lt;=AB$3,1,0))*OFFSET('Gastos com Pessoal'!$H$6,1,MATCH(5&amp;$B55,'Gastos com Pessoal'!$I$532:$AJ$532&amp;'Gastos com Pessoal'!$I$6:$AJ$6,0),500,1)),0)+_xlfn.IFNA(SUM((AB$3&gt;='Gastos com Pessoal'!$E$513:$E$522)*(AB$3&lt;='Gastos com Pessoal'!$F$513:$F$522)*(IF('Gastos com Pessoal'!$G$513:$G$522&lt;=AB$3,1,0))*OFFSET('Gastos com Pessoal'!$H$512,1,MATCH(1&amp;$B55,'Gastos com Pessoal'!$I$532:$AJ$532&amp;'Gastos com Pessoal'!$I$512:$AJ$512,0),10,1)),0)+_xlfn.IFNA(SUM((AB$3&gt;='Gastos com Pessoal'!$E$513:$E$522)*(AB$3&lt;='Gastos com Pessoal'!$F$513:$F$522)*(IF('Gastos com Pessoal'!$M$513:$M$522&lt;=AB$3,1,0))*OFFSET('Gastos com Pessoal'!$H$512,1,MATCH(2&amp;$B55,'Gastos com Pessoal'!$I$532:$AJ$532&amp;'Gastos com Pessoal'!$I$512:$AJ$512,0),10,1)),0)+_xlfn.IFNA(SUM((AB$3&gt;='Gastos com Pessoal'!$E$513:$E$522)*(AB$3&lt;='Gastos com Pessoal'!$F$513:$F$522)*(IF('Gastos com Pessoal'!$S$513:$S$522&lt;=AB$3,1,0))*OFFSET('Gastos com Pessoal'!$H$512,1,MATCH(3&amp;$B55,'Gastos com Pessoal'!$I$532:$AJ$532&amp;'Gastos com Pessoal'!$I$512:$AJ$512,0),10,1)),0)+_xlfn.IFNA(SUM((AB$3&gt;='Gastos com Pessoal'!$E$513:$E$522)*(AB$3&lt;='Gastos com Pessoal'!$F$513:$F$522)*(IF('Gastos com Pessoal'!$Y$513:$Y$522&lt;=AB$3,1,0))*OFFSET('Gastos com Pessoal'!$H$512,1,MATCH(4&amp;$B55,'Gastos com Pessoal'!$I$532:$AJ$532&amp;'Gastos com Pessoal'!$I$512:$AJ$512,0),10,1)),0)+_xlfn.IFNA(SUM((AB$3&gt;='Gastos com Pessoal'!$E$513:$E$522)*(AB$3&lt;='Gastos com Pessoal'!$F$513:$F$522)*(IF('Gastos com Pessoal'!$AE$513:$AE$522&lt;=AB$3,1,0))*OFFSET('Gastos com Pessoal'!$H$512,1,MATCH(5&amp;$B55,'Gastos com Pessoal'!$I$532:$AJ$532&amp;'Gastos com Pessoal'!$I$512:$AJ$512,0),10,1)),0)</f>
        <v>0</v>
      </c>
      <c r="AC55" s="188">
        <f t="array" aca="1" ref="AC55" ca="1">_xlfn.IFNA(SUM((AC$3&gt;='Gastos com Pessoal'!$E$7:$E$506)*(AC$3&lt;='Gastos com Pessoal'!$F$7:$F$506)*OFFSET('Encargos e Benefícios'!$D$5,1,MATCH($B55,'Encargos e Benefícios'!$E$5:$AB$5,0),500,1)),0)+_xlfn.IFNA(SUM((AC$3&gt;='Gastos com Pessoal'!$E$513:$E$522)*(AC$3&lt;='Gastos com Pessoal'!$F$513:$F$522)*OFFSET('Encargos e Benefícios'!$D$511,1,MATCH($B55,'Encargos e Benefícios'!$E$511:$AB$511,0),10,1)),0)+_xlfn.IFNA(SUM((AC$3&gt;='Gastos com Pessoal'!$E$7:$E$506)*(AC$3&lt;='Gastos com Pessoal'!$F$7:$F$506)*(IF('Gastos com Pessoal'!$G$7:$G$506&lt;=AC$3,1,0))*OFFSET('Gastos com Pessoal'!$H$6,1,MATCH(1&amp;$B55,'Gastos com Pessoal'!$I$532:$AJ$532&amp;'Gastos com Pessoal'!$I$6:$AJ$6,0),500,1)),0)+_xlfn.IFNA(SUM((AC$3&gt;='Gastos com Pessoal'!$E$7:$E$506)*(AC$3&lt;='Gastos com Pessoal'!$F$7:$F$506)*(IF('Gastos com Pessoal'!$M$7:$M$506&lt;=AC$3,1,0))*OFFSET('Gastos com Pessoal'!$H$6,1,MATCH(2&amp;$B55,'Gastos com Pessoal'!$I$532:$AJ$532&amp;'Gastos com Pessoal'!$I$6:$AJ$6,0),500,1)),0)+_xlfn.IFNA(SUM((AC$3&gt;='Gastos com Pessoal'!$E$7:$E$506)*(AC$3&lt;='Gastos com Pessoal'!$F$7:$F$506)*(IF('Gastos com Pessoal'!$S$7:$S$506&lt;=AC$3,1,0))*OFFSET('Gastos com Pessoal'!$H$6,1,MATCH(3&amp;$B55,'Gastos com Pessoal'!$I$532:$AJ$532&amp;'Gastos com Pessoal'!$I$6:$AJ$6,0),500,1)),0)+_xlfn.IFNA(SUM((AC$3&gt;='Gastos com Pessoal'!$E$7:$E$506)*(AC$3&lt;='Gastos com Pessoal'!$F$7:$F$506)*(IF('Gastos com Pessoal'!$Y$7:$Y$506&lt;=AC$3,1,0))*OFFSET('Gastos com Pessoal'!$H$6,1,MATCH(4&amp;$B55,'Gastos com Pessoal'!$I$532:$AJ$532&amp;'Gastos com Pessoal'!$I$6:$AJ$6,0),500,1)),0)+_xlfn.IFNA(SUM((AC$3&gt;='Gastos com Pessoal'!$E$7:$E$506)*(AC$3&lt;='Gastos com Pessoal'!$F$7:$F$506)*(IF('Gastos com Pessoal'!$AE$7:$AE$506&lt;=AC$3,1,0))*OFFSET('Gastos com Pessoal'!$H$6,1,MATCH(5&amp;$B55,'Gastos com Pessoal'!$I$532:$AJ$532&amp;'Gastos com Pessoal'!$I$6:$AJ$6,0),500,1)),0)+_xlfn.IFNA(SUM((AC$3&gt;='Gastos com Pessoal'!$E$513:$E$522)*(AC$3&lt;='Gastos com Pessoal'!$F$513:$F$522)*(IF('Gastos com Pessoal'!$G$513:$G$522&lt;=AC$3,1,0))*OFFSET('Gastos com Pessoal'!$H$512,1,MATCH(1&amp;$B55,'Gastos com Pessoal'!$I$532:$AJ$532&amp;'Gastos com Pessoal'!$I$512:$AJ$512,0),10,1)),0)+_xlfn.IFNA(SUM((AC$3&gt;='Gastos com Pessoal'!$E$513:$E$522)*(AC$3&lt;='Gastos com Pessoal'!$F$513:$F$522)*(IF('Gastos com Pessoal'!$M$513:$M$522&lt;=AC$3,1,0))*OFFSET('Gastos com Pessoal'!$H$512,1,MATCH(2&amp;$B55,'Gastos com Pessoal'!$I$532:$AJ$532&amp;'Gastos com Pessoal'!$I$512:$AJ$512,0),10,1)),0)+_xlfn.IFNA(SUM((AC$3&gt;='Gastos com Pessoal'!$E$513:$E$522)*(AC$3&lt;='Gastos com Pessoal'!$F$513:$F$522)*(IF('Gastos com Pessoal'!$S$513:$S$522&lt;=AC$3,1,0))*OFFSET('Gastos com Pessoal'!$H$512,1,MATCH(3&amp;$B55,'Gastos com Pessoal'!$I$532:$AJ$532&amp;'Gastos com Pessoal'!$I$512:$AJ$512,0),10,1)),0)+_xlfn.IFNA(SUM((AC$3&gt;='Gastos com Pessoal'!$E$513:$E$522)*(AC$3&lt;='Gastos com Pessoal'!$F$513:$F$522)*(IF('Gastos com Pessoal'!$Y$513:$Y$522&lt;=AC$3,1,0))*OFFSET('Gastos com Pessoal'!$H$512,1,MATCH(4&amp;$B55,'Gastos com Pessoal'!$I$532:$AJ$532&amp;'Gastos com Pessoal'!$I$512:$AJ$512,0),10,1)),0)+_xlfn.IFNA(SUM((AC$3&gt;='Gastos com Pessoal'!$E$513:$E$522)*(AC$3&lt;='Gastos com Pessoal'!$F$513:$F$522)*(IF('Gastos com Pessoal'!$AE$513:$AE$522&lt;=AC$3,1,0))*OFFSET('Gastos com Pessoal'!$H$512,1,MATCH(5&amp;$B55,'Gastos com Pessoal'!$I$532:$AJ$532&amp;'Gastos com Pessoal'!$I$512:$AJ$512,0),10,1)),0)</f>
        <v>0</v>
      </c>
      <c r="AD55" s="188">
        <f t="array" aca="1" ref="AD55" ca="1">_xlfn.IFNA(SUM((AD$3&gt;='Gastos com Pessoal'!$E$7:$E$506)*(AD$3&lt;='Gastos com Pessoal'!$F$7:$F$506)*OFFSET('Encargos e Benefícios'!$D$5,1,MATCH($B55,'Encargos e Benefícios'!$E$5:$AB$5,0),500,1)),0)+_xlfn.IFNA(SUM((AD$3&gt;='Gastos com Pessoal'!$E$513:$E$522)*(AD$3&lt;='Gastos com Pessoal'!$F$513:$F$522)*OFFSET('Encargos e Benefícios'!$D$511,1,MATCH($B55,'Encargos e Benefícios'!$E$511:$AB$511,0),10,1)),0)+_xlfn.IFNA(SUM((AD$3&gt;='Gastos com Pessoal'!$E$7:$E$506)*(AD$3&lt;='Gastos com Pessoal'!$F$7:$F$506)*(IF('Gastos com Pessoal'!$G$7:$G$506&lt;=AD$3,1,0))*OFFSET('Gastos com Pessoal'!$H$6,1,MATCH(1&amp;$B55,'Gastos com Pessoal'!$I$532:$AJ$532&amp;'Gastos com Pessoal'!$I$6:$AJ$6,0),500,1)),0)+_xlfn.IFNA(SUM((AD$3&gt;='Gastos com Pessoal'!$E$7:$E$506)*(AD$3&lt;='Gastos com Pessoal'!$F$7:$F$506)*(IF('Gastos com Pessoal'!$M$7:$M$506&lt;=AD$3,1,0))*OFFSET('Gastos com Pessoal'!$H$6,1,MATCH(2&amp;$B55,'Gastos com Pessoal'!$I$532:$AJ$532&amp;'Gastos com Pessoal'!$I$6:$AJ$6,0),500,1)),0)+_xlfn.IFNA(SUM((AD$3&gt;='Gastos com Pessoal'!$E$7:$E$506)*(AD$3&lt;='Gastos com Pessoal'!$F$7:$F$506)*(IF('Gastos com Pessoal'!$S$7:$S$506&lt;=AD$3,1,0))*OFFSET('Gastos com Pessoal'!$H$6,1,MATCH(3&amp;$B55,'Gastos com Pessoal'!$I$532:$AJ$532&amp;'Gastos com Pessoal'!$I$6:$AJ$6,0),500,1)),0)+_xlfn.IFNA(SUM((AD$3&gt;='Gastos com Pessoal'!$E$7:$E$506)*(AD$3&lt;='Gastos com Pessoal'!$F$7:$F$506)*(IF('Gastos com Pessoal'!$Y$7:$Y$506&lt;=AD$3,1,0))*OFFSET('Gastos com Pessoal'!$H$6,1,MATCH(4&amp;$B55,'Gastos com Pessoal'!$I$532:$AJ$532&amp;'Gastos com Pessoal'!$I$6:$AJ$6,0),500,1)),0)+_xlfn.IFNA(SUM((AD$3&gt;='Gastos com Pessoal'!$E$7:$E$506)*(AD$3&lt;='Gastos com Pessoal'!$F$7:$F$506)*(IF('Gastos com Pessoal'!$AE$7:$AE$506&lt;=AD$3,1,0))*OFFSET('Gastos com Pessoal'!$H$6,1,MATCH(5&amp;$B55,'Gastos com Pessoal'!$I$532:$AJ$532&amp;'Gastos com Pessoal'!$I$6:$AJ$6,0),500,1)),0)+_xlfn.IFNA(SUM((AD$3&gt;='Gastos com Pessoal'!$E$513:$E$522)*(AD$3&lt;='Gastos com Pessoal'!$F$513:$F$522)*(IF('Gastos com Pessoal'!$G$513:$G$522&lt;=AD$3,1,0))*OFFSET('Gastos com Pessoal'!$H$512,1,MATCH(1&amp;$B55,'Gastos com Pessoal'!$I$532:$AJ$532&amp;'Gastos com Pessoal'!$I$512:$AJ$512,0),10,1)),0)+_xlfn.IFNA(SUM((AD$3&gt;='Gastos com Pessoal'!$E$513:$E$522)*(AD$3&lt;='Gastos com Pessoal'!$F$513:$F$522)*(IF('Gastos com Pessoal'!$M$513:$M$522&lt;=AD$3,1,0))*OFFSET('Gastos com Pessoal'!$H$512,1,MATCH(2&amp;$B55,'Gastos com Pessoal'!$I$532:$AJ$532&amp;'Gastos com Pessoal'!$I$512:$AJ$512,0),10,1)),0)+_xlfn.IFNA(SUM((AD$3&gt;='Gastos com Pessoal'!$E$513:$E$522)*(AD$3&lt;='Gastos com Pessoal'!$F$513:$F$522)*(IF('Gastos com Pessoal'!$S$513:$S$522&lt;=AD$3,1,0))*OFFSET('Gastos com Pessoal'!$H$512,1,MATCH(3&amp;$B55,'Gastos com Pessoal'!$I$532:$AJ$532&amp;'Gastos com Pessoal'!$I$512:$AJ$512,0),10,1)),0)+_xlfn.IFNA(SUM((AD$3&gt;='Gastos com Pessoal'!$E$513:$E$522)*(AD$3&lt;='Gastos com Pessoal'!$F$513:$F$522)*(IF('Gastos com Pessoal'!$Y$513:$Y$522&lt;=AD$3,1,0))*OFFSET('Gastos com Pessoal'!$H$512,1,MATCH(4&amp;$B55,'Gastos com Pessoal'!$I$532:$AJ$532&amp;'Gastos com Pessoal'!$I$512:$AJ$512,0),10,1)),0)+_xlfn.IFNA(SUM((AD$3&gt;='Gastos com Pessoal'!$E$513:$E$522)*(AD$3&lt;='Gastos com Pessoal'!$F$513:$F$522)*(IF('Gastos com Pessoal'!$AE$513:$AE$522&lt;=AD$3,1,0))*OFFSET('Gastos com Pessoal'!$H$512,1,MATCH(5&amp;$B55,'Gastos com Pessoal'!$I$532:$AJ$532&amp;'Gastos com Pessoal'!$I$512:$AJ$512,0),10,1)),0)</f>
        <v>0</v>
      </c>
      <c r="AE55" s="188">
        <f t="array" aca="1" ref="AE55" ca="1">_xlfn.IFNA(SUM((AE$3&gt;='Gastos com Pessoal'!$E$7:$E$506)*(AE$3&lt;='Gastos com Pessoal'!$F$7:$F$506)*OFFSET('Encargos e Benefícios'!$D$5,1,MATCH($B55,'Encargos e Benefícios'!$E$5:$AB$5,0),500,1)),0)+_xlfn.IFNA(SUM((AE$3&gt;='Gastos com Pessoal'!$E$513:$E$522)*(AE$3&lt;='Gastos com Pessoal'!$F$513:$F$522)*OFFSET('Encargos e Benefícios'!$D$511,1,MATCH($B55,'Encargos e Benefícios'!$E$511:$AB$511,0),10,1)),0)+_xlfn.IFNA(SUM((AE$3&gt;='Gastos com Pessoal'!$E$7:$E$506)*(AE$3&lt;='Gastos com Pessoal'!$F$7:$F$506)*(IF('Gastos com Pessoal'!$G$7:$G$506&lt;=AE$3,1,0))*OFFSET('Gastos com Pessoal'!$H$6,1,MATCH(1&amp;$B55,'Gastos com Pessoal'!$I$532:$AJ$532&amp;'Gastos com Pessoal'!$I$6:$AJ$6,0),500,1)),0)+_xlfn.IFNA(SUM((AE$3&gt;='Gastos com Pessoal'!$E$7:$E$506)*(AE$3&lt;='Gastos com Pessoal'!$F$7:$F$506)*(IF('Gastos com Pessoal'!$M$7:$M$506&lt;=AE$3,1,0))*OFFSET('Gastos com Pessoal'!$H$6,1,MATCH(2&amp;$B55,'Gastos com Pessoal'!$I$532:$AJ$532&amp;'Gastos com Pessoal'!$I$6:$AJ$6,0),500,1)),0)+_xlfn.IFNA(SUM((AE$3&gt;='Gastos com Pessoal'!$E$7:$E$506)*(AE$3&lt;='Gastos com Pessoal'!$F$7:$F$506)*(IF('Gastos com Pessoal'!$S$7:$S$506&lt;=AE$3,1,0))*OFFSET('Gastos com Pessoal'!$H$6,1,MATCH(3&amp;$B55,'Gastos com Pessoal'!$I$532:$AJ$532&amp;'Gastos com Pessoal'!$I$6:$AJ$6,0),500,1)),0)+_xlfn.IFNA(SUM((AE$3&gt;='Gastos com Pessoal'!$E$7:$E$506)*(AE$3&lt;='Gastos com Pessoal'!$F$7:$F$506)*(IF('Gastos com Pessoal'!$Y$7:$Y$506&lt;=AE$3,1,0))*OFFSET('Gastos com Pessoal'!$H$6,1,MATCH(4&amp;$B55,'Gastos com Pessoal'!$I$532:$AJ$532&amp;'Gastos com Pessoal'!$I$6:$AJ$6,0),500,1)),0)+_xlfn.IFNA(SUM((AE$3&gt;='Gastos com Pessoal'!$E$7:$E$506)*(AE$3&lt;='Gastos com Pessoal'!$F$7:$F$506)*(IF('Gastos com Pessoal'!$AE$7:$AE$506&lt;=AE$3,1,0))*OFFSET('Gastos com Pessoal'!$H$6,1,MATCH(5&amp;$B55,'Gastos com Pessoal'!$I$532:$AJ$532&amp;'Gastos com Pessoal'!$I$6:$AJ$6,0),500,1)),0)+_xlfn.IFNA(SUM((AE$3&gt;='Gastos com Pessoal'!$E$513:$E$522)*(AE$3&lt;='Gastos com Pessoal'!$F$513:$F$522)*(IF('Gastos com Pessoal'!$G$513:$G$522&lt;=AE$3,1,0))*OFFSET('Gastos com Pessoal'!$H$512,1,MATCH(1&amp;$B55,'Gastos com Pessoal'!$I$532:$AJ$532&amp;'Gastos com Pessoal'!$I$512:$AJ$512,0),10,1)),0)+_xlfn.IFNA(SUM((AE$3&gt;='Gastos com Pessoal'!$E$513:$E$522)*(AE$3&lt;='Gastos com Pessoal'!$F$513:$F$522)*(IF('Gastos com Pessoal'!$M$513:$M$522&lt;=AE$3,1,0))*OFFSET('Gastos com Pessoal'!$H$512,1,MATCH(2&amp;$B55,'Gastos com Pessoal'!$I$532:$AJ$532&amp;'Gastos com Pessoal'!$I$512:$AJ$512,0),10,1)),0)+_xlfn.IFNA(SUM((AE$3&gt;='Gastos com Pessoal'!$E$513:$E$522)*(AE$3&lt;='Gastos com Pessoal'!$F$513:$F$522)*(IF('Gastos com Pessoal'!$S$513:$S$522&lt;=AE$3,1,0))*OFFSET('Gastos com Pessoal'!$H$512,1,MATCH(3&amp;$B55,'Gastos com Pessoal'!$I$532:$AJ$532&amp;'Gastos com Pessoal'!$I$512:$AJ$512,0),10,1)),0)+_xlfn.IFNA(SUM((AE$3&gt;='Gastos com Pessoal'!$E$513:$E$522)*(AE$3&lt;='Gastos com Pessoal'!$F$513:$F$522)*(IF('Gastos com Pessoal'!$Y$513:$Y$522&lt;=AE$3,1,0))*OFFSET('Gastos com Pessoal'!$H$512,1,MATCH(4&amp;$B55,'Gastos com Pessoal'!$I$532:$AJ$532&amp;'Gastos com Pessoal'!$I$512:$AJ$512,0),10,1)),0)+_xlfn.IFNA(SUM((AE$3&gt;='Gastos com Pessoal'!$E$513:$E$522)*(AE$3&lt;='Gastos com Pessoal'!$F$513:$F$522)*(IF('Gastos com Pessoal'!$AE$513:$AE$522&lt;=AE$3,1,0))*OFFSET('Gastos com Pessoal'!$H$512,1,MATCH(5&amp;$B55,'Gastos com Pessoal'!$I$532:$AJ$532&amp;'Gastos com Pessoal'!$I$512:$AJ$512,0),10,1)),0)</f>
        <v>0</v>
      </c>
      <c r="AF55" s="188">
        <f t="array" aca="1" ref="AF55" ca="1">_xlfn.IFNA(SUM((AF$3&gt;='Gastos com Pessoal'!$E$7:$E$506)*(AF$3&lt;='Gastos com Pessoal'!$F$7:$F$506)*OFFSET('Encargos e Benefícios'!$D$5,1,MATCH($B55,'Encargos e Benefícios'!$E$5:$AB$5,0),500,1)),0)+_xlfn.IFNA(SUM((AF$3&gt;='Gastos com Pessoal'!$E$513:$E$522)*(AF$3&lt;='Gastos com Pessoal'!$F$513:$F$522)*OFFSET('Encargos e Benefícios'!$D$511,1,MATCH($B55,'Encargos e Benefícios'!$E$511:$AB$511,0),10,1)),0)+_xlfn.IFNA(SUM((AF$3&gt;='Gastos com Pessoal'!$E$7:$E$506)*(AF$3&lt;='Gastos com Pessoal'!$F$7:$F$506)*(IF('Gastos com Pessoal'!$G$7:$G$506&lt;=AF$3,1,0))*OFFSET('Gastos com Pessoal'!$H$6,1,MATCH(1&amp;$B55,'Gastos com Pessoal'!$I$532:$AJ$532&amp;'Gastos com Pessoal'!$I$6:$AJ$6,0),500,1)),0)+_xlfn.IFNA(SUM((AF$3&gt;='Gastos com Pessoal'!$E$7:$E$506)*(AF$3&lt;='Gastos com Pessoal'!$F$7:$F$506)*(IF('Gastos com Pessoal'!$M$7:$M$506&lt;=AF$3,1,0))*OFFSET('Gastos com Pessoal'!$H$6,1,MATCH(2&amp;$B55,'Gastos com Pessoal'!$I$532:$AJ$532&amp;'Gastos com Pessoal'!$I$6:$AJ$6,0),500,1)),0)+_xlfn.IFNA(SUM((AF$3&gt;='Gastos com Pessoal'!$E$7:$E$506)*(AF$3&lt;='Gastos com Pessoal'!$F$7:$F$506)*(IF('Gastos com Pessoal'!$S$7:$S$506&lt;=AF$3,1,0))*OFFSET('Gastos com Pessoal'!$H$6,1,MATCH(3&amp;$B55,'Gastos com Pessoal'!$I$532:$AJ$532&amp;'Gastos com Pessoal'!$I$6:$AJ$6,0),500,1)),0)+_xlfn.IFNA(SUM((AF$3&gt;='Gastos com Pessoal'!$E$7:$E$506)*(AF$3&lt;='Gastos com Pessoal'!$F$7:$F$506)*(IF('Gastos com Pessoal'!$Y$7:$Y$506&lt;=AF$3,1,0))*OFFSET('Gastos com Pessoal'!$H$6,1,MATCH(4&amp;$B55,'Gastos com Pessoal'!$I$532:$AJ$532&amp;'Gastos com Pessoal'!$I$6:$AJ$6,0),500,1)),0)+_xlfn.IFNA(SUM((AF$3&gt;='Gastos com Pessoal'!$E$7:$E$506)*(AF$3&lt;='Gastos com Pessoal'!$F$7:$F$506)*(IF('Gastos com Pessoal'!$AE$7:$AE$506&lt;=AF$3,1,0))*OFFSET('Gastos com Pessoal'!$H$6,1,MATCH(5&amp;$B55,'Gastos com Pessoal'!$I$532:$AJ$532&amp;'Gastos com Pessoal'!$I$6:$AJ$6,0),500,1)),0)+_xlfn.IFNA(SUM((AF$3&gt;='Gastos com Pessoal'!$E$513:$E$522)*(AF$3&lt;='Gastos com Pessoal'!$F$513:$F$522)*(IF('Gastos com Pessoal'!$G$513:$G$522&lt;=AF$3,1,0))*OFFSET('Gastos com Pessoal'!$H$512,1,MATCH(1&amp;$B55,'Gastos com Pessoal'!$I$532:$AJ$532&amp;'Gastos com Pessoal'!$I$512:$AJ$512,0),10,1)),0)+_xlfn.IFNA(SUM((AF$3&gt;='Gastos com Pessoal'!$E$513:$E$522)*(AF$3&lt;='Gastos com Pessoal'!$F$513:$F$522)*(IF('Gastos com Pessoal'!$M$513:$M$522&lt;=AF$3,1,0))*OFFSET('Gastos com Pessoal'!$H$512,1,MATCH(2&amp;$B55,'Gastos com Pessoal'!$I$532:$AJ$532&amp;'Gastos com Pessoal'!$I$512:$AJ$512,0),10,1)),0)+_xlfn.IFNA(SUM((AF$3&gt;='Gastos com Pessoal'!$E$513:$E$522)*(AF$3&lt;='Gastos com Pessoal'!$F$513:$F$522)*(IF('Gastos com Pessoal'!$S$513:$S$522&lt;=AF$3,1,0))*OFFSET('Gastos com Pessoal'!$H$512,1,MATCH(3&amp;$B55,'Gastos com Pessoal'!$I$532:$AJ$532&amp;'Gastos com Pessoal'!$I$512:$AJ$512,0),10,1)),0)+_xlfn.IFNA(SUM((AF$3&gt;='Gastos com Pessoal'!$E$513:$E$522)*(AF$3&lt;='Gastos com Pessoal'!$F$513:$F$522)*(IF('Gastos com Pessoal'!$Y$513:$Y$522&lt;=AF$3,1,0))*OFFSET('Gastos com Pessoal'!$H$512,1,MATCH(4&amp;$B55,'Gastos com Pessoal'!$I$532:$AJ$532&amp;'Gastos com Pessoal'!$I$512:$AJ$512,0),10,1)),0)+_xlfn.IFNA(SUM((AF$3&gt;='Gastos com Pessoal'!$E$513:$E$522)*(AF$3&lt;='Gastos com Pessoal'!$F$513:$F$522)*(IF('Gastos com Pessoal'!$AE$513:$AE$522&lt;=AF$3,1,0))*OFFSET('Gastos com Pessoal'!$H$512,1,MATCH(5&amp;$B55,'Gastos com Pessoal'!$I$532:$AJ$532&amp;'Gastos com Pessoal'!$I$512:$AJ$512,0),10,1)),0)</f>
        <v>0</v>
      </c>
      <c r="AG55" s="188">
        <f t="array" aca="1" ref="AG55" ca="1">_xlfn.IFNA(SUM((AG$3&gt;='Gastos com Pessoal'!$E$7:$E$506)*(AG$3&lt;='Gastos com Pessoal'!$F$7:$F$506)*OFFSET('Encargos e Benefícios'!$D$5,1,MATCH($B55,'Encargos e Benefícios'!$E$5:$AB$5,0),500,1)),0)+_xlfn.IFNA(SUM((AG$3&gt;='Gastos com Pessoal'!$E$513:$E$522)*(AG$3&lt;='Gastos com Pessoal'!$F$513:$F$522)*OFFSET('Encargos e Benefícios'!$D$511,1,MATCH($B55,'Encargos e Benefícios'!$E$511:$AB$511,0),10,1)),0)+_xlfn.IFNA(SUM((AG$3&gt;='Gastos com Pessoal'!$E$7:$E$506)*(AG$3&lt;='Gastos com Pessoal'!$F$7:$F$506)*(IF('Gastos com Pessoal'!$G$7:$G$506&lt;=AG$3,1,0))*OFFSET('Gastos com Pessoal'!$H$6,1,MATCH(1&amp;$B55,'Gastos com Pessoal'!$I$532:$AJ$532&amp;'Gastos com Pessoal'!$I$6:$AJ$6,0),500,1)),0)+_xlfn.IFNA(SUM((AG$3&gt;='Gastos com Pessoal'!$E$7:$E$506)*(AG$3&lt;='Gastos com Pessoal'!$F$7:$F$506)*(IF('Gastos com Pessoal'!$M$7:$M$506&lt;=AG$3,1,0))*OFFSET('Gastos com Pessoal'!$H$6,1,MATCH(2&amp;$B55,'Gastos com Pessoal'!$I$532:$AJ$532&amp;'Gastos com Pessoal'!$I$6:$AJ$6,0),500,1)),0)+_xlfn.IFNA(SUM((AG$3&gt;='Gastos com Pessoal'!$E$7:$E$506)*(AG$3&lt;='Gastos com Pessoal'!$F$7:$F$506)*(IF('Gastos com Pessoal'!$S$7:$S$506&lt;=AG$3,1,0))*OFFSET('Gastos com Pessoal'!$H$6,1,MATCH(3&amp;$B55,'Gastos com Pessoal'!$I$532:$AJ$532&amp;'Gastos com Pessoal'!$I$6:$AJ$6,0),500,1)),0)+_xlfn.IFNA(SUM((AG$3&gt;='Gastos com Pessoal'!$E$7:$E$506)*(AG$3&lt;='Gastos com Pessoal'!$F$7:$F$506)*(IF('Gastos com Pessoal'!$Y$7:$Y$506&lt;=AG$3,1,0))*OFFSET('Gastos com Pessoal'!$H$6,1,MATCH(4&amp;$B55,'Gastos com Pessoal'!$I$532:$AJ$532&amp;'Gastos com Pessoal'!$I$6:$AJ$6,0),500,1)),0)+_xlfn.IFNA(SUM((AG$3&gt;='Gastos com Pessoal'!$E$7:$E$506)*(AG$3&lt;='Gastos com Pessoal'!$F$7:$F$506)*(IF('Gastos com Pessoal'!$AE$7:$AE$506&lt;=AG$3,1,0))*OFFSET('Gastos com Pessoal'!$H$6,1,MATCH(5&amp;$B55,'Gastos com Pessoal'!$I$532:$AJ$532&amp;'Gastos com Pessoal'!$I$6:$AJ$6,0),500,1)),0)+_xlfn.IFNA(SUM((AG$3&gt;='Gastos com Pessoal'!$E$513:$E$522)*(AG$3&lt;='Gastos com Pessoal'!$F$513:$F$522)*(IF('Gastos com Pessoal'!$G$513:$G$522&lt;=AG$3,1,0))*OFFSET('Gastos com Pessoal'!$H$512,1,MATCH(1&amp;$B55,'Gastos com Pessoal'!$I$532:$AJ$532&amp;'Gastos com Pessoal'!$I$512:$AJ$512,0),10,1)),0)+_xlfn.IFNA(SUM((AG$3&gt;='Gastos com Pessoal'!$E$513:$E$522)*(AG$3&lt;='Gastos com Pessoal'!$F$513:$F$522)*(IF('Gastos com Pessoal'!$M$513:$M$522&lt;=AG$3,1,0))*OFFSET('Gastos com Pessoal'!$H$512,1,MATCH(2&amp;$B55,'Gastos com Pessoal'!$I$532:$AJ$532&amp;'Gastos com Pessoal'!$I$512:$AJ$512,0),10,1)),0)+_xlfn.IFNA(SUM((AG$3&gt;='Gastos com Pessoal'!$E$513:$E$522)*(AG$3&lt;='Gastos com Pessoal'!$F$513:$F$522)*(IF('Gastos com Pessoal'!$S$513:$S$522&lt;=AG$3,1,0))*OFFSET('Gastos com Pessoal'!$H$512,1,MATCH(3&amp;$B55,'Gastos com Pessoal'!$I$532:$AJ$532&amp;'Gastos com Pessoal'!$I$512:$AJ$512,0),10,1)),0)+_xlfn.IFNA(SUM((AG$3&gt;='Gastos com Pessoal'!$E$513:$E$522)*(AG$3&lt;='Gastos com Pessoal'!$F$513:$F$522)*(IF('Gastos com Pessoal'!$Y$513:$Y$522&lt;=AG$3,1,0))*OFFSET('Gastos com Pessoal'!$H$512,1,MATCH(4&amp;$B55,'Gastos com Pessoal'!$I$532:$AJ$532&amp;'Gastos com Pessoal'!$I$512:$AJ$512,0),10,1)),0)+_xlfn.IFNA(SUM((AG$3&gt;='Gastos com Pessoal'!$E$513:$E$522)*(AG$3&lt;='Gastos com Pessoal'!$F$513:$F$522)*(IF('Gastos com Pessoal'!$AE$513:$AE$522&lt;=AG$3,1,0))*OFFSET('Gastos com Pessoal'!$H$512,1,MATCH(5&amp;$B55,'Gastos com Pessoal'!$I$532:$AJ$532&amp;'Gastos com Pessoal'!$I$512:$AJ$512,0),10,1)),0)</f>
        <v>0</v>
      </c>
      <c r="AH55" s="188">
        <f t="array" aca="1" ref="AH55" ca="1">_xlfn.IFNA(SUM((AH$3&gt;='Gastos com Pessoal'!$E$7:$E$506)*(AH$3&lt;='Gastos com Pessoal'!$F$7:$F$506)*OFFSET('Encargos e Benefícios'!$D$5,1,MATCH($B55,'Encargos e Benefícios'!$E$5:$AB$5,0),500,1)),0)+_xlfn.IFNA(SUM((AH$3&gt;='Gastos com Pessoal'!$E$513:$E$522)*(AH$3&lt;='Gastos com Pessoal'!$F$513:$F$522)*OFFSET('Encargos e Benefícios'!$D$511,1,MATCH($B55,'Encargos e Benefícios'!$E$511:$AB$511,0),10,1)),0)+_xlfn.IFNA(SUM((AH$3&gt;='Gastos com Pessoal'!$E$7:$E$506)*(AH$3&lt;='Gastos com Pessoal'!$F$7:$F$506)*(IF('Gastos com Pessoal'!$G$7:$G$506&lt;=AH$3,1,0))*OFFSET('Gastos com Pessoal'!$H$6,1,MATCH(1&amp;$B55,'Gastos com Pessoal'!$I$532:$AJ$532&amp;'Gastos com Pessoal'!$I$6:$AJ$6,0),500,1)),0)+_xlfn.IFNA(SUM((AH$3&gt;='Gastos com Pessoal'!$E$7:$E$506)*(AH$3&lt;='Gastos com Pessoal'!$F$7:$F$506)*(IF('Gastos com Pessoal'!$M$7:$M$506&lt;=AH$3,1,0))*OFFSET('Gastos com Pessoal'!$H$6,1,MATCH(2&amp;$B55,'Gastos com Pessoal'!$I$532:$AJ$532&amp;'Gastos com Pessoal'!$I$6:$AJ$6,0),500,1)),0)+_xlfn.IFNA(SUM((AH$3&gt;='Gastos com Pessoal'!$E$7:$E$506)*(AH$3&lt;='Gastos com Pessoal'!$F$7:$F$506)*(IF('Gastos com Pessoal'!$S$7:$S$506&lt;=AH$3,1,0))*OFFSET('Gastos com Pessoal'!$H$6,1,MATCH(3&amp;$B55,'Gastos com Pessoal'!$I$532:$AJ$532&amp;'Gastos com Pessoal'!$I$6:$AJ$6,0),500,1)),0)+_xlfn.IFNA(SUM((AH$3&gt;='Gastos com Pessoal'!$E$7:$E$506)*(AH$3&lt;='Gastos com Pessoal'!$F$7:$F$506)*(IF('Gastos com Pessoal'!$Y$7:$Y$506&lt;=AH$3,1,0))*OFFSET('Gastos com Pessoal'!$H$6,1,MATCH(4&amp;$B55,'Gastos com Pessoal'!$I$532:$AJ$532&amp;'Gastos com Pessoal'!$I$6:$AJ$6,0),500,1)),0)+_xlfn.IFNA(SUM((AH$3&gt;='Gastos com Pessoal'!$E$7:$E$506)*(AH$3&lt;='Gastos com Pessoal'!$F$7:$F$506)*(IF('Gastos com Pessoal'!$AE$7:$AE$506&lt;=AH$3,1,0))*OFFSET('Gastos com Pessoal'!$H$6,1,MATCH(5&amp;$B55,'Gastos com Pessoal'!$I$532:$AJ$532&amp;'Gastos com Pessoal'!$I$6:$AJ$6,0),500,1)),0)+_xlfn.IFNA(SUM((AH$3&gt;='Gastos com Pessoal'!$E$513:$E$522)*(AH$3&lt;='Gastos com Pessoal'!$F$513:$F$522)*(IF('Gastos com Pessoal'!$G$513:$G$522&lt;=AH$3,1,0))*OFFSET('Gastos com Pessoal'!$H$512,1,MATCH(1&amp;$B55,'Gastos com Pessoal'!$I$532:$AJ$532&amp;'Gastos com Pessoal'!$I$512:$AJ$512,0),10,1)),0)+_xlfn.IFNA(SUM((AH$3&gt;='Gastos com Pessoal'!$E$513:$E$522)*(AH$3&lt;='Gastos com Pessoal'!$F$513:$F$522)*(IF('Gastos com Pessoal'!$M$513:$M$522&lt;=AH$3,1,0))*OFFSET('Gastos com Pessoal'!$H$512,1,MATCH(2&amp;$B55,'Gastos com Pessoal'!$I$532:$AJ$532&amp;'Gastos com Pessoal'!$I$512:$AJ$512,0),10,1)),0)+_xlfn.IFNA(SUM((AH$3&gt;='Gastos com Pessoal'!$E$513:$E$522)*(AH$3&lt;='Gastos com Pessoal'!$F$513:$F$522)*(IF('Gastos com Pessoal'!$S$513:$S$522&lt;=AH$3,1,0))*OFFSET('Gastos com Pessoal'!$H$512,1,MATCH(3&amp;$B55,'Gastos com Pessoal'!$I$532:$AJ$532&amp;'Gastos com Pessoal'!$I$512:$AJ$512,0),10,1)),0)+_xlfn.IFNA(SUM((AH$3&gt;='Gastos com Pessoal'!$E$513:$E$522)*(AH$3&lt;='Gastos com Pessoal'!$F$513:$F$522)*(IF('Gastos com Pessoal'!$Y$513:$Y$522&lt;=AH$3,1,0))*OFFSET('Gastos com Pessoal'!$H$512,1,MATCH(4&amp;$B55,'Gastos com Pessoal'!$I$532:$AJ$532&amp;'Gastos com Pessoal'!$I$512:$AJ$512,0),10,1)),0)+_xlfn.IFNA(SUM((AH$3&gt;='Gastos com Pessoal'!$E$513:$E$522)*(AH$3&lt;='Gastos com Pessoal'!$F$513:$F$522)*(IF('Gastos com Pessoal'!$AE$513:$AE$522&lt;=AH$3,1,0))*OFFSET('Gastos com Pessoal'!$H$512,1,MATCH(5&amp;$B55,'Gastos com Pessoal'!$I$532:$AJ$532&amp;'Gastos com Pessoal'!$I$512:$AJ$512,0),10,1)),0)</f>
        <v>0</v>
      </c>
      <c r="AI55" s="188">
        <f t="array" aca="1" ref="AI55" ca="1">_xlfn.IFNA(SUM((AI$3&gt;='Gastos com Pessoal'!$E$7:$E$506)*(AI$3&lt;='Gastos com Pessoal'!$F$7:$F$506)*OFFSET('Encargos e Benefícios'!$D$5,1,MATCH($B55,'Encargos e Benefícios'!$E$5:$AB$5,0),500,1)),0)+_xlfn.IFNA(SUM((AI$3&gt;='Gastos com Pessoal'!$E$513:$E$522)*(AI$3&lt;='Gastos com Pessoal'!$F$513:$F$522)*OFFSET('Encargos e Benefícios'!$D$511,1,MATCH($B55,'Encargos e Benefícios'!$E$511:$AB$511,0),10,1)),0)+_xlfn.IFNA(SUM((AI$3&gt;='Gastos com Pessoal'!$E$7:$E$506)*(AI$3&lt;='Gastos com Pessoal'!$F$7:$F$506)*(IF('Gastos com Pessoal'!$G$7:$G$506&lt;=AI$3,1,0))*OFFSET('Gastos com Pessoal'!$H$6,1,MATCH(1&amp;$B55,'Gastos com Pessoal'!$I$532:$AJ$532&amp;'Gastos com Pessoal'!$I$6:$AJ$6,0),500,1)),0)+_xlfn.IFNA(SUM((AI$3&gt;='Gastos com Pessoal'!$E$7:$E$506)*(AI$3&lt;='Gastos com Pessoal'!$F$7:$F$506)*(IF('Gastos com Pessoal'!$M$7:$M$506&lt;=AI$3,1,0))*OFFSET('Gastos com Pessoal'!$H$6,1,MATCH(2&amp;$B55,'Gastos com Pessoal'!$I$532:$AJ$532&amp;'Gastos com Pessoal'!$I$6:$AJ$6,0),500,1)),0)+_xlfn.IFNA(SUM((AI$3&gt;='Gastos com Pessoal'!$E$7:$E$506)*(AI$3&lt;='Gastos com Pessoal'!$F$7:$F$506)*(IF('Gastos com Pessoal'!$S$7:$S$506&lt;=AI$3,1,0))*OFFSET('Gastos com Pessoal'!$H$6,1,MATCH(3&amp;$B55,'Gastos com Pessoal'!$I$532:$AJ$532&amp;'Gastos com Pessoal'!$I$6:$AJ$6,0),500,1)),0)+_xlfn.IFNA(SUM((AI$3&gt;='Gastos com Pessoal'!$E$7:$E$506)*(AI$3&lt;='Gastos com Pessoal'!$F$7:$F$506)*(IF('Gastos com Pessoal'!$Y$7:$Y$506&lt;=AI$3,1,0))*OFFSET('Gastos com Pessoal'!$H$6,1,MATCH(4&amp;$B55,'Gastos com Pessoal'!$I$532:$AJ$532&amp;'Gastos com Pessoal'!$I$6:$AJ$6,0),500,1)),0)+_xlfn.IFNA(SUM((AI$3&gt;='Gastos com Pessoal'!$E$7:$E$506)*(AI$3&lt;='Gastos com Pessoal'!$F$7:$F$506)*(IF('Gastos com Pessoal'!$AE$7:$AE$506&lt;=AI$3,1,0))*OFFSET('Gastos com Pessoal'!$H$6,1,MATCH(5&amp;$B55,'Gastos com Pessoal'!$I$532:$AJ$532&amp;'Gastos com Pessoal'!$I$6:$AJ$6,0),500,1)),0)+_xlfn.IFNA(SUM((AI$3&gt;='Gastos com Pessoal'!$E$513:$E$522)*(AI$3&lt;='Gastos com Pessoal'!$F$513:$F$522)*(IF('Gastos com Pessoal'!$G$513:$G$522&lt;=AI$3,1,0))*OFFSET('Gastos com Pessoal'!$H$512,1,MATCH(1&amp;$B55,'Gastos com Pessoal'!$I$532:$AJ$532&amp;'Gastos com Pessoal'!$I$512:$AJ$512,0),10,1)),0)+_xlfn.IFNA(SUM((AI$3&gt;='Gastos com Pessoal'!$E$513:$E$522)*(AI$3&lt;='Gastos com Pessoal'!$F$513:$F$522)*(IF('Gastos com Pessoal'!$M$513:$M$522&lt;=AI$3,1,0))*OFFSET('Gastos com Pessoal'!$H$512,1,MATCH(2&amp;$B55,'Gastos com Pessoal'!$I$532:$AJ$532&amp;'Gastos com Pessoal'!$I$512:$AJ$512,0),10,1)),0)+_xlfn.IFNA(SUM((AI$3&gt;='Gastos com Pessoal'!$E$513:$E$522)*(AI$3&lt;='Gastos com Pessoal'!$F$513:$F$522)*(IF('Gastos com Pessoal'!$S$513:$S$522&lt;=AI$3,1,0))*OFFSET('Gastos com Pessoal'!$H$512,1,MATCH(3&amp;$B55,'Gastos com Pessoal'!$I$532:$AJ$532&amp;'Gastos com Pessoal'!$I$512:$AJ$512,0),10,1)),0)+_xlfn.IFNA(SUM((AI$3&gt;='Gastos com Pessoal'!$E$513:$E$522)*(AI$3&lt;='Gastos com Pessoal'!$F$513:$F$522)*(IF('Gastos com Pessoal'!$Y$513:$Y$522&lt;=AI$3,1,0))*OFFSET('Gastos com Pessoal'!$H$512,1,MATCH(4&amp;$B55,'Gastos com Pessoal'!$I$532:$AJ$532&amp;'Gastos com Pessoal'!$I$512:$AJ$512,0),10,1)),0)+_xlfn.IFNA(SUM((AI$3&gt;='Gastos com Pessoal'!$E$513:$E$522)*(AI$3&lt;='Gastos com Pessoal'!$F$513:$F$522)*(IF('Gastos com Pessoal'!$AE$513:$AE$522&lt;=AI$3,1,0))*OFFSET('Gastos com Pessoal'!$H$512,1,MATCH(5&amp;$B55,'Gastos com Pessoal'!$I$532:$AJ$532&amp;'Gastos com Pessoal'!$I$512:$AJ$512,0),10,1)),0)</f>
        <v>0</v>
      </c>
      <c r="AJ55" s="188">
        <f t="array" aca="1" ref="AJ55" ca="1">_xlfn.IFNA(SUM((AJ$3&gt;='Gastos com Pessoal'!$E$7:$E$506)*(AJ$3&lt;='Gastos com Pessoal'!$F$7:$F$506)*OFFSET('Encargos e Benefícios'!$D$5,1,MATCH($B55,'Encargos e Benefícios'!$E$5:$AB$5,0),500,1)),0)+_xlfn.IFNA(SUM((AJ$3&gt;='Gastos com Pessoal'!$E$513:$E$522)*(AJ$3&lt;='Gastos com Pessoal'!$F$513:$F$522)*OFFSET('Encargos e Benefícios'!$D$511,1,MATCH($B55,'Encargos e Benefícios'!$E$511:$AB$511,0),10,1)),0)+_xlfn.IFNA(SUM((AJ$3&gt;='Gastos com Pessoal'!$E$7:$E$506)*(AJ$3&lt;='Gastos com Pessoal'!$F$7:$F$506)*(IF('Gastos com Pessoal'!$G$7:$G$506&lt;=AJ$3,1,0))*OFFSET('Gastos com Pessoal'!$H$6,1,MATCH(1&amp;$B55,'Gastos com Pessoal'!$I$532:$AJ$532&amp;'Gastos com Pessoal'!$I$6:$AJ$6,0),500,1)),0)+_xlfn.IFNA(SUM((AJ$3&gt;='Gastos com Pessoal'!$E$7:$E$506)*(AJ$3&lt;='Gastos com Pessoal'!$F$7:$F$506)*(IF('Gastos com Pessoal'!$M$7:$M$506&lt;=AJ$3,1,0))*OFFSET('Gastos com Pessoal'!$H$6,1,MATCH(2&amp;$B55,'Gastos com Pessoal'!$I$532:$AJ$532&amp;'Gastos com Pessoal'!$I$6:$AJ$6,0),500,1)),0)+_xlfn.IFNA(SUM((AJ$3&gt;='Gastos com Pessoal'!$E$7:$E$506)*(AJ$3&lt;='Gastos com Pessoal'!$F$7:$F$506)*(IF('Gastos com Pessoal'!$S$7:$S$506&lt;=AJ$3,1,0))*OFFSET('Gastos com Pessoal'!$H$6,1,MATCH(3&amp;$B55,'Gastos com Pessoal'!$I$532:$AJ$532&amp;'Gastos com Pessoal'!$I$6:$AJ$6,0),500,1)),0)+_xlfn.IFNA(SUM((AJ$3&gt;='Gastos com Pessoal'!$E$7:$E$506)*(AJ$3&lt;='Gastos com Pessoal'!$F$7:$F$506)*(IF('Gastos com Pessoal'!$Y$7:$Y$506&lt;=AJ$3,1,0))*OFFSET('Gastos com Pessoal'!$H$6,1,MATCH(4&amp;$B55,'Gastos com Pessoal'!$I$532:$AJ$532&amp;'Gastos com Pessoal'!$I$6:$AJ$6,0),500,1)),0)+_xlfn.IFNA(SUM((AJ$3&gt;='Gastos com Pessoal'!$E$7:$E$506)*(AJ$3&lt;='Gastos com Pessoal'!$F$7:$F$506)*(IF('Gastos com Pessoal'!$AE$7:$AE$506&lt;=AJ$3,1,0))*OFFSET('Gastos com Pessoal'!$H$6,1,MATCH(5&amp;$B55,'Gastos com Pessoal'!$I$532:$AJ$532&amp;'Gastos com Pessoal'!$I$6:$AJ$6,0),500,1)),0)+_xlfn.IFNA(SUM((AJ$3&gt;='Gastos com Pessoal'!$E$513:$E$522)*(AJ$3&lt;='Gastos com Pessoal'!$F$513:$F$522)*(IF('Gastos com Pessoal'!$G$513:$G$522&lt;=AJ$3,1,0))*OFFSET('Gastos com Pessoal'!$H$512,1,MATCH(1&amp;$B55,'Gastos com Pessoal'!$I$532:$AJ$532&amp;'Gastos com Pessoal'!$I$512:$AJ$512,0),10,1)),0)+_xlfn.IFNA(SUM((AJ$3&gt;='Gastos com Pessoal'!$E$513:$E$522)*(AJ$3&lt;='Gastos com Pessoal'!$F$513:$F$522)*(IF('Gastos com Pessoal'!$M$513:$M$522&lt;=AJ$3,1,0))*OFFSET('Gastos com Pessoal'!$H$512,1,MATCH(2&amp;$B55,'Gastos com Pessoal'!$I$532:$AJ$532&amp;'Gastos com Pessoal'!$I$512:$AJ$512,0),10,1)),0)+_xlfn.IFNA(SUM((AJ$3&gt;='Gastos com Pessoal'!$E$513:$E$522)*(AJ$3&lt;='Gastos com Pessoal'!$F$513:$F$522)*(IF('Gastos com Pessoal'!$S$513:$S$522&lt;=AJ$3,1,0))*OFFSET('Gastos com Pessoal'!$H$512,1,MATCH(3&amp;$B55,'Gastos com Pessoal'!$I$532:$AJ$532&amp;'Gastos com Pessoal'!$I$512:$AJ$512,0),10,1)),0)+_xlfn.IFNA(SUM((AJ$3&gt;='Gastos com Pessoal'!$E$513:$E$522)*(AJ$3&lt;='Gastos com Pessoal'!$F$513:$F$522)*(IF('Gastos com Pessoal'!$Y$513:$Y$522&lt;=AJ$3,1,0))*OFFSET('Gastos com Pessoal'!$H$512,1,MATCH(4&amp;$B55,'Gastos com Pessoal'!$I$532:$AJ$532&amp;'Gastos com Pessoal'!$I$512:$AJ$512,0),10,1)),0)+_xlfn.IFNA(SUM((AJ$3&gt;='Gastos com Pessoal'!$E$513:$E$522)*(AJ$3&lt;='Gastos com Pessoal'!$F$513:$F$522)*(IF('Gastos com Pessoal'!$AE$513:$AE$522&lt;=AJ$3,1,0))*OFFSET('Gastos com Pessoal'!$H$512,1,MATCH(5&amp;$B55,'Gastos com Pessoal'!$I$532:$AJ$532&amp;'Gastos com Pessoal'!$I$512:$AJ$512,0),10,1)),0)</f>
        <v>0</v>
      </c>
      <c r="AK55" s="188">
        <f t="array" aca="1" ref="AK55" ca="1">_xlfn.IFNA(SUM((AK$3&gt;='Gastos com Pessoal'!$E$7:$E$506)*(AK$3&lt;='Gastos com Pessoal'!$F$7:$F$506)*OFFSET('Encargos e Benefícios'!$D$5,1,MATCH($B55,'Encargos e Benefícios'!$E$5:$AB$5,0),500,1)),0)+_xlfn.IFNA(SUM((AK$3&gt;='Gastos com Pessoal'!$E$513:$E$522)*(AK$3&lt;='Gastos com Pessoal'!$F$513:$F$522)*OFFSET('Encargos e Benefícios'!$D$511,1,MATCH($B55,'Encargos e Benefícios'!$E$511:$AB$511,0),10,1)),0)+_xlfn.IFNA(SUM((AK$3&gt;='Gastos com Pessoal'!$E$7:$E$506)*(AK$3&lt;='Gastos com Pessoal'!$F$7:$F$506)*(IF('Gastos com Pessoal'!$G$7:$G$506&lt;=AK$3,1,0))*OFFSET('Gastos com Pessoal'!$H$6,1,MATCH(1&amp;$B55,'Gastos com Pessoal'!$I$532:$AJ$532&amp;'Gastos com Pessoal'!$I$6:$AJ$6,0),500,1)),0)+_xlfn.IFNA(SUM((AK$3&gt;='Gastos com Pessoal'!$E$7:$E$506)*(AK$3&lt;='Gastos com Pessoal'!$F$7:$F$506)*(IF('Gastos com Pessoal'!$M$7:$M$506&lt;=AK$3,1,0))*OFFSET('Gastos com Pessoal'!$H$6,1,MATCH(2&amp;$B55,'Gastos com Pessoal'!$I$532:$AJ$532&amp;'Gastos com Pessoal'!$I$6:$AJ$6,0),500,1)),0)+_xlfn.IFNA(SUM((AK$3&gt;='Gastos com Pessoal'!$E$7:$E$506)*(AK$3&lt;='Gastos com Pessoal'!$F$7:$F$506)*(IF('Gastos com Pessoal'!$S$7:$S$506&lt;=AK$3,1,0))*OFFSET('Gastos com Pessoal'!$H$6,1,MATCH(3&amp;$B55,'Gastos com Pessoal'!$I$532:$AJ$532&amp;'Gastos com Pessoal'!$I$6:$AJ$6,0),500,1)),0)+_xlfn.IFNA(SUM((AK$3&gt;='Gastos com Pessoal'!$E$7:$E$506)*(AK$3&lt;='Gastos com Pessoal'!$F$7:$F$506)*(IF('Gastos com Pessoal'!$Y$7:$Y$506&lt;=AK$3,1,0))*OFFSET('Gastos com Pessoal'!$H$6,1,MATCH(4&amp;$B55,'Gastos com Pessoal'!$I$532:$AJ$532&amp;'Gastos com Pessoal'!$I$6:$AJ$6,0),500,1)),0)+_xlfn.IFNA(SUM((AK$3&gt;='Gastos com Pessoal'!$E$7:$E$506)*(AK$3&lt;='Gastos com Pessoal'!$F$7:$F$506)*(IF('Gastos com Pessoal'!$AE$7:$AE$506&lt;=AK$3,1,0))*OFFSET('Gastos com Pessoal'!$H$6,1,MATCH(5&amp;$B55,'Gastos com Pessoal'!$I$532:$AJ$532&amp;'Gastos com Pessoal'!$I$6:$AJ$6,0),500,1)),0)+_xlfn.IFNA(SUM((AK$3&gt;='Gastos com Pessoal'!$E$513:$E$522)*(AK$3&lt;='Gastos com Pessoal'!$F$513:$F$522)*(IF('Gastos com Pessoal'!$G$513:$G$522&lt;=AK$3,1,0))*OFFSET('Gastos com Pessoal'!$H$512,1,MATCH(1&amp;$B55,'Gastos com Pessoal'!$I$532:$AJ$532&amp;'Gastos com Pessoal'!$I$512:$AJ$512,0),10,1)),0)+_xlfn.IFNA(SUM((AK$3&gt;='Gastos com Pessoal'!$E$513:$E$522)*(AK$3&lt;='Gastos com Pessoal'!$F$513:$F$522)*(IF('Gastos com Pessoal'!$M$513:$M$522&lt;=AK$3,1,0))*OFFSET('Gastos com Pessoal'!$H$512,1,MATCH(2&amp;$B55,'Gastos com Pessoal'!$I$532:$AJ$532&amp;'Gastos com Pessoal'!$I$512:$AJ$512,0),10,1)),0)+_xlfn.IFNA(SUM((AK$3&gt;='Gastos com Pessoal'!$E$513:$E$522)*(AK$3&lt;='Gastos com Pessoal'!$F$513:$F$522)*(IF('Gastos com Pessoal'!$S$513:$S$522&lt;=AK$3,1,0))*OFFSET('Gastos com Pessoal'!$H$512,1,MATCH(3&amp;$B55,'Gastos com Pessoal'!$I$532:$AJ$532&amp;'Gastos com Pessoal'!$I$512:$AJ$512,0),10,1)),0)+_xlfn.IFNA(SUM((AK$3&gt;='Gastos com Pessoal'!$E$513:$E$522)*(AK$3&lt;='Gastos com Pessoal'!$F$513:$F$522)*(IF('Gastos com Pessoal'!$Y$513:$Y$522&lt;=AK$3,1,0))*OFFSET('Gastos com Pessoal'!$H$512,1,MATCH(4&amp;$B55,'Gastos com Pessoal'!$I$532:$AJ$532&amp;'Gastos com Pessoal'!$I$512:$AJ$512,0),10,1)),0)+_xlfn.IFNA(SUM((AK$3&gt;='Gastos com Pessoal'!$E$513:$E$522)*(AK$3&lt;='Gastos com Pessoal'!$F$513:$F$522)*(IF('Gastos com Pessoal'!$AE$513:$AE$522&lt;=AK$3,1,0))*OFFSET('Gastos com Pessoal'!$H$512,1,MATCH(5&amp;$B55,'Gastos com Pessoal'!$I$532:$AJ$532&amp;'Gastos com Pessoal'!$I$512:$AJ$512,0),10,1)),0)</f>
        <v>0</v>
      </c>
      <c r="AL55" s="188">
        <f t="array" aca="1" ref="AL55" ca="1">_xlfn.IFNA(SUM((AL$3&gt;='Gastos com Pessoal'!$E$7:$E$506)*(AL$3&lt;='Gastos com Pessoal'!$F$7:$F$506)*OFFSET('Encargos e Benefícios'!$D$5,1,MATCH($B55,'Encargos e Benefícios'!$E$5:$AB$5,0),500,1)),0)+_xlfn.IFNA(SUM((AL$3&gt;='Gastos com Pessoal'!$E$513:$E$522)*(AL$3&lt;='Gastos com Pessoal'!$F$513:$F$522)*OFFSET('Encargos e Benefícios'!$D$511,1,MATCH($B55,'Encargos e Benefícios'!$E$511:$AB$511,0),10,1)),0)+_xlfn.IFNA(SUM((AL$3&gt;='Gastos com Pessoal'!$E$7:$E$506)*(AL$3&lt;='Gastos com Pessoal'!$F$7:$F$506)*(IF('Gastos com Pessoal'!$G$7:$G$506&lt;=AL$3,1,0))*OFFSET('Gastos com Pessoal'!$H$6,1,MATCH(1&amp;$B55,'Gastos com Pessoal'!$I$532:$AJ$532&amp;'Gastos com Pessoal'!$I$6:$AJ$6,0),500,1)),0)+_xlfn.IFNA(SUM((AL$3&gt;='Gastos com Pessoal'!$E$7:$E$506)*(AL$3&lt;='Gastos com Pessoal'!$F$7:$F$506)*(IF('Gastos com Pessoal'!$M$7:$M$506&lt;=AL$3,1,0))*OFFSET('Gastos com Pessoal'!$H$6,1,MATCH(2&amp;$B55,'Gastos com Pessoal'!$I$532:$AJ$532&amp;'Gastos com Pessoal'!$I$6:$AJ$6,0),500,1)),0)+_xlfn.IFNA(SUM((AL$3&gt;='Gastos com Pessoal'!$E$7:$E$506)*(AL$3&lt;='Gastos com Pessoal'!$F$7:$F$506)*(IF('Gastos com Pessoal'!$S$7:$S$506&lt;=AL$3,1,0))*OFFSET('Gastos com Pessoal'!$H$6,1,MATCH(3&amp;$B55,'Gastos com Pessoal'!$I$532:$AJ$532&amp;'Gastos com Pessoal'!$I$6:$AJ$6,0),500,1)),0)+_xlfn.IFNA(SUM((AL$3&gt;='Gastos com Pessoal'!$E$7:$E$506)*(AL$3&lt;='Gastos com Pessoal'!$F$7:$F$506)*(IF('Gastos com Pessoal'!$Y$7:$Y$506&lt;=AL$3,1,0))*OFFSET('Gastos com Pessoal'!$H$6,1,MATCH(4&amp;$B55,'Gastos com Pessoal'!$I$532:$AJ$532&amp;'Gastos com Pessoal'!$I$6:$AJ$6,0),500,1)),0)+_xlfn.IFNA(SUM((AL$3&gt;='Gastos com Pessoal'!$E$7:$E$506)*(AL$3&lt;='Gastos com Pessoal'!$F$7:$F$506)*(IF('Gastos com Pessoal'!$AE$7:$AE$506&lt;=AL$3,1,0))*OFFSET('Gastos com Pessoal'!$H$6,1,MATCH(5&amp;$B55,'Gastos com Pessoal'!$I$532:$AJ$532&amp;'Gastos com Pessoal'!$I$6:$AJ$6,0),500,1)),0)+_xlfn.IFNA(SUM((AL$3&gt;='Gastos com Pessoal'!$E$513:$E$522)*(AL$3&lt;='Gastos com Pessoal'!$F$513:$F$522)*(IF('Gastos com Pessoal'!$G$513:$G$522&lt;=AL$3,1,0))*OFFSET('Gastos com Pessoal'!$H$512,1,MATCH(1&amp;$B55,'Gastos com Pessoal'!$I$532:$AJ$532&amp;'Gastos com Pessoal'!$I$512:$AJ$512,0),10,1)),0)+_xlfn.IFNA(SUM((AL$3&gt;='Gastos com Pessoal'!$E$513:$E$522)*(AL$3&lt;='Gastos com Pessoal'!$F$513:$F$522)*(IF('Gastos com Pessoal'!$M$513:$M$522&lt;=AL$3,1,0))*OFFSET('Gastos com Pessoal'!$H$512,1,MATCH(2&amp;$B55,'Gastos com Pessoal'!$I$532:$AJ$532&amp;'Gastos com Pessoal'!$I$512:$AJ$512,0),10,1)),0)+_xlfn.IFNA(SUM((AL$3&gt;='Gastos com Pessoal'!$E$513:$E$522)*(AL$3&lt;='Gastos com Pessoal'!$F$513:$F$522)*(IF('Gastos com Pessoal'!$S$513:$S$522&lt;=AL$3,1,0))*OFFSET('Gastos com Pessoal'!$H$512,1,MATCH(3&amp;$B55,'Gastos com Pessoal'!$I$532:$AJ$532&amp;'Gastos com Pessoal'!$I$512:$AJ$512,0),10,1)),0)+_xlfn.IFNA(SUM((AL$3&gt;='Gastos com Pessoal'!$E$513:$E$522)*(AL$3&lt;='Gastos com Pessoal'!$F$513:$F$522)*(IF('Gastos com Pessoal'!$Y$513:$Y$522&lt;=AL$3,1,0))*OFFSET('Gastos com Pessoal'!$H$512,1,MATCH(4&amp;$B55,'Gastos com Pessoal'!$I$532:$AJ$532&amp;'Gastos com Pessoal'!$I$512:$AJ$512,0),10,1)),0)+_xlfn.IFNA(SUM((AL$3&gt;='Gastos com Pessoal'!$E$513:$E$522)*(AL$3&lt;='Gastos com Pessoal'!$F$513:$F$522)*(IF('Gastos com Pessoal'!$AE$513:$AE$522&lt;=AL$3,1,0))*OFFSET('Gastos com Pessoal'!$H$512,1,MATCH(5&amp;$B55,'Gastos com Pessoal'!$I$532:$AJ$532&amp;'Gastos com Pessoal'!$I$512:$AJ$512,0),10,1)),0)</f>
        <v>0</v>
      </c>
      <c r="AM55" s="188">
        <f t="array" aca="1" ref="AM55" ca="1">_xlfn.IFNA(SUM((AM$3&gt;='Gastos com Pessoal'!$E$7:$E$506)*(AM$3&lt;='Gastos com Pessoal'!$F$7:$F$506)*OFFSET('Encargos e Benefícios'!$D$5,1,MATCH($B55,'Encargos e Benefícios'!$E$5:$AB$5,0),500,1)),0)+_xlfn.IFNA(SUM((AM$3&gt;='Gastos com Pessoal'!$E$513:$E$522)*(AM$3&lt;='Gastos com Pessoal'!$F$513:$F$522)*OFFSET('Encargos e Benefícios'!$D$511,1,MATCH($B55,'Encargos e Benefícios'!$E$511:$AB$511,0),10,1)),0)+_xlfn.IFNA(SUM((AM$3&gt;='Gastos com Pessoal'!$E$7:$E$506)*(AM$3&lt;='Gastos com Pessoal'!$F$7:$F$506)*(IF('Gastos com Pessoal'!$G$7:$G$506&lt;=AM$3,1,0))*OFFSET('Gastos com Pessoal'!$H$6,1,MATCH(1&amp;$B55,'Gastos com Pessoal'!$I$532:$AJ$532&amp;'Gastos com Pessoal'!$I$6:$AJ$6,0),500,1)),0)+_xlfn.IFNA(SUM((AM$3&gt;='Gastos com Pessoal'!$E$7:$E$506)*(AM$3&lt;='Gastos com Pessoal'!$F$7:$F$506)*(IF('Gastos com Pessoal'!$M$7:$M$506&lt;=AM$3,1,0))*OFFSET('Gastos com Pessoal'!$H$6,1,MATCH(2&amp;$B55,'Gastos com Pessoal'!$I$532:$AJ$532&amp;'Gastos com Pessoal'!$I$6:$AJ$6,0),500,1)),0)+_xlfn.IFNA(SUM((AM$3&gt;='Gastos com Pessoal'!$E$7:$E$506)*(AM$3&lt;='Gastos com Pessoal'!$F$7:$F$506)*(IF('Gastos com Pessoal'!$S$7:$S$506&lt;=AM$3,1,0))*OFFSET('Gastos com Pessoal'!$H$6,1,MATCH(3&amp;$B55,'Gastos com Pessoal'!$I$532:$AJ$532&amp;'Gastos com Pessoal'!$I$6:$AJ$6,0),500,1)),0)+_xlfn.IFNA(SUM((AM$3&gt;='Gastos com Pessoal'!$E$7:$E$506)*(AM$3&lt;='Gastos com Pessoal'!$F$7:$F$506)*(IF('Gastos com Pessoal'!$Y$7:$Y$506&lt;=AM$3,1,0))*OFFSET('Gastos com Pessoal'!$H$6,1,MATCH(4&amp;$B55,'Gastos com Pessoal'!$I$532:$AJ$532&amp;'Gastos com Pessoal'!$I$6:$AJ$6,0),500,1)),0)+_xlfn.IFNA(SUM((AM$3&gt;='Gastos com Pessoal'!$E$7:$E$506)*(AM$3&lt;='Gastos com Pessoal'!$F$7:$F$506)*(IF('Gastos com Pessoal'!$AE$7:$AE$506&lt;=AM$3,1,0))*OFFSET('Gastos com Pessoal'!$H$6,1,MATCH(5&amp;$B55,'Gastos com Pessoal'!$I$532:$AJ$532&amp;'Gastos com Pessoal'!$I$6:$AJ$6,0),500,1)),0)+_xlfn.IFNA(SUM((AM$3&gt;='Gastos com Pessoal'!$E$513:$E$522)*(AM$3&lt;='Gastos com Pessoal'!$F$513:$F$522)*(IF('Gastos com Pessoal'!$G$513:$G$522&lt;=AM$3,1,0))*OFFSET('Gastos com Pessoal'!$H$512,1,MATCH(1&amp;$B55,'Gastos com Pessoal'!$I$532:$AJ$532&amp;'Gastos com Pessoal'!$I$512:$AJ$512,0),10,1)),0)+_xlfn.IFNA(SUM((AM$3&gt;='Gastos com Pessoal'!$E$513:$E$522)*(AM$3&lt;='Gastos com Pessoal'!$F$513:$F$522)*(IF('Gastos com Pessoal'!$M$513:$M$522&lt;=AM$3,1,0))*OFFSET('Gastos com Pessoal'!$H$512,1,MATCH(2&amp;$B55,'Gastos com Pessoal'!$I$532:$AJ$532&amp;'Gastos com Pessoal'!$I$512:$AJ$512,0),10,1)),0)+_xlfn.IFNA(SUM((AM$3&gt;='Gastos com Pessoal'!$E$513:$E$522)*(AM$3&lt;='Gastos com Pessoal'!$F$513:$F$522)*(IF('Gastos com Pessoal'!$S$513:$S$522&lt;=AM$3,1,0))*OFFSET('Gastos com Pessoal'!$H$512,1,MATCH(3&amp;$B55,'Gastos com Pessoal'!$I$532:$AJ$532&amp;'Gastos com Pessoal'!$I$512:$AJ$512,0),10,1)),0)+_xlfn.IFNA(SUM((AM$3&gt;='Gastos com Pessoal'!$E$513:$E$522)*(AM$3&lt;='Gastos com Pessoal'!$F$513:$F$522)*(IF('Gastos com Pessoal'!$Y$513:$Y$522&lt;=AM$3,1,0))*OFFSET('Gastos com Pessoal'!$H$512,1,MATCH(4&amp;$B55,'Gastos com Pessoal'!$I$532:$AJ$532&amp;'Gastos com Pessoal'!$I$512:$AJ$512,0),10,1)),0)+_xlfn.IFNA(SUM((AM$3&gt;='Gastos com Pessoal'!$E$513:$E$522)*(AM$3&lt;='Gastos com Pessoal'!$F$513:$F$522)*(IF('Gastos com Pessoal'!$AE$513:$AE$522&lt;=AM$3,1,0))*OFFSET('Gastos com Pessoal'!$H$512,1,MATCH(5&amp;$B55,'Gastos com Pessoal'!$I$532:$AJ$532&amp;'Gastos com Pessoal'!$I$512:$AJ$512,0),10,1)),0)</f>
        <v>0</v>
      </c>
      <c r="AN55" s="188">
        <f t="array" aca="1" ref="AN55" ca="1">_xlfn.IFNA(SUM((AN$3&gt;='Gastos com Pessoal'!$E$7:$E$506)*(AN$3&lt;='Gastos com Pessoal'!$F$7:$F$506)*OFFSET('Encargos e Benefícios'!$D$5,1,MATCH($B55,'Encargos e Benefícios'!$E$5:$AB$5,0),500,1)),0)+_xlfn.IFNA(SUM((AN$3&gt;='Gastos com Pessoal'!$E$513:$E$522)*(AN$3&lt;='Gastos com Pessoal'!$F$513:$F$522)*OFFSET('Encargos e Benefícios'!$D$511,1,MATCH($B55,'Encargos e Benefícios'!$E$511:$AB$511,0),10,1)),0)+_xlfn.IFNA(SUM((AN$3&gt;='Gastos com Pessoal'!$E$7:$E$506)*(AN$3&lt;='Gastos com Pessoal'!$F$7:$F$506)*(IF('Gastos com Pessoal'!$G$7:$G$506&lt;=AN$3,1,0))*OFFSET('Gastos com Pessoal'!$H$6,1,MATCH(1&amp;$B55,'Gastos com Pessoal'!$I$532:$AJ$532&amp;'Gastos com Pessoal'!$I$6:$AJ$6,0),500,1)),0)+_xlfn.IFNA(SUM((AN$3&gt;='Gastos com Pessoal'!$E$7:$E$506)*(AN$3&lt;='Gastos com Pessoal'!$F$7:$F$506)*(IF('Gastos com Pessoal'!$M$7:$M$506&lt;=AN$3,1,0))*OFFSET('Gastos com Pessoal'!$H$6,1,MATCH(2&amp;$B55,'Gastos com Pessoal'!$I$532:$AJ$532&amp;'Gastos com Pessoal'!$I$6:$AJ$6,0),500,1)),0)+_xlfn.IFNA(SUM((AN$3&gt;='Gastos com Pessoal'!$E$7:$E$506)*(AN$3&lt;='Gastos com Pessoal'!$F$7:$F$506)*(IF('Gastos com Pessoal'!$S$7:$S$506&lt;=AN$3,1,0))*OFFSET('Gastos com Pessoal'!$H$6,1,MATCH(3&amp;$B55,'Gastos com Pessoal'!$I$532:$AJ$532&amp;'Gastos com Pessoal'!$I$6:$AJ$6,0),500,1)),0)+_xlfn.IFNA(SUM((AN$3&gt;='Gastos com Pessoal'!$E$7:$E$506)*(AN$3&lt;='Gastos com Pessoal'!$F$7:$F$506)*(IF('Gastos com Pessoal'!$Y$7:$Y$506&lt;=AN$3,1,0))*OFFSET('Gastos com Pessoal'!$H$6,1,MATCH(4&amp;$B55,'Gastos com Pessoal'!$I$532:$AJ$532&amp;'Gastos com Pessoal'!$I$6:$AJ$6,0),500,1)),0)+_xlfn.IFNA(SUM((AN$3&gt;='Gastos com Pessoal'!$E$7:$E$506)*(AN$3&lt;='Gastos com Pessoal'!$F$7:$F$506)*(IF('Gastos com Pessoal'!$AE$7:$AE$506&lt;=AN$3,1,0))*OFFSET('Gastos com Pessoal'!$H$6,1,MATCH(5&amp;$B55,'Gastos com Pessoal'!$I$532:$AJ$532&amp;'Gastos com Pessoal'!$I$6:$AJ$6,0),500,1)),0)+_xlfn.IFNA(SUM((AN$3&gt;='Gastos com Pessoal'!$E$513:$E$522)*(AN$3&lt;='Gastos com Pessoal'!$F$513:$F$522)*(IF('Gastos com Pessoal'!$G$513:$G$522&lt;=AN$3,1,0))*OFFSET('Gastos com Pessoal'!$H$512,1,MATCH(1&amp;$B55,'Gastos com Pessoal'!$I$532:$AJ$532&amp;'Gastos com Pessoal'!$I$512:$AJ$512,0),10,1)),0)+_xlfn.IFNA(SUM((AN$3&gt;='Gastos com Pessoal'!$E$513:$E$522)*(AN$3&lt;='Gastos com Pessoal'!$F$513:$F$522)*(IF('Gastos com Pessoal'!$M$513:$M$522&lt;=AN$3,1,0))*OFFSET('Gastos com Pessoal'!$H$512,1,MATCH(2&amp;$B55,'Gastos com Pessoal'!$I$532:$AJ$532&amp;'Gastos com Pessoal'!$I$512:$AJ$512,0),10,1)),0)+_xlfn.IFNA(SUM((AN$3&gt;='Gastos com Pessoal'!$E$513:$E$522)*(AN$3&lt;='Gastos com Pessoal'!$F$513:$F$522)*(IF('Gastos com Pessoal'!$S$513:$S$522&lt;=AN$3,1,0))*OFFSET('Gastos com Pessoal'!$H$512,1,MATCH(3&amp;$B55,'Gastos com Pessoal'!$I$532:$AJ$532&amp;'Gastos com Pessoal'!$I$512:$AJ$512,0),10,1)),0)+_xlfn.IFNA(SUM((AN$3&gt;='Gastos com Pessoal'!$E$513:$E$522)*(AN$3&lt;='Gastos com Pessoal'!$F$513:$F$522)*(IF('Gastos com Pessoal'!$Y$513:$Y$522&lt;=AN$3,1,0))*OFFSET('Gastos com Pessoal'!$H$512,1,MATCH(4&amp;$B55,'Gastos com Pessoal'!$I$532:$AJ$532&amp;'Gastos com Pessoal'!$I$512:$AJ$512,0),10,1)),0)+_xlfn.IFNA(SUM((AN$3&gt;='Gastos com Pessoal'!$E$513:$E$522)*(AN$3&lt;='Gastos com Pessoal'!$F$513:$F$522)*(IF('Gastos com Pessoal'!$AE$513:$AE$522&lt;=AN$3,1,0))*OFFSET('Gastos com Pessoal'!$H$512,1,MATCH(5&amp;$B55,'Gastos com Pessoal'!$I$532:$AJ$532&amp;'Gastos com Pessoal'!$I$512:$AJ$512,0),10,1)),0)</f>
        <v>0</v>
      </c>
      <c r="AO55" s="188">
        <f t="array" aca="1" ref="AO55" ca="1">_xlfn.IFNA(SUM((AO$3&gt;='Gastos com Pessoal'!$E$7:$E$506)*(AO$3&lt;='Gastos com Pessoal'!$F$7:$F$506)*OFFSET('Encargos e Benefícios'!$D$5,1,MATCH($B55,'Encargos e Benefícios'!$E$5:$AB$5,0),500,1)),0)+_xlfn.IFNA(SUM((AO$3&gt;='Gastos com Pessoal'!$E$513:$E$522)*(AO$3&lt;='Gastos com Pessoal'!$F$513:$F$522)*OFFSET('Encargos e Benefícios'!$D$511,1,MATCH($B55,'Encargos e Benefícios'!$E$511:$AB$511,0),10,1)),0)+_xlfn.IFNA(SUM((AO$3&gt;='Gastos com Pessoal'!$E$7:$E$506)*(AO$3&lt;='Gastos com Pessoal'!$F$7:$F$506)*(IF('Gastos com Pessoal'!$G$7:$G$506&lt;=AO$3,1,0))*OFFSET('Gastos com Pessoal'!$H$6,1,MATCH(1&amp;$B55,'Gastos com Pessoal'!$I$532:$AJ$532&amp;'Gastos com Pessoal'!$I$6:$AJ$6,0),500,1)),0)+_xlfn.IFNA(SUM((AO$3&gt;='Gastos com Pessoal'!$E$7:$E$506)*(AO$3&lt;='Gastos com Pessoal'!$F$7:$F$506)*(IF('Gastos com Pessoal'!$M$7:$M$506&lt;=AO$3,1,0))*OFFSET('Gastos com Pessoal'!$H$6,1,MATCH(2&amp;$B55,'Gastos com Pessoal'!$I$532:$AJ$532&amp;'Gastos com Pessoal'!$I$6:$AJ$6,0),500,1)),0)+_xlfn.IFNA(SUM((AO$3&gt;='Gastos com Pessoal'!$E$7:$E$506)*(AO$3&lt;='Gastos com Pessoal'!$F$7:$F$506)*(IF('Gastos com Pessoal'!$S$7:$S$506&lt;=AO$3,1,0))*OFFSET('Gastos com Pessoal'!$H$6,1,MATCH(3&amp;$B55,'Gastos com Pessoal'!$I$532:$AJ$532&amp;'Gastos com Pessoal'!$I$6:$AJ$6,0),500,1)),0)+_xlfn.IFNA(SUM((AO$3&gt;='Gastos com Pessoal'!$E$7:$E$506)*(AO$3&lt;='Gastos com Pessoal'!$F$7:$F$506)*(IF('Gastos com Pessoal'!$Y$7:$Y$506&lt;=AO$3,1,0))*OFFSET('Gastos com Pessoal'!$H$6,1,MATCH(4&amp;$B55,'Gastos com Pessoal'!$I$532:$AJ$532&amp;'Gastos com Pessoal'!$I$6:$AJ$6,0),500,1)),0)+_xlfn.IFNA(SUM((AO$3&gt;='Gastos com Pessoal'!$E$7:$E$506)*(AO$3&lt;='Gastos com Pessoal'!$F$7:$F$506)*(IF('Gastos com Pessoal'!$AE$7:$AE$506&lt;=AO$3,1,0))*OFFSET('Gastos com Pessoal'!$H$6,1,MATCH(5&amp;$B55,'Gastos com Pessoal'!$I$532:$AJ$532&amp;'Gastos com Pessoal'!$I$6:$AJ$6,0),500,1)),0)+_xlfn.IFNA(SUM((AO$3&gt;='Gastos com Pessoal'!$E$513:$E$522)*(AO$3&lt;='Gastos com Pessoal'!$F$513:$F$522)*(IF('Gastos com Pessoal'!$G$513:$G$522&lt;=AO$3,1,0))*OFFSET('Gastos com Pessoal'!$H$512,1,MATCH(1&amp;$B55,'Gastos com Pessoal'!$I$532:$AJ$532&amp;'Gastos com Pessoal'!$I$512:$AJ$512,0),10,1)),0)+_xlfn.IFNA(SUM((AO$3&gt;='Gastos com Pessoal'!$E$513:$E$522)*(AO$3&lt;='Gastos com Pessoal'!$F$513:$F$522)*(IF('Gastos com Pessoal'!$M$513:$M$522&lt;=AO$3,1,0))*OFFSET('Gastos com Pessoal'!$H$512,1,MATCH(2&amp;$B55,'Gastos com Pessoal'!$I$532:$AJ$532&amp;'Gastos com Pessoal'!$I$512:$AJ$512,0),10,1)),0)+_xlfn.IFNA(SUM((AO$3&gt;='Gastos com Pessoal'!$E$513:$E$522)*(AO$3&lt;='Gastos com Pessoal'!$F$513:$F$522)*(IF('Gastos com Pessoal'!$S$513:$S$522&lt;=AO$3,1,0))*OFFSET('Gastos com Pessoal'!$H$512,1,MATCH(3&amp;$B55,'Gastos com Pessoal'!$I$532:$AJ$532&amp;'Gastos com Pessoal'!$I$512:$AJ$512,0),10,1)),0)+_xlfn.IFNA(SUM((AO$3&gt;='Gastos com Pessoal'!$E$513:$E$522)*(AO$3&lt;='Gastos com Pessoal'!$F$513:$F$522)*(IF('Gastos com Pessoal'!$Y$513:$Y$522&lt;=AO$3,1,0))*OFFSET('Gastos com Pessoal'!$H$512,1,MATCH(4&amp;$B55,'Gastos com Pessoal'!$I$532:$AJ$532&amp;'Gastos com Pessoal'!$I$512:$AJ$512,0),10,1)),0)+_xlfn.IFNA(SUM((AO$3&gt;='Gastos com Pessoal'!$E$513:$E$522)*(AO$3&lt;='Gastos com Pessoal'!$F$513:$F$522)*(IF('Gastos com Pessoal'!$AE$513:$AE$522&lt;=AO$3,1,0))*OFFSET('Gastos com Pessoal'!$H$512,1,MATCH(5&amp;$B55,'Gastos com Pessoal'!$I$532:$AJ$532&amp;'Gastos com Pessoal'!$I$512:$AJ$512,0),10,1)),0)</f>
        <v>0</v>
      </c>
      <c r="AP55" s="188">
        <f t="array" aca="1" ref="AP55" ca="1">_xlfn.IFNA(SUM((AP$3&gt;='Gastos com Pessoal'!$E$7:$E$506)*(AP$3&lt;='Gastos com Pessoal'!$F$7:$F$506)*OFFSET('Encargos e Benefícios'!$D$5,1,MATCH($B55,'Encargos e Benefícios'!$E$5:$AB$5,0),500,1)),0)+_xlfn.IFNA(SUM((AP$3&gt;='Gastos com Pessoal'!$E$513:$E$522)*(AP$3&lt;='Gastos com Pessoal'!$F$513:$F$522)*OFFSET('Encargos e Benefícios'!$D$511,1,MATCH($B55,'Encargos e Benefícios'!$E$511:$AB$511,0),10,1)),0)+_xlfn.IFNA(SUM((AP$3&gt;='Gastos com Pessoal'!$E$7:$E$506)*(AP$3&lt;='Gastos com Pessoal'!$F$7:$F$506)*(IF('Gastos com Pessoal'!$G$7:$G$506&lt;=AP$3,1,0))*OFFSET('Gastos com Pessoal'!$H$6,1,MATCH(1&amp;$B55,'Gastos com Pessoal'!$I$532:$AJ$532&amp;'Gastos com Pessoal'!$I$6:$AJ$6,0),500,1)),0)+_xlfn.IFNA(SUM((AP$3&gt;='Gastos com Pessoal'!$E$7:$E$506)*(AP$3&lt;='Gastos com Pessoal'!$F$7:$F$506)*(IF('Gastos com Pessoal'!$M$7:$M$506&lt;=AP$3,1,0))*OFFSET('Gastos com Pessoal'!$H$6,1,MATCH(2&amp;$B55,'Gastos com Pessoal'!$I$532:$AJ$532&amp;'Gastos com Pessoal'!$I$6:$AJ$6,0),500,1)),0)+_xlfn.IFNA(SUM((AP$3&gt;='Gastos com Pessoal'!$E$7:$E$506)*(AP$3&lt;='Gastos com Pessoal'!$F$7:$F$506)*(IF('Gastos com Pessoal'!$S$7:$S$506&lt;=AP$3,1,0))*OFFSET('Gastos com Pessoal'!$H$6,1,MATCH(3&amp;$B55,'Gastos com Pessoal'!$I$532:$AJ$532&amp;'Gastos com Pessoal'!$I$6:$AJ$6,0),500,1)),0)+_xlfn.IFNA(SUM((AP$3&gt;='Gastos com Pessoal'!$E$7:$E$506)*(AP$3&lt;='Gastos com Pessoal'!$F$7:$F$506)*(IF('Gastos com Pessoal'!$Y$7:$Y$506&lt;=AP$3,1,0))*OFFSET('Gastos com Pessoal'!$H$6,1,MATCH(4&amp;$B55,'Gastos com Pessoal'!$I$532:$AJ$532&amp;'Gastos com Pessoal'!$I$6:$AJ$6,0),500,1)),0)+_xlfn.IFNA(SUM((AP$3&gt;='Gastos com Pessoal'!$E$7:$E$506)*(AP$3&lt;='Gastos com Pessoal'!$F$7:$F$506)*(IF('Gastos com Pessoal'!$AE$7:$AE$506&lt;=AP$3,1,0))*OFFSET('Gastos com Pessoal'!$H$6,1,MATCH(5&amp;$B55,'Gastos com Pessoal'!$I$532:$AJ$532&amp;'Gastos com Pessoal'!$I$6:$AJ$6,0),500,1)),0)+_xlfn.IFNA(SUM((AP$3&gt;='Gastos com Pessoal'!$E$513:$E$522)*(AP$3&lt;='Gastos com Pessoal'!$F$513:$F$522)*(IF('Gastos com Pessoal'!$G$513:$G$522&lt;=AP$3,1,0))*OFFSET('Gastos com Pessoal'!$H$512,1,MATCH(1&amp;$B55,'Gastos com Pessoal'!$I$532:$AJ$532&amp;'Gastos com Pessoal'!$I$512:$AJ$512,0),10,1)),0)+_xlfn.IFNA(SUM((AP$3&gt;='Gastos com Pessoal'!$E$513:$E$522)*(AP$3&lt;='Gastos com Pessoal'!$F$513:$F$522)*(IF('Gastos com Pessoal'!$M$513:$M$522&lt;=AP$3,1,0))*OFFSET('Gastos com Pessoal'!$H$512,1,MATCH(2&amp;$B55,'Gastos com Pessoal'!$I$532:$AJ$532&amp;'Gastos com Pessoal'!$I$512:$AJ$512,0),10,1)),0)+_xlfn.IFNA(SUM((AP$3&gt;='Gastos com Pessoal'!$E$513:$E$522)*(AP$3&lt;='Gastos com Pessoal'!$F$513:$F$522)*(IF('Gastos com Pessoal'!$S$513:$S$522&lt;=AP$3,1,0))*OFFSET('Gastos com Pessoal'!$H$512,1,MATCH(3&amp;$B55,'Gastos com Pessoal'!$I$532:$AJ$532&amp;'Gastos com Pessoal'!$I$512:$AJ$512,0),10,1)),0)+_xlfn.IFNA(SUM((AP$3&gt;='Gastos com Pessoal'!$E$513:$E$522)*(AP$3&lt;='Gastos com Pessoal'!$F$513:$F$522)*(IF('Gastos com Pessoal'!$Y$513:$Y$522&lt;=AP$3,1,0))*OFFSET('Gastos com Pessoal'!$H$512,1,MATCH(4&amp;$B55,'Gastos com Pessoal'!$I$532:$AJ$532&amp;'Gastos com Pessoal'!$I$512:$AJ$512,0),10,1)),0)+_xlfn.IFNA(SUM((AP$3&gt;='Gastos com Pessoal'!$E$513:$E$522)*(AP$3&lt;='Gastos com Pessoal'!$F$513:$F$522)*(IF('Gastos com Pessoal'!$AE$513:$AE$522&lt;=AP$3,1,0))*OFFSET('Gastos com Pessoal'!$H$512,1,MATCH(5&amp;$B55,'Gastos com Pessoal'!$I$532:$AJ$532&amp;'Gastos com Pessoal'!$I$512:$AJ$512,0),10,1)),0)</f>
        <v>0</v>
      </c>
      <c r="AQ55" s="188">
        <f t="array" aca="1" ref="AQ55" ca="1">_xlfn.IFNA(SUM((AQ$3&gt;='Gastos com Pessoal'!$E$7:$E$506)*(AQ$3&lt;='Gastos com Pessoal'!$F$7:$F$506)*OFFSET('Encargos e Benefícios'!$D$5,1,MATCH($B55,'Encargos e Benefícios'!$E$5:$AB$5,0),500,1)),0)+_xlfn.IFNA(SUM((AQ$3&gt;='Gastos com Pessoal'!$E$513:$E$522)*(AQ$3&lt;='Gastos com Pessoal'!$F$513:$F$522)*OFFSET('Encargos e Benefícios'!$D$511,1,MATCH($B55,'Encargos e Benefícios'!$E$511:$AB$511,0),10,1)),0)+_xlfn.IFNA(SUM((AQ$3&gt;='Gastos com Pessoal'!$E$7:$E$506)*(AQ$3&lt;='Gastos com Pessoal'!$F$7:$F$506)*(IF('Gastos com Pessoal'!$G$7:$G$506&lt;=AQ$3,1,0))*OFFSET('Gastos com Pessoal'!$H$6,1,MATCH(1&amp;$B55,'Gastos com Pessoal'!$I$532:$AJ$532&amp;'Gastos com Pessoal'!$I$6:$AJ$6,0),500,1)),0)+_xlfn.IFNA(SUM((AQ$3&gt;='Gastos com Pessoal'!$E$7:$E$506)*(AQ$3&lt;='Gastos com Pessoal'!$F$7:$F$506)*(IF('Gastos com Pessoal'!$M$7:$M$506&lt;=AQ$3,1,0))*OFFSET('Gastos com Pessoal'!$H$6,1,MATCH(2&amp;$B55,'Gastos com Pessoal'!$I$532:$AJ$532&amp;'Gastos com Pessoal'!$I$6:$AJ$6,0),500,1)),0)+_xlfn.IFNA(SUM((AQ$3&gt;='Gastos com Pessoal'!$E$7:$E$506)*(AQ$3&lt;='Gastos com Pessoal'!$F$7:$F$506)*(IF('Gastos com Pessoal'!$S$7:$S$506&lt;=AQ$3,1,0))*OFFSET('Gastos com Pessoal'!$H$6,1,MATCH(3&amp;$B55,'Gastos com Pessoal'!$I$532:$AJ$532&amp;'Gastos com Pessoal'!$I$6:$AJ$6,0),500,1)),0)+_xlfn.IFNA(SUM((AQ$3&gt;='Gastos com Pessoal'!$E$7:$E$506)*(AQ$3&lt;='Gastos com Pessoal'!$F$7:$F$506)*(IF('Gastos com Pessoal'!$Y$7:$Y$506&lt;=AQ$3,1,0))*OFFSET('Gastos com Pessoal'!$H$6,1,MATCH(4&amp;$B55,'Gastos com Pessoal'!$I$532:$AJ$532&amp;'Gastos com Pessoal'!$I$6:$AJ$6,0),500,1)),0)+_xlfn.IFNA(SUM((AQ$3&gt;='Gastos com Pessoal'!$E$7:$E$506)*(AQ$3&lt;='Gastos com Pessoal'!$F$7:$F$506)*(IF('Gastos com Pessoal'!$AE$7:$AE$506&lt;=AQ$3,1,0))*OFFSET('Gastos com Pessoal'!$H$6,1,MATCH(5&amp;$B55,'Gastos com Pessoal'!$I$532:$AJ$532&amp;'Gastos com Pessoal'!$I$6:$AJ$6,0),500,1)),0)+_xlfn.IFNA(SUM((AQ$3&gt;='Gastos com Pessoal'!$E$513:$E$522)*(AQ$3&lt;='Gastos com Pessoal'!$F$513:$F$522)*(IF('Gastos com Pessoal'!$G$513:$G$522&lt;=AQ$3,1,0))*OFFSET('Gastos com Pessoal'!$H$512,1,MATCH(1&amp;$B55,'Gastos com Pessoal'!$I$532:$AJ$532&amp;'Gastos com Pessoal'!$I$512:$AJ$512,0),10,1)),0)+_xlfn.IFNA(SUM((AQ$3&gt;='Gastos com Pessoal'!$E$513:$E$522)*(AQ$3&lt;='Gastos com Pessoal'!$F$513:$F$522)*(IF('Gastos com Pessoal'!$M$513:$M$522&lt;=AQ$3,1,0))*OFFSET('Gastos com Pessoal'!$H$512,1,MATCH(2&amp;$B55,'Gastos com Pessoal'!$I$532:$AJ$532&amp;'Gastos com Pessoal'!$I$512:$AJ$512,0),10,1)),0)+_xlfn.IFNA(SUM((AQ$3&gt;='Gastos com Pessoal'!$E$513:$E$522)*(AQ$3&lt;='Gastos com Pessoal'!$F$513:$F$522)*(IF('Gastos com Pessoal'!$S$513:$S$522&lt;=AQ$3,1,0))*OFFSET('Gastos com Pessoal'!$H$512,1,MATCH(3&amp;$B55,'Gastos com Pessoal'!$I$532:$AJ$532&amp;'Gastos com Pessoal'!$I$512:$AJ$512,0),10,1)),0)+_xlfn.IFNA(SUM((AQ$3&gt;='Gastos com Pessoal'!$E$513:$E$522)*(AQ$3&lt;='Gastos com Pessoal'!$F$513:$F$522)*(IF('Gastos com Pessoal'!$Y$513:$Y$522&lt;=AQ$3,1,0))*OFFSET('Gastos com Pessoal'!$H$512,1,MATCH(4&amp;$B55,'Gastos com Pessoal'!$I$532:$AJ$532&amp;'Gastos com Pessoal'!$I$512:$AJ$512,0),10,1)),0)+_xlfn.IFNA(SUM((AQ$3&gt;='Gastos com Pessoal'!$E$513:$E$522)*(AQ$3&lt;='Gastos com Pessoal'!$F$513:$F$522)*(IF('Gastos com Pessoal'!$AE$513:$AE$522&lt;=AQ$3,1,0))*OFFSET('Gastos com Pessoal'!$H$512,1,MATCH(5&amp;$B55,'Gastos com Pessoal'!$I$532:$AJ$532&amp;'Gastos com Pessoal'!$I$512:$AJ$512,0),10,1)),0)</f>
        <v>0</v>
      </c>
      <c r="AR55" s="188">
        <f t="array" aca="1" ref="AR55" ca="1">_xlfn.IFNA(SUM((AR$3&gt;='Gastos com Pessoal'!$E$7:$E$506)*(AR$3&lt;='Gastos com Pessoal'!$F$7:$F$506)*OFFSET('Encargos e Benefícios'!$D$5,1,MATCH($B55,'Encargos e Benefícios'!$E$5:$AB$5,0),500,1)),0)+_xlfn.IFNA(SUM((AR$3&gt;='Gastos com Pessoal'!$E$513:$E$522)*(AR$3&lt;='Gastos com Pessoal'!$F$513:$F$522)*OFFSET('Encargos e Benefícios'!$D$511,1,MATCH($B55,'Encargos e Benefícios'!$E$511:$AB$511,0),10,1)),0)+_xlfn.IFNA(SUM((AR$3&gt;='Gastos com Pessoal'!$E$7:$E$506)*(AR$3&lt;='Gastos com Pessoal'!$F$7:$F$506)*(IF('Gastos com Pessoal'!$G$7:$G$506&lt;=AR$3,1,0))*OFFSET('Gastos com Pessoal'!$H$6,1,MATCH(1&amp;$B55,'Gastos com Pessoal'!$I$532:$AJ$532&amp;'Gastos com Pessoal'!$I$6:$AJ$6,0),500,1)),0)+_xlfn.IFNA(SUM((AR$3&gt;='Gastos com Pessoal'!$E$7:$E$506)*(AR$3&lt;='Gastos com Pessoal'!$F$7:$F$506)*(IF('Gastos com Pessoal'!$M$7:$M$506&lt;=AR$3,1,0))*OFFSET('Gastos com Pessoal'!$H$6,1,MATCH(2&amp;$B55,'Gastos com Pessoal'!$I$532:$AJ$532&amp;'Gastos com Pessoal'!$I$6:$AJ$6,0),500,1)),0)+_xlfn.IFNA(SUM((AR$3&gt;='Gastos com Pessoal'!$E$7:$E$506)*(AR$3&lt;='Gastos com Pessoal'!$F$7:$F$506)*(IF('Gastos com Pessoal'!$S$7:$S$506&lt;=AR$3,1,0))*OFFSET('Gastos com Pessoal'!$H$6,1,MATCH(3&amp;$B55,'Gastos com Pessoal'!$I$532:$AJ$532&amp;'Gastos com Pessoal'!$I$6:$AJ$6,0),500,1)),0)+_xlfn.IFNA(SUM((AR$3&gt;='Gastos com Pessoal'!$E$7:$E$506)*(AR$3&lt;='Gastos com Pessoal'!$F$7:$F$506)*(IF('Gastos com Pessoal'!$Y$7:$Y$506&lt;=AR$3,1,0))*OFFSET('Gastos com Pessoal'!$H$6,1,MATCH(4&amp;$B55,'Gastos com Pessoal'!$I$532:$AJ$532&amp;'Gastos com Pessoal'!$I$6:$AJ$6,0),500,1)),0)+_xlfn.IFNA(SUM((AR$3&gt;='Gastos com Pessoal'!$E$7:$E$506)*(AR$3&lt;='Gastos com Pessoal'!$F$7:$F$506)*(IF('Gastos com Pessoal'!$AE$7:$AE$506&lt;=AR$3,1,0))*OFFSET('Gastos com Pessoal'!$H$6,1,MATCH(5&amp;$B55,'Gastos com Pessoal'!$I$532:$AJ$532&amp;'Gastos com Pessoal'!$I$6:$AJ$6,0),500,1)),0)+_xlfn.IFNA(SUM((AR$3&gt;='Gastos com Pessoal'!$E$513:$E$522)*(AR$3&lt;='Gastos com Pessoal'!$F$513:$F$522)*(IF('Gastos com Pessoal'!$G$513:$G$522&lt;=AR$3,1,0))*OFFSET('Gastos com Pessoal'!$H$512,1,MATCH(1&amp;$B55,'Gastos com Pessoal'!$I$532:$AJ$532&amp;'Gastos com Pessoal'!$I$512:$AJ$512,0),10,1)),0)+_xlfn.IFNA(SUM((AR$3&gt;='Gastos com Pessoal'!$E$513:$E$522)*(AR$3&lt;='Gastos com Pessoal'!$F$513:$F$522)*(IF('Gastos com Pessoal'!$M$513:$M$522&lt;=AR$3,1,0))*OFFSET('Gastos com Pessoal'!$H$512,1,MATCH(2&amp;$B55,'Gastos com Pessoal'!$I$532:$AJ$532&amp;'Gastos com Pessoal'!$I$512:$AJ$512,0),10,1)),0)+_xlfn.IFNA(SUM((AR$3&gt;='Gastos com Pessoal'!$E$513:$E$522)*(AR$3&lt;='Gastos com Pessoal'!$F$513:$F$522)*(IF('Gastos com Pessoal'!$S$513:$S$522&lt;=AR$3,1,0))*OFFSET('Gastos com Pessoal'!$H$512,1,MATCH(3&amp;$B55,'Gastos com Pessoal'!$I$532:$AJ$532&amp;'Gastos com Pessoal'!$I$512:$AJ$512,0),10,1)),0)+_xlfn.IFNA(SUM((AR$3&gt;='Gastos com Pessoal'!$E$513:$E$522)*(AR$3&lt;='Gastos com Pessoal'!$F$513:$F$522)*(IF('Gastos com Pessoal'!$Y$513:$Y$522&lt;=AR$3,1,0))*OFFSET('Gastos com Pessoal'!$H$512,1,MATCH(4&amp;$B55,'Gastos com Pessoal'!$I$532:$AJ$532&amp;'Gastos com Pessoal'!$I$512:$AJ$512,0),10,1)),0)+_xlfn.IFNA(SUM((AR$3&gt;='Gastos com Pessoal'!$E$513:$E$522)*(AR$3&lt;='Gastos com Pessoal'!$F$513:$F$522)*(IF('Gastos com Pessoal'!$AE$513:$AE$522&lt;=AR$3,1,0))*OFFSET('Gastos com Pessoal'!$H$512,1,MATCH(5&amp;$B55,'Gastos com Pessoal'!$I$532:$AJ$532&amp;'Gastos com Pessoal'!$I$512:$AJ$512,0),10,1)),0)</f>
        <v>0</v>
      </c>
      <c r="AS55" s="188">
        <f t="array" aca="1" ref="AS55" ca="1">_xlfn.IFNA(SUM((AS$3&gt;='Gastos com Pessoal'!$E$7:$E$506)*(AS$3&lt;='Gastos com Pessoal'!$F$7:$F$506)*OFFSET('Encargos e Benefícios'!$D$5,1,MATCH($B55,'Encargos e Benefícios'!$E$5:$AB$5,0),500,1)),0)+_xlfn.IFNA(SUM((AS$3&gt;='Gastos com Pessoal'!$E$513:$E$522)*(AS$3&lt;='Gastos com Pessoal'!$F$513:$F$522)*OFFSET('Encargos e Benefícios'!$D$511,1,MATCH($B55,'Encargos e Benefícios'!$E$511:$AB$511,0),10,1)),0)+_xlfn.IFNA(SUM((AS$3&gt;='Gastos com Pessoal'!$E$7:$E$506)*(AS$3&lt;='Gastos com Pessoal'!$F$7:$F$506)*(IF('Gastos com Pessoal'!$G$7:$G$506&lt;=AS$3,1,0))*OFFSET('Gastos com Pessoal'!$H$6,1,MATCH(1&amp;$B55,'Gastos com Pessoal'!$I$532:$AJ$532&amp;'Gastos com Pessoal'!$I$6:$AJ$6,0),500,1)),0)+_xlfn.IFNA(SUM((AS$3&gt;='Gastos com Pessoal'!$E$7:$E$506)*(AS$3&lt;='Gastos com Pessoal'!$F$7:$F$506)*(IF('Gastos com Pessoal'!$M$7:$M$506&lt;=AS$3,1,0))*OFFSET('Gastos com Pessoal'!$H$6,1,MATCH(2&amp;$B55,'Gastos com Pessoal'!$I$532:$AJ$532&amp;'Gastos com Pessoal'!$I$6:$AJ$6,0),500,1)),0)+_xlfn.IFNA(SUM((AS$3&gt;='Gastos com Pessoal'!$E$7:$E$506)*(AS$3&lt;='Gastos com Pessoal'!$F$7:$F$506)*(IF('Gastos com Pessoal'!$S$7:$S$506&lt;=AS$3,1,0))*OFFSET('Gastos com Pessoal'!$H$6,1,MATCH(3&amp;$B55,'Gastos com Pessoal'!$I$532:$AJ$532&amp;'Gastos com Pessoal'!$I$6:$AJ$6,0),500,1)),0)+_xlfn.IFNA(SUM((AS$3&gt;='Gastos com Pessoal'!$E$7:$E$506)*(AS$3&lt;='Gastos com Pessoal'!$F$7:$F$506)*(IF('Gastos com Pessoal'!$Y$7:$Y$506&lt;=AS$3,1,0))*OFFSET('Gastos com Pessoal'!$H$6,1,MATCH(4&amp;$B55,'Gastos com Pessoal'!$I$532:$AJ$532&amp;'Gastos com Pessoal'!$I$6:$AJ$6,0),500,1)),0)+_xlfn.IFNA(SUM((AS$3&gt;='Gastos com Pessoal'!$E$7:$E$506)*(AS$3&lt;='Gastos com Pessoal'!$F$7:$F$506)*(IF('Gastos com Pessoal'!$AE$7:$AE$506&lt;=AS$3,1,0))*OFFSET('Gastos com Pessoal'!$H$6,1,MATCH(5&amp;$B55,'Gastos com Pessoal'!$I$532:$AJ$532&amp;'Gastos com Pessoal'!$I$6:$AJ$6,0),500,1)),0)+_xlfn.IFNA(SUM((AS$3&gt;='Gastos com Pessoal'!$E$513:$E$522)*(AS$3&lt;='Gastos com Pessoal'!$F$513:$F$522)*(IF('Gastos com Pessoal'!$G$513:$G$522&lt;=AS$3,1,0))*OFFSET('Gastos com Pessoal'!$H$512,1,MATCH(1&amp;$B55,'Gastos com Pessoal'!$I$532:$AJ$532&amp;'Gastos com Pessoal'!$I$512:$AJ$512,0),10,1)),0)+_xlfn.IFNA(SUM((AS$3&gt;='Gastos com Pessoal'!$E$513:$E$522)*(AS$3&lt;='Gastos com Pessoal'!$F$513:$F$522)*(IF('Gastos com Pessoal'!$M$513:$M$522&lt;=AS$3,1,0))*OFFSET('Gastos com Pessoal'!$H$512,1,MATCH(2&amp;$B55,'Gastos com Pessoal'!$I$532:$AJ$532&amp;'Gastos com Pessoal'!$I$512:$AJ$512,0),10,1)),0)+_xlfn.IFNA(SUM((AS$3&gt;='Gastos com Pessoal'!$E$513:$E$522)*(AS$3&lt;='Gastos com Pessoal'!$F$513:$F$522)*(IF('Gastos com Pessoal'!$S$513:$S$522&lt;=AS$3,1,0))*OFFSET('Gastos com Pessoal'!$H$512,1,MATCH(3&amp;$B55,'Gastos com Pessoal'!$I$532:$AJ$532&amp;'Gastos com Pessoal'!$I$512:$AJ$512,0),10,1)),0)+_xlfn.IFNA(SUM((AS$3&gt;='Gastos com Pessoal'!$E$513:$E$522)*(AS$3&lt;='Gastos com Pessoal'!$F$513:$F$522)*(IF('Gastos com Pessoal'!$Y$513:$Y$522&lt;=AS$3,1,0))*OFFSET('Gastos com Pessoal'!$H$512,1,MATCH(4&amp;$B55,'Gastos com Pessoal'!$I$532:$AJ$532&amp;'Gastos com Pessoal'!$I$512:$AJ$512,0),10,1)),0)+_xlfn.IFNA(SUM((AS$3&gt;='Gastos com Pessoal'!$E$513:$E$522)*(AS$3&lt;='Gastos com Pessoal'!$F$513:$F$522)*(IF('Gastos com Pessoal'!$AE$513:$AE$522&lt;=AS$3,1,0))*OFFSET('Gastos com Pessoal'!$H$512,1,MATCH(5&amp;$B55,'Gastos com Pessoal'!$I$532:$AJ$532&amp;'Gastos com Pessoal'!$I$512:$AJ$512,0),10,1)),0)</f>
        <v>0</v>
      </c>
      <c r="AT55" s="188">
        <f t="array" aca="1" ref="AT55" ca="1">_xlfn.IFNA(SUM((AT$3&gt;='Gastos com Pessoal'!$E$7:$E$506)*(AT$3&lt;='Gastos com Pessoal'!$F$7:$F$506)*OFFSET('Encargos e Benefícios'!$D$5,1,MATCH($B55,'Encargos e Benefícios'!$E$5:$AB$5,0),500,1)),0)+_xlfn.IFNA(SUM((AT$3&gt;='Gastos com Pessoal'!$E$513:$E$522)*(AT$3&lt;='Gastos com Pessoal'!$F$513:$F$522)*OFFSET('Encargos e Benefícios'!$D$511,1,MATCH($B55,'Encargos e Benefícios'!$E$511:$AB$511,0),10,1)),0)+_xlfn.IFNA(SUM((AT$3&gt;='Gastos com Pessoal'!$E$7:$E$506)*(AT$3&lt;='Gastos com Pessoal'!$F$7:$F$506)*(IF('Gastos com Pessoal'!$G$7:$G$506&lt;=AT$3,1,0))*OFFSET('Gastos com Pessoal'!$H$6,1,MATCH(1&amp;$B55,'Gastos com Pessoal'!$I$532:$AJ$532&amp;'Gastos com Pessoal'!$I$6:$AJ$6,0),500,1)),0)+_xlfn.IFNA(SUM((AT$3&gt;='Gastos com Pessoal'!$E$7:$E$506)*(AT$3&lt;='Gastos com Pessoal'!$F$7:$F$506)*(IF('Gastos com Pessoal'!$M$7:$M$506&lt;=AT$3,1,0))*OFFSET('Gastos com Pessoal'!$H$6,1,MATCH(2&amp;$B55,'Gastos com Pessoal'!$I$532:$AJ$532&amp;'Gastos com Pessoal'!$I$6:$AJ$6,0),500,1)),0)+_xlfn.IFNA(SUM((AT$3&gt;='Gastos com Pessoal'!$E$7:$E$506)*(AT$3&lt;='Gastos com Pessoal'!$F$7:$F$506)*(IF('Gastos com Pessoal'!$S$7:$S$506&lt;=AT$3,1,0))*OFFSET('Gastos com Pessoal'!$H$6,1,MATCH(3&amp;$B55,'Gastos com Pessoal'!$I$532:$AJ$532&amp;'Gastos com Pessoal'!$I$6:$AJ$6,0),500,1)),0)+_xlfn.IFNA(SUM((AT$3&gt;='Gastos com Pessoal'!$E$7:$E$506)*(AT$3&lt;='Gastos com Pessoal'!$F$7:$F$506)*(IF('Gastos com Pessoal'!$Y$7:$Y$506&lt;=AT$3,1,0))*OFFSET('Gastos com Pessoal'!$H$6,1,MATCH(4&amp;$B55,'Gastos com Pessoal'!$I$532:$AJ$532&amp;'Gastos com Pessoal'!$I$6:$AJ$6,0),500,1)),0)+_xlfn.IFNA(SUM((AT$3&gt;='Gastos com Pessoal'!$E$7:$E$506)*(AT$3&lt;='Gastos com Pessoal'!$F$7:$F$506)*(IF('Gastos com Pessoal'!$AE$7:$AE$506&lt;=AT$3,1,0))*OFFSET('Gastos com Pessoal'!$H$6,1,MATCH(5&amp;$B55,'Gastos com Pessoal'!$I$532:$AJ$532&amp;'Gastos com Pessoal'!$I$6:$AJ$6,0),500,1)),0)+_xlfn.IFNA(SUM((AT$3&gt;='Gastos com Pessoal'!$E$513:$E$522)*(AT$3&lt;='Gastos com Pessoal'!$F$513:$F$522)*(IF('Gastos com Pessoal'!$G$513:$G$522&lt;=AT$3,1,0))*OFFSET('Gastos com Pessoal'!$H$512,1,MATCH(1&amp;$B55,'Gastos com Pessoal'!$I$532:$AJ$532&amp;'Gastos com Pessoal'!$I$512:$AJ$512,0),10,1)),0)+_xlfn.IFNA(SUM((AT$3&gt;='Gastos com Pessoal'!$E$513:$E$522)*(AT$3&lt;='Gastos com Pessoal'!$F$513:$F$522)*(IF('Gastos com Pessoal'!$M$513:$M$522&lt;=AT$3,1,0))*OFFSET('Gastos com Pessoal'!$H$512,1,MATCH(2&amp;$B55,'Gastos com Pessoal'!$I$532:$AJ$532&amp;'Gastos com Pessoal'!$I$512:$AJ$512,0),10,1)),0)+_xlfn.IFNA(SUM((AT$3&gt;='Gastos com Pessoal'!$E$513:$E$522)*(AT$3&lt;='Gastos com Pessoal'!$F$513:$F$522)*(IF('Gastos com Pessoal'!$S$513:$S$522&lt;=AT$3,1,0))*OFFSET('Gastos com Pessoal'!$H$512,1,MATCH(3&amp;$B55,'Gastos com Pessoal'!$I$532:$AJ$532&amp;'Gastos com Pessoal'!$I$512:$AJ$512,0),10,1)),0)+_xlfn.IFNA(SUM((AT$3&gt;='Gastos com Pessoal'!$E$513:$E$522)*(AT$3&lt;='Gastos com Pessoal'!$F$513:$F$522)*(IF('Gastos com Pessoal'!$Y$513:$Y$522&lt;=AT$3,1,0))*OFFSET('Gastos com Pessoal'!$H$512,1,MATCH(4&amp;$B55,'Gastos com Pessoal'!$I$532:$AJ$532&amp;'Gastos com Pessoal'!$I$512:$AJ$512,0),10,1)),0)+_xlfn.IFNA(SUM((AT$3&gt;='Gastos com Pessoal'!$E$513:$E$522)*(AT$3&lt;='Gastos com Pessoal'!$F$513:$F$522)*(IF('Gastos com Pessoal'!$AE$513:$AE$522&lt;=AT$3,1,0))*OFFSET('Gastos com Pessoal'!$H$512,1,MATCH(5&amp;$B55,'Gastos com Pessoal'!$I$532:$AJ$532&amp;'Gastos com Pessoal'!$I$512:$AJ$512,0),10,1)),0)</f>
        <v>0</v>
      </c>
      <c r="AU55" s="188">
        <f t="array" aca="1" ref="AU55" ca="1">_xlfn.IFNA(SUM((AU$3&gt;='Gastos com Pessoal'!$E$7:$E$506)*(AU$3&lt;='Gastos com Pessoal'!$F$7:$F$506)*OFFSET('Encargos e Benefícios'!$D$5,1,MATCH($B55,'Encargos e Benefícios'!$E$5:$AB$5,0),500,1)),0)+_xlfn.IFNA(SUM((AU$3&gt;='Gastos com Pessoal'!$E$513:$E$522)*(AU$3&lt;='Gastos com Pessoal'!$F$513:$F$522)*OFFSET('Encargos e Benefícios'!$D$511,1,MATCH($B55,'Encargos e Benefícios'!$E$511:$AB$511,0),10,1)),0)+_xlfn.IFNA(SUM((AU$3&gt;='Gastos com Pessoal'!$E$7:$E$506)*(AU$3&lt;='Gastos com Pessoal'!$F$7:$F$506)*(IF('Gastos com Pessoal'!$G$7:$G$506&lt;=AU$3,1,0))*OFFSET('Gastos com Pessoal'!$H$6,1,MATCH(1&amp;$B55,'Gastos com Pessoal'!$I$532:$AJ$532&amp;'Gastos com Pessoal'!$I$6:$AJ$6,0),500,1)),0)+_xlfn.IFNA(SUM((AU$3&gt;='Gastos com Pessoal'!$E$7:$E$506)*(AU$3&lt;='Gastos com Pessoal'!$F$7:$F$506)*(IF('Gastos com Pessoal'!$M$7:$M$506&lt;=AU$3,1,0))*OFFSET('Gastos com Pessoal'!$H$6,1,MATCH(2&amp;$B55,'Gastos com Pessoal'!$I$532:$AJ$532&amp;'Gastos com Pessoal'!$I$6:$AJ$6,0),500,1)),0)+_xlfn.IFNA(SUM((AU$3&gt;='Gastos com Pessoal'!$E$7:$E$506)*(AU$3&lt;='Gastos com Pessoal'!$F$7:$F$506)*(IF('Gastos com Pessoal'!$S$7:$S$506&lt;=AU$3,1,0))*OFFSET('Gastos com Pessoal'!$H$6,1,MATCH(3&amp;$B55,'Gastos com Pessoal'!$I$532:$AJ$532&amp;'Gastos com Pessoal'!$I$6:$AJ$6,0),500,1)),0)+_xlfn.IFNA(SUM((AU$3&gt;='Gastos com Pessoal'!$E$7:$E$506)*(AU$3&lt;='Gastos com Pessoal'!$F$7:$F$506)*(IF('Gastos com Pessoal'!$Y$7:$Y$506&lt;=AU$3,1,0))*OFFSET('Gastos com Pessoal'!$H$6,1,MATCH(4&amp;$B55,'Gastos com Pessoal'!$I$532:$AJ$532&amp;'Gastos com Pessoal'!$I$6:$AJ$6,0),500,1)),0)+_xlfn.IFNA(SUM((AU$3&gt;='Gastos com Pessoal'!$E$7:$E$506)*(AU$3&lt;='Gastos com Pessoal'!$F$7:$F$506)*(IF('Gastos com Pessoal'!$AE$7:$AE$506&lt;=AU$3,1,0))*OFFSET('Gastos com Pessoal'!$H$6,1,MATCH(5&amp;$B55,'Gastos com Pessoal'!$I$532:$AJ$532&amp;'Gastos com Pessoal'!$I$6:$AJ$6,0),500,1)),0)+_xlfn.IFNA(SUM((AU$3&gt;='Gastos com Pessoal'!$E$513:$E$522)*(AU$3&lt;='Gastos com Pessoal'!$F$513:$F$522)*(IF('Gastos com Pessoal'!$G$513:$G$522&lt;=AU$3,1,0))*OFFSET('Gastos com Pessoal'!$H$512,1,MATCH(1&amp;$B55,'Gastos com Pessoal'!$I$532:$AJ$532&amp;'Gastos com Pessoal'!$I$512:$AJ$512,0),10,1)),0)+_xlfn.IFNA(SUM((AU$3&gt;='Gastos com Pessoal'!$E$513:$E$522)*(AU$3&lt;='Gastos com Pessoal'!$F$513:$F$522)*(IF('Gastos com Pessoal'!$M$513:$M$522&lt;=AU$3,1,0))*OFFSET('Gastos com Pessoal'!$H$512,1,MATCH(2&amp;$B55,'Gastos com Pessoal'!$I$532:$AJ$532&amp;'Gastos com Pessoal'!$I$512:$AJ$512,0),10,1)),0)+_xlfn.IFNA(SUM((AU$3&gt;='Gastos com Pessoal'!$E$513:$E$522)*(AU$3&lt;='Gastos com Pessoal'!$F$513:$F$522)*(IF('Gastos com Pessoal'!$S$513:$S$522&lt;=AU$3,1,0))*OFFSET('Gastos com Pessoal'!$H$512,1,MATCH(3&amp;$B55,'Gastos com Pessoal'!$I$532:$AJ$532&amp;'Gastos com Pessoal'!$I$512:$AJ$512,0),10,1)),0)+_xlfn.IFNA(SUM((AU$3&gt;='Gastos com Pessoal'!$E$513:$E$522)*(AU$3&lt;='Gastos com Pessoal'!$F$513:$F$522)*(IF('Gastos com Pessoal'!$Y$513:$Y$522&lt;=AU$3,1,0))*OFFSET('Gastos com Pessoal'!$H$512,1,MATCH(4&amp;$B55,'Gastos com Pessoal'!$I$532:$AJ$532&amp;'Gastos com Pessoal'!$I$512:$AJ$512,0),10,1)),0)+_xlfn.IFNA(SUM((AU$3&gt;='Gastos com Pessoal'!$E$513:$E$522)*(AU$3&lt;='Gastos com Pessoal'!$F$513:$F$522)*(IF('Gastos com Pessoal'!$AE$513:$AE$522&lt;=AU$3,1,0))*OFFSET('Gastos com Pessoal'!$H$512,1,MATCH(5&amp;$B55,'Gastos com Pessoal'!$I$532:$AJ$532&amp;'Gastos com Pessoal'!$I$512:$AJ$512,0),10,1)),0)</f>
        <v>0</v>
      </c>
      <c r="AV55" s="188">
        <f t="array" aca="1" ref="AV55" ca="1">_xlfn.IFNA(SUM((AV$3&gt;='Gastos com Pessoal'!$E$7:$E$506)*(AV$3&lt;='Gastos com Pessoal'!$F$7:$F$506)*OFFSET('Encargos e Benefícios'!$D$5,1,MATCH($B55,'Encargos e Benefícios'!$E$5:$AB$5,0),500,1)),0)+_xlfn.IFNA(SUM((AV$3&gt;='Gastos com Pessoal'!$E$513:$E$522)*(AV$3&lt;='Gastos com Pessoal'!$F$513:$F$522)*OFFSET('Encargos e Benefícios'!$D$511,1,MATCH($B55,'Encargos e Benefícios'!$E$511:$AB$511,0),10,1)),0)+_xlfn.IFNA(SUM((AV$3&gt;='Gastos com Pessoal'!$E$7:$E$506)*(AV$3&lt;='Gastos com Pessoal'!$F$7:$F$506)*(IF('Gastos com Pessoal'!$G$7:$G$506&lt;=AV$3,1,0))*OFFSET('Gastos com Pessoal'!$H$6,1,MATCH(1&amp;$B55,'Gastos com Pessoal'!$I$532:$AJ$532&amp;'Gastos com Pessoal'!$I$6:$AJ$6,0),500,1)),0)+_xlfn.IFNA(SUM((AV$3&gt;='Gastos com Pessoal'!$E$7:$E$506)*(AV$3&lt;='Gastos com Pessoal'!$F$7:$F$506)*(IF('Gastos com Pessoal'!$M$7:$M$506&lt;=AV$3,1,0))*OFFSET('Gastos com Pessoal'!$H$6,1,MATCH(2&amp;$B55,'Gastos com Pessoal'!$I$532:$AJ$532&amp;'Gastos com Pessoal'!$I$6:$AJ$6,0),500,1)),0)+_xlfn.IFNA(SUM((AV$3&gt;='Gastos com Pessoal'!$E$7:$E$506)*(AV$3&lt;='Gastos com Pessoal'!$F$7:$F$506)*(IF('Gastos com Pessoal'!$S$7:$S$506&lt;=AV$3,1,0))*OFFSET('Gastos com Pessoal'!$H$6,1,MATCH(3&amp;$B55,'Gastos com Pessoal'!$I$532:$AJ$532&amp;'Gastos com Pessoal'!$I$6:$AJ$6,0),500,1)),0)+_xlfn.IFNA(SUM((AV$3&gt;='Gastos com Pessoal'!$E$7:$E$506)*(AV$3&lt;='Gastos com Pessoal'!$F$7:$F$506)*(IF('Gastos com Pessoal'!$Y$7:$Y$506&lt;=AV$3,1,0))*OFFSET('Gastos com Pessoal'!$H$6,1,MATCH(4&amp;$B55,'Gastos com Pessoal'!$I$532:$AJ$532&amp;'Gastos com Pessoal'!$I$6:$AJ$6,0),500,1)),0)+_xlfn.IFNA(SUM((AV$3&gt;='Gastos com Pessoal'!$E$7:$E$506)*(AV$3&lt;='Gastos com Pessoal'!$F$7:$F$506)*(IF('Gastos com Pessoal'!$AE$7:$AE$506&lt;=AV$3,1,0))*OFFSET('Gastos com Pessoal'!$H$6,1,MATCH(5&amp;$B55,'Gastos com Pessoal'!$I$532:$AJ$532&amp;'Gastos com Pessoal'!$I$6:$AJ$6,0),500,1)),0)+_xlfn.IFNA(SUM((AV$3&gt;='Gastos com Pessoal'!$E$513:$E$522)*(AV$3&lt;='Gastos com Pessoal'!$F$513:$F$522)*(IF('Gastos com Pessoal'!$G$513:$G$522&lt;=AV$3,1,0))*OFFSET('Gastos com Pessoal'!$H$512,1,MATCH(1&amp;$B55,'Gastos com Pessoal'!$I$532:$AJ$532&amp;'Gastos com Pessoal'!$I$512:$AJ$512,0),10,1)),0)+_xlfn.IFNA(SUM((AV$3&gt;='Gastos com Pessoal'!$E$513:$E$522)*(AV$3&lt;='Gastos com Pessoal'!$F$513:$F$522)*(IF('Gastos com Pessoal'!$M$513:$M$522&lt;=AV$3,1,0))*OFFSET('Gastos com Pessoal'!$H$512,1,MATCH(2&amp;$B55,'Gastos com Pessoal'!$I$532:$AJ$532&amp;'Gastos com Pessoal'!$I$512:$AJ$512,0),10,1)),0)+_xlfn.IFNA(SUM((AV$3&gt;='Gastos com Pessoal'!$E$513:$E$522)*(AV$3&lt;='Gastos com Pessoal'!$F$513:$F$522)*(IF('Gastos com Pessoal'!$S$513:$S$522&lt;=AV$3,1,0))*OFFSET('Gastos com Pessoal'!$H$512,1,MATCH(3&amp;$B55,'Gastos com Pessoal'!$I$532:$AJ$532&amp;'Gastos com Pessoal'!$I$512:$AJ$512,0),10,1)),0)+_xlfn.IFNA(SUM((AV$3&gt;='Gastos com Pessoal'!$E$513:$E$522)*(AV$3&lt;='Gastos com Pessoal'!$F$513:$F$522)*(IF('Gastos com Pessoal'!$Y$513:$Y$522&lt;=AV$3,1,0))*OFFSET('Gastos com Pessoal'!$H$512,1,MATCH(4&amp;$B55,'Gastos com Pessoal'!$I$532:$AJ$532&amp;'Gastos com Pessoal'!$I$512:$AJ$512,0),10,1)),0)+_xlfn.IFNA(SUM((AV$3&gt;='Gastos com Pessoal'!$E$513:$E$522)*(AV$3&lt;='Gastos com Pessoal'!$F$513:$F$522)*(IF('Gastos com Pessoal'!$AE$513:$AE$522&lt;=AV$3,1,0))*OFFSET('Gastos com Pessoal'!$H$512,1,MATCH(5&amp;$B55,'Gastos com Pessoal'!$I$532:$AJ$532&amp;'Gastos com Pessoal'!$I$512:$AJ$512,0),10,1)),0)</f>
        <v>0</v>
      </c>
      <c r="AW55" s="188">
        <f t="array" aca="1" ref="AW55" ca="1">_xlfn.IFNA(SUM((AW$3&gt;='Gastos com Pessoal'!$E$7:$E$506)*(AW$3&lt;='Gastos com Pessoal'!$F$7:$F$506)*OFFSET('Encargos e Benefícios'!$D$5,1,MATCH($B55,'Encargos e Benefícios'!$E$5:$AB$5,0),500,1)),0)+_xlfn.IFNA(SUM((AW$3&gt;='Gastos com Pessoal'!$E$513:$E$522)*(AW$3&lt;='Gastos com Pessoal'!$F$513:$F$522)*OFFSET('Encargos e Benefícios'!$D$511,1,MATCH($B55,'Encargos e Benefícios'!$E$511:$AB$511,0),10,1)),0)+_xlfn.IFNA(SUM((AW$3&gt;='Gastos com Pessoal'!$E$7:$E$506)*(AW$3&lt;='Gastos com Pessoal'!$F$7:$F$506)*(IF('Gastos com Pessoal'!$G$7:$G$506&lt;=AW$3,1,0))*OFFSET('Gastos com Pessoal'!$H$6,1,MATCH(1&amp;$B55,'Gastos com Pessoal'!$I$532:$AJ$532&amp;'Gastos com Pessoal'!$I$6:$AJ$6,0),500,1)),0)+_xlfn.IFNA(SUM((AW$3&gt;='Gastos com Pessoal'!$E$7:$E$506)*(AW$3&lt;='Gastos com Pessoal'!$F$7:$F$506)*(IF('Gastos com Pessoal'!$M$7:$M$506&lt;=AW$3,1,0))*OFFSET('Gastos com Pessoal'!$H$6,1,MATCH(2&amp;$B55,'Gastos com Pessoal'!$I$532:$AJ$532&amp;'Gastos com Pessoal'!$I$6:$AJ$6,0),500,1)),0)+_xlfn.IFNA(SUM((AW$3&gt;='Gastos com Pessoal'!$E$7:$E$506)*(AW$3&lt;='Gastos com Pessoal'!$F$7:$F$506)*(IF('Gastos com Pessoal'!$S$7:$S$506&lt;=AW$3,1,0))*OFFSET('Gastos com Pessoal'!$H$6,1,MATCH(3&amp;$B55,'Gastos com Pessoal'!$I$532:$AJ$532&amp;'Gastos com Pessoal'!$I$6:$AJ$6,0),500,1)),0)+_xlfn.IFNA(SUM((AW$3&gt;='Gastos com Pessoal'!$E$7:$E$506)*(AW$3&lt;='Gastos com Pessoal'!$F$7:$F$506)*(IF('Gastos com Pessoal'!$Y$7:$Y$506&lt;=AW$3,1,0))*OFFSET('Gastos com Pessoal'!$H$6,1,MATCH(4&amp;$B55,'Gastos com Pessoal'!$I$532:$AJ$532&amp;'Gastos com Pessoal'!$I$6:$AJ$6,0),500,1)),0)+_xlfn.IFNA(SUM((AW$3&gt;='Gastos com Pessoal'!$E$7:$E$506)*(AW$3&lt;='Gastos com Pessoal'!$F$7:$F$506)*(IF('Gastos com Pessoal'!$AE$7:$AE$506&lt;=AW$3,1,0))*OFFSET('Gastos com Pessoal'!$H$6,1,MATCH(5&amp;$B55,'Gastos com Pessoal'!$I$532:$AJ$532&amp;'Gastos com Pessoal'!$I$6:$AJ$6,0),500,1)),0)+_xlfn.IFNA(SUM((AW$3&gt;='Gastos com Pessoal'!$E$513:$E$522)*(AW$3&lt;='Gastos com Pessoal'!$F$513:$F$522)*(IF('Gastos com Pessoal'!$G$513:$G$522&lt;=AW$3,1,0))*OFFSET('Gastos com Pessoal'!$H$512,1,MATCH(1&amp;$B55,'Gastos com Pessoal'!$I$532:$AJ$532&amp;'Gastos com Pessoal'!$I$512:$AJ$512,0),10,1)),0)+_xlfn.IFNA(SUM((AW$3&gt;='Gastos com Pessoal'!$E$513:$E$522)*(AW$3&lt;='Gastos com Pessoal'!$F$513:$F$522)*(IF('Gastos com Pessoal'!$M$513:$M$522&lt;=AW$3,1,0))*OFFSET('Gastos com Pessoal'!$H$512,1,MATCH(2&amp;$B55,'Gastos com Pessoal'!$I$532:$AJ$532&amp;'Gastos com Pessoal'!$I$512:$AJ$512,0),10,1)),0)+_xlfn.IFNA(SUM((AW$3&gt;='Gastos com Pessoal'!$E$513:$E$522)*(AW$3&lt;='Gastos com Pessoal'!$F$513:$F$522)*(IF('Gastos com Pessoal'!$S$513:$S$522&lt;=AW$3,1,0))*OFFSET('Gastos com Pessoal'!$H$512,1,MATCH(3&amp;$B55,'Gastos com Pessoal'!$I$532:$AJ$532&amp;'Gastos com Pessoal'!$I$512:$AJ$512,0),10,1)),0)+_xlfn.IFNA(SUM((AW$3&gt;='Gastos com Pessoal'!$E$513:$E$522)*(AW$3&lt;='Gastos com Pessoal'!$F$513:$F$522)*(IF('Gastos com Pessoal'!$Y$513:$Y$522&lt;=AW$3,1,0))*OFFSET('Gastos com Pessoal'!$H$512,1,MATCH(4&amp;$B55,'Gastos com Pessoal'!$I$532:$AJ$532&amp;'Gastos com Pessoal'!$I$512:$AJ$512,0),10,1)),0)+_xlfn.IFNA(SUM((AW$3&gt;='Gastos com Pessoal'!$E$513:$E$522)*(AW$3&lt;='Gastos com Pessoal'!$F$513:$F$522)*(IF('Gastos com Pessoal'!$AE$513:$AE$522&lt;=AW$3,1,0))*OFFSET('Gastos com Pessoal'!$H$512,1,MATCH(5&amp;$B55,'Gastos com Pessoal'!$I$532:$AJ$532&amp;'Gastos com Pessoal'!$I$512:$AJ$512,0),10,1)),0)</f>
        <v>0</v>
      </c>
      <c r="AX55" s="188">
        <f t="array" aca="1" ref="AX55" ca="1">_xlfn.IFNA(SUM((AX$3&gt;='Gastos com Pessoal'!$E$7:$E$506)*(AX$3&lt;='Gastos com Pessoal'!$F$7:$F$506)*OFFSET('Encargos e Benefícios'!$D$5,1,MATCH($B55,'Encargos e Benefícios'!$E$5:$AB$5,0),500,1)),0)+_xlfn.IFNA(SUM((AX$3&gt;='Gastos com Pessoal'!$E$513:$E$522)*(AX$3&lt;='Gastos com Pessoal'!$F$513:$F$522)*OFFSET('Encargos e Benefícios'!$D$511,1,MATCH($B55,'Encargos e Benefícios'!$E$511:$AB$511,0),10,1)),0)+_xlfn.IFNA(SUM((AX$3&gt;='Gastos com Pessoal'!$E$7:$E$506)*(AX$3&lt;='Gastos com Pessoal'!$F$7:$F$506)*(IF('Gastos com Pessoal'!$G$7:$G$506&lt;=AX$3,1,0))*OFFSET('Gastos com Pessoal'!$H$6,1,MATCH(1&amp;$B55,'Gastos com Pessoal'!$I$532:$AJ$532&amp;'Gastos com Pessoal'!$I$6:$AJ$6,0),500,1)),0)+_xlfn.IFNA(SUM((AX$3&gt;='Gastos com Pessoal'!$E$7:$E$506)*(AX$3&lt;='Gastos com Pessoal'!$F$7:$F$506)*(IF('Gastos com Pessoal'!$M$7:$M$506&lt;=AX$3,1,0))*OFFSET('Gastos com Pessoal'!$H$6,1,MATCH(2&amp;$B55,'Gastos com Pessoal'!$I$532:$AJ$532&amp;'Gastos com Pessoal'!$I$6:$AJ$6,0),500,1)),0)+_xlfn.IFNA(SUM((AX$3&gt;='Gastos com Pessoal'!$E$7:$E$506)*(AX$3&lt;='Gastos com Pessoal'!$F$7:$F$506)*(IF('Gastos com Pessoal'!$S$7:$S$506&lt;=AX$3,1,0))*OFFSET('Gastos com Pessoal'!$H$6,1,MATCH(3&amp;$B55,'Gastos com Pessoal'!$I$532:$AJ$532&amp;'Gastos com Pessoal'!$I$6:$AJ$6,0),500,1)),0)+_xlfn.IFNA(SUM((AX$3&gt;='Gastos com Pessoal'!$E$7:$E$506)*(AX$3&lt;='Gastos com Pessoal'!$F$7:$F$506)*(IF('Gastos com Pessoal'!$Y$7:$Y$506&lt;=AX$3,1,0))*OFFSET('Gastos com Pessoal'!$H$6,1,MATCH(4&amp;$B55,'Gastos com Pessoal'!$I$532:$AJ$532&amp;'Gastos com Pessoal'!$I$6:$AJ$6,0),500,1)),0)+_xlfn.IFNA(SUM((AX$3&gt;='Gastos com Pessoal'!$E$7:$E$506)*(AX$3&lt;='Gastos com Pessoal'!$F$7:$F$506)*(IF('Gastos com Pessoal'!$AE$7:$AE$506&lt;=AX$3,1,0))*OFFSET('Gastos com Pessoal'!$H$6,1,MATCH(5&amp;$B55,'Gastos com Pessoal'!$I$532:$AJ$532&amp;'Gastos com Pessoal'!$I$6:$AJ$6,0),500,1)),0)+_xlfn.IFNA(SUM((AX$3&gt;='Gastos com Pessoal'!$E$513:$E$522)*(AX$3&lt;='Gastos com Pessoal'!$F$513:$F$522)*(IF('Gastos com Pessoal'!$G$513:$G$522&lt;=AX$3,1,0))*OFFSET('Gastos com Pessoal'!$H$512,1,MATCH(1&amp;$B55,'Gastos com Pessoal'!$I$532:$AJ$532&amp;'Gastos com Pessoal'!$I$512:$AJ$512,0),10,1)),0)+_xlfn.IFNA(SUM((AX$3&gt;='Gastos com Pessoal'!$E$513:$E$522)*(AX$3&lt;='Gastos com Pessoal'!$F$513:$F$522)*(IF('Gastos com Pessoal'!$M$513:$M$522&lt;=AX$3,1,0))*OFFSET('Gastos com Pessoal'!$H$512,1,MATCH(2&amp;$B55,'Gastos com Pessoal'!$I$532:$AJ$532&amp;'Gastos com Pessoal'!$I$512:$AJ$512,0),10,1)),0)+_xlfn.IFNA(SUM((AX$3&gt;='Gastos com Pessoal'!$E$513:$E$522)*(AX$3&lt;='Gastos com Pessoal'!$F$513:$F$522)*(IF('Gastos com Pessoal'!$S$513:$S$522&lt;=AX$3,1,0))*OFFSET('Gastos com Pessoal'!$H$512,1,MATCH(3&amp;$B55,'Gastos com Pessoal'!$I$532:$AJ$532&amp;'Gastos com Pessoal'!$I$512:$AJ$512,0),10,1)),0)+_xlfn.IFNA(SUM((AX$3&gt;='Gastos com Pessoal'!$E$513:$E$522)*(AX$3&lt;='Gastos com Pessoal'!$F$513:$F$522)*(IF('Gastos com Pessoal'!$Y$513:$Y$522&lt;=AX$3,1,0))*OFFSET('Gastos com Pessoal'!$H$512,1,MATCH(4&amp;$B55,'Gastos com Pessoal'!$I$532:$AJ$532&amp;'Gastos com Pessoal'!$I$512:$AJ$512,0),10,1)),0)+_xlfn.IFNA(SUM((AX$3&gt;='Gastos com Pessoal'!$E$513:$E$522)*(AX$3&lt;='Gastos com Pessoal'!$F$513:$F$522)*(IF('Gastos com Pessoal'!$AE$513:$AE$522&lt;=AX$3,1,0))*OFFSET('Gastos com Pessoal'!$H$512,1,MATCH(5&amp;$B55,'Gastos com Pessoal'!$I$532:$AJ$532&amp;'Gastos com Pessoal'!$I$512:$AJ$512,0),10,1)),0)</f>
        <v>0</v>
      </c>
      <c r="AY55" s="188">
        <f t="array" aca="1" ref="AY55" ca="1">_xlfn.IFNA(SUM((AY$3&gt;='Gastos com Pessoal'!$E$7:$E$506)*(AY$3&lt;='Gastos com Pessoal'!$F$7:$F$506)*OFFSET('Encargos e Benefícios'!$D$5,1,MATCH($B55,'Encargos e Benefícios'!$E$5:$AB$5,0),500,1)),0)+_xlfn.IFNA(SUM((AY$3&gt;='Gastos com Pessoal'!$E$513:$E$522)*(AY$3&lt;='Gastos com Pessoal'!$F$513:$F$522)*OFFSET('Encargos e Benefícios'!$D$511,1,MATCH($B55,'Encargos e Benefícios'!$E$511:$AB$511,0),10,1)),0)+_xlfn.IFNA(SUM((AY$3&gt;='Gastos com Pessoal'!$E$7:$E$506)*(AY$3&lt;='Gastos com Pessoal'!$F$7:$F$506)*(IF('Gastos com Pessoal'!$G$7:$G$506&lt;=AY$3,1,0))*OFFSET('Gastos com Pessoal'!$H$6,1,MATCH(1&amp;$B55,'Gastos com Pessoal'!$I$532:$AJ$532&amp;'Gastos com Pessoal'!$I$6:$AJ$6,0),500,1)),0)+_xlfn.IFNA(SUM((AY$3&gt;='Gastos com Pessoal'!$E$7:$E$506)*(AY$3&lt;='Gastos com Pessoal'!$F$7:$F$506)*(IF('Gastos com Pessoal'!$M$7:$M$506&lt;=AY$3,1,0))*OFFSET('Gastos com Pessoal'!$H$6,1,MATCH(2&amp;$B55,'Gastos com Pessoal'!$I$532:$AJ$532&amp;'Gastos com Pessoal'!$I$6:$AJ$6,0),500,1)),0)+_xlfn.IFNA(SUM((AY$3&gt;='Gastos com Pessoal'!$E$7:$E$506)*(AY$3&lt;='Gastos com Pessoal'!$F$7:$F$506)*(IF('Gastos com Pessoal'!$S$7:$S$506&lt;=AY$3,1,0))*OFFSET('Gastos com Pessoal'!$H$6,1,MATCH(3&amp;$B55,'Gastos com Pessoal'!$I$532:$AJ$532&amp;'Gastos com Pessoal'!$I$6:$AJ$6,0),500,1)),0)+_xlfn.IFNA(SUM((AY$3&gt;='Gastos com Pessoal'!$E$7:$E$506)*(AY$3&lt;='Gastos com Pessoal'!$F$7:$F$506)*(IF('Gastos com Pessoal'!$Y$7:$Y$506&lt;=AY$3,1,0))*OFFSET('Gastos com Pessoal'!$H$6,1,MATCH(4&amp;$B55,'Gastos com Pessoal'!$I$532:$AJ$532&amp;'Gastos com Pessoal'!$I$6:$AJ$6,0),500,1)),0)+_xlfn.IFNA(SUM((AY$3&gt;='Gastos com Pessoal'!$E$7:$E$506)*(AY$3&lt;='Gastos com Pessoal'!$F$7:$F$506)*(IF('Gastos com Pessoal'!$AE$7:$AE$506&lt;=AY$3,1,0))*OFFSET('Gastos com Pessoal'!$H$6,1,MATCH(5&amp;$B55,'Gastos com Pessoal'!$I$532:$AJ$532&amp;'Gastos com Pessoal'!$I$6:$AJ$6,0),500,1)),0)+_xlfn.IFNA(SUM((AY$3&gt;='Gastos com Pessoal'!$E$513:$E$522)*(AY$3&lt;='Gastos com Pessoal'!$F$513:$F$522)*(IF('Gastos com Pessoal'!$G$513:$G$522&lt;=AY$3,1,0))*OFFSET('Gastos com Pessoal'!$H$512,1,MATCH(1&amp;$B55,'Gastos com Pessoal'!$I$532:$AJ$532&amp;'Gastos com Pessoal'!$I$512:$AJ$512,0),10,1)),0)+_xlfn.IFNA(SUM((AY$3&gt;='Gastos com Pessoal'!$E$513:$E$522)*(AY$3&lt;='Gastos com Pessoal'!$F$513:$F$522)*(IF('Gastos com Pessoal'!$M$513:$M$522&lt;=AY$3,1,0))*OFFSET('Gastos com Pessoal'!$H$512,1,MATCH(2&amp;$B55,'Gastos com Pessoal'!$I$532:$AJ$532&amp;'Gastos com Pessoal'!$I$512:$AJ$512,0),10,1)),0)+_xlfn.IFNA(SUM((AY$3&gt;='Gastos com Pessoal'!$E$513:$E$522)*(AY$3&lt;='Gastos com Pessoal'!$F$513:$F$522)*(IF('Gastos com Pessoal'!$S$513:$S$522&lt;=AY$3,1,0))*OFFSET('Gastos com Pessoal'!$H$512,1,MATCH(3&amp;$B55,'Gastos com Pessoal'!$I$532:$AJ$532&amp;'Gastos com Pessoal'!$I$512:$AJ$512,0),10,1)),0)+_xlfn.IFNA(SUM((AY$3&gt;='Gastos com Pessoal'!$E$513:$E$522)*(AY$3&lt;='Gastos com Pessoal'!$F$513:$F$522)*(IF('Gastos com Pessoal'!$Y$513:$Y$522&lt;=AY$3,1,0))*OFFSET('Gastos com Pessoal'!$H$512,1,MATCH(4&amp;$B55,'Gastos com Pessoal'!$I$532:$AJ$532&amp;'Gastos com Pessoal'!$I$512:$AJ$512,0),10,1)),0)+_xlfn.IFNA(SUM((AY$3&gt;='Gastos com Pessoal'!$E$513:$E$522)*(AY$3&lt;='Gastos com Pessoal'!$F$513:$F$522)*(IF('Gastos com Pessoal'!$AE$513:$AE$522&lt;=AY$3,1,0))*OFFSET('Gastos com Pessoal'!$H$512,1,MATCH(5&amp;$B55,'Gastos com Pessoal'!$I$532:$AJ$532&amp;'Gastos com Pessoal'!$I$512:$AJ$512,0),10,1)),0)</f>
        <v>0</v>
      </c>
      <c r="AZ55" s="188">
        <f t="array" aca="1" ref="AZ55" ca="1">_xlfn.IFNA(SUM((AZ$3&gt;='Gastos com Pessoal'!$E$7:$E$506)*(AZ$3&lt;='Gastos com Pessoal'!$F$7:$F$506)*OFFSET('Encargos e Benefícios'!$D$5,1,MATCH($B55,'Encargos e Benefícios'!$E$5:$AB$5,0),500,1)),0)+_xlfn.IFNA(SUM((AZ$3&gt;='Gastos com Pessoal'!$E$513:$E$522)*(AZ$3&lt;='Gastos com Pessoal'!$F$513:$F$522)*OFFSET('Encargos e Benefícios'!$D$511,1,MATCH($B55,'Encargos e Benefícios'!$E$511:$AB$511,0),10,1)),0)+_xlfn.IFNA(SUM((AZ$3&gt;='Gastos com Pessoal'!$E$7:$E$506)*(AZ$3&lt;='Gastos com Pessoal'!$F$7:$F$506)*(IF('Gastos com Pessoal'!$G$7:$G$506&lt;=AZ$3,1,0))*OFFSET('Gastos com Pessoal'!$H$6,1,MATCH(1&amp;$B55,'Gastos com Pessoal'!$I$532:$AJ$532&amp;'Gastos com Pessoal'!$I$6:$AJ$6,0),500,1)),0)+_xlfn.IFNA(SUM((AZ$3&gt;='Gastos com Pessoal'!$E$7:$E$506)*(AZ$3&lt;='Gastos com Pessoal'!$F$7:$F$506)*(IF('Gastos com Pessoal'!$M$7:$M$506&lt;=AZ$3,1,0))*OFFSET('Gastos com Pessoal'!$H$6,1,MATCH(2&amp;$B55,'Gastos com Pessoal'!$I$532:$AJ$532&amp;'Gastos com Pessoal'!$I$6:$AJ$6,0),500,1)),0)+_xlfn.IFNA(SUM((AZ$3&gt;='Gastos com Pessoal'!$E$7:$E$506)*(AZ$3&lt;='Gastos com Pessoal'!$F$7:$F$506)*(IF('Gastos com Pessoal'!$S$7:$S$506&lt;=AZ$3,1,0))*OFFSET('Gastos com Pessoal'!$H$6,1,MATCH(3&amp;$B55,'Gastos com Pessoal'!$I$532:$AJ$532&amp;'Gastos com Pessoal'!$I$6:$AJ$6,0),500,1)),0)+_xlfn.IFNA(SUM((AZ$3&gt;='Gastos com Pessoal'!$E$7:$E$506)*(AZ$3&lt;='Gastos com Pessoal'!$F$7:$F$506)*(IF('Gastos com Pessoal'!$Y$7:$Y$506&lt;=AZ$3,1,0))*OFFSET('Gastos com Pessoal'!$H$6,1,MATCH(4&amp;$B55,'Gastos com Pessoal'!$I$532:$AJ$532&amp;'Gastos com Pessoal'!$I$6:$AJ$6,0),500,1)),0)+_xlfn.IFNA(SUM((AZ$3&gt;='Gastos com Pessoal'!$E$7:$E$506)*(AZ$3&lt;='Gastos com Pessoal'!$F$7:$F$506)*(IF('Gastos com Pessoal'!$AE$7:$AE$506&lt;=AZ$3,1,0))*OFFSET('Gastos com Pessoal'!$H$6,1,MATCH(5&amp;$B55,'Gastos com Pessoal'!$I$532:$AJ$532&amp;'Gastos com Pessoal'!$I$6:$AJ$6,0),500,1)),0)+_xlfn.IFNA(SUM((AZ$3&gt;='Gastos com Pessoal'!$E$513:$E$522)*(AZ$3&lt;='Gastos com Pessoal'!$F$513:$F$522)*(IF('Gastos com Pessoal'!$G$513:$G$522&lt;=AZ$3,1,0))*OFFSET('Gastos com Pessoal'!$H$512,1,MATCH(1&amp;$B55,'Gastos com Pessoal'!$I$532:$AJ$532&amp;'Gastos com Pessoal'!$I$512:$AJ$512,0),10,1)),0)+_xlfn.IFNA(SUM((AZ$3&gt;='Gastos com Pessoal'!$E$513:$E$522)*(AZ$3&lt;='Gastos com Pessoal'!$F$513:$F$522)*(IF('Gastos com Pessoal'!$M$513:$M$522&lt;=AZ$3,1,0))*OFFSET('Gastos com Pessoal'!$H$512,1,MATCH(2&amp;$B55,'Gastos com Pessoal'!$I$532:$AJ$532&amp;'Gastos com Pessoal'!$I$512:$AJ$512,0),10,1)),0)+_xlfn.IFNA(SUM((AZ$3&gt;='Gastos com Pessoal'!$E$513:$E$522)*(AZ$3&lt;='Gastos com Pessoal'!$F$513:$F$522)*(IF('Gastos com Pessoal'!$S$513:$S$522&lt;=AZ$3,1,0))*OFFSET('Gastos com Pessoal'!$H$512,1,MATCH(3&amp;$B55,'Gastos com Pessoal'!$I$532:$AJ$532&amp;'Gastos com Pessoal'!$I$512:$AJ$512,0),10,1)),0)+_xlfn.IFNA(SUM((AZ$3&gt;='Gastos com Pessoal'!$E$513:$E$522)*(AZ$3&lt;='Gastos com Pessoal'!$F$513:$F$522)*(IF('Gastos com Pessoal'!$Y$513:$Y$522&lt;=AZ$3,1,0))*OFFSET('Gastos com Pessoal'!$H$512,1,MATCH(4&amp;$B55,'Gastos com Pessoal'!$I$532:$AJ$532&amp;'Gastos com Pessoal'!$I$512:$AJ$512,0),10,1)),0)+_xlfn.IFNA(SUM((AZ$3&gt;='Gastos com Pessoal'!$E$513:$E$522)*(AZ$3&lt;='Gastos com Pessoal'!$F$513:$F$522)*(IF('Gastos com Pessoal'!$AE$513:$AE$522&lt;=AZ$3,1,0))*OFFSET('Gastos com Pessoal'!$H$512,1,MATCH(5&amp;$B55,'Gastos com Pessoal'!$I$532:$AJ$532&amp;'Gastos com Pessoal'!$I$512:$AJ$512,0),10,1)),0)</f>
        <v>0</v>
      </c>
      <c r="BA55" s="188">
        <f t="array" aca="1" ref="BA55" ca="1">_xlfn.IFNA(SUM((BA$3&gt;='Gastos com Pessoal'!$E$7:$E$506)*(BA$3&lt;='Gastos com Pessoal'!$F$7:$F$506)*OFFSET('Encargos e Benefícios'!$D$5,1,MATCH($B55,'Encargos e Benefícios'!$E$5:$AB$5,0),500,1)),0)+_xlfn.IFNA(SUM((BA$3&gt;='Gastos com Pessoal'!$E$513:$E$522)*(BA$3&lt;='Gastos com Pessoal'!$F$513:$F$522)*OFFSET('Encargos e Benefícios'!$D$511,1,MATCH($B55,'Encargos e Benefícios'!$E$511:$AB$511,0),10,1)),0)+_xlfn.IFNA(SUM((BA$3&gt;='Gastos com Pessoal'!$E$7:$E$506)*(BA$3&lt;='Gastos com Pessoal'!$F$7:$F$506)*(IF('Gastos com Pessoal'!$G$7:$G$506&lt;=BA$3,1,0))*OFFSET('Gastos com Pessoal'!$H$6,1,MATCH(1&amp;$B55,'Gastos com Pessoal'!$I$532:$AJ$532&amp;'Gastos com Pessoal'!$I$6:$AJ$6,0),500,1)),0)+_xlfn.IFNA(SUM((BA$3&gt;='Gastos com Pessoal'!$E$7:$E$506)*(BA$3&lt;='Gastos com Pessoal'!$F$7:$F$506)*(IF('Gastos com Pessoal'!$M$7:$M$506&lt;=BA$3,1,0))*OFFSET('Gastos com Pessoal'!$H$6,1,MATCH(2&amp;$B55,'Gastos com Pessoal'!$I$532:$AJ$532&amp;'Gastos com Pessoal'!$I$6:$AJ$6,0),500,1)),0)+_xlfn.IFNA(SUM((BA$3&gt;='Gastos com Pessoal'!$E$7:$E$506)*(BA$3&lt;='Gastos com Pessoal'!$F$7:$F$506)*(IF('Gastos com Pessoal'!$S$7:$S$506&lt;=BA$3,1,0))*OFFSET('Gastos com Pessoal'!$H$6,1,MATCH(3&amp;$B55,'Gastos com Pessoal'!$I$532:$AJ$532&amp;'Gastos com Pessoal'!$I$6:$AJ$6,0),500,1)),0)+_xlfn.IFNA(SUM((BA$3&gt;='Gastos com Pessoal'!$E$7:$E$506)*(BA$3&lt;='Gastos com Pessoal'!$F$7:$F$506)*(IF('Gastos com Pessoal'!$Y$7:$Y$506&lt;=BA$3,1,0))*OFFSET('Gastos com Pessoal'!$H$6,1,MATCH(4&amp;$B55,'Gastos com Pessoal'!$I$532:$AJ$532&amp;'Gastos com Pessoal'!$I$6:$AJ$6,0),500,1)),0)+_xlfn.IFNA(SUM((BA$3&gt;='Gastos com Pessoal'!$E$7:$E$506)*(BA$3&lt;='Gastos com Pessoal'!$F$7:$F$506)*(IF('Gastos com Pessoal'!$AE$7:$AE$506&lt;=BA$3,1,0))*OFFSET('Gastos com Pessoal'!$H$6,1,MATCH(5&amp;$B55,'Gastos com Pessoal'!$I$532:$AJ$532&amp;'Gastos com Pessoal'!$I$6:$AJ$6,0),500,1)),0)+_xlfn.IFNA(SUM((BA$3&gt;='Gastos com Pessoal'!$E$513:$E$522)*(BA$3&lt;='Gastos com Pessoal'!$F$513:$F$522)*(IF('Gastos com Pessoal'!$G$513:$G$522&lt;=BA$3,1,0))*OFFSET('Gastos com Pessoal'!$H$512,1,MATCH(1&amp;$B55,'Gastos com Pessoal'!$I$532:$AJ$532&amp;'Gastos com Pessoal'!$I$512:$AJ$512,0),10,1)),0)+_xlfn.IFNA(SUM((BA$3&gt;='Gastos com Pessoal'!$E$513:$E$522)*(BA$3&lt;='Gastos com Pessoal'!$F$513:$F$522)*(IF('Gastos com Pessoal'!$M$513:$M$522&lt;=BA$3,1,0))*OFFSET('Gastos com Pessoal'!$H$512,1,MATCH(2&amp;$B55,'Gastos com Pessoal'!$I$532:$AJ$532&amp;'Gastos com Pessoal'!$I$512:$AJ$512,0),10,1)),0)+_xlfn.IFNA(SUM((BA$3&gt;='Gastos com Pessoal'!$E$513:$E$522)*(BA$3&lt;='Gastos com Pessoal'!$F$513:$F$522)*(IF('Gastos com Pessoal'!$S$513:$S$522&lt;=BA$3,1,0))*OFFSET('Gastos com Pessoal'!$H$512,1,MATCH(3&amp;$B55,'Gastos com Pessoal'!$I$532:$AJ$532&amp;'Gastos com Pessoal'!$I$512:$AJ$512,0),10,1)),0)+_xlfn.IFNA(SUM((BA$3&gt;='Gastos com Pessoal'!$E$513:$E$522)*(BA$3&lt;='Gastos com Pessoal'!$F$513:$F$522)*(IF('Gastos com Pessoal'!$Y$513:$Y$522&lt;=BA$3,1,0))*OFFSET('Gastos com Pessoal'!$H$512,1,MATCH(4&amp;$B55,'Gastos com Pessoal'!$I$532:$AJ$532&amp;'Gastos com Pessoal'!$I$512:$AJ$512,0),10,1)),0)+_xlfn.IFNA(SUM((BA$3&gt;='Gastos com Pessoal'!$E$513:$E$522)*(BA$3&lt;='Gastos com Pessoal'!$F$513:$F$522)*(IF('Gastos com Pessoal'!$AE$513:$AE$522&lt;=BA$3,1,0))*OFFSET('Gastos com Pessoal'!$H$512,1,MATCH(5&amp;$B55,'Gastos com Pessoal'!$I$532:$AJ$532&amp;'Gastos com Pessoal'!$I$512:$AJ$512,0),10,1)),0)</f>
        <v>0</v>
      </c>
      <c r="BB55" s="188">
        <f t="array" aca="1" ref="BB55" ca="1">_xlfn.IFNA(SUM((BB$3&gt;='Gastos com Pessoal'!$E$7:$E$506)*(BB$3&lt;='Gastos com Pessoal'!$F$7:$F$506)*OFFSET('Encargos e Benefícios'!$D$5,1,MATCH($B55,'Encargos e Benefícios'!$E$5:$AB$5,0),500,1)),0)+_xlfn.IFNA(SUM((BB$3&gt;='Gastos com Pessoal'!$E$513:$E$522)*(BB$3&lt;='Gastos com Pessoal'!$F$513:$F$522)*OFFSET('Encargos e Benefícios'!$D$511,1,MATCH($B55,'Encargos e Benefícios'!$E$511:$AB$511,0),10,1)),0)+_xlfn.IFNA(SUM((BB$3&gt;='Gastos com Pessoal'!$E$7:$E$506)*(BB$3&lt;='Gastos com Pessoal'!$F$7:$F$506)*(IF('Gastos com Pessoal'!$G$7:$G$506&lt;=BB$3,1,0))*OFFSET('Gastos com Pessoal'!$H$6,1,MATCH(1&amp;$B55,'Gastos com Pessoal'!$I$532:$AJ$532&amp;'Gastos com Pessoal'!$I$6:$AJ$6,0),500,1)),0)+_xlfn.IFNA(SUM((BB$3&gt;='Gastos com Pessoal'!$E$7:$E$506)*(BB$3&lt;='Gastos com Pessoal'!$F$7:$F$506)*(IF('Gastos com Pessoal'!$M$7:$M$506&lt;=BB$3,1,0))*OFFSET('Gastos com Pessoal'!$H$6,1,MATCH(2&amp;$B55,'Gastos com Pessoal'!$I$532:$AJ$532&amp;'Gastos com Pessoal'!$I$6:$AJ$6,0),500,1)),0)+_xlfn.IFNA(SUM((BB$3&gt;='Gastos com Pessoal'!$E$7:$E$506)*(BB$3&lt;='Gastos com Pessoal'!$F$7:$F$506)*(IF('Gastos com Pessoal'!$S$7:$S$506&lt;=BB$3,1,0))*OFFSET('Gastos com Pessoal'!$H$6,1,MATCH(3&amp;$B55,'Gastos com Pessoal'!$I$532:$AJ$532&amp;'Gastos com Pessoal'!$I$6:$AJ$6,0),500,1)),0)+_xlfn.IFNA(SUM((BB$3&gt;='Gastos com Pessoal'!$E$7:$E$506)*(BB$3&lt;='Gastos com Pessoal'!$F$7:$F$506)*(IF('Gastos com Pessoal'!$Y$7:$Y$506&lt;=BB$3,1,0))*OFFSET('Gastos com Pessoal'!$H$6,1,MATCH(4&amp;$B55,'Gastos com Pessoal'!$I$532:$AJ$532&amp;'Gastos com Pessoal'!$I$6:$AJ$6,0),500,1)),0)+_xlfn.IFNA(SUM((BB$3&gt;='Gastos com Pessoal'!$E$7:$E$506)*(BB$3&lt;='Gastos com Pessoal'!$F$7:$F$506)*(IF('Gastos com Pessoal'!$AE$7:$AE$506&lt;=BB$3,1,0))*OFFSET('Gastos com Pessoal'!$H$6,1,MATCH(5&amp;$B55,'Gastos com Pessoal'!$I$532:$AJ$532&amp;'Gastos com Pessoal'!$I$6:$AJ$6,0),500,1)),0)+_xlfn.IFNA(SUM((BB$3&gt;='Gastos com Pessoal'!$E$513:$E$522)*(BB$3&lt;='Gastos com Pessoal'!$F$513:$F$522)*(IF('Gastos com Pessoal'!$G$513:$G$522&lt;=BB$3,1,0))*OFFSET('Gastos com Pessoal'!$H$512,1,MATCH(1&amp;$B55,'Gastos com Pessoal'!$I$532:$AJ$532&amp;'Gastos com Pessoal'!$I$512:$AJ$512,0),10,1)),0)+_xlfn.IFNA(SUM((BB$3&gt;='Gastos com Pessoal'!$E$513:$E$522)*(BB$3&lt;='Gastos com Pessoal'!$F$513:$F$522)*(IF('Gastos com Pessoal'!$M$513:$M$522&lt;=BB$3,1,0))*OFFSET('Gastos com Pessoal'!$H$512,1,MATCH(2&amp;$B55,'Gastos com Pessoal'!$I$532:$AJ$532&amp;'Gastos com Pessoal'!$I$512:$AJ$512,0),10,1)),0)+_xlfn.IFNA(SUM((BB$3&gt;='Gastos com Pessoal'!$E$513:$E$522)*(BB$3&lt;='Gastos com Pessoal'!$F$513:$F$522)*(IF('Gastos com Pessoal'!$S$513:$S$522&lt;=BB$3,1,0))*OFFSET('Gastos com Pessoal'!$H$512,1,MATCH(3&amp;$B55,'Gastos com Pessoal'!$I$532:$AJ$532&amp;'Gastos com Pessoal'!$I$512:$AJ$512,0),10,1)),0)+_xlfn.IFNA(SUM((BB$3&gt;='Gastos com Pessoal'!$E$513:$E$522)*(BB$3&lt;='Gastos com Pessoal'!$F$513:$F$522)*(IF('Gastos com Pessoal'!$Y$513:$Y$522&lt;=BB$3,1,0))*OFFSET('Gastos com Pessoal'!$H$512,1,MATCH(4&amp;$B55,'Gastos com Pessoal'!$I$532:$AJ$532&amp;'Gastos com Pessoal'!$I$512:$AJ$512,0),10,1)),0)+_xlfn.IFNA(SUM((BB$3&gt;='Gastos com Pessoal'!$E$513:$E$522)*(BB$3&lt;='Gastos com Pessoal'!$F$513:$F$522)*(IF('Gastos com Pessoal'!$AE$513:$AE$522&lt;=BB$3,1,0))*OFFSET('Gastos com Pessoal'!$H$512,1,MATCH(5&amp;$B55,'Gastos com Pessoal'!$I$532:$AJ$532&amp;'Gastos com Pessoal'!$I$512:$AJ$512,0),10,1)),0)</f>
        <v>0</v>
      </c>
      <c r="BC55" s="188">
        <f t="array" aca="1" ref="BC55" ca="1">_xlfn.IFNA(SUM((BC$3&gt;='Gastos com Pessoal'!$E$7:$E$506)*(BC$3&lt;='Gastos com Pessoal'!$F$7:$F$506)*OFFSET('Encargos e Benefícios'!$D$5,1,MATCH($B55,'Encargos e Benefícios'!$E$5:$AB$5,0),500,1)),0)+_xlfn.IFNA(SUM((BC$3&gt;='Gastos com Pessoal'!$E$513:$E$522)*(BC$3&lt;='Gastos com Pessoal'!$F$513:$F$522)*OFFSET('Encargos e Benefícios'!$D$511,1,MATCH($B55,'Encargos e Benefícios'!$E$511:$AB$511,0),10,1)),0)+_xlfn.IFNA(SUM((BC$3&gt;='Gastos com Pessoal'!$E$7:$E$506)*(BC$3&lt;='Gastos com Pessoal'!$F$7:$F$506)*(IF('Gastos com Pessoal'!$G$7:$G$506&lt;=BC$3,1,0))*OFFSET('Gastos com Pessoal'!$H$6,1,MATCH(1&amp;$B55,'Gastos com Pessoal'!$I$532:$AJ$532&amp;'Gastos com Pessoal'!$I$6:$AJ$6,0),500,1)),0)+_xlfn.IFNA(SUM((BC$3&gt;='Gastos com Pessoal'!$E$7:$E$506)*(BC$3&lt;='Gastos com Pessoal'!$F$7:$F$506)*(IF('Gastos com Pessoal'!$M$7:$M$506&lt;=BC$3,1,0))*OFFSET('Gastos com Pessoal'!$H$6,1,MATCH(2&amp;$B55,'Gastos com Pessoal'!$I$532:$AJ$532&amp;'Gastos com Pessoal'!$I$6:$AJ$6,0),500,1)),0)+_xlfn.IFNA(SUM((BC$3&gt;='Gastos com Pessoal'!$E$7:$E$506)*(BC$3&lt;='Gastos com Pessoal'!$F$7:$F$506)*(IF('Gastos com Pessoal'!$S$7:$S$506&lt;=BC$3,1,0))*OFFSET('Gastos com Pessoal'!$H$6,1,MATCH(3&amp;$B55,'Gastos com Pessoal'!$I$532:$AJ$532&amp;'Gastos com Pessoal'!$I$6:$AJ$6,0),500,1)),0)+_xlfn.IFNA(SUM((BC$3&gt;='Gastos com Pessoal'!$E$7:$E$506)*(BC$3&lt;='Gastos com Pessoal'!$F$7:$F$506)*(IF('Gastos com Pessoal'!$Y$7:$Y$506&lt;=BC$3,1,0))*OFFSET('Gastos com Pessoal'!$H$6,1,MATCH(4&amp;$B55,'Gastos com Pessoal'!$I$532:$AJ$532&amp;'Gastos com Pessoal'!$I$6:$AJ$6,0),500,1)),0)+_xlfn.IFNA(SUM((BC$3&gt;='Gastos com Pessoal'!$E$7:$E$506)*(BC$3&lt;='Gastos com Pessoal'!$F$7:$F$506)*(IF('Gastos com Pessoal'!$AE$7:$AE$506&lt;=BC$3,1,0))*OFFSET('Gastos com Pessoal'!$H$6,1,MATCH(5&amp;$B55,'Gastos com Pessoal'!$I$532:$AJ$532&amp;'Gastos com Pessoal'!$I$6:$AJ$6,0),500,1)),0)+_xlfn.IFNA(SUM((BC$3&gt;='Gastos com Pessoal'!$E$513:$E$522)*(BC$3&lt;='Gastos com Pessoal'!$F$513:$F$522)*(IF('Gastos com Pessoal'!$G$513:$G$522&lt;=BC$3,1,0))*OFFSET('Gastos com Pessoal'!$H$512,1,MATCH(1&amp;$B55,'Gastos com Pessoal'!$I$532:$AJ$532&amp;'Gastos com Pessoal'!$I$512:$AJ$512,0),10,1)),0)+_xlfn.IFNA(SUM((BC$3&gt;='Gastos com Pessoal'!$E$513:$E$522)*(BC$3&lt;='Gastos com Pessoal'!$F$513:$F$522)*(IF('Gastos com Pessoal'!$M$513:$M$522&lt;=BC$3,1,0))*OFFSET('Gastos com Pessoal'!$H$512,1,MATCH(2&amp;$B55,'Gastos com Pessoal'!$I$532:$AJ$532&amp;'Gastos com Pessoal'!$I$512:$AJ$512,0),10,1)),0)+_xlfn.IFNA(SUM((BC$3&gt;='Gastos com Pessoal'!$E$513:$E$522)*(BC$3&lt;='Gastos com Pessoal'!$F$513:$F$522)*(IF('Gastos com Pessoal'!$S$513:$S$522&lt;=BC$3,1,0))*OFFSET('Gastos com Pessoal'!$H$512,1,MATCH(3&amp;$B55,'Gastos com Pessoal'!$I$532:$AJ$532&amp;'Gastos com Pessoal'!$I$512:$AJ$512,0),10,1)),0)+_xlfn.IFNA(SUM((BC$3&gt;='Gastos com Pessoal'!$E$513:$E$522)*(BC$3&lt;='Gastos com Pessoal'!$F$513:$F$522)*(IF('Gastos com Pessoal'!$Y$513:$Y$522&lt;=BC$3,1,0))*OFFSET('Gastos com Pessoal'!$H$512,1,MATCH(4&amp;$B55,'Gastos com Pessoal'!$I$532:$AJ$532&amp;'Gastos com Pessoal'!$I$512:$AJ$512,0),10,1)),0)+_xlfn.IFNA(SUM((BC$3&gt;='Gastos com Pessoal'!$E$513:$E$522)*(BC$3&lt;='Gastos com Pessoal'!$F$513:$F$522)*(IF('Gastos com Pessoal'!$AE$513:$AE$522&lt;=BC$3,1,0))*OFFSET('Gastos com Pessoal'!$H$512,1,MATCH(5&amp;$B55,'Gastos com Pessoal'!$I$532:$AJ$532&amp;'Gastos com Pessoal'!$I$512:$AJ$512,0),10,1)),0)</f>
        <v>0</v>
      </c>
      <c r="BD55" s="188">
        <f t="array" aca="1" ref="BD55" ca="1">_xlfn.IFNA(SUM((BD$3&gt;='Gastos com Pessoal'!$E$7:$E$506)*(BD$3&lt;='Gastos com Pessoal'!$F$7:$F$506)*OFFSET('Encargos e Benefícios'!$D$5,1,MATCH($B55,'Encargos e Benefícios'!$E$5:$AB$5,0),500,1)),0)+_xlfn.IFNA(SUM((BD$3&gt;='Gastos com Pessoal'!$E$513:$E$522)*(BD$3&lt;='Gastos com Pessoal'!$F$513:$F$522)*OFFSET('Encargos e Benefícios'!$D$511,1,MATCH($B55,'Encargos e Benefícios'!$E$511:$AB$511,0),10,1)),0)+_xlfn.IFNA(SUM((BD$3&gt;='Gastos com Pessoal'!$E$7:$E$506)*(BD$3&lt;='Gastos com Pessoal'!$F$7:$F$506)*(IF('Gastos com Pessoal'!$G$7:$G$506&lt;=BD$3,1,0))*OFFSET('Gastos com Pessoal'!$H$6,1,MATCH(1&amp;$B55,'Gastos com Pessoal'!$I$532:$AJ$532&amp;'Gastos com Pessoal'!$I$6:$AJ$6,0),500,1)),0)+_xlfn.IFNA(SUM((BD$3&gt;='Gastos com Pessoal'!$E$7:$E$506)*(BD$3&lt;='Gastos com Pessoal'!$F$7:$F$506)*(IF('Gastos com Pessoal'!$M$7:$M$506&lt;=BD$3,1,0))*OFFSET('Gastos com Pessoal'!$H$6,1,MATCH(2&amp;$B55,'Gastos com Pessoal'!$I$532:$AJ$532&amp;'Gastos com Pessoal'!$I$6:$AJ$6,0),500,1)),0)+_xlfn.IFNA(SUM((BD$3&gt;='Gastos com Pessoal'!$E$7:$E$506)*(BD$3&lt;='Gastos com Pessoal'!$F$7:$F$506)*(IF('Gastos com Pessoal'!$S$7:$S$506&lt;=BD$3,1,0))*OFFSET('Gastos com Pessoal'!$H$6,1,MATCH(3&amp;$B55,'Gastos com Pessoal'!$I$532:$AJ$532&amp;'Gastos com Pessoal'!$I$6:$AJ$6,0),500,1)),0)+_xlfn.IFNA(SUM((BD$3&gt;='Gastos com Pessoal'!$E$7:$E$506)*(BD$3&lt;='Gastos com Pessoal'!$F$7:$F$506)*(IF('Gastos com Pessoal'!$Y$7:$Y$506&lt;=BD$3,1,0))*OFFSET('Gastos com Pessoal'!$H$6,1,MATCH(4&amp;$B55,'Gastos com Pessoal'!$I$532:$AJ$532&amp;'Gastos com Pessoal'!$I$6:$AJ$6,0),500,1)),0)+_xlfn.IFNA(SUM((BD$3&gt;='Gastos com Pessoal'!$E$7:$E$506)*(BD$3&lt;='Gastos com Pessoal'!$F$7:$F$506)*(IF('Gastos com Pessoal'!$AE$7:$AE$506&lt;=BD$3,1,0))*OFFSET('Gastos com Pessoal'!$H$6,1,MATCH(5&amp;$B55,'Gastos com Pessoal'!$I$532:$AJ$532&amp;'Gastos com Pessoal'!$I$6:$AJ$6,0),500,1)),0)+_xlfn.IFNA(SUM((BD$3&gt;='Gastos com Pessoal'!$E$513:$E$522)*(BD$3&lt;='Gastos com Pessoal'!$F$513:$F$522)*(IF('Gastos com Pessoal'!$G$513:$G$522&lt;=BD$3,1,0))*OFFSET('Gastos com Pessoal'!$H$512,1,MATCH(1&amp;$B55,'Gastos com Pessoal'!$I$532:$AJ$532&amp;'Gastos com Pessoal'!$I$512:$AJ$512,0),10,1)),0)+_xlfn.IFNA(SUM((BD$3&gt;='Gastos com Pessoal'!$E$513:$E$522)*(BD$3&lt;='Gastos com Pessoal'!$F$513:$F$522)*(IF('Gastos com Pessoal'!$M$513:$M$522&lt;=BD$3,1,0))*OFFSET('Gastos com Pessoal'!$H$512,1,MATCH(2&amp;$B55,'Gastos com Pessoal'!$I$532:$AJ$532&amp;'Gastos com Pessoal'!$I$512:$AJ$512,0),10,1)),0)+_xlfn.IFNA(SUM((BD$3&gt;='Gastos com Pessoal'!$E$513:$E$522)*(BD$3&lt;='Gastos com Pessoal'!$F$513:$F$522)*(IF('Gastos com Pessoal'!$S$513:$S$522&lt;=BD$3,1,0))*OFFSET('Gastos com Pessoal'!$H$512,1,MATCH(3&amp;$B55,'Gastos com Pessoal'!$I$532:$AJ$532&amp;'Gastos com Pessoal'!$I$512:$AJ$512,0),10,1)),0)+_xlfn.IFNA(SUM((BD$3&gt;='Gastos com Pessoal'!$E$513:$E$522)*(BD$3&lt;='Gastos com Pessoal'!$F$513:$F$522)*(IF('Gastos com Pessoal'!$Y$513:$Y$522&lt;=BD$3,1,0))*OFFSET('Gastos com Pessoal'!$H$512,1,MATCH(4&amp;$B55,'Gastos com Pessoal'!$I$532:$AJ$532&amp;'Gastos com Pessoal'!$I$512:$AJ$512,0),10,1)),0)+_xlfn.IFNA(SUM((BD$3&gt;='Gastos com Pessoal'!$E$513:$E$522)*(BD$3&lt;='Gastos com Pessoal'!$F$513:$F$522)*(IF('Gastos com Pessoal'!$AE$513:$AE$522&lt;=BD$3,1,0))*OFFSET('Gastos com Pessoal'!$H$512,1,MATCH(5&amp;$B55,'Gastos com Pessoal'!$I$532:$AJ$532&amp;'Gastos com Pessoal'!$I$512:$AJ$512,0),10,1)),0)</f>
        <v>0</v>
      </c>
      <c r="BE55" s="188">
        <f t="array" aca="1" ref="BE55" ca="1">_xlfn.IFNA(SUM((BE$3&gt;='Gastos com Pessoal'!$E$7:$E$506)*(BE$3&lt;='Gastos com Pessoal'!$F$7:$F$506)*OFFSET('Encargos e Benefícios'!$D$5,1,MATCH($B55,'Encargos e Benefícios'!$E$5:$AB$5,0),500,1)),0)+_xlfn.IFNA(SUM((BE$3&gt;='Gastos com Pessoal'!$E$513:$E$522)*(BE$3&lt;='Gastos com Pessoal'!$F$513:$F$522)*OFFSET('Encargos e Benefícios'!$D$511,1,MATCH($B55,'Encargos e Benefícios'!$E$511:$AB$511,0),10,1)),0)+_xlfn.IFNA(SUM((BE$3&gt;='Gastos com Pessoal'!$E$7:$E$506)*(BE$3&lt;='Gastos com Pessoal'!$F$7:$F$506)*(IF('Gastos com Pessoal'!$G$7:$G$506&lt;=BE$3,1,0))*OFFSET('Gastos com Pessoal'!$H$6,1,MATCH(1&amp;$B55,'Gastos com Pessoal'!$I$532:$AJ$532&amp;'Gastos com Pessoal'!$I$6:$AJ$6,0),500,1)),0)+_xlfn.IFNA(SUM((BE$3&gt;='Gastos com Pessoal'!$E$7:$E$506)*(BE$3&lt;='Gastos com Pessoal'!$F$7:$F$506)*(IF('Gastos com Pessoal'!$M$7:$M$506&lt;=BE$3,1,0))*OFFSET('Gastos com Pessoal'!$H$6,1,MATCH(2&amp;$B55,'Gastos com Pessoal'!$I$532:$AJ$532&amp;'Gastos com Pessoal'!$I$6:$AJ$6,0),500,1)),0)+_xlfn.IFNA(SUM((BE$3&gt;='Gastos com Pessoal'!$E$7:$E$506)*(BE$3&lt;='Gastos com Pessoal'!$F$7:$F$506)*(IF('Gastos com Pessoal'!$S$7:$S$506&lt;=BE$3,1,0))*OFFSET('Gastos com Pessoal'!$H$6,1,MATCH(3&amp;$B55,'Gastos com Pessoal'!$I$532:$AJ$532&amp;'Gastos com Pessoal'!$I$6:$AJ$6,0),500,1)),0)+_xlfn.IFNA(SUM((BE$3&gt;='Gastos com Pessoal'!$E$7:$E$506)*(BE$3&lt;='Gastos com Pessoal'!$F$7:$F$506)*(IF('Gastos com Pessoal'!$Y$7:$Y$506&lt;=BE$3,1,0))*OFFSET('Gastos com Pessoal'!$H$6,1,MATCH(4&amp;$B55,'Gastos com Pessoal'!$I$532:$AJ$532&amp;'Gastos com Pessoal'!$I$6:$AJ$6,0),500,1)),0)+_xlfn.IFNA(SUM((BE$3&gt;='Gastos com Pessoal'!$E$7:$E$506)*(BE$3&lt;='Gastos com Pessoal'!$F$7:$F$506)*(IF('Gastos com Pessoal'!$AE$7:$AE$506&lt;=BE$3,1,0))*OFFSET('Gastos com Pessoal'!$H$6,1,MATCH(5&amp;$B55,'Gastos com Pessoal'!$I$532:$AJ$532&amp;'Gastos com Pessoal'!$I$6:$AJ$6,0),500,1)),0)+_xlfn.IFNA(SUM((BE$3&gt;='Gastos com Pessoal'!$E$513:$E$522)*(BE$3&lt;='Gastos com Pessoal'!$F$513:$F$522)*(IF('Gastos com Pessoal'!$G$513:$G$522&lt;=BE$3,1,0))*OFFSET('Gastos com Pessoal'!$H$512,1,MATCH(1&amp;$B55,'Gastos com Pessoal'!$I$532:$AJ$532&amp;'Gastos com Pessoal'!$I$512:$AJ$512,0),10,1)),0)+_xlfn.IFNA(SUM((BE$3&gt;='Gastos com Pessoal'!$E$513:$E$522)*(BE$3&lt;='Gastos com Pessoal'!$F$513:$F$522)*(IF('Gastos com Pessoal'!$M$513:$M$522&lt;=BE$3,1,0))*OFFSET('Gastos com Pessoal'!$H$512,1,MATCH(2&amp;$B55,'Gastos com Pessoal'!$I$532:$AJ$532&amp;'Gastos com Pessoal'!$I$512:$AJ$512,0),10,1)),0)+_xlfn.IFNA(SUM((BE$3&gt;='Gastos com Pessoal'!$E$513:$E$522)*(BE$3&lt;='Gastos com Pessoal'!$F$513:$F$522)*(IF('Gastos com Pessoal'!$S$513:$S$522&lt;=BE$3,1,0))*OFFSET('Gastos com Pessoal'!$H$512,1,MATCH(3&amp;$B55,'Gastos com Pessoal'!$I$532:$AJ$532&amp;'Gastos com Pessoal'!$I$512:$AJ$512,0),10,1)),0)+_xlfn.IFNA(SUM((BE$3&gt;='Gastos com Pessoal'!$E$513:$E$522)*(BE$3&lt;='Gastos com Pessoal'!$F$513:$F$522)*(IF('Gastos com Pessoal'!$Y$513:$Y$522&lt;=BE$3,1,0))*OFFSET('Gastos com Pessoal'!$H$512,1,MATCH(4&amp;$B55,'Gastos com Pessoal'!$I$532:$AJ$532&amp;'Gastos com Pessoal'!$I$512:$AJ$512,0),10,1)),0)+_xlfn.IFNA(SUM((BE$3&gt;='Gastos com Pessoal'!$E$513:$E$522)*(BE$3&lt;='Gastos com Pessoal'!$F$513:$F$522)*(IF('Gastos com Pessoal'!$AE$513:$AE$522&lt;=BE$3,1,0))*OFFSET('Gastos com Pessoal'!$H$512,1,MATCH(5&amp;$B55,'Gastos com Pessoal'!$I$532:$AJ$532&amp;'Gastos com Pessoal'!$I$512:$AJ$512,0),10,1)),0)</f>
        <v>0</v>
      </c>
      <c r="BF55" s="188">
        <f t="array" aca="1" ref="BF55" ca="1">_xlfn.IFNA(SUM((BF$3&gt;='Gastos com Pessoal'!$E$7:$E$506)*(BF$3&lt;='Gastos com Pessoal'!$F$7:$F$506)*OFFSET('Encargos e Benefícios'!$D$5,1,MATCH($B55,'Encargos e Benefícios'!$E$5:$AB$5,0),500,1)),0)+_xlfn.IFNA(SUM((BF$3&gt;='Gastos com Pessoal'!$E$513:$E$522)*(BF$3&lt;='Gastos com Pessoal'!$F$513:$F$522)*OFFSET('Encargos e Benefícios'!$D$511,1,MATCH($B55,'Encargos e Benefícios'!$E$511:$AB$511,0),10,1)),0)+_xlfn.IFNA(SUM((BF$3&gt;='Gastos com Pessoal'!$E$7:$E$506)*(BF$3&lt;='Gastos com Pessoal'!$F$7:$F$506)*(IF('Gastos com Pessoal'!$G$7:$G$506&lt;=BF$3,1,0))*OFFSET('Gastos com Pessoal'!$H$6,1,MATCH(1&amp;$B55,'Gastos com Pessoal'!$I$532:$AJ$532&amp;'Gastos com Pessoal'!$I$6:$AJ$6,0),500,1)),0)+_xlfn.IFNA(SUM((BF$3&gt;='Gastos com Pessoal'!$E$7:$E$506)*(BF$3&lt;='Gastos com Pessoal'!$F$7:$F$506)*(IF('Gastos com Pessoal'!$M$7:$M$506&lt;=BF$3,1,0))*OFFSET('Gastos com Pessoal'!$H$6,1,MATCH(2&amp;$B55,'Gastos com Pessoal'!$I$532:$AJ$532&amp;'Gastos com Pessoal'!$I$6:$AJ$6,0),500,1)),0)+_xlfn.IFNA(SUM((BF$3&gt;='Gastos com Pessoal'!$E$7:$E$506)*(BF$3&lt;='Gastos com Pessoal'!$F$7:$F$506)*(IF('Gastos com Pessoal'!$S$7:$S$506&lt;=BF$3,1,0))*OFFSET('Gastos com Pessoal'!$H$6,1,MATCH(3&amp;$B55,'Gastos com Pessoal'!$I$532:$AJ$532&amp;'Gastos com Pessoal'!$I$6:$AJ$6,0),500,1)),0)+_xlfn.IFNA(SUM((BF$3&gt;='Gastos com Pessoal'!$E$7:$E$506)*(BF$3&lt;='Gastos com Pessoal'!$F$7:$F$506)*(IF('Gastos com Pessoal'!$Y$7:$Y$506&lt;=BF$3,1,0))*OFFSET('Gastos com Pessoal'!$H$6,1,MATCH(4&amp;$B55,'Gastos com Pessoal'!$I$532:$AJ$532&amp;'Gastos com Pessoal'!$I$6:$AJ$6,0),500,1)),0)+_xlfn.IFNA(SUM((BF$3&gt;='Gastos com Pessoal'!$E$7:$E$506)*(BF$3&lt;='Gastos com Pessoal'!$F$7:$F$506)*(IF('Gastos com Pessoal'!$AE$7:$AE$506&lt;=BF$3,1,0))*OFFSET('Gastos com Pessoal'!$H$6,1,MATCH(5&amp;$B55,'Gastos com Pessoal'!$I$532:$AJ$532&amp;'Gastos com Pessoal'!$I$6:$AJ$6,0),500,1)),0)+_xlfn.IFNA(SUM((BF$3&gt;='Gastos com Pessoal'!$E$513:$E$522)*(BF$3&lt;='Gastos com Pessoal'!$F$513:$F$522)*(IF('Gastos com Pessoal'!$G$513:$G$522&lt;=BF$3,1,0))*OFFSET('Gastos com Pessoal'!$H$512,1,MATCH(1&amp;$B55,'Gastos com Pessoal'!$I$532:$AJ$532&amp;'Gastos com Pessoal'!$I$512:$AJ$512,0),10,1)),0)+_xlfn.IFNA(SUM((BF$3&gt;='Gastos com Pessoal'!$E$513:$E$522)*(BF$3&lt;='Gastos com Pessoal'!$F$513:$F$522)*(IF('Gastos com Pessoal'!$M$513:$M$522&lt;=BF$3,1,0))*OFFSET('Gastos com Pessoal'!$H$512,1,MATCH(2&amp;$B55,'Gastos com Pessoal'!$I$532:$AJ$532&amp;'Gastos com Pessoal'!$I$512:$AJ$512,0),10,1)),0)+_xlfn.IFNA(SUM((BF$3&gt;='Gastos com Pessoal'!$E$513:$E$522)*(BF$3&lt;='Gastos com Pessoal'!$F$513:$F$522)*(IF('Gastos com Pessoal'!$S$513:$S$522&lt;=BF$3,1,0))*OFFSET('Gastos com Pessoal'!$H$512,1,MATCH(3&amp;$B55,'Gastos com Pessoal'!$I$532:$AJ$532&amp;'Gastos com Pessoal'!$I$512:$AJ$512,0),10,1)),0)+_xlfn.IFNA(SUM((BF$3&gt;='Gastos com Pessoal'!$E$513:$E$522)*(BF$3&lt;='Gastos com Pessoal'!$F$513:$F$522)*(IF('Gastos com Pessoal'!$Y$513:$Y$522&lt;=BF$3,1,0))*OFFSET('Gastos com Pessoal'!$H$512,1,MATCH(4&amp;$B55,'Gastos com Pessoal'!$I$532:$AJ$532&amp;'Gastos com Pessoal'!$I$512:$AJ$512,0),10,1)),0)+_xlfn.IFNA(SUM((BF$3&gt;='Gastos com Pessoal'!$E$513:$E$522)*(BF$3&lt;='Gastos com Pessoal'!$F$513:$F$522)*(IF('Gastos com Pessoal'!$AE$513:$AE$522&lt;=BF$3,1,0))*OFFSET('Gastos com Pessoal'!$H$512,1,MATCH(5&amp;$B55,'Gastos com Pessoal'!$I$532:$AJ$532&amp;'Gastos com Pessoal'!$I$512:$AJ$512,0),10,1)),0)</f>
        <v>0</v>
      </c>
      <c r="BG55" s="188">
        <f t="array" aca="1" ref="BG55" ca="1">_xlfn.IFNA(SUM((BG$3&gt;='Gastos com Pessoal'!$E$7:$E$506)*(BG$3&lt;='Gastos com Pessoal'!$F$7:$F$506)*OFFSET('Encargos e Benefícios'!$D$5,1,MATCH($B55,'Encargos e Benefícios'!$E$5:$AB$5,0),500,1)),0)+_xlfn.IFNA(SUM((BG$3&gt;='Gastos com Pessoal'!$E$513:$E$522)*(BG$3&lt;='Gastos com Pessoal'!$F$513:$F$522)*OFFSET('Encargos e Benefícios'!$D$511,1,MATCH($B55,'Encargos e Benefícios'!$E$511:$AB$511,0),10,1)),0)+_xlfn.IFNA(SUM((BG$3&gt;='Gastos com Pessoal'!$E$7:$E$506)*(BG$3&lt;='Gastos com Pessoal'!$F$7:$F$506)*(IF('Gastos com Pessoal'!$G$7:$G$506&lt;=BG$3,1,0))*OFFSET('Gastos com Pessoal'!$H$6,1,MATCH(1&amp;$B55,'Gastos com Pessoal'!$I$532:$AJ$532&amp;'Gastos com Pessoal'!$I$6:$AJ$6,0),500,1)),0)+_xlfn.IFNA(SUM((BG$3&gt;='Gastos com Pessoal'!$E$7:$E$506)*(BG$3&lt;='Gastos com Pessoal'!$F$7:$F$506)*(IF('Gastos com Pessoal'!$M$7:$M$506&lt;=BG$3,1,0))*OFFSET('Gastos com Pessoal'!$H$6,1,MATCH(2&amp;$B55,'Gastos com Pessoal'!$I$532:$AJ$532&amp;'Gastos com Pessoal'!$I$6:$AJ$6,0),500,1)),0)+_xlfn.IFNA(SUM((BG$3&gt;='Gastos com Pessoal'!$E$7:$E$506)*(BG$3&lt;='Gastos com Pessoal'!$F$7:$F$506)*(IF('Gastos com Pessoal'!$S$7:$S$506&lt;=BG$3,1,0))*OFFSET('Gastos com Pessoal'!$H$6,1,MATCH(3&amp;$B55,'Gastos com Pessoal'!$I$532:$AJ$532&amp;'Gastos com Pessoal'!$I$6:$AJ$6,0),500,1)),0)+_xlfn.IFNA(SUM((BG$3&gt;='Gastos com Pessoal'!$E$7:$E$506)*(BG$3&lt;='Gastos com Pessoal'!$F$7:$F$506)*(IF('Gastos com Pessoal'!$Y$7:$Y$506&lt;=BG$3,1,0))*OFFSET('Gastos com Pessoal'!$H$6,1,MATCH(4&amp;$B55,'Gastos com Pessoal'!$I$532:$AJ$532&amp;'Gastos com Pessoal'!$I$6:$AJ$6,0),500,1)),0)+_xlfn.IFNA(SUM((BG$3&gt;='Gastos com Pessoal'!$E$7:$E$506)*(BG$3&lt;='Gastos com Pessoal'!$F$7:$F$506)*(IF('Gastos com Pessoal'!$AE$7:$AE$506&lt;=BG$3,1,0))*OFFSET('Gastos com Pessoal'!$H$6,1,MATCH(5&amp;$B55,'Gastos com Pessoal'!$I$532:$AJ$532&amp;'Gastos com Pessoal'!$I$6:$AJ$6,0),500,1)),0)+_xlfn.IFNA(SUM((BG$3&gt;='Gastos com Pessoal'!$E$513:$E$522)*(BG$3&lt;='Gastos com Pessoal'!$F$513:$F$522)*(IF('Gastos com Pessoal'!$G$513:$G$522&lt;=BG$3,1,0))*OFFSET('Gastos com Pessoal'!$H$512,1,MATCH(1&amp;$B55,'Gastos com Pessoal'!$I$532:$AJ$532&amp;'Gastos com Pessoal'!$I$512:$AJ$512,0),10,1)),0)+_xlfn.IFNA(SUM((BG$3&gt;='Gastos com Pessoal'!$E$513:$E$522)*(BG$3&lt;='Gastos com Pessoal'!$F$513:$F$522)*(IF('Gastos com Pessoal'!$M$513:$M$522&lt;=BG$3,1,0))*OFFSET('Gastos com Pessoal'!$H$512,1,MATCH(2&amp;$B55,'Gastos com Pessoal'!$I$532:$AJ$532&amp;'Gastos com Pessoal'!$I$512:$AJ$512,0),10,1)),0)+_xlfn.IFNA(SUM((BG$3&gt;='Gastos com Pessoal'!$E$513:$E$522)*(BG$3&lt;='Gastos com Pessoal'!$F$513:$F$522)*(IF('Gastos com Pessoal'!$S$513:$S$522&lt;=BG$3,1,0))*OFFSET('Gastos com Pessoal'!$H$512,1,MATCH(3&amp;$B55,'Gastos com Pessoal'!$I$532:$AJ$532&amp;'Gastos com Pessoal'!$I$512:$AJ$512,0),10,1)),0)+_xlfn.IFNA(SUM((BG$3&gt;='Gastos com Pessoal'!$E$513:$E$522)*(BG$3&lt;='Gastos com Pessoal'!$F$513:$F$522)*(IF('Gastos com Pessoal'!$Y$513:$Y$522&lt;=BG$3,1,0))*OFFSET('Gastos com Pessoal'!$H$512,1,MATCH(4&amp;$B55,'Gastos com Pessoal'!$I$532:$AJ$532&amp;'Gastos com Pessoal'!$I$512:$AJ$512,0),10,1)),0)+_xlfn.IFNA(SUM((BG$3&gt;='Gastos com Pessoal'!$E$513:$E$522)*(BG$3&lt;='Gastos com Pessoal'!$F$513:$F$522)*(IF('Gastos com Pessoal'!$AE$513:$AE$522&lt;=BG$3,1,0))*OFFSET('Gastos com Pessoal'!$H$512,1,MATCH(5&amp;$B55,'Gastos com Pessoal'!$I$532:$AJ$532&amp;'Gastos com Pessoal'!$I$512:$AJ$512,0),10,1)),0)</f>
        <v>0</v>
      </c>
      <c r="BH55" s="188">
        <f t="array" aca="1" ref="BH55" ca="1">_xlfn.IFNA(SUM((BH$3&gt;='Gastos com Pessoal'!$E$7:$E$506)*(BH$3&lt;='Gastos com Pessoal'!$F$7:$F$506)*OFFSET('Encargos e Benefícios'!$D$5,1,MATCH($B55,'Encargos e Benefícios'!$E$5:$AB$5,0),500,1)),0)+_xlfn.IFNA(SUM((BH$3&gt;='Gastos com Pessoal'!$E$513:$E$522)*(BH$3&lt;='Gastos com Pessoal'!$F$513:$F$522)*OFFSET('Encargos e Benefícios'!$D$511,1,MATCH($B55,'Encargos e Benefícios'!$E$511:$AB$511,0),10,1)),0)+_xlfn.IFNA(SUM((BH$3&gt;='Gastos com Pessoal'!$E$7:$E$506)*(BH$3&lt;='Gastos com Pessoal'!$F$7:$F$506)*(IF('Gastos com Pessoal'!$G$7:$G$506&lt;=BH$3,1,0))*OFFSET('Gastos com Pessoal'!$H$6,1,MATCH(1&amp;$B55,'Gastos com Pessoal'!$I$532:$AJ$532&amp;'Gastos com Pessoal'!$I$6:$AJ$6,0),500,1)),0)+_xlfn.IFNA(SUM((BH$3&gt;='Gastos com Pessoal'!$E$7:$E$506)*(BH$3&lt;='Gastos com Pessoal'!$F$7:$F$506)*(IF('Gastos com Pessoal'!$M$7:$M$506&lt;=BH$3,1,0))*OFFSET('Gastos com Pessoal'!$H$6,1,MATCH(2&amp;$B55,'Gastos com Pessoal'!$I$532:$AJ$532&amp;'Gastos com Pessoal'!$I$6:$AJ$6,0),500,1)),0)+_xlfn.IFNA(SUM((BH$3&gt;='Gastos com Pessoal'!$E$7:$E$506)*(BH$3&lt;='Gastos com Pessoal'!$F$7:$F$506)*(IF('Gastos com Pessoal'!$S$7:$S$506&lt;=BH$3,1,0))*OFFSET('Gastos com Pessoal'!$H$6,1,MATCH(3&amp;$B55,'Gastos com Pessoal'!$I$532:$AJ$532&amp;'Gastos com Pessoal'!$I$6:$AJ$6,0),500,1)),0)+_xlfn.IFNA(SUM((BH$3&gt;='Gastos com Pessoal'!$E$7:$E$506)*(BH$3&lt;='Gastos com Pessoal'!$F$7:$F$506)*(IF('Gastos com Pessoal'!$Y$7:$Y$506&lt;=BH$3,1,0))*OFFSET('Gastos com Pessoal'!$H$6,1,MATCH(4&amp;$B55,'Gastos com Pessoal'!$I$532:$AJ$532&amp;'Gastos com Pessoal'!$I$6:$AJ$6,0),500,1)),0)+_xlfn.IFNA(SUM((BH$3&gt;='Gastos com Pessoal'!$E$7:$E$506)*(BH$3&lt;='Gastos com Pessoal'!$F$7:$F$506)*(IF('Gastos com Pessoal'!$AE$7:$AE$506&lt;=BH$3,1,0))*OFFSET('Gastos com Pessoal'!$H$6,1,MATCH(5&amp;$B55,'Gastos com Pessoal'!$I$532:$AJ$532&amp;'Gastos com Pessoal'!$I$6:$AJ$6,0),500,1)),0)+_xlfn.IFNA(SUM((BH$3&gt;='Gastos com Pessoal'!$E$513:$E$522)*(BH$3&lt;='Gastos com Pessoal'!$F$513:$F$522)*(IF('Gastos com Pessoal'!$G$513:$G$522&lt;=BH$3,1,0))*OFFSET('Gastos com Pessoal'!$H$512,1,MATCH(1&amp;$B55,'Gastos com Pessoal'!$I$532:$AJ$532&amp;'Gastos com Pessoal'!$I$512:$AJ$512,0),10,1)),0)+_xlfn.IFNA(SUM((BH$3&gt;='Gastos com Pessoal'!$E$513:$E$522)*(BH$3&lt;='Gastos com Pessoal'!$F$513:$F$522)*(IF('Gastos com Pessoal'!$M$513:$M$522&lt;=BH$3,1,0))*OFFSET('Gastos com Pessoal'!$H$512,1,MATCH(2&amp;$B55,'Gastos com Pessoal'!$I$532:$AJ$532&amp;'Gastos com Pessoal'!$I$512:$AJ$512,0),10,1)),0)+_xlfn.IFNA(SUM((BH$3&gt;='Gastos com Pessoal'!$E$513:$E$522)*(BH$3&lt;='Gastos com Pessoal'!$F$513:$F$522)*(IF('Gastos com Pessoal'!$S$513:$S$522&lt;=BH$3,1,0))*OFFSET('Gastos com Pessoal'!$H$512,1,MATCH(3&amp;$B55,'Gastos com Pessoal'!$I$532:$AJ$532&amp;'Gastos com Pessoal'!$I$512:$AJ$512,0),10,1)),0)+_xlfn.IFNA(SUM((BH$3&gt;='Gastos com Pessoal'!$E$513:$E$522)*(BH$3&lt;='Gastos com Pessoal'!$F$513:$F$522)*(IF('Gastos com Pessoal'!$Y$513:$Y$522&lt;=BH$3,1,0))*OFFSET('Gastos com Pessoal'!$H$512,1,MATCH(4&amp;$B55,'Gastos com Pessoal'!$I$532:$AJ$532&amp;'Gastos com Pessoal'!$I$512:$AJ$512,0),10,1)),0)+_xlfn.IFNA(SUM((BH$3&gt;='Gastos com Pessoal'!$E$513:$E$522)*(BH$3&lt;='Gastos com Pessoal'!$F$513:$F$522)*(IF('Gastos com Pessoal'!$AE$513:$AE$522&lt;=BH$3,1,0))*OFFSET('Gastos com Pessoal'!$H$512,1,MATCH(5&amp;$B55,'Gastos com Pessoal'!$I$532:$AJ$532&amp;'Gastos com Pessoal'!$I$512:$AJ$512,0),10,1)),0)</f>
        <v>0</v>
      </c>
      <c r="BI55" s="188">
        <f t="array" aca="1" ref="BI55" ca="1">_xlfn.IFNA(SUM((BI$3&gt;='Gastos com Pessoal'!$E$7:$E$506)*(BI$3&lt;='Gastos com Pessoal'!$F$7:$F$506)*OFFSET('Encargos e Benefícios'!$D$5,1,MATCH($B55,'Encargos e Benefícios'!$E$5:$AB$5,0),500,1)),0)+_xlfn.IFNA(SUM((BI$3&gt;='Gastos com Pessoal'!$E$513:$E$522)*(BI$3&lt;='Gastos com Pessoal'!$F$513:$F$522)*OFFSET('Encargos e Benefícios'!$D$511,1,MATCH($B55,'Encargos e Benefícios'!$E$511:$AB$511,0),10,1)),0)+_xlfn.IFNA(SUM((BI$3&gt;='Gastos com Pessoal'!$E$7:$E$506)*(BI$3&lt;='Gastos com Pessoal'!$F$7:$F$506)*(IF('Gastos com Pessoal'!$G$7:$G$506&lt;=BI$3,1,0))*OFFSET('Gastos com Pessoal'!$H$6,1,MATCH(1&amp;$B55,'Gastos com Pessoal'!$I$532:$AJ$532&amp;'Gastos com Pessoal'!$I$6:$AJ$6,0),500,1)),0)+_xlfn.IFNA(SUM((BI$3&gt;='Gastos com Pessoal'!$E$7:$E$506)*(BI$3&lt;='Gastos com Pessoal'!$F$7:$F$506)*(IF('Gastos com Pessoal'!$M$7:$M$506&lt;=BI$3,1,0))*OFFSET('Gastos com Pessoal'!$H$6,1,MATCH(2&amp;$B55,'Gastos com Pessoal'!$I$532:$AJ$532&amp;'Gastos com Pessoal'!$I$6:$AJ$6,0),500,1)),0)+_xlfn.IFNA(SUM((BI$3&gt;='Gastos com Pessoal'!$E$7:$E$506)*(BI$3&lt;='Gastos com Pessoal'!$F$7:$F$506)*(IF('Gastos com Pessoal'!$S$7:$S$506&lt;=BI$3,1,0))*OFFSET('Gastos com Pessoal'!$H$6,1,MATCH(3&amp;$B55,'Gastos com Pessoal'!$I$532:$AJ$532&amp;'Gastos com Pessoal'!$I$6:$AJ$6,0),500,1)),0)+_xlfn.IFNA(SUM((BI$3&gt;='Gastos com Pessoal'!$E$7:$E$506)*(BI$3&lt;='Gastos com Pessoal'!$F$7:$F$506)*(IF('Gastos com Pessoal'!$Y$7:$Y$506&lt;=BI$3,1,0))*OFFSET('Gastos com Pessoal'!$H$6,1,MATCH(4&amp;$B55,'Gastos com Pessoal'!$I$532:$AJ$532&amp;'Gastos com Pessoal'!$I$6:$AJ$6,0),500,1)),0)+_xlfn.IFNA(SUM((BI$3&gt;='Gastos com Pessoal'!$E$7:$E$506)*(BI$3&lt;='Gastos com Pessoal'!$F$7:$F$506)*(IF('Gastos com Pessoal'!$AE$7:$AE$506&lt;=BI$3,1,0))*OFFSET('Gastos com Pessoal'!$H$6,1,MATCH(5&amp;$B55,'Gastos com Pessoal'!$I$532:$AJ$532&amp;'Gastos com Pessoal'!$I$6:$AJ$6,0),500,1)),0)+_xlfn.IFNA(SUM((BI$3&gt;='Gastos com Pessoal'!$E$513:$E$522)*(BI$3&lt;='Gastos com Pessoal'!$F$513:$F$522)*(IF('Gastos com Pessoal'!$G$513:$G$522&lt;=BI$3,1,0))*OFFSET('Gastos com Pessoal'!$H$512,1,MATCH(1&amp;$B55,'Gastos com Pessoal'!$I$532:$AJ$532&amp;'Gastos com Pessoal'!$I$512:$AJ$512,0),10,1)),0)+_xlfn.IFNA(SUM((BI$3&gt;='Gastos com Pessoal'!$E$513:$E$522)*(BI$3&lt;='Gastos com Pessoal'!$F$513:$F$522)*(IF('Gastos com Pessoal'!$M$513:$M$522&lt;=BI$3,1,0))*OFFSET('Gastos com Pessoal'!$H$512,1,MATCH(2&amp;$B55,'Gastos com Pessoal'!$I$532:$AJ$532&amp;'Gastos com Pessoal'!$I$512:$AJ$512,0),10,1)),0)+_xlfn.IFNA(SUM((BI$3&gt;='Gastos com Pessoal'!$E$513:$E$522)*(BI$3&lt;='Gastos com Pessoal'!$F$513:$F$522)*(IF('Gastos com Pessoal'!$S$513:$S$522&lt;=BI$3,1,0))*OFFSET('Gastos com Pessoal'!$H$512,1,MATCH(3&amp;$B55,'Gastos com Pessoal'!$I$532:$AJ$532&amp;'Gastos com Pessoal'!$I$512:$AJ$512,0),10,1)),0)+_xlfn.IFNA(SUM((BI$3&gt;='Gastos com Pessoal'!$E$513:$E$522)*(BI$3&lt;='Gastos com Pessoal'!$F$513:$F$522)*(IF('Gastos com Pessoal'!$Y$513:$Y$522&lt;=BI$3,1,0))*OFFSET('Gastos com Pessoal'!$H$512,1,MATCH(4&amp;$B55,'Gastos com Pessoal'!$I$532:$AJ$532&amp;'Gastos com Pessoal'!$I$512:$AJ$512,0),10,1)),0)+_xlfn.IFNA(SUM((BI$3&gt;='Gastos com Pessoal'!$E$513:$E$522)*(BI$3&lt;='Gastos com Pessoal'!$F$513:$F$522)*(IF('Gastos com Pessoal'!$AE$513:$AE$522&lt;=BI$3,1,0))*OFFSET('Gastos com Pessoal'!$H$512,1,MATCH(5&amp;$B55,'Gastos com Pessoal'!$I$532:$AJ$532&amp;'Gastos com Pessoal'!$I$512:$AJ$512,0),10,1)),0)</f>
        <v>0</v>
      </c>
      <c r="BJ55" s="188">
        <f t="array" aca="1" ref="BJ55" ca="1">_xlfn.IFNA(SUM((BJ$3&gt;='Gastos com Pessoal'!$E$7:$E$506)*(BJ$3&lt;='Gastos com Pessoal'!$F$7:$F$506)*OFFSET('Encargos e Benefícios'!$D$5,1,MATCH($B55,'Encargos e Benefícios'!$E$5:$AB$5,0),500,1)),0)+_xlfn.IFNA(SUM((BJ$3&gt;='Gastos com Pessoal'!$E$513:$E$522)*(BJ$3&lt;='Gastos com Pessoal'!$F$513:$F$522)*OFFSET('Encargos e Benefícios'!$D$511,1,MATCH($B55,'Encargos e Benefícios'!$E$511:$AB$511,0),10,1)),0)+_xlfn.IFNA(SUM((BJ$3&gt;='Gastos com Pessoal'!$E$7:$E$506)*(BJ$3&lt;='Gastos com Pessoal'!$F$7:$F$506)*(IF('Gastos com Pessoal'!$G$7:$G$506&lt;=BJ$3,1,0))*OFFSET('Gastos com Pessoal'!$H$6,1,MATCH(1&amp;$B55,'Gastos com Pessoal'!$I$532:$AJ$532&amp;'Gastos com Pessoal'!$I$6:$AJ$6,0),500,1)),0)+_xlfn.IFNA(SUM((BJ$3&gt;='Gastos com Pessoal'!$E$7:$E$506)*(BJ$3&lt;='Gastos com Pessoal'!$F$7:$F$506)*(IF('Gastos com Pessoal'!$M$7:$M$506&lt;=BJ$3,1,0))*OFFSET('Gastos com Pessoal'!$H$6,1,MATCH(2&amp;$B55,'Gastos com Pessoal'!$I$532:$AJ$532&amp;'Gastos com Pessoal'!$I$6:$AJ$6,0),500,1)),0)+_xlfn.IFNA(SUM((BJ$3&gt;='Gastos com Pessoal'!$E$7:$E$506)*(BJ$3&lt;='Gastos com Pessoal'!$F$7:$F$506)*(IF('Gastos com Pessoal'!$S$7:$S$506&lt;=BJ$3,1,0))*OFFSET('Gastos com Pessoal'!$H$6,1,MATCH(3&amp;$B55,'Gastos com Pessoal'!$I$532:$AJ$532&amp;'Gastos com Pessoal'!$I$6:$AJ$6,0),500,1)),0)+_xlfn.IFNA(SUM((BJ$3&gt;='Gastos com Pessoal'!$E$7:$E$506)*(BJ$3&lt;='Gastos com Pessoal'!$F$7:$F$506)*(IF('Gastos com Pessoal'!$Y$7:$Y$506&lt;=BJ$3,1,0))*OFFSET('Gastos com Pessoal'!$H$6,1,MATCH(4&amp;$B55,'Gastos com Pessoal'!$I$532:$AJ$532&amp;'Gastos com Pessoal'!$I$6:$AJ$6,0),500,1)),0)+_xlfn.IFNA(SUM((BJ$3&gt;='Gastos com Pessoal'!$E$7:$E$506)*(BJ$3&lt;='Gastos com Pessoal'!$F$7:$F$506)*(IF('Gastos com Pessoal'!$AE$7:$AE$506&lt;=BJ$3,1,0))*OFFSET('Gastos com Pessoal'!$H$6,1,MATCH(5&amp;$B55,'Gastos com Pessoal'!$I$532:$AJ$532&amp;'Gastos com Pessoal'!$I$6:$AJ$6,0),500,1)),0)+_xlfn.IFNA(SUM((BJ$3&gt;='Gastos com Pessoal'!$E$513:$E$522)*(BJ$3&lt;='Gastos com Pessoal'!$F$513:$F$522)*(IF('Gastos com Pessoal'!$G$513:$G$522&lt;=BJ$3,1,0))*OFFSET('Gastos com Pessoal'!$H$512,1,MATCH(1&amp;$B55,'Gastos com Pessoal'!$I$532:$AJ$532&amp;'Gastos com Pessoal'!$I$512:$AJ$512,0),10,1)),0)+_xlfn.IFNA(SUM((BJ$3&gt;='Gastos com Pessoal'!$E$513:$E$522)*(BJ$3&lt;='Gastos com Pessoal'!$F$513:$F$522)*(IF('Gastos com Pessoal'!$M$513:$M$522&lt;=BJ$3,1,0))*OFFSET('Gastos com Pessoal'!$H$512,1,MATCH(2&amp;$B55,'Gastos com Pessoal'!$I$532:$AJ$532&amp;'Gastos com Pessoal'!$I$512:$AJ$512,0),10,1)),0)+_xlfn.IFNA(SUM((BJ$3&gt;='Gastos com Pessoal'!$E$513:$E$522)*(BJ$3&lt;='Gastos com Pessoal'!$F$513:$F$522)*(IF('Gastos com Pessoal'!$S$513:$S$522&lt;=BJ$3,1,0))*OFFSET('Gastos com Pessoal'!$H$512,1,MATCH(3&amp;$B55,'Gastos com Pessoal'!$I$532:$AJ$532&amp;'Gastos com Pessoal'!$I$512:$AJ$512,0),10,1)),0)+_xlfn.IFNA(SUM((BJ$3&gt;='Gastos com Pessoal'!$E$513:$E$522)*(BJ$3&lt;='Gastos com Pessoal'!$F$513:$F$522)*(IF('Gastos com Pessoal'!$Y$513:$Y$522&lt;=BJ$3,1,0))*OFFSET('Gastos com Pessoal'!$H$512,1,MATCH(4&amp;$B55,'Gastos com Pessoal'!$I$532:$AJ$532&amp;'Gastos com Pessoal'!$I$512:$AJ$512,0),10,1)),0)+_xlfn.IFNA(SUM((BJ$3&gt;='Gastos com Pessoal'!$E$513:$E$522)*(BJ$3&lt;='Gastos com Pessoal'!$F$513:$F$522)*(IF('Gastos com Pessoal'!$AE$513:$AE$522&lt;=BJ$3,1,0))*OFFSET('Gastos com Pessoal'!$H$512,1,MATCH(5&amp;$B55,'Gastos com Pessoal'!$I$532:$AJ$532&amp;'Gastos com Pessoal'!$I$512:$AJ$512,0),10,1)),0)</f>
        <v>0</v>
      </c>
      <c r="BK55" s="189">
        <f t="shared" ca="1" si="28"/>
        <v>0</v>
      </c>
      <c r="BL55" s="136">
        <f t="shared" ca="1" si="29"/>
        <v>0</v>
      </c>
      <c r="BN55" s="188">
        <f t="array" aca="1" ref="BN55" ca="1">_xlfn.IFNA(SUM((BN$3&gt;='Gastos com Pessoal'!$E$7:$E$506)*(BN$3&lt;='Gastos com Pessoal'!$F$7:$F$506)*OFFSET('Encargos e Benefícios'!$D$5,1,MATCH($B55,'Encargos e Benefícios'!$E$5:$AB$5,0),500,1)),0)+_xlfn.IFNA(SUM((BN$3&gt;='Gastos com Pessoal'!$E$513:$E$522)*(BN$3&lt;='Gastos com Pessoal'!$F$513:$F$522)*OFFSET('Encargos e Benefícios'!$D$511,1,MATCH($B55,'Encargos e Benefícios'!$E$511:$AB$511,0),10,1)),0)+_xlfn.IFNA(SUM((BN$3&gt;='Gastos com Pessoal'!$E$7:$E$506)*(BN$3&lt;='Gastos com Pessoal'!$F$7:$F$506)*(IF('Gastos com Pessoal'!$G$7:$G$506&lt;=BN$3,1,0))*OFFSET('Gastos com Pessoal'!$H$6,1,MATCH(1&amp;$B55,'Gastos com Pessoal'!$I$532:$AJ$532&amp;'Gastos com Pessoal'!$I$6:$AJ$6,0),500,1)),0)+_xlfn.IFNA(SUM((BN$3&gt;='Gastos com Pessoal'!$E$7:$E$506)*(BN$3&lt;='Gastos com Pessoal'!$F$7:$F$506)*(IF('Gastos com Pessoal'!$M$7:$M$506&lt;=BN$3,1,0))*OFFSET('Gastos com Pessoal'!$H$6,1,MATCH(2&amp;$B55,'Gastos com Pessoal'!$I$532:$AJ$532&amp;'Gastos com Pessoal'!$I$6:$AJ$6,0),500,1)),0)+_xlfn.IFNA(SUM((BN$3&gt;='Gastos com Pessoal'!$E$7:$E$506)*(BN$3&lt;='Gastos com Pessoal'!$F$7:$F$506)*(IF('Gastos com Pessoal'!$S$7:$S$506&lt;=BN$3,1,0))*OFFSET('Gastos com Pessoal'!$H$6,1,MATCH(3&amp;$B55,'Gastos com Pessoal'!$I$532:$AJ$532&amp;'Gastos com Pessoal'!$I$6:$AJ$6,0),500,1)),0)+_xlfn.IFNA(SUM((BN$3&gt;='Gastos com Pessoal'!$E$7:$E$506)*(BN$3&lt;='Gastos com Pessoal'!$F$7:$F$506)*(IF('Gastos com Pessoal'!$Y$7:$Y$506&lt;=BN$3,1,0))*OFFSET('Gastos com Pessoal'!$H$6,1,MATCH(4&amp;$B55,'Gastos com Pessoal'!$I$532:$AJ$532&amp;'Gastos com Pessoal'!$I$6:$AJ$6,0),500,1)),0)+_xlfn.IFNA(SUM((BN$3&gt;='Gastos com Pessoal'!$E$7:$E$506)*(BN$3&lt;='Gastos com Pessoal'!$F$7:$F$506)*(IF('Gastos com Pessoal'!$AE$7:$AE$506&lt;=BN$3,1,0))*OFFSET('Gastos com Pessoal'!$H$6,1,MATCH(5&amp;$B55,'Gastos com Pessoal'!$I$532:$AJ$532&amp;'Gastos com Pessoal'!$I$6:$AJ$6,0),500,1)),0)+_xlfn.IFNA(SUM((BN$3&gt;='Gastos com Pessoal'!$E$513:$E$522)*(BN$3&lt;='Gastos com Pessoal'!$F$513:$F$522)*(IF('Gastos com Pessoal'!$G$513:$G$522&lt;=BN$3,1,0))*OFFSET('Gastos com Pessoal'!$H$512,1,MATCH(1&amp;$B55,'Gastos com Pessoal'!$I$532:$AJ$532&amp;'Gastos com Pessoal'!$I$512:$AJ$512,0),10,1)),0)+_xlfn.IFNA(SUM((BN$3&gt;='Gastos com Pessoal'!$E$513:$E$522)*(BN$3&lt;='Gastos com Pessoal'!$F$513:$F$522)*(IF('Gastos com Pessoal'!$M$513:$M$522&lt;=BN$3,1,0))*OFFSET('Gastos com Pessoal'!$H$512,1,MATCH(2&amp;$B55,'Gastos com Pessoal'!$I$532:$AJ$532&amp;'Gastos com Pessoal'!$I$512:$AJ$512,0),10,1)),0)+_xlfn.IFNA(SUM((BN$3&gt;='Gastos com Pessoal'!$E$513:$E$522)*(BN$3&lt;='Gastos com Pessoal'!$F$513:$F$522)*(IF('Gastos com Pessoal'!$S$513:$S$522&lt;=BN$3,1,0))*OFFSET('Gastos com Pessoal'!$H$512,1,MATCH(3&amp;$B55,'Gastos com Pessoal'!$I$532:$AJ$532&amp;'Gastos com Pessoal'!$I$512:$AJ$512,0),10,1)),0)+_xlfn.IFNA(SUM((BN$3&gt;='Gastos com Pessoal'!$E$513:$E$522)*(BN$3&lt;='Gastos com Pessoal'!$F$513:$F$522)*(IF('Gastos com Pessoal'!$Y$513:$Y$522&lt;=BN$3,1,0))*OFFSET('Gastos com Pessoal'!$H$512,1,MATCH(4&amp;$B55,'Gastos com Pessoal'!$I$532:$AJ$532&amp;'Gastos com Pessoal'!$I$512:$AJ$512,0),10,1)),0)+_xlfn.IFNA(SUM((BN$3&gt;='Gastos com Pessoal'!$E$513:$E$522)*(BN$3&lt;='Gastos com Pessoal'!$F$513:$F$522)*(IF('Gastos com Pessoal'!$AE$513:$AE$522&lt;=BN$3,1,0))*OFFSET('Gastos com Pessoal'!$H$512,1,MATCH(5&amp;$B55,'Gastos com Pessoal'!$I$532:$AJ$532&amp;'Gastos com Pessoal'!$I$512:$AJ$512,0),10,1)),0)</f>
        <v>0</v>
      </c>
    </row>
    <row r="56" spans="1:66" s="160" customFormat="1" ht="23.25" customHeight="1">
      <c r="A56" s="80" t="s">
        <v>194</v>
      </c>
      <c r="B56" s="220" t="s">
        <v>195</v>
      </c>
      <c r="C56" s="188">
        <f t="shared" ca="1" si="27"/>
        <v>14918.039999999941</v>
      </c>
      <c r="D56" s="188">
        <f t="array" aca="1" ref="D56" ca="1">_xlfn.IFNA(SUM((D$3&gt;='Gastos com Pessoal'!$E$7:$E$506)*(D$3&lt;='Gastos com Pessoal'!$F$7:$F$506)*OFFSET('Encargos e Benefícios'!$D$5,1,MATCH($B56,'Encargos e Benefícios'!$E$5:$AB$5,0),500,1)),0)+_xlfn.IFNA(SUM((D$3&gt;='Gastos com Pessoal'!$E$513:$E$522)*(D$3&lt;='Gastos com Pessoal'!$F$513:$F$522)*OFFSET('Encargos e Benefícios'!$D$511,1,MATCH($B56,'Encargos e Benefícios'!$E$511:$AB$511,0),10,1)),0)+_xlfn.IFNA(SUM((D$3&gt;='Gastos com Pessoal'!$E$7:$E$506)*(D$3&lt;='Gastos com Pessoal'!$F$7:$F$506)*(IF('Gastos com Pessoal'!$G$7:$G$506&lt;=D$3,1,0))*OFFSET('Gastos com Pessoal'!$H$6,1,MATCH(1&amp;$B56,'Gastos com Pessoal'!$I$532:$AJ$532&amp;'Gastos com Pessoal'!$I$6:$AJ$6,0),500,1)),0)+_xlfn.IFNA(SUM((D$3&gt;='Gastos com Pessoal'!$E$7:$E$506)*(D$3&lt;='Gastos com Pessoal'!$F$7:$F$506)*(IF('Gastos com Pessoal'!$M$7:$M$506&lt;=D$3,1,0))*OFFSET('Gastos com Pessoal'!$H$6,1,MATCH(2&amp;$B56,'Gastos com Pessoal'!$I$532:$AJ$532&amp;'Gastos com Pessoal'!$I$6:$AJ$6,0),500,1)),0)+_xlfn.IFNA(SUM((D$3&gt;='Gastos com Pessoal'!$E$7:$E$506)*(D$3&lt;='Gastos com Pessoal'!$F$7:$F$506)*(IF('Gastos com Pessoal'!$S$7:$S$506&lt;=D$3,1,0))*OFFSET('Gastos com Pessoal'!$H$6,1,MATCH(3&amp;$B56,'Gastos com Pessoal'!$I$532:$AJ$532&amp;'Gastos com Pessoal'!$I$6:$AJ$6,0),500,1)),0)+_xlfn.IFNA(SUM((D$3&gt;='Gastos com Pessoal'!$E$7:$E$506)*(D$3&lt;='Gastos com Pessoal'!$F$7:$F$506)*(IF('Gastos com Pessoal'!$Y$7:$Y$506&lt;=D$3,1,0))*OFFSET('Gastos com Pessoal'!$H$6,1,MATCH(4&amp;$B56,'Gastos com Pessoal'!$I$532:$AJ$532&amp;'Gastos com Pessoal'!$I$6:$AJ$6,0),500,1)),0)+_xlfn.IFNA(SUM((D$3&gt;='Gastos com Pessoal'!$E$7:$E$506)*(D$3&lt;='Gastos com Pessoal'!$F$7:$F$506)*(IF('Gastos com Pessoal'!$AE$7:$AE$506&lt;=D$3,1,0))*OFFSET('Gastos com Pessoal'!$H$6,1,MATCH(5&amp;$B56,'Gastos com Pessoal'!$I$532:$AJ$532&amp;'Gastos com Pessoal'!$I$6:$AJ$6,0),500,1)),0)+_xlfn.IFNA(SUM((D$3&gt;='Gastos com Pessoal'!$E$513:$E$522)*(D$3&lt;='Gastos com Pessoal'!$F$513:$F$522)*(IF('Gastos com Pessoal'!$G$513:$G$522&lt;=D$3,1,0))*OFFSET('Gastos com Pessoal'!$H$512,1,MATCH(1&amp;$B56,'Gastos com Pessoal'!$I$532:$AJ$532&amp;'Gastos com Pessoal'!$I$512:$AJ$512,0),10,1)),0)+_xlfn.IFNA(SUM((D$3&gt;='Gastos com Pessoal'!$E$513:$E$522)*(D$3&lt;='Gastos com Pessoal'!$F$513:$F$522)*(IF('Gastos com Pessoal'!$M$513:$M$522&lt;=D$3,1,0))*OFFSET('Gastos com Pessoal'!$H$512,1,MATCH(2&amp;$B56,'Gastos com Pessoal'!$I$532:$AJ$532&amp;'Gastos com Pessoal'!$I$512:$AJ$512,0),10,1)),0)+_xlfn.IFNA(SUM((D$3&gt;='Gastos com Pessoal'!$E$513:$E$522)*(D$3&lt;='Gastos com Pessoal'!$F$513:$F$522)*(IF('Gastos com Pessoal'!$S$513:$S$522&lt;=D$3,1,0))*OFFSET('Gastos com Pessoal'!$H$512,1,MATCH(3&amp;$B56,'Gastos com Pessoal'!$I$532:$AJ$532&amp;'Gastos com Pessoal'!$I$512:$AJ$512,0),10,1)),0)+_xlfn.IFNA(SUM((D$3&gt;='Gastos com Pessoal'!$E$513:$E$522)*(D$3&lt;='Gastos com Pessoal'!$F$513:$F$522)*(IF('Gastos com Pessoal'!$Y$513:$Y$522&lt;=D$3,1,0))*OFFSET('Gastos com Pessoal'!$H$512,1,MATCH(4&amp;$B56,'Gastos com Pessoal'!$I$532:$AJ$532&amp;'Gastos com Pessoal'!$I$512:$AJ$512,0),10,1)),0)+_xlfn.IFNA(SUM((D$3&gt;='Gastos com Pessoal'!$E$513:$E$522)*(D$3&lt;='Gastos com Pessoal'!$F$513:$F$522)*(IF('Gastos com Pessoal'!$AE$513:$AE$522&lt;=D$3,1,0))*OFFSET('Gastos com Pessoal'!$H$512,1,MATCH(5&amp;$B56,'Gastos com Pessoal'!$I$532:$AJ$532&amp;'Gastos com Pessoal'!$I$512:$AJ$512,0),10,1)),0)</f>
        <v>53434.499999999774</v>
      </c>
      <c r="E56" s="188">
        <f t="array" aca="1" ref="E56" ca="1">_xlfn.IFNA(SUM((E$3&gt;='Gastos com Pessoal'!$E$7:$E$506)*(E$3&lt;='Gastos com Pessoal'!$F$7:$F$506)*OFFSET('Encargos e Benefícios'!$D$5,1,MATCH($B56,'Encargos e Benefícios'!$E$5:$AB$5,0),500,1)),0)+_xlfn.IFNA(SUM((E$3&gt;='Gastos com Pessoal'!$E$513:$E$522)*(E$3&lt;='Gastos com Pessoal'!$F$513:$F$522)*OFFSET('Encargos e Benefícios'!$D$511,1,MATCH($B56,'Encargos e Benefícios'!$E$511:$AB$511,0),10,1)),0)+_xlfn.IFNA(SUM((E$3&gt;='Gastos com Pessoal'!$E$7:$E$506)*(E$3&lt;='Gastos com Pessoal'!$F$7:$F$506)*(IF('Gastos com Pessoal'!$G$7:$G$506&lt;=E$3,1,0))*OFFSET('Gastos com Pessoal'!$H$6,1,MATCH(1&amp;$B56,'Gastos com Pessoal'!$I$532:$AJ$532&amp;'Gastos com Pessoal'!$I$6:$AJ$6,0),500,1)),0)+_xlfn.IFNA(SUM((E$3&gt;='Gastos com Pessoal'!$E$7:$E$506)*(E$3&lt;='Gastos com Pessoal'!$F$7:$F$506)*(IF('Gastos com Pessoal'!$M$7:$M$506&lt;=E$3,1,0))*OFFSET('Gastos com Pessoal'!$H$6,1,MATCH(2&amp;$B56,'Gastos com Pessoal'!$I$532:$AJ$532&amp;'Gastos com Pessoal'!$I$6:$AJ$6,0),500,1)),0)+_xlfn.IFNA(SUM((E$3&gt;='Gastos com Pessoal'!$E$7:$E$506)*(E$3&lt;='Gastos com Pessoal'!$F$7:$F$506)*(IF('Gastos com Pessoal'!$S$7:$S$506&lt;=E$3,1,0))*OFFSET('Gastos com Pessoal'!$H$6,1,MATCH(3&amp;$B56,'Gastos com Pessoal'!$I$532:$AJ$532&amp;'Gastos com Pessoal'!$I$6:$AJ$6,0),500,1)),0)+_xlfn.IFNA(SUM((E$3&gt;='Gastos com Pessoal'!$E$7:$E$506)*(E$3&lt;='Gastos com Pessoal'!$F$7:$F$506)*(IF('Gastos com Pessoal'!$Y$7:$Y$506&lt;=E$3,1,0))*OFFSET('Gastos com Pessoal'!$H$6,1,MATCH(4&amp;$B56,'Gastos com Pessoal'!$I$532:$AJ$532&amp;'Gastos com Pessoal'!$I$6:$AJ$6,0),500,1)),0)+_xlfn.IFNA(SUM((E$3&gt;='Gastos com Pessoal'!$E$7:$E$506)*(E$3&lt;='Gastos com Pessoal'!$F$7:$F$506)*(IF('Gastos com Pessoal'!$AE$7:$AE$506&lt;=E$3,1,0))*OFFSET('Gastos com Pessoal'!$H$6,1,MATCH(5&amp;$B56,'Gastos com Pessoal'!$I$532:$AJ$532&amp;'Gastos com Pessoal'!$I$6:$AJ$6,0),500,1)),0)+_xlfn.IFNA(SUM((E$3&gt;='Gastos com Pessoal'!$E$513:$E$522)*(E$3&lt;='Gastos com Pessoal'!$F$513:$F$522)*(IF('Gastos com Pessoal'!$G$513:$G$522&lt;=E$3,1,0))*OFFSET('Gastos com Pessoal'!$H$512,1,MATCH(1&amp;$B56,'Gastos com Pessoal'!$I$532:$AJ$532&amp;'Gastos com Pessoal'!$I$512:$AJ$512,0),10,1)),0)+_xlfn.IFNA(SUM((E$3&gt;='Gastos com Pessoal'!$E$513:$E$522)*(E$3&lt;='Gastos com Pessoal'!$F$513:$F$522)*(IF('Gastos com Pessoal'!$M$513:$M$522&lt;=E$3,1,0))*OFFSET('Gastos com Pessoal'!$H$512,1,MATCH(2&amp;$B56,'Gastos com Pessoal'!$I$532:$AJ$532&amp;'Gastos com Pessoal'!$I$512:$AJ$512,0),10,1)),0)+_xlfn.IFNA(SUM((E$3&gt;='Gastos com Pessoal'!$E$513:$E$522)*(E$3&lt;='Gastos com Pessoal'!$F$513:$F$522)*(IF('Gastos com Pessoal'!$S$513:$S$522&lt;=E$3,1,0))*OFFSET('Gastos com Pessoal'!$H$512,1,MATCH(3&amp;$B56,'Gastos com Pessoal'!$I$532:$AJ$532&amp;'Gastos com Pessoal'!$I$512:$AJ$512,0),10,1)),0)+_xlfn.IFNA(SUM((E$3&gt;='Gastos com Pessoal'!$E$513:$E$522)*(E$3&lt;='Gastos com Pessoal'!$F$513:$F$522)*(IF('Gastos com Pessoal'!$Y$513:$Y$522&lt;=E$3,1,0))*OFFSET('Gastos com Pessoal'!$H$512,1,MATCH(4&amp;$B56,'Gastos com Pessoal'!$I$532:$AJ$532&amp;'Gastos com Pessoal'!$I$512:$AJ$512,0),10,1)),0)+_xlfn.IFNA(SUM((E$3&gt;='Gastos com Pessoal'!$E$513:$E$522)*(E$3&lt;='Gastos com Pessoal'!$F$513:$F$522)*(IF('Gastos com Pessoal'!$AE$513:$AE$522&lt;=E$3,1,0))*OFFSET('Gastos com Pessoal'!$H$512,1,MATCH(5&amp;$B56,'Gastos com Pessoal'!$I$532:$AJ$532&amp;'Gastos com Pessoal'!$I$512:$AJ$512,0),10,1)),0)</f>
        <v>56269.799999999756</v>
      </c>
      <c r="F56" s="188">
        <f t="array" aca="1" ref="F56" ca="1">_xlfn.IFNA(SUM((F$3&gt;='Gastos com Pessoal'!$E$7:$E$506)*(F$3&lt;='Gastos com Pessoal'!$F$7:$F$506)*OFFSET('Encargos e Benefícios'!$D$5,1,MATCH($B56,'Encargos e Benefícios'!$E$5:$AB$5,0),500,1)),0)+_xlfn.IFNA(SUM((F$3&gt;='Gastos com Pessoal'!$E$513:$E$522)*(F$3&lt;='Gastos com Pessoal'!$F$513:$F$522)*OFFSET('Encargos e Benefícios'!$D$511,1,MATCH($B56,'Encargos e Benefícios'!$E$511:$AB$511,0),10,1)),0)+_xlfn.IFNA(SUM((F$3&gt;='Gastos com Pessoal'!$E$7:$E$506)*(F$3&lt;='Gastos com Pessoal'!$F$7:$F$506)*(IF('Gastos com Pessoal'!$G$7:$G$506&lt;=F$3,1,0))*OFFSET('Gastos com Pessoal'!$H$6,1,MATCH(1&amp;$B56,'Gastos com Pessoal'!$I$532:$AJ$532&amp;'Gastos com Pessoal'!$I$6:$AJ$6,0),500,1)),0)+_xlfn.IFNA(SUM((F$3&gt;='Gastos com Pessoal'!$E$7:$E$506)*(F$3&lt;='Gastos com Pessoal'!$F$7:$F$506)*(IF('Gastos com Pessoal'!$M$7:$M$506&lt;=F$3,1,0))*OFFSET('Gastos com Pessoal'!$H$6,1,MATCH(2&amp;$B56,'Gastos com Pessoal'!$I$532:$AJ$532&amp;'Gastos com Pessoal'!$I$6:$AJ$6,0),500,1)),0)+_xlfn.IFNA(SUM((F$3&gt;='Gastos com Pessoal'!$E$7:$E$506)*(F$3&lt;='Gastos com Pessoal'!$F$7:$F$506)*(IF('Gastos com Pessoal'!$S$7:$S$506&lt;=F$3,1,0))*OFFSET('Gastos com Pessoal'!$H$6,1,MATCH(3&amp;$B56,'Gastos com Pessoal'!$I$532:$AJ$532&amp;'Gastos com Pessoal'!$I$6:$AJ$6,0),500,1)),0)+_xlfn.IFNA(SUM((F$3&gt;='Gastos com Pessoal'!$E$7:$E$506)*(F$3&lt;='Gastos com Pessoal'!$F$7:$F$506)*(IF('Gastos com Pessoal'!$Y$7:$Y$506&lt;=F$3,1,0))*OFFSET('Gastos com Pessoal'!$H$6,1,MATCH(4&amp;$B56,'Gastos com Pessoal'!$I$532:$AJ$532&amp;'Gastos com Pessoal'!$I$6:$AJ$6,0),500,1)),0)+_xlfn.IFNA(SUM((F$3&gt;='Gastos com Pessoal'!$E$7:$E$506)*(F$3&lt;='Gastos com Pessoal'!$F$7:$F$506)*(IF('Gastos com Pessoal'!$AE$7:$AE$506&lt;=F$3,1,0))*OFFSET('Gastos com Pessoal'!$H$6,1,MATCH(5&amp;$B56,'Gastos com Pessoal'!$I$532:$AJ$532&amp;'Gastos com Pessoal'!$I$6:$AJ$6,0),500,1)),0)+_xlfn.IFNA(SUM((F$3&gt;='Gastos com Pessoal'!$E$513:$E$522)*(F$3&lt;='Gastos com Pessoal'!$F$513:$F$522)*(IF('Gastos com Pessoal'!$G$513:$G$522&lt;=F$3,1,0))*OFFSET('Gastos com Pessoal'!$H$512,1,MATCH(1&amp;$B56,'Gastos com Pessoal'!$I$532:$AJ$532&amp;'Gastos com Pessoal'!$I$512:$AJ$512,0),10,1)),0)+_xlfn.IFNA(SUM((F$3&gt;='Gastos com Pessoal'!$E$513:$E$522)*(F$3&lt;='Gastos com Pessoal'!$F$513:$F$522)*(IF('Gastos com Pessoal'!$M$513:$M$522&lt;=F$3,1,0))*OFFSET('Gastos com Pessoal'!$H$512,1,MATCH(2&amp;$B56,'Gastos com Pessoal'!$I$532:$AJ$532&amp;'Gastos com Pessoal'!$I$512:$AJ$512,0),10,1)),0)+_xlfn.IFNA(SUM((F$3&gt;='Gastos com Pessoal'!$E$513:$E$522)*(F$3&lt;='Gastos com Pessoal'!$F$513:$F$522)*(IF('Gastos com Pessoal'!$S$513:$S$522&lt;=F$3,1,0))*OFFSET('Gastos com Pessoal'!$H$512,1,MATCH(3&amp;$B56,'Gastos com Pessoal'!$I$532:$AJ$532&amp;'Gastos com Pessoal'!$I$512:$AJ$512,0),10,1)),0)+_xlfn.IFNA(SUM((F$3&gt;='Gastos com Pessoal'!$E$513:$E$522)*(F$3&lt;='Gastos com Pessoal'!$F$513:$F$522)*(IF('Gastos com Pessoal'!$Y$513:$Y$522&lt;=F$3,1,0))*OFFSET('Gastos com Pessoal'!$H$512,1,MATCH(4&amp;$B56,'Gastos com Pessoal'!$I$532:$AJ$532&amp;'Gastos com Pessoal'!$I$512:$AJ$512,0),10,1)),0)+_xlfn.IFNA(SUM((F$3&gt;='Gastos com Pessoal'!$E$513:$E$522)*(F$3&lt;='Gastos com Pessoal'!$F$513:$F$522)*(IF('Gastos com Pessoal'!$AE$513:$AE$522&lt;=F$3,1,0))*OFFSET('Gastos com Pessoal'!$H$512,1,MATCH(5&amp;$B56,'Gastos com Pessoal'!$I$532:$AJ$532&amp;'Gastos com Pessoal'!$I$512:$AJ$512,0),10,1)),0)</f>
        <v>56269.799999999756</v>
      </c>
      <c r="G56" s="188">
        <f t="array" aca="1" ref="G56" ca="1">_xlfn.IFNA(SUM((G$3&gt;='Gastos com Pessoal'!$E$7:$E$506)*(G$3&lt;='Gastos com Pessoal'!$F$7:$F$506)*OFFSET('Encargos e Benefícios'!$D$5,1,MATCH($B56,'Encargos e Benefícios'!$E$5:$AB$5,0),500,1)),0)+_xlfn.IFNA(SUM((G$3&gt;='Gastos com Pessoal'!$E$513:$E$522)*(G$3&lt;='Gastos com Pessoal'!$F$513:$F$522)*OFFSET('Encargos e Benefícios'!$D$511,1,MATCH($B56,'Encargos e Benefícios'!$E$511:$AB$511,0),10,1)),0)+_xlfn.IFNA(SUM((G$3&gt;='Gastos com Pessoal'!$E$7:$E$506)*(G$3&lt;='Gastos com Pessoal'!$F$7:$F$506)*(IF('Gastos com Pessoal'!$G$7:$G$506&lt;=G$3,1,0))*OFFSET('Gastos com Pessoal'!$H$6,1,MATCH(1&amp;$B56,'Gastos com Pessoal'!$I$532:$AJ$532&amp;'Gastos com Pessoal'!$I$6:$AJ$6,0),500,1)),0)+_xlfn.IFNA(SUM((G$3&gt;='Gastos com Pessoal'!$E$7:$E$506)*(G$3&lt;='Gastos com Pessoal'!$F$7:$F$506)*(IF('Gastos com Pessoal'!$M$7:$M$506&lt;=G$3,1,0))*OFFSET('Gastos com Pessoal'!$H$6,1,MATCH(2&amp;$B56,'Gastos com Pessoal'!$I$532:$AJ$532&amp;'Gastos com Pessoal'!$I$6:$AJ$6,0),500,1)),0)+_xlfn.IFNA(SUM((G$3&gt;='Gastos com Pessoal'!$E$7:$E$506)*(G$3&lt;='Gastos com Pessoal'!$F$7:$F$506)*(IF('Gastos com Pessoal'!$S$7:$S$506&lt;=G$3,1,0))*OFFSET('Gastos com Pessoal'!$H$6,1,MATCH(3&amp;$B56,'Gastos com Pessoal'!$I$532:$AJ$532&amp;'Gastos com Pessoal'!$I$6:$AJ$6,0),500,1)),0)+_xlfn.IFNA(SUM((G$3&gt;='Gastos com Pessoal'!$E$7:$E$506)*(G$3&lt;='Gastos com Pessoal'!$F$7:$F$506)*(IF('Gastos com Pessoal'!$Y$7:$Y$506&lt;=G$3,1,0))*OFFSET('Gastos com Pessoal'!$H$6,1,MATCH(4&amp;$B56,'Gastos com Pessoal'!$I$532:$AJ$532&amp;'Gastos com Pessoal'!$I$6:$AJ$6,0),500,1)),0)+_xlfn.IFNA(SUM((G$3&gt;='Gastos com Pessoal'!$E$7:$E$506)*(G$3&lt;='Gastos com Pessoal'!$F$7:$F$506)*(IF('Gastos com Pessoal'!$AE$7:$AE$506&lt;=G$3,1,0))*OFFSET('Gastos com Pessoal'!$H$6,1,MATCH(5&amp;$B56,'Gastos com Pessoal'!$I$532:$AJ$532&amp;'Gastos com Pessoal'!$I$6:$AJ$6,0),500,1)),0)+_xlfn.IFNA(SUM((G$3&gt;='Gastos com Pessoal'!$E$513:$E$522)*(G$3&lt;='Gastos com Pessoal'!$F$513:$F$522)*(IF('Gastos com Pessoal'!$G$513:$G$522&lt;=G$3,1,0))*OFFSET('Gastos com Pessoal'!$H$512,1,MATCH(1&amp;$B56,'Gastos com Pessoal'!$I$532:$AJ$532&amp;'Gastos com Pessoal'!$I$512:$AJ$512,0),10,1)),0)+_xlfn.IFNA(SUM((G$3&gt;='Gastos com Pessoal'!$E$513:$E$522)*(G$3&lt;='Gastos com Pessoal'!$F$513:$F$522)*(IF('Gastos com Pessoal'!$M$513:$M$522&lt;=G$3,1,0))*OFFSET('Gastos com Pessoal'!$H$512,1,MATCH(2&amp;$B56,'Gastos com Pessoal'!$I$532:$AJ$532&amp;'Gastos com Pessoal'!$I$512:$AJ$512,0),10,1)),0)+_xlfn.IFNA(SUM((G$3&gt;='Gastos com Pessoal'!$E$513:$E$522)*(G$3&lt;='Gastos com Pessoal'!$F$513:$F$522)*(IF('Gastos com Pessoal'!$S$513:$S$522&lt;=G$3,1,0))*OFFSET('Gastos com Pessoal'!$H$512,1,MATCH(3&amp;$B56,'Gastos com Pessoal'!$I$532:$AJ$532&amp;'Gastos com Pessoal'!$I$512:$AJ$512,0),10,1)),0)+_xlfn.IFNA(SUM((G$3&gt;='Gastos com Pessoal'!$E$513:$E$522)*(G$3&lt;='Gastos com Pessoal'!$F$513:$F$522)*(IF('Gastos com Pessoal'!$Y$513:$Y$522&lt;=G$3,1,0))*OFFSET('Gastos com Pessoal'!$H$512,1,MATCH(4&amp;$B56,'Gastos com Pessoal'!$I$532:$AJ$532&amp;'Gastos com Pessoal'!$I$512:$AJ$512,0),10,1)),0)+_xlfn.IFNA(SUM((G$3&gt;='Gastos com Pessoal'!$E$513:$E$522)*(G$3&lt;='Gastos com Pessoal'!$F$513:$F$522)*(IF('Gastos com Pessoal'!$AE$513:$AE$522&lt;=G$3,1,0))*OFFSET('Gastos com Pessoal'!$H$512,1,MATCH(5&amp;$B56,'Gastos com Pessoal'!$I$532:$AJ$532&amp;'Gastos com Pessoal'!$I$512:$AJ$512,0),10,1)),0)</f>
        <v>56269.799999999756</v>
      </c>
      <c r="H56" s="188">
        <f t="array" aca="1" ref="H56" ca="1">_xlfn.IFNA(SUM((H$3&gt;='Gastos com Pessoal'!$E$7:$E$506)*(H$3&lt;='Gastos com Pessoal'!$F$7:$F$506)*OFFSET('Encargos e Benefícios'!$D$5,1,MATCH($B56,'Encargos e Benefícios'!$E$5:$AB$5,0),500,1)),0)+_xlfn.IFNA(SUM((H$3&gt;='Gastos com Pessoal'!$E$513:$E$522)*(H$3&lt;='Gastos com Pessoal'!$F$513:$F$522)*OFFSET('Encargos e Benefícios'!$D$511,1,MATCH($B56,'Encargos e Benefícios'!$E$511:$AB$511,0),10,1)),0)+_xlfn.IFNA(SUM((H$3&gt;='Gastos com Pessoal'!$E$7:$E$506)*(H$3&lt;='Gastos com Pessoal'!$F$7:$F$506)*(IF('Gastos com Pessoal'!$G$7:$G$506&lt;=H$3,1,0))*OFFSET('Gastos com Pessoal'!$H$6,1,MATCH(1&amp;$B56,'Gastos com Pessoal'!$I$532:$AJ$532&amp;'Gastos com Pessoal'!$I$6:$AJ$6,0),500,1)),0)+_xlfn.IFNA(SUM((H$3&gt;='Gastos com Pessoal'!$E$7:$E$506)*(H$3&lt;='Gastos com Pessoal'!$F$7:$F$506)*(IF('Gastos com Pessoal'!$M$7:$M$506&lt;=H$3,1,0))*OFFSET('Gastos com Pessoal'!$H$6,1,MATCH(2&amp;$B56,'Gastos com Pessoal'!$I$532:$AJ$532&amp;'Gastos com Pessoal'!$I$6:$AJ$6,0),500,1)),0)+_xlfn.IFNA(SUM((H$3&gt;='Gastos com Pessoal'!$E$7:$E$506)*(H$3&lt;='Gastos com Pessoal'!$F$7:$F$506)*(IF('Gastos com Pessoal'!$S$7:$S$506&lt;=H$3,1,0))*OFFSET('Gastos com Pessoal'!$H$6,1,MATCH(3&amp;$B56,'Gastos com Pessoal'!$I$532:$AJ$532&amp;'Gastos com Pessoal'!$I$6:$AJ$6,0),500,1)),0)+_xlfn.IFNA(SUM((H$3&gt;='Gastos com Pessoal'!$E$7:$E$506)*(H$3&lt;='Gastos com Pessoal'!$F$7:$F$506)*(IF('Gastos com Pessoal'!$Y$7:$Y$506&lt;=H$3,1,0))*OFFSET('Gastos com Pessoal'!$H$6,1,MATCH(4&amp;$B56,'Gastos com Pessoal'!$I$532:$AJ$532&amp;'Gastos com Pessoal'!$I$6:$AJ$6,0),500,1)),0)+_xlfn.IFNA(SUM((H$3&gt;='Gastos com Pessoal'!$E$7:$E$506)*(H$3&lt;='Gastos com Pessoal'!$F$7:$F$506)*(IF('Gastos com Pessoal'!$AE$7:$AE$506&lt;=H$3,1,0))*OFFSET('Gastos com Pessoal'!$H$6,1,MATCH(5&amp;$B56,'Gastos com Pessoal'!$I$532:$AJ$532&amp;'Gastos com Pessoal'!$I$6:$AJ$6,0),500,1)),0)+_xlfn.IFNA(SUM((H$3&gt;='Gastos com Pessoal'!$E$513:$E$522)*(H$3&lt;='Gastos com Pessoal'!$F$513:$F$522)*(IF('Gastos com Pessoal'!$G$513:$G$522&lt;=H$3,1,0))*OFFSET('Gastos com Pessoal'!$H$512,1,MATCH(1&amp;$B56,'Gastos com Pessoal'!$I$532:$AJ$532&amp;'Gastos com Pessoal'!$I$512:$AJ$512,0),10,1)),0)+_xlfn.IFNA(SUM((H$3&gt;='Gastos com Pessoal'!$E$513:$E$522)*(H$3&lt;='Gastos com Pessoal'!$F$513:$F$522)*(IF('Gastos com Pessoal'!$M$513:$M$522&lt;=H$3,1,0))*OFFSET('Gastos com Pessoal'!$H$512,1,MATCH(2&amp;$B56,'Gastos com Pessoal'!$I$532:$AJ$532&amp;'Gastos com Pessoal'!$I$512:$AJ$512,0),10,1)),0)+_xlfn.IFNA(SUM((H$3&gt;='Gastos com Pessoal'!$E$513:$E$522)*(H$3&lt;='Gastos com Pessoal'!$F$513:$F$522)*(IF('Gastos com Pessoal'!$S$513:$S$522&lt;=H$3,1,0))*OFFSET('Gastos com Pessoal'!$H$512,1,MATCH(3&amp;$B56,'Gastos com Pessoal'!$I$532:$AJ$532&amp;'Gastos com Pessoal'!$I$512:$AJ$512,0),10,1)),0)+_xlfn.IFNA(SUM((H$3&gt;='Gastos com Pessoal'!$E$513:$E$522)*(H$3&lt;='Gastos com Pessoal'!$F$513:$F$522)*(IF('Gastos com Pessoal'!$Y$513:$Y$522&lt;=H$3,1,0))*OFFSET('Gastos com Pessoal'!$H$512,1,MATCH(4&amp;$B56,'Gastos com Pessoal'!$I$532:$AJ$532&amp;'Gastos com Pessoal'!$I$512:$AJ$512,0),10,1)),0)+_xlfn.IFNA(SUM((H$3&gt;='Gastos com Pessoal'!$E$513:$E$522)*(H$3&lt;='Gastos com Pessoal'!$F$513:$F$522)*(IF('Gastos com Pessoal'!$AE$513:$AE$522&lt;=H$3,1,0))*OFFSET('Gastos com Pessoal'!$H$512,1,MATCH(5&amp;$B56,'Gastos com Pessoal'!$I$532:$AJ$532&amp;'Gastos com Pessoal'!$I$512:$AJ$512,0),10,1)),0)</f>
        <v>56269.799999999756</v>
      </c>
      <c r="I56" s="188">
        <f t="array" aca="1" ref="I56" ca="1">_xlfn.IFNA(SUM((I$3&gt;='Gastos com Pessoal'!$E$7:$E$506)*(I$3&lt;='Gastos com Pessoal'!$F$7:$F$506)*OFFSET('Encargos e Benefícios'!$D$5,1,MATCH($B56,'Encargos e Benefícios'!$E$5:$AB$5,0),500,1)),0)+_xlfn.IFNA(SUM((I$3&gt;='Gastos com Pessoal'!$E$513:$E$522)*(I$3&lt;='Gastos com Pessoal'!$F$513:$F$522)*OFFSET('Encargos e Benefícios'!$D$511,1,MATCH($B56,'Encargos e Benefícios'!$E$511:$AB$511,0),10,1)),0)+_xlfn.IFNA(SUM((I$3&gt;='Gastos com Pessoal'!$E$7:$E$506)*(I$3&lt;='Gastos com Pessoal'!$F$7:$F$506)*(IF('Gastos com Pessoal'!$G$7:$G$506&lt;=I$3,1,0))*OFFSET('Gastos com Pessoal'!$H$6,1,MATCH(1&amp;$B56,'Gastos com Pessoal'!$I$532:$AJ$532&amp;'Gastos com Pessoal'!$I$6:$AJ$6,0),500,1)),0)+_xlfn.IFNA(SUM((I$3&gt;='Gastos com Pessoal'!$E$7:$E$506)*(I$3&lt;='Gastos com Pessoal'!$F$7:$F$506)*(IF('Gastos com Pessoal'!$M$7:$M$506&lt;=I$3,1,0))*OFFSET('Gastos com Pessoal'!$H$6,1,MATCH(2&amp;$B56,'Gastos com Pessoal'!$I$532:$AJ$532&amp;'Gastos com Pessoal'!$I$6:$AJ$6,0),500,1)),0)+_xlfn.IFNA(SUM((I$3&gt;='Gastos com Pessoal'!$E$7:$E$506)*(I$3&lt;='Gastos com Pessoal'!$F$7:$F$506)*(IF('Gastos com Pessoal'!$S$7:$S$506&lt;=I$3,1,0))*OFFSET('Gastos com Pessoal'!$H$6,1,MATCH(3&amp;$B56,'Gastos com Pessoal'!$I$532:$AJ$532&amp;'Gastos com Pessoal'!$I$6:$AJ$6,0),500,1)),0)+_xlfn.IFNA(SUM((I$3&gt;='Gastos com Pessoal'!$E$7:$E$506)*(I$3&lt;='Gastos com Pessoal'!$F$7:$F$506)*(IF('Gastos com Pessoal'!$Y$7:$Y$506&lt;=I$3,1,0))*OFFSET('Gastos com Pessoal'!$H$6,1,MATCH(4&amp;$B56,'Gastos com Pessoal'!$I$532:$AJ$532&amp;'Gastos com Pessoal'!$I$6:$AJ$6,0),500,1)),0)+_xlfn.IFNA(SUM((I$3&gt;='Gastos com Pessoal'!$E$7:$E$506)*(I$3&lt;='Gastos com Pessoal'!$F$7:$F$506)*(IF('Gastos com Pessoal'!$AE$7:$AE$506&lt;=I$3,1,0))*OFFSET('Gastos com Pessoal'!$H$6,1,MATCH(5&amp;$B56,'Gastos com Pessoal'!$I$532:$AJ$532&amp;'Gastos com Pessoal'!$I$6:$AJ$6,0),500,1)),0)+_xlfn.IFNA(SUM((I$3&gt;='Gastos com Pessoal'!$E$513:$E$522)*(I$3&lt;='Gastos com Pessoal'!$F$513:$F$522)*(IF('Gastos com Pessoal'!$G$513:$G$522&lt;=I$3,1,0))*OFFSET('Gastos com Pessoal'!$H$512,1,MATCH(1&amp;$B56,'Gastos com Pessoal'!$I$532:$AJ$532&amp;'Gastos com Pessoal'!$I$512:$AJ$512,0),10,1)),0)+_xlfn.IFNA(SUM((I$3&gt;='Gastos com Pessoal'!$E$513:$E$522)*(I$3&lt;='Gastos com Pessoal'!$F$513:$F$522)*(IF('Gastos com Pessoal'!$M$513:$M$522&lt;=I$3,1,0))*OFFSET('Gastos com Pessoal'!$H$512,1,MATCH(2&amp;$B56,'Gastos com Pessoal'!$I$532:$AJ$532&amp;'Gastos com Pessoal'!$I$512:$AJ$512,0),10,1)),0)+_xlfn.IFNA(SUM((I$3&gt;='Gastos com Pessoal'!$E$513:$E$522)*(I$3&lt;='Gastos com Pessoal'!$F$513:$F$522)*(IF('Gastos com Pessoal'!$S$513:$S$522&lt;=I$3,1,0))*OFFSET('Gastos com Pessoal'!$H$512,1,MATCH(3&amp;$B56,'Gastos com Pessoal'!$I$532:$AJ$532&amp;'Gastos com Pessoal'!$I$512:$AJ$512,0),10,1)),0)+_xlfn.IFNA(SUM((I$3&gt;='Gastos com Pessoal'!$E$513:$E$522)*(I$3&lt;='Gastos com Pessoal'!$F$513:$F$522)*(IF('Gastos com Pessoal'!$Y$513:$Y$522&lt;=I$3,1,0))*OFFSET('Gastos com Pessoal'!$H$512,1,MATCH(4&amp;$B56,'Gastos com Pessoal'!$I$532:$AJ$532&amp;'Gastos com Pessoal'!$I$512:$AJ$512,0),10,1)),0)+_xlfn.IFNA(SUM((I$3&gt;='Gastos com Pessoal'!$E$513:$E$522)*(I$3&lt;='Gastos com Pessoal'!$F$513:$F$522)*(IF('Gastos com Pessoal'!$AE$513:$AE$522&lt;=I$3,1,0))*OFFSET('Gastos com Pessoal'!$H$512,1,MATCH(5&amp;$B56,'Gastos com Pessoal'!$I$532:$AJ$532&amp;'Gastos com Pessoal'!$I$512:$AJ$512,0),10,1)),0)</f>
        <v>56269.799999999756</v>
      </c>
      <c r="J56" s="188">
        <f t="array" aca="1" ref="J56" ca="1">_xlfn.IFNA(SUM((J$3&gt;='Gastos com Pessoal'!$E$7:$E$506)*(J$3&lt;='Gastos com Pessoal'!$F$7:$F$506)*OFFSET('Encargos e Benefícios'!$D$5,1,MATCH($B56,'Encargos e Benefícios'!$E$5:$AB$5,0),500,1)),0)+_xlfn.IFNA(SUM((J$3&gt;='Gastos com Pessoal'!$E$513:$E$522)*(J$3&lt;='Gastos com Pessoal'!$F$513:$F$522)*OFFSET('Encargos e Benefícios'!$D$511,1,MATCH($B56,'Encargos e Benefícios'!$E$511:$AB$511,0),10,1)),0)+_xlfn.IFNA(SUM((J$3&gt;='Gastos com Pessoal'!$E$7:$E$506)*(J$3&lt;='Gastos com Pessoal'!$F$7:$F$506)*(IF('Gastos com Pessoal'!$G$7:$G$506&lt;=J$3,1,0))*OFFSET('Gastos com Pessoal'!$H$6,1,MATCH(1&amp;$B56,'Gastos com Pessoal'!$I$532:$AJ$532&amp;'Gastos com Pessoal'!$I$6:$AJ$6,0),500,1)),0)+_xlfn.IFNA(SUM((J$3&gt;='Gastos com Pessoal'!$E$7:$E$506)*(J$3&lt;='Gastos com Pessoal'!$F$7:$F$506)*(IF('Gastos com Pessoal'!$M$7:$M$506&lt;=J$3,1,0))*OFFSET('Gastos com Pessoal'!$H$6,1,MATCH(2&amp;$B56,'Gastos com Pessoal'!$I$532:$AJ$532&amp;'Gastos com Pessoal'!$I$6:$AJ$6,0),500,1)),0)+_xlfn.IFNA(SUM((J$3&gt;='Gastos com Pessoal'!$E$7:$E$506)*(J$3&lt;='Gastos com Pessoal'!$F$7:$F$506)*(IF('Gastos com Pessoal'!$S$7:$S$506&lt;=J$3,1,0))*OFFSET('Gastos com Pessoal'!$H$6,1,MATCH(3&amp;$B56,'Gastos com Pessoal'!$I$532:$AJ$532&amp;'Gastos com Pessoal'!$I$6:$AJ$6,0),500,1)),0)+_xlfn.IFNA(SUM((J$3&gt;='Gastos com Pessoal'!$E$7:$E$506)*(J$3&lt;='Gastos com Pessoal'!$F$7:$F$506)*(IF('Gastos com Pessoal'!$Y$7:$Y$506&lt;=J$3,1,0))*OFFSET('Gastos com Pessoal'!$H$6,1,MATCH(4&amp;$B56,'Gastos com Pessoal'!$I$532:$AJ$532&amp;'Gastos com Pessoal'!$I$6:$AJ$6,0),500,1)),0)+_xlfn.IFNA(SUM((J$3&gt;='Gastos com Pessoal'!$E$7:$E$506)*(J$3&lt;='Gastos com Pessoal'!$F$7:$F$506)*(IF('Gastos com Pessoal'!$AE$7:$AE$506&lt;=J$3,1,0))*OFFSET('Gastos com Pessoal'!$H$6,1,MATCH(5&amp;$B56,'Gastos com Pessoal'!$I$532:$AJ$532&amp;'Gastos com Pessoal'!$I$6:$AJ$6,0),500,1)),0)+_xlfn.IFNA(SUM((J$3&gt;='Gastos com Pessoal'!$E$513:$E$522)*(J$3&lt;='Gastos com Pessoal'!$F$513:$F$522)*(IF('Gastos com Pessoal'!$G$513:$G$522&lt;=J$3,1,0))*OFFSET('Gastos com Pessoal'!$H$512,1,MATCH(1&amp;$B56,'Gastos com Pessoal'!$I$532:$AJ$532&amp;'Gastos com Pessoal'!$I$512:$AJ$512,0),10,1)),0)+_xlfn.IFNA(SUM((J$3&gt;='Gastos com Pessoal'!$E$513:$E$522)*(J$3&lt;='Gastos com Pessoal'!$F$513:$F$522)*(IF('Gastos com Pessoal'!$M$513:$M$522&lt;=J$3,1,0))*OFFSET('Gastos com Pessoal'!$H$512,1,MATCH(2&amp;$B56,'Gastos com Pessoal'!$I$532:$AJ$532&amp;'Gastos com Pessoal'!$I$512:$AJ$512,0),10,1)),0)+_xlfn.IFNA(SUM((J$3&gt;='Gastos com Pessoal'!$E$513:$E$522)*(J$3&lt;='Gastos com Pessoal'!$F$513:$F$522)*(IF('Gastos com Pessoal'!$S$513:$S$522&lt;=J$3,1,0))*OFFSET('Gastos com Pessoal'!$H$512,1,MATCH(3&amp;$B56,'Gastos com Pessoal'!$I$532:$AJ$532&amp;'Gastos com Pessoal'!$I$512:$AJ$512,0),10,1)),0)+_xlfn.IFNA(SUM((J$3&gt;='Gastos com Pessoal'!$E$513:$E$522)*(J$3&lt;='Gastos com Pessoal'!$F$513:$F$522)*(IF('Gastos com Pessoal'!$Y$513:$Y$522&lt;=J$3,1,0))*OFFSET('Gastos com Pessoal'!$H$512,1,MATCH(4&amp;$B56,'Gastos com Pessoal'!$I$532:$AJ$532&amp;'Gastos com Pessoal'!$I$512:$AJ$512,0),10,1)),0)+_xlfn.IFNA(SUM((J$3&gt;='Gastos com Pessoal'!$E$513:$E$522)*(J$3&lt;='Gastos com Pessoal'!$F$513:$F$522)*(IF('Gastos com Pessoal'!$AE$513:$AE$522&lt;=J$3,1,0))*OFFSET('Gastos com Pessoal'!$H$512,1,MATCH(5&amp;$B56,'Gastos com Pessoal'!$I$532:$AJ$532&amp;'Gastos com Pessoal'!$I$512:$AJ$512,0),10,1)),0)</f>
        <v>56269.799999999756</v>
      </c>
      <c r="K56" s="188">
        <f t="array" aca="1" ref="K56" ca="1">_xlfn.IFNA(SUM((K$3&gt;='Gastos com Pessoal'!$E$7:$E$506)*(K$3&lt;='Gastos com Pessoal'!$F$7:$F$506)*OFFSET('Encargos e Benefícios'!$D$5,1,MATCH($B56,'Encargos e Benefícios'!$E$5:$AB$5,0),500,1)),0)+_xlfn.IFNA(SUM((K$3&gt;='Gastos com Pessoal'!$E$513:$E$522)*(K$3&lt;='Gastos com Pessoal'!$F$513:$F$522)*OFFSET('Encargos e Benefícios'!$D$511,1,MATCH($B56,'Encargos e Benefícios'!$E$511:$AB$511,0),10,1)),0)+_xlfn.IFNA(SUM((K$3&gt;='Gastos com Pessoal'!$E$7:$E$506)*(K$3&lt;='Gastos com Pessoal'!$F$7:$F$506)*(IF('Gastos com Pessoal'!$G$7:$G$506&lt;=K$3,1,0))*OFFSET('Gastos com Pessoal'!$H$6,1,MATCH(1&amp;$B56,'Gastos com Pessoal'!$I$532:$AJ$532&amp;'Gastos com Pessoal'!$I$6:$AJ$6,0),500,1)),0)+_xlfn.IFNA(SUM((K$3&gt;='Gastos com Pessoal'!$E$7:$E$506)*(K$3&lt;='Gastos com Pessoal'!$F$7:$F$506)*(IF('Gastos com Pessoal'!$M$7:$M$506&lt;=K$3,1,0))*OFFSET('Gastos com Pessoal'!$H$6,1,MATCH(2&amp;$B56,'Gastos com Pessoal'!$I$532:$AJ$532&amp;'Gastos com Pessoal'!$I$6:$AJ$6,0),500,1)),0)+_xlfn.IFNA(SUM((K$3&gt;='Gastos com Pessoal'!$E$7:$E$506)*(K$3&lt;='Gastos com Pessoal'!$F$7:$F$506)*(IF('Gastos com Pessoal'!$S$7:$S$506&lt;=K$3,1,0))*OFFSET('Gastos com Pessoal'!$H$6,1,MATCH(3&amp;$B56,'Gastos com Pessoal'!$I$532:$AJ$532&amp;'Gastos com Pessoal'!$I$6:$AJ$6,0),500,1)),0)+_xlfn.IFNA(SUM((K$3&gt;='Gastos com Pessoal'!$E$7:$E$506)*(K$3&lt;='Gastos com Pessoal'!$F$7:$F$506)*(IF('Gastos com Pessoal'!$Y$7:$Y$506&lt;=K$3,1,0))*OFFSET('Gastos com Pessoal'!$H$6,1,MATCH(4&amp;$B56,'Gastos com Pessoal'!$I$532:$AJ$532&amp;'Gastos com Pessoal'!$I$6:$AJ$6,0),500,1)),0)+_xlfn.IFNA(SUM((K$3&gt;='Gastos com Pessoal'!$E$7:$E$506)*(K$3&lt;='Gastos com Pessoal'!$F$7:$F$506)*(IF('Gastos com Pessoal'!$AE$7:$AE$506&lt;=K$3,1,0))*OFFSET('Gastos com Pessoal'!$H$6,1,MATCH(5&amp;$B56,'Gastos com Pessoal'!$I$532:$AJ$532&amp;'Gastos com Pessoal'!$I$6:$AJ$6,0),500,1)),0)+_xlfn.IFNA(SUM((K$3&gt;='Gastos com Pessoal'!$E$513:$E$522)*(K$3&lt;='Gastos com Pessoal'!$F$513:$F$522)*(IF('Gastos com Pessoal'!$G$513:$G$522&lt;=K$3,1,0))*OFFSET('Gastos com Pessoal'!$H$512,1,MATCH(1&amp;$B56,'Gastos com Pessoal'!$I$532:$AJ$532&amp;'Gastos com Pessoal'!$I$512:$AJ$512,0),10,1)),0)+_xlfn.IFNA(SUM((K$3&gt;='Gastos com Pessoal'!$E$513:$E$522)*(K$3&lt;='Gastos com Pessoal'!$F$513:$F$522)*(IF('Gastos com Pessoal'!$M$513:$M$522&lt;=K$3,1,0))*OFFSET('Gastos com Pessoal'!$H$512,1,MATCH(2&amp;$B56,'Gastos com Pessoal'!$I$532:$AJ$532&amp;'Gastos com Pessoal'!$I$512:$AJ$512,0),10,1)),0)+_xlfn.IFNA(SUM((K$3&gt;='Gastos com Pessoal'!$E$513:$E$522)*(K$3&lt;='Gastos com Pessoal'!$F$513:$F$522)*(IF('Gastos com Pessoal'!$S$513:$S$522&lt;=K$3,1,0))*OFFSET('Gastos com Pessoal'!$H$512,1,MATCH(3&amp;$B56,'Gastos com Pessoal'!$I$532:$AJ$532&amp;'Gastos com Pessoal'!$I$512:$AJ$512,0),10,1)),0)+_xlfn.IFNA(SUM((K$3&gt;='Gastos com Pessoal'!$E$513:$E$522)*(K$3&lt;='Gastos com Pessoal'!$F$513:$F$522)*(IF('Gastos com Pessoal'!$Y$513:$Y$522&lt;=K$3,1,0))*OFFSET('Gastos com Pessoal'!$H$512,1,MATCH(4&amp;$B56,'Gastos com Pessoal'!$I$532:$AJ$532&amp;'Gastos com Pessoal'!$I$512:$AJ$512,0),10,1)),0)+_xlfn.IFNA(SUM((K$3&gt;='Gastos com Pessoal'!$E$513:$E$522)*(K$3&lt;='Gastos com Pessoal'!$F$513:$F$522)*(IF('Gastos com Pessoal'!$AE$513:$AE$522&lt;=K$3,1,0))*OFFSET('Gastos com Pessoal'!$H$512,1,MATCH(5&amp;$B56,'Gastos com Pessoal'!$I$532:$AJ$532&amp;'Gastos com Pessoal'!$I$512:$AJ$512,0),10,1)),0)</f>
        <v>56269.799999999756</v>
      </c>
      <c r="L56" s="188">
        <f t="array" aca="1" ref="L56" ca="1">_xlfn.IFNA(SUM((L$3&gt;='Gastos com Pessoal'!$E$7:$E$506)*(L$3&lt;='Gastos com Pessoal'!$F$7:$F$506)*OFFSET('Encargos e Benefícios'!$D$5,1,MATCH($B56,'Encargos e Benefícios'!$E$5:$AB$5,0),500,1)),0)+_xlfn.IFNA(SUM((L$3&gt;='Gastos com Pessoal'!$E$513:$E$522)*(L$3&lt;='Gastos com Pessoal'!$F$513:$F$522)*OFFSET('Encargos e Benefícios'!$D$511,1,MATCH($B56,'Encargos e Benefícios'!$E$511:$AB$511,0),10,1)),0)+_xlfn.IFNA(SUM((L$3&gt;='Gastos com Pessoal'!$E$7:$E$506)*(L$3&lt;='Gastos com Pessoal'!$F$7:$F$506)*(IF('Gastos com Pessoal'!$G$7:$G$506&lt;=L$3,1,0))*OFFSET('Gastos com Pessoal'!$H$6,1,MATCH(1&amp;$B56,'Gastos com Pessoal'!$I$532:$AJ$532&amp;'Gastos com Pessoal'!$I$6:$AJ$6,0),500,1)),0)+_xlfn.IFNA(SUM((L$3&gt;='Gastos com Pessoal'!$E$7:$E$506)*(L$3&lt;='Gastos com Pessoal'!$F$7:$F$506)*(IF('Gastos com Pessoal'!$M$7:$M$506&lt;=L$3,1,0))*OFFSET('Gastos com Pessoal'!$H$6,1,MATCH(2&amp;$B56,'Gastos com Pessoal'!$I$532:$AJ$532&amp;'Gastos com Pessoal'!$I$6:$AJ$6,0),500,1)),0)+_xlfn.IFNA(SUM((L$3&gt;='Gastos com Pessoal'!$E$7:$E$506)*(L$3&lt;='Gastos com Pessoal'!$F$7:$F$506)*(IF('Gastos com Pessoal'!$S$7:$S$506&lt;=L$3,1,0))*OFFSET('Gastos com Pessoal'!$H$6,1,MATCH(3&amp;$B56,'Gastos com Pessoal'!$I$532:$AJ$532&amp;'Gastos com Pessoal'!$I$6:$AJ$6,0),500,1)),0)+_xlfn.IFNA(SUM((L$3&gt;='Gastos com Pessoal'!$E$7:$E$506)*(L$3&lt;='Gastos com Pessoal'!$F$7:$F$506)*(IF('Gastos com Pessoal'!$Y$7:$Y$506&lt;=L$3,1,0))*OFFSET('Gastos com Pessoal'!$H$6,1,MATCH(4&amp;$B56,'Gastos com Pessoal'!$I$532:$AJ$532&amp;'Gastos com Pessoal'!$I$6:$AJ$6,0),500,1)),0)+_xlfn.IFNA(SUM((L$3&gt;='Gastos com Pessoal'!$E$7:$E$506)*(L$3&lt;='Gastos com Pessoal'!$F$7:$F$506)*(IF('Gastos com Pessoal'!$AE$7:$AE$506&lt;=L$3,1,0))*OFFSET('Gastos com Pessoal'!$H$6,1,MATCH(5&amp;$B56,'Gastos com Pessoal'!$I$532:$AJ$532&amp;'Gastos com Pessoal'!$I$6:$AJ$6,0),500,1)),0)+_xlfn.IFNA(SUM((L$3&gt;='Gastos com Pessoal'!$E$513:$E$522)*(L$3&lt;='Gastos com Pessoal'!$F$513:$F$522)*(IF('Gastos com Pessoal'!$G$513:$G$522&lt;=L$3,1,0))*OFFSET('Gastos com Pessoal'!$H$512,1,MATCH(1&amp;$B56,'Gastos com Pessoal'!$I$532:$AJ$532&amp;'Gastos com Pessoal'!$I$512:$AJ$512,0),10,1)),0)+_xlfn.IFNA(SUM((L$3&gt;='Gastos com Pessoal'!$E$513:$E$522)*(L$3&lt;='Gastos com Pessoal'!$F$513:$F$522)*(IF('Gastos com Pessoal'!$M$513:$M$522&lt;=L$3,1,0))*OFFSET('Gastos com Pessoal'!$H$512,1,MATCH(2&amp;$B56,'Gastos com Pessoal'!$I$532:$AJ$532&amp;'Gastos com Pessoal'!$I$512:$AJ$512,0),10,1)),0)+_xlfn.IFNA(SUM((L$3&gt;='Gastos com Pessoal'!$E$513:$E$522)*(L$3&lt;='Gastos com Pessoal'!$F$513:$F$522)*(IF('Gastos com Pessoal'!$S$513:$S$522&lt;=L$3,1,0))*OFFSET('Gastos com Pessoal'!$H$512,1,MATCH(3&amp;$B56,'Gastos com Pessoal'!$I$532:$AJ$532&amp;'Gastos com Pessoal'!$I$512:$AJ$512,0),10,1)),0)+_xlfn.IFNA(SUM((L$3&gt;='Gastos com Pessoal'!$E$513:$E$522)*(L$3&lt;='Gastos com Pessoal'!$F$513:$F$522)*(IF('Gastos com Pessoal'!$Y$513:$Y$522&lt;=L$3,1,0))*OFFSET('Gastos com Pessoal'!$H$512,1,MATCH(4&amp;$B56,'Gastos com Pessoal'!$I$532:$AJ$532&amp;'Gastos com Pessoal'!$I$512:$AJ$512,0),10,1)),0)+_xlfn.IFNA(SUM((L$3&gt;='Gastos com Pessoal'!$E$513:$E$522)*(L$3&lt;='Gastos com Pessoal'!$F$513:$F$522)*(IF('Gastos com Pessoal'!$AE$513:$AE$522&lt;=L$3,1,0))*OFFSET('Gastos com Pessoal'!$H$512,1,MATCH(5&amp;$B56,'Gastos com Pessoal'!$I$532:$AJ$532&amp;'Gastos com Pessoal'!$I$512:$AJ$512,0),10,1)),0)</f>
        <v>56269.799999999756</v>
      </c>
      <c r="M56" s="188">
        <f t="array" aca="1" ref="M56" ca="1">_xlfn.IFNA(SUM((M$3&gt;='Gastos com Pessoal'!$E$7:$E$506)*(M$3&lt;='Gastos com Pessoal'!$F$7:$F$506)*OFFSET('Encargos e Benefícios'!$D$5,1,MATCH($B56,'Encargos e Benefícios'!$E$5:$AB$5,0),500,1)),0)+_xlfn.IFNA(SUM((M$3&gt;='Gastos com Pessoal'!$E$513:$E$522)*(M$3&lt;='Gastos com Pessoal'!$F$513:$F$522)*OFFSET('Encargos e Benefícios'!$D$511,1,MATCH($B56,'Encargos e Benefícios'!$E$511:$AB$511,0),10,1)),0)+_xlfn.IFNA(SUM((M$3&gt;='Gastos com Pessoal'!$E$7:$E$506)*(M$3&lt;='Gastos com Pessoal'!$F$7:$F$506)*(IF('Gastos com Pessoal'!$G$7:$G$506&lt;=M$3,1,0))*OFFSET('Gastos com Pessoal'!$H$6,1,MATCH(1&amp;$B56,'Gastos com Pessoal'!$I$532:$AJ$532&amp;'Gastos com Pessoal'!$I$6:$AJ$6,0),500,1)),0)+_xlfn.IFNA(SUM((M$3&gt;='Gastos com Pessoal'!$E$7:$E$506)*(M$3&lt;='Gastos com Pessoal'!$F$7:$F$506)*(IF('Gastos com Pessoal'!$M$7:$M$506&lt;=M$3,1,0))*OFFSET('Gastos com Pessoal'!$H$6,1,MATCH(2&amp;$B56,'Gastos com Pessoal'!$I$532:$AJ$532&amp;'Gastos com Pessoal'!$I$6:$AJ$6,0),500,1)),0)+_xlfn.IFNA(SUM((M$3&gt;='Gastos com Pessoal'!$E$7:$E$506)*(M$3&lt;='Gastos com Pessoal'!$F$7:$F$506)*(IF('Gastos com Pessoal'!$S$7:$S$506&lt;=M$3,1,0))*OFFSET('Gastos com Pessoal'!$H$6,1,MATCH(3&amp;$B56,'Gastos com Pessoal'!$I$532:$AJ$532&amp;'Gastos com Pessoal'!$I$6:$AJ$6,0),500,1)),0)+_xlfn.IFNA(SUM((M$3&gt;='Gastos com Pessoal'!$E$7:$E$506)*(M$3&lt;='Gastos com Pessoal'!$F$7:$F$506)*(IF('Gastos com Pessoal'!$Y$7:$Y$506&lt;=M$3,1,0))*OFFSET('Gastos com Pessoal'!$H$6,1,MATCH(4&amp;$B56,'Gastos com Pessoal'!$I$532:$AJ$532&amp;'Gastos com Pessoal'!$I$6:$AJ$6,0),500,1)),0)+_xlfn.IFNA(SUM((M$3&gt;='Gastos com Pessoal'!$E$7:$E$506)*(M$3&lt;='Gastos com Pessoal'!$F$7:$F$506)*(IF('Gastos com Pessoal'!$AE$7:$AE$506&lt;=M$3,1,0))*OFFSET('Gastos com Pessoal'!$H$6,1,MATCH(5&amp;$B56,'Gastos com Pessoal'!$I$532:$AJ$532&amp;'Gastos com Pessoal'!$I$6:$AJ$6,0),500,1)),0)+_xlfn.IFNA(SUM((M$3&gt;='Gastos com Pessoal'!$E$513:$E$522)*(M$3&lt;='Gastos com Pessoal'!$F$513:$F$522)*(IF('Gastos com Pessoal'!$G$513:$G$522&lt;=M$3,1,0))*OFFSET('Gastos com Pessoal'!$H$512,1,MATCH(1&amp;$B56,'Gastos com Pessoal'!$I$532:$AJ$532&amp;'Gastos com Pessoal'!$I$512:$AJ$512,0),10,1)),0)+_xlfn.IFNA(SUM((M$3&gt;='Gastos com Pessoal'!$E$513:$E$522)*(M$3&lt;='Gastos com Pessoal'!$F$513:$F$522)*(IF('Gastos com Pessoal'!$M$513:$M$522&lt;=M$3,1,0))*OFFSET('Gastos com Pessoal'!$H$512,1,MATCH(2&amp;$B56,'Gastos com Pessoal'!$I$532:$AJ$532&amp;'Gastos com Pessoal'!$I$512:$AJ$512,0),10,1)),0)+_xlfn.IFNA(SUM((M$3&gt;='Gastos com Pessoal'!$E$513:$E$522)*(M$3&lt;='Gastos com Pessoal'!$F$513:$F$522)*(IF('Gastos com Pessoal'!$S$513:$S$522&lt;=M$3,1,0))*OFFSET('Gastos com Pessoal'!$H$512,1,MATCH(3&amp;$B56,'Gastos com Pessoal'!$I$532:$AJ$532&amp;'Gastos com Pessoal'!$I$512:$AJ$512,0),10,1)),0)+_xlfn.IFNA(SUM((M$3&gt;='Gastos com Pessoal'!$E$513:$E$522)*(M$3&lt;='Gastos com Pessoal'!$F$513:$F$522)*(IF('Gastos com Pessoal'!$Y$513:$Y$522&lt;=M$3,1,0))*OFFSET('Gastos com Pessoal'!$H$512,1,MATCH(4&amp;$B56,'Gastos com Pessoal'!$I$532:$AJ$532&amp;'Gastos com Pessoal'!$I$512:$AJ$512,0),10,1)),0)+_xlfn.IFNA(SUM((M$3&gt;='Gastos com Pessoal'!$E$513:$E$522)*(M$3&lt;='Gastos com Pessoal'!$F$513:$F$522)*(IF('Gastos com Pessoal'!$AE$513:$AE$522&lt;=M$3,1,0))*OFFSET('Gastos com Pessoal'!$H$512,1,MATCH(5&amp;$B56,'Gastos com Pessoal'!$I$532:$AJ$532&amp;'Gastos com Pessoal'!$I$512:$AJ$512,0),10,1)),0)</f>
        <v>56705.999999999753</v>
      </c>
      <c r="N56" s="188">
        <f t="array" aca="1" ref="N56" ca="1">_xlfn.IFNA(SUM((N$3&gt;='Gastos com Pessoal'!$E$7:$E$506)*(N$3&lt;='Gastos com Pessoal'!$F$7:$F$506)*OFFSET('Encargos e Benefícios'!$D$5,1,MATCH($B56,'Encargos e Benefícios'!$E$5:$AB$5,0),500,1)),0)+_xlfn.IFNA(SUM((N$3&gt;='Gastos com Pessoal'!$E$513:$E$522)*(N$3&lt;='Gastos com Pessoal'!$F$513:$F$522)*OFFSET('Encargos e Benefícios'!$D$511,1,MATCH($B56,'Encargos e Benefícios'!$E$511:$AB$511,0),10,1)),0)+_xlfn.IFNA(SUM((N$3&gt;='Gastos com Pessoal'!$E$7:$E$506)*(N$3&lt;='Gastos com Pessoal'!$F$7:$F$506)*(IF('Gastos com Pessoal'!$G$7:$G$506&lt;=N$3,1,0))*OFFSET('Gastos com Pessoal'!$H$6,1,MATCH(1&amp;$B56,'Gastos com Pessoal'!$I$532:$AJ$532&amp;'Gastos com Pessoal'!$I$6:$AJ$6,0),500,1)),0)+_xlfn.IFNA(SUM((N$3&gt;='Gastos com Pessoal'!$E$7:$E$506)*(N$3&lt;='Gastos com Pessoal'!$F$7:$F$506)*(IF('Gastos com Pessoal'!$M$7:$M$506&lt;=N$3,1,0))*OFFSET('Gastos com Pessoal'!$H$6,1,MATCH(2&amp;$B56,'Gastos com Pessoal'!$I$532:$AJ$532&amp;'Gastos com Pessoal'!$I$6:$AJ$6,0),500,1)),0)+_xlfn.IFNA(SUM((N$3&gt;='Gastos com Pessoal'!$E$7:$E$506)*(N$3&lt;='Gastos com Pessoal'!$F$7:$F$506)*(IF('Gastos com Pessoal'!$S$7:$S$506&lt;=N$3,1,0))*OFFSET('Gastos com Pessoal'!$H$6,1,MATCH(3&amp;$B56,'Gastos com Pessoal'!$I$532:$AJ$532&amp;'Gastos com Pessoal'!$I$6:$AJ$6,0),500,1)),0)+_xlfn.IFNA(SUM((N$3&gt;='Gastos com Pessoal'!$E$7:$E$506)*(N$3&lt;='Gastos com Pessoal'!$F$7:$F$506)*(IF('Gastos com Pessoal'!$Y$7:$Y$506&lt;=N$3,1,0))*OFFSET('Gastos com Pessoal'!$H$6,1,MATCH(4&amp;$B56,'Gastos com Pessoal'!$I$532:$AJ$532&amp;'Gastos com Pessoal'!$I$6:$AJ$6,0),500,1)),0)+_xlfn.IFNA(SUM((N$3&gt;='Gastos com Pessoal'!$E$7:$E$506)*(N$3&lt;='Gastos com Pessoal'!$F$7:$F$506)*(IF('Gastos com Pessoal'!$AE$7:$AE$506&lt;=N$3,1,0))*OFFSET('Gastos com Pessoal'!$H$6,1,MATCH(5&amp;$B56,'Gastos com Pessoal'!$I$532:$AJ$532&amp;'Gastos com Pessoal'!$I$6:$AJ$6,0),500,1)),0)+_xlfn.IFNA(SUM((N$3&gt;='Gastos com Pessoal'!$E$513:$E$522)*(N$3&lt;='Gastos com Pessoal'!$F$513:$F$522)*(IF('Gastos com Pessoal'!$G$513:$G$522&lt;=N$3,1,0))*OFFSET('Gastos com Pessoal'!$H$512,1,MATCH(1&amp;$B56,'Gastos com Pessoal'!$I$532:$AJ$532&amp;'Gastos com Pessoal'!$I$512:$AJ$512,0),10,1)),0)+_xlfn.IFNA(SUM((N$3&gt;='Gastos com Pessoal'!$E$513:$E$522)*(N$3&lt;='Gastos com Pessoal'!$F$513:$F$522)*(IF('Gastos com Pessoal'!$M$513:$M$522&lt;=N$3,1,0))*OFFSET('Gastos com Pessoal'!$H$512,1,MATCH(2&amp;$B56,'Gastos com Pessoal'!$I$532:$AJ$532&amp;'Gastos com Pessoal'!$I$512:$AJ$512,0),10,1)),0)+_xlfn.IFNA(SUM((N$3&gt;='Gastos com Pessoal'!$E$513:$E$522)*(N$3&lt;='Gastos com Pessoal'!$F$513:$F$522)*(IF('Gastos com Pessoal'!$S$513:$S$522&lt;=N$3,1,0))*OFFSET('Gastos com Pessoal'!$H$512,1,MATCH(3&amp;$B56,'Gastos com Pessoal'!$I$532:$AJ$532&amp;'Gastos com Pessoal'!$I$512:$AJ$512,0),10,1)),0)+_xlfn.IFNA(SUM((N$3&gt;='Gastos com Pessoal'!$E$513:$E$522)*(N$3&lt;='Gastos com Pessoal'!$F$513:$F$522)*(IF('Gastos com Pessoal'!$Y$513:$Y$522&lt;=N$3,1,0))*OFFSET('Gastos com Pessoal'!$H$512,1,MATCH(4&amp;$B56,'Gastos com Pessoal'!$I$532:$AJ$532&amp;'Gastos com Pessoal'!$I$512:$AJ$512,0),10,1)),0)+_xlfn.IFNA(SUM((N$3&gt;='Gastos com Pessoal'!$E$513:$E$522)*(N$3&lt;='Gastos com Pessoal'!$F$513:$F$522)*(IF('Gastos com Pessoal'!$AE$513:$AE$522&lt;=N$3,1,0))*OFFSET('Gastos com Pessoal'!$H$512,1,MATCH(5&amp;$B56,'Gastos com Pessoal'!$I$532:$AJ$532&amp;'Gastos com Pessoal'!$I$512:$AJ$512,0),10,1)),0)</f>
        <v>59541.299999999734</v>
      </c>
      <c r="O56" s="188">
        <f t="array" aca="1" ref="O56" ca="1">_xlfn.IFNA(SUM((O$3&gt;='Gastos com Pessoal'!$E$7:$E$506)*(O$3&lt;='Gastos com Pessoal'!$F$7:$F$506)*OFFSET('Encargos e Benefícios'!$D$5,1,MATCH($B56,'Encargos e Benefícios'!$E$5:$AB$5,0),500,1)),0)+_xlfn.IFNA(SUM((O$3&gt;='Gastos com Pessoal'!$E$513:$E$522)*(O$3&lt;='Gastos com Pessoal'!$F$513:$F$522)*OFFSET('Encargos e Benefícios'!$D$511,1,MATCH($B56,'Encargos e Benefícios'!$E$511:$AB$511,0),10,1)),0)+_xlfn.IFNA(SUM((O$3&gt;='Gastos com Pessoal'!$E$7:$E$506)*(O$3&lt;='Gastos com Pessoal'!$F$7:$F$506)*(IF('Gastos com Pessoal'!$G$7:$G$506&lt;=O$3,1,0))*OFFSET('Gastos com Pessoal'!$H$6,1,MATCH(1&amp;$B56,'Gastos com Pessoal'!$I$532:$AJ$532&amp;'Gastos com Pessoal'!$I$6:$AJ$6,0),500,1)),0)+_xlfn.IFNA(SUM((O$3&gt;='Gastos com Pessoal'!$E$7:$E$506)*(O$3&lt;='Gastos com Pessoal'!$F$7:$F$506)*(IF('Gastos com Pessoal'!$M$7:$M$506&lt;=O$3,1,0))*OFFSET('Gastos com Pessoal'!$H$6,1,MATCH(2&amp;$B56,'Gastos com Pessoal'!$I$532:$AJ$532&amp;'Gastos com Pessoal'!$I$6:$AJ$6,0),500,1)),0)+_xlfn.IFNA(SUM((O$3&gt;='Gastos com Pessoal'!$E$7:$E$506)*(O$3&lt;='Gastos com Pessoal'!$F$7:$F$506)*(IF('Gastos com Pessoal'!$S$7:$S$506&lt;=O$3,1,0))*OFFSET('Gastos com Pessoal'!$H$6,1,MATCH(3&amp;$B56,'Gastos com Pessoal'!$I$532:$AJ$532&amp;'Gastos com Pessoal'!$I$6:$AJ$6,0),500,1)),0)+_xlfn.IFNA(SUM((O$3&gt;='Gastos com Pessoal'!$E$7:$E$506)*(O$3&lt;='Gastos com Pessoal'!$F$7:$F$506)*(IF('Gastos com Pessoal'!$Y$7:$Y$506&lt;=O$3,1,0))*OFFSET('Gastos com Pessoal'!$H$6,1,MATCH(4&amp;$B56,'Gastos com Pessoal'!$I$532:$AJ$532&amp;'Gastos com Pessoal'!$I$6:$AJ$6,0),500,1)),0)+_xlfn.IFNA(SUM((O$3&gt;='Gastos com Pessoal'!$E$7:$E$506)*(O$3&lt;='Gastos com Pessoal'!$F$7:$F$506)*(IF('Gastos com Pessoal'!$AE$7:$AE$506&lt;=O$3,1,0))*OFFSET('Gastos com Pessoal'!$H$6,1,MATCH(5&amp;$B56,'Gastos com Pessoal'!$I$532:$AJ$532&amp;'Gastos com Pessoal'!$I$6:$AJ$6,0),500,1)),0)+_xlfn.IFNA(SUM((O$3&gt;='Gastos com Pessoal'!$E$513:$E$522)*(O$3&lt;='Gastos com Pessoal'!$F$513:$F$522)*(IF('Gastos com Pessoal'!$G$513:$G$522&lt;=O$3,1,0))*OFFSET('Gastos com Pessoal'!$H$512,1,MATCH(1&amp;$B56,'Gastos com Pessoal'!$I$532:$AJ$532&amp;'Gastos com Pessoal'!$I$512:$AJ$512,0),10,1)),0)+_xlfn.IFNA(SUM((O$3&gt;='Gastos com Pessoal'!$E$513:$E$522)*(O$3&lt;='Gastos com Pessoal'!$F$513:$F$522)*(IF('Gastos com Pessoal'!$M$513:$M$522&lt;=O$3,1,0))*OFFSET('Gastos com Pessoal'!$H$512,1,MATCH(2&amp;$B56,'Gastos com Pessoal'!$I$532:$AJ$532&amp;'Gastos com Pessoal'!$I$512:$AJ$512,0),10,1)),0)+_xlfn.IFNA(SUM((O$3&gt;='Gastos com Pessoal'!$E$513:$E$522)*(O$3&lt;='Gastos com Pessoal'!$F$513:$F$522)*(IF('Gastos com Pessoal'!$S$513:$S$522&lt;=O$3,1,0))*OFFSET('Gastos com Pessoal'!$H$512,1,MATCH(3&amp;$B56,'Gastos com Pessoal'!$I$532:$AJ$532&amp;'Gastos com Pessoal'!$I$512:$AJ$512,0),10,1)),0)+_xlfn.IFNA(SUM((O$3&gt;='Gastos com Pessoal'!$E$513:$E$522)*(O$3&lt;='Gastos com Pessoal'!$F$513:$F$522)*(IF('Gastos com Pessoal'!$Y$513:$Y$522&lt;=O$3,1,0))*OFFSET('Gastos com Pessoal'!$H$512,1,MATCH(4&amp;$B56,'Gastos com Pessoal'!$I$532:$AJ$532&amp;'Gastos com Pessoal'!$I$512:$AJ$512,0),10,1)),0)+_xlfn.IFNA(SUM((O$3&gt;='Gastos com Pessoal'!$E$513:$E$522)*(O$3&lt;='Gastos com Pessoal'!$F$513:$F$522)*(IF('Gastos com Pessoal'!$AE$513:$AE$522&lt;=O$3,1,0))*OFFSET('Gastos com Pessoal'!$H$512,1,MATCH(5&amp;$B56,'Gastos com Pessoal'!$I$532:$AJ$532&amp;'Gastos com Pessoal'!$I$512:$AJ$512,0),10,1)),0)</f>
        <v>59541.299999999734</v>
      </c>
      <c r="P56" s="188">
        <f t="array" aca="1" ref="P56" ca="1">_xlfn.IFNA(SUM((P$3&gt;='Gastos com Pessoal'!$E$7:$E$506)*(P$3&lt;='Gastos com Pessoal'!$F$7:$F$506)*OFFSET('Encargos e Benefícios'!$D$5,1,MATCH($B56,'Encargos e Benefícios'!$E$5:$AB$5,0),500,1)),0)+_xlfn.IFNA(SUM((P$3&gt;='Gastos com Pessoal'!$E$513:$E$522)*(P$3&lt;='Gastos com Pessoal'!$F$513:$F$522)*OFFSET('Encargos e Benefícios'!$D$511,1,MATCH($B56,'Encargos e Benefícios'!$E$511:$AB$511,0),10,1)),0)+_xlfn.IFNA(SUM((P$3&gt;='Gastos com Pessoal'!$E$7:$E$506)*(P$3&lt;='Gastos com Pessoal'!$F$7:$F$506)*(IF('Gastos com Pessoal'!$G$7:$G$506&lt;=P$3,1,0))*OFFSET('Gastos com Pessoal'!$H$6,1,MATCH(1&amp;$B56,'Gastos com Pessoal'!$I$532:$AJ$532&amp;'Gastos com Pessoal'!$I$6:$AJ$6,0),500,1)),0)+_xlfn.IFNA(SUM((P$3&gt;='Gastos com Pessoal'!$E$7:$E$506)*(P$3&lt;='Gastos com Pessoal'!$F$7:$F$506)*(IF('Gastos com Pessoal'!$M$7:$M$506&lt;=P$3,1,0))*OFFSET('Gastos com Pessoal'!$H$6,1,MATCH(2&amp;$B56,'Gastos com Pessoal'!$I$532:$AJ$532&amp;'Gastos com Pessoal'!$I$6:$AJ$6,0),500,1)),0)+_xlfn.IFNA(SUM((P$3&gt;='Gastos com Pessoal'!$E$7:$E$506)*(P$3&lt;='Gastos com Pessoal'!$F$7:$F$506)*(IF('Gastos com Pessoal'!$S$7:$S$506&lt;=P$3,1,0))*OFFSET('Gastos com Pessoal'!$H$6,1,MATCH(3&amp;$B56,'Gastos com Pessoal'!$I$532:$AJ$532&amp;'Gastos com Pessoal'!$I$6:$AJ$6,0),500,1)),0)+_xlfn.IFNA(SUM((P$3&gt;='Gastos com Pessoal'!$E$7:$E$506)*(P$3&lt;='Gastos com Pessoal'!$F$7:$F$506)*(IF('Gastos com Pessoal'!$Y$7:$Y$506&lt;=P$3,1,0))*OFFSET('Gastos com Pessoal'!$H$6,1,MATCH(4&amp;$B56,'Gastos com Pessoal'!$I$532:$AJ$532&amp;'Gastos com Pessoal'!$I$6:$AJ$6,0),500,1)),0)+_xlfn.IFNA(SUM((P$3&gt;='Gastos com Pessoal'!$E$7:$E$506)*(P$3&lt;='Gastos com Pessoal'!$F$7:$F$506)*(IF('Gastos com Pessoal'!$AE$7:$AE$506&lt;=P$3,1,0))*OFFSET('Gastos com Pessoal'!$H$6,1,MATCH(5&amp;$B56,'Gastos com Pessoal'!$I$532:$AJ$532&amp;'Gastos com Pessoal'!$I$6:$AJ$6,0),500,1)),0)+_xlfn.IFNA(SUM((P$3&gt;='Gastos com Pessoal'!$E$513:$E$522)*(P$3&lt;='Gastos com Pessoal'!$F$513:$F$522)*(IF('Gastos com Pessoal'!$G$513:$G$522&lt;=P$3,1,0))*OFFSET('Gastos com Pessoal'!$H$512,1,MATCH(1&amp;$B56,'Gastos com Pessoal'!$I$532:$AJ$532&amp;'Gastos com Pessoal'!$I$512:$AJ$512,0),10,1)),0)+_xlfn.IFNA(SUM((P$3&gt;='Gastos com Pessoal'!$E$513:$E$522)*(P$3&lt;='Gastos com Pessoal'!$F$513:$F$522)*(IF('Gastos com Pessoal'!$M$513:$M$522&lt;=P$3,1,0))*OFFSET('Gastos com Pessoal'!$H$512,1,MATCH(2&amp;$B56,'Gastos com Pessoal'!$I$532:$AJ$532&amp;'Gastos com Pessoal'!$I$512:$AJ$512,0),10,1)),0)+_xlfn.IFNA(SUM((P$3&gt;='Gastos com Pessoal'!$E$513:$E$522)*(P$3&lt;='Gastos com Pessoal'!$F$513:$F$522)*(IF('Gastos com Pessoal'!$S$513:$S$522&lt;=P$3,1,0))*OFFSET('Gastos com Pessoal'!$H$512,1,MATCH(3&amp;$B56,'Gastos com Pessoal'!$I$532:$AJ$532&amp;'Gastos com Pessoal'!$I$512:$AJ$512,0),10,1)),0)+_xlfn.IFNA(SUM((P$3&gt;='Gastos com Pessoal'!$E$513:$E$522)*(P$3&lt;='Gastos com Pessoal'!$F$513:$F$522)*(IF('Gastos com Pessoal'!$Y$513:$Y$522&lt;=P$3,1,0))*OFFSET('Gastos com Pessoal'!$H$512,1,MATCH(4&amp;$B56,'Gastos com Pessoal'!$I$532:$AJ$532&amp;'Gastos com Pessoal'!$I$512:$AJ$512,0),10,1)),0)+_xlfn.IFNA(SUM((P$3&gt;='Gastos com Pessoal'!$E$513:$E$522)*(P$3&lt;='Gastos com Pessoal'!$F$513:$F$522)*(IF('Gastos com Pessoal'!$AE$513:$AE$522&lt;=P$3,1,0))*OFFSET('Gastos com Pessoal'!$H$512,1,MATCH(5&amp;$B56,'Gastos com Pessoal'!$I$532:$AJ$532&amp;'Gastos com Pessoal'!$I$512:$AJ$512,0),10,1)),0)</f>
        <v>59977.499999999731</v>
      </c>
      <c r="Q56" s="188">
        <f t="array" aca="1" ref="Q56" ca="1">_xlfn.IFNA(SUM((Q$3&gt;='Gastos com Pessoal'!$E$7:$E$506)*(Q$3&lt;='Gastos com Pessoal'!$F$7:$F$506)*OFFSET('Encargos e Benefícios'!$D$5,1,MATCH($B56,'Encargos e Benefícios'!$E$5:$AB$5,0),500,1)),0)+_xlfn.IFNA(SUM((Q$3&gt;='Gastos com Pessoal'!$E$513:$E$522)*(Q$3&lt;='Gastos com Pessoal'!$F$513:$F$522)*OFFSET('Encargos e Benefícios'!$D$511,1,MATCH($B56,'Encargos e Benefícios'!$E$511:$AB$511,0),10,1)),0)+_xlfn.IFNA(SUM((Q$3&gt;='Gastos com Pessoal'!$E$7:$E$506)*(Q$3&lt;='Gastos com Pessoal'!$F$7:$F$506)*(IF('Gastos com Pessoal'!$G$7:$G$506&lt;=Q$3,1,0))*OFFSET('Gastos com Pessoal'!$H$6,1,MATCH(1&amp;$B56,'Gastos com Pessoal'!$I$532:$AJ$532&amp;'Gastos com Pessoal'!$I$6:$AJ$6,0),500,1)),0)+_xlfn.IFNA(SUM((Q$3&gt;='Gastos com Pessoal'!$E$7:$E$506)*(Q$3&lt;='Gastos com Pessoal'!$F$7:$F$506)*(IF('Gastos com Pessoal'!$M$7:$M$506&lt;=Q$3,1,0))*OFFSET('Gastos com Pessoal'!$H$6,1,MATCH(2&amp;$B56,'Gastos com Pessoal'!$I$532:$AJ$532&amp;'Gastos com Pessoal'!$I$6:$AJ$6,0),500,1)),0)+_xlfn.IFNA(SUM((Q$3&gt;='Gastos com Pessoal'!$E$7:$E$506)*(Q$3&lt;='Gastos com Pessoal'!$F$7:$F$506)*(IF('Gastos com Pessoal'!$S$7:$S$506&lt;=Q$3,1,0))*OFFSET('Gastos com Pessoal'!$H$6,1,MATCH(3&amp;$B56,'Gastos com Pessoal'!$I$532:$AJ$532&amp;'Gastos com Pessoal'!$I$6:$AJ$6,0),500,1)),0)+_xlfn.IFNA(SUM((Q$3&gt;='Gastos com Pessoal'!$E$7:$E$506)*(Q$3&lt;='Gastos com Pessoal'!$F$7:$F$506)*(IF('Gastos com Pessoal'!$Y$7:$Y$506&lt;=Q$3,1,0))*OFFSET('Gastos com Pessoal'!$H$6,1,MATCH(4&amp;$B56,'Gastos com Pessoal'!$I$532:$AJ$532&amp;'Gastos com Pessoal'!$I$6:$AJ$6,0),500,1)),0)+_xlfn.IFNA(SUM((Q$3&gt;='Gastos com Pessoal'!$E$7:$E$506)*(Q$3&lt;='Gastos com Pessoal'!$F$7:$F$506)*(IF('Gastos com Pessoal'!$AE$7:$AE$506&lt;=Q$3,1,0))*OFFSET('Gastos com Pessoal'!$H$6,1,MATCH(5&amp;$B56,'Gastos com Pessoal'!$I$532:$AJ$532&amp;'Gastos com Pessoal'!$I$6:$AJ$6,0),500,1)),0)+_xlfn.IFNA(SUM((Q$3&gt;='Gastos com Pessoal'!$E$513:$E$522)*(Q$3&lt;='Gastos com Pessoal'!$F$513:$F$522)*(IF('Gastos com Pessoal'!$G$513:$G$522&lt;=Q$3,1,0))*OFFSET('Gastos com Pessoal'!$H$512,1,MATCH(1&amp;$B56,'Gastos com Pessoal'!$I$532:$AJ$532&amp;'Gastos com Pessoal'!$I$512:$AJ$512,0),10,1)),0)+_xlfn.IFNA(SUM((Q$3&gt;='Gastos com Pessoal'!$E$513:$E$522)*(Q$3&lt;='Gastos com Pessoal'!$F$513:$F$522)*(IF('Gastos com Pessoal'!$M$513:$M$522&lt;=Q$3,1,0))*OFFSET('Gastos com Pessoal'!$H$512,1,MATCH(2&amp;$B56,'Gastos com Pessoal'!$I$532:$AJ$532&amp;'Gastos com Pessoal'!$I$512:$AJ$512,0),10,1)),0)+_xlfn.IFNA(SUM((Q$3&gt;='Gastos com Pessoal'!$E$513:$E$522)*(Q$3&lt;='Gastos com Pessoal'!$F$513:$F$522)*(IF('Gastos com Pessoal'!$S$513:$S$522&lt;=Q$3,1,0))*OFFSET('Gastos com Pessoal'!$H$512,1,MATCH(3&amp;$B56,'Gastos com Pessoal'!$I$532:$AJ$532&amp;'Gastos com Pessoal'!$I$512:$AJ$512,0),10,1)),0)+_xlfn.IFNA(SUM((Q$3&gt;='Gastos com Pessoal'!$E$513:$E$522)*(Q$3&lt;='Gastos com Pessoal'!$F$513:$F$522)*(IF('Gastos com Pessoal'!$Y$513:$Y$522&lt;=Q$3,1,0))*OFFSET('Gastos com Pessoal'!$H$512,1,MATCH(4&amp;$B56,'Gastos com Pessoal'!$I$532:$AJ$532&amp;'Gastos com Pessoal'!$I$512:$AJ$512,0),10,1)),0)+_xlfn.IFNA(SUM((Q$3&gt;='Gastos com Pessoal'!$E$513:$E$522)*(Q$3&lt;='Gastos com Pessoal'!$F$513:$F$522)*(IF('Gastos com Pessoal'!$AE$513:$AE$522&lt;=Q$3,1,0))*OFFSET('Gastos com Pessoal'!$H$512,1,MATCH(5&amp;$B56,'Gastos com Pessoal'!$I$532:$AJ$532&amp;'Gastos com Pessoal'!$I$512:$AJ$512,0),10,1)),0)</f>
        <v>62812.799999999712</v>
      </c>
      <c r="R56" s="188">
        <f t="array" aca="1" ref="R56" ca="1">_xlfn.IFNA(SUM((R$3&gt;='Gastos com Pessoal'!$E$7:$E$506)*(R$3&lt;='Gastos com Pessoal'!$F$7:$F$506)*OFFSET('Encargos e Benefícios'!$D$5,1,MATCH($B56,'Encargos e Benefícios'!$E$5:$AB$5,0),500,1)),0)+_xlfn.IFNA(SUM((R$3&gt;='Gastos com Pessoal'!$E$513:$E$522)*(R$3&lt;='Gastos com Pessoal'!$F$513:$F$522)*OFFSET('Encargos e Benefícios'!$D$511,1,MATCH($B56,'Encargos e Benefícios'!$E$511:$AB$511,0),10,1)),0)+_xlfn.IFNA(SUM((R$3&gt;='Gastos com Pessoal'!$E$7:$E$506)*(R$3&lt;='Gastos com Pessoal'!$F$7:$F$506)*(IF('Gastos com Pessoal'!$G$7:$G$506&lt;=R$3,1,0))*OFFSET('Gastos com Pessoal'!$H$6,1,MATCH(1&amp;$B56,'Gastos com Pessoal'!$I$532:$AJ$532&amp;'Gastos com Pessoal'!$I$6:$AJ$6,0),500,1)),0)+_xlfn.IFNA(SUM((R$3&gt;='Gastos com Pessoal'!$E$7:$E$506)*(R$3&lt;='Gastos com Pessoal'!$F$7:$F$506)*(IF('Gastos com Pessoal'!$M$7:$M$506&lt;=R$3,1,0))*OFFSET('Gastos com Pessoal'!$H$6,1,MATCH(2&amp;$B56,'Gastos com Pessoal'!$I$532:$AJ$532&amp;'Gastos com Pessoal'!$I$6:$AJ$6,0),500,1)),0)+_xlfn.IFNA(SUM((R$3&gt;='Gastos com Pessoal'!$E$7:$E$506)*(R$3&lt;='Gastos com Pessoal'!$F$7:$F$506)*(IF('Gastos com Pessoal'!$S$7:$S$506&lt;=R$3,1,0))*OFFSET('Gastos com Pessoal'!$H$6,1,MATCH(3&amp;$B56,'Gastos com Pessoal'!$I$532:$AJ$532&amp;'Gastos com Pessoal'!$I$6:$AJ$6,0),500,1)),0)+_xlfn.IFNA(SUM((R$3&gt;='Gastos com Pessoal'!$E$7:$E$506)*(R$3&lt;='Gastos com Pessoal'!$F$7:$F$506)*(IF('Gastos com Pessoal'!$Y$7:$Y$506&lt;=R$3,1,0))*OFFSET('Gastos com Pessoal'!$H$6,1,MATCH(4&amp;$B56,'Gastos com Pessoal'!$I$532:$AJ$532&amp;'Gastos com Pessoal'!$I$6:$AJ$6,0),500,1)),0)+_xlfn.IFNA(SUM((R$3&gt;='Gastos com Pessoal'!$E$7:$E$506)*(R$3&lt;='Gastos com Pessoal'!$F$7:$F$506)*(IF('Gastos com Pessoal'!$AE$7:$AE$506&lt;=R$3,1,0))*OFFSET('Gastos com Pessoal'!$H$6,1,MATCH(5&amp;$B56,'Gastos com Pessoal'!$I$532:$AJ$532&amp;'Gastos com Pessoal'!$I$6:$AJ$6,0),500,1)),0)+_xlfn.IFNA(SUM((R$3&gt;='Gastos com Pessoal'!$E$513:$E$522)*(R$3&lt;='Gastos com Pessoal'!$F$513:$F$522)*(IF('Gastos com Pessoal'!$G$513:$G$522&lt;=R$3,1,0))*OFFSET('Gastos com Pessoal'!$H$512,1,MATCH(1&amp;$B56,'Gastos com Pessoal'!$I$532:$AJ$532&amp;'Gastos com Pessoal'!$I$512:$AJ$512,0),10,1)),0)+_xlfn.IFNA(SUM((R$3&gt;='Gastos com Pessoal'!$E$513:$E$522)*(R$3&lt;='Gastos com Pessoal'!$F$513:$F$522)*(IF('Gastos com Pessoal'!$M$513:$M$522&lt;=R$3,1,0))*OFFSET('Gastos com Pessoal'!$H$512,1,MATCH(2&amp;$B56,'Gastos com Pessoal'!$I$532:$AJ$532&amp;'Gastos com Pessoal'!$I$512:$AJ$512,0),10,1)),0)+_xlfn.IFNA(SUM((R$3&gt;='Gastos com Pessoal'!$E$513:$E$522)*(R$3&lt;='Gastos com Pessoal'!$F$513:$F$522)*(IF('Gastos com Pessoal'!$S$513:$S$522&lt;=R$3,1,0))*OFFSET('Gastos com Pessoal'!$H$512,1,MATCH(3&amp;$B56,'Gastos com Pessoal'!$I$532:$AJ$532&amp;'Gastos com Pessoal'!$I$512:$AJ$512,0),10,1)),0)+_xlfn.IFNA(SUM((R$3&gt;='Gastos com Pessoal'!$E$513:$E$522)*(R$3&lt;='Gastos com Pessoal'!$F$513:$F$522)*(IF('Gastos com Pessoal'!$Y$513:$Y$522&lt;=R$3,1,0))*OFFSET('Gastos com Pessoal'!$H$512,1,MATCH(4&amp;$B56,'Gastos com Pessoal'!$I$532:$AJ$532&amp;'Gastos com Pessoal'!$I$512:$AJ$512,0),10,1)),0)+_xlfn.IFNA(SUM((R$3&gt;='Gastos com Pessoal'!$E$513:$E$522)*(R$3&lt;='Gastos com Pessoal'!$F$513:$F$522)*(IF('Gastos com Pessoal'!$AE$513:$AE$522&lt;=R$3,1,0))*OFFSET('Gastos com Pessoal'!$H$512,1,MATCH(5&amp;$B56,'Gastos com Pessoal'!$I$532:$AJ$532&amp;'Gastos com Pessoal'!$I$512:$AJ$512,0),10,1)),0)</f>
        <v>62812.799999999712</v>
      </c>
      <c r="S56" s="188">
        <f t="array" aca="1" ref="S56" ca="1">_xlfn.IFNA(SUM((S$3&gt;='Gastos com Pessoal'!$E$7:$E$506)*(S$3&lt;='Gastos com Pessoal'!$F$7:$F$506)*OFFSET('Encargos e Benefícios'!$D$5,1,MATCH($B56,'Encargos e Benefícios'!$E$5:$AB$5,0),500,1)),0)+_xlfn.IFNA(SUM((S$3&gt;='Gastos com Pessoal'!$E$513:$E$522)*(S$3&lt;='Gastos com Pessoal'!$F$513:$F$522)*OFFSET('Encargos e Benefícios'!$D$511,1,MATCH($B56,'Encargos e Benefícios'!$E$511:$AB$511,0),10,1)),0)+_xlfn.IFNA(SUM((S$3&gt;='Gastos com Pessoal'!$E$7:$E$506)*(S$3&lt;='Gastos com Pessoal'!$F$7:$F$506)*(IF('Gastos com Pessoal'!$G$7:$G$506&lt;=S$3,1,0))*OFFSET('Gastos com Pessoal'!$H$6,1,MATCH(1&amp;$B56,'Gastos com Pessoal'!$I$532:$AJ$532&amp;'Gastos com Pessoal'!$I$6:$AJ$6,0),500,1)),0)+_xlfn.IFNA(SUM((S$3&gt;='Gastos com Pessoal'!$E$7:$E$506)*(S$3&lt;='Gastos com Pessoal'!$F$7:$F$506)*(IF('Gastos com Pessoal'!$M$7:$M$506&lt;=S$3,1,0))*OFFSET('Gastos com Pessoal'!$H$6,1,MATCH(2&amp;$B56,'Gastos com Pessoal'!$I$532:$AJ$532&amp;'Gastos com Pessoal'!$I$6:$AJ$6,0),500,1)),0)+_xlfn.IFNA(SUM((S$3&gt;='Gastos com Pessoal'!$E$7:$E$506)*(S$3&lt;='Gastos com Pessoal'!$F$7:$F$506)*(IF('Gastos com Pessoal'!$S$7:$S$506&lt;=S$3,1,0))*OFFSET('Gastos com Pessoal'!$H$6,1,MATCH(3&amp;$B56,'Gastos com Pessoal'!$I$532:$AJ$532&amp;'Gastos com Pessoal'!$I$6:$AJ$6,0),500,1)),0)+_xlfn.IFNA(SUM((S$3&gt;='Gastos com Pessoal'!$E$7:$E$506)*(S$3&lt;='Gastos com Pessoal'!$F$7:$F$506)*(IF('Gastos com Pessoal'!$Y$7:$Y$506&lt;=S$3,1,0))*OFFSET('Gastos com Pessoal'!$H$6,1,MATCH(4&amp;$B56,'Gastos com Pessoal'!$I$532:$AJ$532&amp;'Gastos com Pessoal'!$I$6:$AJ$6,0),500,1)),0)+_xlfn.IFNA(SUM((S$3&gt;='Gastos com Pessoal'!$E$7:$E$506)*(S$3&lt;='Gastos com Pessoal'!$F$7:$F$506)*(IF('Gastos com Pessoal'!$AE$7:$AE$506&lt;=S$3,1,0))*OFFSET('Gastos com Pessoal'!$H$6,1,MATCH(5&amp;$B56,'Gastos com Pessoal'!$I$532:$AJ$532&amp;'Gastos com Pessoal'!$I$6:$AJ$6,0),500,1)),0)+_xlfn.IFNA(SUM((S$3&gt;='Gastos com Pessoal'!$E$513:$E$522)*(S$3&lt;='Gastos com Pessoal'!$F$513:$F$522)*(IF('Gastos com Pessoal'!$G$513:$G$522&lt;=S$3,1,0))*OFFSET('Gastos com Pessoal'!$H$512,1,MATCH(1&amp;$B56,'Gastos com Pessoal'!$I$532:$AJ$532&amp;'Gastos com Pessoal'!$I$512:$AJ$512,0),10,1)),0)+_xlfn.IFNA(SUM((S$3&gt;='Gastos com Pessoal'!$E$513:$E$522)*(S$3&lt;='Gastos com Pessoal'!$F$513:$F$522)*(IF('Gastos com Pessoal'!$M$513:$M$522&lt;=S$3,1,0))*OFFSET('Gastos com Pessoal'!$H$512,1,MATCH(2&amp;$B56,'Gastos com Pessoal'!$I$532:$AJ$532&amp;'Gastos com Pessoal'!$I$512:$AJ$512,0),10,1)),0)+_xlfn.IFNA(SUM((S$3&gt;='Gastos com Pessoal'!$E$513:$E$522)*(S$3&lt;='Gastos com Pessoal'!$F$513:$F$522)*(IF('Gastos com Pessoal'!$S$513:$S$522&lt;=S$3,1,0))*OFFSET('Gastos com Pessoal'!$H$512,1,MATCH(3&amp;$B56,'Gastos com Pessoal'!$I$532:$AJ$532&amp;'Gastos com Pessoal'!$I$512:$AJ$512,0),10,1)),0)+_xlfn.IFNA(SUM((S$3&gt;='Gastos com Pessoal'!$E$513:$E$522)*(S$3&lt;='Gastos com Pessoal'!$F$513:$F$522)*(IF('Gastos com Pessoal'!$Y$513:$Y$522&lt;=S$3,1,0))*OFFSET('Gastos com Pessoal'!$H$512,1,MATCH(4&amp;$B56,'Gastos com Pessoal'!$I$532:$AJ$532&amp;'Gastos com Pessoal'!$I$512:$AJ$512,0),10,1)),0)+_xlfn.IFNA(SUM((S$3&gt;='Gastos com Pessoal'!$E$513:$E$522)*(S$3&lt;='Gastos com Pessoal'!$F$513:$F$522)*(IF('Gastos com Pessoal'!$AE$513:$AE$522&lt;=S$3,1,0))*OFFSET('Gastos com Pessoal'!$H$512,1,MATCH(5&amp;$B56,'Gastos com Pessoal'!$I$532:$AJ$532&amp;'Gastos com Pessoal'!$I$512:$AJ$512,0),10,1)),0)</f>
        <v>62812.799999999712</v>
      </c>
      <c r="T56" s="188">
        <f t="array" aca="1" ref="T56" ca="1">_xlfn.IFNA(SUM((T$3&gt;='Gastos com Pessoal'!$E$7:$E$506)*(T$3&lt;='Gastos com Pessoal'!$F$7:$F$506)*OFFSET('Encargos e Benefícios'!$D$5,1,MATCH($B56,'Encargos e Benefícios'!$E$5:$AB$5,0),500,1)),0)+_xlfn.IFNA(SUM((T$3&gt;='Gastos com Pessoal'!$E$513:$E$522)*(T$3&lt;='Gastos com Pessoal'!$F$513:$F$522)*OFFSET('Encargos e Benefícios'!$D$511,1,MATCH($B56,'Encargos e Benefícios'!$E$511:$AB$511,0),10,1)),0)+_xlfn.IFNA(SUM((T$3&gt;='Gastos com Pessoal'!$E$7:$E$506)*(T$3&lt;='Gastos com Pessoal'!$F$7:$F$506)*(IF('Gastos com Pessoal'!$G$7:$G$506&lt;=T$3,1,0))*OFFSET('Gastos com Pessoal'!$H$6,1,MATCH(1&amp;$B56,'Gastos com Pessoal'!$I$532:$AJ$532&amp;'Gastos com Pessoal'!$I$6:$AJ$6,0),500,1)),0)+_xlfn.IFNA(SUM((T$3&gt;='Gastos com Pessoal'!$E$7:$E$506)*(T$3&lt;='Gastos com Pessoal'!$F$7:$F$506)*(IF('Gastos com Pessoal'!$M$7:$M$506&lt;=T$3,1,0))*OFFSET('Gastos com Pessoal'!$H$6,1,MATCH(2&amp;$B56,'Gastos com Pessoal'!$I$532:$AJ$532&amp;'Gastos com Pessoal'!$I$6:$AJ$6,0),500,1)),0)+_xlfn.IFNA(SUM((T$3&gt;='Gastos com Pessoal'!$E$7:$E$506)*(T$3&lt;='Gastos com Pessoal'!$F$7:$F$506)*(IF('Gastos com Pessoal'!$S$7:$S$506&lt;=T$3,1,0))*OFFSET('Gastos com Pessoal'!$H$6,1,MATCH(3&amp;$B56,'Gastos com Pessoal'!$I$532:$AJ$532&amp;'Gastos com Pessoal'!$I$6:$AJ$6,0),500,1)),0)+_xlfn.IFNA(SUM((T$3&gt;='Gastos com Pessoal'!$E$7:$E$506)*(T$3&lt;='Gastos com Pessoal'!$F$7:$F$506)*(IF('Gastos com Pessoal'!$Y$7:$Y$506&lt;=T$3,1,0))*OFFSET('Gastos com Pessoal'!$H$6,1,MATCH(4&amp;$B56,'Gastos com Pessoal'!$I$532:$AJ$532&amp;'Gastos com Pessoal'!$I$6:$AJ$6,0),500,1)),0)+_xlfn.IFNA(SUM((T$3&gt;='Gastos com Pessoal'!$E$7:$E$506)*(T$3&lt;='Gastos com Pessoal'!$F$7:$F$506)*(IF('Gastos com Pessoal'!$AE$7:$AE$506&lt;=T$3,1,0))*OFFSET('Gastos com Pessoal'!$H$6,1,MATCH(5&amp;$B56,'Gastos com Pessoal'!$I$532:$AJ$532&amp;'Gastos com Pessoal'!$I$6:$AJ$6,0),500,1)),0)+_xlfn.IFNA(SUM((T$3&gt;='Gastos com Pessoal'!$E$513:$E$522)*(T$3&lt;='Gastos com Pessoal'!$F$513:$F$522)*(IF('Gastos com Pessoal'!$G$513:$G$522&lt;=T$3,1,0))*OFFSET('Gastos com Pessoal'!$H$512,1,MATCH(1&amp;$B56,'Gastos com Pessoal'!$I$532:$AJ$532&amp;'Gastos com Pessoal'!$I$512:$AJ$512,0),10,1)),0)+_xlfn.IFNA(SUM((T$3&gt;='Gastos com Pessoal'!$E$513:$E$522)*(T$3&lt;='Gastos com Pessoal'!$F$513:$F$522)*(IF('Gastos com Pessoal'!$M$513:$M$522&lt;=T$3,1,0))*OFFSET('Gastos com Pessoal'!$H$512,1,MATCH(2&amp;$B56,'Gastos com Pessoal'!$I$532:$AJ$532&amp;'Gastos com Pessoal'!$I$512:$AJ$512,0),10,1)),0)+_xlfn.IFNA(SUM((T$3&gt;='Gastos com Pessoal'!$E$513:$E$522)*(T$3&lt;='Gastos com Pessoal'!$F$513:$F$522)*(IF('Gastos com Pessoal'!$S$513:$S$522&lt;=T$3,1,0))*OFFSET('Gastos com Pessoal'!$H$512,1,MATCH(3&amp;$B56,'Gastos com Pessoal'!$I$532:$AJ$532&amp;'Gastos com Pessoal'!$I$512:$AJ$512,0),10,1)),0)+_xlfn.IFNA(SUM((T$3&gt;='Gastos com Pessoal'!$E$513:$E$522)*(T$3&lt;='Gastos com Pessoal'!$F$513:$F$522)*(IF('Gastos com Pessoal'!$Y$513:$Y$522&lt;=T$3,1,0))*OFFSET('Gastos com Pessoal'!$H$512,1,MATCH(4&amp;$B56,'Gastos com Pessoal'!$I$532:$AJ$532&amp;'Gastos com Pessoal'!$I$512:$AJ$512,0),10,1)),0)+_xlfn.IFNA(SUM((T$3&gt;='Gastos com Pessoal'!$E$513:$E$522)*(T$3&lt;='Gastos com Pessoal'!$F$513:$F$522)*(IF('Gastos com Pessoal'!$AE$513:$AE$522&lt;=T$3,1,0))*OFFSET('Gastos com Pessoal'!$H$512,1,MATCH(5&amp;$B56,'Gastos com Pessoal'!$I$532:$AJ$532&amp;'Gastos com Pessoal'!$I$512:$AJ$512,0),10,1)),0)</f>
        <v>62812.799999999712</v>
      </c>
      <c r="U56" s="188">
        <f t="array" aca="1" ref="U56" ca="1">_xlfn.IFNA(SUM((U$3&gt;='Gastos com Pessoal'!$E$7:$E$506)*(U$3&lt;='Gastos com Pessoal'!$F$7:$F$506)*OFFSET('Encargos e Benefícios'!$D$5,1,MATCH($B56,'Encargos e Benefícios'!$E$5:$AB$5,0),500,1)),0)+_xlfn.IFNA(SUM((U$3&gt;='Gastos com Pessoal'!$E$513:$E$522)*(U$3&lt;='Gastos com Pessoal'!$F$513:$F$522)*OFFSET('Encargos e Benefícios'!$D$511,1,MATCH($B56,'Encargos e Benefícios'!$E$511:$AB$511,0),10,1)),0)+_xlfn.IFNA(SUM((U$3&gt;='Gastos com Pessoal'!$E$7:$E$506)*(U$3&lt;='Gastos com Pessoal'!$F$7:$F$506)*(IF('Gastos com Pessoal'!$G$7:$G$506&lt;=U$3,1,0))*OFFSET('Gastos com Pessoal'!$H$6,1,MATCH(1&amp;$B56,'Gastos com Pessoal'!$I$532:$AJ$532&amp;'Gastos com Pessoal'!$I$6:$AJ$6,0),500,1)),0)+_xlfn.IFNA(SUM((U$3&gt;='Gastos com Pessoal'!$E$7:$E$506)*(U$3&lt;='Gastos com Pessoal'!$F$7:$F$506)*(IF('Gastos com Pessoal'!$M$7:$M$506&lt;=U$3,1,0))*OFFSET('Gastos com Pessoal'!$H$6,1,MATCH(2&amp;$B56,'Gastos com Pessoal'!$I$532:$AJ$532&amp;'Gastos com Pessoal'!$I$6:$AJ$6,0),500,1)),0)+_xlfn.IFNA(SUM((U$3&gt;='Gastos com Pessoal'!$E$7:$E$506)*(U$3&lt;='Gastos com Pessoal'!$F$7:$F$506)*(IF('Gastos com Pessoal'!$S$7:$S$506&lt;=U$3,1,0))*OFFSET('Gastos com Pessoal'!$H$6,1,MATCH(3&amp;$B56,'Gastos com Pessoal'!$I$532:$AJ$532&amp;'Gastos com Pessoal'!$I$6:$AJ$6,0),500,1)),0)+_xlfn.IFNA(SUM((U$3&gt;='Gastos com Pessoal'!$E$7:$E$506)*(U$3&lt;='Gastos com Pessoal'!$F$7:$F$506)*(IF('Gastos com Pessoal'!$Y$7:$Y$506&lt;=U$3,1,0))*OFFSET('Gastos com Pessoal'!$H$6,1,MATCH(4&amp;$B56,'Gastos com Pessoal'!$I$532:$AJ$532&amp;'Gastos com Pessoal'!$I$6:$AJ$6,0),500,1)),0)+_xlfn.IFNA(SUM((U$3&gt;='Gastos com Pessoal'!$E$7:$E$506)*(U$3&lt;='Gastos com Pessoal'!$F$7:$F$506)*(IF('Gastos com Pessoal'!$AE$7:$AE$506&lt;=U$3,1,0))*OFFSET('Gastos com Pessoal'!$H$6,1,MATCH(5&amp;$B56,'Gastos com Pessoal'!$I$532:$AJ$532&amp;'Gastos com Pessoal'!$I$6:$AJ$6,0),500,1)),0)+_xlfn.IFNA(SUM((U$3&gt;='Gastos com Pessoal'!$E$513:$E$522)*(U$3&lt;='Gastos com Pessoal'!$F$513:$F$522)*(IF('Gastos com Pessoal'!$G$513:$G$522&lt;=U$3,1,0))*OFFSET('Gastos com Pessoal'!$H$512,1,MATCH(1&amp;$B56,'Gastos com Pessoal'!$I$532:$AJ$532&amp;'Gastos com Pessoal'!$I$512:$AJ$512,0),10,1)),0)+_xlfn.IFNA(SUM((U$3&gt;='Gastos com Pessoal'!$E$513:$E$522)*(U$3&lt;='Gastos com Pessoal'!$F$513:$F$522)*(IF('Gastos com Pessoal'!$M$513:$M$522&lt;=U$3,1,0))*OFFSET('Gastos com Pessoal'!$H$512,1,MATCH(2&amp;$B56,'Gastos com Pessoal'!$I$532:$AJ$532&amp;'Gastos com Pessoal'!$I$512:$AJ$512,0),10,1)),0)+_xlfn.IFNA(SUM((U$3&gt;='Gastos com Pessoal'!$E$513:$E$522)*(U$3&lt;='Gastos com Pessoal'!$F$513:$F$522)*(IF('Gastos com Pessoal'!$S$513:$S$522&lt;=U$3,1,0))*OFFSET('Gastos com Pessoal'!$H$512,1,MATCH(3&amp;$B56,'Gastos com Pessoal'!$I$532:$AJ$532&amp;'Gastos com Pessoal'!$I$512:$AJ$512,0),10,1)),0)+_xlfn.IFNA(SUM((U$3&gt;='Gastos com Pessoal'!$E$513:$E$522)*(U$3&lt;='Gastos com Pessoal'!$F$513:$F$522)*(IF('Gastos com Pessoal'!$Y$513:$Y$522&lt;=U$3,1,0))*OFFSET('Gastos com Pessoal'!$H$512,1,MATCH(4&amp;$B56,'Gastos com Pessoal'!$I$532:$AJ$532&amp;'Gastos com Pessoal'!$I$512:$AJ$512,0),10,1)),0)+_xlfn.IFNA(SUM((U$3&gt;='Gastos com Pessoal'!$E$513:$E$522)*(U$3&lt;='Gastos com Pessoal'!$F$513:$F$522)*(IF('Gastos com Pessoal'!$AE$513:$AE$522&lt;=U$3,1,0))*OFFSET('Gastos com Pessoal'!$H$512,1,MATCH(5&amp;$B56,'Gastos com Pessoal'!$I$532:$AJ$532&amp;'Gastos com Pessoal'!$I$512:$AJ$512,0),10,1)),0)</f>
        <v>62812.799999999712</v>
      </c>
      <c r="V56" s="188">
        <f t="array" aca="1" ref="V56" ca="1">_xlfn.IFNA(SUM((V$3&gt;='Gastos com Pessoal'!$E$7:$E$506)*(V$3&lt;='Gastos com Pessoal'!$F$7:$F$506)*OFFSET('Encargos e Benefícios'!$D$5,1,MATCH($B56,'Encargos e Benefícios'!$E$5:$AB$5,0),500,1)),0)+_xlfn.IFNA(SUM((V$3&gt;='Gastos com Pessoal'!$E$513:$E$522)*(V$3&lt;='Gastos com Pessoal'!$F$513:$F$522)*OFFSET('Encargos e Benefícios'!$D$511,1,MATCH($B56,'Encargos e Benefícios'!$E$511:$AB$511,0),10,1)),0)+_xlfn.IFNA(SUM((V$3&gt;='Gastos com Pessoal'!$E$7:$E$506)*(V$3&lt;='Gastos com Pessoal'!$F$7:$F$506)*(IF('Gastos com Pessoal'!$G$7:$G$506&lt;=V$3,1,0))*OFFSET('Gastos com Pessoal'!$H$6,1,MATCH(1&amp;$B56,'Gastos com Pessoal'!$I$532:$AJ$532&amp;'Gastos com Pessoal'!$I$6:$AJ$6,0),500,1)),0)+_xlfn.IFNA(SUM((V$3&gt;='Gastos com Pessoal'!$E$7:$E$506)*(V$3&lt;='Gastos com Pessoal'!$F$7:$F$506)*(IF('Gastos com Pessoal'!$M$7:$M$506&lt;=V$3,1,0))*OFFSET('Gastos com Pessoal'!$H$6,1,MATCH(2&amp;$B56,'Gastos com Pessoal'!$I$532:$AJ$532&amp;'Gastos com Pessoal'!$I$6:$AJ$6,0),500,1)),0)+_xlfn.IFNA(SUM((V$3&gt;='Gastos com Pessoal'!$E$7:$E$506)*(V$3&lt;='Gastos com Pessoal'!$F$7:$F$506)*(IF('Gastos com Pessoal'!$S$7:$S$506&lt;=V$3,1,0))*OFFSET('Gastos com Pessoal'!$H$6,1,MATCH(3&amp;$B56,'Gastos com Pessoal'!$I$532:$AJ$532&amp;'Gastos com Pessoal'!$I$6:$AJ$6,0),500,1)),0)+_xlfn.IFNA(SUM((V$3&gt;='Gastos com Pessoal'!$E$7:$E$506)*(V$3&lt;='Gastos com Pessoal'!$F$7:$F$506)*(IF('Gastos com Pessoal'!$Y$7:$Y$506&lt;=V$3,1,0))*OFFSET('Gastos com Pessoal'!$H$6,1,MATCH(4&amp;$B56,'Gastos com Pessoal'!$I$532:$AJ$532&amp;'Gastos com Pessoal'!$I$6:$AJ$6,0),500,1)),0)+_xlfn.IFNA(SUM((V$3&gt;='Gastos com Pessoal'!$E$7:$E$506)*(V$3&lt;='Gastos com Pessoal'!$F$7:$F$506)*(IF('Gastos com Pessoal'!$AE$7:$AE$506&lt;=V$3,1,0))*OFFSET('Gastos com Pessoal'!$H$6,1,MATCH(5&amp;$B56,'Gastos com Pessoal'!$I$532:$AJ$532&amp;'Gastos com Pessoal'!$I$6:$AJ$6,0),500,1)),0)+_xlfn.IFNA(SUM((V$3&gt;='Gastos com Pessoal'!$E$513:$E$522)*(V$3&lt;='Gastos com Pessoal'!$F$513:$F$522)*(IF('Gastos com Pessoal'!$G$513:$G$522&lt;=V$3,1,0))*OFFSET('Gastos com Pessoal'!$H$512,1,MATCH(1&amp;$B56,'Gastos com Pessoal'!$I$532:$AJ$532&amp;'Gastos com Pessoal'!$I$512:$AJ$512,0),10,1)),0)+_xlfn.IFNA(SUM((V$3&gt;='Gastos com Pessoal'!$E$513:$E$522)*(V$3&lt;='Gastos com Pessoal'!$F$513:$F$522)*(IF('Gastos com Pessoal'!$M$513:$M$522&lt;=V$3,1,0))*OFFSET('Gastos com Pessoal'!$H$512,1,MATCH(2&amp;$B56,'Gastos com Pessoal'!$I$532:$AJ$532&amp;'Gastos com Pessoal'!$I$512:$AJ$512,0),10,1)),0)+_xlfn.IFNA(SUM((V$3&gt;='Gastos com Pessoal'!$E$513:$E$522)*(V$3&lt;='Gastos com Pessoal'!$F$513:$F$522)*(IF('Gastos com Pessoal'!$S$513:$S$522&lt;=V$3,1,0))*OFFSET('Gastos com Pessoal'!$H$512,1,MATCH(3&amp;$B56,'Gastos com Pessoal'!$I$532:$AJ$532&amp;'Gastos com Pessoal'!$I$512:$AJ$512,0),10,1)),0)+_xlfn.IFNA(SUM((V$3&gt;='Gastos com Pessoal'!$E$513:$E$522)*(V$3&lt;='Gastos com Pessoal'!$F$513:$F$522)*(IF('Gastos com Pessoal'!$Y$513:$Y$522&lt;=V$3,1,0))*OFFSET('Gastos com Pessoal'!$H$512,1,MATCH(4&amp;$B56,'Gastos com Pessoal'!$I$532:$AJ$532&amp;'Gastos com Pessoal'!$I$512:$AJ$512,0),10,1)),0)+_xlfn.IFNA(SUM((V$3&gt;='Gastos com Pessoal'!$E$513:$E$522)*(V$3&lt;='Gastos com Pessoal'!$F$513:$F$522)*(IF('Gastos com Pessoal'!$AE$513:$AE$522&lt;=V$3,1,0))*OFFSET('Gastos com Pessoal'!$H$512,1,MATCH(5&amp;$B56,'Gastos com Pessoal'!$I$532:$AJ$532&amp;'Gastos com Pessoal'!$I$512:$AJ$512,0),10,1)),0)</f>
        <v>62812.799999999712</v>
      </c>
      <c r="W56" s="188">
        <f t="array" aca="1" ref="W56" ca="1">_xlfn.IFNA(SUM((W$3&gt;='Gastos com Pessoal'!$E$7:$E$506)*(W$3&lt;='Gastos com Pessoal'!$F$7:$F$506)*OFFSET('Encargos e Benefícios'!$D$5,1,MATCH($B56,'Encargos e Benefícios'!$E$5:$AB$5,0),500,1)),0)+_xlfn.IFNA(SUM((W$3&gt;='Gastos com Pessoal'!$E$513:$E$522)*(W$3&lt;='Gastos com Pessoal'!$F$513:$F$522)*OFFSET('Encargos e Benefícios'!$D$511,1,MATCH($B56,'Encargos e Benefícios'!$E$511:$AB$511,0),10,1)),0)+_xlfn.IFNA(SUM((W$3&gt;='Gastos com Pessoal'!$E$7:$E$506)*(W$3&lt;='Gastos com Pessoal'!$F$7:$F$506)*(IF('Gastos com Pessoal'!$G$7:$G$506&lt;=W$3,1,0))*OFFSET('Gastos com Pessoal'!$H$6,1,MATCH(1&amp;$B56,'Gastos com Pessoal'!$I$532:$AJ$532&amp;'Gastos com Pessoal'!$I$6:$AJ$6,0),500,1)),0)+_xlfn.IFNA(SUM((W$3&gt;='Gastos com Pessoal'!$E$7:$E$506)*(W$3&lt;='Gastos com Pessoal'!$F$7:$F$506)*(IF('Gastos com Pessoal'!$M$7:$M$506&lt;=W$3,1,0))*OFFSET('Gastos com Pessoal'!$H$6,1,MATCH(2&amp;$B56,'Gastos com Pessoal'!$I$532:$AJ$532&amp;'Gastos com Pessoal'!$I$6:$AJ$6,0),500,1)),0)+_xlfn.IFNA(SUM((W$3&gt;='Gastos com Pessoal'!$E$7:$E$506)*(W$3&lt;='Gastos com Pessoal'!$F$7:$F$506)*(IF('Gastos com Pessoal'!$S$7:$S$506&lt;=W$3,1,0))*OFFSET('Gastos com Pessoal'!$H$6,1,MATCH(3&amp;$B56,'Gastos com Pessoal'!$I$532:$AJ$532&amp;'Gastos com Pessoal'!$I$6:$AJ$6,0),500,1)),0)+_xlfn.IFNA(SUM((W$3&gt;='Gastos com Pessoal'!$E$7:$E$506)*(W$3&lt;='Gastos com Pessoal'!$F$7:$F$506)*(IF('Gastos com Pessoal'!$Y$7:$Y$506&lt;=W$3,1,0))*OFFSET('Gastos com Pessoal'!$H$6,1,MATCH(4&amp;$B56,'Gastos com Pessoal'!$I$532:$AJ$532&amp;'Gastos com Pessoal'!$I$6:$AJ$6,0),500,1)),0)+_xlfn.IFNA(SUM((W$3&gt;='Gastos com Pessoal'!$E$7:$E$506)*(W$3&lt;='Gastos com Pessoal'!$F$7:$F$506)*(IF('Gastos com Pessoal'!$AE$7:$AE$506&lt;=W$3,1,0))*OFFSET('Gastos com Pessoal'!$H$6,1,MATCH(5&amp;$B56,'Gastos com Pessoal'!$I$532:$AJ$532&amp;'Gastos com Pessoal'!$I$6:$AJ$6,0),500,1)),0)+_xlfn.IFNA(SUM((W$3&gt;='Gastos com Pessoal'!$E$513:$E$522)*(W$3&lt;='Gastos com Pessoal'!$F$513:$F$522)*(IF('Gastos com Pessoal'!$G$513:$G$522&lt;=W$3,1,0))*OFFSET('Gastos com Pessoal'!$H$512,1,MATCH(1&amp;$B56,'Gastos com Pessoal'!$I$532:$AJ$532&amp;'Gastos com Pessoal'!$I$512:$AJ$512,0),10,1)),0)+_xlfn.IFNA(SUM((W$3&gt;='Gastos com Pessoal'!$E$513:$E$522)*(W$3&lt;='Gastos com Pessoal'!$F$513:$F$522)*(IF('Gastos com Pessoal'!$M$513:$M$522&lt;=W$3,1,0))*OFFSET('Gastos com Pessoal'!$H$512,1,MATCH(2&amp;$B56,'Gastos com Pessoal'!$I$532:$AJ$532&amp;'Gastos com Pessoal'!$I$512:$AJ$512,0),10,1)),0)+_xlfn.IFNA(SUM((W$3&gt;='Gastos com Pessoal'!$E$513:$E$522)*(W$3&lt;='Gastos com Pessoal'!$F$513:$F$522)*(IF('Gastos com Pessoal'!$S$513:$S$522&lt;=W$3,1,0))*OFFSET('Gastos com Pessoal'!$H$512,1,MATCH(3&amp;$B56,'Gastos com Pessoal'!$I$532:$AJ$532&amp;'Gastos com Pessoal'!$I$512:$AJ$512,0),10,1)),0)+_xlfn.IFNA(SUM((W$3&gt;='Gastos com Pessoal'!$E$513:$E$522)*(W$3&lt;='Gastos com Pessoal'!$F$513:$F$522)*(IF('Gastos com Pessoal'!$Y$513:$Y$522&lt;=W$3,1,0))*OFFSET('Gastos com Pessoal'!$H$512,1,MATCH(4&amp;$B56,'Gastos com Pessoal'!$I$532:$AJ$532&amp;'Gastos com Pessoal'!$I$512:$AJ$512,0),10,1)),0)+_xlfn.IFNA(SUM((W$3&gt;='Gastos com Pessoal'!$E$513:$E$522)*(W$3&lt;='Gastos com Pessoal'!$F$513:$F$522)*(IF('Gastos com Pessoal'!$AE$513:$AE$522&lt;=W$3,1,0))*OFFSET('Gastos com Pessoal'!$H$512,1,MATCH(5&amp;$B56,'Gastos com Pessoal'!$I$532:$AJ$532&amp;'Gastos com Pessoal'!$I$512:$AJ$512,0),10,1)),0)</f>
        <v>62812.799999999712</v>
      </c>
      <c r="X56" s="188">
        <f t="array" aca="1" ref="X56" ca="1">_xlfn.IFNA(SUM((X$3&gt;='Gastos com Pessoal'!$E$7:$E$506)*(X$3&lt;='Gastos com Pessoal'!$F$7:$F$506)*OFFSET('Encargos e Benefícios'!$D$5,1,MATCH($B56,'Encargos e Benefícios'!$E$5:$AB$5,0),500,1)),0)+_xlfn.IFNA(SUM((X$3&gt;='Gastos com Pessoal'!$E$513:$E$522)*(X$3&lt;='Gastos com Pessoal'!$F$513:$F$522)*OFFSET('Encargos e Benefícios'!$D$511,1,MATCH($B56,'Encargos e Benefícios'!$E$511:$AB$511,0),10,1)),0)+_xlfn.IFNA(SUM((X$3&gt;='Gastos com Pessoal'!$E$7:$E$506)*(X$3&lt;='Gastos com Pessoal'!$F$7:$F$506)*(IF('Gastos com Pessoal'!$G$7:$G$506&lt;=X$3,1,0))*OFFSET('Gastos com Pessoal'!$H$6,1,MATCH(1&amp;$B56,'Gastos com Pessoal'!$I$532:$AJ$532&amp;'Gastos com Pessoal'!$I$6:$AJ$6,0),500,1)),0)+_xlfn.IFNA(SUM((X$3&gt;='Gastos com Pessoal'!$E$7:$E$506)*(X$3&lt;='Gastos com Pessoal'!$F$7:$F$506)*(IF('Gastos com Pessoal'!$M$7:$M$506&lt;=X$3,1,0))*OFFSET('Gastos com Pessoal'!$H$6,1,MATCH(2&amp;$B56,'Gastos com Pessoal'!$I$532:$AJ$532&amp;'Gastos com Pessoal'!$I$6:$AJ$6,0),500,1)),0)+_xlfn.IFNA(SUM((X$3&gt;='Gastos com Pessoal'!$E$7:$E$506)*(X$3&lt;='Gastos com Pessoal'!$F$7:$F$506)*(IF('Gastos com Pessoal'!$S$7:$S$506&lt;=X$3,1,0))*OFFSET('Gastos com Pessoal'!$H$6,1,MATCH(3&amp;$B56,'Gastos com Pessoal'!$I$532:$AJ$532&amp;'Gastos com Pessoal'!$I$6:$AJ$6,0),500,1)),0)+_xlfn.IFNA(SUM((X$3&gt;='Gastos com Pessoal'!$E$7:$E$506)*(X$3&lt;='Gastos com Pessoal'!$F$7:$F$506)*(IF('Gastos com Pessoal'!$Y$7:$Y$506&lt;=X$3,1,0))*OFFSET('Gastos com Pessoal'!$H$6,1,MATCH(4&amp;$B56,'Gastos com Pessoal'!$I$532:$AJ$532&amp;'Gastos com Pessoal'!$I$6:$AJ$6,0),500,1)),0)+_xlfn.IFNA(SUM((X$3&gt;='Gastos com Pessoal'!$E$7:$E$506)*(X$3&lt;='Gastos com Pessoal'!$F$7:$F$506)*(IF('Gastos com Pessoal'!$AE$7:$AE$506&lt;=X$3,1,0))*OFFSET('Gastos com Pessoal'!$H$6,1,MATCH(5&amp;$B56,'Gastos com Pessoal'!$I$532:$AJ$532&amp;'Gastos com Pessoal'!$I$6:$AJ$6,0),500,1)),0)+_xlfn.IFNA(SUM((X$3&gt;='Gastos com Pessoal'!$E$513:$E$522)*(X$3&lt;='Gastos com Pessoal'!$F$513:$F$522)*(IF('Gastos com Pessoal'!$G$513:$G$522&lt;=X$3,1,0))*OFFSET('Gastos com Pessoal'!$H$512,1,MATCH(1&amp;$B56,'Gastos com Pessoal'!$I$532:$AJ$532&amp;'Gastos com Pessoal'!$I$512:$AJ$512,0),10,1)),0)+_xlfn.IFNA(SUM((X$3&gt;='Gastos com Pessoal'!$E$513:$E$522)*(X$3&lt;='Gastos com Pessoal'!$F$513:$F$522)*(IF('Gastos com Pessoal'!$M$513:$M$522&lt;=X$3,1,0))*OFFSET('Gastos com Pessoal'!$H$512,1,MATCH(2&amp;$B56,'Gastos com Pessoal'!$I$532:$AJ$532&amp;'Gastos com Pessoal'!$I$512:$AJ$512,0),10,1)),0)+_xlfn.IFNA(SUM((X$3&gt;='Gastos com Pessoal'!$E$513:$E$522)*(X$3&lt;='Gastos com Pessoal'!$F$513:$F$522)*(IF('Gastos com Pessoal'!$S$513:$S$522&lt;=X$3,1,0))*OFFSET('Gastos com Pessoal'!$H$512,1,MATCH(3&amp;$B56,'Gastos com Pessoal'!$I$532:$AJ$532&amp;'Gastos com Pessoal'!$I$512:$AJ$512,0),10,1)),0)+_xlfn.IFNA(SUM((X$3&gt;='Gastos com Pessoal'!$E$513:$E$522)*(X$3&lt;='Gastos com Pessoal'!$F$513:$F$522)*(IF('Gastos com Pessoal'!$Y$513:$Y$522&lt;=X$3,1,0))*OFFSET('Gastos com Pessoal'!$H$512,1,MATCH(4&amp;$B56,'Gastos com Pessoal'!$I$532:$AJ$532&amp;'Gastos com Pessoal'!$I$512:$AJ$512,0),10,1)),0)+_xlfn.IFNA(SUM((X$3&gt;='Gastos com Pessoal'!$E$513:$E$522)*(X$3&lt;='Gastos com Pessoal'!$F$513:$F$522)*(IF('Gastos com Pessoal'!$AE$513:$AE$522&lt;=X$3,1,0))*OFFSET('Gastos com Pessoal'!$H$512,1,MATCH(5&amp;$B56,'Gastos com Pessoal'!$I$532:$AJ$532&amp;'Gastos com Pessoal'!$I$512:$AJ$512,0),10,1)),0)</f>
        <v>62812.799999999712</v>
      </c>
      <c r="Y56" s="188">
        <f t="array" aca="1" ref="Y56" ca="1">_xlfn.IFNA(SUM((Y$3&gt;='Gastos com Pessoal'!$E$7:$E$506)*(Y$3&lt;='Gastos com Pessoal'!$F$7:$F$506)*OFFSET('Encargos e Benefícios'!$D$5,1,MATCH($B56,'Encargos e Benefícios'!$E$5:$AB$5,0),500,1)),0)+_xlfn.IFNA(SUM((Y$3&gt;='Gastos com Pessoal'!$E$513:$E$522)*(Y$3&lt;='Gastos com Pessoal'!$F$513:$F$522)*OFFSET('Encargos e Benefícios'!$D$511,1,MATCH($B56,'Encargos e Benefícios'!$E$511:$AB$511,0),10,1)),0)+_xlfn.IFNA(SUM((Y$3&gt;='Gastos com Pessoal'!$E$7:$E$506)*(Y$3&lt;='Gastos com Pessoal'!$F$7:$F$506)*(IF('Gastos com Pessoal'!$G$7:$G$506&lt;=Y$3,1,0))*OFFSET('Gastos com Pessoal'!$H$6,1,MATCH(1&amp;$B56,'Gastos com Pessoal'!$I$532:$AJ$532&amp;'Gastos com Pessoal'!$I$6:$AJ$6,0),500,1)),0)+_xlfn.IFNA(SUM((Y$3&gt;='Gastos com Pessoal'!$E$7:$E$506)*(Y$3&lt;='Gastos com Pessoal'!$F$7:$F$506)*(IF('Gastos com Pessoal'!$M$7:$M$506&lt;=Y$3,1,0))*OFFSET('Gastos com Pessoal'!$H$6,1,MATCH(2&amp;$B56,'Gastos com Pessoal'!$I$532:$AJ$532&amp;'Gastos com Pessoal'!$I$6:$AJ$6,0),500,1)),0)+_xlfn.IFNA(SUM((Y$3&gt;='Gastos com Pessoal'!$E$7:$E$506)*(Y$3&lt;='Gastos com Pessoal'!$F$7:$F$506)*(IF('Gastos com Pessoal'!$S$7:$S$506&lt;=Y$3,1,0))*OFFSET('Gastos com Pessoal'!$H$6,1,MATCH(3&amp;$B56,'Gastos com Pessoal'!$I$532:$AJ$532&amp;'Gastos com Pessoal'!$I$6:$AJ$6,0),500,1)),0)+_xlfn.IFNA(SUM((Y$3&gt;='Gastos com Pessoal'!$E$7:$E$506)*(Y$3&lt;='Gastos com Pessoal'!$F$7:$F$506)*(IF('Gastos com Pessoal'!$Y$7:$Y$506&lt;=Y$3,1,0))*OFFSET('Gastos com Pessoal'!$H$6,1,MATCH(4&amp;$B56,'Gastos com Pessoal'!$I$532:$AJ$532&amp;'Gastos com Pessoal'!$I$6:$AJ$6,0),500,1)),0)+_xlfn.IFNA(SUM((Y$3&gt;='Gastos com Pessoal'!$E$7:$E$506)*(Y$3&lt;='Gastos com Pessoal'!$F$7:$F$506)*(IF('Gastos com Pessoal'!$AE$7:$AE$506&lt;=Y$3,1,0))*OFFSET('Gastos com Pessoal'!$H$6,1,MATCH(5&amp;$B56,'Gastos com Pessoal'!$I$532:$AJ$532&amp;'Gastos com Pessoal'!$I$6:$AJ$6,0),500,1)),0)+_xlfn.IFNA(SUM((Y$3&gt;='Gastos com Pessoal'!$E$513:$E$522)*(Y$3&lt;='Gastos com Pessoal'!$F$513:$F$522)*(IF('Gastos com Pessoal'!$G$513:$G$522&lt;=Y$3,1,0))*OFFSET('Gastos com Pessoal'!$H$512,1,MATCH(1&amp;$B56,'Gastos com Pessoal'!$I$532:$AJ$532&amp;'Gastos com Pessoal'!$I$512:$AJ$512,0),10,1)),0)+_xlfn.IFNA(SUM((Y$3&gt;='Gastos com Pessoal'!$E$513:$E$522)*(Y$3&lt;='Gastos com Pessoal'!$F$513:$F$522)*(IF('Gastos com Pessoal'!$M$513:$M$522&lt;=Y$3,1,0))*OFFSET('Gastos com Pessoal'!$H$512,1,MATCH(2&amp;$B56,'Gastos com Pessoal'!$I$532:$AJ$532&amp;'Gastos com Pessoal'!$I$512:$AJ$512,0),10,1)),0)+_xlfn.IFNA(SUM((Y$3&gt;='Gastos com Pessoal'!$E$513:$E$522)*(Y$3&lt;='Gastos com Pessoal'!$F$513:$F$522)*(IF('Gastos com Pessoal'!$S$513:$S$522&lt;=Y$3,1,0))*OFFSET('Gastos com Pessoal'!$H$512,1,MATCH(3&amp;$B56,'Gastos com Pessoal'!$I$532:$AJ$532&amp;'Gastos com Pessoal'!$I$512:$AJ$512,0),10,1)),0)+_xlfn.IFNA(SUM((Y$3&gt;='Gastos com Pessoal'!$E$513:$E$522)*(Y$3&lt;='Gastos com Pessoal'!$F$513:$F$522)*(IF('Gastos com Pessoal'!$Y$513:$Y$522&lt;=Y$3,1,0))*OFFSET('Gastos com Pessoal'!$H$512,1,MATCH(4&amp;$B56,'Gastos com Pessoal'!$I$532:$AJ$532&amp;'Gastos com Pessoal'!$I$512:$AJ$512,0),10,1)),0)+_xlfn.IFNA(SUM((Y$3&gt;='Gastos com Pessoal'!$E$513:$E$522)*(Y$3&lt;='Gastos com Pessoal'!$F$513:$F$522)*(IF('Gastos com Pessoal'!$AE$513:$AE$522&lt;=Y$3,1,0))*OFFSET('Gastos com Pessoal'!$H$512,1,MATCH(5&amp;$B56,'Gastos com Pessoal'!$I$532:$AJ$532&amp;'Gastos com Pessoal'!$I$512:$AJ$512,0),10,1)),0)</f>
        <v>62812.799999999712</v>
      </c>
      <c r="Z56" s="188">
        <f t="array" aca="1" ref="Z56" ca="1">_xlfn.IFNA(SUM((Z$3&gt;='Gastos com Pessoal'!$E$7:$E$506)*(Z$3&lt;='Gastos com Pessoal'!$F$7:$F$506)*OFFSET('Encargos e Benefícios'!$D$5,1,MATCH($B56,'Encargos e Benefícios'!$E$5:$AB$5,0),500,1)),0)+_xlfn.IFNA(SUM((Z$3&gt;='Gastos com Pessoal'!$E$513:$E$522)*(Z$3&lt;='Gastos com Pessoal'!$F$513:$F$522)*OFFSET('Encargos e Benefícios'!$D$511,1,MATCH($B56,'Encargos e Benefícios'!$E$511:$AB$511,0),10,1)),0)+_xlfn.IFNA(SUM((Z$3&gt;='Gastos com Pessoal'!$E$7:$E$506)*(Z$3&lt;='Gastos com Pessoal'!$F$7:$F$506)*(IF('Gastos com Pessoal'!$G$7:$G$506&lt;=Z$3,1,0))*OFFSET('Gastos com Pessoal'!$H$6,1,MATCH(1&amp;$B56,'Gastos com Pessoal'!$I$532:$AJ$532&amp;'Gastos com Pessoal'!$I$6:$AJ$6,0),500,1)),0)+_xlfn.IFNA(SUM((Z$3&gt;='Gastos com Pessoal'!$E$7:$E$506)*(Z$3&lt;='Gastos com Pessoal'!$F$7:$F$506)*(IF('Gastos com Pessoal'!$M$7:$M$506&lt;=Z$3,1,0))*OFFSET('Gastos com Pessoal'!$H$6,1,MATCH(2&amp;$B56,'Gastos com Pessoal'!$I$532:$AJ$532&amp;'Gastos com Pessoal'!$I$6:$AJ$6,0),500,1)),0)+_xlfn.IFNA(SUM((Z$3&gt;='Gastos com Pessoal'!$E$7:$E$506)*(Z$3&lt;='Gastos com Pessoal'!$F$7:$F$506)*(IF('Gastos com Pessoal'!$S$7:$S$506&lt;=Z$3,1,0))*OFFSET('Gastos com Pessoal'!$H$6,1,MATCH(3&amp;$B56,'Gastos com Pessoal'!$I$532:$AJ$532&amp;'Gastos com Pessoal'!$I$6:$AJ$6,0),500,1)),0)+_xlfn.IFNA(SUM((Z$3&gt;='Gastos com Pessoal'!$E$7:$E$506)*(Z$3&lt;='Gastos com Pessoal'!$F$7:$F$506)*(IF('Gastos com Pessoal'!$Y$7:$Y$506&lt;=Z$3,1,0))*OFFSET('Gastos com Pessoal'!$H$6,1,MATCH(4&amp;$B56,'Gastos com Pessoal'!$I$532:$AJ$532&amp;'Gastos com Pessoal'!$I$6:$AJ$6,0),500,1)),0)+_xlfn.IFNA(SUM((Z$3&gt;='Gastos com Pessoal'!$E$7:$E$506)*(Z$3&lt;='Gastos com Pessoal'!$F$7:$F$506)*(IF('Gastos com Pessoal'!$AE$7:$AE$506&lt;=Z$3,1,0))*OFFSET('Gastos com Pessoal'!$H$6,1,MATCH(5&amp;$B56,'Gastos com Pessoal'!$I$532:$AJ$532&amp;'Gastos com Pessoal'!$I$6:$AJ$6,0),500,1)),0)+_xlfn.IFNA(SUM((Z$3&gt;='Gastos com Pessoal'!$E$513:$E$522)*(Z$3&lt;='Gastos com Pessoal'!$F$513:$F$522)*(IF('Gastos com Pessoal'!$G$513:$G$522&lt;=Z$3,1,0))*OFFSET('Gastos com Pessoal'!$H$512,1,MATCH(1&amp;$B56,'Gastos com Pessoal'!$I$532:$AJ$532&amp;'Gastos com Pessoal'!$I$512:$AJ$512,0),10,1)),0)+_xlfn.IFNA(SUM((Z$3&gt;='Gastos com Pessoal'!$E$513:$E$522)*(Z$3&lt;='Gastos com Pessoal'!$F$513:$F$522)*(IF('Gastos com Pessoal'!$M$513:$M$522&lt;=Z$3,1,0))*OFFSET('Gastos com Pessoal'!$H$512,1,MATCH(2&amp;$B56,'Gastos com Pessoal'!$I$532:$AJ$532&amp;'Gastos com Pessoal'!$I$512:$AJ$512,0),10,1)),0)+_xlfn.IFNA(SUM((Z$3&gt;='Gastos com Pessoal'!$E$513:$E$522)*(Z$3&lt;='Gastos com Pessoal'!$F$513:$F$522)*(IF('Gastos com Pessoal'!$S$513:$S$522&lt;=Z$3,1,0))*OFFSET('Gastos com Pessoal'!$H$512,1,MATCH(3&amp;$B56,'Gastos com Pessoal'!$I$532:$AJ$532&amp;'Gastos com Pessoal'!$I$512:$AJ$512,0),10,1)),0)+_xlfn.IFNA(SUM((Z$3&gt;='Gastos com Pessoal'!$E$513:$E$522)*(Z$3&lt;='Gastos com Pessoal'!$F$513:$F$522)*(IF('Gastos com Pessoal'!$Y$513:$Y$522&lt;=Z$3,1,0))*OFFSET('Gastos com Pessoal'!$H$512,1,MATCH(4&amp;$B56,'Gastos com Pessoal'!$I$532:$AJ$532&amp;'Gastos com Pessoal'!$I$512:$AJ$512,0),10,1)),0)+_xlfn.IFNA(SUM((Z$3&gt;='Gastos com Pessoal'!$E$513:$E$522)*(Z$3&lt;='Gastos com Pessoal'!$F$513:$F$522)*(IF('Gastos com Pessoal'!$AE$513:$AE$522&lt;=Z$3,1,0))*OFFSET('Gastos com Pessoal'!$H$512,1,MATCH(5&amp;$B56,'Gastos com Pessoal'!$I$532:$AJ$532&amp;'Gastos com Pessoal'!$I$512:$AJ$512,0),10,1)),0)</f>
        <v>62812.799999999712</v>
      </c>
      <c r="AA56" s="188">
        <f t="array" aca="1" ref="AA56" ca="1">_xlfn.IFNA(SUM((AA$3&gt;='Gastos com Pessoal'!$E$7:$E$506)*(AA$3&lt;='Gastos com Pessoal'!$F$7:$F$506)*OFFSET('Encargos e Benefícios'!$D$5,1,MATCH($B56,'Encargos e Benefícios'!$E$5:$AB$5,0),500,1)),0)+_xlfn.IFNA(SUM((AA$3&gt;='Gastos com Pessoal'!$E$513:$E$522)*(AA$3&lt;='Gastos com Pessoal'!$F$513:$F$522)*OFFSET('Encargos e Benefícios'!$D$511,1,MATCH($B56,'Encargos e Benefícios'!$E$511:$AB$511,0),10,1)),0)+_xlfn.IFNA(SUM((AA$3&gt;='Gastos com Pessoal'!$E$7:$E$506)*(AA$3&lt;='Gastos com Pessoal'!$F$7:$F$506)*(IF('Gastos com Pessoal'!$G$7:$G$506&lt;=AA$3,1,0))*OFFSET('Gastos com Pessoal'!$H$6,1,MATCH(1&amp;$B56,'Gastos com Pessoal'!$I$532:$AJ$532&amp;'Gastos com Pessoal'!$I$6:$AJ$6,0),500,1)),0)+_xlfn.IFNA(SUM((AA$3&gt;='Gastos com Pessoal'!$E$7:$E$506)*(AA$3&lt;='Gastos com Pessoal'!$F$7:$F$506)*(IF('Gastos com Pessoal'!$M$7:$M$506&lt;=AA$3,1,0))*OFFSET('Gastos com Pessoal'!$H$6,1,MATCH(2&amp;$B56,'Gastos com Pessoal'!$I$532:$AJ$532&amp;'Gastos com Pessoal'!$I$6:$AJ$6,0),500,1)),0)+_xlfn.IFNA(SUM((AA$3&gt;='Gastos com Pessoal'!$E$7:$E$506)*(AA$3&lt;='Gastos com Pessoal'!$F$7:$F$506)*(IF('Gastos com Pessoal'!$S$7:$S$506&lt;=AA$3,1,0))*OFFSET('Gastos com Pessoal'!$H$6,1,MATCH(3&amp;$B56,'Gastos com Pessoal'!$I$532:$AJ$532&amp;'Gastos com Pessoal'!$I$6:$AJ$6,0),500,1)),0)+_xlfn.IFNA(SUM((AA$3&gt;='Gastos com Pessoal'!$E$7:$E$506)*(AA$3&lt;='Gastos com Pessoal'!$F$7:$F$506)*(IF('Gastos com Pessoal'!$Y$7:$Y$506&lt;=AA$3,1,0))*OFFSET('Gastos com Pessoal'!$H$6,1,MATCH(4&amp;$B56,'Gastos com Pessoal'!$I$532:$AJ$532&amp;'Gastos com Pessoal'!$I$6:$AJ$6,0),500,1)),0)+_xlfn.IFNA(SUM((AA$3&gt;='Gastos com Pessoal'!$E$7:$E$506)*(AA$3&lt;='Gastos com Pessoal'!$F$7:$F$506)*(IF('Gastos com Pessoal'!$AE$7:$AE$506&lt;=AA$3,1,0))*OFFSET('Gastos com Pessoal'!$H$6,1,MATCH(5&amp;$B56,'Gastos com Pessoal'!$I$532:$AJ$532&amp;'Gastos com Pessoal'!$I$6:$AJ$6,0),500,1)),0)+_xlfn.IFNA(SUM((AA$3&gt;='Gastos com Pessoal'!$E$513:$E$522)*(AA$3&lt;='Gastos com Pessoal'!$F$513:$F$522)*(IF('Gastos com Pessoal'!$G$513:$G$522&lt;=AA$3,1,0))*OFFSET('Gastos com Pessoal'!$H$512,1,MATCH(1&amp;$B56,'Gastos com Pessoal'!$I$532:$AJ$532&amp;'Gastos com Pessoal'!$I$512:$AJ$512,0),10,1)),0)+_xlfn.IFNA(SUM((AA$3&gt;='Gastos com Pessoal'!$E$513:$E$522)*(AA$3&lt;='Gastos com Pessoal'!$F$513:$F$522)*(IF('Gastos com Pessoal'!$M$513:$M$522&lt;=AA$3,1,0))*OFFSET('Gastos com Pessoal'!$H$512,1,MATCH(2&amp;$B56,'Gastos com Pessoal'!$I$532:$AJ$532&amp;'Gastos com Pessoal'!$I$512:$AJ$512,0),10,1)),0)+_xlfn.IFNA(SUM((AA$3&gt;='Gastos com Pessoal'!$E$513:$E$522)*(AA$3&lt;='Gastos com Pessoal'!$F$513:$F$522)*(IF('Gastos com Pessoal'!$S$513:$S$522&lt;=AA$3,1,0))*OFFSET('Gastos com Pessoal'!$H$512,1,MATCH(3&amp;$B56,'Gastos com Pessoal'!$I$532:$AJ$532&amp;'Gastos com Pessoal'!$I$512:$AJ$512,0),10,1)),0)+_xlfn.IFNA(SUM((AA$3&gt;='Gastos com Pessoal'!$E$513:$E$522)*(AA$3&lt;='Gastos com Pessoal'!$F$513:$F$522)*(IF('Gastos com Pessoal'!$Y$513:$Y$522&lt;=AA$3,1,0))*OFFSET('Gastos com Pessoal'!$H$512,1,MATCH(4&amp;$B56,'Gastos com Pessoal'!$I$532:$AJ$532&amp;'Gastos com Pessoal'!$I$512:$AJ$512,0),10,1)),0)+_xlfn.IFNA(SUM((AA$3&gt;='Gastos com Pessoal'!$E$513:$E$522)*(AA$3&lt;='Gastos com Pessoal'!$F$513:$F$522)*(IF('Gastos com Pessoal'!$AE$513:$AE$522&lt;=AA$3,1,0))*OFFSET('Gastos com Pessoal'!$H$512,1,MATCH(5&amp;$B56,'Gastos com Pessoal'!$I$532:$AJ$532&amp;'Gastos com Pessoal'!$I$512:$AJ$512,0),10,1)),0)</f>
        <v>62812.799999999712</v>
      </c>
      <c r="AB56" s="188">
        <f t="array" aca="1" ref="AB56" ca="1">_xlfn.IFNA(SUM((AB$3&gt;='Gastos com Pessoal'!$E$7:$E$506)*(AB$3&lt;='Gastos com Pessoal'!$F$7:$F$506)*OFFSET('Encargos e Benefícios'!$D$5,1,MATCH($B56,'Encargos e Benefícios'!$E$5:$AB$5,0),500,1)),0)+_xlfn.IFNA(SUM((AB$3&gt;='Gastos com Pessoal'!$E$513:$E$522)*(AB$3&lt;='Gastos com Pessoal'!$F$513:$F$522)*OFFSET('Encargos e Benefícios'!$D$511,1,MATCH($B56,'Encargos e Benefícios'!$E$511:$AB$511,0),10,1)),0)+_xlfn.IFNA(SUM((AB$3&gt;='Gastos com Pessoal'!$E$7:$E$506)*(AB$3&lt;='Gastos com Pessoal'!$F$7:$F$506)*(IF('Gastos com Pessoal'!$G$7:$G$506&lt;=AB$3,1,0))*OFFSET('Gastos com Pessoal'!$H$6,1,MATCH(1&amp;$B56,'Gastos com Pessoal'!$I$532:$AJ$532&amp;'Gastos com Pessoal'!$I$6:$AJ$6,0),500,1)),0)+_xlfn.IFNA(SUM((AB$3&gt;='Gastos com Pessoal'!$E$7:$E$506)*(AB$3&lt;='Gastos com Pessoal'!$F$7:$F$506)*(IF('Gastos com Pessoal'!$M$7:$M$506&lt;=AB$3,1,0))*OFFSET('Gastos com Pessoal'!$H$6,1,MATCH(2&amp;$B56,'Gastos com Pessoal'!$I$532:$AJ$532&amp;'Gastos com Pessoal'!$I$6:$AJ$6,0),500,1)),0)+_xlfn.IFNA(SUM((AB$3&gt;='Gastos com Pessoal'!$E$7:$E$506)*(AB$3&lt;='Gastos com Pessoal'!$F$7:$F$506)*(IF('Gastos com Pessoal'!$S$7:$S$506&lt;=AB$3,1,0))*OFFSET('Gastos com Pessoal'!$H$6,1,MATCH(3&amp;$B56,'Gastos com Pessoal'!$I$532:$AJ$532&amp;'Gastos com Pessoal'!$I$6:$AJ$6,0),500,1)),0)+_xlfn.IFNA(SUM((AB$3&gt;='Gastos com Pessoal'!$E$7:$E$506)*(AB$3&lt;='Gastos com Pessoal'!$F$7:$F$506)*(IF('Gastos com Pessoal'!$Y$7:$Y$506&lt;=AB$3,1,0))*OFFSET('Gastos com Pessoal'!$H$6,1,MATCH(4&amp;$B56,'Gastos com Pessoal'!$I$532:$AJ$532&amp;'Gastos com Pessoal'!$I$6:$AJ$6,0),500,1)),0)+_xlfn.IFNA(SUM((AB$3&gt;='Gastos com Pessoal'!$E$7:$E$506)*(AB$3&lt;='Gastos com Pessoal'!$F$7:$F$506)*(IF('Gastos com Pessoal'!$AE$7:$AE$506&lt;=AB$3,1,0))*OFFSET('Gastos com Pessoal'!$H$6,1,MATCH(5&amp;$B56,'Gastos com Pessoal'!$I$532:$AJ$532&amp;'Gastos com Pessoal'!$I$6:$AJ$6,0),500,1)),0)+_xlfn.IFNA(SUM((AB$3&gt;='Gastos com Pessoal'!$E$513:$E$522)*(AB$3&lt;='Gastos com Pessoal'!$F$513:$F$522)*(IF('Gastos com Pessoal'!$G$513:$G$522&lt;=AB$3,1,0))*OFFSET('Gastos com Pessoal'!$H$512,1,MATCH(1&amp;$B56,'Gastos com Pessoal'!$I$532:$AJ$532&amp;'Gastos com Pessoal'!$I$512:$AJ$512,0),10,1)),0)+_xlfn.IFNA(SUM((AB$3&gt;='Gastos com Pessoal'!$E$513:$E$522)*(AB$3&lt;='Gastos com Pessoal'!$F$513:$F$522)*(IF('Gastos com Pessoal'!$M$513:$M$522&lt;=AB$3,1,0))*OFFSET('Gastos com Pessoal'!$H$512,1,MATCH(2&amp;$B56,'Gastos com Pessoal'!$I$532:$AJ$532&amp;'Gastos com Pessoal'!$I$512:$AJ$512,0),10,1)),0)+_xlfn.IFNA(SUM((AB$3&gt;='Gastos com Pessoal'!$E$513:$E$522)*(AB$3&lt;='Gastos com Pessoal'!$F$513:$F$522)*(IF('Gastos com Pessoal'!$S$513:$S$522&lt;=AB$3,1,0))*OFFSET('Gastos com Pessoal'!$H$512,1,MATCH(3&amp;$B56,'Gastos com Pessoal'!$I$532:$AJ$532&amp;'Gastos com Pessoal'!$I$512:$AJ$512,0),10,1)),0)+_xlfn.IFNA(SUM((AB$3&gt;='Gastos com Pessoal'!$E$513:$E$522)*(AB$3&lt;='Gastos com Pessoal'!$F$513:$F$522)*(IF('Gastos com Pessoal'!$Y$513:$Y$522&lt;=AB$3,1,0))*OFFSET('Gastos com Pessoal'!$H$512,1,MATCH(4&amp;$B56,'Gastos com Pessoal'!$I$532:$AJ$532&amp;'Gastos com Pessoal'!$I$512:$AJ$512,0),10,1)),0)+_xlfn.IFNA(SUM((AB$3&gt;='Gastos com Pessoal'!$E$513:$E$522)*(AB$3&lt;='Gastos com Pessoal'!$F$513:$F$522)*(IF('Gastos com Pessoal'!$AE$513:$AE$522&lt;=AB$3,1,0))*OFFSET('Gastos com Pessoal'!$H$512,1,MATCH(5&amp;$B56,'Gastos com Pessoal'!$I$532:$AJ$532&amp;'Gastos com Pessoal'!$I$512:$AJ$512,0),10,1)),0)</f>
        <v>62812.799999999712</v>
      </c>
      <c r="AC56" s="188">
        <f t="array" aca="1" ref="AC56" ca="1">_xlfn.IFNA(SUM((AC$3&gt;='Gastos com Pessoal'!$E$7:$E$506)*(AC$3&lt;='Gastos com Pessoal'!$F$7:$F$506)*OFFSET('Encargos e Benefícios'!$D$5,1,MATCH($B56,'Encargos e Benefícios'!$E$5:$AB$5,0),500,1)),0)+_xlfn.IFNA(SUM((AC$3&gt;='Gastos com Pessoal'!$E$513:$E$522)*(AC$3&lt;='Gastos com Pessoal'!$F$513:$F$522)*OFFSET('Encargos e Benefícios'!$D$511,1,MATCH($B56,'Encargos e Benefícios'!$E$511:$AB$511,0),10,1)),0)+_xlfn.IFNA(SUM((AC$3&gt;='Gastos com Pessoal'!$E$7:$E$506)*(AC$3&lt;='Gastos com Pessoal'!$F$7:$F$506)*(IF('Gastos com Pessoal'!$G$7:$G$506&lt;=AC$3,1,0))*OFFSET('Gastos com Pessoal'!$H$6,1,MATCH(1&amp;$B56,'Gastos com Pessoal'!$I$532:$AJ$532&amp;'Gastos com Pessoal'!$I$6:$AJ$6,0),500,1)),0)+_xlfn.IFNA(SUM((AC$3&gt;='Gastos com Pessoal'!$E$7:$E$506)*(AC$3&lt;='Gastos com Pessoal'!$F$7:$F$506)*(IF('Gastos com Pessoal'!$M$7:$M$506&lt;=AC$3,1,0))*OFFSET('Gastos com Pessoal'!$H$6,1,MATCH(2&amp;$B56,'Gastos com Pessoal'!$I$532:$AJ$532&amp;'Gastos com Pessoal'!$I$6:$AJ$6,0),500,1)),0)+_xlfn.IFNA(SUM((AC$3&gt;='Gastos com Pessoal'!$E$7:$E$506)*(AC$3&lt;='Gastos com Pessoal'!$F$7:$F$506)*(IF('Gastos com Pessoal'!$S$7:$S$506&lt;=AC$3,1,0))*OFFSET('Gastos com Pessoal'!$H$6,1,MATCH(3&amp;$B56,'Gastos com Pessoal'!$I$532:$AJ$532&amp;'Gastos com Pessoal'!$I$6:$AJ$6,0),500,1)),0)+_xlfn.IFNA(SUM((AC$3&gt;='Gastos com Pessoal'!$E$7:$E$506)*(AC$3&lt;='Gastos com Pessoal'!$F$7:$F$506)*(IF('Gastos com Pessoal'!$Y$7:$Y$506&lt;=AC$3,1,0))*OFFSET('Gastos com Pessoal'!$H$6,1,MATCH(4&amp;$B56,'Gastos com Pessoal'!$I$532:$AJ$532&amp;'Gastos com Pessoal'!$I$6:$AJ$6,0),500,1)),0)+_xlfn.IFNA(SUM((AC$3&gt;='Gastos com Pessoal'!$E$7:$E$506)*(AC$3&lt;='Gastos com Pessoal'!$F$7:$F$506)*(IF('Gastos com Pessoal'!$AE$7:$AE$506&lt;=AC$3,1,0))*OFFSET('Gastos com Pessoal'!$H$6,1,MATCH(5&amp;$B56,'Gastos com Pessoal'!$I$532:$AJ$532&amp;'Gastos com Pessoal'!$I$6:$AJ$6,0),500,1)),0)+_xlfn.IFNA(SUM((AC$3&gt;='Gastos com Pessoal'!$E$513:$E$522)*(AC$3&lt;='Gastos com Pessoal'!$F$513:$F$522)*(IF('Gastos com Pessoal'!$G$513:$G$522&lt;=AC$3,1,0))*OFFSET('Gastos com Pessoal'!$H$512,1,MATCH(1&amp;$B56,'Gastos com Pessoal'!$I$532:$AJ$532&amp;'Gastos com Pessoal'!$I$512:$AJ$512,0),10,1)),0)+_xlfn.IFNA(SUM((AC$3&gt;='Gastos com Pessoal'!$E$513:$E$522)*(AC$3&lt;='Gastos com Pessoal'!$F$513:$F$522)*(IF('Gastos com Pessoal'!$M$513:$M$522&lt;=AC$3,1,0))*OFFSET('Gastos com Pessoal'!$H$512,1,MATCH(2&amp;$B56,'Gastos com Pessoal'!$I$532:$AJ$532&amp;'Gastos com Pessoal'!$I$512:$AJ$512,0),10,1)),0)+_xlfn.IFNA(SUM((AC$3&gt;='Gastos com Pessoal'!$E$513:$E$522)*(AC$3&lt;='Gastos com Pessoal'!$F$513:$F$522)*(IF('Gastos com Pessoal'!$S$513:$S$522&lt;=AC$3,1,0))*OFFSET('Gastos com Pessoal'!$H$512,1,MATCH(3&amp;$B56,'Gastos com Pessoal'!$I$532:$AJ$532&amp;'Gastos com Pessoal'!$I$512:$AJ$512,0),10,1)),0)+_xlfn.IFNA(SUM((AC$3&gt;='Gastos com Pessoal'!$E$513:$E$522)*(AC$3&lt;='Gastos com Pessoal'!$F$513:$F$522)*(IF('Gastos com Pessoal'!$Y$513:$Y$522&lt;=AC$3,1,0))*OFFSET('Gastos com Pessoal'!$H$512,1,MATCH(4&amp;$B56,'Gastos com Pessoal'!$I$532:$AJ$532&amp;'Gastos com Pessoal'!$I$512:$AJ$512,0),10,1)),0)+_xlfn.IFNA(SUM((AC$3&gt;='Gastos com Pessoal'!$E$513:$E$522)*(AC$3&lt;='Gastos com Pessoal'!$F$513:$F$522)*(IF('Gastos com Pessoal'!$AE$513:$AE$522&lt;=AC$3,1,0))*OFFSET('Gastos com Pessoal'!$H$512,1,MATCH(5&amp;$B56,'Gastos com Pessoal'!$I$532:$AJ$532&amp;'Gastos com Pessoal'!$I$512:$AJ$512,0),10,1)),0)</f>
        <v>62812.799999999712</v>
      </c>
      <c r="AD56" s="188">
        <f t="array" aca="1" ref="AD56" ca="1">_xlfn.IFNA(SUM((AD$3&gt;='Gastos com Pessoal'!$E$7:$E$506)*(AD$3&lt;='Gastos com Pessoal'!$F$7:$F$506)*OFFSET('Encargos e Benefícios'!$D$5,1,MATCH($B56,'Encargos e Benefícios'!$E$5:$AB$5,0),500,1)),0)+_xlfn.IFNA(SUM((AD$3&gt;='Gastos com Pessoal'!$E$513:$E$522)*(AD$3&lt;='Gastos com Pessoal'!$F$513:$F$522)*OFFSET('Encargos e Benefícios'!$D$511,1,MATCH($B56,'Encargos e Benefícios'!$E$511:$AB$511,0),10,1)),0)+_xlfn.IFNA(SUM((AD$3&gt;='Gastos com Pessoal'!$E$7:$E$506)*(AD$3&lt;='Gastos com Pessoal'!$F$7:$F$506)*(IF('Gastos com Pessoal'!$G$7:$G$506&lt;=AD$3,1,0))*OFFSET('Gastos com Pessoal'!$H$6,1,MATCH(1&amp;$B56,'Gastos com Pessoal'!$I$532:$AJ$532&amp;'Gastos com Pessoal'!$I$6:$AJ$6,0),500,1)),0)+_xlfn.IFNA(SUM((AD$3&gt;='Gastos com Pessoal'!$E$7:$E$506)*(AD$3&lt;='Gastos com Pessoal'!$F$7:$F$506)*(IF('Gastos com Pessoal'!$M$7:$M$506&lt;=AD$3,1,0))*OFFSET('Gastos com Pessoal'!$H$6,1,MATCH(2&amp;$B56,'Gastos com Pessoal'!$I$532:$AJ$532&amp;'Gastos com Pessoal'!$I$6:$AJ$6,0),500,1)),0)+_xlfn.IFNA(SUM((AD$3&gt;='Gastos com Pessoal'!$E$7:$E$506)*(AD$3&lt;='Gastos com Pessoal'!$F$7:$F$506)*(IF('Gastos com Pessoal'!$S$7:$S$506&lt;=AD$3,1,0))*OFFSET('Gastos com Pessoal'!$H$6,1,MATCH(3&amp;$B56,'Gastos com Pessoal'!$I$532:$AJ$532&amp;'Gastos com Pessoal'!$I$6:$AJ$6,0),500,1)),0)+_xlfn.IFNA(SUM((AD$3&gt;='Gastos com Pessoal'!$E$7:$E$506)*(AD$3&lt;='Gastos com Pessoal'!$F$7:$F$506)*(IF('Gastos com Pessoal'!$Y$7:$Y$506&lt;=AD$3,1,0))*OFFSET('Gastos com Pessoal'!$H$6,1,MATCH(4&amp;$B56,'Gastos com Pessoal'!$I$532:$AJ$532&amp;'Gastos com Pessoal'!$I$6:$AJ$6,0),500,1)),0)+_xlfn.IFNA(SUM((AD$3&gt;='Gastos com Pessoal'!$E$7:$E$506)*(AD$3&lt;='Gastos com Pessoal'!$F$7:$F$506)*(IF('Gastos com Pessoal'!$AE$7:$AE$506&lt;=AD$3,1,0))*OFFSET('Gastos com Pessoal'!$H$6,1,MATCH(5&amp;$B56,'Gastos com Pessoal'!$I$532:$AJ$532&amp;'Gastos com Pessoal'!$I$6:$AJ$6,0),500,1)),0)+_xlfn.IFNA(SUM((AD$3&gt;='Gastos com Pessoal'!$E$513:$E$522)*(AD$3&lt;='Gastos com Pessoal'!$F$513:$F$522)*(IF('Gastos com Pessoal'!$G$513:$G$522&lt;=AD$3,1,0))*OFFSET('Gastos com Pessoal'!$H$512,1,MATCH(1&amp;$B56,'Gastos com Pessoal'!$I$532:$AJ$532&amp;'Gastos com Pessoal'!$I$512:$AJ$512,0),10,1)),0)+_xlfn.IFNA(SUM((AD$3&gt;='Gastos com Pessoal'!$E$513:$E$522)*(AD$3&lt;='Gastos com Pessoal'!$F$513:$F$522)*(IF('Gastos com Pessoal'!$M$513:$M$522&lt;=AD$3,1,0))*OFFSET('Gastos com Pessoal'!$H$512,1,MATCH(2&amp;$B56,'Gastos com Pessoal'!$I$532:$AJ$532&amp;'Gastos com Pessoal'!$I$512:$AJ$512,0),10,1)),0)+_xlfn.IFNA(SUM((AD$3&gt;='Gastos com Pessoal'!$E$513:$E$522)*(AD$3&lt;='Gastos com Pessoal'!$F$513:$F$522)*(IF('Gastos com Pessoal'!$S$513:$S$522&lt;=AD$3,1,0))*OFFSET('Gastos com Pessoal'!$H$512,1,MATCH(3&amp;$B56,'Gastos com Pessoal'!$I$532:$AJ$532&amp;'Gastos com Pessoal'!$I$512:$AJ$512,0),10,1)),0)+_xlfn.IFNA(SUM((AD$3&gt;='Gastos com Pessoal'!$E$513:$E$522)*(AD$3&lt;='Gastos com Pessoal'!$F$513:$F$522)*(IF('Gastos com Pessoal'!$Y$513:$Y$522&lt;=AD$3,1,0))*OFFSET('Gastos com Pessoal'!$H$512,1,MATCH(4&amp;$B56,'Gastos com Pessoal'!$I$532:$AJ$532&amp;'Gastos com Pessoal'!$I$512:$AJ$512,0),10,1)),0)+_xlfn.IFNA(SUM((AD$3&gt;='Gastos com Pessoal'!$E$513:$E$522)*(AD$3&lt;='Gastos com Pessoal'!$F$513:$F$522)*(IF('Gastos com Pessoal'!$AE$513:$AE$522&lt;=AD$3,1,0))*OFFSET('Gastos com Pessoal'!$H$512,1,MATCH(5&amp;$B56,'Gastos com Pessoal'!$I$532:$AJ$532&amp;'Gastos com Pessoal'!$I$512:$AJ$512,0),10,1)),0)</f>
        <v>62812.799999999712</v>
      </c>
      <c r="AE56" s="188">
        <f t="array" aca="1" ref="AE56" ca="1">_xlfn.IFNA(SUM((AE$3&gt;='Gastos com Pessoal'!$E$7:$E$506)*(AE$3&lt;='Gastos com Pessoal'!$F$7:$F$506)*OFFSET('Encargos e Benefícios'!$D$5,1,MATCH($B56,'Encargos e Benefícios'!$E$5:$AB$5,0),500,1)),0)+_xlfn.IFNA(SUM((AE$3&gt;='Gastos com Pessoal'!$E$513:$E$522)*(AE$3&lt;='Gastos com Pessoal'!$F$513:$F$522)*OFFSET('Encargos e Benefícios'!$D$511,1,MATCH($B56,'Encargos e Benefícios'!$E$511:$AB$511,0),10,1)),0)+_xlfn.IFNA(SUM((AE$3&gt;='Gastos com Pessoal'!$E$7:$E$506)*(AE$3&lt;='Gastos com Pessoal'!$F$7:$F$506)*(IF('Gastos com Pessoal'!$G$7:$G$506&lt;=AE$3,1,0))*OFFSET('Gastos com Pessoal'!$H$6,1,MATCH(1&amp;$B56,'Gastos com Pessoal'!$I$532:$AJ$532&amp;'Gastos com Pessoal'!$I$6:$AJ$6,0),500,1)),0)+_xlfn.IFNA(SUM((AE$3&gt;='Gastos com Pessoal'!$E$7:$E$506)*(AE$3&lt;='Gastos com Pessoal'!$F$7:$F$506)*(IF('Gastos com Pessoal'!$M$7:$M$506&lt;=AE$3,1,0))*OFFSET('Gastos com Pessoal'!$H$6,1,MATCH(2&amp;$B56,'Gastos com Pessoal'!$I$532:$AJ$532&amp;'Gastos com Pessoal'!$I$6:$AJ$6,0),500,1)),0)+_xlfn.IFNA(SUM((AE$3&gt;='Gastos com Pessoal'!$E$7:$E$506)*(AE$3&lt;='Gastos com Pessoal'!$F$7:$F$506)*(IF('Gastos com Pessoal'!$S$7:$S$506&lt;=AE$3,1,0))*OFFSET('Gastos com Pessoal'!$H$6,1,MATCH(3&amp;$B56,'Gastos com Pessoal'!$I$532:$AJ$532&amp;'Gastos com Pessoal'!$I$6:$AJ$6,0),500,1)),0)+_xlfn.IFNA(SUM((AE$3&gt;='Gastos com Pessoal'!$E$7:$E$506)*(AE$3&lt;='Gastos com Pessoal'!$F$7:$F$506)*(IF('Gastos com Pessoal'!$Y$7:$Y$506&lt;=AE$3,1,0))*OFFSET('Gastos com Pessoal'!$H$6,1,MATCH(4&amp;$B56,'Gastos com Pessoal'!$I$532:$AJ$532&amp;'Gastos com Pessoal'!$I$6:$AJ$6,0),500,1)),0)+_xlfn.IFNA(SUM((AE$3&gt;='Gastos com Pessoal'!$E$7:$E$506)*(AE$3&lt;='Gastos com Pessoal'!$F$7:$F$506)*(IF('Gastos com Pessoal'!$AE$7:$AE$506&lt;=AE$3,1,0))*OFFSET('Gastos com Pessoal'!$H$6,1,MATCH(5&amp;$B56,'Gastos com Pessoal'!$I$532:$AJ$532&amp;'Gastos com Pessoal'!$I$6:$AJ$6,0),500,1)),0)+_xlfn.IFNA(SUM((AE$3&gt;='Gastos com Pessoal'!$E$513:$E$522)*(AE$3&lt;='Gastos com Pessoal'!$F$513:$F$522)*(IF('Gastos com Pessoal'!$G$513:$G$522&lt;=AE$3,1,0))*OFFSET('Gastos com Pessoal'!$H$512,1,MATCH(1&amp;$B56,'Gastos com Pessoal'!$I$532:$AJ$532&amp;'Gastos com Pessoal'!$I$512:$AJ$512,0),10,1)),0)+_xlfn.IFNA(SUM((AE$3&gt;='Gastos com Pessoal'!$E$513:$E$522)*(AE$3&lt;='Gastos com Pessoal'!$F$513:$F$522)*(IF('Gastos com Pessoal'!$M$513:$M$522&lt;=AE$3,1,0))*OFFSET('Gastos com Pessoal'!$H$512,1,MATCH(2&amp;$B56,'Gastos com Pessoal'!$I$532:$AJ$532&amp;'Gastos com Pessoal'!$I$512:$AJ$512,0),10,1)),0)+_xlfn.IFNA(SUM((AE$3&gt;='Gastos com Pessoal'!$E$513:$E$522)*(AE$3&lt;='Gastos com Pessoal'!$F$513:$F$522)*(IF('Gastos com Pessoal'!$S$513:$S$522&lt;=AE$3,1,0))*OFFSET('Gastos com Pessoal'!$H$512,1,MATCH(3&amp;$B56,'Gastos com Pessoal'!$I$532:$AJ$532&amp;'Gastos com Pessoal'!$I$512:$AJ$512,0),10,1)),0)+_xlfn.IFNA(SUM((AE$3&gt;='Gastos com Pessoal'!$E$513:$E$522)*(AE$3&lt;='Gastos com Pessoal'!$F$513:$F$522)*(IF('Gastos com Pessoal'!$Y$513:$Y$522&lt;=AE$3,1,0))*OFFSET('Gastos com Pessoal'!$H$512,1,MATCH(4&amp;$B56,'Gastos com Pessoal'!$I$532:$AJ$532&amp;'Gastos com Pessoal'!$I$512:$AJ$512,0),10,1)),0)+_xlfn.IFNA(SUM((AE$3&gt;='Gastos com Pessoal'!$E$513:$E$522)*(AE$3&lt;='Gastos com Pessoal'!$F$513:$F$522)*(IF('Gastos com Pessoal'!$AE$513:$AE$522&lt;=AE$3,1,0))*OFFSET('Gastos com Pessoal'!$H$512,1,MATCH(5&amp;$B56,'Gastos com Pessoal'!$I$532:$AJ$532&amp;'Gastos com Pessoal'!$I$512:$AJ$512,0),10,1)),0)</f>
        <v>62812.799999999712</v>
      </c>
      <c r="AF56" s="188">
        <f t="array" aca="1" ref="AF56" ca="1">_xlfn.IFNA(SUM((AF$3&gt;='Gastos com Pessoal'!$E$7:$E$506)*(AF$3&lt;='Gastos com Pessoal'!$F$7:$F$506)*OFFSET('Encargos e Benefícios'!$D$5,1,MATCH($B56,'Encargos e Benefícios'!$E$5:$AB$5,0),500,1)),0)+_xlfn.IFNA(SUM((AF$3&gt;='Gastos com Pessoal'!$E$513:$E$522)*(AF$3&lt;='Gastos com Pessoal'!$F$513:$F$522)*OFFSET('Encargos e Benefícios'!$D$511,1,MATCH($B56,'Encargos e Benefícios'!$E$511:$AB$511,0),10,1)),0)+_xlfn.IFNA(SUM((AF$3&gt;='Gastos com Pessoal'!$E$7:$E$506)*(AF$3&lt;='Gastos com Pessoal'!$F$7:$F$506)*(IF('Gastos com Pessoal'!$G$7:$G$506&lt;=AF$3,1,0))*OFFSET('Gastos com Pessoal'!$H$6,1,MATCH(1&amp;$B56,'Gastos com Pessoal'!$I$532:$AJ$532&amp;'Gastos com Pessoal'!$I$6:$AJ$6,0),500,1)),0)+_xlfn.IFNA(SUM((AF$3&gt;='Gastos com Pessoal'!$E$7:$E$506)*(AF$3&lt;='Gastos com Pessoal'!$F$7:$F$506)*(IF('Gastos com Pessoal'!$M$7:$M$506&lt;=AF$3,1,0))*OFFSET('Gastos com Pessoal'!$H$6,1,MATCH(2&amp;$B56,'Gastos com Pessoal'!$I$532:$AJ$532&amp;'Gastos com Pessoal'!$I$6:$AJ$6,0),500,1)),0)+_xlfn.IFNA(SUM((AF$3&gt;='Gastos com Pessoal'!$E$7:$E$506)*(AF$3&lt;='Gastos com Pessoal'!$F$7:$F$506)*(IF('Gastos com Pessoal'!$S$7:$S$506&lt;=AF$3,1,0))*OFFSET('Gastos com Pessoal'!$H$6,1,MATCH(3&amp;$B56,'Gastos com Pessoal'!$I$532:$AJ$532&amp;'Gastos com Pessoal'!$I$6:$AJ$6,0),500,1)),0)+_xlfn.IFNA(SUM((AF$3&gt;='Gastos com Pessoal'!$E$7:$E$506)*(AF$3&lt;='Gastos com Pessoal'!$F$7:$F$506)*(IF('Gastos com Pessoal'!$Y$7:$Y$506&lt;=AF$3,1,0))*OFFSET('Gastos com Pessoal'!$H$6,1,MATCH(4&amp;$B56,'Gastos com Pessoal'!$I$532:$AJ$532&amp;'Gastos com Pessoal'!$I$6:$AJ$6,0),500,1)),0)+_xlfn.IFNA(SUM((AF$3&gt;='Gastos com Pessoal'!$E$7:$E$506)*(AF$3&lt;='Gastos com Pessoal'!$F$7:$F$506)*(IF('Gastos com Pessoal'!$AE$7:$AE$506&lt;=AF$3,1,0))*OFFSET('Gastos com Pessoal'!$H$6,1,MATCH(5&amp;$B56,'Gastos com Pessoal'!$I$532:$AJ$532&amp;'Gastos com Pessoal'!$I$6:$AJ$6,0),500,1)),0)+_xlfn.IFNA(SUM((AF$3&gt;='Gastos com Pessoal'!$E$513:$E$522)*(AF$3&lt;='Gastos com Pessoal'!$F$513:$F$522)*(IF('Gastos com Pessoal'!$G$513:$G$522&lt;=AF$3,1,0))*OFFSET('Gastos com Pessoal'!$H$512,1,MATCH(1&amp;$B56,'Gastos com Pessoal'!$I$532:$AJ$532&amp;'Gastos com Pessoal'!$I$512:$AJ$512,0),10,1)),0)+_xlfn.IFNA(SUM((AF$3&gt;='Gastos com Pessoal'!$E$513:$E$522)*(AF$3&lt;='Gastos com Pessoal'!$F$513:$F$522)*(IF('Gastos com Pessoal'!$M$513:$M$522&lt;=AF$3,1,0))*OFFSET('Gastos com Pessoal'!$H$512,1,MATCH(2&amp;$B56,'Gastos com Pessoal'!$I$532:$AJ$532&amp;'Gastos com Pessoal'!$I$512:$AJ$512,0),10,1)),0)+_xlfn.IFNA(SUM((AF$3&gt;='Gastos com Pessoal'!$E$513:$E$522)*(AF$3&lt;='Gastos com Pessoal'!$F$513:$F$522)*(IF('Gastos com Pessoal'!$S$513:$S$522&lt;=AF$3,1,0))*OFFSET('Gastos com Pessoal'!$H$512,1,MATCH(3&amp;$B56,'Gastos com Pessoal'!$I$532:$AJ$532&amp;'Gastos com Pessoal'!$I$512:$AJ$512,0),10,1)),0)+_xlfn.IFNA(SUM((AF$3&gt;='Gastos com Pessoal'!$E$513:$E$522)*(AF$3&lt;='Gastos com Pessoal'!$F$513:$F$522)*(IF('Gastos com Pessoal'!$Y$513:$Y$522&lt;=AF$3,1,0))*OFFSET('Gastos com Pessoal'!$H$512,1,MATCH(4&amp;$B56,'Gastos com Pessoal'!$I$532:$AJ$532&amp;'Gastos com Pessoal'!$I$512:$AJ$512,0),10,1)),0)+_xlfn.IFNA(SUM((AF$3&gt;='Gastos com Pessoal'!$E$513:$E$522)*(AF$3&lt;='Gastos com Pessoal'!$F$513:$F$522)*(IF('Gastos com Pessoal'!$AE$513:$AE$522&lt;=AF$3,1,0))*OFFSET('Gastos com Pessoal'!$H$512,1,MATCH(5&amp;$B56,'Gastos com Pessoal'!$I$532:$AJ$532&amp;'Gastos com Pessoal'!$I$512:$AJ$512,0),10,1)),0)</f>
        <v>62812.799999999712</v>
      </c>
      <c r="AG56" s="188">
        <f t="array" aca="1" ref="AG56" ca="1">_xlfn.IFNA(SUM((AG$3&gt;='Gastos com Pessoal'!$E$7:$E$506)*(AG$3&lt;='Gastos com Pessoal'!$F$7:$F$506)*OFFSET('Encargos e Benefícios'!$D$5,1,MATCH($B56,'Encargos e Benefícios'!$E$5:$AB$5,0),500,1)),0)+_xlfn.IFNA(SUM((AG$3&gt;='Gastos com Pessoal'!$E$513:$E$522)*(AG$3&lt;='Gastos com Pessoal'!$F$513:$F$522)*OFFSET('Encargos e Benefícios'!$D$511,1,MATCH($B56,'Encargos e Benefícios'!$E$511:$AB$511,0),10,1)),0)+_xlfn.IFNA(SUM((AG$3&gt;='Gastos com Pessoal'!$E$7:$E$506)*(AG$3&lt;='Gastos com Pessoal'!$F$7:$F$506)*(IF('Gastos com Pessoal'!$G$7:$G$506&lt;=AG$3,1,0))*OFFSET('Gastos com Pessoal'!$H$6,1,MATCH(1&amp;$B56,'Gastos com Pessoal'!$I$532:$AJ$532&amp;'Gastos com Pessoal'!$I$6:$AJ$6,0),500,1)),0)+_xlfn.IFNA(SUM((AG$3&gt;='Gastos com Pessoal'!$E$7:$E$506)*(AG$3&lt;='Gastos com Pessoal'!$F$7:$F$506)*(IF('Gastos com Pessoal'!$M$7:$M$506&lt;=AG$3,1,0))*OFFSET('Gastos com Pessoal'!$H$6,1,MATCH(2&amp;$B56,'Gastos com Pessoal'!$I$532:$AJ$532&amp;'Gastos com Pessoal'!$I$6:$AJ$6,0),500,1)),0)+_xlfn.IFNA(SUM((AG$3&gt;='Gastos com Pessoal'!$E$7:$E$506)*(AG$3&lt;='Gastos com Pessoal'!$F$7:$F$506)*(IF('Gastos com Pessoal'!$S$7:$S$506&lt;=AG$3,1,0))*OFFSET('Gastos com Pessoal'!$H$6,1,MATCH(3&amp;$B56,'Gastos com Pessoal'!$I$532:$AJ$532&amp;'Gastos com Pessoal'!$I$6:$AJ$6,0),500,1)),0)+_xlfn.IFNA(SUM((AG$3&gt;='Gastos com Pessoal'!$E$7:$E$506)*(AG$3&lt;='Gastos com Pessoal'!$F$7:$F$506)*(IF('Gastos com Pessoal'!$Y$7:$Y$506&lt;=AG$3,1,0))*OFFSET('Gastos com Pessoal'!$H$6,1,MATCH(4&amp;$B56,'Gastos com Pessoal'!$I$532:$AJ$532&amp;'Gastos com Pessoal'!$I$6:$AJ$6,0),500,1)),0)+_xlfn.IFNA(SUM((AG$3&gt;='Gastos com Pessoal'!$E$7:$E$506)*(AG$3&lt;='Gastos com Pessoal'!$F$7:$F$506)*(IF('Gastos com Pessoal'!$AE$7:$AE$506&lt;=AG$3,1,0))*OFFSET('Gastos com Pessoal'!$H$6,1,MATCH(5&amp;$B56,'Gastos com Pessoal'!$I$532:$AJ$532&amp;'Gastos com Pessoal'!$I$6:$AJ$6,0),500,1)),0)+_xlfn.IFNA(SUM((AG$3&gt;='Gastos com Pessoal'!$E$513:$E$522)*(AG$3&lt;='Gastos com Pessoal'!$F$513:$F$522)*(IF('Gastos com Pessoal'!$G$513:$G$522&lt;=AG$3,1,0))*OFFSET('Gastos com Pessoal'!$H$512,1,MATCH(1&amp;$B56,'Gastos com Pessoal'!$I$532:$AJ$532&amp;'Gastos com Pessoal'!$I$512:$AJ$512,0),10,1)),0)+_xlfn.IFNA(SUM((AG$3&gt;='Gastos com Pessoal'!$E$513:$E$522)*(AG$3&lt;='Gastos com Pessoal'!$F$513:$F$522)*(IF('Gastos com Pessoal'!$M$513:$M$522&lt;=AG$3,1,0))*OFFSET('Gastos com Pessoal'!$H$512,1,MATCH(2&amp;$B56,'Gastos com Pessoal'!$I$532:$AJ$532&amp;'Gastos com Pessoal'!$I$512:$AJ$512,0),10,1)),0)+_xlfn.IFNA(SUM((AG$3&gt;='Gastos com Pessoal'!$E$513:$E$522)*(AG$3&lt;='Gastos com Pessoal'!$F$513:$F$522)*(IF('Gastos com Pessoal'!$S$513:$S$522&lt;=AG$3,1,0))*OFFSET('Gastos com Pessoal'!$H$512,1,MATCH(3&amp;$B56,'Gastos com Pessoal'!$I$532:$AJ$532&amp;'Gastos com Pessoal'!$I$512:$AJ$512,0),10,1)),0)+_xlfn.IFNA(SUM((AG$3&gt;='Gastos com Pessoal'!$E$513:$E$522)*(AG$3&lt;='Gastos com Pessoal'!$F$513:$F$522)*(IF('Gastos com Pessoal'!$Y$513:$Y$522&lt;=AG$3,1,0))*OFFSET('Gastos com Pessoal'!$H$512,1,MATCH(4&amp;$B56,'Gastos com Pessoal'!$I$532:$AJ$532&amp;'Gastos com Pessoal'!$I$512:$AJ$512,0),10,1)),0)+_xlfn.IFNA(SUM((AG$3&gt;='Gastos com Pessoal'!$E$513:$E$522)*(AG$3&lt;='Gastos com Pessoal'!$F$513:$F$522)*(IF('Gastos com Pessoal'!$AE$513:$AE$522&lt;=AG$3,1,0))*OFFSET('Gastos com Pessoal'!$H$512,1,MATCH(5&amp;$B56,'Gastos com Pessoal'!$I$532:$AJ$532&amp;'Gastos com Pessoal'!$I$512:$AJ$512,0),10,1)),0)</f>
        <v>62812.799999999712</v>
      </c>
      <c r="AH56" s="188">
        <f t="array" aca="1" ref="AH56" ca="1">_xlfn.IFNA(SUM((AH$3&gt;='Gastos com Pessoal'!$E$7:$E$506)*(AH$3&lt;='Gastos com Pessoal'!$F$7:$F$506)*OFFSET('Encargos e Benefícios'!$D$5,1,MATCH($B56,'Encargos e Benefícios'!$E$5:$AB$5,0),500,1)),0)+_xlfn.IFNA(SUM((AH$3&gt;='Gastos com Pessoal'!$E$513:$E$522)*(AH$3&lt;='Gastos com Pessoal'!$F$513:$F$522)*OFFSET('Encargos e Benefícios'!$D$511,1,MATCH($B56,'Encargos e Benefícios'!$E$511:$AB$511,0),10,1)),0)+_xlfn.IFNA(SUM((AH$3&gt;='Gastos com Pessoal'!$E$7:$E$506)*(AH$3&lt;='Gastos com Pessoal'!$F$7:$F$506)*(IF('Gastos com Pessoal'!$G$7:$G$506&lt;=AH$3,1,0))*OFFSET('Gastos com Pessoal'!$H$6,1,MATCH(1&amp;$B56,'Gastos com Pessoal'!$I$532:$AJ$532&amp;'Gastos com Pessoal'!$I$6:$AJ$6,0),500,1)),0)+_xlfn.IFNA(SUM((AH$3&gt;='Gastos com Pessoal'!$E$7:$E$506)*(AH$3&lt;='Gastos com Pessoal'!$F$7:$F$506)*(IF('Gastos com Pessoal'!$M$7:$M$506&lt;=AH$3,1,0))*OFFSET('Gastos com Pessoal'!$H$6,1,MATCH(2&amp;$B56,'Gastos com Pessoal'!$I$532:$AJ$532&amp;'Gastos com Pessoal'!$I$6:$AJ$6,0),500,1)),0)+_xlfn.IFNA(SUM((AH$3&gt;='Gastos com Pessoal'!$E$7:$E$506)*(AH$3&lt;='Gastos com Pessoal'!$F$7:$F$506)*(IF('Gastos com Pessoal'!$S$7:$S$506&lt;=AH$3,1,0))*OFFSET('Gastos com Pessoal'!$H$6,1,MATCH(3&amp;$B56,'Gastos com Pessoal'!$I$532:$AJ$532&amp;'Gastos com Pessoal'!$I$6:$AJ$6,0),500,1)),0)+_xlfn.IFNA(SUM((AH$3&gt;='Gastos com Pessoal'!$E$7:$E$506)*(AH$3&lt;='Gastos com Pessoal'!$F$7:$F$506)*(IF('Gastos com Pessoal'!$Y$7:$Y$506&lt;=AH$3,1,0))*OFFSET('Gastos com Pessoal'!$H$6,1,MATCH(4&amp;$B56,'Gastos com Pessoal'!$I$532:$AJ$532&amp;'Gastos com Pessoal'!$I$6:$AJ$6,0),500,1)),0)+_xlfn.IFNA(SUM((AH$3&gt;='Gastos com Pessoal'!$E$7:$E$506)*(AH$3&lt;='Gastos com Pessoal'!$F$7:$F$506)*(IF('Gastos com Pessoal'!$AE$7:$AE$506&lt;=AH$3,1,0))*OFFSET('Gastos com Pessoal'!$H$6,1,MATCH(5&amp;$B56,'Gastos com Pessoal'!$I$532:$AJ$532&amp;'Gastos com Pessoal'!$I$6:$AJ$6,0),500,1)),0)+_xlfn.IFNA(SUM((AH$3&gt;='Gastos com Pessoal'!$E$513:$E$522)*(AH$3&lt;='Gastos com Pessoal'!$F$513:$F$522)*(IF('Gastos com Pessoal'!$G$513:$G$522&lt;=AH$3,1,0))*OFFSET('Gastos com Pessoal'!$H$512,1,MATCH(1&amp;$B56,'Gastos com Pessoal'!$I$532:$AJ$532&amp;'Gastos com Pessoal'!$I$512:$AJ$512,0),10,1)),0)+_xlfn.IFNA(SUM((AH$3&gt;='Gastos com Pessoal'!$E$513:$E$522)*(AH$3&lt;='Gastos com Pessoal'!$F$513:$F$522)*(IF('Gastos com Pessoal'!$M$513:$M$522&lt;=AH$3,1,0))*OFFSET('Gastos com Pessoal'!$H$512,1,MATCH(2&amp;$B56,'Gastos com Pessoal'!$I$532:$AJ$532&amp;'Gastos com Pessoal'!$I$512:$AJ$512,0),10,1)),0)+_xlfn.IFNA(SUM((AH$3&gt;='Gastos com Pessoal'!$E$513:$E$522)*(AH$3&lt;='Gastos com Pessoal'!$F$513:$F$522)*(IF('Gastos com Pessoal'!$S$513:$S$522&lt;=AH$3,1,0))*OFFSET('Gastos com Pessoal'!$H$512,1,MATCH(3&amp;$B56,'Gastos com Pessoal'!$I$532:$AJ$532&amp;'Gastos com Pessoal'!$I$512:$AJ$512,0),10,1)),0)+_xlfn.IFNA(SUM((AH$3&gt;='Gastos com Pessoal'!$E$513:$E$522)*(AH$3&lt;='Gastos com Pessoal'!$F$513:$F$522)*(IF('Gastos com Pessoal'!$Y$513:$Y$522&lt;=AH$3,1,0))*OFFSET('Gastos com Pessoal'!$H$512,1,MATCH(4&amp;$B56,'Gastos com Pessoal'!$I$532:$AJ$532&amp;'Gastos com Pessoal'!$I$512:$AJ$512,0),10,1)),0)+_xlfn.IFNA(SUM((AH$3&gt;='Gastos com Pessoal'!$E$513:$E$522)*(AH$3&lt;='Gastos com Pessoal'!$F$513:$F$522)*(IF('Gastos com Pessoal'!$AE$513:$AE$522&lt;=AH$3,1,0))*OFFSET('Gastos com Pessoal'!$H$512,1,MATCH(5&amp;$B56,'Gastos com Pessoal'!$I$532:$AJ$532&amp;'Gastos com Pessoal'!$I$512:$AJ$512,0),10,1)),0)</f>
        <v>62812.799999999712</v>
      </c>
      <c r="AI56" s="188">
        <f t="array" aca="1" ref="AI56" ca="1">_xlfn.IFNA(SUM((AI$3&gt;='Gastos com Pessoal'!$E$7:$E$506)*(AI$3&lt;='Gastos com Pessoal'!$F$7:$F$506)*OFFSET('Encargos e Benefícios'!$D$5,1,MATCH($B56,'Encargos e Benefícios'!$E$5:$AB$5,0),500,1)),0)+_xlfn.IFNA(SUM((AI$3&gt;='Gastos com Pessoal'!$E$513:$E$522)*(AI$3&lt;='Gastos com Pessoal'!$F$513:$F$522)*OFFSET('Encargos e Benefícios'!$D$511,1,MATCH($B56,'Encargos e Benefícios'!$E$511:$AB$511,0),10,1)),0)+_xlfn.IFNA(SUM((AI$3&gt;='Gastos com Pessoal'!$E$7:$E$506)*(AI$3&lt;='Gastos com Pessoal'!$F$7:$F$506)*(IF('Gastos com Pessoal'!$G$7:$G$506&lt;=AI$3,1,0))*OFFSET('Gastos com Pessoal'!$H$6,1,MATCH(1&amp;$B56,'Gastos com Pessoal'!$I$532:$AJ$532&amp;'Gastos com Pessoal'!$I$6:$AJ$6,0),500,1)),0)+_xlfn.IFNA(SUM((AI$3&gt;='Gastos com Pessoal'!$E$7:$E$506)*(AI$3&lt;='Gastos com Pessoal'!$F$7:$F$506)*(IF('Gastos com Pessoal'!$M$7:$M$506&lt;=AI$3,1,0))*OFFSET('Gastos com Pessoal'!$H$6,1,MATCH(2&amp;$B56,'Gastos com Pessoal'!$I$532:$AJ$532&amp;'Gastos com Pessoal'!$I$6:$AJ$6,0),500,1)),0)+_xlfn.IFNA(SUM((AI$3&gt;='Gastos com Pessoal'!$E$7:$E$506)*(AI$3&lt;='Gastos com Pessoal'!$F$7:$F$506)*(IF('Gastos com Pessoal'!$S$7:$S$506&lt;=AI$3,1,0))*OFFSET('Gastos com Pessoal'!$H$6,1,MATCH(3&amp;$B56,'Gastos com Pessoal'!$I$532:$AJ$532&amp;'Gastos com Pessoal'!$I$6:$AJ$6,0),500,1)),0)+_xlfn.IFNA(SUM((AI$3&gt;='Gastos com Pessoal'!$E$7:$E$506)*(AI$3&lt;='Gastos com Pessoal'!$F$7:$F$506)*(IF('Gastos com Pessoal'!$Y$7:$Y$506&lt;=AI$3,1,0))*OFFSET('Gastos com Pessoal'!$H$6,1,MATCH(4&amp;$B56,'Gastos com Pessoal'!$I$532:$AJ$532&amp;'Gastos com Pessoal'!$I$6:$AJ$6,0),500,1)),0)+_xlfn.IFNA(SUM((AI$3&gt;='Gastos com Pessoal'!$E$7:$E$506)*(AI$3&lt;='Gastos com Pessoal'!$F$7:$F$506)*(IF('Gastos com Pessoal'!$AE$7:$AE$506&lt;=AI$3,1,0))*OFFSET('Gastos com Pessoal'!$H$6,1,MATCH(5&amp;$B56,'Gastos com Pessoal'!$I$532:$AJ$532&amp;'Gastos com Pessoal'!$I$6:$AJ$6,0),500,1)),0)+_xlfn.IFNA(SUM((AI$3&gt;='Gastos com Pessoal'!$E$513:$E$522)*(AI$3&lt;='Gastos com Pessoal'!$F$513:$F$522)*(IF('Gastos com Pessoal'!$G$513:$G$522&lt;=AI$3,1,0))*OFFSET('Gastos com Pessoal'!$H$512,1,MATCH(1&amp;$B56,'Gastos com Pessoal'!$I$532:$AJ$532&amp;'Gastos com Pessoal'!$I$512:$AJ$512,0),10,1)),0)+_xlfn.IFNA(SUM((AI$3&gt;='Gastos com Pessoal'!$E$513:$E$522)*(AI$3&lt;='Gastos com Pessoal'!$F$513:$F$522)*(IF('Gastos com Pessoal'!$M$513:$M$522&lt;=AI$3,1,0))*OFFSET('Gastos com Pessoal'!$H$512,1,MATCH(2&amp;$B56,'Gastos com Pessoal'!$I$532:$AJ$532&amp;'Gastos com Pessoal'!$I$512:$AJ$512,0),10,1)),0)+_xlfn.IFNA(SUM((AI$3&gt;='Gastos com Pessoal'!$E$513:$E$522)*(AI$3&lt;='Gastos com Pessoal'!$F$513:$F$522)*(IF('Gastos com Pessoal'!$S$513:$S$522&lt;=AI$3,1,0))*OFFSET('Gastos com Pessoal'!$H$512,1,MATCH(3&amp;$B56,'Gastos com Pessoal'!$I$532:$AJ$532&amp;'Gastos com Pessoal'!$I$512:$AJ$512,0),10,1)),0)+_xlfn.IFNA(SUM((AI$3&gt;='Gastos com Pessoal'!$E$513:$E$522)*(AI$3&lt;='Gastos com Pessoal'!$F$513:$F$522)*(IF('Gastos com Pessoal'!$Y$513:$Y$522&lt;=AI$3,1,0))*OFFSET('Gastos com Pessoal'!$H$512,1,MATCH(4&amp;$B56,'Gastos com Pessoal'!$I$532:$AJ$532&amp;'Gastos com Pessoal'!$I$512:$AJ$512,0),10,1)),0)+_xlfn.IFNA(SUM((AI$3&gt;='Gastos com Pessoal'!$E$513:$E$522)*(AI$3&lt;='Gastos com Pessoal'!$F$513:$F$522)*(IF('Gastos com Pessoal'!$AE$513:$AE$522&lt;=AI$3,1,0))*OFFSET('Gastos com Pessoal'!$H$512,1,MATCH(5&amp;$B56,'Gastos com Pessoal'!$I$532:$AJ$532&amp;'Gastos com Pessoal'!$I$512:$AJ$512,0),10,1)),0)</f>
        <v>62812.799999999712</v>
      </c>
      <c r="AJ56" s="188">
        <f t="array" aca="1" ref="AJ56" ca="1">_xlfn.IFNA(SUM((AJ$3&gt;='Gastos com Pessoal'!$E$7:$E$506)*(AJ$3&lt;='Gastos com Pessoal'!$F$7:$F$506)*OFFSET('Encargos e Benefícios'!$D$5,1,MATCH($B56,'Encargos e Benefícios'!$E$5:$AB$5,0),500,1)),0)+_xlfn.IFNA(SUM((AJ$3&gt;='Gastos com Pessoal'!$E$513:$E$522)*(AJ$3&lt;='Gastos com Pessoal'!$F$513:$F$522)*OFFSET('Encargos e Benefícios'!$D$511,1,MATCH($B56,'Encargos e Benefícios'!$E$511:$AB$511,0),10,1)),0)+_xlfn.IFNA(SUM((AJ$3&gt;='Gastos com Pessoal'!$E$7:$E$506)*(AJ$3&lt;='Gastos com Pessoal'!$F$7:$F$506)*(IF('Gastos com Pessoal'!$G$7:$G$506&lt;=AJ$3,1,0))*OFFSET('Gastos com Pessoal'!$H$6,1,MATCH(1&amp;$B56,'Gastos com Pessoal'!$I$532:$AJ$532&amp;'Gastos com Pessoal'!$I$6:$AJ$6,0),500,1)),0)+_xlfn.IFNA(SUM((AJ$3&gt;='Gastos com Pessoal'!$E$7:$E$506)*(AJ$3&lt;='Gastos com Pessoal'!$F$7:$F$506)*(IF('Gastos com Pessoal'!$M$7:$M$506&lt;=AJ$3,1,0))*OFFSET('Gastos com Pessoal'!$H$6,1,MATCH(2&amp;$B56,'Gastos com Pessoal'!$I$532:$AJ$532&amp;'Gastos com Pessoal'!$I$6:$AJ$6,0),500,1)),0)+_xlfn.IFNA(SUM((AJ$3&gt;='Gastos com Pessoal'!$E$7:$E$506)*(AJ$3&lt;='Gastos com Pessoal'!$F$7:$F$506)*(IF('Gastos com Pessoal'!$S$7:$S$506&lt;=AJ$3,1,0))*OFFSET('Gastos com Pessoal'!$H$6,1,MATCH(3&amp;$B56,'Gastos com Pessoal'!$I$532:$AJ$532&amp;'Gastos com Pessoal'!$I$6:$AJ$6,0),500,1)),0)+_xlfn.IFNA(SUM((AJ$3&gt;='Gastos com Pessoal'!$E$7:$E$506)*(AJ$3&lt;='Gastos com Pessoal'!$F$7:$F$506)*(IF('Gastos com Pessoal'!$Y$7:$Y$506&lt;=AJ$3,1,0))*OFFSET('Gastos com Pessoal'!$H$6,1,MATCH(4&amp;$B56,'Gastos com Pessoal'!$I$532:$AJ$532&amp;'Gastos com Pessoal'!$I$6:$AJ$6,0),500,1)),0)+_xlfn.IFNA(SUM((AJ$3&gt;='Gastos com Pessoal'!$E$7:$E$506)*(AJ$3&lt;='Gastos com Pessoal'!$F$7:$F$506)*(IF('Gastos com Pessoal'!$AE$7:$AE$506&lt;=AJ$3,1,0))*OFFSET('Gastos com Pessoal'!$H$6,1,MATCH(5&amp;$B56,'Gastos com Pessoal'!$I$532:$AJ$532&amp;'Gastos com Pessoal'!$I$6:$AJ$6,0),500,1)),0)+_xlfn.IFNA(SUM((AJ$3&gt;='Gastos com Pessoal'!$E$513:$E$522)*(AJ$3&lt;='Gastos com Pessoal'!$F$513:$F$522)*(IF('Gastos com Pessoal'!$G$513:$G$522&lt;=AJ$3,1,0))*OFFSET('Gastos com Pessoal'!$H$512,1,MATCH(1&amp;$B56,'Gastos com Pessoal'!$I$532:$AJ$532&amp;'Gastos com Pessoal'!$I$512:$AJ$512,0),10,1)),0)+_xlfn.IFNA(SUM((AJ$3&gt;='Gastos com Pessoal'!$E$513:$E$522)*(AJ$3&lt;='Gastos com Pessoal'!$F$513:$F$522)*(IF('Gastos com Pessoal'!$M$513:$M$522&lt;=AJ$3,1,0))*OFFSET('Gastos com Pessoal'!$H$512,1,MATCH(2&amp;$B56,'Gastos com Pessoal'!$I$532:$AJ$532&amp;'Gastos com Pessoal'!$I$512:$AJ$512,0),10,1)),0)+_xlfn.IFNA(SUM((AJ$3&gt;='Gastos com Pessoal'!$E$513:$E$522)*(AJ$3&lt;='Gastos com Pessoal'!$F$513:$F$522)*(IF('Gastos com Pessoal'!$S$513:$S$522&lt;=AJ$3,1,0))*OFFSET('Gastos com Pessoal'!$H$512,1,MATCH(3&amp;$B56,'Gastos com Pessoal'!$I$532:$AJ$532&amp;'Gastos com Pessoal'!$I$512:$AJ$512,0),10,1)),0)+_xlfn.IFNA(SUM((AJ$3&gt;='Gastos com Pessoal'!$E$513:$E$522)*(AJ$3&lt;='Gastos com Pessoal'!$F$513:$F$522)*(IF('Gastos com Pessoal'!$Y$513:$Y$522&lt;=AJ$3,1,0))*OFFSET('Gastos com Pessoal'!$H$512,1,MATCH(4&amp;$B56,'Gastos com Pessoal'!$I$532:$AJ$532&amp;'Gastos com Pessoal'!$I$512:$AJ$512,0),10,1)),0)+_xlfn.IFNA(SUM((AJ$3&gt;='Gastos com Pessoal'!$E$513:$E$522)*(AJ$3&lt;='Gastos com Pessoal'!$F$513:$F$522)*(IF('Gastos com Pessoal'!$AE$513:$AE$522&lt;=AJ$3,1,0))*OFFSET('Gastos com Pessoal'!$H$512,1,MATCH(5&amp;$B56,'Gastos com Pessoal'!$I$532:$AJ$532&amp;'Gastos com Pessoal'!$I$512:$AJ$512,0),10,1)),0)</f>
        <v>62812.799999999712</v>
      </c>
      <c r="AK56" s="188">
        <f t="array" aca="1" ref="AK56" ca="1">_xlfn.IFNA(SUM((AK$3&gt;='Gastos com Pessoal'!$E$7:$E$506)*(AK$3&lt;='Gastos com Pessoal'!$F$7:$F$506)*OFFSET('Encargos e Benefícios'!$D$5,1,MATCH($B56,'Encargos e Benefícios'!$E$5:$AB$5,0),500,1)),0)+_xlfn.IFNA(SUM((AK$3&gt;='Gastos com Pessoal'!$E$513:$E$522)*(AK$3&lt;='Gastos com Pessoal'!$F$513:$F$522)*OFFSET('Encargos e Benefícios'!$D$511,1,MATCH($B56,'Encargos e Benefícios'!$E$511:$AB$511,0),10,1)),0)+_xlfn.IFNA(SUM((AK$3&gt;='Gastos com Pessoal'!$E$7:$E$506)*(AK$3&lt;='Gastos com Pessoal'!$F$7:$F$506)*(IF('Gastos com Pessoal'!$G$7:$G$506&lt;=AK$3,1,0))*OFFSET('Gastos com Pessoal'!$H$6,1,MATCH(1&amp;$B56,'Gastos com Pessoal'!$I$532:$AJ$532&amp;'Gastos com Pessoal'!$I$6:$AJ$6,0),500,1)),0)+_xlfn.IFNA(SUM((AK$3&gt;='Gastos com Pessoal'!$E$7:$E$506)*(AK$3&lt;='Gastos com Pessoal'!$F$7:$F$506)*(IF('Gastos com Pessoal'!$M$7:$M$506&lt;=AK$3,1,0))*OFFSET('Gastos com Pessoal'!$H$6,1,MATCH(2&amp;$B56,'Gastos com Pessoal'!$I$532:$AJ$532&amp;'Gastos com Pessoal'!$I$6:$AJ$6,0),500,1)),0)+_xlfn.IFNA(SUM((AK$3&gt;='Gastos com Pessoal'!$E$7:$E$506)*(AK$3&lt;='Gastos com Pessoal'!$F$7:$F$506)*(IF('Gastos com Pessoal'!$S$7:$S$506&lt;=AK$3,1,0))*OFFSET('Gastos com Pessoal'!$H$6,1,MATCH(3&amp;$B56,'Gastos com Pessoal'!$I$532:$AJ$532&amp;'Gastos com Pessoal'!$I$6:$AJ$6,0),500,1)),0)+_xlfn.IFNA(SUM((AK$3&gt;='Gastos com Pessoal'!$E$7:$E$506)*(AK$3&lt;='Gastos com Pessoal'!$F$7:$F$506)*(IF('Gastos com Pessoal'!$Y$7:$Y$506&lt;=AK$3,1,0))*OFFSET('Gastos com Pessoal'!$H$6,1,MATCH(4&amp;$B56,'Gastos com Pessoal'!$I$532:$AJ$532&amp;'Gastos com Pessoal'!$I$6:$AJ$6,0),500,1)),0)+_xlfn.IFNA(SUM((AK$3&gt;='Gastos com Pessoal'!$E$7:$E$506)*(AK$3&lt;='Gastos com Pessoal'!$F$7:$F$506)*(IF('Gastos com Pessoal'!$AE$7:$AE$506&lt;=AK$3,1,0))*OFFSET('Gastos com Pessoal'!$H$6,1,MATCH(5&amp;$B56,'Gastos com Pessoal'!$I$532:$AJ$532&amp;'Gastos com Pessoal'!$I$6:$AJ$6,0),500,1)),0)+_xlfn.IFNA(SUM((AK$3&gt;='Gastos com Pessoal'!$E$513:$E$522)*(AK$3&lt;='Gastos com Pessoal'!$F$513:$F$522)*(IF('Gastos com Pessoal'!$G$513:$G$522&lt;=AK$3,1,0))*OFFSET('Gastos com Pessoal'!$H$512,1,MATCH(1&amp;$B56,'Gastos com Pessoal'!$I$532:$AJ$532&amp;'Gastos com Pessoal'!$I$512:$AJ$512,0),10,1)),0)+_xlfn.IFNA(SUM((AK$3&gt;='Gastos com Pessoal'!$E$513:$E$522)*(AK$3&lt;='Gastos com Pessoal'!$F$513:$F$522)*(IF('Gastos com Pessoal'!$M$513:$M$522&lt;=AK$3,1,0))*OFFSET('Gastos com Pessoal'!$H$512,1,MATCH(2&amp;$B56,'Gastos com Pessoal'!$I$532:$AJ$532&amp;'Gastos com Pessoal'!$I$512:$AJ$512,0),10,1)),0)+_xlfn.IFNA(SUM((AK$3&gt;='Gastos com Pessoal'!$E$513:$E$522)*(AK$3&lt;='Gastos com Pessoal'!$F$513:$F$522)*(IF('Gastos com Pessoal'!$S$513:$S$522&lt;=AK$3,1,0))*OFFSET('Gastos com Pessoal'!$H$512,1,MATCH(3&amp;$B56,'Gastos com Pessoal'!$I$532:$AJ$532&amp;'Gastos com Pessoal'!$I$512:$AJ$512,0),10,1)),0)+_xlfn.IFNA(SUM((AK$3&gt;='Gastos com Pessoal'!$E$513:$E$522)*(AK$3&lt;='Gastos com Pessoal'!$F$513:$F$522)*(IF('Gastos com Pessoal'!$Y$513:$Y$522&lt;=AK$3,1,0))*OFFSET('Gastos com Pessoal'!$H$512,1,MATCH(4&amp;$B56,'Gastos com Pessoal'!$I$532:$AJ$532&amp;'Gastos com Pessoal'!$I$512:$AJ$512,0),10,1)),0)+_xlfn.IFNA(SUM((AK$3&gt;='Gastos com Pessoal'!$E$513:$E$522)*(AK$3&lt;='Gastos com Pessoal'!$F$513:$F$522)*(IF('Gastos com Pessoal'!$AE$513:$AE$522&lt;=AK$3,1,0))*OFFSET('Gastos com Pessoal'!$H$512,1,MATCH(5&amp;$B56,'Gastos com Pessoal'!$I$532:$AJ$532&amp;'Gastos com Pessoal'!$I$512:$AJ$512,0),10,1)),0)</f>
        <v>62812.799999999712</v>
      </c>
      <c r="AL56" s="188">
        <f t="array" aca="1" ref="AL56" ca="1">_xlfn.IFNA(SUM((AL$3&gt;='Gastos com Pessoal'!$E$7:$E$506)*(AL$3&lt;='Gastos com Pessoal'!$F$7:$F$506)*OFFSET('Encargos e Benefícios'!$D$5,1,MATCH($B56,'Encargos e Benefícios'!$E$5:$AB$5,0),500,1)),0)+_xlfn.IFNA(SUM((AL$3&gt;='Gastos com Pessoal'!$E$513:$E$522)*(AL$3&lt;='Gastos com Pessoal'!$F$513:$F$522)*OFFSET('Encargos e Benefícios'!$D$511,1,MATCH($B56,'Encargos e Benefícios'!$E$511:$AB$511,0),10,1)),0)+_xlfn.IFNA(SUM((AL$3&gt;='Gastos com Pessoal'!$E$7:$E$506)*(AL$3&lt;='Gastos com Pessoal'!$F$7:$F$506)*(IF('Gastos com Pessoal'!$G$7:$G$506&lt;=AL$3,1,0))*OFFSET('Gastos com Pessoal'!$H$6,1,MATCH(1&amp;$B56,'Gastos com Pessoal'!$I$532:$AJ$532&amp;'Gastos com Pessoal'!$I$6:$AJ$6,0),500,1)),0)+_xlfn.IFNA(SUM((AL$3&gt;='Gastos com Pessoal'!$E$7:$E$506)*(AL$3&lt;='Gastos com Pessoal'!$F$7:$F$506)*(IF('Gastos com Pessoal'!$M$7:$M$506&lt;=AL$3,1,0))*OFFSET('Gastos com Pessoal'!$H$6,1,MATCH(2&amp;$B56,'Gastos com Pessoal'!$I$532:$AJ$532&amp;'Gastos com Pessoal'!$I$6:$AJ$6,0),500,1)),0)+_xlfn.IFNA(SUM((AL$3&gt;='Gastos com Pessoal'!$E$7:$E$506)*(AL$3&lt;='Gastos com Pessoal'!$F$7:$F$506)*(IF('Gastos com Pessoal'!$S$7:$S$506&lt;=AL$3,1,0))*OFFSET('Gastos com Pessoal'!$H$6,1,MATCH(3&amp;$B56,'Gastos com Pessoal'!$I$532:$AJ$532&amp;'Gastos com Pessoal'!$I$6:$AJ$6,0),500,1)),0)+_xlfn.IFNA(SUM((AL$3&gt;='Gastos com Pessoal'!$E$7:$E$506)*(AL$3&lt;='Gastos com Pessoal'!$F$7:$F$506)*(IF('Gastos com Pessoal'!$Y$7:$Y$506&lt;=AL$3,1,0))*OFFSET('Gastos com Pessoal'!$H$6,1,MATCH(4&amp;$B56,'Gastos com Pessoal'!$I$532:$AJ$532&amp;'Gastos com Pessoal'!$I$6:$AJ$6,0),500,1)),0)+_xlfn.IFNA(SUM((AL$3&gt;='Gastos com Pessoal'!$E$7:$E$506)*(AL$3&lt;='Gastos com Pessoal'!$F$7:$F$506)*(IF('Gastos com Pessoal'!$AE$7:$AE$506&lt;=AL$3,1,0))*OFFSET('Gastos com Pessoal'!$H$6,1,MATCH(5&amp;$B56,'Gastos com Pessoal'!$I$532:$AJ$532&amp;'Gastos com Pessoal'!$I$6:$AJ$6,0),500,1)),0)+_xlfn.IFNA(SUM((AL$3&gt;='Gastos com Pessoal'!$E$513:$E$522)*(AL$3&lt;='Gastos com Pessoal'!$F$513:$F$522)*(IF('Gastos com Pessoal'!$G$513:$G$522&lt;=AL$3,1,0))*OFFSET('Gastos com Pessoal'!$H$512,1,MATCH(1&amp;$B56,'Gastos com Pessoal'!$I$532:$AJ$532&amp;'Gastos com Pessoal'!$I$512:$AJ$512,0),10,1)),0)+_xlfn.IFNA(SUM((AL$3&gt;='Gastos com Pessoal'!$E$513:$E$522)*(AL$3&lt;='Gastos com Pessoal'!$F$513:$F$522)*(IF('Gastos com Pessoal'!$M$513:$M$522&lt;=AL$3,1,0))*OFFSET('Gastos com Pessoal'!$H$512,1,MATCH(2&amp;$B56,'Gastos com Pessoal'!$I$532:$AJ$532&amp;'Gastos com Pessoal'!$I$512:$AJ$512,0),10,1)),0)+_xlfn.IFNA(SUM((AL$3&gt;='Gastos com Pessoal'!$E$513:$E$522)*(AL$3&lt;='Gastos com Pessoal'!$F$513:$F$522)*(IF('Gastos com Pessoal'!$S$513:$S$522&lt;=AL$3,1,0))*OFFSET('Gastos com Pessoal'!$H$512,1,MATCH(3&amp;$B56,'Gastos com Pessoal'!$I$532:$AJ$532&amp;'Gastos com Pessoal'!$I$512:$AJ$512,0),10,1)),0)+_xlfn.IFNA(SUM((AL$3&gt;='Gastos com Pessoal'!$E$513:$E$522)*(AL$3&lt;='Gastos com Pessoal'!$F$513:$F$522)*(IF('Gastos com Pessoal'!$Y$513:$Y$522&lt;=AL$3,1,0))*OFFSET('Gastos com Pessoal'!$H$512,1,MATCH(4&amp;$B56,'Gastos com Pessoal'!$I$532:$AJ$532&amp;'Gastos com Pessoal'!$I$512:$AJ$512,0),10,1)),0)+_xlfn.IFNA(SUM((AL$3&gt;='Gastos com Pessoal'!$E$513:$E$522)*(AL$3&lt;='Gastos com Pessoal'!$F$513:$F$522)*(IF('Gastos com Pessoal'!$AE$513:$AE$522&lt;=AL$3,1,0))*OFFSET('Gastos com Pessoal'!$H$512,1,MATCH(5&amp;$B56,'Gastos com Pessoal'!$I$532:$AJ$532&amp;'Gastos com Pessoal'!$I$512:$AJ$512,0),10,1)),0)</f>
        <v>62812.799999999712</v>
      </c>
      <c r="AM56" s="188">
        <f t="array" aca="1" ref="AM56" ca="1">_xlfn.IFNA(SUM((AM$3&gt;='Gastos com Pessoal'!$E$7:$E$506)*(AM$3&lt;='Gastos com Pessoal'!$F$7:$F$506)*OFFSET('Encargos e Benefícios'!$D$5,1,MATCH($B56,'Encargos e Benefícios'!$E$5:$AB$5,0),500,1)),0)+_xlfn.IFNA(SUM((AM$3&gt;='Gastos com Pessoal'!$E$513:$E$522)*(AM$3&lt;='Gastos com Pessoal'!$F$513:$F$522)*OFFSET('Encargos e Benefícios'!$D$511,1,MATCH($B56,'Encargos e Benefícios'!$E$511:$AB$511,0),10,1)),0)+_xlfn.IFNA(SUM((AM$3&gt;='Gastos com Pessoal'!$E$7:$E$506)*(AM$3&lt;='Gastos com Pessoal'!$F$7:$F$506)*(IF('Gastos com Pessoal'!$G$7:$G$506&lt;=AM$3,1,0))*OFFSET('Gastos com Pessoal'!$H$6,1,MATCH(1&amp;$B56,'Gastos com Pessoal'!$I$532:$AJ$532&amp;'Gastos com Pessoal'!$I$6:$AJ$6,0),500,1)),0)+_xlfn.IFNA(SUM((AM$3&gt;='Gastos com Pessoal'!$E$7:$E$506)*(AM$3&lt;='Gastos com Pessoal'!$F$7:$F$506)*(IF('Gastos com Pessoal'!$M$7:$M$506&lt;=AM$3,1,0))*OFFSET('Gastos com Pessoal'!$H$6,1,MATCH(2&amp;$B56,'Gastos com Pessoal'!$I$532:$AJ$532&amp;'Gastos com Pessoal'!$I$6:$AJ$6,0),500,1)),0)+_xlfn.IFNA(SUM((AM$3&gt;='Gastos com Pessoal'!$E$7:$E$506)*(AM$3&lt;='Gastos com Pessoal'!$F$7:$F$506)*(IF('Gastos com Pessoal'!$S$7:$S$506&lt;=AM$3,1,0))*OFFSET('Gastos com Pessoal'!$H$6,1,MATCH(3&amp;$B56,'Gastos com Pessoal'!$I$532:$AJ$532&amp;'Gastos com Pessoal'!$I$6:$AJ$6,0),500,1)),0)+_xlfn.IFNA(SUM((AM$3&gt;='Gastos com Pessoal'!$E$7:$E$506)*(AM$3&lt;='Gastos com Pessoal'!$F$7:$F$506)*(IF('Gastos com Pessoal'!$Y$7:$Y$506&lt;=AM$3,1,0))*OFFSET('Gastos com Pessoal'!$H$6,1,MATCH(4&amp;$B56,'Gastos com Pessoal'!$I$532:$AJ$532&amp;'Gastos com Pessoal'!$I$6:$AJ$6,0),500,1)),0)+_xlfn.IFNA(SUM((AM$3&gt;='Gastos com Pessoal'!$E$7:$E$506)*(AM$3&lt;='Gastos com Pessoal'!$F$7:$F$506)*(IF('Gastos com Pessoal'!$AE$7:$AE$506&lt;=AM$3,1,0))*OFFSET('Gastos com Pessoal'!$H$6,1,MATCH(5&amp;$B56,'Gastos com Pessoal'!$I$532:$AJ$532&amp;'Gastos com Pessoal'!$I$6:$AJ$6,0),500,1)),0)+_xlfn.IFNA(SUM((AM$3&gt;='Gastos com Pessoal'!$E$513:$E$522)*(AM$3&lt;='Gastos com Pessoal'!$F$513:$F$522)*(IF('Gastos com Pessoal'!$G$513:$G$522&lt;=AM$3,1,0))*OFFSET('Gastos com Pessoal'!$H$512,1,MATCH(1&amp;$B56,'Gastos com Pessoal'!$I$532:$AJ$532&amp;'Gastos com Pessoal'!$I$512:$AJ$512,0),10,1)),0)+_xlfn.IFNA(SUM((AM$3&gt;='Gastos com Pessoal'!$E$513:$E$522)*(AM$3&lt;='Gastos com Pessoal'!$F$513:$F$522)*(IF('Gastos com Pessoal'!$M$513:$M$522&lt;=AM$3,1,0))*OFFSET('Gastos com Pessoal'!$H$512,1,MATCH(2&amp;$B56,'Gastos com Pessoal'!$I$532:$AJ$532&amp;'Gastos com Pessoal'!$I$512:$AJ$512,0),10,1)),0)+_xlfn.IFNA(SUM((AM$3&gt;='Gastos com Pessoal'!$E$513:$E$522)*(AM$3&lt;='Gastos com Pessoal'!$F$513:$F$522)*(IF('Gastos com Pessoal'!$S$513:$S$522&lt;=AM$3,1,0))*OFFSET('Gastos com Pessoal'!$H$512,1,MATCH(3&amp;$B56,'Gastos com Pessoal'!$I$532:$AJ$532&amp;'Gastos com Pessoal'!$I$512:$AJ$512,0),10,1)),0)+_xlfn.IFNA(SUM((AM$3&gt;='Gastos com Pessoal'!$E$513:$E$522)*(AM$3&lt;='Gastos com Pessoal'!$F$513:$F$522)*(IF('Gastos com Pessoal'!$Y$513:$Y$522&lt;=AM$3,1,0))*OFFSET('Gastos com Pessoal'!$H$512,1,MATCH(4&amp;$B56,'Gastos com Pessoal'!$I$532:$AJ$532&amp;'Gastos com Pessoal'!$I$512:$AJ$512,0),10,1)),0)+_xlfn.IFNA(SUM((AM$3&gt;='Gastos com Pessoal'!$E$513:$E$522)*(AM$3&lt;='Gastos com Pessoal'!$F$513:$F$522)*(IF('Gastos com Pessoal'!$AE$513:$AE$522&lt;=AM$3,1,0))*OFFSET('Gastos com Pessoal'!$H$512,1,MATCH(5&amp;$B56,'Gastos com Pessoal'!$I$532:$AJ$532&amp;'Gastos com Pessoal'!$I$512:$AJ$512,0),10,1)),0)</f>
        <v>62812.799999999712</v>
      </c>
      <c r="AN56" s="188">
        <f t="array" aca="1" ref="AN56" ca="1">_xlfn.IFNA(SUM((AN$3&gt;='Gastos com Pessoal'!$E$7:$E$506)*(AN$3&lt;='Gastos com Pessoal'!$F$7:$F$506)*OFFSET('Encargos e Benefícios'!$D$5,1,MATCH($B56,'Encargos e Benefícios'!$E$5:$AB$5,0),500,1)),0)+_xlfn.IFNA(SUM((AN$3&gt;='Gastos com Pessoal'!$E$513:$E$522)*(AN$3&lt;='Gastos com Pessoal'!$F$513:$F$522)*OFFSET('Encargos e Benefícios'!$D$511,1,MATCH($B56,'Encargos e Benefícios'!$E$511:$AB$511,0),10,1)),0)+_xlfn.IFNA(SUM((AN$3&gt;='Gastos com Pessoal'!$E$7:$E$506)*(AN$3&lt;='Gastos com Pessoal'!$F$7:$F$506)*(IF('Gastos com Pessoal'!$G$7:$G$506&lt;=AN$3,1,0))*OFFSET('Gastos com Pessoal'!$H$6,1,MATCH(1&amp;$B56,'Gastos com Pessoal'!$I$532:$AJ$532&amp;'Gastos com Pessoal'!$I$6:$AJ$6,0),500,1)),0)+_xlfn.IFNA(SUM((AN$3&gt;='Gastos com Pessoal'!$E$7:$E$506)*(AN$3&lt;='Gastos com Pessoal'!$F$7:$F$506)*(IF('Gastos com Pessoal'!$M$7:$M$506&lt;=AN$3,1,0))*OFFSET('Gastos com Pessoal'!$H$6,1,MATCH(2&amp;$B56,'Gastos com Pessoal'!$I$532:$AJ$532&amp;'Gastos com Pessoal'!$I$6:$AJ$6,0),500,1)),0)+_xlfn.IFNA(SUM((AN$3&gt;='Gastos com Pessoal'!$E$7:$E$506)*(AN$3&lt;='Gastos com Pessoal'!$F$7:$F$506)*(IF('Gastos com Pessoal'!$S$7:$S$506&lt;=AN$3,1,0))*OFFSET('Gastos com Pessoal'!$H$6,1,MATCH(3&amp;$B56,'Gastos com Pessoal'!$I$532:$AJ$532&amp;'Gastos com Pessoal'!$I$6:$AJ$6,0),500,1)),0)+_xlfn.IFNA(SUM((AN$3&gt;='Gastos com Pessoal'!$E$7:$E$506)*(AN$3&lt;='Gastos com Pessoal'!$F$7:$F$506)*(IF('Gastos com Pessoal'!$Y$7:$Y$506&lt;=AN$3,1,0))*OFFSET('Gastos com Pessoal'!$H$6,1,MATCH(4&amp;$B56,'Gastos com Pessoal'!$I$532:$AJ$532&amp;'Gastos com Pessoal'!$I$6:$AJ$6,0),500,1)),0)+_xlfn.IFNA(SUM((AN$3&gt;='Gastos com Pessoal'!$E$7:$E$506)*(AN$3&lt;='Gastos com Pessoal'!$F$7:$F$506)*(IF('Gastos com Pessoal'!$AE$7:$AE$506&lt;=AN$3,1,0))*OFFSET('Gastos com Pessoal'!$H$6,1,MATCH(5&amp;$B56,'Gastos com Pessoal'!$I$532:$AJ$532&amp;'Gastos com Pessoal'!$I$6:$AJ$6,0),500,1)),0)+_xlfn.IFNA(SUM((AN$3&gt;='Gastos com Pessoal'!$E$513:$E$522)*(AN$3&lt;='Gastos com Pessoal'!$F$513:$F$522)*(IF('Gastos com Pessoal'!$G$513:$G$522&lt;=AN$3,1,0))*OFFSET('Gastos com Pessoal'!$H$512,1,MATCH(1&amp;$B56,'Gastos com Pessoal'!$I$532:$AJ$532&amp;'Gastos com Pessoal'!$I$512:$AJ$512,0),10,1)),0)+_xlfn.IFNA(SUM((AN$3&gt;='Gastos com Pessoal'!$E$513:$E$522)*(AN$3&lt;='Gastos com Pessoal'!$F$513:$F$522)*(IF('Gastos com Pessoal'!$M$513:$M$522&lt;=AN$3,1,0))*OFFSET('Gastos com Pessoal'!$H$512,1,MATCH(2&amp;$B56,'Gastos com Pessoal'!$I$532:$AJ$532&amp;'Gastos com Pessoal'!$I$512:$AJ$512,0),10,1)),0)+_xlfn.IFNA(SUM((AN$3&gt;='Gastos com Pessoal'!$E$513:$E$522)*(AN$3&lt;='Gastos com Pessoal'!$F$513:$F$522)*(IF('Gastos com Pessoal'!$S$513:$S$522&lt;=AN$3,1,0))*OFFSET('Gastos com Pessoal'!$H$512,1,MATCH(3&amp;$B56,'Gastos com Pessoal'!$I$532:$AJ$532&amp;'Gastos com Pessoal'!$I$512:$AJ$512,0),10,1)),0)+_xlfn.IFNA(SUM((AN$3&gt;='Gastos com Pessoal'!$E$513:$E$522)*(AN$3&lt;='Gastos com Pessoal'!$F$513:$F$522)*(IF('Gastos com Pessoal'!$Y$513:$Y$522&lt;=AN$3,1,0))*OFFSET('Gastos com Pessoal'!$H$512,1,MATCH(4&amp;$B56,'Gastos com Pessoal'!$I$532:$AJ$532&amp;'Gastos com Pessoal'!$I$512:$AJ$512,0),10,1)),0)+_xlfn.IFNA(SUM((AN$3&gt;='Gastos com Pessoal'!$E$513:$E$522)*(AN$3&lt;='Gastos com Pessoal'!$F$513:$F$522)*(IF('Gastos com Pessoal'!$AE$513:$AE$522&lt;=AN$3,1,0))*OFFSET('Gastos com Pessoal'!$H$512,1,MATCH(5&amp;$B56,'Gastos com Pessoal'!$I$532:$AJ$532&amp;'Gastos com Pessoal'!$I$512:$AJ$512,0),10,1)),0)</f>
        <v>62812.799999999712</v>
      </c>
      <c r="AO56" s="188">
        <f t="array" aca="1" ref="AO56" ca="1">_xlfn.IFNA(SUM((AO$3&gt;='Gastos com Pessoal'!$E$7:$E$506)*(AO$3&lt;='Gastos com Pessoal'!$F$7:$F$506)*OFFSET('Encargos e Benefícios'!$D$5,1,MATCH($B56,'Encargos e Benefícios'!$E$5:$AB$5,0),500,1)),0)+_xlfn.IFNA(SUM((AO$3&gt;='Gastos com Pessoal'!$E$513:$E$522)*(AO$3&lt;='Gastos com Pessoal'!$F$513:$F$522)*OFFSET('Encargos e Benefícios'!$D$511,1,MATCH($B56,'Encargos e Benefícios'!$E$511:$AB$511,0),10,1)),0)+_xlfn.IFNA(SUM((AO$3&gt;='Gastos com Pessoal'!$E$7:$E$506)*(AO$3&lt;='Gastos com Pessoal'!$F$7:$F$506)*(IF('Gastos com Pessoal'!$G$7:$G$506&lt;=AO$3,1,0))*OFFSET('Gastos com Pessoal'!$H$6,1,MATCH(1&amp;$B56,'Gastos com Pessoal'!$I$532:$AJ$532&amp;'Gastos com Pessoal'!$I$6:$AJ$6,0),500,1)),0)+_xlfn.IFNA(SUM((AO$3&gt;='Gastos com Pessoal'!$E$7:$E$506)*(AO$3&lt;='Gastos com Pessoal'!$F$7:$F$506)*(IF('Gastos com Pessoal'!$M$7:$M$506&lt;=AO$3,1,0))*OFFSET('Gastos com Pessoal'!$H$6,1,MATCH(2&amp;$B56,'Gastos com Pessoal'!$I$532:$AJ$532&amp;'Gastos com Pessoal'!$I$6:$AJ$6,0),500,1)),0)+_xlfn.IFNA(SUM((AO$3&gt;='Gastos com Pessoal'!$E$7:$E$506)*(AO$3&lt;='Gastos com Pessoal'!$F$7:$F$506)*(IF('Gastos com Pessoal'!$S$7:$S$506&lt;=AO$3,1,0))*OFFSET('Gastos com Pessoal'!$H$6,1,MATCH(3&amp;$B56,'Gastos com Pessoal'!$I$532:$AJ$532&amp;'Gastos com Pessoal'!$I$6:$AJ$6,0),500,1)),0)+_xlfn.IFNA(SUM((AO$3&gt;='Gastos com Pessoal'!$E$7:$E$506)*(AO$3&lt;='Gastos com Pessoal'!$F$7:$F$506)*(IF('Gastos com Pessoal'!$Y$7:$Y$506&lt;=AO$3,1,0))*OFFSET('Gastos com Pessoal'!$H$6,1,MATCH(4&amp;$B56,'Gastos com Pessoal'!$I$532:$AJ$532&amp;'Gastos com Pessoal'!$I$6:$AJ$6,0),500,1)),0)+_xlfn.IFNA(SUM((AO$3&gt;='Gastos com Pessoal'!$E$7:$E$506)*(AO$3&lt;='Gastos com Pessoal'!$F$7:$F$506)*(IF('Gastos com Pessoal'!$AE$7:$AE$506&lt;=AO$3,1,0))*OFFSET('Gastos com Pessoal'!$H$6,1,MATCH(5&amp;$B56,'Gastos com Pessoal'!$I$532:$AJ$532&amp;'Gastos com Pessoal'!$I$6:$AJ$6,0),500,1)),0)+_xlfn.IFNA(SUM((AO$3&gt;='Gastos com Pessoal'!$E$513:$E$522)*(AO$3&lt;='Gastos com Pessoal'!$F$513:$F$522)*(IF('Gastos com Pessoal'!$G$513:$G$522&lt;=AO$3,1,0))*OFFSET('Gastos com Pessoal'!$H$512,1,MATCH(1&amp;$B56,'Gastos com Pessoal'!$I$532:$AJ$532&amp;'Gastos com Pessoal'!$I$512:$AJ$512,0),10,1)),0)+_xlfn.IFNA(SUM((AO$3&gt;='Gastos com Pessoal'!$E$513:$E$522)*(AO$3&lt;='Gastos com Pessoal'!$F$513:$F$522)*(IF('Gastos com Pessoal'!$M$513:$M$522&lt;=AO$3,1,0))*OFFSET('Gastos com Pessoal'!$H$512,1,MATCH(2&amp;$B56,'Gastos com Pessoal'!$I$532:$AJ$532&amp;'Gastos com Pessoal'!$I$512:$AJ$512,0),10,1)),0)+_xlfn.IFNA(SUM((AO$3&gt;='Gastos com Pessoal'!$E$513:$E$522)*(AO$3&lt;='Gastos com Pessoal'!$F$513:$F$522)*(IF('Gastos com Pessoal'!$S$513:$S$522&lt;=AO$3,1,0))*OFFSET('Gastos com Pessoal'!$H$512,1,MATCH(3&amp;$B56,'Gastos com Pessoal'!$I$532:$AJ$532&amp;'Gastos com Pessoal'!$I$512:$AJ$512,0),10,1)),0)+_xlfn.IFNA(SUM((AO$3&gt;='Gastos com Pessoal'!$E$513:$E$522)*(AO$3&lt;='Gastos com Pessoal'!$F$513:$F$522)*(IF('Gastos com Pessoal'!$Y$513:$Y$522&lt;=AO$3,1,0))*OFFSET('Gastos com Pessoal'!$H$512,1,MATCH(4&amp;$B56,'Gastos com Pessoal'!$I$532:$AJ$532&amp;'Gastos com Pessoal'!$I$512:$AJ$512,0),10,1)),0)+_xlfn.IFNA(SUM((AO$3&gt;='Gastos com Pessoal'!$E$513:$E$522)*(AO$3&lt;='Gastos com Pessoal'!$F$513:$F$522)*(IF('Gastos com Pessoal'!$AE$513:$AE$522&lt;=AO$3,1,0))*OFFSET('Gastos com Pessoal'!$H$512,1,MATCH(5&amp;$B56,'Gastos com Pessoal'!$I$532:$AJ$532&amp;'Gastos com Pessoal'!$I$512:$AJ$512,0),10,1)),0)</f>
        <v>62812.799999999712</v>
      </c>
      <c r="AP56" s="188">
        <f t="array" aca="1" ref="AP56" ca="1">_xlfn.IFNA(SUM((AP$3&gt;='Gastos com Pessoal'!$E$7:$E$506)*(AP$3&lt;='Gastos com Pessoal'!$F$7:$F$506)*OFFSET('Encargos e Benefícios'!$D$5,1,MATCH($B56,'Encargos e Benefícios'!$E$5:$AB$5,0),500,1)),0)+_xlfn.IFNA(SUM((AP$3&gt;='Gastos com Pessoal'!$E$513:$E$522)*(AP$3&lt;='Gastos com Pessoal'!$F$513:$F$522)*OFFSET('Encargos e Benefícios'!$D$511,1,MATCH($B56,'Encargos e Benefícios'!$E$511:$AB$511,0),10,1)),0)+_xlfn.IFNA(SUM((AP$3&gt;='Gastos com Pessoal'!$E$7:$E$506)*(AP$3&lt;='Gastos com Pessoal'!$F$7:$F$506)*(IF('Gastos com Pessoal'!$G$7:$G$506&lt;=AP$3,1,0))*OFFSET('Gastos com Pessoal'!$H$6,1,MATCH(1&amp;$B56,'Gastos com Pessoal'!$I$532:$AJ$532&amp;'Gastos com Pessoal'!$I$6:$AJ$6,0),500,1)),0)+_xlfn.IFNA(SUM((AP$3&gt;='Gastos com Pessoal'!$E$7:$E$506)*(AP$3&lt;='Gastos com Pessoal'!$F$7:$F$506)*(IF('Gastos com Pessoal'!$M$7:$M$506&lt;=AP$3,1,0))*OFFSET('Gastos com Pessoal'!$H$6,1,MATCH(2&amp;$B56,'Gastos com Pessoal'!$I$532:$AJ$532&amp;'Gastos com Pessoal'!$I$6:$AJ$6,0),500,1)),0)+_xlfn.IFNA(SUM((AP$3&gt;='Gastos com Pessoal'!$E$7:$E$506)*(AP$3&lt;='Gastos com Pessoal'!$F$7:$F$506)*(IF('Gastos com Pessoal'!$S$7:$S$506&lt;=AP$3,1,0))*OFFSET('Gastos com Pessoal'!$H$6,1,MATCH(3&amp;$B56,'Gastos com Pessoal'!$I$532:$AJ$532&amp;'Gastos com Pessoal'!$I$6:$AJ$6,0),500,1)),0)+_xlfn.IFNA(SUM((AP$3&gt;='Gastos com Pessoal'!$E$7:$E$506)*(AP$3&lt;='Gastos com Pessoal'!$F$7:$F$506)*(IF('Gastos com Pessoal'!$Y$7:$Y$506&lt;=AP$3,1,0))*OFFSET('Gastos com Pessoal'!$H$6,1,MATCH(4&amp;$B56,'Gastos com Pessoal'!$I$532:$AJ$532&amp;'Gastos com Pessoal'!$I$6:$AJ$6,0),500,1)),0)+_xlfn.IFNA(SUM((AP$3&gt;='Gastos com Pessoal'!$E$7:$E$506)*(AP$3&lt;='Gastos com Pessoal'!$F$7:$F$506)*(IF('Gastos com Pessoal'!$AE$7:$AE$506&lt;=AP$3,1,0))*OFFSET('Gastos com Pessoal'!$H$6,1,MATCH(5&amp;$B56,'Gastos com Pessoal'!$I$532:$AJ$532&amp;'Gastos com Pessoal'!$I$6:$AJ$6,0),500,1)),0)+_xlfn.IFNA(SUM((AP$3&gt;='Gastos com Pessoal'!$E$513:$E$522)*(AP$3&lt;='Gastos com Pessoal'!$F$513:$F$522)*(IF('Gastos com Pessoal'!$G$513:$G$522&lt;=AP$3,1,0))*OFFSET('Gastos com Pessoal'!$H$512,1,MATCH(1&amp;$B56,'Gastos com Pessoal'!$I$532:$AJ$532&amp;'Gastos com Pessoal'!$I$512:$AJ$512,0),10,1)),0)+_xlfn.IFNA(SUM((AP$3&gt;='Gastos com Pessoal'!$E$513:$E$522)*(AP$3&lt;='Gastos com Pessoal'!$F$513:$F$522)*(IF('Gastos com Pessoal'!$M$513:$M$522&lt;=AP$3,1,0))*OFFSET('Gastos com Pessoal'!$H$512,1,MATCH(2&amp;$B56,'Gastos com Pessoal'!$I$532:$AJ$532&amp;'Gastos com Pessoal'!$I$512:$AJ$512,0),10,1)),0)+_xlfn.IFNA(SUM((AP$3&gt;='Gastos com Pessoal'!$E$513:$E$522)*(AP$3&lt;='Gastos com Pessoal'!$F$513:$F$522)*(IF('Gastos com Pessoal'!$S$513:$S$522&lt;=AP$3,1,0))*OFFSET('Gastos com Pessoal'!$H$512,1,MATCH(3&amp;$B56,'Gastos com Pessoal'!$I$532:$AJ$532&amp;'Gastos com Pessoal'!$I$512:$AJ$512,0),10,1)),0)+_xlfn.IFNA(SUM((AP$3&gt;='Gastos com Pessoal'!$E$513:$E$522)*(AP$3&lt;='Gastos com Pessoal'!$F$513:$F$522)*(IF('Gastos com Pessoal'!$Y$513:$Y$522&lt;=AP$3,1,0))*OFFSET('Gastos com Pessoal'!$H$512,1,MATCH(4&amp;$B56,'Gastos com Pessoal'!$I$532:$AJ$532&amp;'Gastos com Pessoal'!$I$512:$AJ$512,0),10,1)),0)+_xlfn.IFNA(SUM((AP$3&gt;='Gastos com Pessoal'!$E$513:$E$522)*(AP$3&lt;='Gastos com Pessoal'!$F$513:$F$522)*(IF('Gastos com Pessoal'!$AE$513:$AE$522&lt;=AP$3,1,0))*OFFSET('Gastos com Pessoal'!$H$512,1,MATCH(5&amp;$B56,'Gastos com Pessoal'!$I$532:$AJ$532&amp;'Gastos com Pessoal'!$I$512:$AJ$512,0),10,1)),0)</f>
        <v>62812.799999999712</v>
      </c>
      <c r="AQ56" s="188">
        <f t="array" aca="1" ref="AQ56" ca="1">_xlfn.IFNA(SUM((AQ$3&gt;='Gastos com Pessoal'!$E$7:$E$506)*(AQ$3&lt;='Gastos com Pessoal'!$F$7:$F$506)*OFFSET('Encargos e Benefícios'!$D$5,1,MATCH($B56,'Encargos e Benefícios'!$E$5:$AB$5,0),500,1)),0)+_xlfn.IFNA(SUM((AQ$3&gt;='Gastos com Pessoal'!$E$513:$E$522)*(AQ$3&lt;='Gastos com Pessoal'!$F$513:$F$522)*OFFSET('Encargos e Benefícios'!$D$511,1,MATCH($B56,'Encargos e Benefícios'!$E$511:$AB$511,0),10,1)),0)+_xlfn.IFNA(SUM((AQ$3&gt;='Gastos com Pessoal'!$E$7:$E$506)*(AQ$3&lt;='Gastos com Pessoal'!$F$7:$F$506)*(IF('Gastos com Pessoal'!$G$7:$G$506&lt;=AQ$3,1,0))*OFFSET('Gastos com Pessoal'!$H$6,1,MATCH(1&amp;$B56,'Gastos com Pessoal'!$I$532:$AJ$532&amp;'Gastos com Pessoal'!$I$6:$AJ$6,0),500,1)),0)+_xlfn.IFNA(SUM((AQ$3&gt;='Gastos com Pessoal'!$E$7:$E$506)*(AQ$3&lt;='Gastos com Pessoal'!$F$7:$F$506)*(IF('Gastos com Pessoal'!$M$7:$M$506&lt;=AQ$3,1,0))*OFFSET('Gastos com Pessoal'!$H$6,1,MATCH(2&amp;$B56,'Gastos com Pessoal'!$I$532:$AJ$532&amp;'Gastos com Pessoal'!$I$6:$AJ$6,0),500,1)),0)+_xlfn.IFNA(SUM((AQ$3&gt;='Gastos com Pessoal'!$E$7:$E$506)*(AQ$3&lt;='Gastos com Pessoal'!$F$7:$F$506)*(IF('Gastos com Pessoal'!$S$7:$S$506&lt;=AQ$3,1,0))*OFFSET('Gastos com Pessoal'!$H$6,1,MATCH(3&amp;$B56,'Gastos com Pessoal'!$I$532:$AJ$532&amp;'Gastos com Pessoal'!$I$6:$AJ$6,0),500,1)),0)+_xlfn.IFNA(SUM((AQ$3&gt;='Gastos com Pessoal'!$E$7:$E$506)*(AQ$3&lt;='Gastos com Pessoal'!$F$7:$F$506)*(IF('Gastos com Pessoal'!$Y$7:$Y$506&lt;=AQ$3,1,0))*OFFSET('Gastos com Pessoal'!$H$6,1,MATCH(4&amp;$B56,'Gastos com Pessoal'!$I$532:$AJ$532&amp;'Gastos com Pessoal'!$I$6:$AJ$6,0),500,1)),0)+_xlfn.IFNA(SUM((AQ$3&gt;='Gastos com Pessoal'!$E$7:$E$506)*(AQ$3&lt;='Gastos com Pessoal'!$F$7:$F$506)*(IF('Gastos com Pessoal'!$AE$7:$AE$506&lt;=AQ$3,1,0))*OFFSET('Gastos com Pessoal'!$H$6,1,MATCH(5&amp;$B56,'Gastos com Pessoal'!$I$532:$AJ$532&amp;'Gastos com Pessoal'!$I$6:$AJ$6,0),500,1)),0)+_xlfn.IFNA(SUM((AQ$3&gt;='Gastos com Pessoal'!$E$513:$E$522)*(AQ$3&lt;='Gastos com Pessoal'!$F$513:$F$522)*(IF('Gastos com Pessoal'!$G$513:$G$522&lt;=AQ$3,1,0))*OFFSET('Gastos com Pessoal'!$H$512,1,MATCH(1&amp;$B56,'Gastos com Pessoal'!$I$532:$AJ$532&amp;'Gastos com Pessoal'!$I$512:$AJ$512,0),10,1)),0)+_xlfn.IFNA(SUM((AQ$3&gt;='Gastos com Pessoal'!$E$513:$E$522)*(AQ$3&lt;='Gastos com Pessoal'!$F$513:$F$522)*(IF('Gastos com Pessoal'!$M$513:$M$522&lt;=AQ$3,1,0))*OFFSET('Gastos com Pessoal'!$H$512,1,MATCH(2&amp;$B56,'Gastos com Pessoal'!$I$532:$AJ$532&amp;'Gastos com Pessoal'!$I$512:$AJ$512,0),10,1)),0)+_xlfn.IFNA(SUM((AQ$3&gt;='Gastos com Pessoal'!$E$513:$E$522)*(AQ$3&lt;='Gastos com Pessoal'!$F$513:$F$522)*(IF('Gastos com Pessoal'!$S$513:$S$522&lt;=AQ$3,1,0))*OFFSET('Gastos com Pessoal'!$H$512,1,MATCH(3&amp;$B56,'Gastos com Pessoal'!$I$532:$AJ$532&amp;'Gastos com Pessoal'!$I$512:$AJ$512,0),10,1)),0)+_xlfn.IFNA(SUM((AQ$3&gt;='Gastos com Pessoal'!$E$513:$E$522)*(AQ$3&lt;='Gastos com Pessoal'!$F$513:$F$522)*(IF('Gastos com Pessoal'!$Y$513:$Y$522&lt;=AQ$3,1,0))*OFFSET('Gastos com Pessoal'!$H$512,1,MATCH(4&amp;$B56,'Gastos com Pessoal'!$I$532:$AJ$532&amp;'Gastos com Pessoal'!$I$512:$AJ$512,0),10,1)),0)+_xlfn.IFNA(SUM((AQ$3&gt;='Gastos com Pessoal'!$E$513:$E$522)*(AQ$3&lt;='Gastos com Pessoal'!$F$513:$F$522)*(IF('Gastos com Pessoal'!$AE$513:$AE$522&lt;=AQ$3,1,0))*OFFSET('Gastos com Pessoal'!$H$512,1,MATCH(5&amp;$B56,'Gastos com Pessoal'!$I$532:$AJ$532&amp;'Gastos com Pessoal'!$I$512:$AJ$512,0),10,1)),0)</f>
        <v>62812.799999999712</v>
      </c>
      <c r="AR56" s="188">
        <f t="array" aca="1" ref="AR56" ca="1">_xlfn.IFNA(SUM((AR$3&gt;='Gastos com Pessoal'!$E$7:$E$506)*(AR$3&lt;='Gastos com Pessoal'!$F$7:$F$506)*OFFSET('Encargos e Benefícios'!$D$5,1,MATCH($B56,'Encargos e Benefícios'!$E$5:$AB$5,0),500,1)),0)+_xlfn.IFNA(SUM((AR$3&gt;='Gastos com Pessoal'!$E$513:$E$522)*(AR$3&lt;='Gastos com Pessoal'!$F$513:$F$522)*OFFSET('Encargos e Benefícios'!$D$511,1,MATCH($B56,'Encargos e Benefícios'!$E$511:$AB$511,0),10,1)),0)+_xlfn.IFNA(SUM((AR$3&gt;='Gastos com Pessoal'!$E$7:$E$506)*(AR$3&lt;='Gastos com Pessoal'!$F$7:$F$506)*(IF('Gastos com Pessoal'!$G$7:$G$506&lt;=AR$3,1,0))*OFFSET('Gastos com Pessoal'!$H$6,1,MATCH(1&amp;$B56,'Gastos com Pessoal'!$I$532:$AJ$532&amp;'Gastos com Pessoal'!$I$6:$AJ$6,0),500,1)),0)+_xlfn.IFNA(SUM((AR$3&gt;='Gastos com Pessoal'!$E$7:$E$506)*(AR$3&lt;='Gastos com Pessoal'!$F$7:$F$506)*(IF('Gastos com Pessoal'!$M$7:$M$506&lt;=AR$3,1,0))*OFFSET('Gastos com Pessoal'!$H$6,1,MATCH(2&amp;$B56,'Gastos com Pessoal'!$I$532:$AJ$532&amp;'Gastos com Pessoal'!$I$6:$AJ$6,0),500,1)),0)+_xlfn.IFNA(SUM((AR$3&gt;='Gastos com Pessoal'!$E$7:$E$506)*(AR$3&lt;='Gastos com Pessoal'!$F$7:$F$506)*(IF('Gastos com Pessoal'!$S$7:$S$506&lt;=AR$3,1,0))*OFFSET('Gastos com Pessoal'!$H$6,1,MATCH(3&amp;$B56,'Gastos com Pessoal'!$I$532:$AJ$532&amp;'Gastos com Pessoal'!$I$6:$AJ$6,0),500,1)),0)+_xlfn.IFNA(SUM((AR$3&gt;='Gastos com Pessoal'!$E$7:$E$506)*(AR$3&lt;='Gastos com Pessoal'!$F$7:$F$506)*(IF('Gastos com Pessoal'!$Y$7:$Y$506&lt;=AR$3,1,0))*OFFSET('Gastos com Pessoal'!$H$6,1,MATCH(4&amp;$B56,'Gastos com Pessoal'!$I$532:$AJ$532&amp;'Gastos com Pessoal'!$I$6:$AJ$6,0),500,1)),0)+_xlfn.IFNA(SUM((AR$3&gt;='Gastos com Pessoal'!$E$7:$E$506)*(AR$3&lt;='Gastos com Pessoal'!$F$7:$F$506)*(IF('Gastos com Pessoal'!$AE$7:$AE$506&lt;=AR$3,1,0))*OFFSET('Gastos com Pessoal'!$H$6,1,MATCH(5&amp;$B56,'Gastos com Pessoal'!$I$532:$AJ$532&amp;'Gastos com Pessoal'!$I$6:$AJ$6,0),500,1)),0)+_xlfn.IFNA(SUM((AR$3&gt;='Gastos com Pessoal'!$E$513:$E$522)*(AR$3&lt;='Gastos com Pessoal'!$F$513:$F$522)*(IF('Gastos com Pessoal'!$G$513:$G$522&lt;=AR$3,1,0))*OFFSET('Gastos com Pessoal'!$H$512,1,MATCH(1&amp;$B56,'Gastos com Pessoal'!$I$532:$AJ$532&amp;'Gastos com Pessoal'!$I$512:$AJ$512,0),10,1)),0)+_xlfn.IFNA(SUM((AR$3&gt;='Gastos com Pessoal'!$E$513:$E$522)*(AR$3&lt;='Gastos com Pessoal'!$F$513:$F$522)*(IF('Gastos com Pessoal'!$M$513:$M$522&lt;=AR$3,1,0))*OFFSET('Gastos com Pessoal'!$H$512,1,MATCH(2&amp;$B56,'Gastos com Pessoal'!$I$532:$AJ$532&amp;'Gastos com Pessoal'!$I$512:$AJ$512,0),10,1)),0)+_xlfn.IFNA(SUM((AR$3&gt;='Gastos com Pessoal'!$E$513:$E$522)*(AR$3&lt;='Gastos com Pessoal'!$F$513:$F$522)*(IF('Gastos com Pessoal'!$S$513:$S$522&lt;=AR$3,1,0))*OFFSET('Gastos com Pessoal'!$H$512,1,MATCH(3&amp;$B56,'Gastos com Pessoal'!$I$532:$AJ$532&amp;'Gastos com Pessoal'!$I$512:$AJ$512,0),10,1)),0)+_xlfn.IFNA(SUM((AR$3&gt;='Gastos com Pessoal'!$E$513:$E$522)*(AR$3&lt;='Gastos com Pessoal'!$F$513:$F$522)*(IF('Gastos com Pessoal'!$Y$513:$Y$522&lt;=AR$3,1,0))*OFFSET('Gastos com Pessoal'!$H$512,1,MATCH(4&amp;$B56,'Gastos com Pessoal'!$I$532:$AJ$532&amp;'Gastos com Pessoal'!$I$512:$AJ$512,0),10,1)),0)+_xlfn.IFNA(SUM((AR$3&gt;='Gastos com Pessoal'!$E$513:$E$522)*(AR$3&lt;='Gastos com Pessoal'!$F$513:$F$522)*(IF('Gastos com Pessoal'!$AE$513:$AE$522&lt;=AR$3,1,0))*OFFSET('Gastos com Pessoal'!$H$512,1,MATCH(5&amp;$B56,'Gastos com Pessoal'!$I$532:$AJ$532&amp;'Gastos com Pessoal'!$I$512:$AJ$512,0),10,1)),0)</f>
        <v>62812.799999999712</v>
      </c>
      <c r="AS56" s="188">
        <f t="array" aca="1" ref="AS56" ca="1">_xlfn.IFNA(SUM((AS$3&gt;='Gastos com Pessoal'!$E$7:$E$506)*(AS$3&lt;='Gastos com Pessoal'!$F$7:$F$506)*OFFSET('Encargos e Benefícios'!$D$5,1,MATCH($B56,'Encargos e Benefícios'!$E$5:$AB$5,0),500,1)),0)+_xlfn.IFNA(SUM((AS$3&gt;='Gastos com Pessoal'!$E$513:$E$522)*(AS$3&lt;='Gastos com Pessoal'!$F$513:$F$522)*OFFSET('Encargos e Benefícios'!$D$511,1,MATCH($B56,'Encargos e Benefícios'!$E$511:$AB$511,0),10,1)),0)+_xlfn.IFNA(SUM((AS$3&gt;='Gastos com Pessoal'!$E$7:$E$506)*(AS$3&lt;='Gastos com Pessoal'!$F$7:$F$506)*(IF('Gastos com Pessoal'!$G$7:$G$506&lt;=AS$3,1,0))*OFFSET('Gastos com Pessoal'!$H$6,1,MATCH(1&amp;$B56,'Gastos com Pessoal'!$I$532:$AJ$532&amp;'Gastos com Pessoal'!$I$6:$AJ$6,0),500,1)),0)+_xlfn.IFNA(SUM((AS$3&gt;='Gastos com Pessoal'!$E$7:$E$506)*(AS$3&lt;='Gastos com Pessoal'!$F$7:$F$506)*(IF('Gastos com Pessoal'!$M$7:$M$506&lt;=AS$3,1,0))*OFFSET('Gastos com Pessoal'!$H$6,1,MATCH(2&amp;$B56,'Gastos com Pessoal'!$I$532:$AJ$532&amp;'Gastos com Pessoal'!$I$6:$AJ$6,0),500,1)),0)+_xlfn.IFNA(SUM((AS$3&gt;='Gastos com Pessoal'!$E$7:$E$506)*(AS$3&lt;='Gastos com Pessoal'!$F$7:$F$506)*(IF('Gastos com Pessoal'!$S$7:$S$506&lt;=AS$3,1,0))*OFFSET('Gastos com Pessoal'!$H$6,1,MATCH(3&amp;$B56,'Gastos com Pessoal'!$I$532:$AJ$532&amp;'Gastos com Pessoal'!$I$6:$AJ$6,0),500,1)),0)+_xlfn.IFNA(SUM((AS$3&gt;='Gastos com Pessoal'!$E$7:$E$506)*(AS$3&lt;='Gastos com Pessoal'!$F$7:$F$506)*(IF('Gastos com Pessoal'!$Y$7:$Y$506&lt;=AS$3,1,0))*OFFSET('Gastos com Pessoal'!$H$6,1,MATCH(4&amp;$B56,'Gastos com Pessoal'!$I$532:$AJ$532&amp;'Gastos com Pessoal'!$I$6:$AJ$6,0),500,1)),0)+_xlfn.IFNA(SUM((AS$3&gt;='Gastos com Pessoal'!$E$7:$E$506)*(AS$3&lt;='Gastos com Pessoal'!$F$7:$F$506)*(IF('Gastos com Pessoal'!$AE$7:$AE$506&lt;=AS$3,1,0))*OFFSET('Gastos com Pessoal'!$H$6,1,MATCH(5&amp;$B56,'Gastos com Pessoal'!$I$532:$AJ$532&amp;'Gastos com Pessoal'!$I$6:$AJ$6,0),500,1)),0)+_xlfn.IFNA(SUM((AS$3&gt;='Gastos com Pessoal'!$E$513:$E$522)*(AS$3&lt;='Gastos com Pessoal'!$F$513:$F$522)*(IF('Gastos com Pessoal'!$G$513:$G$522&lt;=AS$3,1,0))*OFFSET('Gastos com Pessoal'!$H$512,1,MATCH(1&amp;$B56,'Gastos com Pessoal'!$I$532:$AJ$532&amp;'Gastos com Pessoal'!$I$512:$AJ$512,0),10,1)),0)+_xlfn.IFNA(SUM((AS$3&gt;='Gastos com Pessoal'!$E$513:$E$522)*(AS$3&lt;='Gastos com Pessoal'!$F$513:$F$522)*(IF('Gastos com Pessoal'!$M$513:$M$522&lt;=AS$3,1,0))*OFFSET('Gastos com Pessoal'!$H$512,1,MATCH(2&amp;$B56,'Gastos com Pessoal'!$I$532:$AJ$532&amp;'Gastos com Pessoal'!$I$512:$AJ$512,0),10,1)),0)+_xlfn.IFNA(SUM((AS$3&gt;='Gastos com Pessoal'!$E$513:$E$522)*(AS$3&lt;='Gastos com Pessoal'!$F$513:$F$522)*(IF('Gastos com Pessoal'!$S$513:$S$522&lt;=AS$3,1,0))*OFFSET('Gastos com Pessoal'!$H$512,1,MATCH(3&amp;$B56,'Gastos com Pessoal'!$I$532:$AJ$532&amp;'Gastos com Pessoal'!$I$512:$AJ$512,0),10,1)),0)+_xlfn.IFNA(SUM((AS$3&gt;='Gastos com Pessoal'!$E$513:$E$522)*(AS$3&lt;='Gastos com Pessoal'!$F$513:$F$522)*(IF('Gastos com Pessoal'!$Y$513:$Y$522&lt;=AS$3,1,0))*OFFSET('Gastos com Pessoal'!$H$512,1,MATCH(4&amp;$B56,'Gastos com Pessoal'!$I$532:$AJ$532&amp;'Gastos com Pessoal'!$I$512:$AJ$512,0),10,1)),0)+_xlfn.IFNA(SUM((AS$3&gt;='Gastos com Pessoal'!$E$513:$E$522)*(AS$3&lt;='Gastos com Pessoal'!$F$513:$F$522)*(IF('Gastos com Pessoal'!$AE$513:$AE$522&lt;=AS$3,1,0))*OFFSET('Gastos com Pessoal'!$H$512,1,MATCH(5&amp;$B56,'Gastos com Pessoal'!$I$532:$AJ$532&amp;'Gastos com Pessoal'!$I$512:$AJ$512,0),10,1)),0)</f>
        <v>62812.799999999712</v>
      </c>
      <c r="AT56" s="188">
        <f t="array" aca="1" ref="AT56" ca="1">_xlfn.IFNA(SUM((AT$3&gt;='Gastos com Pessoal'!$E$7:$E$506)*(AT$3&lt;='Gastos com Pessoal'!$F$7:$F$506)*OFFSET('Encargos e Benefícios'!$D$5,1,MATCH($B56,'Encargos e Benefícios'!$E$5:$AB$5,0),500,1)),0)+_xlfn.IFNA(SUM((AT$3&gt;='Gastos com Pessoal'!$E$513:$E$522)*(AT$3&lt;='Gastos com Pessoal'!$F$513:$F$522)*OFFSET('Encargos e Benefícios'!$D$511,1,MATCH($B56,'Encargos e Benefícios'!$E$511:$AB$511,0),10,1)),0)+_xlfn.IFNA(SUM((AT$3&gt;='Gastos com Pessoal'!$E$7:$E$506)*(AT$3&lt;='Gastos com Pessoal'!$F$7:$F$506)*(IF('Gastos com Pessoal'!$G$7:$G$506&lt;=AT$3,1,0))*OFFSET('Gastos com Pessoal'!$H$6,1,MATCH(1&amp;$B56,'Gastos com Pessoal'!$I$532:$AJ$532&amp;'Gastos com Pessoal'!$I$6:$AJ$6,0),500,1)),0)+_xlfn.IFNA(SUM((AT$3&gt;='Gastos com Pessoal'!$E$7:$E$506)*(AT$3&lt;='Gastos com Pessoal'!$F$7:$F$506)*(IF('Gastos com Pessoal'!$M$7:$M$506&lt;=AT$3,1,0))*OFFSET('Gastos com Pessoal'!$H$6,1,MATCH(2&amp;$B56,'Gastos com Pessoal'!$I$532:$AJ$532&amp;'Gastos com Pessoal'!$I$6:$AJ$6,0),500,1)),0)+_xlfn.IFNA(SUM((AT$3&gt;='Gastos com Pessoal'!$E$7:$E$506)*(AT$3&lt;='Gastos com Pessoal'!$F$7:$F$506)*(IF('Gastos com Pessoal'!$S$7:$S$506&lt;=AT$3,1,0))*OFFSET('Gastos com Pessoal'!$H$6,1,MATCH(3&amp;$B56,'Gastos com Pessoal'!$I$532:$AJ$532&amp;'Gastos com Pessoal'!$I$6:$AJ$6,0),500,1)),0)+_xlfn.IFNA(SUM((AT$3&gt;='Gastos com Pessoal'!$E$7:$E$506)*(AT$3&lt;='Gastos com Pessoal'!$F$7:$F$506)*(IF('Gastos com Pessoal'!$Y$7:$Y$506&lt;=AT$3,1,0))*OFFSET('Gastos com Pessoal'!$H$6,1,MATCH(4&amp;$B56,'Gastos com Pessoal'!$I$532:$AJ$532&amp;'Gastos com Pessoal'!$I$6:$AJ$6,0),500,1)),0)+_xlfn.IFNA(SUM((AT$3&gt;='Gastos com Pessoal'!$E$7:$E$506)*(AT$3&lt;='Gastos com Pessoal'!$F$7:$F$506)*(IF('Gastos com Pessoal'!$AE$7:$AE$506&lt;=AT$3,1,0))*OFFSET('Gastos com Pessoal'!$H$6,1,MATCH(5&amp;$B56,'Gastos com Pessoal'!$I$532:$AJ$532&amp;'Gastos com Pessoal'!$I$6:$AJ$6,0),500,1)),0)+_xlfn.IFNA(SUM((AT$3&gt;='Gastos com Pessoal'!$E$513:$E$522)*(AT$3&lt;='Gastos com Pessoal'!$F$513:$F$522)*(IF('Gastos com Pessoal'!$G$513:$G$522&lt;=AT$3,1,0))*OFFSET('Gastos com Pessoal'!$H$512,1,MATCH(1&amp;$B56,'Gastos com Pessoal'!$I$532:$AJ$532&amp;'Gastos com Pessoal'!$I$512:$AJ$512,0),10,1)),0)+_xlfn.IFNA(SUM((AT$3&gt;='Gastos com Pessoal'!$E$513:$E$522)*(AT$3&lt;='Gastos com Pessoal'!$F$513:$F$522)*(IF('Gastos com Pessoal'!$M$513:$M$522&lt;=AT$3,1,0))*OFFSET('Gastos com Pessoal'!$H$512,1,MATCH(2&amp;$B56,'Gastos com Pessoal'!$I$532:$AJ$532&amp;'Gastos com Pessoal'!$I$512:$AJ$512,0),10,1)),0)+_xlfn.IFNA(SUM((AT$3&gt;='Gastos com Pessoal'!$E$513:$E$522)*(AT$3&lt;='Gastos com Pessoal'!$F$513:$F$522)*(IF('Gastos com Pessoal'!$S$513:$S$522&lt;=AT$3,1,0))*OFFSET('Gastos com Pessoal'!$H$512,1,MATCH(3&amp;$B56,'Gastos com Pessoal'!$I$532:$AJ$532&amp;'Gastos com Pessoal'!$I$512:$AJ$512,0),10,1)),0)+_xlfn.IFNA(SUM((AT$3&gt;='Gastos com Pessoal'!$E$513:$E$522)*(AT$3&lt;='Gastos com Pessoal'!$F$513:$F$522)*(IF('Gastos com Pessoal'!$Y$513:$Y$522&lt;=AT$3,1,0))*OFFSET('Gastos com Pessoal'!$H$512,1,MATCH(4&amp;$B56,'Gastos com Pessoal'!$I$532:$AJ$532&amp;'Gastos com Pessoal'!$I$512:$AJ$512,0),10,1)),0)+_xlfn.IFNA(SUM((AT$3&gt;='Gastos com Pessoal'!$E$513:$E$522)*(AT$3&lt;='Gastos com Pessoal'!$F$513:$F$522)*(IF('Gastos com Pessoal'!$AE$513:$AE$522&lt;=AT$3,1,0))*OFFSET('Gastos com Pessoal'!$H$512,1,MATCH(5&amp;$B56,'Gastos com Pessoal'!$I$532:$AJ$532&amp;'Gastos com Pessoal'!$I$512:$AJ$512,0),10,1)),0)</f>
        <v>62812.799999999712</v>
      </c>
      <c r="AU56" s="188">
        <f t="array" aca="1" ref="AU56" ca="1">_xlfn.IFNA(SUM((AU$3&gt;='Gastos com Pessoal'!$E$7:$E$506)*(AU$3&lt;='Gastos com Pessoal'!$F$7:$F$506)*OFFSET('Encargos e Benefícios'!$D$5,1,MATCH($B56,'Encargos e Benefícios'!$E$5:$AB$5,0),500,1)),0)+_xlfn.IFNA(SUM((AU$3&gt;='Gastos com Pessoal'!$E$513:$E$522)*(AU$3&lt;='Gastos com Pessoal'!$F$513:$F$522)*OFFSET('Encargos e Benefícios'!$D$511,1,MATCH($B56,'Encargos e Benefícios'!$E$511:$AB$511,0),10,1)),0)+_xlfn.IFNA(SUM((AU$3&gt;='Gastos com Pessoal'!$E$7:$E$506)*(AU$3&lt;='Gastos com Pessoal'!$F$7:$F$506)*(IF('Gastos com Pessoal'!$G$7:$G$506&lt;=AU$3,1,0))*OFFSET('Gastos com Pessoal'!$H$6,1,MATCH(1&amp;$B56,'Gastos com Pessoal'!$I$532:$AJ$532&amp;'Gastos com Pessoal'!$I$6:$AJ$6,0),500,1)),0)+_xlfn.IFNA(SUM((AU$3&gt;='Gastos com Pessoal'!$E$7:$E$506)*(AU$3&lt;='Gastos com Pessoal'!$F$7:$F$506)*(IF('Gastos com Pessoal'!$M$7:$M$506&lt;=AU$3,1,0))*OFFSET('Gastos com Pessoal'!$H$6,1,MATCH(2&amp;$B56,'Gastos com Pessoal'!$I$532:$AJ$532&amp;'Gastos com Pessoal'!$I$6:$AJ$6,0),500,1)),0)+_xlfn.IFNA(SUM((AU$3&gt;='Gastos com Pessoal'!$E$7:$E$506)*(AU$3&lt;='Gastos com Pessoal'!$F$7:$F$506)*(IF('Gastos com Pessoal'!$S$7:$S$506&lt;=AU$3,1,0))*OFFSET('Gastos com Pessoal'!$H$6,1,MATCH(3&amp;$B56,'Gastos com Pessoal'!$I$532:$AJ$532&amp;'Gastos com Pessoal'!$I$6:$AJ$6,0),500,1)),0)+_xlfn.IFNA(SUM((AU$3&gt;='Gastos com Pessoal'!$E$7:$E$506)*(AU$3&lt;='Gastos com Pessoal'!$F$7:$F$506)*(IF('Gastos com Pessoal'!$Y$7:$Y$506&lt;=AU$3,1,0))*OFFSET('Gastos com Pessoal'!$H$6,1,MATCH(4&amp;$B56,'Gastos com Pessoal'!$I$532:$AJ$532&amp;'Gastos com Pessoal'!$I$6:$AJ$6,0),500,1)),0)+_xlfn.IFNA(SUM((AU$3&gt;='Gastos com Pessoal'!$E$7:$E$506)*(AU$3&lt;='Gastos com Pessoal'!$F$7:$F$506)*(IF('Gastos com Pessoal'!$AE$7:$AE$506&lt;=AU$3,1,0))*OFFSET('Gastos com Pessoal'!$H$6,1,MATCH(5&amp;$B56,'Gastos com Pessoal'!$I$532:$AJ$532&amp;'Gastos com Pessoal'!$I$6:$AJ$6,0),500,1)),0)+_xlfn.IFNA(SUM((AU$3&gt;='Gastos com Pessoal'!$E$513:$E$522)*(AU$3&lt;='Gastos com Pessoal'!$F$513:$F$522)*(IF('Gastos com Pessoal'!$G$513:$G$522&lt;=AU$3,1,0))*OFFSET('Gastos com Pessoal'!$H$512,1,MATCH(1&amp;$B56,'Gastos com Pessoal'!$I$532:$AJ$532&amp;'Gastos com Pessoal'!$I$512:$AJ$512,0),10,1)),0)+_xlfn.IFNA(SUM((AU$3&gt;='Gastos com Pessoal'!$E$513:$E$522)*(AU$3&lt;='Gastos com Pessoal'!$F$513:$F$522)*(IF('Gastos com Pessoal'!$M$513:$M$522&lt;=AU$3,1,0))*OFFSET('Gastos com Pessoal'!$H$512,1,MATCH(2&amp;$B56,'Gastos com Pessoal'!$I$532:$AJ$532&amp;'Gastos com Pessoal'!$I$512:$AJ$512,0),10,1)),0)+_xlfn.IFNA(SUM((AU$3&gt;='Gastos com Pessoal'!$E$513:$E$522)*(AU$3&lt;='Gastos com Pessoal'!$F$513:$F$522)*(IF('Gastos com Pessoal'!$S$513:$S$522&lt;=AU$3,1,0))*OFFSET('Gastos com Pessoal'!$H$512,1,MATCH(3&amp;$B56,'Gastos com Pessoal'!$I$532:$AJ$532&amp;'Gastos com Pessoal'!$I$512:$AJ$512,0),10,1)),0)+_xlfn.IFNA(SUM((AU$3&gt;='Gastos com Pessoal'!$E$513:$E$522)*(AU$3&lt;='Gastos com Pessoal'!$F$513:$F$522)*(IF('Gastos com Pessoal'!$Y$513:$Y$522&lt;=AU$3,1,0))*OFFSET('Gastos com Pessoal'!$H$512,1,MATCH(4&amp;$B56,'Gastos com Pessoal'!$I$532:$AJ$532&amp;'Gastos com Pessoal'!$I$512:$AJ$512,0),10,1)),0)+_xlfn.IFNA(SUM((AU$3&gt;='Gastos com Pessoal'!$E$513:$E$522)*(AU$3&lt;='Gastos com Pessoal'!$F$513:$F$522)*(IF('Gastos com Pessoal'!$AE$513:$AE$522&lt;=AU$3,1,0))*OFFSET('Gastos com Pessoal'!$H$512,1,MATCH(5&amp;$B56,'Gastos com Pessoal'!$I$532:$AJ$532&amp;'Gastos com Pessoal'!$I$512:$AJ$512,0),10,1)),0)</f>
        <v>62812.799999999712</v>
      </c>
      <c r="AV56" s="188">
        <f t="array" aca="1" ref="AV56" ca="1">_xlfn.IFNA(SUM((AV$3&gt;='Gastos com Pessoal'!$E$7:$E$506)*(AV$3&lt;='Gastos com Pessoal'!$F$7:$F$506)*OFFSET('Encargos e Benefícios'!$D$5,1,MATCH($B56,'Encargos e Benefícios'!$E$5:$AB$5,0),500,1)),0)+_xlfn.IFNA(SUM((AV$3&gt;='Gastos com Pessoal'!$E$513:$E$522)*(AV$3&lt;='Gastos com Pessoal'!$F$513:$F$522)*OFFSET('Encargos e Benefícios'!$D$511,1,MATCH($B56,'Encargos e Benefícios'!$E$511:$AB$511,0),10,1)),0)+_xlfn.IFNA(SUM((AV$3&gt;='Gastos com Pessoal'!$E$7:$E$506)*(AV$3&lt;='Gastos com Pessoal'!$F$7:$F$506)*(IF('Gastos com Pessoal'!$G$7:$G$506&lt;=AV$3,1,0))*OFFSET('Gastos com Pessoal'!$H$6,1,MATCH(1&amp;$B56,'Gastos com Pessoal'!$I$532:$AJ$532&amp;'Gastos com Pessoal'!$I$6:$AJ$6,0),500,1)),0)+_xlfn.IFNA(SUM((AV$3&gt;='Gastos com Pessoal'!$E$7:$E$506)*(AV$3&lt;='Gastos com Pessoal'!$F$7:$F$506)*(IF('Gastos com Pessoal'!$M$7:$M$506&lt;=AV$3,1,0))*OFFSET('Gastos com Pessoal'!$H$6,1,MATCH(2&amp;$B56,'Gastos com Pessoal'!$I$532:$AJ$532&amp;'Gastos com Pessoal'!$I$6:$AJ$6,0),500,1)),0)+_xlfn.IFNA(SUM((AV$3&gt;='Gastos com Pessoal'!$E$7:$E$506)*(AV$3&lt;='Gastos com Pessoal'!$F$7:$F$506)*(IF('Gastos com Pessoal'!$S$7:$S$506&lt;=AV$3,1,0))*OFFSET('Gastos com Pessoal'!$H$6,1,MATCH(3&amp;$B56,'Gastos com Pessoal'!$I$532:$AJ$532&amp;'Gastos com Pessoal'!$I$6:$AJ$6,0),500,1)),0)+_xlfn.IFNA(SUM((AV$3&gt;='Gastos com Pessoal'!$E$7:$E$506)*(AV$3&lt;='Gastos com Pessoal'!$F$7:$F$506)*(IF('Gastos com Pessoal'!$Y$7:$Y$506&lt;=AV$3,1,0))*OFFSET('Gastos com Pessoal'!$H$6,1,MATCH(4&amp;$B56,'Gastos com Pessoal'!$I$532:$AJ$532&amp;'Gastos com Pessoal'!$I$6:$AJ$6,0),500,1)),0)+_xlfn.IFNA(SUM((AV$3&gt;='Gastos com Pessoal'!$E$7:$E$506)*(AV$3&lt;='Gastos com Pessoal'!$F$7:$F$506)*(IF('Gastos com Pessoal'!$AE$7:$AE$506&lt;=AV$3,1,0))*OFFSET('Gastos com Pessoal'!$H$6,1,MATCH(5&amp;$B56,'Gastos com Pessoal'!$I$532:$AJ$532&amp;'Gastos com Pessoal'!$I$6:$AJ$6,0),500,1)),0)+_xlfn.IFNA(SUM((AV$3&gt;='Gastos com Pessoal'!$E$513:$E$522)*(AV$3&lt;='Gastos com Pessoal'!$F$513:$F$522)*(IF('Gastos com Pessoal'!$G$513:$G$522&lt;=AV$3,1,0))*OFFSET('Gastos com Pessoal'!$H$512,1,MATCH(1&amp;$B56,'Gastos com Pessoal'!$I$532:$AJ$532&amp;'Gastos com Pessoal'!$I$512:$AJ$512,0),10,1)),0)+_xlfn.IFNA(SUM((AV$3&gt;='Gastos com Pessoal'!$E$513:$E$522)*(AV$3&lt;='Gastos com Pessoal'!$F$513:$F$522)*(IF('Gastos com Pessoal'!$M$513:$M$522&lt;=AV$3,1,0))*OFFSET('Gastos com Pessoal'!$H$512,1,MATCH(2&amp;$B56,'Gastos com Pessoal'!$I$532:$AJ$532&amp;'Gastos com Pessoal'!$I$512:$AJ$512,0),10,1)),0)+_xlfn.IFNA(SUM((AV$3&gt;='Gastos com Pessoal'!$E$513:$E$522)*(AV$3&lt;='Gastos com Pessoal'!$F$513:$F$522)*(IF('Gastos com Pessoal'!$S$513:$S$522&lt;=AV$3,1,0))*OFFSET('Gastos com Pessoal'!$H$512,1,MATCH(3&amp;$B56,'Gastos com Pessoal'!$I$532:$AJ$532&amp;'Gastos com Pessoal'!$I$512:$AJ$512,0),10,1)),0)+_xlfn.IFNA(SUM((AV$3&gt;='Gastos com Pessoal'!$E$513:$E$522)*(AV$3&lt;='Gastos com Pessoal'!$F$513:$F$522)*(IF('Gastos com Pessoal'!$Y$513:$Y$522&lt;=AV$3,1,0))*OFFSET('Gastos com Pessoal'!$H$512,1,MATCH(4&amp;$B56,'Gastos com Pessoal'!$I$532:$AJ$532&amp;'Gastos com Pessoal'!$I$512:$AJ$512,0),10,1)),0)+_xlfn.IFNA(SUM((AV$3&gt;='Gastos com Pessoal'!$E$513:$E$522)*(AV$3&lt;='Gastos com Pessoal'!$F$513:$F$522)*(IF('Gastos com Pessoal'!$AE$513:$AE$522&lt;=AV$3,1,0))*OFFSET('Gastos com Pessoal'!$H$512,1,MATCH(5&amp;$B56,'Gastos com Pessoal'!$I$532:$AJ$532&amp;'Gastos com Pessoal'!$I$512:$AJ$512,0),10,1)),0)</f>
        <v>62812.799999999712</v>
      </c>
      <c r="AW56" s="188">
        <f t="array" aca="1" ref="AW56" ca="1">_xlfn.IFNA(SUM((AW$3&gt;='Gastos com Pessoal'!$E$7:$E$506)*(AW$3&lt;='Gastos com Pessoal'!$F$7:$F$506)*OFFSET('Encargos e Benefícios'!$D$5,1,MATCH($B56,'Encargos e Benefícios'!$E$5:$AB$5,0),500,1)),0)+_xlfn.IFNA(SUM((AW$3&gt;='Gastos com Pessoal'!$E$513:$E$522)*(AW$3&lt;='Gastos com Pessoal'!$F$513:$F$522)*OFFSET('Encargos e Benefícios'!$D$511,1,MATCH($B56,'Encargos e Benefícios'!$E$511:$AB$511,0),10,1)),0)+_xlfn.IFNA(SUM((AW$3&gt;='Gastos com Pessoal'!$E$7:$E$506)*(AW$3&lt;='Gastos com Pessoal'!$F$7:$F$506)*(IF('Gastos com Pessoal'!$G$7:$G$506&lt;=AW$3,1,0))*OFFSET('Gastos com Pessoal'!$H$6,1,MATCH(1&amp;$B56,'Gastos com Pessoal'!$I$532:$AJ$532&amp;'Gastos com Pessoal'!$I$6:$AJ$6,0),500,1)),0)+_xlfn.IFNA(SUM((AW$3&gt;='Gastos com Pessoal'!$E$7:$E$506)*(AW$3&lt;='Gastos com Pessoal'!$F$7:$F$506)*(IF('Gastos com Pessoal'!$M$7:$M$506&lt;=AW$3,1,0))*OFFSET('Gastos com Pessoal'!$H$6,1,MATCH(2&amp;$B56,'Gastos com Pessoal'!$I$532:$AJ$532&amp;'Gastos com Pessoal'!$I$6:$AJ$6,0),500,1)),0)+_xlfn.IFNA(SUM((AW$3&gt;='Gastos com Pessoal'!$E$7:$E$506)*(AW$3&lt;='Gastos com Pessoal'!$F$7:$F$506)*(IF('Gastos com Pessoal'!$S$7:$S$506&lt;=AW$3,1,0))*OFFSET('Gastos com Pessoal'!$H$6,1,MATCH(3&amp;$B56,'Gastos com Pessoal'!$I$532:$AJ$532&amp;'Gastos com Pessoal'!$I$6:$AJ$6,0),500,1)),0)+_xlfn.IFNA(SUM((AW$3&gt;='Gastos com Pessoal'!$E$7:$E$506)*(AW$3&lt;='Gastos com Pessoal'!$F$7:$F$506)*(IF('Gastos com Pessoal'!$Y$7:$Y$506&lt;=AW$3,1,0))*OFFSET('Gastos com Pessoal'!$H$6,1,MATCH(4&amp;$B56,'Gastos com Pessoal'!$I$532:$AJ$532&amp;'Gastos com Pessoal'!$I$6:$AJ$6,0),500,1)),0)+_xlfn.IFNA(SUM((AW$3&gt;='Gastos com Pessoal'!$E$7:$E$506)*(AW$3&lt;='Gastos com Pessoal'!$F$7:$F$506)*(IF('Gastos com Pessoal'!$AE$7:$AE$506&lt;=AW$3,1,0))*OFFSET('Gastos com Pessoal'!$H$6,1,MATCH(5&amp;$B56,'Gastos com Pessoal'!$I$532:$AJ$532&amp;'Gastos com Pessoal'!$I$6:$AJ$6,0),500,1)),0)+_xlfn.IFNA(SUM((AW$3&gt;='Gastos com Pessoal'!$E$513:$E$522)*(AW$3&lt;='Gastos com Pessoal'!$F$513:$F$522)*(IF('Gastos com Pessoal'!$G$513:$G$522&lt;=AW$3,1,0))*OFFSET('Gastos com Pessoal'!$H$512,1,MATCH(1&amp;$B56,'Gastos com Pessoal'!$I$532:$AJ$532&amp;'Gastos com Pessoal'!$I$512:$AJ$512,0),10,1)),0)+_xlfn.IFNA(SUM((AW$3&gt;='Gastos com Pessoal'!$E$513:$E$522)*(AW$3&lt;='Gastos com Pessoal'!$F$513:$F$522)*(IF('Gastos com Pessoal'!$M$513:$M$522&lt;=AW$3,1,0))*OFFSET('Gastos com Pessoal'!$H$512,1,MATCH(2&amp;$B56,'Gastos com Pessoal'!$I$532:$AJ$532&amp;'Gastos com Pessoal'!$I$512:$AJ$512,0),10,1)),0)+_xlfn.IFNA(SUM((AW$3&gt;='Gastos com Pessoal'!$E$513:$E$522)*(AW$3&lt;='Gastos com Pessoal'!$F$513:$F$522)*(IF('Gastos com Pessoal'!$S$513:$S$522&lt;=AW$3,1,0))*OFFSET('Gastos com Pessoal'!$H$512,1,MATCH(3&amp;$B56,'Gastos com Pessoal'!$I$532:$AJ$532&amp;'Gastos com Pessoal'!$I$512:$AJ$512,0),10,1)),0)+_xlfn.IFNA(SUM((AW$3&gt;='Gastos com Pessoal'!$E$513:$E$522)*(AW$3&lt;='Gastos com Pessoal'!$F$513:$F$522)*(IF('Gastos com Pessoal'!$Y$513:$Y$522&lt;=AW$3,1,0))*OFFSET('Gastos com Pessoal'!$H$512,1,MATCH(4&amp;$B56,'Gastos com Pessoal'!$I$532:$AJ$532&amp;'Gastos com Pessoal'!$I$512:$AJ$512,0),10,1)),0)+_xlfn.IFNA(SUM((AW$3&gt;='Gastos com Pessoal'!$E$513:$E$522)*(AW$3&lt;='Gastos com Pessoal'!$F$513:$F$522)*(IF('Gastos com Pessoal'!$AE$513:$AE$522&lt;=AW$3,1,0))*OFFSET('Gastos com Pessoal'!$H$512,1,MATCH(5&amp;$B56,'Gastos com Pessoal'!$I$532:$AJ$532&amp;'Gastos com Pessoal'!$I$512:$AJ$512,0),10,1)),0)</f>
        <v>62812.799999999712</v>
      </c>
      <c r="AX56" s="188">
        <f t="array" aca="1" ref="AX56" ca="1">_xlfn.IFNA(SUM((AX$3&gt;='Gastos com Pessoal'!$E$7:$E$506)*(AX$3&lt;='Gastos com Pessoal'!$F$7:$F$506)*OFFSET('Encargos e Benefícios'!$D$5,1,MATCH($B56,'Encargos e Benefícios'!$E$5:$AB$5,0),500,1)),0)+_xlfn.IFNA(SUM((AX$3&gt;='Gastos com Pessoal'!$E$513:$E$522)*(AX$3&lt;='Gastos com Pessoal'!$F$513:$F$522)*OFFSET('Encargos e Benefícios'!$D$511,1,MATCH($B56,'Encargos e Benefícios'!$E$511:$AB$511,0),10,1)),0)+_xlfn.IFNA(SUM((AX$3&gt;='Gastos com Pessoal'!$E$7:$E$506)*(AX$3&lt;='Gastos com Pessoal'!$F$7:$F$506)*(IF('Gastos com Pessoal'!$G$7:$G$506&lt;=AX$3,1,0))*OFFSET('Gastos com Pessoal'!$H$6,1,MATCH(1&amp;$B56,'Gastos com Pessoal'!$I$532:$AJ$532&amp;'Gastos com Pessoal'!$I$6:$AJ$6,0),500,1)),0)+_xlfn.IFNA(SUM((AX$3&gt;='Gastos com Pessoal'!$E$7:$E$506)*(AX$3&lt;='Gastos com Pessoal'!$F$7:$F$506)*(IF('Gastos com Pessoal'!$M$7:$M$506&lt;=AX$3,1,0))*OFFSET('Gastos com Pessoal'!$H$6,1,MATCH(2&amp;$B56,'Gastos com Pessoal'!$I$532:$AJ$532&amp;'Gastos com Pessoal'!$I$6:$AJ$6,0),500,1)),0)+_xlfn.IFNA(SUM((AX$3&gt;='Gastos com Pessoal'!$E$7:$E$506)*(AX$3&lt;='Gastos com Pessoal'!$F$7:$F$506)*(IF('Gastos com Pessoal'!$S$7:$S$506&lt;=AX$3,1,0))*OFFSET('Gastos com Pessoal'!$H$6,1,MATCH(3&amp;$B56,'Gastos com Pessoal'!$I$532:$AJ$532&amp;'Gastos com Pessoal'!$I$6:$AJ$6,0),500,1)),0)+_xlfn.IFNA(SUM((AX$3&gt;='Gastos com Pessoal'!$E$7:$E$506)*(AX$3&lt;='Gastos com Pessoal'!$F$7:$F$506)*(IF('Gastos com Pessoal'!$Y$7:$Y$506&lt;=AX$3,1,0))*OFFSET('Gastos com Pessoal'!$H$6,1,MATCH(4&amp;$B56,'Gastos com Pessoal'!$I$532:$AJ$532&amp;'Gastos com Pessoal'!$I$6:$AJ$6,0),500,1)),0)+_xlfn.IFNA(SUM((AX$3&gt;='Gastos com Pessoal'!$E$7:$E$506)*(AX$3&lt;='Gastos com Pessoal'!$F$7:$F$506)*(IF('Gastos com Pessoal'!$AE$7:$AE$506&lt;=AX$3,1,0))*OFFSET('Gastos com Pessoal'!$H$6,1,MATCH(5&amp;$B56,'Gastos com Pessoal'!$I$532:$AJ$532&amp;'Gastos com Pessoal'!$I$6:$AJ$6,0),500,1)),0)+_xlfn.IFNA(SUM((AX$3&gt;='Gastos com Pessoal'!$E$513:$E$522)*(AX$3&lt;='Gastos com Pessoal'!$F$513:$F$522)*(IF('Gastos com Pessoal'!$G$513:$G$522&lt;=AX$3,1,0))*OFFSET('Gastos com Pessoal'!$H$512,1,MATCH(1&amp;$B56,'Gastos com Pessoal'!$I$532:$AJ$532&amp;'Gastos com Pessoal'!$I$512:$AJ$512,0),10,1)),0)+_xlfn.IFNA(SUM((AX$3&gt;='Gastos com Pessoal'!$E$513:$E$522)*(AX$3&lt;='Gastos com Pessoal'!$F$513:$F$522)*(IF('Gastos com Pessoal'!$M$513:$M$522&lt;=AX$3,1,0))*OFFSET('Gastos com Pessoal'!$H$512,1,MATCH(2&amp;$B56,'Gastos com Pessoal'!$I$532:$AJ$532&amp;'Gastos com Pessoal'!$I$512:$AJ$512,0),10,1)),0)+_xlfn.IFNA(SUM((AX$3&gt;='Gastos com Pessoal'!$E$513:$E$522)*(AX$3&lt;='Gastos com Pessoal'!$F$513:$F$522)*(IF('Gastos com Pessoal'!$S$513:$S$522&lt;=AX$3,1,0))*OFFSET('Gastos com Pessoal'!$H$512,1,MATCH(3&amp;$B56,'Gastos com Pessoal'!$I$532:$AJ$532&amp;'Gastos com Pessoal'!$I$512:$AJ$512,0),10,1)),0)+_xlfn.IFNA(SUM((AX$3&gt;='Gastos com Pessoal'!$E$513:$E$522)*(AX$3&lt;='Gastos com Pessoal'!$F$513:$F$522)*(IF('Gastos com Pessoal'!$Y$513:$Y$522&lt;=AX$3,1,0))*OFFSET('Gastos com Pessoal'!$H$512,1,MATCH(4&amp;$B56,'Gastos com Pessoal'!$I$532:$AJ$532&amp;'Gastos com Pessoal'!$I$512:$AJ$512,0),10,1)),0)+_xlfn.IFNA(SUM((AX$3&gt;='Gastos com Pessoal'!$E$513:$E$522)*(AX$3&lt;='Gastos com Pessoal'!$F$513:$F$522)*(IF('Gastos com Pessoal'!$AE$513:$AE$522&lt;=AX$3,1,0))*OFFSET('Gastos com Pessoal'!$H$512,1,MATCH(5&amp;$B56,'Gastos com Pessoal'!$I$532:$AJ$532&amp;'Gastos com Pessoal'!$I$512:$AJ$512,0),10,1)),0)</f>
        <v>62812.799999999712</v>
      </c>
      <c r="AY56" s="188">
        <f t="array" aca="1" ref="AY56" ca="1">_xlfn.IFNA(SUM((AY$3&gt;='Gastos com Pessoal'!$E$7:$E$506)*(AY$3&lt;='Gastos com Pessoal'!$F$7:$F$506)*OFFSET('Encargos e Benefícios'!$D$5,1,MATCH($B56,'Encargos e Benefícios'!$E$5:$AB$5,0),500,1)),0)+_xlfn.IFNA(SUM((AY$3&gt;='Gastos com Pessoal'!$E$513:$E$522)*(AY$3&lt;='Gastos com Pessoal'!$F$513:$F$522)*OFFSET('Encargos e Benefícios'!$D$511,1,MATCH($B56,'Encargos e Benefícios'!$E$511:$AB$511,0),10,1)),0)+_xlfn.IFNA(SUM((AY$3&gt;='Gastos com Pessoal'!$E$7:$E$506)*(AY$3&lt;='Gastos com Pessoal'!$F$7:$F$506)*(IF('Gastos com Pessoal'!$G$7:$G$506&lt;=AY$3,1,0))*OFFSET('Gastos com Pessoal'!$H$6,1,MATCH(1&amp;$B56,'Gastos com Pessoal'!$I$532:$AJ$532&amp;'Gastos com Pessoal'!$I$6:$AJ$6,0),500,1)),0)+_xlfn.IFNA(SUM((AY$3&gt;='Gastos com Pessoal'!$E$7:$E$506)*(AY$3&lt;='Gastos com Pessoal'!$F$7:$F$506)*(IF('Gastos com Pessoal'!$M$7:$M$506&lt;=AY$3,1,0))*OFFSET('Gastos com Pessoal'!$H$6,1,MATCH(2&amp;$B56,'Gastos com Pessoal'!$I$532:$AJ$532&amp;'Gastos com Pessoal'!$I$6:$AJ$6,0),500,1)),0)+_xlfn.IFNA(SUM((AY$3&gt;='Gastos com Pessoal'!$E$7:$E$506)*(AY$3&lt;='Gastos com Pessoal'!$F$7:$F$506)*(IF('Gastos com Pessoal'!$S$7:$S$506&lt;=AY$3,1,0))*OFFSET('Gastos com Pessoal'!$H$6,1,MATCH(3&amp;$B56,'Gastos com Pessoal'!$I$532:$AJ$532&amp;'Gastos com Pessoal'!$I$6:$AJ$6,0),500,1)),0)+_xlfn.IFNA(SUM((AY$3&gt;='Gastos com Pessoal'!$E$7:$E$506)*(AY$3&lt;='Gastos com Pessoal'!$F$7:$F$506)*(IF('Gastos com Pessoal'!$Y$7:$Y$506&lt;=AY$3,1,0))*OFFSET('Gastos com Pessoal'!$H$6,1,MATCH(4&amp;$B56,'Gastos com Pessoal'!$I$532:$AJ$532&amp;'Gastos com Pessoal'!$I$6:$AJ$6,0),500,1)),0)+_xlfn.IFNA(SUM((AY$3&gt;='Gastos com Pessoal'!$E$7:$E$506)*(AY$3&lt;='Gastos com Pessoal'!$F$7:$F$506)*(IF('Gastos com Pessoal'!$AE$7:$AE$506&lt;=AY$3,1,0))*OFFSET('Gastos com Pessoal'!$H$6,1,MATCH(5&amp;$B56,'Gastos com Pessoal'!$I$532:$AJ$532&amp;'Gastos com Pessoal'!$I$6:$AJ$6,0),500,1)),0)+_xlfn.IFNA(SUM((AY$3&gt;='Gastos com Pessoal'!$E$513:$E$522)*(AY$3&lt;='Gastos com Pessoal'!$F$513:$F$522)*(IF('Gastos com Pessoal'!$G$513:$G$522&lt;=AY$3,1,0))*OFFSET('Gastos com Pessoal'!$H$512,1,MATCH(1&amp;$B56,'Gastos com Pessoal'!$I$532:$AJ$532&amp;'Gastos com Pessoal'!$I$512:$AJ$512,0),10,1)),0)+_xlfn.IFNA(SUM((AY$3&gt;='Gastos com Pessoal'!$E$513:$E$522)*(AY$3&lt;='Gastos com Pessoal'!$F$513:$F$522)*(IF('Gastos com Pessoal'!$M$513:$M$522&lt;=AY$3,1,0))*OFFSET('Gastos com Pessoal'!$H$512,1,MATCH(2&amp;$B56,'Gastos com Pessoal'!$I$532:$AJ$532&amp;'Gastos com Pessoal'!$I$512:$AJ$512,0),10,1)),0)+_xlfn.IFNA(SUM((AY$3&gt;='Gastos com Pessoal'!$E$513:$E$522)*(AY$3&lt;='Gastos com Pessoal'!$F$513:$F$522)*(IF('Gastos com Pessoal'!$S$513:$S$522&lt;=AY$3,1,0))*OFFSET('Gastos com Pessoal'!$H$512,1,MATCH(3&amp;$B56,'Gastos com Pessoal'!$I$532:$AJ$532&amp;'Gastos com Pessoal'!$I$512:$AJ$512,0),10,1)),0)+_xlfn.IFNA(SUM((AY$3&gt;='Gastos com Pessoal'!$E$513:$E$522)*(AY$3&lt;='Gastos com Pessoal'!$F$513:$F$522)*(IF('Gastos com Pessoal'!$Y$513:$Y$522&lt;=AY$3,1,0))*OFFSET('Gastos com Pessoal'!$H$512,1,MATCH(4&amp;$B56,'Gastos com Pessoal'!$I$532:$AJ$532&amp;'Gastos com Pessoal'!$I$512:$AJ$512,0),10,1)),0)+_xlfn.IFNA(SUM((AY$3&gt;='Gastos com Pessoal'!$E$513:$E$522)*(AY$3&lt;='Gastos com Pessoal'!$F$513:$F$522)*(IF('Gastos com Pessoal'!$AE$513:$AE$522&lt;=AY$3,1,0))*OFFSET('Gastos com Pessoal'!$H$512,1,MATCH(5&amp;$B56,'Gastos com Pessoal'!$I$532:$AJ$532&amp;'Gastos com Pessoal'!$I$512:$AJ$512,0),10,1)),0)</f>
        <v>62812.799999999712</v>
      </c>
      <c r="AZ56" s="188">
        <f t="array" aca="1" ref="AZ56" ca="1">_xlfn.IFNA(SUM((AZ$3&gt;='Gastos com Pessoal'!$E$7:$E$506)*(AZ$3&lt;='Gastos com Pessoal'!$F$7:$F$506)*OFFSET('Encargos e Benefícios'!$D$5,1,MATCH($B56,'Encargos e Benefícios'!$E$5:$AB$5,0),500,1)),0)+_xlfn.IFNA(SUM((AZ$3&gt;='Gastos com Pessoal'!$E$513:$E$522)*(AZ$3&lt;='Gastos com Pessoal'!$F$513:$F$522)*OFFSET('Encargos e Benefícios'!$D$511,1,MATCH($B56,'Encargos e Benefícios'!$E$511:$AB$511,0),10,1)),0)+_xlfn.IFNA(SUM((AZ$3&gt;='Gastos com Pessoal'!$E$7:$E$506)*(AZ$3&lt;='Gastos com Pessoal'!$F$7:$F$506)*(IF('Gastos com Pessoal'!$G$7:$G$506&lt;=AZ$3,1,0))*OFFSET('Gastos com Pessoal'!$H$6,1,MATCH(1&amp;$B56,'Gastos com Pessoal'!$I$532:$AJ$532&amp;'Gastos com Pessoal'!$I$6:$AJ$6,0),500,1)),0)+_xlfn.IFNA(SUM((AZ$3&gt;='Gastos com Pessoal'!$E$7:$E$506)*(AZ$3&lt;='Gastos com Pessoal'!$F$7:$F$506)*(IF('Gastos com Pessoal'!$M$7:$M$506&lt;=AZ$3,1,0))*OFFSET('Gastos com Pessoal'!$H$6,1,MATCH(2&amp;$B56,'Gastos com Pessoal'!$I$532:$AJ$532&amp;'Gastos com Pessoal'!$I$6:$AJ$6,0),500,1)),0)+_xlfn.IFNA(SUM((AZ$3&gt;='Gastos com Pessoal'!$E$7:$E$506)*(AZ$3&lt;='Gastos com Pessoal'!$F$7:$F$506)*(IF('Gastos com Pessoal'!$S$7:$S$506&lt;=AZ$3,1,0))*OFFSET('Gastos com Pessoal'!$H$6,1,MATCH(3&amp;$B56,'Gastos com Pessoal'!$I$532:$AJ$532&amp;'Gastos com Pessoal'!$I$6:$AJ$6,0),500,1)),0)+_xlfn.IFNA(SUM((AZ$3&gt;='Gastos com Pessoal'!$E$7:$E$506)*(AZ$3&lt;='Gastos com Pessoal'!$F$7:$F$506)*(IF('Gastos com Pessoal'!$Y$7:$Y$506&lt;=AZ$3,1,0))*OFFSET('Gastos com Pessoal'!$H$6,1,MATCH(4&amp;$B56,'Gastos com Pessoal'!$I$532:$AJ$532&amp;'Gastos com Pessoal'!$I$6:$AJ$6,0),500,1)),0)+_xlfn.IFNA(SUM((AZ$3&gt;='Gastos com Pessoal'!$E$7:$E$506)*(AZ$3&lt;='Gastos com Pessoal'!$F$7:$F$506)*(IF('Gastos com Pessoal'!$AE$7:$AE$506&lt;=AZ$3,1,0))*OFFSET('Gastos com Pessoal'!$H$6,1,MATCH(5&amp;$B56,'Gastos com Pessoal'!$I$532:$AJ$532&amp;'Gastos com Pessoal'!$I$6:$AJ$6,0),500,1)),0)+_xlfn.IFNA(SUM((AZ$3&gt;='Gastos com Pessoal'!$E$513:$E$522)*(AZ$3&lt;='Gastos com Pessoal'!$F$513:$F$522)*(IF('Gastos com Pessoal'!$G$513:$G$522&lt;=AZ$3,1,0))*OFFSET('Gastos com Pessoal'!$H$512,1,MATCH(1&amp;$B56,'Gastos com Pessoal'!$I$532:$AJ$532&amp;'Gastos com Pessoal'!$I$512:$AJ$512,0),10,1)),0)+_xlfn.IFNA(SUM((AZ$3&gt;='Gastos com Pessoal'!$E$513:$E$522)*(AZ$3&lt;='Gastos com Pessoal'!$F$513:$F$522)*(IF('Gastos com Pessoal'!$M$513:$M$522&lt;=AZ$3,1,0))*OFFSET('Gastos com Pessoal'!$H$512,1,MATCH(2&amp;$B56,'Gastos com Pessoal'!$I$532:$AJ$532&amp;'Gastos com Pessoal'!$I$512:$AJ$512,0),10,1)),0)+_xlfn.IFNA(SUM((AZ$3&gt;='Gastos com Pessoal'!$E$513:$E$522)*(AZ$3&lt;='Gastos com Pessoal'!$F$513:$F$522)*(IF('Gastos com Pessoal'!$S$513:$S$522&lt;=AZ$3,1,0))*OFFSET('Gastos com Pessoal'!$H$512,1,MATCH(3&amp;$B56,'Gastos com Pessoal'!$I$532:$AJ$532&amp;'Gastos com Pessoal'!$I$512:$AJ$512,0),10,1)),0)+_xlfn.IFNA(SUM((AZ$3&gt;='Gastos com Pessoal'!$E$513:$E$522)*(AZ$3&lt;='Gastos com Pessoal'!$F$513:$F$522)*(IF('Gastos com Pessoal'!$Y$513:$Y$522&lt;=AZ$3,1,0))*OFFSET('Gastos com Pessoal'!$H$512,1,MATCH(4&amp;$B56,'Gastos com Pessoal'!$I$532:$AJ$532&amp;'Gastos com Pessoal'!$I$512:$AJ$512,0),10,1)),0)+_xlfn.IFNA(SUM((AZ$3&gt;='Gastos com Pessoal'!$E$513:$E$522)*(AZ$3&lt;='Gastos com Pessoal'!$F$513:$F$522)*(IF('Gastos com Pessoal'!$AE$513:$AE$522&lt;=AZ$3,1,0))*OFFSET('Gastos com Pessoal'!$H$512,1,MATCH(5&amp;$B56,'Gastos com Pessoal'!$I$532:$AJ$532&amp;'Gastos com Pessoal'!$I$512:$AJ$512,0),10,1)),0)</f>
        <v>62812.799999999712</v>
      </c>
      <c r="BA56" s="188">
        <f t="array" aca="1" ref="BA56" ca="1">_xlfn.IFNA(SUM((BA$3&gt;='Gastos com Pessoal'!$E$7:$E$506)*(BA$3&lt;='Gastos com Pessoal'!$F$7:$F$506)*OFFSET('Encargos e Benefícios'!$D$5,1,MATCH($B56,'Encargos e Benefícios'!$E$5:$AB$5,0),500,1)),0)+_xlfn.IFNA(SUM((BA$3&gt;='Gastos com Pessoal'!$E$513:$E$522)*(BA$3&lt;='Gastos com Pessoal'!$F$513:$F$522)*OFFSET('Encargos e Benefícios'!$D$511,1,MATCH($B56,'Encargos e Benefícios'!$E$511:$AB$511,0),10,1)),0)+_xlfn.IFNA(SUM((BA$3&gt;='Gastos com Pessoal'!$E$7:$E$506)*(BA$3&lt;='Gastos com Pessoal'!$F$7:$F$506)*(IF('Gastos com Pessoal'!$G$7:$G$506&lt;=BA$3,1,0))*OFFSET('Gastos com Pessoal'!$H$6,1,MATCH(1&amp;$B56,'Gastos com Pessoal'!$I$532:$AJ$532&amp;'Gastos com Pessoal'!$I$6:$AJ$6,0),500,1)),0)+_xlfn.IFNA(SUM((BA$3&gt;='Gastos com Pessoal'!$E$7:$E$506)*(BA$3&lt;='Gastos com Pessoal'!$F$7:$F$506)*(IF('Gastos com Pessoal'!$M$7:$M$506&lt;=BA$3,1,0))*OFFSET('Gastos com Pessoal'!$H$6,1,MATCH(2&amp;$B56,'Gastos com Pessoal'!$I$532:$AJ$532&amp;'Gastos com Pessoal'!$I$6:$AJ$6,0),500,1)),0)+_xlfn.IFNA(SUM((BA$3&gt;='Gastos com Pessoal'!$E$7:$E$506)*(BA$3&lt;='Gastos com Pessoal'!$F$7:$F$506)*(IF('Gastos com Pessoal'!$S$7:$S$506&lt;=BA$3,1,0))*OFFSET('Gastos com Pessoal'!$H$6,1,MATCH(3&amp;$B56,'Gastos com Pessoal'!$I$532:$AJ$532&amp;'Gastos com Pessoal'!$I$6:$AJ$6,0),500,1)),0)+_xlfn.IFNA(SUM((BA$3&gt;='Gastos com Pessoal'!$E$7:$E$506)*(BA$3&lt;='Gastos com Pessoal'!$F$7:$F$506)*(IF('Gastos com Pessoal'!$Y$7:$Y$506&lt;=BA$3,1,0))*OFFSET('Gastos com Pessoal'!$H$6,1,MATCH(4&amp;$B56,'Gastos com Pessoal'!$I$532:$AJ$532&amp;'Gastos com Pessoal'!$I$6:$AJ$6,0),500,1)),0)+_xlfn.IFNA(SUM((BA$3&gt;='Gastos com Pessoal'!$E$7:$E$506)*(BA$3&lt;='Gastos com Pessoal'!$F$7:$F$506)*(IF('Gastos com Pessoal'!$AE$7:$AE$506&lt;=BA$3,1,0))*OFFSET('Gastos com Pessoal'!$H$6,1,MATCH(5&amp;$B56,'Gastos com Pessoal'!$I$532:$AJ$532&amp;'Gastos com Pessoal'!$I$6:$AJ$6,0),500,1)),0)+_xlfn.IFNA(SUM((BA$3&gt;='Gastos com Pessoal'!$E$513:$E$522)*(BA$3&lt;='Gastos com Pessoal'!$F$513:$F$522)*(IF('Gastos com Pessoal'!$G$513:$G$522&lt;=BA$3,1,0))*OFFSET('Gastos com Pessoal'!$H$512,1,MATCH(1&amp;$B56,'Gastos com Pessoal'!$I$532:$AJ$532&amp;'Gastos com Pessoal'!$I$512:$AJ$512,0),10,1)),0)+_xlfn.IFNA(SUM((BA$3&gt;='Gastos com Pessoal'!$E$513:$E$522)*(BA$3&lt;='Gastos com Pessoal'!$F$513:$F$522)*(IF('Gastos com Pessoal'!$M$513:$M$522&lt;=BA$3,1,0))*OFFSET('Gastos com Pessoal'!$H$512,1,MATCH(2&amp;$B56,'Gastos com Pessoal'!$I$532:$AJ$532&amp;'Gastos com Pessoal'!$I$512:$AJ$512,0),10,1)),0)+_xlfn.IFNA(SUM((BA$3&gt;='Gastos com Pessoal'!$E$513:$E$522)*(BA$3&lt;='Gastos com Pessoal'!$F$513:$F$522)*(IF('Gastos com Pessoal'!$S$513:$S$522&lt;=BA$3,1,0))*OFFSET('Gastos com Pessoal'!$H$512,1,MATCH(3&amp;$B56,'Gastos com Pessoal'!$I$532:$AJ$532&amp;'Gastos com Pessoal'!$I$512:$AJ$512,0),10,1)),0)+_xlfn.IFNA(SUM((BA$3&gt;='Gastos com Pessoal'!$E$513:$E$522)*(BA$3&lt;='Gastos com Pessoal'!$F$513:$F$522)*(IF('Gastos com Pessoal'!$Y$513:$Y$522&lt;=BA$3,1,0))*OFFSET('Gastos com Pessoal'!$H$512,1,MATCH(4&amp;$B56,'Gastos com Pessoal'!$I$532:$AJ$532&amp;'Gastos com Pessoal'!$I$512:$AJ$512,0),10,1)),0)+_xlfn.IFNA(SUM((BA$3&gt;='Gastos com Pessoal'!$E$513:$E$522)*(BA$3&lt;='Gastos com Pessoal'!$F$513:$F$522)*(IF('Gastos com Pessoal'!$AE$513:$AE$522&lt;=BA$3,1,0))*OFFSET('Gastos com Pessoal'!$H$512,1,MATCH(5&amp;$B56,'Gastos com Pessoal'!$I$532:$AJ$532&amp;'Gastos com Pessoal'!$I$512:$AJ$512,0),10,1)),0)</f>
        <v>62812.799999999712</v>
      </c>
      <c r="BB56" s="188">
        <f t="array" aca="1" ref="BB56" ca="1">_xlfn.IFNA(SUM((BB$3&gt;='Gastos com Pessoal'!$E$7:$E$506)*(BB$3&lt;='Gastos com Pessoal'!$F$7:$F$506)*OFFSET('Encargos e Benefícios'!$D$5,1,MATCH($B56,'Encargos e Benefícios'!$E$5:$AB$5,0),500,1)),0)+_xlfn.IFNA(SUM((BB$3&gt;='Gastos com Pessoal'!$E$513:$E$522)*(BB$3&lt;='Gastos com Pessoal'!$F$513:$F$522)*OFFSET('Encargos e Benefícios'!$D$511,1,MATCH($B56,'Encargos e Benefícios'!$E$511:$AB$511,0),10,1)),0)+_xlfn.IFNA(SUM((BB$3&gt;='Gastos com Pessoal'!$E$7:$E$506)*(BB$3&lt;='Gastos com Pessoal'!$F$7:$F$506)*(IF('Gastos com Pessoal'!$G$7:$G$506&lt;=BB$3,1,0))*OFFSET('Gastos com Pessoal'!$H$6,1,MATCH(1&amp;$B56,'Gastos com Pessoal'!$I$532:$AJ$532&amp;'Gastos com Pessoal'!$I$6:$AJ$6,0),500,1)),0)+_xlfn.IFNA(SUM((BB$3&gt;='Gastos com Pessoal'!$E$7:$E$506)*(BB$3&lt;='Gastos com Pessoal'!$F$7:$F$506)*(IF('Gastos com Pessoal'!$M$7:$M$506&lt;=BB$3,1,0))*OFFSET('Gastos com Pessoal'!$H$6,1,MATCH(2&amp;$B56,'Gastos com Pessoal'!$I$532:$AJ$532&amp;'Gastos com Pessoal'!$I$6:$AJ$6,0),500,1)),0)+_xlfn.IFNA(SUM((BB$3&gt;='Gastos com Pessoal'!$E$7:$E$506)*(BB$3&lt;='Gastos com Pessoal'!$F$7:$F$506)*(IF('Gastos com Pessoal'!$S$7:$S$506&lt;=BB$3,1,0))*OFFSET('Gastos com Pessoal'!$H$6,1,MATCH(3&amp;$B56,'Gastos com Pessoal'!$I$532:$AJ$532&amp;'Gastos com Pessoal'!$I$6:$AJ$6,0),500,1)),0)+_xlfn.IFNA(SUM((BB$3&gt;='Gastos com Pessoal'!$E$7:$E$506)*(BB$3&lt;='Gastos com Pessoal'!$F$7:$F$506)*(IF('Gastos com Pessoal'!$Y$7:$Y$506&lt;=BB$3,1,0))*OFFSET('Gastos com Pessoal'!$H$6,1,MATCH(4&amp;$B56,'Gastos com Pessoal'!$I$532:$AJ$532&amp;'Gastos com Pessoal'!$I$6:$AJ$6,0),500,1)),0)+_xlfn.IFNA(SUM((BB$3&gt;='Gastos com Pessoal'!$E$7:$E$506)*(BB$3&lt;='Gastos com Pessoal'!$F$7:$F$506)*(IF('Gastos com Pessoal'!$AE$7:$AE$506&lt;=BB$3,1,0))*OFFSET('Gastos com Pessoal'!$H$6,1,MATCH(5&amp;$B56,'Gastos com Pessoal'!$I$532:$AJ$532&amp;'Gastos com Pessoal'!$I$6:$AJ$6,0),500,1)),0)+_xlfn.IFNA(SUM((BB$3&gt;='Gastos com Pessoal'!$E$513:$E$522)*(BB$3&lt;='Gastos com Pessoal'!$F$513:$F$522)*(IF('Gastos com Pessoal'!$G$513:$G$522&lt;=BB$3,1,0))*OFFSET('Gastos com Pessoal'!$H$512,1,MATCH(1&amp;$B56,'Gastos com Pessoal'!$I$532:$AJ$532&amp;'Gastos com Pessoal'!$I$512:$AJ$512,0),10,1)),0)+_xlfn.IFNA(SUM((BB$3&gt;='Gastos com Pessoal'!$E$513:$E$522)*(BB$3&lt;='Gastos com Pessoal'!$F$513:$F$522)*(IF('Gastos com Pessoal'!$M$513:$M$522&lt;=BB$3,1,0))*OFFSET('Gastos com Pessoal'!$H$512,1,MATCH(2&amp;$B56,'Gastos com Pessoal'!$I$532:$AJ$532&amp;'Gastos com Pessoal'!$I$512:$AJ$512,0),10,1)),0)+_xlfn.IFNA(SUM((BB$3&gt;='Gastos com Pessoal'!$E$513:$E$522)*(BB$3&lt;='Gastos com Pessoal'!$F$513:$F$522)*(IF('Gastos com Pessoal'!$S$513:$S$522&lt;=BB$3,1,0))*OFFSET('Gastos com Pessoal'!$H$512,1,MATCH(3&amp;$B56,'Gastos com Pessoal'!$I$532:$AJ$532&amp;'Gastos com Pessoal'!$I$512:$AJ$512,0),10,1)),0)+_xlfn.IFNA(SUM((BB$3&gt;='Gastos com Pessoal'!$E$513:$E$522)*(BB$3&lt;='Gastos com Pessoal'!$F$513:$F$522)*(IF('Gastos com Pessoal'!$Y$513:$Y$522&lt;=BB$3,1,0))*OFFSET('Gastos com Pessoal'!$H$512,1,MATCH(4&amp;$B56,'Gastos com Pessoal'!$I$532:$AJ$532&amp;'Gastos com Pessoal'!$I$512:$AJ$512,0),10,1)),0)+_xlfn.IFNA(SUM((BB$3&gt;='Gastos com Pessoal'!$E$513:$E$522)*(BB$3&lt;='Gastos com Pessoal'!$F$513:$F$522)*(IF('Gastos com Pessoal'!$AE$513:$AE$522&lt;=BB$3,1,0))*OFFSET('Gastos com Pessoal'!$H$512,1,MATCH(5&amp;$B56,'Gastos com Pessoal'!$I$532:$AJ$532&amp;'Gastos com Pessoal'!$I$512:$AJ$512,0),10,1)),0)</f>
        <v>62812.799999999712</v>
      </c>
      <c r="BC56" s="188">
        <f t="array" aca="1" ref="BC56" ca="1">_xlfn.IFNA(SUM((BC$3&gt;='Gastos com Pessoal'!$E$7:$E$506)*(BC$3&lt;='Gastos com Pessoal'!$F$7:$F$506)*OFFSET('Encargos e Benefícios'!$D$5,1,MATCH($B56,'Encargos e Benefícios'!$E$5:$AB$5,0),500,1)),0)+_xlfn.IFNA(SUM((BC$3&gt;='Gastos com Pessoal'!$E$513:$E$522)*(BC$3&lt;='Gastos com Pessoal'!$F$513:$F$522)*OFFSET('Encargos e Benefícios'!$D$511,1,MATCH($B56,'Encargos e Benefícios'!$E$511:$AB$511,0),10,1)),0)+_xlfn.IFNA(SUM((BC$3&gt;='Gastos com Pessoal'!$E$7:$E$506)*(BC$3&lt;='Gastos com Pessoal'!$F$7:$F$506)*(IF('Gastos com Pessoal'!$G$7:$G$506&lt;=BC$3,1,0))*OFFSET('Gastos com Pessoal'!$H$6,1,MATCH(1&amp;$B56,'Gastos com Pessoal'!$I$532:$AJ$532&amp;'Gastos com Pessoal'!$I$6:$AJ$6,0),500,1)),0)+_xlfn.IFNA(SUM((BC$3&gt;='Gastos com Pessoal'!$E$7:$E$506)*(BC$3&lt;='Gastos com Pessoal'!$F$7:$F$506)*(IF('Gastos com Pessoal'!$M$7:$M$506&lt;=BC$3,1,0))*OFFSET('Gastos com Pessoal'!$H$6,1,MATCH(2&amp;$B56,'Gastos com Pessoal'!$I$532:$AJ$532&amp;'Gastos com Pessoal'!$I$6:$AJ$6,0),500,1)),0)+_xlfn.IFNA(SUM((BC$3&gt;='Gastos com Pessoal'!$E$7:$E$506)*(BC$3&lt;='Gastos com Pessoal'!$F$7:$F$506)*(IF('Gastos com Pessoal'!$S$7:$S$506&lt;=BC$3,1,0))*OFFSET('Gastos com Pessoal'!$H$6,1,MATCH(3&amp;$B56,'Gastos com Pessoal'!$I$532:$AJ$532&amp;'Gastos com Pessoal'!$I$6:$AJ$6,0),500,1)),0)+_xlfn.IFNA(SUM((BC$3&gt;='Gastos com Pessoal'!$E$7:$E$506)*(BC$3&lt;='Gastos com Pessoal'!$F$7:$F$506)*(IF('Gastos com Pessoal'!$Y$7:$Y$506&lt;=BC$3,1,0))*OFFSET('Gastos com Pessoal'!$H$6,1,MATCH(4&amp;$B56,'Gastos com Pessoal'!$I$532:$AJ$532&amp;'Gastos com Pessoal'!$I$6:$AJ$6,0),500,1)),0)+_xlfn.IFNA(SUM((BC$3&gt;='Gastos com Pessoal'!$E$7:$E$506)*(BC$3&lt;='Gastos com Pessoal'!$F$7:$F$506)*(IF('Gastos com Pessoal'!$AE$7:$AE$506&lt;=BC$3,1,0))*OFFSET('Gastos com Pessoal'!$H$6,1,MATCH(5&amp;$B56,'Gastos com Pessoal'!$I$532:$AJ$532&amp;'Gastos com Pessoal'!$I$6:$AJ$6,0),500,1)),0)+_xlfn.IFNA(SUM((BC$3&gt;='Gastos com Pessoal'!$E$513:$E$522)*(BC$3&lt;='Gastos com Pessoal'!$F$513:$F$522)*(IF('Gastos com Pessoal'!$G$513:$G$522&lt;=BC$3,1,0))*OFFSET('Gastos com Pessoal'!$H$512,1,MATCH(1&amp;$B56,'Gastos com Pessoal'!$I$532:$AJ$532&amp;'Gastos com Pessoal'!$I$512:$AJ$512,0),10,1)),0)+_xlfn.IFNA(SUM((BC$3&gt;='Gastos com Pessoal'!$E$513:$E$522)*(BC$3&lt;='Gastos com Pessoal'!$F$513:$F$522)*(IF('Gastos com Pessoal'!$M$513:$M$522&lt;=BC$3,1,0))*OFFSET('Gastos com Pessoal'!$H$512,1,MATCH(2&amp;$B56,'Gastos com Pessoal'!$I$532:$AJ$532&amp;'Gastos com Pessoal'!$I$512:$AJ$512,0),10,1)),0)+_xlfn.IFNA(SUM((BC$3&gt;='Gastos com Pessoal'!$E$513:$E$522)*(BC$3&lt;='Gastos com Pessoal'!$F$513:$F$522)*(IF('Gastos com Pessoal'!$S$513:$S$522&lt;=BC$3,1,0))*OFFSET('Gastos com Pessoal'!$H$512,1,MATCH(3&amp;$B56,'Gastos com Pessoal'!$I$532:$AJ$532&amp;'Gastos com Pessoal'!$I$512:$AJ$512,0),10,1)),0)+_xlfn.IFNA(SUM((BC$3&gt;='Gastos com Pessoal'!$E$513:$E$522)*(BC$3&lt;='Gastos com Pessoal'!$F$513:$F$522)*(IF('Gastos com Pessoal'!$Y$513:$Y$522&lt;=BC$3,1,0))*OFFSET('Gastos com Pessoal'!$H$512,1,MATCH(4&amp;$B56,'Gastos com Pessoal'!$I$532:$AJ$532&amp;'Gastos com Pessoal'!$I$512:$AJ$512,0),10,1)),0)+_xlfn.IFNA(SUM((BC$3&gt;='Gastos com Pessoal'!$E$513:$E$522)*(BC$3&lt;='Gastos com Pessoal'!$F$513:$F$522)*(IF('Gastos com Pessoal'!$AE$513:$AE$522&lt;=BC$3,1,0))*OFFSET('Gastos com Pessoal'!$H$512,1,MATCH(5&amp;$B56,'Gastos com Pessoal'!$I$532:$AJ$532&amp;'Gastos com Pessoal'!$I$512:$AJ$512,0),10,1)),0)</f>
        <v>62812.799999999712</v>
      </c>
      <c r="BD56" s="188">
        <f t="array" aca="1" ref="BD56" ca="1">_xlfn.IFNA(SUM((BD$3&gt;='Gastos com Pessoal'!$E$7:$E$506)*(BD$3&lt;='Gastos com Pessoal'!$F$7:$F$506)*OFFSET('Encargos e Benefícios'!$D$5,1,MATCH($B56,'Encargos e Benefícios'!$E$5:$AB$5,0),500,1)),0)+_xlfn.IFNA(SUM((BD$3&gt;='Gastos com Pessoal'!$E$513:$E$522)*(BD$3&lt;='Gastos com Pessoal'!$F$513:$F$522)*OFFSET('Encargos e Benefícios'!$D$511,1,MATCH($B56,'Encargos e Benefícios'!$E$511:$AB$511,0),10,1)),0)+_xlfn.IFNA(SUM((BD$3&gt;='Gastos com Pessoal'!$E$7:$E$506)*(BD$3&lt;='Gastos com Pessoal'!$F$7:$F$506)*(IF('Gastos com Pessoal'!$G$7:$G$506&lt;=BD$3,1,0))*OFFSET('Gastos com Pessoal'!$H$6,1,MATCH(1&amp;$B56,'Gastos com Pessoal'!$I$532:$AJ$532&amp;'Gastos com Pessoal'!$I$6:$AJ$6,0),500,1)),0)+_xlfn.IFNA(SUM((BD$3&gt;='Gastos com Pessoal'!$E$7:$E$506)*(BD$3&lt;='Gastos com Pessoal'!$F$7:$F$506)*(IF('Gastos com Pessoal'!$M$7:$M$506&lt;=BD$3,1,0))*OFFSET('Gastos com Pessoal'!$H$6,1,MATCH(2&amp;$B56,'Gastos com Pessoal'!$I$532:$AJ$532&amp;'Gastos com Pessoal'!$I$6:$AJ$6,0),500,1)),0)+_xlfn.IFNA(SUM((BD$3&gt;='Gastos com Pessoal'!$E$7:$E$506)*(BD$3&lt;='Gastos com Pessoal'!$F$7:$F$506)*(IF('Gastos com Pessoal'!$S$7:$S$506&lt;=BD$3,1,0))*OFFSET('Gastos com Pessoal'!$H$6,1,MATCH(3&amp;$B56,'Gastos com Pessoal'!$I$532:$AJ$532&amp;'Gastos com Pessoal'!$I$6:$AJ$6,0),500,1)),0)+_xlfn.IFNA(SUM((BD$3&gt;='Gastos com Pessoal'!$E$7:$E$506)*(BD$3&lt;='Gastos com Pessoal'!$F$7:$F$506)*(IF('Gastos com Pessoal'!$Y$7:$Y$506&lt;=BD$3,1,0))*OFFSET('Gastos com Pessoal'!$H$6,1,MATCH(4&amp;$B56,'Gastos com Pessoal'!$I$532:$AJ$532&amp;'Gastos com Pessoal'!$I$6:$AJ$6,0),500,1)),0)+_xlfn.IFNA(SUM((BD$3&gt;='Gastos com Pessoal'!$E$7:$E$506)*(BD$3&lt;='Gastos com Pessoal'!$F$7:$F$506)*(IF('Gastos com Pessoal'!$AE$7:$AE$506&lt;=BD$3,1,0))*OFFSET('Gastos com Pessoal'!$H$6,1,MATCH(5&amp;$B56,'Gastos com Pessoal'!$I$532:$AJ$532&amp;'Gastos com Pessoal'!$I$6:$AJ$6,0),500,1)),0)+_xlfn.IFNA(SUM((BD$3&gt;='Gastos com Pessoal'!$E$513:$E$522)*(BD$3&lt;='Gastos com Pessoal'!$F$513:$F$522)*(IF('Gastos com Pessoal'!$G$513:$G$522&lt;=BD$3,1,0))*OFFSET('Gastos com Pessoal'!$H$512,1,MATCH(1&amp;$B56,'Gastos com Pessoal'!$I$532:$AJ$532&amp;'Gastos com Pessoal'!$I$512:$AJ$512,0),10,1)),0)+_xlfn.IFNA(SUM((BD$3&gt;='Gastos com Pessoal'!$E$513:$E$522)*(BD$3&lt;='Gastos com Pessoal'!$F$513:$F$522)*(IF('Gastos com Pessoal'!$M$513:$M$522&lt;=BD$3,1,0))*OFFSET('Gastos com Pessoal'!$H$512,1,MATCH(2&amp;$B56,'Gastos com Pessoal'!$I$532:$AJ$532&amp;'Gastos com Pessoal'!$I$512:$AJ$512,0),10,1)),0)+_xlfn.IFNA(SUM((BD$3&gt;='Gastos com Pessoal'!$E$513:$E$522)*(BD$3&lt;='Gastos com Pessoal'!$F$513:$F$522)*(IF('Gastos com Pessoal'!$S$513:$S$522&lt;=BD$3,1,0))*OFFSET('Gastos com Pessoal'!$H$512,1,MATCH(3&amp;$B56,'Gastos com Pessoal'!$I$532:$AJ$532&amp;'Gastos com Pessoal'!$I$512:$AJ$512,0),10,1)),0)+_xlfn.IFNA(SUM((BD$3&gt;='Gastos com Pessoal'!$E$513:$E$522)*(BD$3&lt;='Gastos com Pessoal'!$F$513:$F$522)*(IF('Gastos com Pessoal'!$Y$513:$Y$522&lt;=BD$3,1,0))*OFFSET('Gastos com Pessoal'!$H$512,1,MATCH(4&amp;$B56,'Gastos com Pessoal'!$I$532:$AJ$532&amp;'Gastos com Pessoal'!$I$512:$AJ$512,0),10,1)),0)+_xlfn.IFNA(SUM((BD$3&gt;='Gastos com Pessoal'!$E$513:$E$522)*(BD$3&lt;='Gastos com Pessoal'!$F$513:$F$522)*(IF('Gastos com Pessoal'!$AE$513:$AE$522&lt;=BD$3,1,0))*OFFSET('Gastos com Pessoal'!$H$512,1,MATCH(5&amp;$B56,'Gastos com Pessoal'!$I$532:$AJ$532&amp;'Gastos com Pessoal'!$I$512:$AJ$512,0),10,1)),0)</f>
        <v>62812.799999999712</v>
      </c>
      <c r="BE56" s="188">
        <f t="array" aca="1" ref="BE56" ca="1">_xlfn.IFNA(SUM((BE$3&gt;='Gastos com Pessoal'!$E$7:$E$506)*(BE$3&lt;='Gastos com Pessoal'!$F$7:$F$506)*OFFSET('Encargos e Benefícios'!$D$5,1,MATCH($B56,'Encargos e Benefícios'!$E$5:$AB$5,0),500,1)),0)+_xlfn.IFNA(SUM((BE$3&gt;='Gastos com Pessoal'!$E$513:$E$522)*(BE$3&lt;='Gastos com Pessoal'!$F$513:$F$522)*OFFSET('Encargos e Benefícios'!$D$511,1,MATCH($B56,'Encargos e Benefícios'!$E$511:$AB$511,0),10,1)),0)+_xlfn.IFNA(SUM((BE$3&gt;='Gastos com Pessoal'!$E$7:$E$506)*(BE$3&lt;='Gastos com Pessoal'!$F$7:$F$506)*(IF('Gastos com Pessoal'!$G$7:$G$506&lt;=BE$3,1,0))*OFFSET('Gastos com Pessoal'!$H$6,1,MATCH(1&amp;$B56,'Gastos com Pessoal'!$I$532:$AJ$532&amp;'Gastos com Pessoal'!$I$6:$AJ$6,0),500,1)),0)+_xlfn.IFNA(SUM((BE$3&gt;='Gastos com Pessoal'!$E$7:$E$506)*(BE$3&lt;='Gastos com Pessoal'!$F$7:$F$506)*(IF('Gastos com Pessoal'!$M$7:$M$506&lt;=BE$3,1,0))*OFFSET('Gastos com Pessoal'!$H$6,1,MATCH(2&amp;$B56,'Gastos com Pessoal'!$I$532:$AJ$532&amp;'Gastos com Pessoal'!$I$6:$AJ$6,0),500,1)),0)+_xlfn.IFNA(SUM((BE$3&gt;='Gastos com Pessoal'!$E$7:$E$506)*(BE$3&lt;='Gastos com Pessoal'!$F$7:$F$506)*(IF('Gastos com Pessoal'!$S$7:$S$506&lt;=BE$3,1,0))*OFFSET('Gastos com Pessoal'!$H$6,1,MATCH(3&amp;$B56,'Gastos com Pessoal'!$I$532:$AJ$532&amp;'Gastos com Pessoal'!$I$6:$AJ$6,0),500,1)),0)+_xlfn.IFNA(SUM((BE$3&gt;='Gastos com Pessoal'!$E$7:$E$506)*(BE$3&lt;='Gastos com Pessoal'!$F$7:$F$506)*(IF('Gastos com Pessoal'!$Y$7:$Y$506&lt;=BE$3,1,0))*OFFSET('Gastos com Pessoal'!$H$6,1,MATCH(4&amp;$B56,'Gastos com Pessoal'!$I$532:$AJ$532&amp;'Gastos com Pessoal'!$I$6:$AJ$6,0),500,1)),0)+_xlfn.IFNA(SUM((BE$3&gt;='Gastos com Pessoal'!$E$7:$E$506)*(BE$3&lt;='Gastos com Pessoal'!$F$7:$F$506)*(IF('Gastos com Pessoal'!$AE$7:$AE$506&lt;=BE$3,1,0))*OFFSET('Gastos com Pessoal'!$H$6,1,MATCH(5&amp;$B56,'Gastos com Pessoal'!$I$532:$AJ$532&amp;'Gastos com Pessoal'!$I$6:$AJ$6,0),500,1)),0)+_xlfn.IFNA(SUM((BE$3&gt;='Gastos com Pessoal'!$E$513:$E$522)*(BE$3&lt;='Gastos com Pessoal'!$F$513:$F$522)*(IF('Gastos com Pessoal'!$G$513:$G$522&lt;=BE$3,1,0))*OFFSET('Gastos com Pessoal'!$H$512,1,MATCH(1&amp;$B56,'Gastos com Pessoal'!$I$532:$AJ$532&amp;'Gastos com Pessoal'!$I$512:$AJ$512,0),10,1)),0)+_xlfn.IFNA(SUM((BE$3&gt;='Gastos com Pessoal'!$E$513:$E$522)*(BE$3&lt;='Gastos com Pessoal'!$F$513:$F$522)*(IF('Gastos com Pessoal'!$M$513:$M$522&lt;=BE$3,1,0))*OFFSET('Gastos com Pessoal'!$H$512,1,MATCH(2&amp;$B56,'Gastos com Pessoal'!$I$532:$AJ$532&amp;'Gastos com Pessoal'!$I$512:$AJ$512,0),10,1)),0)+_xlfn.IFNA(SUM((BE$3&gt;='Gastos com Pessoal'!$E$513:$E$522)*(BE$3&lt;='Gastos com Pessoal'!$F$513:$F$522)*(IF('Gastos com Pessoal'!$S$513:$S$522&lt;=BE$3,1,0))*OFFSET('Gastos com Pessoal'!$H$512,1,MATCH(3&amp;$B56,'Gastos com Pessoal'!$I$532:$AJ$532&amp;'Gastos com Pessoal'!$I$512:$AJ$512,0),10,1)),0)+_xlfn.IFNA(SUM((BE$3&gt;='Gastos com Pessoal'!$E$513:$E$522)*(BE$3&lt;='Gastos com Pessoal'!$F$513:$F$522)*(IF('Gastos com Pessoal'!$Y$513:$Y$522&lt;=BE$3,1,0))*OFFSET('Gastos com Pessoal'!$H$512,1,MATCH(4&amp;$B56,'Gastos com Pessoal'!$I$532:$AJ$532&amp;'Gastos com Pessoal'!$I$512:$AJ$512,0),10,1)),0)+_xlfn.IFNA(SUM((BE$3&gt;='Gastos com Pessoal'!$E$513:$E$522)*(BE$3&lt;='Gastos com Pessoal'!$F$513:$F$522)*(IF('Gastos com Pessoal'!$AE$513:$AE$522&lt;=BE$3,1,0))*OFFSET('Gastos com Pessoal'!$H$512,1,MATCH(5&amp;$B56,'Gastos com Pessoal'!$I$532:$AJ$532&amp;'Gastos com Pessoal'!$I$512:$AJ$512,0),10,1)),0)</f>
        <v>62812.799999999712</v>
      </c>
      <c r="BF56" s="188">
        <f t="array" aca="1" ref="BF56" ca="1">_xlfn.IFNA(SUM((BF$3&gt;='Gastos com Pessoal'!$E$7:$E$506)*(BF$3&lt;='Gastos com Pessoal'!$F$7:$F$506)*OFFSET('Encargos e Benefícios'!$D$5,1,MATCH($B56,'Encargos e Benefícios'!$E$5:$AB$5,0),500,1)),0)+_xlfn.IFNA(SUM((BF$3&gt;='Gastos com Pessoal'!$E$513:$E$522)*(BF$3&lt;='Gastos com Pessoal'!$F$513:$F$522)*OFFSET('Encargos e Benefícios'!$D$511,1,MATCH($B56,'Encargos e Benefícios'!$E$511:$AB$511,0),10,1)),0)+_xlfn.IFNA(SUM((BF$3&gt;='Gastos com Pessoal'!$E$7:$E$506)*(BF$3&lt;='Gastos com Pessoal'!$F$7:$F$506)*(IF('Gastos com Pessoal'!$G$7:$G$506&lt;=BF$3,1,0))*OFFSET('Gastos com Pessoal'!$H$6,1,MATCH(1&amp;$B56,'Gastos com Pessoal'!$I$532:$AJ$532&amp;'Gastos com Pessoal'!$I$6:$AJ$6,0),500,1)),0)+_xlfn.IFNA(SUM((BF$3&gt;='Gastos com Pessoal'!$E$7:$E$506)*(BF$3&lt;='Gastos com Pessoal'!$F$7:$F$506)*(IF('Gastos com Pessoal'!$M$7:$M$506&lt;=BF$3,1,0))*OFFSET('Gastos com Pessoal'!$H$6,1,MATCH(2&amp;$B56,'Gastos com Pessoal'!$I$532:$AJ$532&amp;'Gastos com Pessoal'!$I$6:$AJ$6,0),500,1)),0)+_xlfn.IFNA(SUM((BF$3&gt;='Gastos com Pessoal'!$E$7:$E$506)*(BF$3&lt;='Gastos com Pessoal'!$F$7:$F$506)*(IF('Gastos com Pessoal'!$S$7:$S$506&lt;=BF$3,1,0))*OFFSET('Gastos com Pessoal'!$H$6,1,MATCH(3&amp;$B56,'Gastos com Pessoal'!$I$532:$AJ$532&amp;'Gastos com Pessoal'!$I$6:$AJ$6,0),500,1)),0)+_xlfn.IFNA(SUM((BF$3&gt;='Gastos com Pessoal'!$E$7:$E$506)*(BF$3&lt;='Gastos com Pessoal'!$F$7:$F$506)*(IF('Gastos com Pessoal'!$Y$7:$Y$506&lt;=BF$3,1,0))*OFFSET('Gastos com Pessoal'!$H$6,1,MATCH(4&amp;$B56,'Gastos com Pessoal'!$I$532:$AJ$532&amp;'Gastos com Pessoal'!$I$6:$AJ$6,0),500,1)),0)+_xlfn.IFNA(SUM((BF$3&gt;='Gastos com Pessoal'!$E$7:$E$506)*(BF$3&lt;='Gastos com Pessoal'!$F$7:$F$506)*(IF('Gastos com Pessoal'!$AE$7:$AE$506&lt;=BF$3,1,0))*OFFSET('Gastos com Pessoal'!$H$6,1,MATCH(5&amp;$B56,'Gastos com Pessoal'!$I$532:$AJ$532&amp;'Gastos com Pessoal'!$I$6:$AJ$6,0),500,1)),0)+_xlfn.IFNA(SUM((BF$3&gt;='Gastos com Pessoal'!$E$513:$E$522)*(BF$3&lt;='Gastos com Pessoal'!$F$513:$F$522)*(IF('Gastos com Pessoal'!$G$513:$G$522&lt;=BF$3,1,0))*OFFSET('Gastos com Pessoal'!$H$512,1,MATCH(1&amp;$B56,'Gastos com Pessoal'!$I$532:$AJ$532&amp;'Gastos com Pessoal'!$I$512:$AJ$512,0),10,1)),0)+_xlfn.IFNA(SUM((BF$3&gt;='Gastos com Pessoal'!$E$513:$E$522)*(BF$3&lt;='Gastos com Pessoal'!$F$513:$F$522)*(IF('Gastos com Pessoal'!$M$513:$M$522&lt;=BF$3,1,0))*OFFSET('Gastos com Pessoal'!$H$512,1,MATCH(2&amp;$B56,'Gastos com Pessoal'!$I$532:$AJ$532&amp;'Gastos com Pessoal'!$I$512:$AJ$512,0),10,1)),0)+_xlfn.IFNA(SUM((BF$3&gt;='Gastos com Pessoal'!$E$513:$E$522)*(BF$3&lt;='Gastos com Pessoal'!$F$513:$F$522)*(IF('Gastos com Pessoal'!$S$513:$S$522&lt;=BF$3,1,0))*OFFSET('Gastos com Pessoal'!$H$512,1,MATCH(3&amp;$B56,'Gastos com Pessoal'!$I$532:$AJ$532&amp;'Gastos com Pessoal'!$I$512:$AJ$512,0),10,1)),0)+_xlfn.IFNA(SUM((BF$3&gt;='Gastos com Pessoal'!$E$513:$E$522)*(BF$3&lt;='Gastos com Pessoal'!$F$513:$F$522)*(IF('Gastos com Pessoal'!$Y$513:$Y$522&lt;=BF$3,1,0))*OFFSET('Gastos com Pessoal'!$H$512,1,MATCH(4&amp;$B56,'Gastos com Pessoal'!$I$532:$AJ$532&amp;'Gastos com Pessoal'!$I$512:$AJ$512,0),10,1)),0)+_xlfn.IFNA(SUM((BF$3&gt;='Gastos com Pessoal'!$E$513:$E$522)*(BF$3&lt;='Gastos com Pessoal'!$F$513:$F$522)*(IF('Gastos com Pessoal'!$AE$513:$AE$522&lt;=BF$3,1,0))*OFFSET('Gastos com Pessoal'!$H$512,1,MATCH(5&amp;$B56,'Gastos com Pessoal'!$I$532:$AJ$532&amp;'Gastos com Pessoal'!$I$512:$AJ$512,0),10,1)),0)</f>
        <v>62812.799999999712</v>
      </c>
      <c r="BG56" s="188">
        <f t="array" aca="1" ref="BG56" ca="1">_xlfn.IFNA(SUM((BG$3&gt;='Gastos com Pessoal'!$E$7:$E$506)*(BG$3&lt;='Gastos com Pessoal'!$F$7:$F$506)*OFFSET('Encargos e Benefícios'!$D$5,1,MATCH($B56,'Encargos e Benefícios'!$E$5:$AB$5,0),500,1)),0)+_xlfn.IFNA(SUM((BG$3&gt;='Gastos com Pessoal'!$E$513:$E$522)*(BG$3&lt;='Gastos com Pessoal'!$F$513:$F$522)*OFFSET('Encargos e Benefícios'!$D$511,1,MATCH($B56,'Encargos e Benefícios'!$E$511:$AB$511,0),10,1)),0)+_xlfn.IFNA(SUM((BG$3&gt;='Gastos com Pessoal'!$E$7:$E$506)*(BG$3&lt;='Gastos com Pessoal'!$F$7:$F$506)*(IF('Gastos com Pessoal'!$G$7:$G$506&lt;=BG$3,1,0))*OFFSET('Gastos com Pessoal'!$H$6,1,MATCH(1&amp;$B56,'Gastos com Pessoal'!$I$532:$AJ$532&amp;'Gastos com Pessoal'!$I$6:$AJ$6,0),500,1)),0)+_xlfn.IFNA(SUM((BG$3&gt;='Gastos com Pessoal'!$E$7:$E$506)*(BG$3&lt;='Gastos com Pessoal'!$F$7:$F$506)*(IF('Gastos com Pessoal'!$M$7:$M$506&lt;=BG$3,1,0))*OFFSET('Gastos com Pessoal'!$H$6,1,MATCH(2&amp;$B56,'Gastos com Pessoal'!$I$532:$AJ$532&amp;'Gastos com Pessoal'!$I$6:$AJ$6,0),500,1)),0)+_xlfn.IFNA(SUM((BG$3&gt;='Gastos com Pessoal'!$E$7:$E$506)*(BG$3&lt;='Gastos com Pessoal'!$F$7:$F$506)*(IF('Gastos com Pessoal'!$S$7:$S$506&lt;=BG$3,1,0))*OFFSET('Gastos com Pessoal'!$H$6,1,MATCH(3&amp;$B56,'Gastos com Pessoal'!$I$532:$AJ$532&amp;'Gastos com Pessoal'!$I$6:$AJ$6,0),500,1)),0)+_xlfn.IFNA(SUM((BG$3&gt;='Gastos com Pessoal'!$E$7:$E$506)*(BG$3&lt;='Gastos com Pessoal'!$F$7:$F$506)*(IF('Gastos com Pessoal'!$Y$7:$Y$506&lt;=BG$3,1,0))*OFFSET('Gastos com Pessoal'!$H$6,1,MATCH(4&amp;$B56,'Gastos com Pessoal'!$I$532:$AJ$532&amp;'Gastos com Pessoal'!$I$6:$AJ$6,0),500,1)),0)+_xlfn.IFNA(SUM((BG$3&gt;='Gastos com Pessoal'!$E$7:$E$506)*(BG$3&lt;='Gastos com Pessoal'!$F$7:$F$506)*(IF('Gastos com Pessoal'!$AE$7:$AE$506&lt;=BG$3,1,0))*OFFSET('Gastos com Pessoal'!$H$6,1,MATCH(5&amp;$B56,'Gastos com Pessoal'!$I$532:$AJ$532&amp;'Gastos com Pessoal'!$I$6:$AJ$6,0),500,1)),0)+_xlfn.IFNA(SUM((BG$3&gt;='Gastos com Pessoal'!$E$513:$E$522)*(BG$3&lt;='Gastos com Pessoal'!$F$513:$F$522)*(IF('Gastos com Pessoal'!$G$513:$G$522&lt;=BG$3,1,0))*OFFSET('Gastos com Pessoal'!$H$512,1,MATCH(1&amp;$B56,'Gastos com Pessoal'!$I$532:$AJ$532&amp;'Gastos com Pessoal'!$I$512:$AJ$512,0),10,1)),0)+_xlfn.IFNA(SUM((BG$3&gt;='Gastos com Pessoal'!$E$513:$E$522)*(BG$3&lt;='Gastos com Pessoal'!$F$513:$F$522)*(IF('Gastos com Pessoal'!$M$513:$M$522&lt;=BG$3,1,0))*OFFSET('Gastos com Pessoal'!$H$512,1,MATCH(2&amp;$B56,'Gastos com Pessoal'!$I$532:$AJ$532&amp;'Gastos com Pessoal'!$I$512:$AJ$512,0),10,1)),0)+_xlfn.IFNA(SUM((BG$3&gt;='Gastos com Pessoal'!$E$513:$E$522)*(BG$3&lt;='Gastos com Pessoal'!$F$513:$F$522)*(IF('Gastos com Pessoal'!$S$513:$S$522&lt;=BG$3,1,0))*OFFSET('Gastos com Pessoal'!$H$512,1,MATCH(3&amp;$B56,'Gastos com Pessoal'!$I$532:$AJ$532&amp;'Gastos com Pessoal'!$I$512:$AJ$512,0),10,1)),0)+_xlfn.IFNA(SUM((BG$3&gt;='Gastos com Pessoal'!$E$513:$E$522)*(BG$3&lt;='Gastos com Pessoal'!$F$513:$F$522)*(IF('Gastos com Pessoal'!$Y$513:$Y$522&lt;=BG$3,1,0))*OFFSET('Gastos com Pessoal'!$H$512,1,MATCH(4&amp;$B56,'Gastos com Pessoal'!$I$532:$AJ$532&amp;'Gastos com Pessoal'!$I$512:$AJ$512,0),10,1)),0)+_xlfn.IFNA(SUM((BG$3&gt;='Gastos com Pessoal'!$E$513:$E$522)*(BG$3&lt;='Gastos com Pessoal'!$F$513:$F$522)*(IF('Gastos com Pessoal'!$AE$513:$AE$522&lt;=BG$3,1,0))*OFFSET('Gastos com Pessoal'!$H$512,1,MATCH(5&amp;$B56,'Gastos com Pessoal'!$I$532:$AJ$532&amp;'Gastos com Pessoal'!$I$512:$AJ$512,0),10,1)),0)</f>
        <v>62812.799999999712</v>
      </c>
      <c r="BH56" s="188">
        <f t="array" aca="1" ref="BH56" ca="1">_xlfn.IFNA(SUM((BH$3&gt;='Gastos com Pessoal'!$E$7:$E$506)*(BH$3&lt;='Gastos com Pessoal'!$F$7:$F$506)*OFFSET('Encargos e Benefícios'!$D$5,1,MATCH($B56,'Encargos e Benefícios'!$E$5:$AB$5,0),500,1)),0)+_xlfn.IFNA(SUM((BH$3&gt;='Gastos com Pessoal'!$E$513:$E$522)*(BH$3&lt;='Gastos com Pessoal'!$F$513:$F$522)*OFFSET('Encargos e Benefícios'!$D$511,1,MATCH($B56,'Encargos e Benefícios'!$E$511:$AB$511,0),10,1)),0)+_xlfn.IFNA(SUM((BH$3&gt;='Gastos com Pessoal'!$E$7:$E$506)*(BH$3&lt;='Gastos com Pessoal'!$F$7:$F$506)*(IF('Gastos com Pessoal'!$G$7:$G$506&lt;=BH$3,1,0))*OFFSET('Gastos com Pessoal'!$H$6,1,MATCH(1&amp;$B56,'Gastos com Pessoal'!$I$532:$AJ$532&amp;'Gastos com Pessoal'!$I$6:$AJ$6,0),500,1)),0)+_xlfn.IFNA(SUM((BH$3&gt;='Gastos com Pessoal'!$E$7:$E$506)*(BH$3&lt;='Gastos com Pessoal'!$F$7:$F$506)*(IF('Gastos com Pessoal'!$M$7:$M$506&lt;=BH$3,1,0))*OFFSET('Gastos com Pessoal'!$H$6,1,MATCH(2&amp;$B56,'Gastos com Pessoal'!$I$532:$AJ$532&amp;'Gastos com Pessoal'!$I$6:$AJ$6,0),500,1)),0)+_xlfn.IFNA(SUM((BH$3&gt;='Gastos com Pessoal'!$E$7:$E$506)*(BH$3&lt;='Gastos com Pessoal'!$F$7:$F$506)*(IF('Gastos com Pessoal'!$S$7:$S$506&lt;=BH$3,1,0))*OFFSET('Gastos com Pessoal'!$H$6,1,MATCH(3&amp;$B56,'Gastos com Pessoal'!$I$532:$AJ$532&amp;'Gastos com Pessoal'!$I$6:$AJ$6,0),500,1)),0)+_xlfn.IFNA(SUM((BH$3&gt;='Gastos com Pessoal'!$E$7:$E$506)*(BH$3&lt;='Gastos com Pessoal'!$F$7:$F$506)*(IF('Gastos com Pessoal'!$Y$7:$Y$506&lt;=BH$3,1,0))*OFFSET('Gastos com Pessoal'!$H$6,1,MATCH(4&amp;$B56,'Gastos com Pessoal'!$I$532:$AJ$532&amp;'Gastos com Pessoal'!$I$6:$AJ$6,0),500,1)),0)+_xlfn.IFNA(SUM((BH$3&gt;='Gastos com Pessoal'!$E$7:$E$506)*(BH$3&lt;='Gastos com Pessoal'!$F$7:$F$506)*(IF('Gastos com Pessoal'!$AE$7:$AE$506&lt;=BH$3,1,0))*OFFSET('Gastos com Pessoal'!$H$6,1,MATCH(5&amp;$B56,'Gastos com Pessoal'!$I$532:$AJ$532&amp;'Gastos com Pessoal'!$I$6:$AJ$6,0),500,1)),0)+_xlfn.IFNA(SUM((BH$3&gt;='Gastos com Pessoal'!$E$513:$E$522)*(BH$3&lt;='Gastos com Pessoal'!$F$513:$F$522)*(IF('Gastos com Pessoal'!$G$513:$G$522&lt;=BH$3,1,0))*OFFSET('Gastos com Pessoal'!$H$512,1,MATCH(1&amp;$B56,'Gastos com Pessoal'!$I$532:$AJ$532&amp;'Gastos com Pessoal'!$I$512:$AJ$512,0),10,1)),0)+_xlfn.IFNA(SUM((BH$3&gt;='Gastos com Pessoal'!$E$513:$E$522)*(BH$3&lt;='Gastos com Pessoal'!$F$513:$F$522)*(IF('Gastos com Pessoal'!$M$513:$M$522&lt;=BH$3,1,0))*OFFSET('Gastos com Pessoal'!$H$512,1,MATCH(2&amp;$B56,'Gastos com Pessoal'!$I$532:$AJ$532&amp;'Gastos com Pessoal'!$I$512:$AJ$512,0),10,1)),0)+_xlfn.IFNA(SUM((BH$3&gt;='Gastos com Pessoal'!$E$513:$E$522)*(BH$3&lt;='Gastos com Pessoal'!$F$513:$F$522)*(IF('Gastos com Pessoal'!$S$513:$S$522&lt;=BH$3,1,0))*OFFSET('Gastos com Pessoal'!$H$512,1,MATCH(3&amp;$B56,'Gastos com Pessoal'!$I$532:$AJ$532&amp;'Gastos com Pessoal'!$I$512:$AJ$512,0),10,1)),0)+_xlfn.IFNA(SUM((BH$3&gt;='Gastos com Pessoal'!$E$513:$E$522)*(BH$3&lt;='Gastos com Pessoal'!$F$513:$F$522)*(IF('Gastos com Pessoal'!$Y$513:$Y$522&lt;=BH$3,1,0))*OFFSET('Gastos com Pessoal'!$H$512,1,MATCH(4&amp;$B56,'Gastos com Pessoal'!$I$532:$AJ$532&amp;'Gastos com Pessoal'!$I$512:$AJ$512,0),10,1)),0)+_xlfn.IFNA(SUM((BH$3&gt;='Gastos com Pessoal'!$E$513:$E$522)*(BH$3&lt;='Gastos com Pessoal'!$F$513:$F$522)*(IF('Gastos com Pessoal'!$AE$513:$AE$522&lt;=BH$3,1,0))*OFFSET('Gastos com Pessoal'!$H$512,1,MATCH(5&amp;$B56,'Gastos com Pessoal'!$I$532:$AJ$532&amp;'Gastos com Pessoal'!$I$512:$AJ$512,0),10,1)),0)</f>
        <v>62812.799999999712</v>
      </c>
      <c r="BI56" s="188">
        <f t="array" aca="1" ref="BI56" ca="1">_xlfn.IFNA(SUM((BI$3&gt;='Gastos com Pessoal'!$E$7:$E$506)*(BI$3&lt;='Gastos com Pessoal'!$F$7:$F$506)*OFFSET('Encargos e Benefícios'!$D$5,1,MATCH($B56,'Encargos e Benefícios'!$E$5:$AB$5,0),500,1)),0)+_xlfn.IFNA(SUM((BI$3&gt;='Gastos com Pessoal'!$E$513:$E$522)*(BI$3&lt;='Gastos com Pessoal'!$F$513:$F$522)*OFFSET('Encargos e Benefícios'!$D$511,1,MATCH($B56,'Encargos e Benefícios'!$E$511:$AB$511,0),10,1)),0)+_xlfn.IFNA(SUM((BI$3&gt;='Gastos com Pessoal'!$E$7:$E$506)*(BI$3&lt;='Gastos com Pessoal'!$F$7:$F$506)*(IF('Gastos com Pessoal'!$G$7:$G$506&lt;=BI$3,1,0))*OFFSET('Gastos com Pessoal'!$H$6,1,MATCH(1&amp;$B56,'Gastos com Pessoal'!$I$532:$AJ$532&amp;'Gastos com Pessoal'!$I$6:$AJ$6,0),500,1)),0)+_xlfn.IFNA(SUM((BI$3&gt;='Gastos com Pessoal'!$E$7:$E$506)*(BI$3&lt;='Gastos com Pessoal'!$F$7:$F$506)*(IF('Gastos com Pessoal'!$M$7:$M$506&lt;=BI$3,1,0))*OFFSET('Gastos com Pessoal'!$H$6,1,MATCH(2&amp;$B56,'Gastos com Pessoal'!$I$532:$AJ$532&amp;'Gastos com Pessoal'!$I$6:$AJ$6,0),500,1)),0)+_xlfn.IFNA(SUM((BI$3&gt;='Gastos com Pessoal'!$E$7:$E$506)*(BI$3&lt;='Gastos com Pessoal'!$F$7:$F$506)*(IF('Gastos com Pessoal'!$S$7:$S$506&lt;=BI$3,1,0))*OFFSET('Gastos com Pessoal'!$H$6,1,MATCH(3&amp;$B56,'Gastos com Pessoal'!$I$532:$AJ$532&amp;'Gastos com Pessoal'!$I$6:$AJ$6,0),500,1)),0)+_xlfn.IFNA(SUM((BI$3&gt;='Gastos com Pessoal'!$E$7:$E$506)*(BI$3&lt;='Gastos com Pessoal'!$F$7:$F$506)*(IF('Gastos com Pessoal'!$Y$7:$Y$506&lt;=BI$3,1,0))*OFFSET('Gastos com Pessoal'!$H$6,1,MATCH(4&amp;$B56,'Gastos com Pessoal'!$I$532:$AJ$532&amp;'Gastos com Pessoal'!$I$6:$AJ$6,0),500,1)),0)+_xlfn.IFNA(SUM((BI$3&gt;='Gastos com Pessoal'!$E$7:$E$506)*(BI$3&lt;='Gastos com Pessoal'!$F$7:$F$506)*(IF('Gastos com Pessoal'!$AE$7:$AE$506&lt;=BI$3,1,0))*OFFSET('Gastos com Pessoal'!$H$6,1,MATCH(5&amp;$B56,'Gastos com Pessoal'!$I$532:$AJ$532&amp;'Gastos com Pessoal'!$I$6:$AJ$6,0),500,1)),0)+_xlfn.IFNA(SUM((BI$3&gt;='Gastos com Pessoal'!$E$513:$E$522)*(BI$3&lt;='Gastos com Pessoal'!$F$513:$F$522)*(IF('Gastos com Pessoal'!$G$513:$G$522&lt;=BI$3,1,0))*OFFSET('Gastos com Pessoal'!$H$512,1,MATCH(1&amp;$B56,'Gastos com Pessoal'!$I$532:$AJ$532&amp;'Gastos com Pessoal'!$I$512:$AJ$512,0),10,1)),0)+_xlfn.IFNA(SUM((BI$3&gt;='Gastos com Pessoal'!$E$513:$E$522)*(BI$3&lt;='Gastos com Pessoal'!$F$513:$F$522)*(IF('Gastos com Pessoal'!$M$513:$M$522&lt;=BI$3,1,0))*OFFSET('Gastos com Pessoal'!$H$512,1,MATCH(2&amp;$B56,'Gastos com Pessoal'!$I$532:$AJ$532&amp;'Gastos com Pessoal'!$I$512:$AJ$512,0),10,1)),0)+_xlfn.IFNA(SUM((BI$3&gt;='Gastos com Pessoal'!$E$513:$E$522)*(BI$3&lt;='Gastos com Pessoal'!$F$513:$F$522)*(IF('Gastos com Pessoal'!$S$513:$S$522&lt;=BI$3,1,0))*OFFSET('Gastos com Pessoal'!$H$512,1,MATCH(3&amp;$B56,'Gastos com Pessoal'!$I$532:$AJ$532&amp;'Gastos com Pessoal'!$I$512:$AJ$512,0),10,1)),0)+_xlfn.IFNA(SUM((BI$3&gt;='Gastos com Pessoal'!$E$513:$E$522)*(BI$3&lt;='Gastos com Pessoal'!$F$513:$F$522)*(IF('Gastos com Pessoal'!$Y$513:$Y$522&lt;=BI$3,1,0))*OFFSET('Gastos com Pessoal'!$H$512,1,MATCH(4&amp;$B56,'Gastos com Pessoal'!$I$532:$AJ$532&amp;'Gastos com Pessoal'!$I$512:$AJ$512,0),10,1)),0)+_xlfn.IFNA(SUM((BI$3&gt;='Gastos com Pessoal'!$E$513:$E$522)*(BI$3&lt;='Gastos com Pessoal'!$F$513:$F$522)*(IF('Gastos com Pessoal'!$AE$513:$AE$522&lt;=BI$3,1,0))*OFFSET('Gastos com Pessoal'!$H$512,1,MATCH(5&amp;$B56,'Gastos com Pessoal'!$I$532:$AJ$532&amp;'Gastos com Pessoal'!$I$512:$AJ$512,0),10,1)),0)</f>
        <v>62812.799999999712</v>
      </c>
      <c r="BJ56" s="188">
        <f t="array" aca="1" ref="BJ56" ca="1">_xlfn.IFNA(SUM((BJ$3&gt;='Gastos com Pessoal'!$E$7:$E$506)*(BJ$3&lt;='Gastos com Pessoal'!$F$7:$F$506)*OFFSET('Encargos e Benefícios'!$D$5,1,MATCH($B56,'Encargos e Benefícios'!$E$5:$AB$5,0),500,1)),0)+_xlfn.IFNA(SUM((BJ$3&gt;='Gastos com Pessoal'!$E$513:$E$522)*(BJ$3&lt;='Gastos com Pessoal'!$F$513:$F$522)*OFFSET('Encargos e Benefícios'!$D$511,1,MATCH($B56,'Encargos e Benefícios'!$E$511:$AB$511,0),10,1)),0)+_xlfn.IFNA(SUM((BJ$3&gt;='Gastos com Pessoal'!$E$7:$E$506)*(BJ$3&lt;='Gastos com Pessoal'!$F$7:$F$506)*(IF('Gastos com Pessoal'!$G$7:$G$506&lt;=BJ$3,1,0))*OFFSET('Gastos com Pessoal'!$H$6,1,MATCH(1&amp;$B56,'Gastos com Pessoal'!$I$532:$AJ$532&amp;'Gastos com Pessoal'!$I$6:$AJ$6,0),500,1)),0)+_xlfn.IFNA(SUM((BJ$3&gt;='Gastos com Pessoal'!$E$7:$E$506)*(BJ$3&lt;='Gastos com Pessoal'!$F$7:$F$506)*(IF('Gastos com Pessoal'!$M$7:$M$506&lt;=BJ$3,1,0))*OFFSET('Gastos com Pessoal'!$H$6,1,MATCH(2&amp;$B56,'Gastos com Pessoal'!$I$532:$AJ$532&amp;'Gastos com Pessoal'!$I$6:$AJ$6,0),500,1)),0)+_xlfn.IFNA(SUM((BJ$3&gt;='Gastos com Pessoal'!$E$7:$E$506)*(BJ$3&lt;='Gastos com Pessoal'!$F$7:$F$506)*(IF('Gastos com Pessoal'!$S$7:$S$506&lt;=BJ$3,1,0))*OFFSET('Gastos com Pessoal'!$H$6,1,MATCH(3&amp;$B56,'Gastos com Pessoal'!$I$532:$AJ$532&amp;'Gastos com Pessoal'!$I$6:$AJ$6,0),500,1)),0)+_xlfn.IFNA(SUM((BJ$3&gt;='Gastos com Pessoal'!$E$7:$E$506)*(BJ$3&lt;='Gastos com Pessoal'!$F$7:$F$506)*(IF('Gastos com Pessoal'!$Y$7:$Y$506&lt;=BJ$3,1,0))*OFFSET('Gastos com Pessoal'!$H$6,1,MATCH(4&amp;$B56,'Gastos com Pessoal'!$I$532:$AJ$532&amp;'Gastos com Pessoal'!$I$6:$AJ$6,0),500,1)),0)+_xlfn.IFNA(SUM((BJ$3&gt;='Gastos com Pessoal'!$E$7:$E$506)*(BJ$3&lt;='Gastos com Pessoal'!$F$7:$F$506)*(IF('Gastos com Pessoal'!$AE$7:$AE$506&lt;=BJ$3,1,0))*OFFSET('Gastos com Pessoal'!$H$6,1,MATCH(5&amp;$B56,'Gastos com Pessoal'!$I$532:$AJ$532&amp;'Gastos com Pessoal'!$I$6:$AJ$6,0),500,1)),0)+_xlfn.IFNA(SUM((BJ$3&gt;='Gastos com Pessoal'!$E$513:$E$522)*(BJ$3&lt;='Gastos com Pessoal'!$F$513:$F$522)*(IF('Gastos com Pessoal'!$G$513:$G$522&lt;=BJ$3,1,0))*OFFSET('Gastos com Pessoal'!$H$512,1,MATCH(1&amp;$B56,'Gastos com Pessoal'!$I$532:$AJ$532&amp;'Gastos com Pessoal'!$I$512:$AJ$512,0),10,1)),0)+_xlfn.IFNA(SUM((BJ$3&gt;='Gastos com Pessoal'!$E$513:$E$522)*(BJ$3&lt;='Gastos com Pessoal'!$F$513:$F$522)*(IF('Gastos com Pessoal'!$M$513:$M$522&lt;=BJ$3,1,0))*OFFSET('Gastos com Pessoal'!$H$512,1,MATCH(2&amp;$B56,'Gastos com Pessoal'!$I$532:$AJ$532&amp;'Gastos com Pessoal'!$I$512:$AJ$512,0),10,1)),0)+_xlfn.IFNA(SUM((BJ$3&gt;='Gastos com Pessoal'!$E$513:$E$522)*(BJ$3&lt;='Gastos com Pessoal'!$F$513:$F$522)*(IF('Gastos com Pessoal'!$S$513:$S$522&lt;=BJ$3,1,0))*OFFSET('Gastos com Pessoal'!$H$512,1,MATCH(3&amp;$B56,'Gastos com Pessoal'!$I$532:$AJ$532&amp;'Gastos com Pessoal'!$I$512:$AJ$512,0),10,1)),0)+_xlfn.IFNA(SUM((BJ$3&gt;='Gastos com Pessoal'!$E$513:$E$522)*(BJ$3&lt;='Gastos com Pessoal'!$F$513:$F$522)*(IF('Gastos com Pessoal'!$Y$513:$Y$522&lt;=BJ$3,1,0))*OFFSET('Gastos com Pessoal'!$H$512,1,MATCH(4&amp;$B56,'Gastos com Pessoal'!$I$532:$AJ$532&amp;'Gastos com Pessoal'!$I$512:$AJ$512,0),10,1)),0)+_xlfn.IFNA(SUM((BJ$3&gt;='Gastos com Pessoal'!$E$513:$E$522)*(BJ$3&lt;='Gastos com Pessoal'!$F$513:$F$522)*(IF('Gastos com Pessoal'!$AE$513:$AE$522&lt;=BJ$3,1,0))*OFFSET('Gastos com Pessoal'!$H$512,1,MATCH(5&amp;$B56,'Gastos com Pessoal'!$I$532:$AJ$532&amp;'Gastos com Pessoal'!$I$512:$AJ$512,0),10,1)),0)</f>
        <v>62812.799999999712</v>
      </c>
      <c r="BK56" s="189">
        <f t="shared" ca="1" si="28"/>
        <v>3643665.8399999873</v>
      </c>
      <c r="BL56" s="136">
        <f t="shared" ca="1" si="29"/>
        <v>1.0890206008725348E-2</v>
      </c>
      <c r="BN56" s="188">
        <f t="array" aca="1" ref="BN56" ca="1">_xlfn.IFNA(SUM((BN$3&gt;='Gastos com Pessoal'!$E$7:$E$506)*(BN$3&lt;='Gastos com Pessoal'!$F$7:$F$506)*OFFSET('Encargos e Benefícios'!$D$5,1,MATCH($B56,'Encargos e Benefícios'!$E$5:$AB$5,0),500,1)),0)+_xlfn.IFNA(SUM((BN$3&gt;='Gastos com Pessoal'!$E$513:$E$522)*(BN$3&lt;='Gastos com Pessoal'!$F$513:$F$522)*OFFSET('Encargos e Benefícios'!$D$511,1,MATCH($B56,'Encargos e Benefícios'!$E$511:$AB$511,0),10,1)),0)+_xlfn.IFNA(SUM((BN$3&gt;='Gastos com Pessoal'!$E$7:$E$506)*(BN$3&lt;='Gastos com Pessoal'!$F$7:$F$506)*(IF('Gastos com Pessoal'!$G$7:$G$506&lt;=BN$3,1,0))*OFFSET('Gastos com Pessoal'!$H$6,1,MATCH(1&amp;$B56,'Gastos com Pessoal'!$I$532:$AJ$532&amp;'Gastos com Pessoal'!$I$6:$AJ$6,0),500,1)),0)+_xlfn.IFNA(SUM((BN$3&gt;='Gastos com Pessoal'!$E$7:$E$506)*(BN$3&lt;='Gastos com Pessoal'!$F$7:$F$506)*(IF('Gastos com Pessoal'!$M$7:$M$506&lt;=BN$3,1,0))*OFFSET('Gastos com Pessoal'!$H$6,1,MATCH(2&amp;$B56,'Gastos com Pessoal'!$I$532:$AJ$532&amp;'Gastos com Pessoal'!$I$6:$AJ$6,0),500,1)),0)+_xlfn.IFNA(SUM((BN$3&gt;='Gastos com Pessoal'!$E$7:$E$506)*(BN$3&lt;='Gastos com Pessoal'!$F$7:$F$506)*(IF('Gastos com Pessoal'!$S$7:$S$506&lt;=BN$3,1,0))*OFFSET('Gastos com Pessoal'!$H$6,1,MATCH(3&amp;$B56,'Gastos com Pessoal'!$I$532:$AJ$532&amp;'Gastos com Pessoal'!$I$6:$AJ$6,0),500,1)),0)+_xlfn.IFNA(SUM((BN$3&gt;='Gastos com Pessoal'!$E$7:$E$506)*(BN$3&lt;='Gastos com Pessoal'!$F$7:$F$506)*(IF('Gastos com Pessoal'!$Y$7:$Y$506&lt;=BN$3,1,0))*OFFSET('Gastos com Pessoal'!$H$6,1,MATCH(4&amp;$B56,'Gastos com Pessoal'!$I$532:$AJ$532&amp;'Gastos com Pessoal'!$I$6:$AJ$6,0),500,1)),0)+_xlfn.IFNA(SUM((BN$3&gt;='Gastos com Pessoal'!$E$7:$E$506)*(BN$3&lt;='Gastos com Pessoal'!$F$7:$F$506)*(IF('Gastos com Pessoal'!$AE$7:$AE$506&lt;=BN$3,1,0))*OFFSET('Gastos com Pessoal'!$H$6,1,MATCH(5&amp;$B56,'Gastos com Pessoal'!$I$532:$AJ$532&amp;'Gastos com Pessoal'!$I$6:$AJ$6,0),500,1)),0)+_xlfn.IFNA(SUM((BN$3&gt;='Gastos com Pessoal'!$E$513:$E$522)*(BN$3&lt;='Gastos com Pessoal'!$F$513:$F$522)*(IF('Gastos com Pessoal'!$G$513:$G$522&lt;=BN$3,1,0))*OFFSET('Gastos com Pessoal'!$H$512,1,MATCH(1&amp;$B56,'Gastos com Pessoal'!$I$532:$AJ$532&amp;'Gastos com Pessoal'!$I$512:$AJ$512,0),10,1)),0)+_xlfn.IFNA(SUM((BN$3&gt;='Gastos com Pessoal'!$E$513:$E$522)*(BN$3&lt;='Gastos com Pessoal'!$F$513:$F$522)*(IF('Gastos com Pessoal'!$M$513:$M$522&lt;=BN$3,1,0))*OFFSET('Gastos com Pessoal'!$H$512,1,MATCH(2&amp;$B56,'Gastos com Pessoal'!$I$532:$AJ$532&amp;'Gastos com Pessoal'!$I$512:$AJ$512,0),10,1)),0)+_xlfn.IFNA(SUM((BN$3&gt;='Gastos com Pessoal'!$E$513:$E$522)*(BN$3&lt;='Gastos com Pessoal'!$F$513:$F$522)*(IF('Gastos com Pessoal'!$S$513:$S$522&lt;=BN$3,1,0))*OFFSET('Gastos com Pessoal'!$H$512,1,MATCH(3&amp;$B56,'Gastos com Pessoal'!$I$532:$AJ$532&amp;'Gastos com Pessoal'!$I$512:$AJ$512,0),10,1)),0)+_xlfn.IFNA(SUM((BN$3&gt;='Gastos com Pessoal'!$E$513:$E$522)*(BN$3&lt;='Gastos com Pessoal'!$F$513:$F$522)*(IF('Gastos com Pessoal'!$Y$513:$Y$522&lt;=BN$3,1,0))*OFFSET('Gastos com Pessoal'!$H$512,1,MATCH(4&amp;$B56,'Gastos com Pessoal'!$I$532:$AJ$532&amp;'Gastos com Pessoal'!$I$512:$AJ$512,0),10,1)),0)+_xlfn.IFNA(SUM((BN$3&gt;='Gastos com Pessoal'!$E$513:$E$522)*(BN$3&lt;='Gastos com Pessoal'!$F$513:$F$522)*(IF('Gastos com Pessoal'!$AE$513:$AE$522&lt;=BN$3,1,0))*OFFSET('Gastos com Pessoal'!$H$512,1,MATCH(5&amp;$B56,'Gastos com Pessoal'!$I$532:$AJ$532&amp;'Gastos com Pessoal'!$I$512:$AJ$512,0),10,1)),0)</f>
        <v>49726.799999999799</v>
      </c>
    </row>
    <row r="57" spans="1:66" s="160" customFormat="1" ht="23.25" customHeight="1">
      <c r="A57" s="190"/>
      <c r="B57" s="191" t="s">
        <v>196</v>
      </c>
      <c r="C57" s="192">
        <f t="shared" ref="C57:AH57" ca="1" si="30">SUBTOTAL(109,C48:C56)</f>
        <v>61657.877999999931</v>
      </c>
      <c r="D57" s="192">
        <f t="shared" ca="1" si="30"/>
        <v>221037.5499999997</v>
      </c>
      <c r="E57" s="192">
        <f t="shared" ca="1" si="30"/>
        <v>232987.29999999967</v>
      </c>
      <c r="F57" s="192">
        <f t="shared" ca="1" si="30"/>
        <v>232987.29999999967</v>
      </c>
      <c r="G57" s="192">
        <f t="shared" ca="1" si="30"/>
        <v>232987.29999999967</v>
      </c>
      <c r="H57" s="192">
        <f t="shared" ca="1" si="30"/>
        <v>240520.89999999964</v>
      </c>
      <c r="I57" s="192">
        <f t="shared" ca="1" si="30"/>
        <v>240520.89999999964</v>
      </c>
      <c r="J57" s="192">
        <f t="shared" ca="1" si="30"/>
        <v>240520.89999999964</v>
      </c>
      <c r="K57" s="192">
        <f t="shared" ca="1" si="30"/>
        <v>240520.89999999964</v>
      </c>
      <c r="L57" s="192">
        <f t="shared" ca="1" si="30"/>
        <v>240520.89999999964</v>
      </c>
      <c r="M57" s="192">
        <f t="shared" ca="1" si="30"/>
        <v>242214.53999999957</v>
      </c>
      <c r="N57" s="192">
        <f t="shared" ca="1" si="30"/>
        <v>255750.90999999957</v>
      </c>
      <c r="O57" s="192">
        <f t="shared" ca="1" si="30"/>
        <v>255750.90999999957</v>
      </c>
      <c r="P57" s="192">
        <f t="shared" ca="1" si="30"/>
        <v>257422.34999999957</v>
      </c>
      <c r="Q57" s="192">
        <f t="shared" ca="1" si="30"/>
        <v>269740.59999999957</v>
      </c>
      <c r="R57" s="192">
        <f t="shared" ca="1" si="30"/>
        <v>269740.59999999957</v>
      </c>
      <c r="S57" s="192">
        <f t="shared" ca="1" si="30"/>
        <v>269740.59999999957</v>
      </c>
      <c r="T57" s="192">
        <f t="shared" ca="1" si="30"/>
        <v>278639.79999999952</v>
      </c>
      <c r="U57" s="192">
        <f t="shared" ca="1" si="30"/>
        <v>278639.79999999952</v>
      </c>
      <c r="V57" s="192">
        <f t="shared" ca="1" si="30"/>
        <v>278639.79999999952</v>
      </c>
      <c r="W57" s="192">
        <f t="shared" ca="1" si="30"/>
        <v>278639.79999999952</v>
      </c>
      <c r="X57" s="192">
        <f t="shared" ca="1" si="30"/>
        <v>278639.79999999952</v>
      </c>
      <c r="Y57" s="192">
        <f t="shared" ca="1" si="30"/>
        <v>278639.79999999952</v>
      </c>
      <c r="Z57" s="192">
        <f t="shared" ca="1" si="30"/>
        <v>278639.79999999952</v>
      </c>
      <c r="AA57" s="192">
        <f t="shared" ca="1" si="30"/>
        <v>278639.79999999952</v>
      </c>
      <c r="AB57" s="192">
        <f t="shared" ca="1" si="30"/>
        <v>278639.79999999952</v>
      </c>
      <c r="AC57" s="192">
        <f t="shared" ca="1" si="30"/>
        <v>278639.79999999952</v>
      </c>
      <c r="AD57" s="192">
        <f t="shared" ca="1" si="30"/>
        <v>278639.79999999952</v>
      </c>
      <c r="AE57" s="192">
        <f t="shared" ca="1" si="30"/>
        <v>278639.79999999952</v>
      </c>
      <c r="AF57" s="192">
        <f t="shared" ca="1" si="30"/>
        <v>288060.2799999995</v>
      </c>
      <c r="AG57" s="192">
        <f t="shared" ca="1" si="30"/>
        <v>288060.2799999995</v>
      </c>
      <c r="AH57" s="192">
        <f t="shared" ca="1" si="30"/>
        <v>288060.2799999995</v>
      </c>
      <c r="AI57" s="192">
        <f t="shared" ref="AI57:BK57" ca="1" si="31">SUBTOTAL(109,AI48:AI56)</f>
        <v>288060.2799999995</v>
      </c>
      <c r="AJ57" s="192">
        <f t="shared" ca="1" si="31"/>
        <v>288060.2799999995</v>
      </c>
      <c r="AK57" s="192">
        <f t="shared" ca="1" si="31"/>
        <v>288060.2799999995</v>
      </c>
      <c r="AL57" s="192">
        <f t="shared" ca="1" si="31"/>
        <v>288060.2799999995</v>
      </c>
      <c r="AM57" s="192">
        <f t="shared" ca="1" si="31"/>
        <v>288060.2799999995</v>
      </c>
      <c r="AN57" s="192">
        <f t="shared" ca="1" si="31"/>
        <v>288060.2799999995</v>
      </c>
      <c r="AO57" s="192">
        <f t="shared" ca="1" si="31"/>
        <v>288060.2799999995</v>
      </c>
      <c r="AP57" s="192">
        <f t="shared" ca="1" si="31"/>
        <v>288060.2799999995</v>
      </c>
      <c r="AQ57" s="192">
        <f t="shared" ca="1" si="31"/>
        <v>288060.2799999995</v>
      </c>
      <c r="AR57" s="192">
        <f t="shared" ca="1" si="31"/>
        <v>298030.8399999995</v>
      </c>
      <c r="AS57" s="192">
        <f t="shared" ca="1" si="31"/>
        <v>298030.8399999995</v>
      </c>
      <c r="AT57" s="192">
        <f t="shared" ca="1" si="31"/>
        <v>298030.8399999995</v>
      </c>
      <c r="AU57" s="192">
        <f t="shared" ca="1" si="31"/>
        <v>298030.8399999995</v>
      </c>
      <c r="AV57" s="192">
        <f t="shared" ca="1" si="31"/>
        <v>298030.8399999995</v>
      </c>
      <c r="AW57" s="192">
        <f t="shared" ca="1" si="31"/>
        <v>298030.8399999995</v>
      </c>
      <c r="AX57" s="192">
        <f t="shared" ca="1" si="31"/>
        <v>298030.8399999995</v>
      </c>
      <c r="AY57" s="192">
        <f t="shared" ca="1" si="31"/>
        <v>298030.8399999995</v>
      </c>
      <c r="AZ57" s="192">
        <f t="shared" ca="1" si="31"/>
        <v>298030.8399999995</v>
      </c>
      <c r="BA57" s="192">
        <f t="shared" ca="1" si="31"/>
        <v>298030.8399999995</v>
      </c>
      <c r="BB57" s="192">
        <f t="shared" ca="1" si="31"/>
        <v>298030.8399999995</v>
      </c>
      <c r="BC57" s="192">
        <f t="shared" ca="1" si="31"/>
        <v>298030.8399999995</v>
      </c>
      <c r="BD57" s="192">
        <f t="shared" ca="1" si="31"/>
        <v>308583.15999999951</v>
      </c>
      <c r="BE57" s="192">
        <f t="shared" ca="1" si="31"/>
        <v>308583.15999999951</v>
      </c>
      <c r="BF57" s="192">
        <f t="shared" ca="1" si="31"/>
        <v>308583.15999999951</v>
      </c>
      <c r="BG57" s="192">
        <f t="shared" ca="1" si="31"/>
        <v>308583.15999999951</v>
      </c>
      <c r="BH57" s="192">
        <f t="shared" ca="1" si="31"/>
        <v>308583.15999999951</v>
      </c>
      <c r="BI57" s="192">
        <f t="shared" ca="1" si="31"/>
        <v>308583.15999999951</v>
      </c>
      <c r="BJ57" s="192">
        <f t="shared" ca="1" si="31"/>
        <v>308583.15999999951</v>
      </c>
      <c r="BK57" s="192">
        <f t="shared" ca="1" si="31"/>
        <v>16541475.497999975</v>
      </c>
      <c r="BL57" s="193">
        <f t="shared" ca="1" si="29"/>
        <v>4.9439241624172396E-2</v>
      </c>
      <c r="BN57" s="192">
        <f t="shared" ref="BN57" ca="1" si="32">SUBTOTAL(109,BN48:BN56)</f>
        <v>205526.25999999978</v>
      </c>
    </row>
    <row r="58" spans="1:66" s="160" customFormat="1" ht="23.25" customHeight="1" thickBot="1">
      <c r="A58" s="221"/>
      <c r="B58" s="222" t="s">
        <v>89</v>
      </c>
      <c r="C58" s="223">
        <f t="shared" ref="C58:AH58" ca="1" si="33">SUBTOTAL(109,C20:C57)</f>
        <v>767748.01605444448</v>
      </c>
      <c r="D58" s="223">
        <f t="shared" ca="1" si="33"/>
        <v>2719460.5548207406</v>
      </c>
      <c r="E58" s="223">
        <f t="shared" ca="1" si="33"/>
        <v>2861813.6436377778</v>
      </c>
      <c r="F58" s="223">
        <f t="shared" ca="1" si="33"/>
        <v>3286488.1936377776</v>
      </c>
      <c r="G58" s="223">
        <f t="shared" ca="1" si="33"/>
        <v>3286488.1936377776</v>
      </c>
      <c r="H58" s="223">
        <f t="shared" ca="1" si="33"/>
        <v>3445280.2168662255</v>
      </c>
      <c r="I58" s="223">
        <f t="shared" ca="1" si="33"/>
        <v>3445280.2168662255</v>
      </c>
      <c r="J58" s="223">
        <f t="shared" ca="1" si="33"/>
        <v>3445280.2168662255</v>
      </c>
      <c r="K58" s="223">
        <f t="shared" ca="1" si="33"/>
        <v>3337280.2168662255</v>
      </c>
      <c r="L58" s="223">
        <f t="shared" ca="1" si="33"/>
        <v>3326280.2168662255</v>
      </c>
      <c r="M58" s="223">
        <f t="shared" ca="1" si="33"/>
        <v>3344734.8257673443</v>
      </c>
      <c r="N58" s="223">
        <f t="shared" ca="1" si="33"/>
        <v>3497623.9381712968</v>
      </c>
      <c r="O58" s="223">
        <f t="shared" ca="1" si="33"/>
        <v>3202568.5881712968</v>
      </c>
      <c r="P58" s="223">
        <f t="shared" ca="1" si="33"/>
        <v>3194821.8770724167</v>
      </c>
      <c r="Q58" s="223">
        <f t="shared" ca="1" si="33"/>
        <v>3194517.9001923683</v>
      </c>
      <c r="R58" s="223">
        <f t="shared" ca="1" si="33"/>
        <v>3419517.9001923683</v>
      </c>
      <c r="S58" s="223">
        <f t="shared" ca="1" si="33"/>
        <v>3419517.9001923683</v>
      </c>
      <c r="T58" s="223">
        <f t="shared" ca="1" si="33"/>
        <v>3383009.5595556023</v>
      </c>
      <c r="U58" s="223">
        <f t="shared" ca="1" si="33"/>
        <v>3383009.5595556023</v>
      </c>
      <c r="V58" s="223">
        <f t="shared" ca="1" si="33"/>
        <v>3383009.5595556023</v>
      </c>
      <c r="W58" s="223">
        <f t="shared" ca="1" si="33"/>
        <v>3368009.5595556023</v>
      </c>
      <c r="X58" s="223">
        <f t="shared" ca="1" si="33"/>
        <v>3268009.5595556023</v>
      </c>
      <c r="Y58" s="223">
        <f t="shared" ca="1" si="33"/>
        <v>3268009.5595556023</v>
      </c>
      <c r="Z58" s="223">
        <f t="shared" ca="1" si="33"/>
        <v>3283826.9795556022</v>
      </c>
      <c r="AA58" s="223">
        <f t="shared" ca="1" si="33"/>
        <v>3277710.3495556023</v>
      </c>
      <c r="AB58" s="223">
        <f t="shared" ca="1" si="33"/>
        <v>3268384.0895556021</v>
      </c>
      <c r="AC58" s="223">
        <f t="shared" ca="1" si="33"/>
        <v>3421769.6833469933</v>
      </c>
      <c r="AD58" s="223">
        <f t="shared" ca="1" si="33"/>
        <v>3268384.0895556021</v>
      </c>
      <c r="AE58" s="223">
        <f t="shared" ca="1" si="33"/>
        <v>3268384.0895556021</v>
      </c>
      <c r="AF58" s="223">
        <f t="shared" ca="1" si="33"/>
        <v>3452009.2285456494</v>
      </c>
      <c r="AG58" s="223">
        <f t="shared" ca="1" si="33"/>
        <v>3452009.2285456494</v>
      </c>
      <c r="AH58" s="223">
        <f t="shared" ca="1" si="33"/>
        <v>3452009.2285456494</v>
      </c>
      <c r="AI58" s="223">
        <f t="shared" ref="AI58:BK58" ca="1" si="34">SUBTOTAL(109,AI20:AI57)</f>
        <v>3452009.2285456494</v>
      </c>
      <c r="AJ58" s="223">
        <f t="shared" ca="1" si="34"/>
        <v>3452009.2285456494</v>
      </c>
      <c r="AK58" s="223">
        <f t="shared" ca="1" si="34"/>
        <v>3468750.3885456496</v>
      </c>
      <c r="AL58" s="223">
        <f t="shared" ca="1" si="34"/>
        <v>3462276.5485456497</v>
      </c>
      <c r="AM58" s="223">
        <f t="shared" ca="1" si="34"/>
        <v>3452405.6385456496</v>
      </c>
      <c r="AN58" s="223">
        <f t="shared" ca="1" si="34"/>
        <v>3452405.6385456496</v>
      </c>
      <c r="AO58" s="223">
        <f t="shared" ca="1" si="34"/>
        <v>3614748.9510144582</v>
      </c>
      <c r="AP58" s="223">
        <f t="shared" ca="1" si="34"/>
        <v>3452405.6385456496</v>
      </c>
      <c r="AQ58" s="223">
        <f t="shared" ca="1" si="34"/>
        <v>3452405.6385456496</v>
      </c>
      <c r="AR58" s="223">
        <f t="shared" ca="1" si="34"/>
        <v>3646754.4096207162</v>
      </c>
      <c r="AS58" s="223">
        <f t="shared" ca="1" si="34"/>
        <v>3646754.4096207162</v>
      </c>
      <c r="AT58" s="223">
        <f t="shared" ca="1" si="34"/>
        <v>3646754.4096207162</v>
      </c>
      <c r="AU58" s="223">
        <f t="shared" ca="1" si="34"/>
        <v>3646754.4096207162</v>
      </c>
      <c r="AV58" s="223">
        <f t="shared" ca="1" si="34"/>
        <v>3664473.2496207161</v>
      </c>
      <c r="AW58" s="223">
        <f t="shared" ca="1" si="34"/>
        <v>3657621.3396207164</v>
      </c>
      <c r="AX58" s="223">
        <f t="shared" ca="1" si="34"/>
        <v>3647173.9696207163</v>
      </c>
      <c r="AY58" s="223">
        <f t="shared" ca="1" si="34"/>
        <v>3647173.9696207163</v>
      </c>
      <c r="AZ58" s="223">
        <f t="shared" ca="1" si="34"/>
        <v>3647173.9696207163</v>
      </c>
      <c r="BA58" s="223">
        <f t="shared" ca="1" si="34"/>
        <v>3818998.1315377033</v>
      </c>
      <c r="BB58" s="223">
        <f t="shared" ca="1" si="34"/>
        <v>3647173.9696207163</v>
      </c>
      <c r="BC58" s="223">
        <f t="shared" ca="1" si="34"/>
        <v>3647173.9696207163</v>
      </c>
      <c r="BD58" s="223">
        <f t="shared" ca="1" si="34"/>
        <v>3852872.1882225662</v>
      </c>
      <c r="BE58" s="223">
        <f t="shared" ca="1" si="34"/>
        <v>3852872.1882225662</v>
      </c>
      <c r="BF58" s="223">
        <f t="shared" ca="1" si="34"/>
        <v>3852872.1882225662</v>
      </c>
      <c r="BG58" s="223">
        <f t="shared" ca="1" si="34"/>
        <v>3871625.8082225663</v>
      </c>
      <c r="BH58" s="223">
        <f t="shared" ca="1" si="34"/>
        <v>3864373.7482225662</v>
      </c>
      <c r="BI58" s="223">
        <f t="shared" ca="1" si="34"/>
        <v>3853316.2482225662</v>
      </c>
      <c r="BJ58" s="223">
        <f t="shared" ca="1" si="34"/>
        <v>3871625.8082225663</v>
      </c>
      <c r="BK58" s="223">
        <f t="shared" ca="1" si="34"/>
        <v>205635202.22427788</v>
      </c>
      <c r="BL58" s="224">
        <f t="shared" ca="1" si="29"/>
        <v>0.6146034826476543</v>
      </c>
      <c r="BN58" s="223">
        <f t="shared" ref="BN58" ca="1" si="35">SUBTOTAL(109,BN20:BN57)</f>
        <v>2493009.7201814814</v>
      </c>
    </row>
    <row r="59" spans="1:66" s="160" customFormat="1" ht="23.25" customHeight="1" thickBot="1">
      <c r="A59" s="225" t="s">
        <v>90</v>
      </c>
      <c r="B59" s="226" t="s">
        <v>91</v>
      </c>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8"/>
      <c r="BN59" s="227"/>
    </row>
    <row r="60" spans="1:66" s="160" customFormat="1" ht="23.25" customHeight="1">
      <c r="A60" s="229" t="s">
        <v>197</v>
      </c>
      <c r="B60" s="230" t="s">
        <v>198</v>
      </c>
      <c r="C60" s="188">
        <f t="shared" ref="C60:C123" si="36">BN60*9/30</f>
        <v>36968.736000000004</v>
      </c>
      <c r="D60" s="134">
        <f>SUMPRODUCT(-('Gastos Gerais'!$B$4:$B$3632=Analítico!$B60),-(Analítico!D$3&gt;='Gastos Gerais'!$D$4:$D$3632),-(Analítico!D$3&lt;='Gastos Gerais'!$E$4:$E$3632),-('Gastos Gerais'!$C$4:$C$3632))</f>
        <v>142225.52000000002</v>
      </c>
      <c r="E60" s="134">
        <f>SUMPRODUCT(-('Gastos Gerais'!$B$4:$B$3632=Analítico!$B60),-(Analítico!E$3&gt;='Gastos Gerais'!$D$4:$D$3632),-(Analítico!E$3&lt;='Gastos Gerais'!$E$4:$E$3632),-('Gastos Gerais'!$C$4:$C$3632))</f>
        <v>142225.52000000002</v>
      </c>
      <c r="F60" s="134">
        <f>SUMPRODUCT(-('Gastos Gerais'!$B$4:$B$3632=Analítico!$B60),-(Analítico!F$3&gt;='Gastos Gerais'!$D$4:$D$3632),-(Analítico!F$3&lt;='Gastos Gerais'!$E$4:$E$3632),-('Gastos Gerais'!$C$4:$C$3632))</f>
        <v>142225.52000000002</v>
      </c>
      <c r="G60" s="134">
        <f>SUMPRODUCT(-('Gastos Gerais'!$B$4:$B$3632=Analítico!$B60),-(Analítico!G$3&gt;='Gastos Gerais'!$D$4:$D$3632),-(Analítico!G$3&lt;='Gastos Gerais'!$E$4:$E$3632),-('Gastos Gerais'!$C$4:$C$3632))</f>
        <v>142225.52000000002</v>
      </c>
      <c r="H60" s="134">
        <f>SUMPRODUCT(-('Gastos Gerais'!$B$4:$B$3632=Analítico!$B60),-(Analítico!H$3&gt;='Gastos Gerais'!$D$4:$D$3632),-(Analítico!H$3&lt;='Gastos Gerais'!$E$4:$E$3632),-('Gastos Gerais'!$C$4:$C$3632))</f>
        <v>142225.52000000002</v>
      </c>
      <c r="I60" s="134">
        <f>SUMPRODUCT(-('Gastos Gerais'!$B$4:$B$3632=Analítico!$B60),-(Analítico!I$3&gt;='Gastos Gerais'!$D$4:$D$3632),-(Analítico!I$3&lt;='Gastos Gerais'!$E$4:$E$3632),-('Gastos Gerais'!$C$4:$C$3632))</f>
        <v>142225.52000000002</v>
      </c>
      <c r="J60" s="134">
        <f>SUMPRODUCT(-('Gastos Gerais'!$B$4:$B$3632=Analítico!$B60),-(Analítico!J$3&gt;='Gastos Gerais'!$D$4:$D$3632),-(Analítico!J$3&lt;='Gastos Gerais'!$E$4:$E$3632),-('Gastos Gerais'!$C$4:$C$3632))</f>
        <v>142225.52000000002</v>
      </c>
      <c r="K60" s="134">
        <f>SUMPRODUCT(-('Gastos Gerais'!$B$4:$B$3632=Analítico!$B60),-(Analítico!K$3&gt;='Gastos Gerais'!$D$4:$D$3632),-(Analítico!K$3&lt;='Gastos Gerais'!$E$4:$E$3632),-('Gastos Gerais'!$C$4:$C$3632))</f>
        <v>142225.52000000002</v>
      </c>
      <c r="L60" s="134">
        <f>SUMPRODUCT(-('Gastos Gerais'!$B$4:$B$3632=Analítico!$B60),-(Analítico!L$3&gt;='Gastos Gerais'!$D$4:$D$3632),-(Analítico!L$3&lt;='Gastos Gerais'!$E$4:$E$3632),-('Gastos Gerais'!$C$4:$C$3632))</f>
        <v>142225.52000000002</v>
      </c>
      <c r="M60" s="134">
        <f>SUMPRODUCT(-('Gastos Gerais'!$B$4:$B$3632=Analítico!$B60),-(Analítico!M$3&gt;='Gastos Gerais'!$D$4:$D$3632),-(Analítico!M$3&lt;='Gastos Gerais'!$E$4:$E$3632),-('Gastos Gerais'!$C$4:$C$3632))</f>
        <v>150725.52000000002</v>
      </c>
      <c r="N60" s="134">
        <f>SUMPRODUCT(-('Gastos Gerais'!$B$4:$B$3632=Analítico!$B60),-(Analítico!N$3&gt;='Gastos Gerais'!$D$4:$D$3632),-(Analítico!N$3&lt;='Gastos Gerais'!$E$4:$E$3632),-('Gastos Gerais'!$C$4:$C$3632))</f>
        <v>150725.52000000002</v>
      </c>
      <c r="O60" s="134">
        <f>SUMPRODUCT(-('Gastos Gerais'!$B$4:$B$3632=Analítico!$B60),-(Analítico!O$3&gt;='Gastos Gerais'!$D$4:$D$3632),-(Analítico!O$3&lt;='Gastos Gerais'!$E$4:$E$3632),-('Gastos Gerais'!$C$4:$C$3632))</f>
        <v>162725.52000000002</v>
      </c>
      <c r="P60" s="134">
        <f>SUMPRODUCT(-('Gastos Gerais'!$B$4:$B$3632=Analítico!$B60),-(Analítico!P$3&gt;='Gastos Gerais'!$D$4:$D$3632),-(Analítico!P$3&lt;='Gastos Gerais'!$E$4:$E$3632),-('Gastos Gerais'!$C$4:$C$3632))</f>
        <v>173287.38999999998</v>
      </c>
      <c r="Q60" s="134">
        <f>SUMPRODUCT(-('Gastos Gerais'!$B$4:$B$3632=Analítico!$B60),-(Analítico!Q$3&gt;='Gastos Gerais'!$D$4:$D$3632),-(Analítico!Q$3&lt;='Gastos Gerais'!$E$4:$E$3632),-('Gastos Gerais'!$C$4:$C$3632))</f>
        <v>173287.38999999998</v>
      </c>
      <c r="R60" s="134">
        <f>SUMPRODUCT(-('Gastos Gerais'!$B$4:$B$3632=Analítico!$B60),-(Analítico!R$3&gt;='Gastos Gerais'!$D$4:$D$3632),-(Analítico!R$3&lt;='Gastos Gerais'!$E$4:$E$3632),-('Gastos Gerais'!$C$4:$C$3632))</f>
        <v>173287.38999999998</v>
      </c>
      <c r="S60" s="134">
        <f>SUMPRODUCT(-('Gastos Gerais'!$B$4:$B$3632=Analítico!$B60),-(Analítico!S$3&gt;='Gastos Gerais'!$D$4:$D$3632),-(Analítico!S$3&lt;='Gastos Gerais'!$E$4:$E$3632),-('Gastos Gerais'!$C$4:$C$3632))</f>
        <v>173287.38999999998</v>
      </c>
      <c r="T60" s="134">
        <f>SUMPRODUCT(-('Gastos Gerais'!$B$4:$B$3632=Analítico!$B60),-(Analítico!T$3&gt;='Gastos Gerais'!$D$4:$D$3632),-(Analítico!T$3&lt;='Gastos Gerais'!$E$4:$E$3632),-('Gastos Gerais'!$C$4:$C$3632))</f>
        <v>173287.38999999998</v>
      </c>
      <c r="U60" s="134">
        <f>SUMPRODUCT(-('Gastos Gerais'!$B$4:$B$3632=Analítico!$B60),-(Analítico!U$3&gt;='Gastos Gerais'!$D$4:$D$3632),-(Analítico!U$3&lt;='Gastos Gerais'!$E$4:$E$3632),-('Gastos Gerais'!$C$4:$C$3632))</f>
        <v>173287.38999999998</v>
      </c>
      <c r="V60" s="134">
        <f>SUMPRODUCT(-('Gastos Gerais'!$B$4:$B$3632=Analítico!$B60),-(Analítico!V$3&gt;='Gastos Gerais'!$D$4:$D$3632),-(Analítico!V$3&lt;='Gastos Gerais'!$E$4:$E$3632),-('Gastos Gerais'!$C$4:$C$3632))</f>
        <v>173287.38999999998</v>
      </c>
      <c r="W60" s="134">
        <f>SUMPRODUCT(-('Gastos Gerais'!$B$4:$B$3632=Analítico!$B60),-(Analítico!W$3&gt;='Gastos Gerais'!$D$4:$D$3632),-(Analítico!W$3&lt;='Gastos Gerais'!$E$4:$E$3632),-('Gastos Gerais'!$C$4:$C$3632))</f>
        <v>173287.38999999998</v>
      </c>
      <c r="X60" s="134">
        <f>SUMPRODUCT(-('Gastos Gerais'!$B$4:$B$3632=Analítico!$B60),-(Analítico!X$3&gt;='Gastos Gerais'!$D$4:$D$3632),-(Analítico!X$3&lt;='Gastos Gerais'!$E$4:$E$3632),-('Gastos Gerais'!$C$4:$C$3632))</f>
        <v>173287.38999999998</v>
      </c>
      <c r="Y60" s="134">
        <f>SUMPRODUCT(-('Gastos Gerais'!$B$4:$B$3632=Analítico!$B60),-(Analítico!Y$3&gt;='Gastos Gerais'!$D$4:$D$3632),-(Analítico!Y$3&lt;='Gastos Gerais'!$E$4:$E$3632),-('Gastos Gerais'!$C$4:$C$3632))</f>
        <v>173287.38999999998</v>
      </c>
      <c r="Z60" s="134">
        <f>SUMPRODUCT(-('Gastos Gerais'!$B$4:$B$3632=Analítico!$B60),-(Analítico!Z$3&gt;='Gastos Gerais'!$D$4:$D$3632),-(Analítico!Z$3&lt;='Gastos Gerais'!$E$4:$E$3632),-('Gastos Gerais'!$C$4:$C$3632))</f>
        <v>173287.38999999998</v>
      </c>
      <c r="AA60" s="134">
        <f>SUMPRODUCT(-('Gastos Gerais'!$B$4:$B$3632=Analítico!$B60),-(Analítico!AA$3&gt;='Gastos Gerais'!$D$4:$D$3632),-(Analítico!AA$3&lt;='Gastos Gerais'!$E$4:$E$3632),-('Gastos Gerais'!$C$4:$C$3632))</f>
        <v>173287.38999999998</v>
      </c>
      <c r="AB60" s="134">
        <f>SUMPRODUCT(-('Gastos Gerais'!$B$4:$B$3632=Analítico!$B60),-(Analítico!AB$3&gt;='Gastos Gerais'!$D$4:$D$3632),-(Analítico!AB$3&lt;='Gastos Gerais'!$E$4:$E$3632),-('Gastos Gerais'!$C$4:$C$3632))</f>
        <v>183406.88000000003</v>
      </c>
      <c r="AC60" s="134">
        <f>SUMPRODUCT(-('Gastos Gerais'!$B$4:$B$3632=Analítico!$B60),-(Analítico!AC$3&gt;='Gastos Gerais'!$D$4:$D$3632),-(Analítico!AC$3&lt;='Gastos Gerais'!$E$4:$E$3632),-('Gastos Gerais'!$C$4:$C$3632))</f>
        <v>175005.30000000002</v>
      </c>
      <c r="AD60" s="134">
        <f>SUMPRODUCT(-('Gastos Gerais'!$B$4:$B$3632=Analítico!$B60),-(Analítico!AD$3&gt;='Gastos Gerais'!$D$4:$D$3632),-(Analítico!AD$3&lt;='Gastos Gerais'!$E$4:$E$3632),-('Gastos Gerais'!$C$4:$C$3632))</f>
        <v>175005.30000000002</v>
      </c>
      <c r="AE60" s="134">
        <f>SUMPRODUCT(-('Gastos Gerais'!$B$4:$B$3632=Analítico!$B60),-(Analítico!AE$3&gt;='Gastos Gerais'!$D$4:$D$3632),-(Analítico!AE$3&lt;='Gastos Gerais'!$E$4:$E$3632),-('Gastos Gerais'!$C$4:$C$3632))</f>
        <v>175005.30000000002</v>
      </c>
      <c r="AF60" s="134">
        <f>SUMPRODUCT(-('Gastos Gerais'!$B$4:$B$3632=Analítico!$B60),-(Analítico!AF$3&gt;='Gastos Gerais'!$D$4:$D$3632),-(Analítico!AF$3&lt;='Gastos Gerais'!$E$4:$E$3632),-('Gastos Gerais'!$C$4:$C$3632))</f>
        <v>175005.30000000002</v>
      </c>
      <c r="AG60" s="134">
        <f>SUMPRODUCT(-('Gastos Gerais'!$B$4:$B$3632=Analítico!$B60),-(Analítico!AG$3&gt;='Gastos Gerais'!$D$4:$D$3632),-(Analítico!AG$3&lt;='Gastos Gerais'!$E$4:$E$3632),-('Gastos Gerais'!$C$4:$C$3632))</f>
        <v>175005.30000000002</v>
      </c>
      <c r="AH60" s="134">
        <f>SUMPRODUCT(-('Gastos Gerais'!$B$4:$B$3632=Analítico!$B60),-(Analítico!AH$3&gt;='Gastos Gerais'!$D$4:$D$3632),-(Analítico!AH$3&lt;='Gastos Gerais'!$E$4:$E$3632),-('Gastos Gerais'!$C$4:$C$3632))</f>
        <v>175005.30000000002</v>
      </c>
      <c r="AI60" s="134">
        <f>SUMPRODUCT(-('Gastos Gerais'!$B$4:$B$3632=Analítico!$B60),-(Analítico!AI$3&gt;='Gastos Gerais'!$D$4:$D$3632),-(Analítico!AI$3&lt;='Gastos Gerais'!$E$4:$E$3632),-('Gastos Gerais'!$C$4:$C$3632))</f>
        <v>175005.30000000002</v>
      </c>
      <c r="AJ60" s="134">
        <f>SUMPRODUCT(-('Gastos Gerais'!$B$4:$B$3632=Analítico!$B60),-(Analítico!AJ$3&gt;='Gastos Gerais'!$D$4:$D$3632),-(Analítico!AJ$3&lt;='Gastos Gerais'!$E$4:$E$3632),-('Gastos Gerais'!$C$4:$C$3632))</f>
        <v>175005.30000000002</v>
      </c>
      <c r="AK60" s="134">
        <f>SUMPRODUCT(-('Gastos Gerais'!$B$4:$B$3632=Analítico!$B60),-(Analítico!AK$3&gt;='Gastos Gerais'!$D$4:$D$3632),-(Analítico!AK$3&lt;='Gastos Gerais'!$E$4:$E$3632),-('Gastos Gerais'!$C$4:$C$3632))</f>
        <v>175005.30000000002</v>
      </c>
      <c r="AL60" s="134">
        <f>SUMPRODUCT(-('Gastos Gerais'!$B$4:$B$3632=Analítico!$B60),-(Analítico!AL$3&gt;='Gastos Gerais'!$D$4:$D$3632),-(Analítico!AL$3&lt;='Gastos Gerais'!$E$4:$E$3632),-('Gastos Gerais'!$C$4:$C$3632))</f>
        <v>175005.30000000002</v>
      </c>
      <c r="AM60" s="134">
        <f>SUMPRODUCT(-('Gastos Gerais'!$B$4:$B$3632=Analítico!$B60),-(Analítico!AM$3&gt;='Gastos Gerais'!$D$4:$D$3632),-(Analítico!AM$3&lt;='Gastos Gerais'!$E$4:$E$3632),-('Gastos Gerais'!$C$4:$C$3632))</f>
        <v>175005.30000000002</v>
      </c>
      <c r="AN60" s="134">
        <f>SUMPRODUCT(-('Gastos Gerais'!$B$4:$B$3632=Analítico!$B60),-(Analítico!AN$3&gt;='Gastos Gerais'!$D$4:$D$3632),-(Analítico!AN$3&lt;='Gastos Gerais'!$E$4:$E$3632),-('Gastos Gerais'!$C$4:$C$3632))</f>
        <v>194517.95999999993</v>
      </c>
      <c r="AO60" s="134">
        <f>SUMPRODUCT(-('Gastos Gerais'!$B$4:$B$3632=Analítico!$B60),-(Analítico!AO$3&gt;='Gastos Gerais'!$D$4:$D$3632),-(Analítico!AO$3&lt;='Gastos Gerais'!$E$4:$E$3632),-('Gastos Gerais'!$C$4:$C$3632))</f>
        <v>194517.95999999993</v>
      </c>
      <c r="AP60" s="134">
        <f>SUMPRODUCT(-('Gastos Gerais'!$B$4:$B$3632=Analítico!$B60),-(Analítico!AP$3&gt;='Gastos Gerais'!$D$4:$D$3632),-(Analítico!AP$3&lt;='Gastos Gerais'!$E$4:$E$3632),-('Gastos Gerais'!$C$4:$C$3632))</f>
        <v>194517.95999999993</v>
      </c>
      <c r="AQ60" s="134">
        <f>SUMPRODUCT(-('Gastos Gerais'!$B$4:$B$3632=Analítico!$B60),-(Analítico!AQ$3&gt;='Gastos Gerais'!$D$4:$D$3632),-(Analítico!AQ$3&lt;='Gastos Gerais'!$E$4:$E$3632),-('Gastos Gerais'!$C$4:$C$3632))</f>
        <v>194517.95999999993</v>
      </c>
      <c r="AR60" s="134">
        <f>SUMPRODUCT(-('Gastos Gerais'!$B$4:$B$3632=Analítico!$B60),-(Analítico!AR$3&gt;='Gastos Gerais'!$D$4:$D$3632),-(Analítico!AR$3&lt;='Gastos Gerais'!$E$4:$E$3632),-('Gastos Gerais'!$C$4:$C$3632))</f>
        <v>194517.95999999993</v>
      </c>
      <c r="AS60" s="134">
        <f>SUMPRODUCT(-('Gastos Gerais'!$B$4:$B$3632=Analítico!$B60),-(Analítico!AS$3&gt;='Gastos Gerais'!$D$4:$D$3632),-(Analítico!AS$3&lt;='Gastos Gerais'!$E$4:$E$3632),-('Gastos Gerais'!$C$4:$C$3632))</f>
        <v>194517.95999999993</v>
      </c>
      <c r="AT60" s="134">
        <f>SUMPRODUCT(-('Gastos Gerais'!$B$4:$B$3632=Analítico!$B60),-(Analítico!AT$3&gt;='Gastos Gerais'!$D$4:$D$3632),-(Analítico!AT$3&lt;='Gastos Gerais'!$E$4:$E$3632),-('Gastos Gerais'!$C$4:$C$3632))</f>
        <v>194517.95999999993</v>
      </c>
      <c r="AU60" s="134">
        <f>SUMPRODUCT(-('Gastos Gerais'!$B$4:$B$3632=Analítico!$B60),-(Analítico!AU$3&gt;='Gastos Gerais'!$D$4:$D$3632),-(Analítico!AU$3&lt;='Gastos Gerais'!$E$4:$E$3632),-('Gastos Gerais'!$C$4:$C$3632))</f>
        <v>194517.95999999993</v>
      </c>
      <c r="AV60" s="134">
        <f>SUMPRODUCT(-('Gastos Gerais'!$B$4:$B$3632=Analítico!$B60),-(Analítico!AV$3&gt;='Gastos Gerais'!$D$4:$D$3632),-(Analítico!AV$3&lt;='Gastos Gerais'!$E$4:$E$3632),-('Gastos Gerais'!$C$4:$C$3632))</f>
        <v>194517.95999999993</v>
      </c>
      <c r="AW60" s="134">
        <f>SUMPRODUCT(-('Gastos Gerais'!$B$4:$B$3632=Analítico!$B60),-(Analítico!AW$3&gt;='Gastos Gerais'!$D$4:$D$3632),-(Analítico!AW$3&lt;='Gastos Gerais'!$E$4:$E$3632),-('Gastos Gerais'!$C$4:$C$3632))</f>
        <v>194517.95999999993</v>
      </c>
      <c r="AX60" s="134">
        <f>SUMPRODUCT(-('Gastos Gerais'!$B$4:$B$3632=Analítico!$B60),-(Analítico!AX$3&gt;='Gastos Gerais'!$D$4:$D$3632),-(Analítico!AX$3&lt;='Gastos Gerais'!$E$4:$E$3632),-('Gastos Gerais'!$C$4:$C$3632))</f>
        <v>194517.95999999993</v>
      </c>
      <c r="AY60" s="134">
        <f>SUMPRODUCT(-('Gastos Gerais'!$B$4:$B$3632=Analítico!$B60),-(Analítico!AY$3&gt;='Gastos Gerais'!$D$4:$D$3632),-(Analítico!AY$3&lt;='Gastos Gerais'!$E$4:$E$3632),-('Gastos Gerais'!$C$4:$C$3632))</f>
        <v>194517.95999999993</v>
      </c>
      <c r="AZ60" s="134">
        <f>SUMPRODUCT(-('Gastos Gerais'!$B$4:$B$3632=Analítico!$B60),-(Analítico!AZ$3&gt;='Gastos Gerais'!$D$4:$D$3632),-(Analítico!AZ$3&lt;='Gastos Gerais'!$E$4:$E$3632),-('Gastos Gerais'!$C$4:$C$3632))</f>
        <v>205877.84</v>
      </c>
      <c r="BA60" s="134">
        <f>SUMPRODUCT(-('Gastos Gerais'!$B$4:$B$3632=Analítico!$B60),-(Analítico!BA$3&gt;='Gastos Gerais'!$D$4:$D$3632),-(Analítico!BA$3&lt;='Gastos Gerais'!$E$4:$E$3632),-('Gastos Gerais'!$C$4:$C$3632))</f>
        <v>205877.84</v>
      </c>
      <c r="BB60" s="134">
        <f>SUMPRODUCT(-('Gastos Gerais'!$B$4:$B$3632=Analítico!$B60),-(Analítico!BB$3&gt;='Gastos Gerais'!$D$4:$D$3632),-(Analítico!BB$3&lt;='Gastos Gerais'!$E$4:$E$3632),-('Gastos Gerais'!$C$4:$C$3632))</f>
        <v>205877.84</v>
      </c>
      <c r="BC60" s="134">
        <f>SUMPRODUCT(-('Gastos Gerais'!$B$4:$B$3632=Analítico!$B60),-(Analítico!BC$3&gt;='Gastos Gerais'!$D$4:$D$3632),-(Analítico!BC$3&lt;='Gastos Gerais'!$E$4:$E$3632),-('Gastos Gerais'!$C$4:$C$3632))</f>
        <v>205877.84</v>
      </c>
      <c r="BD60" s="134">
        <f>SUMPRODUCT(-('Gastos Gerais'!$B$4:$B$3632=Analítico!$B60),-(Analítico!BD$3&gt;='Gastos Gerais'!$D$4:$D$3632),-(Analítico!BD$3&lt;='Gastos Gerais'!$E$4:$E$3632),-('Gastos Gerais'!$C$4:$C$3632))</f>
        <v>205877.84</v>
      </c>
      <c r="BE60" s="134">
        <f>SUMPRODUCT(-('Gastos Gerais'!$B$4:$B$3632=Analítico!$B60),-(Analítico!BE$3&gt;='Gastos Gerais'!$D$4:$D$3632),-(Analítico!BE$3&lt;='Gastos Gerais'!$E$4:$E$3632),-('Gastos Gerais'!$C$4:$C$3632))</f>
        <v>205877.84</v>
      </c>
      <c r="BF60" s="134">
        <f>SUMPRODUCT(-('Gastos Gerais'!$B$4:$B$3632=Analítico!$B60),-(Analítico!BF$3&gt;='Gastos Gerais'!$D$4:$D$3632),-(Analítico!BF$3&lt;='Gastos Gerais'!$E$4:$E$3632),-('Gastos Gerais'!$C$4:$C$3632))</f>
        <v>205877.84</v>
      </c>
      <c r="BG60" s="134">
        <f>SUMPRODUCT(-('Gastos Gerais'!$B$4:$B$3632=Analítico!$B60),-(Analítico!BG$3&gt;='Gastos Gerais'!$D$4:$D$3632),-(Analítico!BG$3&lt;='Gastos Gerais'!$E$4:$E$3632),-('Gastos Gerais'!$C$4:$C$3632))</f>
        <v>205877.84</v>
      </c>
      <c r="BH60" s="134">
        <f>SUMPRODUCT(-('Gastos Gerais'!$B$4:$B$3632=Analítico!$B60),-(Analítico!BH$3&gt;='Gastos Gerais'!$D$4:$D$3632),-(Analítico!BH$3&lt;='Gastos Gerais'!$E$4:$E$3632),-('Gastos Gerais'!$C$4:$C$3632))</f>
        <v>205877.84</v>
      </c>
      <c r="BI60" s="134">
        <f>SUMPRODUCT(-('Gastos Gerais'!$B$4:$B$3632=Analítico!$B60),-(Analítico!BI$3&gt;='Gastos Gerais'!$D$4:$D$3632),-(Analítico!BI$3&lt;='Gastos Gerais'!$E$4:$E$3632),-('Gastos Gerais'!$C$4:$C$3632))</f>
        <v>205877.84</v>
      </c>
      <c r="BJ60" s="134">
        <f>SUMPRODUCT(-('Gastos Gerais'!$B$4:$B$3632=Analítico!$B60),-(Analítico!BJ$3&gt;='Gastos Gerais'!$D$4:$D$3632),-(Analítico!BJ$3&lt;='Gastos Gerais'!$E$4:$E$3632),-('Gastos Gerais'!$C$4:$C$3632))</f>
        <v>205877.84</v>
      </c>
      <c r="BK60" s="189">
        <f t="shared" ref="BK60:BK91" si="37">SUM(C60:BJ60)</f>
        <v>10567960.595999997</v>
      </c>
      <c r="BL60" s="136">
        <f t="shared" ref="BL60:BL91" ca="1" si="38">IF($BK$152=0,0,BK60/$BK$152)</f>
        <v>3.1585571519514612E-2</v>
      </c>
      <c r="BN60" s="134">
        <f>SUMPRODUCT(-('Gastos Gerais'!$B$4:$B$3632=Analítico!$B60),-(Analítico!BN$3&gt;='Gastos Gerais'!$D$4:$D$3632),-(Analítico!BN$3&lt;='Gastos Gerais'!$E$4:$E$3632),-('Gastos Gerais'!$C$4:$C$3632))</f>
        <v>123229.12</v>
      </c>
    </row>
    <row r="61" spans="1:66" s="160" customFormat="1" ht="23.25" customHeight="1">
      <c r="A61" s="229" t="s">
        <v>199</v>
      </c>
      <c r="B61" s="230" t="s">
        <v>200</v>
      </c>
      <c r="C61" s="188">
        <f t="shared" si="36"/>
        <v>594</v>
      </c>
      <c r="D61" s="134">
        <f>SUMPRODUCT(-('Gastos Gerais'!$B$4:$B$3632=Analítico!$B61),-(Analítico!D$3&gt;='Gastos Gerais'!$D$4:$D$3632),-(Analítico!D$3&lt;='Gastos Gerais'!$E$4:$E$3632),-('Gastos Gerais'!$C$4:$C$3632))</f>
        <v>1980</v>
      </c>
      <c r="E61" s="134">
        <f>SUMPRODUCT(-('Gastos Gerais'!$B$4:$B$3632=Analítico!$B61),-(Analítico!E$3&gt;='Gastos Gerais'!$D$4:$D$3632),-(Analítico!E$3&lt;='Gastos Gerais'!$E$4:$E$3632),-('Gastos Gerais'!$C$4:$C$3632))</f>
        <v>1980</v>
      </c>
      <c r="F61" s="134">
        <f>SUMPRODUCT(-('Gastos Gerais'!$B$4:$B$3632=Analítico!$B61),-(Analítico!F$3&gt;='Gastos Gerais'!$D$4:$D$3632),-(Analítico!F$3&lt;='Gastos Gerais'!$E$4:$E$3632),-('Gastos Gerais'!$C$4:$C$3632))</f>
        <v>1980</v>
      </c>
      <c r="G61" s="134">
        <f>SUMPRODUCT(-('Gastos Gerais'!$B$4:$B$3632=Analítico!$B61),-(Analítico!G$3&gt;='Gastos Gerais'!$D$4:$D$3632),-(Analítico!G$3&lt;='Gastos Gerais'!$E$4:$E$3632),-('Gastos Gerais'!$C$4:$C$3632))</f>
        <v>1980</v>
      </c>
      <c r="H61" s="134">
        <f>SUMPRODUCT(-('Gastos Gerais'!$B$4:$B$3632=Analítico!$B61),-(Analítico!H$3&gt;='Gastos Gerais'!$D$4:$D$3632),-(Analítico!H$3&lt;='Gastos Gerais'!$E$4:$E$3632),-('Gastos Gerais'!$C$4:$C$3632))</f>
        <v>1980</v>
      </c>
      <c r="I61" s="134">
        <f>SUMPRODUCT(-('Gastos Gerais'!$B$4:$B$3632=Analítico!$B61),-(Analítico!I$3&gt;='Gastos Gerais'!$D$4:$D$3632),-(Analítico!I$3&lt;='Gastos Gerais'!$E$4:$E$3632),-('Gastos Gerais'!$C$4:$C$3632))</f>
        <v>1980</v>
      </c>
      <c r="J61" s="134">
        <f>SUMPRODUCT(-('Gastos Gerais'!$B$4:$B$3632=Analítico!$B61),-(Analítico!J$3&gt;='Gastos Gerais'!$D$4:$D$3632),-(Analítico!J$3&lt;='Gastos Gerais'!$E$4:$E$3632),-('Gastos Gerais'!$C$4:$C$3632))</f>
        <v>1980</v>
      </c>
      <c r="K61" s="134">
        <f>SUMPRODUCT(-('Gastos Gerais'!$B$4:$B$3632=Analítico!$B61),-(Analítico!K$3&gt;='Gastos Gerais'!$D$4:$D$3632),-(Analítico!K$3&lt;='Gastos Gerais'!$E$4:$E$3632),-('Gastos Gerais'!$C$4:$C$3632))</f>
        <v>1980</v>
      </c>
      <c r="L61" s="134">
        <f>SUMPRODUCT(-('Gastos Gerais'!$B$4:$B$3632=Analítico!$B61),-(Analítico!L$3&gt;='Gastos Gerais'!$D$4:$D$3632),-(Analítico!L$3&lt;='Gastos Gerais'!$E$4:$E$3632),-('Gastos Gerais'!$C$4:$C$3632))</f>
        <v>1980</v>
      </c>
      <c r="M61" s="134">
        <f>SUMPRODUCT(-('Gastos Gerais'!$B$4:$B$3632=Analítico!$B61),-(Analítico!M$3&gt;='Gastos Gerais'!$D$4:$D$3632),-(Analítico!M$3&lt;='Gastos Gerais'!$E$4:$E$3632),-('Gastos Gerais'!$C$4:$C$3632))</f>
        <v>1980</v>
      </c>
      <c r="N61" s="134">
        <f>SUMPRODUCT(-('Gastos Gerais'!$B$4:$B$3632=Analítico!$B61),-(Analítico!N$3&gt;='Gastos Gerais'!$D$4:$D$3632),-(Analítico!N$3&lt;='Gastos Gerais'!$E$4:$E$3632),-('Gastos Gerais'!$C$4:$C$3632))</f>
        <v>1980</v>
      </c>
      <c r="O61" s="134">
        <f>SUMPRODUCT(-('Gastos Gerais'!$B$4:$B$3632=Analítico!$B61),-(Analítico!O$3&gt;='Gastos Gerais'!$D$4:$D$3632),-(Analítico!O$3&lt;='Gastos Gerais'!$E$4:$E$3632),-('Gastos Gerais'!$C$4:$C$3632))</f>
        <v>1980</v>
      </c>
      <c r="P61" s="134">
        <f>SUMPRODUCT(-('Gastos Gerais'!$B$4:$B$3632=Analítico!$B61),-(Analítico!P$3&gt;='Gastos Gerais'!$D$4:$D$3632),-(Analítico!P$3&lt;='Gastos Gerais'!$E$4:$E$3632),-('Gastos Gerais'!$C$4:$C$3632))</f>
        <v>2095.63</v>
      </c>
      <c r="Q61" s="134">
        <f>SUMPRODUCT(-('Gastos Gerais'!$B$4:$B$3632=Analítico!$B61),-(Analítico!Q$3&gt;='Gastos Gerais'!$D$4:$D$3632),-(Analítico!Q$3&lt;='Gastos Gerais'!$E$4:$E$3632),-('Gastos Gerais'!$C$4:$C$3632))</f>
        <v>2095.63</v>
      </c>
      <c r="R61" s="134">
        <f>SUMPRODUCT(-('Gastos Gerais'!$B$4:$B$3632=Analítico!$B61),-(Analítico!R$3&gt;='Gastos Gerais'!$D$4:$D$3632),-(Analítico!R$3&lt;='Gastos Gerais'!$E$4:$E$3632),-('Gastos Gerais'!$C$4:$C$3632))</f>
        <v>2095.63</v>
      </c>
      <c r="S61" s="134">
        <f>SUMPRODUCT(-('Gastos Gerais'!$B$4:$B$3632=Analítico!$B61),-(Analítico!S$3&gt;='Gastos Gerais'!$D$4:$D$3632),-(Analítico!S$3&lt;='Gastos Gerais'!$E$4:$E$3632),-('Gastos Gerais'!$C$4:$C$3632))</f>
        <v>2095.63</v>
      </c>
      <c r="T61" s="134">
        <f>SUMPRODUCT(-('Gastos Gerais'!$B$4:$B$3632=Analítico!$B61),-(Analítico!T$3&gt;='Gastos Gerais'!$D$4:$D$3632),-(Analítico!T$3&lt;='Gastos Gerais'!$E$4:$E$3632),-('Gastos Gerais'!$C$4:$C$3632))</f>
        <v>2095.63</v>
      </c>
      <c r="U61" s="134">
        <f>SUMPRODUCT(-('Gastos Gerais'!$B$4:$B$3632=Analítico!$B61),-(Analítico!U$3&gt;='Gastos Gerais'!$D$4:$D$3632),-(Analítico!U$3&lt;='Gastos Gerais'!$E$4:$E$3632),-('Gastos Gerais'!$C$4:$C$3632))</f>
        <v>2095.63</v>
      </c>
      <c r="V61" s="134">
        <f>SUMPRODUCT(-('Gastos Gerais'!$B$4:$B$3632=Analítico!$B61),-(Analítico!V$3&gt;='Gastos Gerais'!$D$4:$D$3632),-(Analítico!V$3&lt;='Gastos Gerais'!$E$4:$E$3632),-('Gastos Gerais'!$C$4:$C$3632))</f>
        <v>2095.63</v>
      </c>
      <c r="W61" s="134">
        <f>SUMPRODUCT(-('Gastos Gerais'!$B$4:$B$3632=Analítico!$B61),-(Analítico!W$3&gt;='Gastos Gerais'!$D$4:$D$3632),-(Analítico!W$3&lt;='Gastos Gerais'!$E$4:$E$3632),-('Gastos Gerais'!$C$4:$C$3632))</f>
        <v>2095.63</v>
      </c>
      <c r="X61" s="134">
        <f>SUMPRODUCT(-('Gastos Gerais'!$B$4:$B$3632=Analítico!$B61),-(Analítico!X$3&gt;='Gastos Gerais'!$D$4:$D$3632),-(Analítico!X$3&lt;='Gastos Gerais'!$E$4:$E$3632),-('Gastos Gerais'!$C$4:$C$3632))</f>
        <v>2095.63</v>
      </c>
      <c r="Y61" s="134">
        <f>SUMPRODUCT(-('Gastos Gerais'!$B$4:$B$3632=Analítico!$B61),-(Analítico!Y$3&gt;='Gastos Gerais'!$D$4:$D$3632),-(Analítico!Y$3&lt;='Gastos Gerais'!$E$4:$E$3632),-('Gastos Gerais'!$C$4:$C$3632))</f>
        <v>2095.63</v>
      </c>
      <c r="Z61" s="134">
        <f>SUMPRODUCT(-('Gastos Gerais'!$B$4:$B$3632=Analítico!$B61),-(Analítico!Z$3&gt;='Gastos Gerais'!$D$4:$D$3632),-(Analítico!Z$3&lt;='Gastos Gerais'!$E$4:$E$3632),-('Gastos Gerais'!$C$4:$C$3632))</f>
        <v>2095.63</v>
      </c>
      <c r="AA61" s="134">
        <f>SUMPRODUCT(-('Gastos Gerais'!$B$4:$B$3632=Analítico!$B61),-(Analítico!AA$3&gt;='Gastos Gerais'!$D$4:$D$3632),-(Analítico!AA$3&lt;='Gastos Gerais'!$E$4:$E$3632),-('Gastos Gerais'!$C$4:$C$3632))</f>
        <v>2095.63</v>
      </c>
      <c r="AB61" s="134">
        <f>SUMPRODUCT(-('Gastos Gerais'!$B$4:$B$3632=Analítico!$B61),-(Analítico!AB$3&gt;='Gastos Gerais'!$D$4:$D$3632),-(Analítico!AB$3&lt;='Gastos Gerais'!$E$4:$E$3632),-('Gastos Gerais'!$C$4:$C$3632))</f>
        <v>2218.0100000000002</v>
      </c>
      <c r="AC61" s="134">
        <f>SUMPRODUCT(-('Gastos Gerais'!$B$4:$B$3632=Analítico!$B61),-(Analítico!AC$3&gt;='Gastos Gerais'!$D$4:$D$3632),-(Analítico!AC$3&lt;='Gastos Gerais'!$E$4:$E$3632),-('Gastos Gerais'!$C$4:$C$3632))</f>
        <v>2218.0100000000002</v>
      </c>
      <c r="AD61" s="134">
        <f>SUMPRODUCT(-('Gastos Gerais'!$B$4:$B$3632=Analítico!$B61),-(Analítico!AD$3&gt;='Gastos Gerais'!$D$4:$D$3632),-(Analítico!AD$3&lt;='Gastos Gerais'!$E$4:$E$3632),-('Gastos Gerais'!$C$4:$C$3632))</f>
        <v>2218.0100000000002</v>
      </c>
      <c r="AE61" s="134">
        <f>SUMPRODUCT(-('Gastos Gerais'!$B$4:$B$3632=Analítico!$B61),-(Analítico!AE$3&gt;='Gastos Gerais'!$D$4:$D$3632),-(Analítico!AE$3&lt;='Gastos Gerais'!$E$4:$E$3632),-('Gastos Gerais'!$C$4:$C$3632))</f>
        <v>2218.0100000000002</v>
      </c>
      <c r="AF61" s="134">
        <f>SUMPRODUCT(-('Gastos Gerais'!$B$4:$B$3632=Analítico!$B61),-(Analítico!AF$3&gt;='Gastos Gerais'!$D$4:$D$3632),-(Analítico!AF$3&lt;='Gastos Gerais'!$E$4:$E$3632),-('Gastos Gerais'!$C$4:$C$3632))</f>
        <v>2218.0100000000002</v>
      </c>
      <c r="AG61" s="134">
        <f>SUMPRODUCT(-('Gastos Gerais'!$B$4:$B$3632=Analítico!$B61),-(Analítico!AG$3&gt;='Gastos Gerais'!$D$4:$D$3632),-(Analítico!AG$3&lt;='Gastos Gerais'!$E$4:$E$3632),-('Gastos Gerais'!$C$4:$C$3632))</f>
        <v>2218.0100000000002</v>
      </c>
      <c r="AH61" s="134">
        <f>SUMPRODUCT(-('Gastos Gerais'!$B$4:$B$3632=Analítico!$B61),-(Analítico!AH$3&gt;='Gastos Gerais'!$D$4:$D$3632),-(Analítico!AH$3&lt;='Gastos Gerais'!$E$4:$E$3632),-('Gastos Gerais'!$C$4:$C$3632))</f>
        <v>2218.0100000000002</v>
      </c>
      <c r="AI61" s="134">
        <f>SUMPRODUCT(-('Gastos Gerais'!$B$4:$B$3632=Analítico!$B61),-(Analítico!AI$3&gt;='Gastos Gerais'!$D$4:$D$3632),-(Analítico!AI$3&lt;='Gastos Gerais'!$E$4:$E$3632),-('Gastos Gerais'!$C$4:$C$3632))</f>
        <v>2218.0100000000002</v>
      </c>
      <c r="AJ61" s="134">
        <f>SUMPRODUCT(-('Gastos Gerais'!$B$4:$B$3632=Analítico!$B61),-(Analítico!AJ$3&gt;='Gastos Gerais'!$D$4:$D$3632),-(Analítico!AJ$3&lt;='Gastos Gerais'!$E$4:$E$3632),-('Gastos Gerais'!$C$4:$C$3632))</f>
        <v>2218.0100000000002</v>
      </c>
      <c r="AK61" s="134">
        <f>SUMPRODUCT(-('Gastos Gerais'!$B$4:$B$3632=Analítico!$B61),-(Analítico!AK$3&gt;='Gastos Gerais'!$D$4:$D$3632),-(Analítico!AK$3&lt;='Gastos Gerais'!$E$4:$E$3632),-('Gastos Gerais'!$C$4:$C$3632))</f>
        <v>2218.0100000000002</v>
      </c>
      <c r="AL61" s="134">
        <f>SUMPRODUCT(-('Gastos Gerais'!$B$4:$B$3632=Analítico!$B61),-(Analítico!AL$3&gt;='Gastos Gerais'!$D$4:$D$3632),-(Analítico!AL$3&lt;='Gastos Gerais'!$E$4:$E$3632),-('Gastos Gerais'!$C$4:$C$3632))</f>
        <v>2218.0100000000002</v>
      </c>
      <c r="AM61" s="134">
        <f>SUMPRODUCT(-('Gastos Gerais'!$B$4:$B$3632=Analítico!$B61),-(Analítico!AM$3&gt;='Gastos Gerais'!$D$4:$D$3632),-(Analítico!AM$3&lt;='Gastos Gerais'!$E$4:$E$3632),-('Gastos Gerais'!$C$4:$C$3632))</f>
        <v>2218.0100000000002</v>
      </c>
      <c r="AN61" s="134">
        <f>SUMPRODUCT(-('Gastos Gerais'!$B$4:$B$3632=Analítico!$B61),-(Analítico!AN$3&gt;='Gastos Gerais'!$D$4:$D$3632),-(Analítico!AN$3&lt;='Gastos Gerais'!$E$4:$E$3632),-('Gastos Gerais'!$C$4:$C$3632))</f>
        <v>2347.54</v>
      </c>
      <c r="AO61" s="134">
        <f>SUMPRODUCT(-('Gastos Gerais'!$B$4:$B$3632=Analítico!$B61),-(Analítico!AO$3&gt;='Gastos Gerais'!$D$4:$D$3632),-(Analítico!AO$3&lt;='Gastos Gerais'!$E$4:$E$3632),-('Gastos Gerais'!$C$4:$C$3632))</f>
        <v>2347.54</v>
      </c>
      <c r="AP61" s="134">
        <f>SUMPRODUCT(-('Gastos Gerais'!$B$4:$B$3632=Analítico!$B61),-(Analítico!AP$3&gt;='Gastos Gerais'!$D$4:$D$3632),-(Analítico!AP$3&lt;='Gastos Gerais'!$E$4:$E$3632),-('Gastos Gerais'!$C$4:$C$3632))</f>
        <v>2347.54</v>
      </c>
      <c r="AQ61" s="134">
        <f>SUMPRODUCT(-('Gastos Gerais'!$B$4:$B$3632=Analítico!$B61),-(Analítico!AQ$3&gt;='Gastos Gerais'!$D$4:$D$3632),-(Analítico!AQ$3&lt;='Gastos Gerais'!$E$4:$E$3632),-('Gastos Gerais'!$C$4:$C$3632))</f>
        <v>2347.54</v>
      </c>
      <c r="AR61" s="134">
        <f>SUMPRODUCT(-('Gastos Gerais'!$B$4:$B$3632=Analítico!$B61),-(Analítico!AR$3&gt;='Gastos Gerais'!$D$4:$D$3632),-(Analítico!AR$3&lt;='Gastos Gerais'!$E$4:$E$3632),-('Gastos Gerais'!$C$4:$C$3632))</f>
        <v>2347.54</v>
      </c>
      <c r="AS61" s="134">
        <f>SUMPRODUCT(-('Gastos Gerais'!$B$4:$B$3632=Analítico!$B61),-(Analítico!AS$3&gt;='Gastos Gerais'!$D$4:$D$3632),-(Analítico!AS$3&lt;='Gastos Gerais'!$E$4:$E$3632),-('Gastos Gerais'!$C$4:$C$3632))</f>
        <v>2347.54</v>
      </c>
      <c r="AT61" s="134">
        <f>SUMPRODUCT(-('Gastos Gerais'!$B$4:$B$3632=Analítico!$B61),-(Analítico!AT$3&gt;='Gastos Gerais'!$D$4:$D$3632),-(Analítico!AT$3&lt;='Gastos Gerais'!$E$4:$E$3632),-('Gastos Gerais'!$C$4:$C$3632))</f>
        <v>2347.54</v>
      </c>
      <c r="AU61" s="134">
        <f>SUMPRODUCT(-('Gastos Gerais'!$B$4:$B$3632=Analítico!$B61),-(Analítico!AU$3&gt;='Gastos Gerais'!$D$4:$D$3632),-(Analítico!AU$3&lt;='Gastos Gerais'!$E$4:$E$3632),-('Gastos Gerais'!$C$4:$C$3632))</f>
        <v>2347.54</v>
      </c>
      <c r="AV61" s="134">
        <f>SUMPRODUCT(-('Gastos Gerais'!$B$4:$B$3632=Analítico!$B61),-(Analítico!AV$3&gt;='Gastos Gerais'!$D$4:$D$3632),-(Analítico!AV$3&lt;='Gastos Gerais'!$E$4:$E$3632),-('Gastos Gerais'!$C$4:$C$3632))</f>
        <v>2347.54</v>
      </c>
      <c r="AW61" s="134">
        <f>SUMPRODUCT(-('Gastos Gerais'!$B$4:$B$3632=Analítico!$B61),-(Analítico!AW$3&gt;='Gastos Gerais'!$D$4:$D$3632),-(Analítico!AW$3&lt;='Gastos Gerais'!$E$4:$E$3632),-('Gastos Gerais'!$C$4:$C$3632))</f>
        <v>2347.54</v>
      </c>
      <c r="AX61" s="134">
        <f>SUMPRODUCT(-('Gastos Gerais'!$B$4:$B$3632=Analítico!$B61),-(Analítico!AX$3&gt;='Gastos Gerais'!$D$4:$D$3632),-(Analítico!AX$3&lt;='Gastos Gerais'!$E$4:$E$3632),-('Gastos Gerais'!$C$4:$C$3632))</f>
        <v>2347.54</v>
      </c>
      <c r="AY61" s="134">
        <f>SUMPRODUCT(-('Gastos Gerais'!$B$4:$B$3632=Analítico!$B61),-(Analítico!AY$3&gt;='Gastos Gerais'!$D$4:$D$3632),-(Analítico!AY$3&lt;='Gastos Gerais'!$E$4:$E$3632),-('Gastos Gerais'!$C$4:$C$3632))</f>
        <v>2347.54</v>
      </c>
      <c r="AZ61" s="134">
        <f>SUMPRODUCT(-('Gastos Gerais'!$B$4:$B$3632=Analítico!$B61),-(Analítico!AZ$3&gt;='Gastos Gerais'!$D$4:$D$3632),-(Analítico!AZ$3&lt;='Gastos Gerais'!$E$4:$E$3632),-('Gastos Gerais'!$C$4:$C$3632))</f>
        <v>2484.63</v>
      </c>
      <c r="BA61" s="134">
        <f>SUMPRODUCT(-('Gastos Gerais'!$B$4:$B$3632=Analítico!$B61),-(Analítico!BA$3&gt;='Gastos Gerais'!$D$4:$D$3632),-(Analítico!BA$3&lt;='Gastos Gerais'!$E$4:$E$3632),-('Gastos Gerais'!$C$4:$C$3632))</f>
        <v>2484.63</v>
      </c>
      <c r="BB61" s="134">
        <f>SUMPRODUCT(-('Gastos Gerais'!$B$4:$B$3632=Analítico!$B61),-(Analítico!BB$3&gt;='Gastos Gerais'!$D$4:$D$3632),-(Analítico!BB$3&lt;='Gastos Gerais'!$E$4:$E$3632),-('Gastos Gerais'!$C$4:$C$3632))</f>
        <v>2484.63</v>
      </c>
      <c r="BC61" s="134">
        <f>SUMPRODUCT(-('Gastos Gerais'!$B$4:$B$3632=Analítico!$B61),-(Analítico!BC$3&gt;='Gastos Gerais'!$D$4:$D$3632),-(Analítico!BC$3&lt;='Gastos Gerais'!$E$4:$E$3632),-('Gastos Gerais'!$C$4:$C$3632))</f>
        <v>2484.63</v>
      </c>
      <c r="BD61" s="134">
        <f>SUMPRODUCT(-('Gastos Gerais'!$B$4:$B$3632=Analítico!$B61),-(Analítico!BD$3&gt;='Gastos Gerais'!$D$4:$D$3632),-(Analítico!BD$3&lt;='Gastos Gerais'!$E$4:$E$3632),-('Gastos Gerais'!$C$4:$C$3632))</f>
        <v>2484.63</v>
      </c>
      <c r="BE61" s="134">
        <f>SUMPRODUCT(-('Gastos Gerais'!$B$4:$B$3632=Analítico!$B61),-(Analítico!BE$3&gt;='Gastos Gerais'!$D$4:$D$3632),-(Analítico!BE$3&lt;='Gastos Gerais'!$E$4:$E$3632),-('Gastos Gerais'!$C$4:$C$3632))</f>
        <v>2484.63</v>
      </c>
      <c r="BF61" s="134">
        <f>SUMPRODUCT(-('Gastos Gerais'!$B$4:$B$3632=Analítico!$B61),-(Analítico!BF$3&gt;='Gastos Gerais'!$D$4:$D$3632),-(Analítico!BF$3&lt;='Gastos Gerais'!$E$4:$E$3632),-('Gastos Gerais'!$C$4:$C$3632))</f>
        <v>2484.63</v>
      </c>
      <c r="BG61" s="134">
        <f>SUMPRODUCT(-('Gastos Gerais'!$B$4:$B$3632=Analítico!$B61),-(Analítico!BG$3&gt;='Gastos Gerais'!$D$4:$D$3632),-(Analítico!BG$3&lt;='Gastos Gerais'!$E$4:$E$3632),-('Gastos Gerais'!$C$4:$C$3632))</f>
        <v>2484.63</v>
      </c>
      <c r="BH61" s="134">
        <f>SUMPRODUCT(-('Gastos Gerais'!$B$4:$B$3632=Analítico!$B61),-(Analítico!BH$3&gt;='Gastos Gerais'!$D$4:$D$3632),-(Analítico!BH$3&lt;='Gastos Gerais'!$E$4:$E$3632),-('Gastos Gerais'!$C$4:$C$3632))</f>
        <v>2484.63</v>
      </c>
      <c r="BI61" s="134">
        <f>SUMPRODUCT(-('Gastos Gerais'!$B$4:$B$3632=Analítico!$B61),-(Analítico!BI$3&gt;='Gastos Gerais'!$D$4:$D$3632),-(Analítico!BI$3&lt;='Gastos Gerais'!$E$4:$E$3632),-('Gastos Gerais'!$C$4:$C$3632))</f>
        <v>2484.63</v>
      </c>
      <c r="BJ61" s="134">
        <f>SUMPRODUCT(-('Gastos Gerais'!$B$4:$B$3632=Analítico!$B61),-(Analítico!BJ$3&gt;='Gastos Gerais'!$D$4:$D$3632),-(Analítico!BJ$3&lt;='Gastos Gerais'!$E$4:$E$3632),-('Gastos Gerais'!$C$4:$C$3632))</f>
        <v>2484.63</v>
      </c>
      <c r="BK61" s="189">
        <f t="shared" si="37"/>
        <v>131619.08999999994</v>
      </c>
      <c r="BL61" s="136">
        <f t="shared" ca="1" si="38"/>
        <v>3.9338377000591436E-4</v>
      </c>
      <c r="BN61" s="134">
        <f>SUMPRODUCT(-('Gastos Gerais'!$B$4:$B$3632=Analítico!$B61),-(Analítico!BN$3&gt;='Gastos Gerais'!$D$4:$D$3632),-(Analítico!BN$3&lt;='Gastos Gerais'!$E$4:$E$3632),-('Gastos Gerais'!$C$4:$C$3632))</f>
        <v>1980</v>
      </c>
    </row>
    <row r="62" spans="1:66" s="160" customFormat="1" ht="23.25" customHeight="1">
      <c r="A62" s="229" t="s">
        <v>201</v>
      </c>
      <c r="B62" s="230" t="s">
        <v>202</v>
      </c>
      <c r="C62" s="188">
        <f t="shared" si="36"/>
        <v>109.26299999999999</v>
      </c>
      <c r="D62" s="134">
        <f>SUMPRODUCT(-('Gastos Gerais'!$B$4:$B$3632=Analítico!$B62),-(Analítico!D$3&gt;='Gastos Gerais'!$D$4:$D$3632),-(Analítico!D$3&lt;='Gastos Gerais'!$E$4:$E$3632),-('Gastos Gerais'!$C$4:$C$3632))</f>
        <v>21503.640000000003</v>
      </c>
      <c r="E62" s="134">
        <f>SUMPRODUCT(-('Gastos Gerais'!$B$4:$B$3632=Analítico!$B62),-(Analítico!E$3&gt;='Gastos Gerais'!$D$4:$D$3632),-(Analítico!E$3&lt;='Gastos Gerais'!$E$4:$E$3632),-('Gastos Gerais'!$C$4:$C$3632))</f>
        <v>18939.400000000001</v>
      </c>
      <c r="F62" s="134">
        <f>SUMPRODUCT(-('Gastos Gerais'!$B$4:$B$3632=Analítico!$B62),-(Analítico!F$3&gt;='Gastos Gerais'!$D$4:$D$3632),-(Analítico!F$3&lt;='Gastos Gerais'!$E$4:$E$3632),-('Gastos Gerais'!$C$4:$C$3632))</f>
        <v>18939.400000000001</v>
      </c>
      <c r="G62" s="134">
        <f>SUMPRODUCT(-('Gastos Gerais'!$B$4:$B$3632=Analítico!$B62),-(Analítico!G$3&gt;='Gastos Gerais'!$D$4:$D$3632),-(Analítico!G$3&lt;='Gastos Gerais'!$E$4:$E$3632),-('Gastos Gerais'!$C$4:$C$3632))</f>
        <v>10125.740000000002</v>
      </c>
      <c r="H62" s="134">
        <f>SUMPRODUCT(-('Gastos Gerais'!$B$4:$B$3632=Analítico!$B62),-(Analítico!H$3&gt;='Gastos Gerais'!$D$4:$D$3632),-(Analítico!H$3&lt;='Gastos Gerais'!$E$4:$E$3632),-('Gastos Gerais'!$C$4:$C$3632))</f>
        <v>3968.87</v>
      </c>
      <c r="I62" s="134">
        <f>SUMPRODUCT(-('Gastos Gerais'!$B$4:$B$3632=Analítico!$B62),-(Analítico!I$3&gt;='Gastos Gerais'!$D$4:$D$3632),-(Analítico!I$3&lt;='Gastos Gerais'!$E$4:$E$3632),-('Gastos Gerais'!$C$4:$C$3632))</f>
        <v>3968.87</v>
      </c>
      <c r="J62" s="134">
        <f>SUMPRODUCT(-('Gastos Gerais'!$B$4:$B$3632=Analítico!$B62),-(Analítico!J$3&gt;='Gastos Gerais'!$D$4:$D$3632),-(Analítico!J$3&lt;='Gastos Gerais'!$E$4:$E$3632),-('Gastos Gerais'!$C$4:$C$3632))</f>
        <v>3968.87</v>
      </c>
      <c r="K62" s="134">
        <f>SUMPRODUCT(-('Gastos Gerais'!$B$4:$B$3632=Analítico!$B62),-(Analítico!K$3&gt;='Gastos Gerais'!$D$4:$D$3632),-(Analítico!K$3&lt;='Gastos Gerais'!$E$4:$E$3632),-('Gastos Gerais'!$C$4:$C$3632))</f>
        <v>3968.87</v>
      </c>
      <c r="L62" s="134">
        <f>SUMPRODUCT(-('Gastos Gerais'!$B$4:$B$3632=Analítico!$B62),-(Analítico!L$3&gt;='Gastos Gerais'!$D$4:$D$3632),-(Analítico!L$3&lt;='Gastos Gerais'!$E$4:$E$3632),-('Gastos Gerais'!$C$4:$C$3632))</f>
        <v>3968.87</v>
      </c>
      <c r="M62" s="134">
        <f>SUMPRODUCT(-('Gastos Gerais'!$B$4:$B$3632=Analítico!$B62),-(Analítico!M$3&gt;='Gastos Gerais'!$D$4:$D$3632),-(Analítico!M$3&lt;='Gastos Gerais'!$E$4:$E$3632),-('Gastos Gerais'!$C$4:$C$3632))</f>
        <v>5513.53</v>
      </c>
      <c r="N62" s="134">
        <f>SUMPRODUCT(-('Gastos Gerais'!$B$4:$B$3632=Analítico!$B62),-(Analítico!N$3&gt;='Gastos Gerais'!$D$4:$D$3632),-(Analítico!N$3&lt;='Gastos Gerais'!$E$4:$E$3632),-('Gastos Gerais'!$C$4:$C$3632))</f>
        <v>5513.53</v>
      </c>
      <c r="O62" s="134">
        <f>SUMPRODUCT(-('Gastos Gerais'!$B$4:$B$3632=Analítico!$B62),-(Analítico!O$3&gt;='Gastos Gerais'!$D$4:$D$3632),-(Analítico!O$3&lt;='Gastos Gerais'!$E$4:$E$3632),-('Gastos Gerais'!$C$4:$C$3632))</f>
        <v>5513.53</v>
      </c>
      <c r="P62" s="134">
        <f>SUMPRODUCT(-('Gastos Gerais'!$B$4:$B$3632=Analítico!$B62),-(Analítico!P$3&gt;='Gastos Gerais'!$D$4:$D$3632),-(Analítico!P$3&lt;='Gastos Gerais'!$E$4:$E$3632),-('Gastos Gerais'!$C$4:$C$3632))</f>
        <v>26580.85</v>
      </c>
      <c r="Q62" s="134">
        <f>SUMPRODUCT(-('Gastos Gerais'!$B$4:$B$3632=Analítico!$B62),-(Analítico!Q$3&gt;='Gastos Gerais'!$D$4:$D$3632),-(Analítico!Q$3&lt;='Gastos Gerais'!$E$4:$E$3632),-('Gastos Gerais'!$C$4:$C$3632))</f>
        <v>23860.829999999998</v>
      </c>
      <c r="R62" s="134">
        <f>SUMPRODUCT(-('Gastos Gerais'!$B$4:$B$3632=Analítico!$B62),-(Analítico!R$3&gt;='Gastos Gerais'!$D$4:$D$3632),-(Analítico!R$3&lt;='Gastos Gerais'!$E$4:$E$3632),-('Gastos Gerais'!$C$4:$C$3632))</f>
        <v>23860.829999999998</v>
      </c>
      <c r="S62" s="134">
        <f>SUMPRODUCT(-('Gastos Gerais'!$B$4:$B$3632=Analítico!$B62),-(Analítico!S$3&gt;='Gastos Gerais'!$D$4:$D$3632),-(Analítico!S$3&lt;='Gastos Gerais'!$E$4:$E$3632),-('Gastos Gerais'!$C$4:$C$3632))</f>
        <v>10716.900000000001</v>
      </c>
      <c r="T62" s="134">
        <f>SUMPRODUCT(-('Gastos Gerais'!$B$4:$B$3632=Analítico!$B62),-(Analítico!T$3&gt;='Gastos Gerais'!$D$4:$D$3632),-(Analítico!T$3&lt;='Gastos Gerais'!$E$4:$E$3632),-('Gastos Gerais'!$C$4:$C$3632))</f>
        <v>4200.6399999999994</v>
      </c>
      <c r="U62" s="134">
        <f>SUMPRODUCT(-('Gastos Gerais'!$B$4:$B$3632=Analítico!$B62),-(Analítico!U$3&gt;='Gastos Gerais'!$D$4:$D$3632),-(Analítico!U$3&lt;='Gastos Gerais'!$E$4:$E$3632),-('Gastos Gerais'!$C$4:$C$3632))</f>
        <v>4200.6399999999994</v>
      </c>
      <c r="V62" s="134">
        <f>SUMPRODUCT(-('Gastos Gerais'!$B$4:$B$3632=Analítico!$B62),-(Analítico!V$3&gt;='Gastos Gerais'!$D$4:$D$3632),-(Analítico!V$3&lt;='Gastos Gerais'!$E$4:$E$3632),-('Gastos Gerais'!$C$4:$C$3632))</f>
        <v>4200.6399999999994</v>
      </c>
      <c r="W62" s="134">
        <f>SUMPRODUCT(-('Gastos Gerais'!$B$4:$B$3632=Analítico!$B62),-(Analítico!W$3&gt;='Gastos Gerais'!$D$4:$D$3632),-(Analítico!W$3&lt;='Gastos Gerais'!$E$4:$E$3632),-('Gastos Gerais'!$C$4:$C$3632))</f>
        <v>4200.6399999999994</v>
      </c>
      <c r="X62" s="134">
        <f>SUMPRODUCT(-('Gastos Gerais'!$B$4:$B$3632=Analítico!$B62),-(Analítico!X$3&gt;='Gastos Gerais'!$D$4:$D$3632),-(Analítico!X$3&lt;='Gastos Gerais'!$E$4:$E$3632),-('Gastos Gerais'!$C$4:$C$3632))</f>
        <v>4200.6399999999994</v>
      </c>
      <c r="Y62" s="134">
        <f>SUMPRODUCT(-('Gastos Gerais'!$B$4:$B$3632=Analítico!$B62),-(Analítico!Y$3&gt;='Gastos Gerais'!$D$4:$D$3632),-(Analítico!Y$3&lt;='Gastos Gerais'!$E$4:$E$3632),-('Gastos Gerais'!$C$4:$C$3632))</f>
        <v>4200.6399999999994</v>
      </c>
      <c r="Z62" s="134">
        <f>SUMPRODUCT(-('Gastos Gerais'!$B$4:$B$3632=Analítico!$B62),-(Analítico!Z$3&gt;='Gastos Gerais'!$D$4:$D$3632),-(Analítico!Z$3&lt;='Gastos Gerais'!$E$4:$E$3632),-('Gastos Gerais'!$C$4:$C$3632))</f>
        <v>4200.6399999999994</v>
      </c>
      <c r="AA62" s="134">
        <f>SUMPRODUCT(-('Gastos Gerais'!$B$4:$B$3632=Analítico!$B62),-(Analítico!AA$3&gt;='Gastos Gerais'!$D$4:$D$3632),-(Analítico!AA$3&lt;='Gastos Gerais'!$E$4:$E$3632),-('Gastos Gerais'!$C$4:$C$3632))</f>
        <v>4200.6399999999994</v>
      </c>
      <c r="AB62" s="134">
        <f>SUMPRODUCT(-('Gastos Gerais'!$B$4:$B$3632=Analítico!$B62),-(Analítico!AB$3&gt;='Gastos Gerais'!$D$4:$D$3632),-(Analítico!AB$3&lt;='Gastos Gerais'!$E$4:$E$3632),-('Gastos Gerais'!$C$4:$C$3632))</f>
        <v>28133.34</v>
      </c>
      <c r="AC62" s="134">
        <f>SUMPRODUCT(-('Gastos Gerais'!$B$4:$B$3632=Analítico!$B62),-(Analítico!AC$3&gt;='Gastos Gerais'!$D$4:$D$3632),-(Analítico!AC$3&lt;='Gastos Gerais'!$E$4:$E$3632),-('Gastos Gerais'!$C$4:$C$3632))</f>
        <v>25254.47</v>
      </c>
      <c r="AD62" s="134">
        <f>SUMPRODUCT(-('Gastos Gerais'!$B$4:$B$3632=Analítico!$B62),-(Analítico!AD$3&gt;='Gastos Gerais'!$D$4:$D$3632),-(Analítico!AD$3&lt;='Gastos Gerais'!$E$4:$E$3632),-('Gastos Gerais'!$C$4:$C$3632))</f>
        <v>22913.41</v>
      </c>
      <c r="AE62" s="134">
        <f>SUMPRODUCT(-('Gastos Gerais'!$B$4:$B$3632=Analítico!$B62),-(Analítico!AE$3&gt;='Gastos Gerais'!$D$4:$D$3632),-(Analítico!AE$3&lt;='Gastos Gerais'!$E$4:$E$3632),-('Gastos Gerais'!$C$4:$C$3632))</f>
        <v>11342.92</v>
      </c>
      <c r="AF62" s="134">
        <f>SUMPRODUCT(-('Gastos Gerais'!$B$4:$B$3632=Analítico!$B62),-(Analítico!AF$3&gt;='Gastos Gerais'!$D$4:$D$3632),-(Analítico!AF$3&lt;='Gastos Gerais'!$E$4:$E$3632),-('Gastos Gerais'!$C$4:$C$3632))</f>
        <v>4445.95</v>
      </c>
      <c r="AG62" s="134">
        <f>SUMPRODUCT(-('Gastos Gerais'!$B$4:$B$3632=Analítico!$B62),-(Analítico!AG$3&gt;='Gastos Gerais'!$D$4:$D$3632),-(Analítico!AG$3&lt;='Gastos Gerais'!$E$4:$E$3632),-('Gastos Gerais'!$C$4:$C$3632))</f>
        <v>4445.95</v>
      </c>
      <c r="AH62" s="134">
        <f>SUMPRODUCT(-('Gastos Gerais'!$B$4:$B$3632=Analítico!$B62),-(Analítico!AH$3&gt;='Gastos Gerais'!$D$4:$D$3632),-(Analítico!AH$3&lt;='Gastos Gerais'!$E$4:$E$3632),-('Gastos Gerais'!$C$4:$C$3632))</f>
        <v>4445.95</v>
      </c>
      <c r="AI62" s="134">
        <f>SUMPRODUCT(-('Gastos Gerais'!$B$4:$B$3632=Analítico!$B62),-(Analítico!AI$3&gt;='Gastos Gerais'!$D$4:$D$3632),-(Analítico!AI$3&lt;='Gastos Gerais'!$E$4:$E$3632),-('Gastos Gerais'!$C$4:$C$3632))</f>
        <v>4445.95</v>
      </c>
      <c r="AJ62" s="134">
        <f>SUMPRODUCT(-('Gastos Gerais'!$B$4:$B$3632=Analítico!$B62),-(Analítico!AJ$3&gt;='Gastos Gerais'!$D$4:$D$3632),-(Analítico!AJ$3&lt;='Gastos Gerais'!$E$4:$E$3632),-('Gastos Gerais'!$C$4:$C$3632))</f>
        <v>4445.95</v>
      </c>
      <c r="AK62" s="134">
        <f>SUMPRODUCT(-('Gastos Gerais'!$B$4:$B$3632=Analítico!$B62),-(Analítico!AK$3&gt;='Gastos Gerais'!$D$4:$D$3632),-(Analítico!AK$3&lt;='Gastos Gerais'!$E$4:$E$3632),-('Gastos Gerais'!$C$4:$C$3632))</f>
        <v>4445.95</v>
      </c>
      <c r="AL62" s="134">
        <f>SUMPRODUCT(-('Gastos Gerais'!$B$4:$B$3632=Analítico!$B62),-(Analítico!AL$3&gt;='Gastos Gerais'!$D$4:$D$3632),-(Analítico!AL$3&lt;='Gastos Gerais'!$E$4:$E$3632),-('Gastos Gerais'!$C$4:$C$3632))</f>
        <v>4445.95</v>
      </c>
      <c r="AM62" s="134">
        <f>SUMPRODUCT(-('Gastos Gerais'!$B$4:$B$3632=Analítico!$B62),-(Analítico!AM$3&gt;='Gastos Gerais'!$D$4:$D$3632),-(Analítico!AM$3&lt;='Gastos Gerais'!$E$4:$E$3632),-('Gastos Gerais'!$C$4:$C$3632))</f>
        <v>4445.95</v>
      </c>
      <c r="AN62" s="134">
        <f>SUMPRODUCT(-('Gastos Gerais'!$B$4:$B$3632=Analítico!$B62),-(Analítico!AN$3&gt;='Gastos Gerais'!$D$4:$D$3632),-(Analítico!AN$3&lt;='Gastos Gerais'!$E$4:$E$3632),-('Gastos Gerais'!$C$4:$C$3632))</f>
        <v>29776.200000000004</v>
      </c>
      <c r="AO62" s="134">
        <f>SUMPRODUCT(-('Gastos Gerais'!$B$4:$B$3632=Analítico!$B62),-(Analítico!AO$3&gt;='Gastos Gerais'!$D$4:$D$3632),-(Analítico!AO$3&lt;='Gastos Gerais'!$E$4:$E$3632),-('Gastos Gerais'!$C$4:$C$3632))</f>
        <v>26729.21</v>
      </c>
      <c r="AP62" s="134">
        <f>SUMPRODUCT(-('Gastos Gerais'!$B$4:$B$3632=Analítico!$B62),-(Analítico!AP$3&gt;='Gastos Gerais'!$D$4:$D$3632),-(Analítico!AP$3&lt;='Gastos Gerais'!$E$4:$E$3632),-('Gastos Gerais'!$C$4:$C$3632))</f>
        <v>24251.43</v>
      </c>
      <c r="AQ62" s="134">
        <f>SUMPRODUCT(-('Gastos Gerais'!$B$4:$B$3632=Analítico!$B62),-(Analítico!AQ$3&gt;='Gastos Gerais'!$D$4:$D$3632),-(Analítico!AQ$3&lt;='Gastos Gerais'!$E$4:$E$3632),-('Gastos Gerais'!$C$4:$C$3632))</f>
        <v>12005.230000000001</v>
      </c>
      <c r="AR62" s="134">
        <f>SUMPRODUCT(-('Gastos Gerais'!$B$4:$B$3632=Analítico!$B62),-(Analítico!AR$3&gt;='Gastos Gerais'!$D$4:$D$3632),-(Analítico!AR$3&lt;='Gastos Gerais'!$E$4:$E$3632),-('Gastos Gerais'!$C$4:$C$3632))</f>
        <v>4705.59</v>
      </c>
      <c r="AS62" s="134">
        <f>SUMPRODUCT(-('Gastos Gerais'!$B$4:$B$3632=Analítico!$B62),-(Analítico!AS$3&gt;='Gastos Gerais'!$D$4:$D$3632),-(Analítico!AS$3&lt;='Gastos Gerais'!$E$4:$E$3632),-('Gastos Gerais'!$C$4:$C$3632))</f>
        <v>4705.59</v>
      </c>
      <c r="AT62" s="134">
        <f>SUMPRODUCT(-('Gastos Gerais'!$B$4:$B$3632=Analítico!$B62),-(Analítico!AT$3&gt;='Gastos Gerais'!$D$4:$D$3632),-(Analítico!AT$3&lt;='Gastos Gerais'!$E$4:$E$3632),-('Gastos Gerais'!$C$4:$C$3632))</f>
        <v>4705.59</v>
      </c>
      <c r="AU62" s="134">
        <f>SUMPRODUCT(-('Gastos Gerais'!$B$4:$B$3632=Analítico!$B62),-(Analítico!AU$3&gt;='Gastos Gerais'!$D$4:$D$3632),-(Analítico!AU$3&lt;='Gastos Gerais'!$E$4:$E$3632),-('Gastos Gerais'!$C$4:$C$3632))</f>
        <v>4705.59</v>
      </c>
      <c r="AV62" s="134">
        <f>SUMPRODUCT(-('Gastos Gerais'!$B$4:$B$3632=Analítico!$B62),-(Analítico!AV$3&gt;='Gastos Gerais'!$D$4:$D$3632),-(Analítico!AV$3&lt;='Gastos Gerais'!$E$4:$E$3632),-('Gastos Gerais'!$C$4:$C$3632))</f>
        <v>4705.59</v>
      </c>
      <c r="AW62" s="134">
        <f>SUMPRODUCT(-('Gastos Gerais'!$B$4:$B$3632=Analítico!$B62),-(Analítico!AW$3&gt;='Gastos Gerais'!$D$4:$D$3632),-(Analítico!AW$3&lt;='Gastos Gerais'!$E$4:$E$3632),-('Gastos Gerais'!$C$4:$C$3632))</f>
        <v>4705.59</v>
      </c>
      <c r="AX62" s="134">
        <f>SUMPRODUCT(-('Gastos Gerais'!$B$4:$B$3632=Analítico!$B62),-(Analítico!AX$3&gt;='Gastos Gerais'!$D$4:$D$3632),-(Analítico!AX$3&lt;='Gastos Gerais'!$E$4:$E$3632),-('Gastos Gerais'!$C$4:$C$3632))</f>
        <v>4705.59</v>
      </c>
      <c r="AY62" s="134">
        <f>SUMPRODUCT(-('Gastos Gerais'!$B$4:$B$3632=Analítico!$B62),-(Analítico!AY$3&gt;='Gastos Gerais'!$D$4:$D$3632),-(Analítico!AY$3&lt;='Gastos Gerais'!$E$4:$E$3632),-('Gastos Gerais'!$C$4:$C$3632))</f>
        <v>4705.59</v>
      </c>
      <c r="AZ62" s="134">
        <f>SUMPRODUCT(-('Gastos Gerais'!$B$4:$B$3632=Analítico!$B62),-(Analítico!AZ$3&gt;='Gastos Gerais'!$D$4:$D$3632),-(Analítico!AZ$3&lt;='Gastos Gerais'!$E$4:$E$3632),-('Gastos Gerais'!$C$4:$C$3632))</f>
        <v>31514.559999999998</v>
      </c>
      <c r="BA62" s="134">
        <f>SUMPRODUCT(-('Gastos Gerais'!$B$4:$B$3632=Analítico!$B62),-(Analítico!BA$3&gt;='Gastos Gerais'!$D$4:$D$3632),-(Analítico!BA$3&lt;='Gastos Gerais'!$E$4:$E$3632),-('Gastos Gerais'!$C$4:$C$3632))</f>
        <v>28289.629999999997</v>
      </c>
      <c r="BB62" s="134">
        <f>SUMPRODUCT(-('Gastos Gerais'!$B$4:$B$3632=Analítico!$B62),-(Analítico!BB$3&gt;='Gastos Gerais'!$D$4:$D$3632),-(Analítico!BB$3&lt;='Gastos Gerais'!$E$4:$E$3632),-('Gastos Gerais'!$C$4:$C$3632))</f>
        <v>25667.149999999998</v>
      </c>
      <c r="BC62" s="134">
        <f>SUMPRODUCT(-('Gastos Gerais'!$B$4:$B$3632=Analítico!$B62),-(Analítico!BC$3&gt;='Gastos Gerais'!$D$4:$D$3632),-(Analítico!BC$3&lt;='Gastos Gerais'!$E$4:$E$3632),-('Gastos Gerais'!$C$4:$C$3632))</f>
        <v>12705.76</v>
      </c>
      <c r="BD62" s="134">
        <f>SUMPRODUCT(-('Gastos Gerais'!$B$4:$B$3632=Analítico!$B62),-(Analítico!BD$3&gt;='Gastos Gerais'!$D$4:$D$3632),-(Analítico!BD$3&lt;='Gastos Gerais'!$E$4:$E$3632),-('Gastos Gerais'!$C$4:$C$3632))</f>
        <v>4980.41</v>
      </c>
      <c r="BE62" s="134">
        <f>SUMPRODUCT(-('Gastos Gerais'!$B$4:$B$3632=Analítico!$B62),-(Analítico!BE$3&gt;='Gastos Gerais'!$D$4:$D$3632),-(Analítico!BE$3&lt;='Gastos Gerais'!$E$4:$E$3632),-('Gastos Gerais'!$C$4:$C$3632))</f>
        <v>4980.41</v>
      </c>
      <c r="BF62" s="134">
        <f>SUMPRODUCT(-('Gastos Gerais'!$B$4:$B$3632=Analítico!$B62),-(Analítico!BF$3&gt;='Gastos Gerais'!$D$4:$D$3632),-(Analítico!BF$3&lt;='Gastos Gerais'!$E$4:$E$3632),-('Gastos Gerais'!$C$4:$C$3632))</f>
        <v>4980.41</v>
      </c>
      <c r="BG62" s="134">
        <f>SUMPRODUCT(-('Gastos Gerais'!$B$4:$B$3632=Analítico!$B62),-(Analítico!BG$3&gt;='Gastos Gerais'!$D$4:$D$3632),-(Analítico!BG$3&lt;='Gastos Gerais'!$E$4:$E$3632),-('Gastos Gerais'!$C$4:$C$3632))</f>
        <v>4980.41</v>
      </c>
      <c r="BH62" s="134">
        <f>SUMPRODUCT(-('Gastos Gerais'!$B$4:$B$3632=Analítico!$B62),-(Analítico!BH$3&gt;='Gastos Gerais'!$D$4:$D$3632),-(Analítico!BH$3&lt;='Gastos Gerais'!$E$4:$E$3632),-('Gastos Gerais'!$C$4:$C$3632))</f>
        <v>4980.41</v>
      </c>
      <c r="BI62" s="134">
        <f>SUMPRODUCT(-('Gastos Gerais'!$B$4:$B$3632=Analítico!$B62),-(Analítico!BI$3&gt;='Gastos Gerais'!$D$4:$D$3632),-(Analítico!BI$3&lt;='Gastos Gerais'!$E$4:$E$3632),-('Gastos Gerais'!$C$4:$C$3632))</f>
        <v>4980.41</v>
      </c>
      <c r="BJ62" s="134">
        <f>SUMPRODUCT(-('Gastos Gerais'!$B$4:$B$3632=Analítico!$B62),-(Analítico!BJ$3&gt;='Gastos Gerais'!$D$4:$D$3632),-(Analítico!BJ$3&lt;='Gastos Gerais'!$E$4:$E$3632),-('Gastos Gerais'!$C$4:$C$3632))</f>
        <v>4980.41</v>
      </c>
      <c r="BK62" s="189">
        <f t="shared" si="37"/>
        <v>611285.41300000052</v>
      </c>
      <c r="BL62" s="136">
        <f t="shared" ca="1" si="38"/>
        <v>1.8270127860294633E-3</v>
      </c>
      <c r="BN62" s="134">
        <f>SUMPRODUCT(-('Gastos Gerais'!$B$4:$B$3632=Analítico!$B62),-(Analítico!BN$3&gt;='Gastos Gerais'!$D$4:$D$3632),-(Analítico!BN$3&lt;='Gastos Gerais'!$E$4:$E$3632),-('Gastos Gerais'!$C$4:$C$3632))</f>
        <v>364.21</v>
      </c>
    </row>
    <row r="63" spans="1:66" s="160" customFormat="1" ht="23.25" customHeight="1">
      <c r="A63" s="229" t="s">
        <v>203</v>
      </c>
      <c r="B63" s="230" t="s">
        <v>204</v>
      </c>
      <c r="C63" s="188">
        <f t="shared" si="36"/>
        <v>0</v>
      </c>
      <c r="D63" s="134">
        <f>SUMPRODUCT(-('Gastos Gerais'!$B$4:$B$3632=Analítico!$B63),-(Analítico!D$3&gt;='Gastos Gerais'!$D$4:$D$3632),-(Analítico!D$3&lt;='Gastos Gerais'!$E$4:$E$3632),-('Gastos Gerais'!$C$4:$C$3632))</f>
        <v>26140.18</v>
      </c>
      <c r="E63" s="134">
        <f>SUMPRODUCT(-('Gastos Gerais'!$B$4:$B$3632=Analítico!$B63),-(Analítico!E$3&gt;='Gastos Gerais'!$D$4:$D$3632),-(Analítico!E$3&lt;='Gastos Gerais'!$E$4:$E$3632),-('Gastos Gerais'!$C$4:$C$3632))</f>
        <v>28201.27</v>
      </c>
      <c r="F63" s="134">
        <f>SUMPRODUCT(-('Gastos Gerais'!$B$4:$B$3632=Analítico!$B63),-(Analítico!F$3&gt;='Gastos Gerais'!$D$4:$D$3632),-(Analítico!F$3&lt;='Gastos Gerais'!$E$4:$E$3632),-('Gastos Gerais'!$C$4:$C$3632))</f>
        <v>28201.27</v>
      </c>
      <c r="G63" s="134">
        <f>SUMPRODUCT(-('Gastos Gerais'!$B$4:$B$3632=Analítico!$B63),-(Analítico!G$3&gt;='Gastos Gerais'!$D$4:$D$3632),-(Analítico!G$3&lt;='Gastos Gerais'!$E$4:$E$3632),-('Gastos Gerais'!$C$4:$C$3632))</f>
        <v>26140.18</v>
      </c>
      <c r="H63" s="134">
        <f>SUMPRODUCT(-('Gastos Gerais'!$B$4:$B$3632=Analítico!$B63),-(Analítico!H$3&gt;='Gastos Gerais'!$D$4:$D$3632),-(Analítico!H$3&lt;='Gastos Gerais'!$E$4:$E$3632),-('Gastos Gerais'!$C$4:$C$3632))</f>
        <v>10480.84</v>
      </c>
      <c r="I63" s="134">
        <f>SUMPRODUCT(-('Gastos Gerais'!$B$4:$B$3632=Analítico!$B63),-(Analítico!I$3&gt;='Gastos Gerais'!$D$4:$D$3632),-(Analítico!I$3&lt;='Gastos Gerais'!$E$4:$E$3632),-('Gastos Gerais'!$C$4:$C$3632))</f>
        <v>10480.84</v>
      </c>
      <c r="J63" s="134">
        <f>SUMPRODUCT(-('Gastos Gerais'!$B$4:$B$3632=Analítico!$B63),-(Analítico!J$3&gt;='Gastos Gerais'!$D$4:$D$3632),-(Analítico!J$3&lt;='Gastos Gerais'!$E$4:$E$3632),-('Gastos Gerais'!$C$4:$C$3632))</f>
        <v>10480.84</v>
      </c>
      <c r="K63" s="134">
        <f>SUMPRODUCT(-('Gastos Gerais'!$B$4:$B$3632=Analítico!$B63),-(Analítico!K$3&gt;='Gastos Gerais'!$D$4:$D$3632),-(Analítico!K$3&lt;='Gastos Gerais'!$E$4:$E$3632),-('Gastos Gerais'!$C$4:$C$3632))</f>
        <v>6137.6399999999994</v>
      </c>
      <c r="L63" s="134">
        <f>SUMPRODUCT(-('Gastos Gerais'!$B$4:$B$3632=Analítico!$B63),-(Analítico!L$3&gt;='Gastos Gerais'!$D$4:$D$3632),-(Analítico!L$3&lt;='Gastos Gerais'!$E$4:$E$3632),-('Gastos Gerais'!$C$4:$C$3632))</f>
        <v>6137.6399999999994</v>
      </c>
      <c r="M63" s="134">
        <f>SUMPRODUCT(-('Gastos Gerais'!$B$4:$B$3632=Analítico!$B63),-(Analítico!M$3&gt;='Gastos Gerais'!$D$4:$D$3632),-(Analítico!M$3&lt;='Gastos Gerais'!$E$4:$E$3632),-('Gastos Gerais'!$C$4:$C$3632))</f>
        <v>7873.5499999999993</v>
      </c>
      <c r="N63" s="134">
        <f>SUMPRODUCT(-('Gastos Gerais'!$B$4:$B$3632=Analítico!$B63),-(Analítico!N$3&gt;='Gastos Gerais'!$D$4:$D$3632),-(Analítico!N$3&lt;='Gastos Gerais'!$E$4:$E$3632),-('Gastos Gerais'!$C$4:$C$3632))</f>
        <v>7873.5499999999993</v>
      </c>
      <c r="O63" s="134">
        <f>SUMPRODUCT(-('Gastos Gerais'!$B$4:$B$3632=Analítico!$B63),-(Analítico!O$3&gt;='Gastos Gerais'!$D$4:$D$3632),-(Analítico!O$3&lt;='Gastos Gerais'!$E$4:$E$3632),-('Gastos Gerais'!$C$4:$C$3632))</f>
        <v>9969.15</v>
      </c>
      <c r="P63" s="134">
        <f>SUMPRODUCT(-('Gastos Gerais'!$B$4:$B$3632=Analítico!$B63),-(Analítico!P$3&gt;='Gastos Gerais'!$D$4:$D$3632),-(Analítico!P$3&lt;='Gastos Gerais'!$E$4:$E$3632),-('Gastos Gerais'!$C$4:$C$3632))</f>
        <v>30965.969999999998</v>
      </c>
      <c r="Q63" s="134">
        <f>SUMPRODUCT(-('Gastos Gerais'!$B$4:$B$3632=Analítico!$B63),-(Analítico!Q$3&gt;='Gastos Gerais'!$D$4:$D$3632),-(Analítico!Q$3&lt;='Gastos Gerais'!$E$4:$E$3632),-('Gastos Gerais'!$C$4:$C$3632))</f>
        <v>33147.43</v>
      </c>
      <c r="R63" s="134">
        <f>SUMPRODUCT(-('Gastos Gerais'!$B$4:$B$3632=Analítico!$B63),-(Analítico!R$3&gt;='Gastos Gerais'!$D$4:$D$3632),-(Analítico!R$3&lt;='Gastos Gerais'!$E$4:$E$3632),-('Gastos Gerais'!$C$4:$C$3632))</f>
        <v>33147.43</v>
      </c>
      <c r="S63" s="134">
        <f>SUMPRODUCT(-('Gastos Gerais'!$B$4:$B$3632=Analítico!$B63),-(Analítico!S$3&gt;='Gastos Gerais'!$D$4:$D$3632),-(Analítico!S$3&lt;='Gastos Gerais'!$E$4:$E$3632),-('Gastos Gerais'!$C$4:$C$3632))</f>
        <v>29128.679999999997</v>
      </c>
      <c r="T63" s="134">
        <f>SUMPRODUCT(-('Gastos Gerais'!$B$4:$B$3632=Analítico!$B63),-(Analítico!T$3&gt;='Gastos Gerais'!$D$4:$D$3632),-(Analítico!T$3&lt;='Gastos Gerais'!$E$4:$E$3632),-('Gastos Gerais'!$C$4:$C$3632))</f>
        <v>14392.13</v>
      </c>
      <c r="U63" s="134">
        <f>SUMPRODUCT(-('Gastos Gerais'!$B$4:$B$3632=Analítico!$B63),-(Analítico!U$3&gt;='Gastos Gerais'!$D$4:$D$3632),-(Analítico!U$3&lt;='Gastos Gerais'!$E$4:$E$3632),-('Gastos Gerais'!$C$4:$C$3632))</f>
        <v>14392.13</v>
      </c>
      <c r="V63" s="134">
        <f>SUMPRODUCT(-('Gastos Gerais'!$B$4:$B$3632=Analítico!$B63),-(Analítico!V$3&gt;='Gastos Gerais'!$D$4:$D$3632),-(Analítico!V$3&lt;='Gastos Gerais'!$E$4:$E$3632),-('Gastos Gerais'!$C$4:$C$3632))</f>
        <v>14392.13</v>
      </c>
      <c r="W63" s="134">
        <f>SUMPRODUCT(-('Gastos Gerais'!$B$4:$B$3632=Analítico!$B63),-(Analítico!W$3&gt;='Gastos Gerais'!$D$4:$D$3632),-(Analítico!W$3&lt;='Gastos Gerais'!$E$4:$E$3632),-('Gastos Gerais'!$C$4:$C$3632))</f>
        <v>7958</v>
      </c>
      <c r="X63" s="134">
        <f>SUMPRODUCT(-('Gastos Gerais'!$B$4:$B$3632=Analítico!$B63),-(Analítico!X$3&gt;='Gastos Gerais'!$D$4:$D$3632),-(Analítico!X$3&lt;='Gastos Gerais'!$E$4:$E$3632),-('Gastos Gerais'!$C$4:$C$3632))</f>
        <v>7958</v>
      </c>
      <c r="Y63" s="134">
        <f>SUMPRODUCT(-('Gastos Gerais'!$B$4:$B$3632=Analítico!$B63),-(Analítico!Y$3&gt;='Gastos Gerais'!$D$4:$D$3632),-(Analítico!Y$3&lt;='Gastos Gerais'!$E$4:$E$3632),-('Gastos Gerais'!$C$4:$C$3632))</f>
        <v>7958</v>
      </c>
      <c r="Z63" s="134">
        <f>SUMPRODUCT(-('Gastos Gerais'!$B$4:$B$3632=Analítico!$B63),-(Analítico!Z$3&gt;='Gastos Gerais'!$D$4:$D$3632),-(Analítico!Z$3&lt;='Gastos Gerais'!$E$4:$E$3632),-('Gastos Gerais'!$C$4:$C$3632))</f>
        <v>7958</v>
      </c>
      <c r="AA63" s="134">
        <f>SUMPRODUCT(-('Gastos Gerais'!$B$4:$B$3632=Analítico!$B63),-(Analítico!AA$3&gt;='Gastos Gerais'!$D$4:$D$3632),-(Analítico!AA$3&lt;='Gastos Gerais'!$E$4:$E$3632),-('Gastos Gerais'!$C$4:$C$3632))</f>
        <v>7958</v>
      </c>
      <c r="AB63" s="134">
        <f>SUMPRODUCT(-('Gastos Gerais'!$B$4:$B$3632=Analítico!$B63),-(Analítico!AB$3&gt;='Gastos Gerais'!$D$4:$D$3632),-(Analítico!AB$3&lt;='Gastos Gerais'!$E$4:$E$3632),-('Gastos Gerais'!$C$4:$C$3632))</f>
        <v>32537.179999999997</v>
      </c>
      <c r="AC63" s="134">
        <f>SUMPRODUCT(-('Gastos Gerais'!$B$4:$B$3632=Analítico!$B63),-(Analítico!AC$3&gt;='Gastos Gerais'!$D$4:$D$3632),-(Analítico!AC$3&lt;='Gastos Gerais'!$E$4:$E$3632),-('Gastos Gerais'!$C$4:$C$3632))</f>
        <v>34846.03</v>
      </c>
      <c r="AD63" s="134">
        <f>SUMPRODUCT(-('Gastos Gerais'!$B$4:$B$3632=Analítico!$B63),-(Analítico!AD$3&gt;='Gastos Gerais'!$D$4:$D$3632),-(Analítico!AD$3&lt;='Gastos Gerais'!$E$4:$E$3632),-('Gastos Gerais'!$C$4:$C$3632))</f>
        <v>32537.179999999997</v>
      </c>
      <c r="AE63" s="134">
        <f>SUMPRODUCT(-('Gastos Gerais'!$B$4:$B$3632=Analítico!$B63),-(Analítico!AE$3&gt;='Gastos Gerais'!$D$4:$D$3632),-(Analítico!AE$3&lt;='Gastos Gerais'!$E$4:$E$3632),-('Gastos Gerais'!$C$4:$C$3632))</f>
        <v>30592.599999999995</v>
      </c>
      <c r="AF63" s="134">
        <f>SUMPRODUCT(-('Gastos Gerais'!$B$4:$B$3632=Analítico!$B63),-(Analítico!AF$3&gt;='Gastos Gerais'!$D$4:$D$3632),-(Analítico!AF$3&lt;='Gastos Gerais'!$E$4:$E$3632),-('Gastos Gerais'!$C$4:$C$3632))</f>
        <v>14995.41</v>
      </c>
      <c r="AG63" s="134">
        <f>SUMPRODUCT(-('Gastos Gerais'!$B$4:$B$3632=Analítico!$B63),-(Analítico!AG$3&gt;='Gastos Gerais'!$D$4:$D$3632),-(Analítico!AG$3&lt;='Gastos Gerais'!$E$4:$E$3632),-('Gastos Gerais'!$C$4:$C$3632))</f>
        <v>14995.41</v>
      </c>
      <c r="AH63" s="134">
        <f>SUMPRODUCT(-('Gastos Gerais'!$B$4:$B$3632=Analítico!$B63),-(Analítico!AH$3&gt;='Gastos Gerais'!$D$4:$D$3632),-(Analítico!AH$3&lt;='Gastos Gerais'!$E$4:$E$3632),-('Gastos Gerais'!$C$4:$C$3632))</f>
        <v>14995.41</v>
      </c>
      <c r="AI63" s="134">
        <f>SUMPRODUCT(-('Gastos Gerais'!$B$4:$B$3632=Analítico!$B63),-(Analítico!AI$3&gt;='Gastos Gerais'!$D$4:$D$3632),-(Analítico!AI$3&lt;='Gastos Gerais'!$E$4:$E$3632),-('Gastos Gerais'!$C$4:$C$3632))</f>
        <v>8185.5300000000007</v>
      </c>
      <c r="AJ63" s="134">
        <f>SUMPRODUCT(-('Gastos Gerais'!$B$4:$B$3632=Analítico!$B63),-(Analítico!AJ$3&gt;='Gastos Gerais'!$D$4:$D$3632),-(Analítico!AJ$3&lt;='Gastos Gerais'!$E$4:$E$3632),-('Gastos Gerais'!$C$4:$C$3632))</f>
        <v>8185.5300000000007</v>
      </c>
      <c r="AK63" s="134">
        <f>SUMPRODUCT(-('Gastos Gerais'!$B$4:$B$3632=Analítico!$B63),-(Analítico!AK$3&gt;='Gastos Gerais'!$D$4:$D$3632),-(Analítico!AK$3&lt;='Gastos Gerais'!$E$4:$E$3632),-('Gastos Gerais'!$C$4:$C$3632))</f>
        <v>8185.5300000000007</v>
      </c>
      <c r="AL63" s="134">
        <f>SUMPRODUCT(-('Gastos Gerais'!$B$4:$B$3632=Analítico!$B63),-(Analítico!AL$3&gt;='Gastos Gerais'!$D$4:$D$3632),-(Analítico!AL$3&lt;='Gastos Gerais'!$E$4:$E$3632),-('Gastos Gerais'!$C$4:$C$3632))</f>
        <v>8185.5300000000007</v>
      </c>
      <c r="AM63" s="134">
        <f>SUMPRODUCT(-('Gastos Gerais'!$B$4:$B$3632=Analítico!$B63),-(Analítico!AM$3&gt;='Gastos Gerais'!$D$4:$D$3632),-(Analítico!AM$3&lt;='Gastos Gerais'!$E$4:$E$3632),-('Gastos Gerais'!$C$4:$C$3632))</f>
        <v>8185.5300000000007</v>
      </c>
      <c r="AN63" s="134">
        <f>SUMPRODUCT(-('Gastos Gerais'!$B$4:$B$3632=Analítico!$B63),-(Analítico!AN$3&gt;='Gastos Gerais'!$D$4:$D$3632),-(Analítico!AN$3&lt;='Gastos Gerais'!$E$4:$E$3632),-('Gastos Gerais'!$C$4:$C$3632))</f>
        <v>34201.440000000002</v>
      </c>
      <c r="AO63" s="134">
        <f>SUMPRODUCT(-('Gastos Gerais'!$B$4:$B$3632=Analítico!$B63),-(Analítico!AO$3&gt;='Gastos Gerais'!$D$4:$D$3632),-(Analítico!AO$3&lt;='Gastos Gerais'!$E$4:$E$3632),-('Gastos Gerais'!$C$4:$C$3632))</f>
        <v>36645.130000000005</v>
      </c>
      <c r="AP63" s="134">
        <f>SUMPRODUCT(-('Gastos Gerais'!$B$4:$B$3632=Analítico!$B63),-(Analítico!AP$3&gt;='Gastos Gerais'!$D$4:$D$3632),-(Analítico!AP$3&lt;='Gastos Gerais'!$E$4:$E$3632),-('Gastos Gerais'!$C$4:$C$3632))</f>
        <v>34201.440000000002</v>
      </c>
      <c r="AQ63" s="134">
        <f>SUMPRODUCT(-('Gastos Gerais'!$B$4:$B$3632=Analítico!$B63),-(Analítico!AQ$3&gt;='Gastos Gerais'!$D$4:$D$3632),-(Analítico!AQ$3&lt;='Gastos Gerais'!$E$4:$E$3632),-('Gastos Gerais'!$C$4:$C$3632))</f>
        <v>32143.29</v>
      </c>
      <c r="AR63" s="134">
        <f>SUMPRODUCT(-('Gastos Gerais'!$B$4:$B$3632=Analítico!$B63),-(Analítico!AR$3&gt;='Gastos Gerais'!$D$4:$D$3632),-(Analítico!AR$3&lt;='Gastos Gerais'!$E$4:$E$3632),-('Gastos Gerais'!$C$4:$C$3632))</f>
        <v>15635.22</v>
      </c>
      <c r="AS63" s="134">
        <f>SUMPRODUCT(-('Gastos Gerais'!$B$4:$B$3632=Analítico!$B63),-(Analítico!AS$3&gt;='Gastos Gerais'!$D$4:$D$3632),-(Analítico!AS$3&lt;='Gastos Gerais'!$E$4:$E$3632),-('Gastos Gerais'!$C$4:$C$3632))</f>
        <v>15635.22</v>
      </c>
      <c r="AT63" s="134">
        <f>SUMPRODUCT(-('Gastos Gerais'!$B$4:$B$3632=Analítico!$B63),-(Analítico!AT$3&gt;='Gastos Gerais'!$D$4:$D$3632),-(Analítico!AT$3&lt;='Gastos Gerais'!$E$4:$E$3632),-('Gastos Gerais'!$C$4:$C$3632))</f>
        <v>15635.22</v>
      </c>
      <c r="AU63" s="134">
        <f>SUMPRODUCT(-('Gastos Gerais'!$B$4:$B$3632=Analítico!$B63),-(Analítico!AU$3&gt;='Gastos Gerais'!$D$4:$D$3632),-(Analítico!AU$3&lt;='Gastos Gerais'!$E$4:$E$3632),-('Gastos Gerais'!$C$4:$C$3632))</f>
        <v>8427.64</v>
      </c>
      <c r="AV63" s="134">
        <f>SUMPRODUCT(-('Gastos Gerais'!$B$4:$B$3632=Analítico!$B63),-(Analítico!AV$3&gt;='Gastos Gerais'!$D$4:$D$3632),-(Analítico!AV$3&lt;='Gastos Gerais'!$E$4:$E$3632),-('Gastos Gerais'!$C$4:$C$3632))</f>
        <v>8427.64</v>
      </c>
      <c r="AW63" s="134">
        <f>SUMPRODUCT(-('Gastos Gerais'!$B$4:$B$3632=Analítico!$B63),-(Analítico!AW$3&gt;='Gastos Gerais'!$D$4:$D$3632),-(Analítico!AW$3&lt;='Gastos Gerais'!$E$4:$E$3632),-('Gastos Gerais'!$C$4:$C$3632))</f>
        <v>8427.64</v>
      </c>
      <c r="AX63" s="134">
        <f>SUMPRODUCT(-('Gastos Gerais'!$B$4:$B$3632=Analítico!$B63),-(Analítico!AX$3&gt;='Gastos Gerais'!$D$4:$D$3632),-(Analítico!AX$3&lt;='Gastos Gerais'!$E$4:$E$3632),-('Gastos Gerais'!$C$4:$C$3632))</f>
        <v>8427.64</v>
      </c>
      <c r="AY63" s="134">
        <f>SUMPRODUCT(-('Gastos Gerais'!$B$4:$B$3632=Analítico!$B63),-(Analítico!AY$3&gt;='Gastos Gerais'!$D$4:$D$3632),-(Analítico!AY$3&lt;='Gastos Gerais'!$E$4:$E$3632),-('Gastos Gerais'!$C$4:$C$3632))</f>
        <v>8427.64</v>
      </c>
      <c r="AZ63" s="134">
        <f>SUMPRODUCT(-('Gastos Gerais'!$B$4:$B$3632=Analítico!$B63),-(Analítico!AZ$3&gt;='Gastos Gerais'!$D$4:$D$3632),-(Analítico!AZ$3&lt;='Gastos Gerais'!$E$4:$E$3632),-('Gastos Gerais'!$C$4:$C$3632))</f>
        <v>35961.769999999997</v>
      </c>
      <c r="BA63" s="134">
        <f>SUMPRODUCT(-('Gastos Gerais'!$B$4:$B$3632=Analítico!$B63),-(Analítico!BA$3&gt;='Gastos Gerais'!$D$4:$D$3632),-(Analítico!BA$3&lt;='Gastos Gerais'!$E$4:$E$3632),-('Gastos Gerais'!$C$4:$C$3632))</f>
        <v>38548.17</v>
      </c>
      <c r="BB63" s="134">
        <f>SUMPRODUCT(-('Gastos Gerais'!$B$4:$B$3632=Analítico!$B63),-(Analítico!BB$3&gt;='Gastos Gerais'!$D$4:$D$3632),-(Analítico!BB$3&lt;='Gastos Gerais'!$E$4:$E$3632),-('Gastos Gerais'!$C$4:$C$3632))</f>
        <v>35961.769999999997</v>
      </c>
      <c r="BC63" s="134">
        <f>SUMPRODUCT(-('Gastos Gerais'!$B$4:$B$3632=Analítico!$B63),-(Analítico!BC$3&gt;='Gastos Gerais'!$D$4:$D$3632),-(Analítico!BC$3&lt;='Gastos Gerais'!$E$4:$E$3632),-('Gastos Gerais'!$C$4:$C$3632))</f>
        <v>33783.43</v>
      </c>
      <c r="BD63" s="134">
        <f>SUMPRODUCT(-('Gastos Gerais'!$B$4:$B$3632=Analítico!$B63),-(Analítico!BD$3&gt;='Gastos Gerais'!$D$4:$D$3632),-(Analítico!BD$3&lt;='Gastos Gerais'!$E$4:$E$3632),-('Gastos Gerais'!$C$4:$C$3632))</f>
        <v>16311.31</v>
      </c>
      <c r="BE63" s="134">
        <f>SUMPRODUCT(-('Gastos Gerais'!$B$4:$B$3632=Analítico!$B63),-(Analítico!BE$3&gt;='Gastos Gerais'!$D$4:$D$3632),-(Analítico!BE$3&lt;='Gastos Gerais'!$E$4:$E$3632),-('Gastos Gerais'!$C$4:$C$3632))</f>
        <v>16311.31</v>
      </c>
      <c r="BF63" s="134">
        <f>SUMPRODUCT(-('Gastos Gerais'!$B$4:$B$3632=Analítico!$B63),-(Analítico!BF$3&gt;='Gastos Gerais'!$D$4:$D$3632),-(Analítico!BF$3&lt;='Gastos Gerais'!$E$4:$E$3632),-('Gastos Gerais'!$C$4:$C$3632))</f>
        <v>16311.31</v>
      </c>
      <c r="BG63" s="134">
        <f>SUMPRODUCT(-('Gastos Gerais'!$B$4:$B$3632=Analítico!$B63),-(Analítico!BG$3&gt;='Gastos Gerais'!$D$4:$D$3632),-(Analítico!BG$3&lt;='Gastos Gerais'!$E$4:$E$3632),-('Gastos Gerais'!$C$4:$C$3632))</f>
        <v>8682.81</v>
      </c>
      <c r="BH63" s="134">
        <f>SUMPRODUCT(-('Gastos Gerais'!$B$4:$B$3632=Analítico!$B63),-(Analítico!BH$3&gt;='Gastos Gerais'!$D$4:$D$3632),-(Analítico!BH$3&lt;='Gastos Gerais'!$E$4:$E$3632),-('Gastos Gerais'!$C$4:$C$3632))</f>
        <v>8682.81</v>
      </c>
      <c r="BI63" s="134">
        <f>SUMPRODUCT(-('Gastos Gerais'!$B$4:$B$3632=Analítico!$B63),-(Analítico!BI$3&gt;='Gastos Gerais'!$D$4:$D$3632),-(Analítico!BI$3&lt;='Gastos Gerais'!$E$4:$E$3632),-('Gastos Gerais'!$C$4:$C$3632))</f>
        <v>8682.81</v>
      </c>
      <c r="BJ63" s="134">
        <f>SUMPRODUCT(-('Gastos Gerais'!$B$4:$B$3632=Analítico!$B63),-(Analítico!BJ$3&gt;='Gastos Gerais'!$D$4:$D$3632),-(Analítico!BJ$3&lt;='Gastos Gerais'!$E$4:$E$3632),-('Gastos Gerais'!$C$4:$C$3632))</f>
        <v>6896.7800000000007</v>
      </c>
      <c r="BK63" s="189">
        <f t="shared" si="37"/>
        <v>1056269.1600000006</v>
      </c>
      <c r="BL63" s="136">
        <f t="shared" ca="1" si="38"/>
        <v>3.1569823518896901E-3</v>
      </c>
      <c r="BN63" s="134">
        <f>SUMPRODUCT(-('Gastos Gerais'!$B$4:$B$3632=Analítico!$B63),-(Analítico!BN$3&gt;='Gastos Gerais'!$D$4:$D$3632),-(Analítico!BN$3&lt;='Gastos Gerais'!$E$4:$E$3632),-('Gastos Gerais'!$C$4:$C$3632))</f>
        <v>0</v>
      </c>
    </row>
    <row r="64" spans="1:66" s="160" customFormat="1" ht="23.25" customHeight="1">
      <c r="A64" s="229" t="s">
        <v>205</v>
      </c>
      <c r="B64" s="230" t="s">
        <v>206</v>
      </c>
      <c r="C64" s="188">
        <f t="shared" si="36"/>
        <v>6662.597999999999</v>
      </c>
      <c r="D64" s="134">
        <f>SUMPRODUCT(-('Gastos Gerais'!$B$4:$B$3632=Analítico!$B64),-(Analítico!D$3&gt;='Gastos Gerais'!$D$4:$D$3632),-(Analítico!D$3&lt;='Gastos Gerais'!$E$4:$E$3632),-('Gastos Gerais'!$C$4:$C$3632))</f>
        <v>24939.779999999995</v>
      </c>
      <c r="E64" s="134">
        <f>SUMPRODUCT(-('Gastos Gerais'!$B$4:$B$3632=Analítico!$B64),-(Analítico!E$3&gt;='Gastos Gerais'!$D$4:$D$3632),-(Analítico!E$3&lt;='Gastos Gerais'!$E$4:$E$3632),-('Gastos Gerais'!$C$4:$C$3632))</f>
        <v>24939.779999999995</v>
      </c>
      <c r="F64" s="134">
        <f>SUMPRODUCT(-('Gastos Gerais'!$B$4:$B$3632=Analítico!$B64),-(Analítico!F$3&gt;='Gastos Gerais'!$D$4:$D$3632),-(Analítico!F$3&lt;='Gastos Gerais'!$E$4:$E$3632),-('Gastos Gerais'!$C$4:$C$3632))</f>
        <v>24939.779999999995</v>
      </c>
      <c r="G64" s="134">
        <f>SUMPRODUCT(-('Gastos Gerais'!$B$4:$B$3632=Analítico!$B64),-(Analítico!G$3&gt;='Gastos Gerais'!$D$4:$D$3632),-(Analítico!G$3&lt;='Gastos Gerais'!$E$4:$E$3632),-('Gastos Gerais'!$C$4:$C$3632))</f>
        <v>24939.779999999995</v>
      </c>
      <c r="H64" s="134">
        <f>SUMPRODUCT(-('Gastos Gerais'!$B$4:$B$3632=Analítico!$B64),-(Analítico!H$3&gt;='Gastos Gerais'!$D$4:$D$3632),-(Analítico!H$3&lt;='Gastos Gerais'!$E$4:$E$3632),-('Gastos Gerais'!$C$4:$C$3632))</f>
        <v>24939.779999999995</v>
      </c>
      <c r="I64" s="134">
        <f>SUMPRODUCT(-('Gastos Gerais'!$B$4:$B$3632=Analítico!$B64),-(Analítico!I$3&gt;='Gastos Gerais'!$D$4:$D$3632),-(Analítico!I$3&lt;='Gastos Gerais'!$E$4:$E$3632),-('Gastos Gerais'!$C$4:$C$3632))</f>
        <v>24939.779999999995</v>
      </c>
      <c r="J64" s="134">
        <f>SUMPRODUCT(-('Gastos Gerais'!$B$4:$B$3632=Analítico!$B64),-(Analítico!J$3&gt;='Gastos Gerais'!$D$4:$D$3632),-(Analítico!J$3&lt;='Gastos Gerais'!$E$4:$E$3632),-('Gastos Gerais'!$C$4:$C$3632))</f>
        <v>24939.779999999995</v>
      </c>
      <c r="K64" s="134">
        <f>SUMPRODUCT(-('Gastos Gerais'!$B$4:$B$3632=Analítico!$B64),-(Analítico!K$3&gt;='Gastos Gerais'!$D$4:$D$3632),-(Analítico!K$3&lt;='Gastos Gerais'!$E$4:$E$3632),-('Gastos Gerais'!$C$4:$C$3632))</f>
        <v>24939.779999999995</v>
      </c>
      <c r="L64" s="134">
        <f>SUMPRODUCT(-('Gastos Gerais'!$B$4:$B$3632=Analítico!$B64),-(Analítico!L$3&gt;='Gastos Gerais'!$D$4:$D$3632),-(Analítico!L$3&lt;='Gastos Gerais'!$E$4:$E$3632),-('Gastos Gerais'!$C$4:$C$3632))</f>
        <v>24939.779999999995</v>
      </c>
      <c r="M64" s="134">
        <f>SUMPRODUCT(-('Gastos Gerais'!$B$4:$B$3632=Analítico!$B64),-(Analítico!M$3&gt;='Gastos Gerais'!$D$4:$D$3632),-(Analítico!M$3&lt;='Gastos Gerais'!$E$4:$E$3632),-('Gastos Gerais'!$C$4:$C$3632))</f>
        <v>26381.419999999995</v>
      </c>
      <c r="N64" s="134">
        <f>SUMPRODUCT(-('Gastos Gerais'!$B$4:$B$3632=Analítico!$B64),-(Analítico!N$3&gt;='Gastos Gerais'!$D$4:$D$3632),-(Analítico!N$3&lt;='Gastos Gerais'!$E$4:$E$3632),-('Gastos Gerais'!$C$4:$C$3632))</f>
        <v>26381.419999999995</v>
      </c>
      <c r="O64" s="134">
        <f>SUMPRODUCT(-('Gastos Gerais'!$B$4:$B$3632=Analítico!$B64),-(Analítico!O$3&gt;='Gastos Gerais'!$D$4:$D$3632),-(Analítico!O$3&lt;='Gastos Gerais'!$E$4:$E$3632),-('Gastos Gerais'!$C$4:$C$3632))</f>
        <v>27823.059999999994</v>
      </c>
      <c r="P64" s="134">
        <f>SUMPRODUCT(-('Gastos Gerais'!$B$4:$B$3632=Analítico!$B64),-(Analítico!P$3&gt;='Gastos Gerais'!$D$4:$D$3632),-(Analítico!P$3&lt;='Gastos Gerais'!$E$4:$E$3632),-('Gastos Gerais'!$C$4:$C$3632))</f>
        <v>29494.959999999995</v>
      </c>
      <c r="Q64" s="134">
        <f>SUMPRODUCT(-('Gastos Gerais'!$B$4:$B$3632=Analítico!$B64),-(Analítico!Q$3&gt;='Gastos Gerais'!$D$4:$D$3632),-(Analítico!Q$3&lt;='Gastos Gerais'!$E$4:$E$3632),-('Gastos Gerais'!$C$4:$C$3632))</f>
        <v>29494.959999999995</v>
      </c>
      <c r="R64" s="134">
        <f>SUMPRODUCT(-('Gastos Gerais'!$B$4:$B$3632=Analítico!$B64),-(Analítico!R$3&gt;='Gastos Gerais'!$D$4:$D$3632),-(Analítico!R$3&lt;='Gastos Gerais'!$E$4:$E$3632),-('Gastos Gerais'!$C$4:$C$3632))</f>
        <v>29494.959999999995</v>
      </c>
      <c r="S64" s="134">
        <f>SUMPRODUCT(-('Gastos Gerais'!$B$4:$B$3632=Analítico!$B64),-(Analítico!S$3&gt;='Gastos Gerais'!$D$4:$D$3632),-(Analítico!S$3&lt;='Gastos Gerais'!$E$4:$E$3632),-('Gastos Gerais'!$C$4:$C$3632))</f>
        <v>29494.959999999995</v>
      </c>
      <c r="T64" s="134">
        <f>SUMPRODUCT(-('Gastos Gerais'!$B$4:$B$3632=Analítico!$B64),-(Analítico!T$3&gt;='Gastos Gerais'!$D$4:$D$3632),-(Analítico!T$3&lt;='Gastos Gerais'!$E$4:$E$3632),-('Gastos Gerais'!$C$4:$C$3632))</f>
        <v>29494.959999999995</v>
      </c>
      <c r="U64" s="134">
        <f>SUMPRODUCT(-('Gastos Gerais'!$B$4:$B$3632=Analítico!$B64),-(Analítico!U$3&gt;='Gastos Gerais'!$D$4:$D$3632),-(Analítico!U$3&lt;='Gastos Gerais'!$E$4:$E$3632),-('Gastos Gerais'!$C$4:$C$3632))</f>
        <v>29494.959999999995</v>
      </c>
      <c r="V64" s="134">
        <f>SUMPRODUCT(-('Gastos Gerais'!$B$4:$B$3632=Analítico!$B64),-(Analítico!V$3&gt;='Gastos Gerais'!$D$4:$D$3632),-(Analítico!V$3&lt;='Gastos Gerais'!$E$4:$E$3632),-('Gastos Gerais'!$C$4:$C$3632))</f>
        <v>29494.959999999995</v>
      </c>
      <c r="W64" s="134">
        <f>SUMPRODUCT(-('Gastos Gerais'!$B$4:$B$3632=Analítico!$B64),-(Analítico!W$3&gt;='Gastos Gerais'!$D$4:$D$3632),-(Analítico!W$3&lt;='Gastos Gerais'!$E$4:$E$3632),-('Gastos Gerais'!$C$4:$C$3632))</f>
        <v>29494.959999999995</v>
      </c>
      <c r="X64" s="134">
        <f>SUMPRODUCT(-('Gastos Gerais'!$B$4:$B$3632=Analítico!$B64),-(Analítico!X$3&gt;='Gastos Gerais'!$D$4:$D$3632),-(Analítico!X$3&lt;='Gastos Gerais'!$E$4:$E$3632),-('Gastos Gerais'!$C$4:$C$3632))</f>
        <v>29494.959999999995</v>
      </c>
      <c r="Y64" s="134">
        <f>SUMPRODUCT(-('Gastos Gerais'!$B$4:$B$3632=Analítico!$B64),-(Analítico!Y$3&gt;='Gastos Gerais'!$D$4:$D$3632),-(Analítico!Y$3&lt;='Gastos Gerais'!$E$4:$E$3632),-('Gastos Gerais'!$C$4:$C$3632))</f>
        <v>29494.959999999995</v>
      </c>
      <c r="Z64" s="134">
        <f>SUMPRODUCT(-('Gastos Gerais'!$B$4:$B$3632=Analítico!$B64),-(Analítico!Z$3&gt;='Gastos Gerais'!$D$4:$D$3632),-(Analítico!Z$3&lt;='Gastos Gerais'!$E$4:$E$3632),-('Gastos Gerais'!$C$4:$C$3632))</f>
        <v>29494.959999999995</v>
      </c>
      <c r="AA64" s="134">
        <f>SUMPRODUCT(-('Gastos Gerais'!$B$4:$B$3632=Analítico!$B64),-(Analítico!AA$3&gt;='Gastos Gerais'!$D$4:$D$3632),-(Analítico!AA$3&lt;='Gastos Gerais'!$E$4:$E$3632),-('Gastos Gerais'!$C$4:$C$3632))</f>
        <v>29494.959999999995</v>
      </c>
      <c r="AB64" s="134">
        <f>SUMPRODUCT(-('Gastos Gerais'!$B$4:$B$3632=Analítico!$B64),-(Analítico!AB$3&gt;='Gastos Gerais'!$D$4:$D$3632),-(Analítico!AB$3&lt;='Gastos Gerais'!$E$4:$E$3632),-('Gastos Gerais'!$C$4:$C$3632))</f>
        <v>31218.240000000005</v>
      </c>
      <c r="AC64" s="134">
        <f>SUMPRODUCT(-('Gastos Gerais'!$B$4:$B$3632=Analítico!$B64),-(Analítico!AC$3&gt;='Gastos Gerais'!$D$4:$D$3632),-(Analítico!AC$3&lt;='Gastos Gerais'!$E$4:$E$3632),-('Gastos Gerais'!$C$4:$C$3632))</f>
        <v>29645.470000000005</v>
      </c>
      <c r="AD64" s="134">
        <f>SUMPRODUCT(-('Gastos Gerais'!$B$4:$B$3632=Analítico!$B64),-(Analítico!AD$3&gt;='Gastos Gerais'!$D$4:$D$3632),-(Analítico!AD$3&lt;='Gastos Gerais'!$E$4:$E$3632),-('Gastos Gerais'!$C$4:$C$3632))</f>
        <v>29645.470000000005</v>
      </c>
      <c r="AE64" s="134">
        <f>SUMPRODUCT(-('Gastos Gerais'!$B$4:$B$3632=Analítico!$B64),-(Analítico!AE$3&gt;='Gastos Gerais'!$D$4:$D$3632),-(Analítico!AE$3&lt;='Gastos Gerais'!$E$4:$E$3632),-('Gastos Gerais'!$C$4:$C$3632))</f>
        <v>29645.470000000005</v>
      </c>
      <c r="AF64" s="134">
        <f>SUMPRODUCT(-('Gastos Gerais'!$B$4:$B$3632=Analítico!$B64),-(Analítico!AF$3&gt;='Gastos Gerais'!$D$4:$D$3632),-(Analítico!AF$3&lt;='Gastos Gerais'!$E$4:$E$3632),-('Gastos Gerais'!$C$4:$C$3632))</f>
        <v>29645.470000000005</v>
      </c>
      <c r="AG64" s="134">
        <f>SUMPRODUCT(-('Gastos Gerais'!$B$4:$B$3632=Analítico!$B64),-(Analítico!AG$3&gt;='Gastos Gerais'!$D$4:$D$3632),-(Analítico!AG$3&lt;='Gastos Gerais'!$E$4:$E$3632),-('Gastos Gerais'!$C$4:$C$3632))</f>
        <v>29645.470000000005</v>
      </c>
      <c r="AH64" s="134">
        <f>SUMPRODUCT(-('Gastos Gerais'!$B$4:$B$3632=Analítico!$B64),-(Analítico!AH$3&gt;='Gastos Gerais'!$D$4:$D$3632),-(Analítico!AH$3&lt;='Gastos Gerais'!$E$4:$E$3632),-('Gastos Gerais'!$C$4:$C$3632))</f>
        <v>29645.470000000005</v>
      </c>
      <c r="AI64" s="134">
        <f>SUMPRODUCT(-('Gastos Gerais'!$B$4:$B$3632=Analítico!$B64),-(Analítico!AI$3&gt;='Gastos Gerais'!$D$4:$D$3632),-(Analítico!AI$3&lt;='Gastos Gerais'!$E$4:$E$3632),-('Gastos Gerais'!$C$4:$C$3632))</f>
        <v>29645.470000000005</v>
      </c>
      <c r="AJ64" s="134">
        <f>SUMPRODUCT(-('Gastos Gerais'!$B$4:$B$3632=Analítico!$B64),-(Analítico!AJ$3&gt;='Gastos Gerais'!$D$4:$D$3632),-(Analítico!AJ$3&lt;='Gastos Gerais'!$E$4:$E$3632),-('Gastos Gerais'!$C$4:$C$3632))</f>
        <v>29645.470000000005</v>
      </c>
      <c r="AK64" s="134">
        <f>SUMPRODUCT(-('Gastos Gerais'!$B$4:$B$3632=Analítico!$B64),-(Analítico!AK$3&gt;='Gastos Gerais'!$D$4:$D$3632),-(Analítico!AK$3&lt;='Gastos Gerais'!$E$4:$E$3632),-('Gastos Gerais'!$C$4:$C$3632))</f>
        <v>29645.470000000005</v>
      </c>
      <c r="AL64" s="134">
        <f>SUMPRODUCT(-('Gastos Gerais'!$B$4:$B$3632=Analítico!$B64),-(Analítico!AL$3&gt;='Gastos Gerais'!$D$4:$D$3632),-(Analítico!AL$3&lt;='Gastos Gerais'!$E$4:$E$3632),-('Gastos Gerais'!$C$4:$C$3632))</f>
        <v>29645.470000000005</v>
      </c>
      <c r="AM64" s="134">
        <f>SUMPRODUCT(-('Gastos Gerais'!$B$4:$B$3632=Analítico!$B64),-(Analítico!AM$3&gt;='Gastos Gerais'!$D$4:$D$3632),-(Analítico!AM$3&lt;='Gastos Gerais'!$E$4:$E$3632),-('Gastos Gerais'!$C$4:$C$3632))</f>
        <v>29645.470000000005</v>
      </c>
      <c r="AN64" s="134">
        <f>SUMPRODUCT(-('Gastos Gerais'!$B$4:$B$3632=Analítico!$B64),-(Analítico!AN$3&gt;='Gastos Gerais'!$D$4:$D$3632),-(Analítico!AN$3&lt;='Gastos Gerais'!$E$4:$E$3632),-('Gastos Gerais'!$C$4:$C$3632))</f>
        <v>33040.62999999999</v>
      </c>
      <c r="AO64" s="134">
        <f>SUMPRODUCT(-('Gastos Gerais'!$B$4:$B$3632=Analítico!$B64),-(Analítico!AO$3&gt;='Gastos Gerais'!$D$4:$D$3632),-(Analítico!AO$3&lt;='Gastos Gerais'!$E$4:$E$3632),-('Gastos Gerais'!$C$4:$C$3632))</f>
        <v>33040.62999999999</v>
      </c>
      <c r="AP64" s="134">
        <f>SUMPRODUCT(-('Gastos Gerais'!$B$4:$B$3632=Analítico!$B64),-(Analítico!AP$3&gt;='Gastos Gerais'!$D$4:$D$3632),-(Analítico!AP$3&lt;='Gastos Gerais'!$E$4:$E$3632),-('Gastos Gerais'!$C$4:$C$3632))</f>
        <v>33040.62999999999</v>
      </c>
      <c r="AQ64" s="134">
        <f>SUMPRODUCT(-('Gastos Gerais'!$B$4:$B$3632=Analítico!$B64),-(Analítico!AQ$3&gt;='Gastos Gerais'!$D$4:$D$3632),-(Analítico!AQ$3&lt;='Gastos Gerais'!$E$4:$E$3632),-('Gastos Gerais'!$C$4:$C$3632))</f>
        <v>33040.62999999999</v>
      </c>
      <c r="AR64" s="134">
        <f>SUMPRODUCT(-('Gastos Gerais'!$B$4:$B$3632=Analítico!$B64),-(Analítico!AR$3&gt;='Gastos Gerais'!$D$4:$D$3632),-(Analítico!AR$3&lt;='Gastos Gerais'!$E$4:$E$3632),-('Gastos Gerais'!$C$4:$C$3632))</f>
        <v>33040.62999999999</v>
      </c>
      <c r="AS64" s="134">
        <f>SUMPRODUCT(-('Gastos Gerais'!$B$4:$B$3632=Analítico!$B64),-(Analítico!AS$3&gt;='Gastos Gerais'!$D$4:$D$3632),-(Analítico!AS$3&lt;='Gastos Gerais'!$E$4:$E$3632),-('Gastos Gerais'!$C$4:$C$3632))</f>
        <v>33040.62999999999</v>
      </c>
      <c r="AT64" s="134">
        <f>SUMPRODUCT(-('Gastos Gerais'!$B$4:$B$3632=Analítico!$B64),-(Analítico!AT$3&gt;='Gastos Gerais'!$D$4:$D$3632),-(Analítico!AT$3&lt;='Gastos Gerais'!$E$4:$E$3632),-('Gastos Gerais'!$C$4:$C$3632))</f>
        <v>33040.62999999999</v>
      </c>
      <c r="AU64" s="134">
        <f>SUMPRODUCT(-('Gastos Gerais'!$B$4:$B$3632=Analítico!$B64),-(Analítico!AU$3&gt;='Gastos Gerais'!$D$4:$D$3632),-(Analítico!AU$3&lt;='Gastos Gerais'!$E$4:$E$3632),-('Gastos Gerais'!$C$4:$C$3632))</f>
        <v>33040.62999999999</v>
      </c>
      <c r="AV64" s="134">
        <f>SUMPRODUCT(-('Gastos Gerais'!$B$4:$B$3632=Analítico!$B64),-(Analítico!AV$3&gt;='Gastos Gerais'!$D$4:$D$3632),-(Analítico!AV$3&lt;='Gastos Gerais'!$E$4:$E$3632),-('Gastos Gerais'!$C$4:$C$3632))</f>
        <v>33040.62999999999</v>
      </c>
      <c r="AW64" s="134">
        <f>SUMPRODUCT(-('Gastos Gerais'!$B$4:$B$3632=Analítico!$B64),-(Analítico!AW$3&gt;='Gastos Gerais'!$D$4:$D$3632),-(Analítico!AW$3&lt;='Gastos Gerais'!$E$4:$E$3632),-('Gastos Gerais'!$C$4:$C$3632))</f>
        <v>33040.62999999999</v>
      </c>
      <c r="AX64" s="134">
        <f>SUMPRODUCT(-('Gastos Gerais'!$B$4:$B$3632=Analítico!$B64),-(Analítico!AX$3&gt;='Gastos Gerais'!$D$4:$D$3632),-(Analítico!AX$3&lt;='Gastos Gerais'!$E$4:$E$3632),-('Gastos Gerais'!$C$4:$C$3632))</f>
        <v>33040.62999999999</v>
      </c>
      <c r="AY64" s="134">
        <f>SUMPRODUCT(-('Gastos Gerais'!$B$4:$B$3632=Analítico!$B64),-(Analítico!AY$3&gt;='Gastos Gerais'!$D$4:$D$3632),-(Analítico!AY$3&lt;='Gastos Gerais'!$E$4:$E$3632),-('Gastos Gerais'!$C$4:$C$3632))</f>
        <v>33040.62999999999</v>
      </c>
      <c r="AZ64" s="134">
        <f>SUMPRODUCT(-('Gastos Gerais'!$B$4:$B$3632=Analítico!$B64),-(Analítico!AZ$3&gt;='Gastos Gerais'!$D$4:$D$3632),-(Analítico!AZ$3&lt;='Gastos Gerais'!$E$4:$E$3632),-('Gastos Gerais'!$C$4:$C$3632))</f>
        <v>34970.090000000004</v>
      </c>
      <c r="BA64" s="134">
        <f>SUMPRODUCT(-('Gastos Gerais'!$B$4:$B$3632=Analítico!$B64),-(Analítico!BA$3&gt;='Gastos Gerais'!$D$4:$D$3632),-(Analítico!BA$3&lt;='Gastos Gerais'!$E$4:$E$3632),-('Gastos Gerais'!$C$4:$C$3632))</f>
        <v>34970.090000000004</v>
      </c>
      <c r="BB64" s="134">
        <f>SUMPRODUCT(-('Gastos Gerais'!$B$4:$B$3632=Analítico!$B64),-(Analítico!BB$3&gt;='Gastos Gerais'!$D$4:$D$3632),-(Analítico!BB$3&lt;='Gastos Gerais'!$E$4:$E$3632),-('Gastos Gerais'!$C$4:$C$3632))</f>
        <v>34970.090000000004</v>
      </c>
      <c r="BC64" s="134">
        <f>SUMPRODUCT(-('Gastos Gerais'!$B$4:$B$3632=Analítico!$B64),-(Analítico!BC$3&gt;='Gastos Gerais'!$D$4:$D$3632),-(Analítico!BC$3&lt;='Gastos Gerais'!$E$4:$E$3632),-('Gastos Gerais'!$C$4:$C$3632))</f>
        <v>34970.090000000004</v>
      </c>
      <c r="BD64" s="134">
        <f>SUMPRODUCT(-('Gastos Gerais'!$B$4:$B$3632=Analítico!$B64),-(Analítico!BD$3&gt;='Gastos Gerais'!$D$4:$D$3632),-(Analítico!BD$3&lt;='Gastos Gerais'!$E$4:$E$3632),-('Gastos Gerais'!$C$4:$C$3632))</f>
        <v>34970.090000000004</v>
      </c>
      <c r="BE64" s="134">
        <f>SUMPRODUCT(-('Gastos Gerais'!$B$4:$B$3632=Analítico!$B64),-(Analítico!BE$3&gt;='Gastos Gerais'!$D$4:$D$3632),-(Analítico!BE$3&lt;='Gastos Gerais'!$E$4:$E$3632),-('Gastos Gerais'!$C$4:$C$3632))</f>
        <v>34970.090000000004</v>
      </c>
      <c r="BF64" s="134">
        <f>SUMPRODUCT(-('Gastos Gerais'!$B$4:$B$3632=Analítico!$B64),-(Analítico!BF$3&gt;='Gastos Gerais'!$D$4:$D$3632),-(Analítico!BF$3&lt;='Gastos Gerais'!$E$4:$E$3632),-('Gastos Gerais'!$C$4:$C$3632))</f>
        <v>34970.090000000004</v>
      </c>
      <c r="BG64" s="134">
        <f>SUMPRODUCT(-('Gastos Gerais'!$B$4:$B$3632=Analítico!$B64),-(Analítico!BG$3&gt;='Gastos Gerais'!$D$4:$D$3632),-(Analítico!BG$3&lt;='Gastos Gerais'!$E$4:$E$3632),-('Gastos Gerais'!$C$4:$C$3632))</f>
        <v>34970.090000000004</v>
      </c>
      <c r="BH64" s="134">
        <f>SUMPRODUCT(-('Gastos Gerais'!$B$4:$B$3632=Analítico!$B64),-(Analítico!BH$3&gt;='Gastos Gerais'!$D$4:$D$3632),-(Analítico!BH$3&lt;='Gastos Gerais'!$E$4:$E$3632),-('Gastos Gerais'!$C$4:$C$3632))</f>
        <v>34970.090000000004</v>
      </c>
      <c r="BI64" s="134">
        <f>SUMPRODUCT(-('Gastos Gerais'!$B$4:$B$3632=Analítico!$B64),-(Analítico!BI$3&gt;='Gastos Gerais'!$D$4:$D$3632),-(Analítico!BI$3&lt;='Gastos Gerais'!$E$4:$E$3632),-('Gastos Gerais'!$C$4:$C$3632))</f>
        <v>34970.090000000004</v>
      </c>
      <c r="BJ64" s="134">
        <f>SUMPRODUCT(-('Gastos Gerais'!$B$4:$B$3632=Analítico!$B64),-(Analítico!BJ$3&gt;='Gastos Gerais'!$D$4:$D$3632),-(Analítico!BJ$3&lt;='Gastos Gerais'!$E$4:$E$3632),-('Gastos Gerais'!$C$4:$C$3632))</f>
        <v>34970.090000000004</v>
      </c>
      <c r="BK64" s="189">
        <f t="shared" si="37"/>
        <v>1804122.9979999992</v>
      </c>
      <c r="BL64" s="136">
        <f t="shared" ca="1" si="38"/>
        <v>5.3921715042066672E-3</v>
      </c>
      <c r="BN64" s="134">
        <f>SUMPRODUCT(-('Gastos Gerais'!$B$4:$B$3632=Analítico!$B64),-(Analítico!BN$3&gt;='Gastos Gerais'!$D$4:$D$3632),-(Analítico!BN$3&lt;='Gastos Gerais'!$E$4:$E$3632),-('Gastos Gerais'!$C$4:$C$3632))</f>
        <v>22208.659999999996</v>
      </c>
    </row>
    <row r="65" spans="1:66" s="160" customFormat="1" ht="23.25" customHeight="1">
      <c r="A65" s="229" t="s">
        <v>207</v>
      </c>
      <c r="B65" s="230" t="s">
        <v>208</v>
      </c>
      <c r="C65" s="188">
        <f t="shared" si="36"/>
        <v>6380.8379999999988</v>
      </c>
      <c r="D65" s="134">
        <f>SUMPRODUCT(-('Gastos Gerais'!$B$4:$B$3632=Analítico!$B65),-(Analítico!D$3&gt;='Gastos Gerais'!$D$4:$D$3632),-(Analítico!D$3&lt;='Gastos Gerais'!$E$4:$E$3632),-('Gastos Gerais'!$C$4:$C$3632))</f>
        <v>24366.899999999994</v>
      </c>
      <c r="E65" s="134">
        <f>SUMPRODUCT(-('Gastos Gerais'!$B$4:$B$3632=Analítico!$B65),-(Analítico!E$3&gt;='Gastos Gerais'!$D$4:$D$3632),-(Analítico!E$3&lt;='Gastos Gerais'!$E$4:$E$3632),-('Gastos Gerais'!$C$4:$C$3632))</f>
        <v>24366.899999999994</v>
      </c>
      <c r="F65" s="134">
        <f>SUMPRODUCT(-('Gastos Gerais'!$B$4:$B$3632=Analítico!$B65),-(Analítico!F$3&gt;='Gastos Gerais'!$D$4:$D$3632),-(Analítico!F$3&lt;='Gastos Gerais'!$E$4:$E$3632),-('Gastos Gerais'!$C$4:$C$3632))</f>
        <v>24366.899999999994</v>
      </c>
      <c r="G65" s="134">
        <f>SUMPRODUCT(-('Gastos Gerais'!$B$4:$B$3632=Analítico!$B65),-(Analítico!G$3&gt;='Gastos Gerais'!$D$4:$D$3632),-(Analítico!G$3&lt;='Gastos Gerais'!$E$4:$E$3632),-('Gastos Gerais'!$C$4:$C$3632))</f>
        <v>24366.899999999994</v>
      </c>
      <c r="H65" s="134">
        <f>SUMPRODUCT(-('Gastos Gerais'!$B$4:$B$3632=Analítico!$B65),-(Analítico!H$3&gt;='Gastos Gerais'!$D$4:$D$3632),-(Analítico!H$3&lt;='Gastos Gerais'!$E$4:$E$3632),-('Gastos Gerais'!$C$4:$C$3632))</f>
        <v>24366.899999999994</v>
      </c>
      <c r="I65" s="134">
        <f>SUMPRODUCT(-('Gastos Gerais'!$B$4:$B$3632=Analítico!$B65),-(Analítico!I$3&gt;='Gastos Gerais'!$D$4:$D$3632),-(Analítico!I$3&lt;='Gastos Gerais'!$E$4:$E$3632),-('Gastos Gerais'!$C$4:$C$3632))</f>
        <v>24366.899999999994</v>
      </c>
      <c r="J65" s="134">
        <f>SUMPRODUCT(-('Gastos Gerais'!$B$4:$B$3632=Analítico!$B65),-(Analítico!J$3&gt;='Gastos Gerais'!$D$4:$D$3632),-(Analítico!J$3&lt;='Gastos Gerais'!$E$4:$E$3632),-('Gastos Gerais'!$C$4:$C$3632))</f>
        <v>24366.899999999994</v>
      </c>
      <c r="K65" s="134">
        <f>SUMPRODUCT(-('Gastos Gerais'!$B$4:$B$3632=Analítico!$B65),-(Analítico!K$3&gt;='Gastos Gerais'!$D$4:$D$3632),-(Analítico!K$3&lt;='Gastos Gerais'!$E$4:$E$3632),-('Gastos Gerais'!$C$4:$C$3632))</f>
        <v>24366.899999999994</v>
      </c>
      <c r="L65" s="134">
        <f>SUMPRODUCT(-('Gastos Gerais'!$B$4:$B$3632=Analítico!$B65),-(Analítico!L$3&gt;='Gastos Gerais'!$D$4:$D$3632),-(Analítico!L$3&lt;='Gastos Gerais'!$E$4:$E$3632),-('Gastos Gerais'!$C$4:$C$3632))</f>
        <v>24366.899999999994</v>
      </c>
      <c r="M65" s="134">
        <f>SUMPRODUCT(-('Gastos Gerais'!$B$4:$B$3632=Analítico!$B65),-(Analítico!M$3&gt;='Gastos Gerais'!$D$4:$D$3632),-(Analítico!M$3&lt;='Gastos Gerais'!$E$4:$E$3632),-('Gastos Gerais'!$C$4:$C$3632))</f>
        <v>26004.899999999994</v>
      </c>
      <c r="N65" s="134">
        <f>SUMPRODUCT(-('Gastos Gerais'!$B$4:$B$3632=Analítico!$B65),-(Analítico!N$3&gt;='Gastos Gerais'!$D$4:$D$3632),-(Analítico!N$3&lt;='Gastos Gerais'!$E$4:$E$3632),-('Gastos Gerais'!$C$4:$C$3632))</f>
        <v>26034.099999999995</v>
      </c>
      <c r="O65" s="134">
        <f>SUMPRODUCT(-('Gastos Gerais'!$B$4:$B$3632=Analítico!$B65),-(Analítico!O$3&gt;='Gastos Gerais'!$D$4:$D$3632),-(Analítico!O$3&lt;='Gastos Gerais'!$E$4:$E$3632),-('Gastos Gerais'!$C$4:$C$3632))</f>
        <v>27672.099999999995</v>
      </c>
      <c r="P65" s="134">
        <f>SUMPRODUCT(-('Gastos Gerais'!$B$4:$B$3632=Analítico!$B65),-(Analítico!P$3&gt;='Gastos Gerais'!$D$4:$D$3632),-(Analítico!P$3&lt;='Gastos Gerais'!$E$4:$E$3632),-('Gastos Gerais'!$C$4:$C$3632))</f>
        <v>28075.669999999995</v>
      </c>
      <c r="Q65" s="134">
        <f>SUMPRODUCT(-('Gastos Gerais'!$B$4:$B$3632=Analítico!$B65),-(Analítico!Q$3&gt;='Gastos Gerais'!$D$4:$D$3632),-(Analítico!Q$3&lt;='Gastos Gerais'!$E$4:$E$3632),-('Gastos Gerais'!$C$4:$C$3632))</f>
        <v>28075.669999999995</v>
      </c>
      <c r="R65" s="134">
        <f>SUMPRODUCT(-('Gastos Gerais'!$B$4:$B$3632=Analítico!$B65),-(Analítico!R$3&gt;='Gastos Gerais'!$D$4:$D$3632),-(Analítico!R$3&lt;='Gastos Gerais'!$E$4:$E$3632),-('Gastos Gerais'!$C$4:$C$3632))</f>
        <v>28075.669999999995</v>
      </c>
      <c r="S65" s="134">
        <f>SUMPRODUCT(-('Gastos Gerais'!$B$4:$B$3632=Analítico!$B65),-(Analítico!S$3&gt;='Gastos Gerais'!$D$4:$D$3632),-(Analítico!S$3&lt;='Gastos Gerais'!$E$4:$E$3632),-('Gastos Gerais'!$C$4:$C$3632))</f>
        <v>28075.669999999995</v>
      </c>
      <c r="T65" s="134">
        <f>SUMPRODUCT(-('Gastos Gerais'!$B$4:$B$3632=Analítico!$B65),-(Analítico!T$3&gt;='Gastos Gerais'!$D$4:$D$3632),-(Analítico!T$3&lt;='Gastos Gerais'!$E$4:$E$3632),-('Gastos Gerais'!$C$4:$C$3632))</f>
        <v>28075.669999999995</v>
      </c>
      <c r="U65" s="134">
        <f>SUMPRODUCT(-('Gastos Gerais'!$B$4:$B$3632=Analítico!$B65),-(Analítico!U$3&gt;='Gastos Gerais'!$D$4:$D$3632),-(Analítico!U$3&lt;='Gastos Gerais'!$E$4:$E$3632),-('Gastos Gerais'!$C$4:$C$3632))</f>
        <v>28075.669999999995</v>
      </c>
      <c r="V65" s="134">
        <f>SUMPRODUCT(-('Gastos Gerais'!$B$4:$B$3632=Analítico!$B65),-(Analítico!V$3&gt;='Gastos Gerais'!$D$4:$D$3632),-(Analítico!V$3&lt;='Gastos Gerais'!$E$4:$E$3632),-('Gastos Gerais'!$C$4:$C$3632))</f>
        <v>28075.669999999995</v>
      </c>
      <c r="W65" s="134">
        <f>SUMPRODUCT(-('Gastos Gerais'!$B$4:$B$3632=Analítico!$B65),-(Analítico!W$3&gt;='Gastos Gerais'!$D$4:$D$3632),-(Analítico!W$3&lt;='Gastos Gerais'!$E$4:$E$3632),-('Gastos Gerais'!$C$4:$C$3632))</f>
        <v>28075.669999999995</v>
      </c>
      <c r="X65" s="134">
        <f>SUMPRODUCT(-('Gastos Gerais'!$B$4:$B$3632=Analítico!$B65),-(Analítico!X$3&gt;='Gastos Gerais'!$D$4:$D$3632),-(Analítico!X$3&lt;='Gastos Gerais'!$E$4:$E$3632),-('Gastos Gerais'!$C$4:$C$3632))</f>
        <v>28075.669999999995</v>
      </c>
      <c r="Y65" s="134">
        <f>SUMPRODUCT(-('Gastos Gerais'!$B$4:$B$3632=Analítico!$B65),-(Analítico!Y$3&gt;='Gastos Gerais'!$D$4:$D$3632),-(Analítico!Y$3&lt;='Gastos Gerais'!$E$4:$E$3632),-('Gastos Gerais'!$C$4:$C$3632))</f>
        <v>28075.669999999995</v>
      </c>
      <c r="Z65" s="134">
        <f>SUMPRODUCT(-('Gastos Gerais'!$B$4:$B$3632=Analítico!$B65),-(Analítico!Z$3&gt;='Gastos Gerais'!$D$4:$D$3632),-(Analítico!Z$3&lt;='Gastos Gerais'!$E$4:$E$3632),-('Gastos Gerais'!$C$4:$C$3632))</f>
        <v>28106.569999999992</v>
      </c>
      <c r="AA65" s="134">
        <f>SUMPRODUCT(-('Gastos Gerais'!$B$4:$B$3632=Analítico!$B65),-(Analítico!AA$3&gt;='Gastos Gerais'!$D$4:$D$3632),-(Analítico!AA$3&lt;='Gastos Gerais'!$E$4:$E$3632),-('Gastos Gerais'!$C$4:$C$3632))</f>
        <v>28106.569999999992</v>
      </c>
      <c r="AB65" s="134">
        <f>SUMPRODUCT(-('Gastos Gerais'!$B$4:$B$3632=Analítico!$B65),-(Analítico!AB$3&gt;='Gastos Gerais'!$D$4:$D$3632),-(Analítico!AB$3&lt;='Gastos Gerais'!$E$4:$E$3632),-('Gastos Gerais'!$C$4:$C$3632))</f>
        <v>29680.240000000005</v>
      </c>
      <c r="AC65" s="134">
        <f>SUMPRODUCT(-('Gastos Gerais'!$B$4:$B$3632=Analítico!$B65),-(Analítico!AC$3&gt;='Gastos Gerais'!$D$4:$D$3632),-(Analítico!AC$3&lt;='Gastos Gerais'!$E$4:$E$3632),-('Gastos Gerais'!$C$4:$C$3632))</f>
        <v>27682.910000000003</v>
      </c>
      <c r="AD65" s="134">
        <f>SUMPRODUCT(-('Gastos Gerais'!$B$4:$B$3632=Analítico!$B65),-(Analítico!AD$3&gt;='Gastos Gerais'!$D$4:$D$3632),-(Analítico!AD$3&lt;='Gastos Gerais'!$E$4:$E$3632),-('Gastos Gerais'!$C$4:$C$3632))</f>
        <v>27682.910000000003</v>
      </c>
      <c r="AE65" s="134">
        <f>SUMPRODUCT(-('Gastos Gerais'!$B$4:$B$3632=Analítico!$B65),-(Analítico!AE$3&gt;='Gastos Gerais'!$D$4:$D$3632),-(Analítico!AE$3&lt;='Gastos Gerais'!$E$4:$E$3632),-('Gastos Gerais'!$C$4:$C$3632))</f>
        <v>27682.910000000003</v>
      </c>
      <c r="AF65" s="134">
        <f>SUMPRODUCT(-('Gastos Gerais'!$B$4:$B$3632=Analítico!$B65),-(Analítico!AF$3&gt;='Gastos Gerais'!$D$4:$D$3632),-(Analítico!AF$3&lt;='Gastos Gerais'!$E$4:$E$3632),-('Gastos Gerais'!$C$4:$C$3632))</f>
        <v>27682.910000000003</v>
      </c>
      <c r="AG65" s="134">
        <f>SUMPRODUCT(-('Gastos Gerais'!$B$4:$B$3632=Analítico!$B65),-(Analítico!AG$3&gt;='Gastos Gerais'!$D$4:$D$3632),-(Analítico!AG$3&lt;='Gastos Gerais'!$E$4:$E$3632),-('Gastos Gerais'!$C$4:$C$3632))</f>
        <v>27682.910000000003</v>
      </c>
      <c r="AH65" s="134">
        <f>SUMPRODUCT(-('Gastos Gerais'!$B$4:$B$3632=Analítico!$B65),-(Analítico!AH$3&gt;='Gastos Gerais'!$D$4:$D$3632),-(Analítico!AH$3&lt;='Gastos Gerais'!$E$4:$E$3632),-('Gastos Gerais'!$C$4:$C$3632))</f>
        <v>27682.910000000003</v>
      </c>
      <c r="AI65" s="134">
        <f>SUMPRODUCT(-('Gastos Gerais'!$B$4:$B$3632=Analítico!$B65),-(Analítico!AI$3&gt;='Gastos Gerais'!$D$4:$D$3632),-(Analítico!AI$3&lt;='Gastos Gerais'!$E$4:$E$3632),-('Gastos Gerais'!$C$4:$C$3632))</f>
        <v>27682.910000000003</v>
      </c>
      <c r="AJ65" s="134">
        <f>SUMPRODUCT(-('Gastos Gerais'!$B$4:$B$3632=Analítico!$B65),-(Analítico!AJ$3&gt;='Gastos Gerais'!$D$4:$D$3632),-(Analítico!AJ$3&lt;='Gastos Gerais'!$E$4:$E$3632),-('Gastos Gerais'!$C$4:$C$3632))</f>
        <v>27682.910000000003</v>
      </c>
      <c r="AK65" s="134">
        <f>SUMPRODUCT(-('Gastos Gerais'!$B$4:$B$3632=Analítico!$B65),-(Analítico!AK$3&gt;='Gastos Gerais'!$D$4:$D$3632),-(Analítico!AK$3&lt;='Gastos Gerais'!$E$4:$E$3632),-('Gastos Gerais'!$C$4:$C$3632))</f>
        <v>27682.910000000003</v>
      </c>
      <c r="AL65" s="134">
        <f>SUMPRODUCT(-('Gastos Gerais'!$B$4:$B$3632=Analítico!$B65),-(Analítico!AL$3&gt;='Gastos Gerais'!$D$4:$D$3632),-(Analítico!AL$3&lt;='Gastos Gerais'!$E$4:$E$3632),-('Gastos Gerais'!$C$4:$C$3632))</f>
        <v>27715.620000000006</v>
      </c>
      <c r="AM65" s="134">
        <f>SUMPRODUCT(-('Gastos Gerais'!$B$4:$B$3632=Analítico!$B65),-(Analítico!AM$3&gt;='Gastos Gerais'!$D$4:$D$3632),-(Analítico!AM$3&lt;='Gastos Gerais'!$E$4:$E$3632),-('Gastos Gerais'!$C$4:$C$3632))</f>
        <v>27715.620000000006</v>
      </c>
      <c r="AN65" s="134">
        <f>SUMPRODUCT(-('Gastos Gerais'!$B$4:$B$3632=Analítico!$B65),-(Analítico!AN$3&gt;='Gastos Gerais'!$D$4:$D$3632),-(Analítico!AN$3&lt;='Gastos Gerais'!$E$4:$E$3632),-('Gastos Gerais'!$C$4:$C$3632))</f>
        <v>31378.560000000001</v>
      </c>
      <c r="AO65" s="134">
        <f>SUMPRODUCT(-('Gastos Gerais'!$B$4:$B$3632=Analítico!$B65),-(Analítico!AO$3&gt;='Gastos Gerais'!$D$4:$D$3632),-(Analítico!AO$3&lt;='Gastos Gerais'!$E$4:$E$3632),-('Gastos Gerais'!$C$4:$C$3632))</f>
        <v>31378.560000000001</v>
      </c>
      <c r="AP65" s="134">
        <f>SUMPRODUCT(-('Gastos Gerais'!$B$4:$B$3632=Analítico!$B65),-(Analítico!AP$3&gt;='Gastos Gerais'!$D$4:$D$3632),-(Analítico!AP$3&lt;='Gastos Gerais'!$E$4:$E$3632),-('Gastos Gerais'!$C$4:$C$3632))</f>
        <v>31378.560000000001</v>
      </c>
      <c r="AQ65" s="134">
        <f>SUMPRODUCT(-('Gastos Gerais'!$B$4:$B$3632=Analítico!$B65),-(Analítico!AQ$3&gt;='Gastos Gerais'!$D$4:$D$3632),-(Analítico!AQ$3&lt;='Gastos Gerais'!$E$4:$E$3632),-('Gastos Gerais'!$C$4:$C$3632))</f>
        <v>31378.560000000001</v>
      </c>
      <c r="AR65" s="134">
        <f>SUMPRODUCT(-('Gastos Gerais'!$B$4:$B$3632=Analítico!$B65),-(Analítico!AR$3&gt;='Gastos Gerais'!$D$4:$D$3632),-(Analítico!AR$3&lt;='Gastos Gerais'!$E$4:$E$3632),-('Gastos Gerais'!$C$4:$C$3632))</f>
        <v>31378.560000000001</v>
      </c>
      <c r="AS65" s="134">
        <f>SUMPRODUCT(-('Gastos Gerais'!$B$4:$B$3632=Analítico!$B65),-(Analítico!AS$3&gt;='Gastos Gerais'!$D$4:$D$3632),-(Analítico!AS$3&lt;='Gastos Gerais'!$E$4:$E$3632),-('Gastos Gerais'!$C$4:$C$3632))</f>
        <v>31378.560000000001</v>
      </c>
      <c r="AT65" s="134">
        <f>SUMPRODUCT(-('Gastos Gerais'!$B$4:$B$3632=Analítico!$B65),-(Analítico!AT$3&gt;='Gastos Gerais'!$D$4:$D$3632),-(Analítico!AT$3&lt;='Gastos Gerais'!$E$4:$E$3632),-('Gastos Gerais'!$C$4:$C$3632))</f>
        <v>31378.560000000001</v>
      </c>
      <c r="AU65" s="134">
        <f>SUMPRODUCT(-('Gastos Gerais'!$B$4:$B$3632=Analítico!$B65),-(Analítico!AU$3&gt;='Gastos Gerais'!$D$4:$D$3632),-(Analítico!AU$3&lt;='Gastos Gerais'!$E$4:$E$3632),-('Gastos Gerais'!$C$4:$C$3632))</f>
        <v>31378.560000000001</v>
      </c>
      <c r="AV65" s="134">
        <f>SUMPRODUCT(-('Gastos Gerais'!$B$4:$B$3632=Analítico!$B65),-(Analítico!AV$3&gt;='Gastos Gerais'!$D$4:$D$3632),-(Analítico!AV$3&lt;='Gastos Gerais'!$E$4:$E$3632),-('Gastos Gerais'!$C$4:$C$3632))</f>
        <v>31378.560000000001</v>
      </c>
      <c r="AW65" s="134">
        <f>SUMPRODUCT(-('Gastos Gerais'!$B$4:$B$3632=Analítico!$B65),-(Analítico!AW$3&gt;='Gastos Gerais'!$D$4:$D$3632),-(Analítico!AW$3&lt;='Gastos Gerais'!$E$4:$E$3632),-('Gastos Gerais'!$C$4:$C$3632))</f>
        <v>31378.560000000001</v>
      </c>
      <c r="AX65" s="134">
        <f>SUMPRODUCT(-('Gastos Gerais'!$B$4:$B$3632=Analítico!$B65),-(Analítico!AX$3&gt;='Gastos Gerais'!$D$4:$D$3632),-(Analítico!AX$3&lt;='Gastos Gerais'!$E$4:$E$3632),-('Gastos Gerais'!$C$4:$C$3632))</f>
        <v>31413.18</v>
      </c>
      <c r="AY65" s="134">
        <f>SUMPRODUCT(-('Gastos Gerais'!$B$4:$B$3632=Analítico!$B65),-(Analítico!AY$3&gt;='Gastos Gerais'!$D$4:$D$3632),-(Analítico!AY$3&lt;='Gastos Gerais'!$E$4:$E$3632),-('Gastos Gerais'!$C$4:$C$3632))</f>
        <v>31413.18</v>
      </c>
      <c r="AZ65" s="134">
        <f>SUMPRODUCT(-('Gastos Gerais'!$B$4:$B$3632=Analítico!$B65),-(Analítico!AZ$3&gt;='Gastos Gerais'!$D$4:$D$3632),-(Analítico!AZ$3&lt;='Gastos Gerais'!$E$4:$E$3632),-('Gastos Gerais'!$C$4:$C$3632))</f>
        <v>33175.99</v>
      </c>
      <c r="BA65" s="134">
        <f>SUMPRODUCT(-('Gastos Gerais'!$B$4:$B$3632=Analítico!$B65),-(Analítico!BA$3&gt;='Gastos Gerais'!$D$4:$D$3632),-(Analítico!BA$3&lt;='Gastos Gerais'!$E$4:$E$3632),-('Gastos Gerais'!$C$4:$C$3632))</f>
        <v>33175.99</v>
      </c>
      <c r="BB65" s="134">
        <f>SUMPRODUCT(-('Gastos Gerais'!$B$4:$B$3632=Analítico!$B65),-(Analítico!BB$3&gt;='Gastos Gerais'!$D$4:$D$3632),-(Analítico!BB$3&lt;='Gastos Gerais'!$E$4:$E$3632),-('Gastos Gerais'!$C$4:$C$3632))</f>
        <v>33175.99</v>
      </c>
      <c r="BC65" s="134">
        <f>SUMPRODUCT(-('Gastos Gerais'!$B$4:$B$3632=Analítico!$B65),-(Analítico!BC$3&gt;='Gastos Gerais'!$D$4:$D$3632),-(Analítico!BC$3&lt;='Gastos Gerais'!$E$4:$E$3632),-('Gastos Gerais'!$C$4:$C$3632))</f>
        <v>33175.99</v>
      </c>
      <c r="BD65" s="134">
        <f>SUMPRODUCT(-('Gastos Gerais'!$B$4:$B$3632=Analítico!$B65),-(Analítico!BD$3&gt;='Gastos Gerais'!$D$4:$D$3632),-(Analítico!BD$3&lt;='Gastos Gerais'!$E$4:$E$3632),-('Gastos Gerais'!$C$4:$C$3632))</f>
        <v>33175.99</v>
      </c>
      <c r="BE65" s="134">
        <f>SUMPRODUCT(-('Gastos Gerais'!$B$4:$B$3632=Analítico!$B65),-(Analítico!BE$3&gt;='Gastos Gerais'!$D$4:$D$3632),-(Analítico!BE$3&lt;='Gastos Gerais'!$E$4:$E$3632),-('Gastos Gerais'!$C$4:$C$3632))</f>
        <v>33175.99</v>
      </c>
      <c r="BF65" s="134">
        <f>SUMPRODUCT(-('Gastos Gerais'!$B$4:$B$3632=Analítico!$B65),-(Analítico!BF$3&gt;='Gastos Gerais'!$D$4:$D$3632),-(Analítico!BF$3&lt;='Gastos Gerais'!$E$4:$E$3632),-('Gastos Gerais'!$C$4:$C$3632))</f>
        <v>33175.99</v>
      </c>
      <c r="BG65" s="134">
        <f>SUMPRODUCT(-('Gastos Gerais'!$B$4:$B$3632=Analítico!$B65),-(Analítico!BG$3&gt;='Gastos Gerais'!$D$4:$D$3632),-(Analítico!BG$3&lt;='Gastos Gerais'!$E$4:$E$3632),-('Gastos Gerais'!$C$4:$C$3632))</f>
        <v>33175.99</v>
      </c>
      <c r="BH65" s="134">
        <f>SUMPRODUCT(-('Gastos Gerais'!$B$4:$B$3632=Analítico!$B65),-(Analítico!BH$3&gt;='Gastos Gerais'!$D$4:$D$3632),-(Analítico!BH$3&lt;='Gastos Gerais'!$E$4:$E$3632),-('Gastos Gerais'!$C$4:$C$3632))</f>
        <v>33175.99</v>
      </c>
      <c r="BI65" s="134">
        <f>SUMPRODUCT(-('Gastos Gerais'!$B$4:$B$3632=Analítico!$B65),-(Analítico!BI$3&gt;='Gastos Gerais'!$D$4:$D$3632),-(Analítico!BI$3&lt;='Gastos Gerais'!$E$4:$E$3632),-('Gastos Gerais'!$C$4:$C$3632))</f>
        <v>33175.99</v>
      </c>
      <c r="BJ65" s="134">
        <f>SUMPRODUCT(-('Gastos Gerais'!$B$4:$B$3632=Analítico!$B65),-(Analítico!BJ$3&gt;='Gastos Gerais'!$D$4:$D$3632),-(Analítico!BJ$3&lt;='Gastos Gerais'!$E$4:$E$3632),-('Gastos Gerais'!$C$4:$C$3632))</f>
        <v>33175.99</v>
      </c>
      <c r="BK65" s="189">
        <f t="shared" si="37"/>
        <v>1718169.3980000003</v>
      </c>
      <c r="BL65" s="136">
        <f t="shared" ca="1" si="38"/>
        <v>5.1352729706156813E-3</v>
      </c>
      <c r="BN65" s="134">
        <f>SUMPRODUCT(-('Gastos Gerais'!$B$4:$B$3632=Analítico!$B65),-(Analítico!BN$3&gt;='Gastos Gerais'!$D$4:$D$3632),-(Analítico!BN$3&lt;='Gastos Gerais'!$E$4:$E$3632),-('Gastos Gerais'!$C$4:$C$3632))</f>
        <v>21269.459999999995</v>
      </c>
    </row>
    <row r="66" spans="1:66" s="160" customFormat="1" ht="23.25" customHeight="1">
      <c r="A66" s="229" t="s">
        <v>209</v>
      </c>
      <c r="B66" s="230" t="s">
        <v>210</v>
      </c>
      <c r="C66" s="188">
        <f t="shared" si="36"/>
        <v>257.34299999999996</v>
      </c>
      <c r="D66" s="134">
        <f>SUMPRODUCT(-('Gastos Gerais'!$B$4:$B$3632=Analítico!$B66),-(Analítico!D$3&gt;='Gastos Gerais'!$D$4:$D$3632),-(Analítico!D$3&lt;='Gastos Gerais'!$E$4:$E$3632),-('Gastos Gerais'!$C$4:$C$3632))</f>
        <v>952.76</v>
      </c>
      <c r="E66" s="134">
        <f>SUMPRODUCT(-('Gastos Gerais'!$B$4:$B$3632=Analítico!$B66),-(Analítico!E$3&gt;='Gastos Gerais'!$D$4:$D$3632),-(Analítico!E$3&lt;='Gastos Gerais'!$E$4:$E$3632),-('Gastos Gerais'!$C$4:$C$3632))</f>
        <v>952.76</v>
      </c>
      <c r="F66" s="134">
        <f>SUMPRODUCT(-('Gastos Gerais'!$B$4:$B$3632=Analítico!$B66),-(Analítico!F$3&gt;='Gastos Gerais'!$D$4:$D$3632),-(Analítico!F$3&lt;='Gastos Gerais'!$E$4:$E$3632),-('Gastos Gerais'!$C$4:$C$3632))</f>
        <v>952.76</v>
      </c>
      <c r="G66" s="134">
        <f>SUMPRODUCT(-('Gastos Gerais'!$B$4:$B$3632=Analítico!$B66),-(Analítico!G$3&gt;='Gastos Gerais'!$D$4:$D$3632),-(Analítico!G$3&lt;='Gastos Gerais'!$E$4:$E$3632),-('Gastos Gerais'!$C$4:$C$3632))</f>
        <v>952.76</v>
      </c>
      <c r="H66" s="134">
        <f>SUMPRODUCT(-('Gastos Gerais'!$B$4:$B$3632=Analítico!$B66),-(Analítico!H$3&gt;='Gastos Gerais'!$D$4:$D$3632),-(Analítico!H$3&lt;='Gastos Gerais'!$E$4:$E$3632),-('Gastos Gerais'!$C$4:$C$3632))</f>
        <v>952.76</v>
      </c>
      <c r="I66" s="134">
        <f>SUMPRODUCT(-('Gastos Gerais'!$B$4:$B$3632=Analítico!$B66),-(Analítico!I$3&gt;='Gastos Gerais'!$D$4:$D$3632),-(Analítico!I$3&lt;='Gastos Gerais'!$E$4:$E$3632),-('Gastos Gerais'!$C$4:$C$3632))</f>
        <v>952.76</v>
      </c>
      <c r="J66" s="134">
        <f>SUMPRODUCT(-('Gastos Gerais'!$B$4:$B$3632=Analítico!$B66),-(Analítico!J$3&gt;='Gastos Gerais'!$D$4:$D$3632),-(Analítico!J$3&lt;='Gastos Gerais'!$E$4:$E$3632),-('Gastos Gerais'!$C$4:$C$3632))</f>
        <v>952.76</v>
      </c>
      <c r="K66" s="134">
        <f>SUMPRODUCT(-('Gastos Gerais'!$B$4:$B$3632=Analítico!$B66),-(Analítico!K$3&gt;='Gastos Gerais'!$D$4:$D$3632),-(Analítico!K$3&lt;='Gastos Gerais'!$E$4:$E$3632),-('Gastos Gerais'!$C$4:$C$3632))</f>
        <v>952.76</v>
      </c>
      <c r="L66" s="134">
        <f>SUMPRODUCT(-('Gastos Gerais'!$B$4:$B$3632=Analítico!$B66),-(Analítico!L$3&gt;='Gastos Gerais'!$D$4:$D$3632),-(Analítico!L$3&lt;='Gastos Gerais'!$E$4:$E$3632),-('Gastos Gerais'!$C$4:$C$3632))</f>
        <v>952.76</v>
      </c>
      <c r="M66" s="134">
        <f>SUMPRODUCT(-('Gastos Gerais'!$B$4:$B$3632=Analítico!$B66),-(Analítico!M$3&gt;='Gastos Gerais'!$D$4:$D$3632),-(Analítico!M$3&lt;='Gastos Gerais'!$E$4:$E$3632),-('Gastos Gerais'!$C$4:$C$3632))</f>
        <v>992.43999999999983</v>
      </c>
      <c r="N66" s="134">
        <f>SUMPRODUCT(-('Gastos Gerais'!$B$4:$B$3632=Analítico!$B66),-(Analítico!N$3&gt;='Gastos Gerais'!$D$4:$D$3632),-(Analítico!N$3&lt;='Gastos Gerais'!$E$4:$E$3632),-('Gastos Gerais'!$C$4:$C$3632))</f>
        <v>992.43999999999983</v>
      </c>
      <c r="O66" s="134">
        <f>SUMPRODUCT(-('Gastos Gerais'!$B$4:$B$3632=Analítico!$B66),-(Analítico!O$3&gt;='Gastos Gerais'!$D$4:$D$3632),-(Analítico!O$3&lt;='Gastos Gerais'!$E$4:$E$3632),-('Gastos Gerais'!$C$4:$C$3632))</f>
        <v>1032.1199999999999</v>
      </c>
      <c r="P66" s="134">
        <f>SUMPRODUCT(-('Gastos Gerais'!$B$4:$B$3632=Analítico!$B66),-(Analítico!P$3&gt;='Gastos Gerais'!$D$4:$D$3632),-(Analítico!P$3&lt;='Gastos Gerais'!$E$4:$E$3632),-('Gastos Gerais'!$C$4:$C$3632))</f>
        <v>1097.5400000000002</v>
      </c>
      <c r="Q66" s="134">
        <f>SUMPRODUCT(-('Gastos Gerais'!$B$4:$B$3632=Analítico!$B66),-(Analítico!Q$3&gt;='Gastos Gerais'!$D$4:$D$3632),-(Analítico!Q$3&lt;='Gastos Gerais'!$E$4:$E$3632),-('Gastos Gerais'!$C$4:$C$3632))</f>
        <v>1097.5400000000002</v>
      </c>
      <c r="R66" s="134">
        <f>SUMPRODUCT(-('Gastos Gerais'!$B$4:$B$3632=Analítico!$B66),-(Analítico!R$3&gt;='Gastos Gerais'!$D$4:$D$3632),-(Analítico!R$3&lt;='Gastos Gerais'!$E$4:$E$3632),-('Gastos Gerais'!$C$4:$C$3632))</f>
        <v>1097.5400000000002</v>
      </c>
      <c r="S66" s="134">
        <f>SUMPRODUCT(-('Gastos Gerais'!$B$4:$B$3632=Analítico!$B66),-(Analítico!S$3&gt;='Gastos Gerais'!$D$4:$D$3632),-(Analítico!S$3&lt;='Gastos Gerais'!$E$4:$E$3632),-('Gastos Gerais'!$C$4:$C$3632))</f>
        <v>1097.5400000000002</v>
      </c>
      <c r="T66" s="134">
        <f>SUMPRODUCT(-('Gastos Gerais'!$B$4:$B$3632=Analítico!$B66),-(Analítico!T$3&gt;='Gastos Gerais'!$D$4:$D$3632),-(Analítico!T$3&lt;='Gastos Gerais'!$E$4:$E$3632),-('Gastos Gerais'!$C$4:$C$3632))</f>
        <v>1097.5400000000002</v>
      </c>
      <c r="U66" s="134">
        <f>SUMPRODUCT(-('Gastos Gerais'!$B$4:$B$3632=Analítico!$B66),-(Analítico!U$3&gt;='Gastos Gerais'!$D$4:$D$3632),-(Analítico!U$3&lt;='Gastos Gerais'!$E$4:$E$3632),-('Gastos Gerais'!$C$4:$C$3632))</f>
        <v>1097.5400000000002</v>
      </c>
      <c r="V66" s="134">
        <f>SUMPRODUCT(-('Gastos Gerais'!$B$4:$B$3632=Analítico!$B66),-(Analítico!V$3&gt;='Gastos Gerais'!$D$4:$D$3632),-(Analítico!V$3&lt;='Gastos Gerais'!$E$4:$E$3632),-('Gastos Gerais'!$C$4:$C$3632))</f>
        <v>1097.5400000000002</v>
      </c>
      <c r="W66" s="134">
        <f>SUMPRODUCT(-('Gastos Gerais'!$B$4:$B$3632=Analítico!$B66),-(Analítico!W$3&gt;='Gastos Gerais'!$D$4:$D$3632),-(Analítico!W$3&lt;='Gastos Gerais'!$E$4:$E$3632),-('Gastos Gerais'!$C$4:$C$3632))</f>
        <v>1097.5400000000002</v>
      </c>
      <c r="X66" s="134">
        <f>SUMPRODUCT(-('Gastos Gerais'!$B$4:$B$3632=Analítico!$B66),-(Analítico!X$3&gt;='Gastos Gerais'!$D$4:$D$3632),-(Analítico!X$3&lt;='Gastos Gerais'!$E$4:$E$3632),-('Gastos Gerais'!$C$4:$C$3632))</f>
        <v>1097.5400000000002</v>
      </c>
      <c r="Y66" s="134">
        <f>SUMPRODUCT(-('Gastos Gerais'!$B$4:$B$3632=Analítico!$B66),-(Analítico!Y$3&gt;='Gastos Gerais'!$D$4:$D$3632),-(Analítico!Y$3&lt;='Gastos Gerais'!$E$4:$E$3632),-('Gastos Gerais'!$C$4:$C$3632))</f>
        <v>1097.5400000000002</v>
      </c>
      <c r="Z66" s="134">
        <f>SUMPRODUCT(-('Gastos Gerais'!$B$4:$B$3632=Analítico!$B66),-(Analítico!Z$3&gt;='Gastos Gerais'!$D$4:$D$3632),-(Analítico!Z$3&lt;='Gastos Gerais'!$E$4:$E$3632),-('Gastos Gerais'!$C$4:$C$3632))</f>
        <v>1097.5400000000002</v>
      </c>
      <c r="AA66" s="134">
        <f>SUMPRODUCT(-('Gastos Gerais'!$B$4:$B$3632=Analítico!$B66),-(Analítico!AA$3&gt;='Gastos Gerais'!$D$4:$D$3632),-(Analítico!AA$3&lt;='Gastos Gerais'!$E$4:$E$3632),-('Gastos Gerais'!$C$4:$C$3632))</f>
        <v>1097.5400000000002</v>
      </c>
      <c r="AB66" s="134">
        <f>SUMPRODUCT(-('Gastos Gerais'!$B$4:$B$3632=Analítico!$B66),-(Analítico!AB$3&gt;='Gastos Gerais'!$D$4:$D$3632),-(Analítico!AB$3&lt;='Gastos Gerais'!$E$4:$E$3632),-('Gastos Gerais'!$C$4:$C$3632))</f>
        <v>1161.81</v>
      </c>
      <c r="AC66" s="134">
        <f>SUMPRODUCT(-('Gastos Gerais'!$B$4:$B$3632=Analítico!$B66),-(Analítico!AC$3&gt;='Gastos Gerais'!$D$4:$D$3632),-(Analítico!AC$3&lt;='Gastos Gerais'!$E$4:$E$3632),-('Gastos Gerais'!$C$4:$C$3632))</f>
        <v>1119.2399999999998</v>
      </c>
      <c r="AD66" s="134">
        <f>SUMPRODUCT(-('Gastos Gerais'!$B$4:$B$3632=Analítico!$B66),-(Analítico!AD$3&gt;='Gastos Gerais'!$D$4:$D$3632),-(Analítico!AD$3&lt;='Gastos Gerais'!$E$4:$E$3632),-('Gastos Gerais'!$C$4:$C$3632))</f>
        <v>1119.2399999999998</v>
      </c>
      <c r="AE66" s="134">
        <f>SUMPRODUCT(-('Gastos Gerais'!$B$4:$B$3632=Analítico!$B66),-(Analítico!AE$3&gt;='Gastos Gerais'!$D$4:$D$3632),-(Analítico!AE$3&lt;='Gastos Gerais'!$E$4:$E$3632),-('Gastos Gerais'!$C$4:$C$3632))</f>
        <v>1119.2399999999998</v>
      </c>
      <c r="AF66" s="134">
        <f>SUMPRODUCT(-('Gastos Gerais'!$B$4:$B$3632=Analítico!$B66),-(Analítico!AF$3&gt;='Gastos Gerais'!$D$4:$D$3632),-(Analítico!AF$3&lt;='Gastos Gerais'!$E$4:$E$3632),-('Gastos Gerais'!$C$4:$C$3632))</f>
        <v>1119.2399999999998</v>
      </c>
      <c r="AG66" s="134">
        <f>SUMPRODUCT(-('Gastos Gerais'!$B$4:$B$3632=Analítico!$B66),-(Analítico!AG$3&gt;='Gastos Gerais'!$D$4:$D$3632),-(Analítico!AG$3&lt;='Gastos Gerais'!$E$4:$E$3632),-('Gastos Gerais'!$C$4:$C$3632))</f>
        <v>1119.2399999999998</v>
      </c>
      <c r="AH66" s="134">
        <f>SUMPRODUCT(-('Gastos Gerais'!$B$4:$B$3632=Analítico!$B66),-(Analítico!AH$3&gt;='Gastos Gerais'!$D$4:$D$3632),-(Analítico!AH$3&lt;='Gastos Gerais'!$E$4:$E$3632),-('Gastos Gerais'!$C$4:$C$3632))</f>
        <v>1119.2399999999998</v>
      </c>
      <c r="AI66" s="134">
        <f>SUMPRODUCT(-('Gastos Gerais'!$B$4:$B$3632=Analítico!$B66),-(Analítico!AI$3&gt;='Gastos Gerais'!$D$4:$D$3632),-(Analítico!AI$3&lt;='Gastos Gerais'!$E$4:$E$3632),-('Gastos Gerais'!$C$4:$C$3632))</f>
        <v>1119.2399999999998</v>
      </c>
      <c r="AJ66" s="134">
        <f>SUMPRODUCT(-('Gastos Gerais'!$B$4:$B$3632=Analítico!$B66),-(Analítico!AJ$3&gt;='Gastos Gerais'!$D$4:$D$3632),-(Analítico!AJ$3&lt;='Gastos Gerais'!$E$4:$E$3632),-('Gastos Gerais'!$C$4:$C$3632))</f>
        <v>1119.2399999999998</v>
      </c>
      <c r="AK66" s="134">
        <f>SUMPRODUCT(-('Gastos Gerais'!$B$4:$B$3632=Analítico!$B66),-(Analítico!AK$3&gt;='Gastos Gerais'!$D$4:$D$3632),-(Analítico!AK$3&lt;='Gastos Gerais'!$E$4:$E$3632),-('Gastos Gerais'!$C$4:$C$3632))</f>
        <v>1119.2399999999998</v>
      </c>
      <c r="AL66" s="134">
        <f>SUMPRODUCT(-('Gastos Gerais'!$B$4:$B$3632=Analítico!$B66),-(Analítico!AL$3&gt;='Gastos Gerais'!$D$4:$D$3632),-(Analítico!AL$3&lt;='Gastos Gerais'!$E$4:$E$3632),-('Gastos Gerais'!$C$4:$C$3632))</f>
        <v>1119.2399999999998</v>
      </c>
      <c r="AM66" s="134">
        <f>SUMPRODUCT(-('Gastos Gerais'!$B$4:$B$3632=Analítico!$B66),-(Analítico!AM$3&gt;='Gastos Gerais'!$D$4:$D$3632),-(Analítico!AM$3&lt;='Gastos Gerais'!$E$4:$E$3632),-('Gastos Gerais'!$C$4:$C$3632))</f>
        <v>1119.2399999999998</v>
      </c>
      <c r="AN66" s="134">
        <f>SUMPRODUCT(-('Gastos Gerais'!$B$4:$B$3632=Analítico!$B66),-(Analítico!AN$3&gt;='Gastos Gerais'!$D$4:$D$3632),-(Analítico!AN$3&lt;='Gastos Gerais'!$E$4:$E$3632),-('Gastos Gerais'!$C$4:$C$3632))</f>
        <v>1229.9599999999998</v>
      </c>
      <c r="AO66" s="134">
        <f>SUMPRODUCT(-('Gastos Gerais'!$B$4:$B$3632=Analítico!$B66),-(Analítico!AO$3&gt;='Gastos Gerais'!$D$4:$D$3632),-(Analítico!AO$3&lt;='Gastos Gerais'!$E$4:$E$3632),-('Gastos Gerais'!$C$4:$C$3632))</f>
        <v>1229.9599999999998</v>
      </c>
      <c r="AP66" s="134">
        <f>SUMPRODUCT(-('Gastos Gerais'!$B$4:$B$3632=Analítico!$B66),-(Analítico!AP$3&gt;='Gastos Gerais'!$D$4:$D$3632),-(Analítico!AP$3&lt;='Gastos Gerais'!$E$4:$E$3632),-('Gastos Gerais'!$C$4:$C$3632))</f>
        <v>1229.9599999999998</v>
      </c>
      <c r="AQ66" s="134">
        <f>SUMPRODUCT(-('Gastos Gerais'!$B$4:$B$3632=Analítico!$B66),-(Analítico!AQ$3&gt;='Gastos Gerais'!$D$4:$D$3632),-(Analítico!AQ$3&lt;='Gastos Gerais'!$E$4:$E$3632),-('Gastos Gerais'!$C$4:$C$3632))</f>
        <v>1229.9599999999998</v>
      </c>
      <c r="AR66" s="134">
        <f>SUMPRODUCT(-('Gastos Gerais'!$B$4:$B$3632=Analítico!$B66),-(Analítico!AR$3&gt;='Gastos Gerais'!$D$4:$D$3632),-(Analítico!AR$3&lt;='Gastos Gerais'!$E$4:$E$3632),-('Gastos Gerais'!$C$4:$C$3632))</f>
        <v>1229.9599999999998</v>
      </c>
      <c r="AS66" s="134">
        <f>SUMPRODUCT(-('Gastos Gerais'!$B$4:$B$3632=Analítico!$B66),-(Analítico!AS$3&gt;='Gastos Gerais'!$D$4:$D$3632),-(Analítico!AS$3&lt;='Gastos Gerais'!$E$4:$E$3632),-('Gastos Gerais'!$C$4:$C$3632))</f>
        <v>1229.9599999999998</v>
      </c>
      <c r="AT66" s="134">
        <f>SUMPRODUCT(-('Gastos Gerais'!$B$4:$B$3632=Analítico!$B66),-(Analítico!AT$3&gt;='Gastos Gerais'!$D$4:$D$3632),-(Analítico!AT$3&lt;='Gastos Gerais'!$E$4:$E$3632),-('Gastos Gerais'!$C$4:$C$3632))</f>
        <v>1229.9599999999998</v>
      </c>
      <c r="AU66" s="134">
        <f>SUMPRODUCT(-('Gastos Gerais'!$B$4:$B$3632=Analítico!$B66),-(Analítico!AU$3&gt;='Gastos Gerais'!$D$4:$D$3632),-(Analítico!AU$3&lt;='Gastos Gerais'!$E$4:$E$3632),-('Gastos Gerais'!$C$4:$C$3632))</f>
        <v>1229.9599999999998</v>
      </c>
      <c r="AV66" s="134">
        <f>SUMPRODUCT(-('Gastos Gerais'!$B$4:$B$3632=Analítico!$B66),-(Analítico!AV$3&gt;='Gastos Gerais'!$D$4:$D$3632),-(Analítico!AV$3&lt;='Gastos Gerais'!$E$4:$E$3632),-('Gastos Gerais'!$C$4:$C$3632))</f>
        <v>1229.9599999999998</v>
      </c>
      <c r="AW66" s="134">
        <f>SUMPRODUCT(-('Gastos Gerais'!$B$4:$B$3632=Analítico!$B66),-(Analítico!AW$3&gt;='Gastos Gerais'!$D$4:$D$3632),-(Analítico!AW$3&lt;='Gastos Gerais'!$E$4:$E$3632),-('Gastos Gerais'!$C$4:$C$3632))</f>
        <v>1229.9599999999998</v>
      </c>
      <c r="AX66" s="134">
        <f>SUMPRODUCT(-('Gastos Gerais'!$B$4:$B$3632=Analítico!$B66),-(Analítico!AX$3&gt;='Gastos Gerais'!$D$4:$D$3632),-(Analítico!AX$3&lt;='Gastos Gerais'!$E$4:$E$3632),-('Gastos Gerais'!$C$4:$C$3632))</f>
        <v>1229.9599999999998</v>
      </c>
      <c r="AY66" s="134">
        <f>SUMPRODUCT(-('Gastos Gerais'!$B$4:$B$3632=Analítico!$B66),-(Analítico!AY$3&gt;='Gastos Gerais'!$D$4:$D$3632),-(Analítico!AY$3&lt;='Gastos Gerais'!$E$4:$E$3632),-('Gastos Gerais'!$C$4:$C$3632))</f>
        <v>1229.9599999999998</v>
      </c>
      <c r="AZ66" s="134">
        <f>SUMPRODUCT(-('Gastos Gerais'!$B$4:$B$3632=Analítico!$B66),-(Analítico!AZ$3&gt;='Gastos Gerais'!$D$4:$D$3632),-(Analítico!AZ$3&lt;='Gastos Gerais'!$E$4:$E$3632),-('Gastos Gerais'!$C$4:$C$3632))</f>
        <v>1301.9099999999999</v>
      </c>
      <c r="BA66" s="134">
        <f>SUMPRODUCT(-('Gastos Gerais'!$B$4:$B$3632=Analítico!$B66),-(Analítico!BA$3&gt;='Gastos Gerais'!$D$4:$D$3632),-(Analítico!BA$3&lt;='Gastos Gerais'!$E$4:$E$3632),-('Gastos Gerais'!$C$4:$C$3632))</f>
        <v>1301.9099999999999</v>
      </c>
      <c r="BB66" s="134">
        <f>SUMPRODUCT(-('Gastos Gerais'!$B$4:$B$3632=Analítico!$B66),-(Analítico!BB$3&gt;='Gastos Gerais'!$D$4:$D$3632),-(Analítico!BB$3&lt;='Gastos Gerais'!$E$4:$E$3632),-('Gastos Gerais'!$C$4:$C$3632))</f>
        <v>1301.9099999999999</v>
      </c>
      <c r="BC66" s="134">
        <f>SUMPRODUCT(-('Gastos Gerais'!$B$4:$B$3632=Analítico!$B66),-(Analítico!BC$3&gt;='Gastos Gerais'!$D$4:$D$3632),-(Analítico!BC$3&lt;='Gastos Gerais'!$E$4:$E$3632),-('Gastos Gerais'!$C$4:$C$3632))</f>
        <v>1301.9099999999999</v>
      </c>
      <c r="BD66" s="134">
        <f>SUMPRODUCT(-('Gastos Gerais'!$B$4:$B$3632=Analítico!$B66),-(Analítico!BD$3&gt;='Gastos Gerais'!$D$4:$D$3632),-(Analítico!BD$3&lt;='Gastos Gerais'!$E$4:$E$3632),-('Gastos Gerais'!$C$4:$C$3632))</f>
        <v>1301.9099999999999</v>
      </c>
      <c r="BE66" s="134">
        <f>SUMPRODUCT(-('Gastos Gerais'!$B$4:$B$3632=Analítico!$B66),-(Analítico!BE$3&gt;='Gastos Gerais'!$D$4:$D$3632),-(Analítico!BE$3&lt;='Gastos Gerais'!$E$4:$E$3632),-('Gastos Gerais'!$C$4:$C$3632))</f>
        <v>1301.9099999999999</v>
      </c>
      <c r="BF66" s="134">
        <f>SUMPRODUCT(-('Gastos Gerais'!$B$4:$B$3632=Analítico!$B66),-(Analítico!BF$3&gt;='Gastos Gerais'!$D$4:$D$3632),-(Analítico!BF$3&lt;='Gastos Gerais'!$E$4:$E$3632),-('Gastos Gerais'!$C$4:$C$3632))</f>
        <v>1301.9099999999999</v>
      </c>
      <c r="BG66" s="134">
        <f>SUMPRODUCT(-('Gastos Gerais'!$B$4:$B$3632=Analítico!$B66),-(Analítico!BG$3&gt;='Gastos Gerais'!$D$4:$D$3632),-(Analítico!BG$3&lt;='Gastos Gerais'!$E$4:$E$3632),-('Gastos Gerais'!$C$4:$C$3632))</f>
        <v>1301.9099999999999</v>
      </c>
      <c r="BH66" s="134">
        <f>SUMPRODUCT(-('Gastos Gerais'!$B$4:$B$3632=Analítico!$B66),-(Analítico!BH$3&gt;='Gastos Gerais'!$D$4:$D$3632),-(Analítico!BH$3&lt;='Gastos Gerais'!$E$4:$E$3632),-('Gastos Gerais'!$C$4:$C$3632))</f>
        <v>1301.9099999999999</v>
      </c>
      <c r="BI66" s="134">
        <f>SUMPRODUCT(-('Gastos Gerais'!$B$4:$B$3632=Analítico!$B66),-(Analítico!BI$3&gt;='Gastos Gerais'!$D$4:$D$3632),-(Analítico!BI$3&lt;='Gastos Gerais'!$E$4:$E$3632),-('Gastos Gerais'!$C$4:$C$3632))</f>
        <v>1301.9099999999999</v>
      </c>
      <c r="BJ66" s="134">
        <f>SUMPRODUCT(-('Gastos Gerais'!$B$4:$B$3632=Analítico!$B66),-(Analítico!BJ$3&gt;='Gastos Gerais'!$D$4:$D$3632),-(Analítico!BJ$3&lt;='Gastos Gerais'!$E$4:$E$3632),-('Gastos Gerais'!$C$4:$C$3632))</f>
        <v>1301.9099999999999</v>
      </c>
      <c r="BK66" s="189">
        <f t="shared" si="37"/>
        <v>67573.643000000011</v>
      </c>
      <c r="BL66" s="136">
        <f t="shared" ca="1" si="38"/>
        <v>2.0196442960040053E-4</v>
      </c>
      <c r="BN66" s="134">
        <f>SUMPRODUCT(-('Gastos Gerais'!$B$4:$B$3632=Analítico!$B66),-(Analítico!BN$3&gt;='Gastos Gerais'!$D$4:$D$3632),-(Analítico!BN$3&lt;='Gastos Gerais'!$E$4:$E$3632),-('Gastos Gerais'!$C$4:$C$3632))</f>
        <v>857.81</v>
      </c>
    </row>
    <row r="67" spans="1:66" s="160" customFormat="1" ht="23.25" customHeight="1">
      <c r="A67" s="229" t="s">
        <v>211</v>
      </c>
      <c r="B67" s="230" t="s">
        <v>212</v>
      </c>
      <c r="C67" s="188">
        <f t="shared" si="36"/>
        <v>1178.6309999999999</v>
      </c>
      <c r="D67" s="134">
        <f>SUMPRODUCT(-('Gastos Gerais'!$B$4:$B$3632=Analítico!$B67),-(Analítico!D$3&gt;='Gastos Gerais'!$D$4:$D$3632),-(Analítico!D$3&lt;='Gastos Gerais'!$E$4:$E$3632),-('Gastos Gerais'!$C$4:$C$3632))</f>
        <v>4649.7499999999982</v>
      </c>
      <c r="E67" s="134">
        <f>SUMPRODUCT(-('Gastos Gerais'!$B$4:$B$3632=Analítico!$B67),-(Analítico!E$3&gt;='Gastos Gerais'!$D$4:$D$3632),-(Analítico!E$3&lt;='Gastos Gerais'!$E$4:$E$3632),-('Gastos Gerais'!$C$4:$C$3632))</f>
        <v>4649.7499999999982</v>
      </c>
      <c r="F67" s="134">
        <f>SUMPRODUCT(-('Gastos Gerais'!$B$4:$B$3632=Analítico!$B67),-(Analítico!F$3&gt;='Gastos Gerais'!$D$4:$D$3632),-(Analítico!F$3&lt;='Gastos Gerais'!$E$4:$E$3632),-('Gastos Gerais'!$C$4:$C$3632))</f>
        <v>4649.7499999999982</v>
      </c>
      <c r="G67" s="134">
        <f>SUMPRODUCT(-('Gastos Gerais'!$B$4:$B$3632=Analítico!$B67),-(Analítico!G$3&gt;='Gastos Gerais'!$D$4:$D$3632),-(Analítico!G$3&lt;='Gastos Gerais'!$E$4:$E$3632),-('Gastos Gerais'!$C$4:$C$3632))</f>
        <v>4649.7499999999982</v>
      </c>
      <c r="H67" s="134">
        <f>SUMPRODUCT(-('Gastos Gerais'!$B$4:$B$3632=Analítico!$B67),-(Analítico!H$3&gt;='Gastos Gerais'!$D$4:$D$3632),-(Analítico!H$3&lt;='Gastos Gerais'!$E$4:$E$3632),-('Gastos Gerais'!$C$4:$C$3632))</f>
        <v>4649.7499999999982</v>
      </c>
      <c r="I67" s="134">
        <f>SUMPRODUCT(-('Gastos Gerais'!$B$4:$B$3632=Analítico!$B67),-(Analítico!I$3&gt;='Gastos Gerais'!$D$4:$D$3632),-(Analítico!I$3&lt;='Gastos Gerais'!$E$4:$E$3632),-('Gastos Gerais'!$C$4:$C$3632))</f>
        <v>4649.7499999999982</v>
      </c>
      <c r="J67" s="134">
        <f>SUMPRODUCT(-('Gastos Gerais'!$B$4:$B$3632=Analítico!$B67),-(Analítico!J$3&gt;='Gastos Gerais'!$D$4:$D$3632),-(Analítico!J$3&lt;='Gastos Gerais'!$E$4:$E$3632),-('Gastos Gerais'!$C$4:$C$3632))</f>
        <v>4649.7499999999982</v>
      </c>
      <c r="K67" s="134">
        <f>SUMPRODUCT(-('Gastos Gerais'!$B$4:$B$3632=Analítico!$B67),-(Analítico!K$3&gt;='Gastos Gerais'!$D$4:$D$3632),-(Analítico!K$3&lt;='Gastos Gerais'!$E$4:$E$3632),-('Gastos Gerais'!$C$4:$C$3632))</f>
        <v>4649.7499999999982</v>
      </c>
      <c r="L67" s="134">
        <f>SUMPRODUCT(-('Gastos Gerais'!$B$4:$B$3632=Analítico!$B67),-(Analítico!L$3&gt;='Gastos Gerais'!$D$4:$D$3632),-(Analítico!L$3&lt;='Gastos Gerais'!$E$4:$E$3632),-('Gastos Gerais'!$C$4:$C$3632))</f>
        <v>4649.7499999999982</v>
      </c>
      <c r="M67" s="134">
        <f>SUMPRODUCT(-('Gastos Gerais'!$B$4:$B$3632=Analítico!$B67),-(Analítico!M$3&gt;='Gastos Gerais'!$D$4:$D$3632),-(Analítico!M$3&lt;='Gastos Gerais'!$E$4:$E$3632),-('Gastos Gerais'!$C$4:$C$3632))</f>
        <v>4885.489999999998</v>
      </c>
      <c r="N67" s="134">
        <f>SUMPRODUCT(-('Gastos Gerais'!$B$4:$B$3632=Analítico!$B67),-(Analítico!N$3&gt;='Gastos Gerais'!$D$4:$D$3632),-(Analítico!N$3&lt;='Gastos Gerais'!$E$4:$E$3632),-('Gastos Gerais'!$C$4:$C$3632))</f>
        <v>4885.489999999998</v>
      </c>
      <c r="O67" s="134">
        <f>SUMPRODUCT(-('Gastos Gerais'!$B$4:$B$3632=Analítico!$B67),-(Analítico!O$3&gt;='Gastos Gerais'!$D$4:$D$3632),-(Analítico!O$3&lt;='Gastos Gerais'!$E$4:$E$3632),-('Gastos Gerais'!$C$4:$C$3632))</f>
        <v>5121.2299999999977</v>
      </c>
      <c r="P67" s="134">
        <f>SUMPRODUCT(-('Gastos Gerais'!$B$4:$B$3632=Analítico!$B67),-(Analítico!P$3&gt;='Gastos Gerais'!$D$4:$D$3632),-(Analítico!P$3&lt;='Gastos Gerais'!$E$4:$E$3632),-('Gastos Gerais'!$C$4:$C$3632))</f>
        <v>5170.7100000000009</v>
      </c>
      <c r="Q67" s="134">
        <f>SUMPRODUCT(-('Gastos Gerais'!$B$4:$B$3632=Analítico!$B67),-(Analítico!Q$3&gt;='Gastos Gerais'!$D$4:$D$3632),-(Analítico!Q$3&lt;='Gastos Gerais'!$E$4:$E$3632),-('Gastos Gerais'!$C$4:$C$3632))</f>
        <v>5170.7100000000009</v>
      </c>
      <c r="R67" s="134">
        <f>SUMPRODUCT(-('Gastos Gerais'!$B$4:$B$3632=Analítico!$B67),-(Analítico!R$3&gt;='Gastos Gerais'!$D$4:$D$3632),-(Analítico!R$3&lt;='Gastos Gerais'!$E$4:$E$3632),-('Gastos Gerais'!$C$4:$C$3632))</f>
        <v>5170.7100000000009</v>
      </c>
      <c r="S67" s="134">
        <f>SUMPRODUCT(-('Gastos Gerais'!$B$4:$B$3632=Analítico!$B67),-(Analítico!S$3&gt;='Gastos Gerais'!$D$4:$D$3632),-(Analítico!S$3&lt;='Gastos Gerais'!$E$4:$E$3632),-('Gastos Gerais'!$C$4:$C$3632))</f>
        <v>5170.7100000000009</v>
      </c>
      <c r="T67" s="134">
        <f>SUMPRODUCT(-('Gastos Gerais'!$B$4:$B$3632=Analítico!$B67),-(Analítico!T$3&gt;='Gastos Gerais'!$D$4:$D$3632),-(Analítico!T$3&lt;='Gastos Gerais'!$E$4:$E$3632),-('Gastos Gerais'!$C$4:$C$3632))</f>
        <v>5170.7100000000009</v>
      </c>
      <c r="U67" s="134">
        <f>SUMPRODUCT(-('Gastos Gerais'!$B$4:$B$3632=Analítico!$B67),-(Analítico!U$3&gt;='Gastos Gerais'!$D$4:$D$3632),-(Analítico!U$3&lt;='Gastos Gerais'!$E$4:$E$3632),-('Gastos Gerais'!$C$4:$C$3632))</f>
        <v>5170.7100000000009</v>
      </c>
      <c r="V67" s="134">
        <f>SUMPRODUCT(-('Gastos Gerais'!$B$4:$B$3632=Analítico!$B67),-(Analítico!V$3&gt;='Gastos Gerais'!$D$4:$D$3632),-(Analítico!V$3&lt;='Gastos Gerais'!$E$4:$E$3632),-('Gastos Gerais'!$C$4:$C$3632))</f>
        <v>5170.7100000000009</v>
      </c>
      <c r="W67" s="134">
        <f>SUMPRODUCT(-('Gastos Gerais'!$B$4:$B$3632=Analítico!$B67),-(Analítico!W$3&gt;='Gastos Gerais'!$D$4:$D$3632),-(Analítico!W$3&lt;='Gastos Gerais'!$E$4:$E$3632),-('Gastos Gerais'!$C$4:$C$3632))</f>
        <v>5170.7100000000009</v>
      </c>
      <c r="X67" s="134">
        <f>SUMPRODUCT(-('Gastos Gerais'!$B$4:$B$3632=Analítico!$B67),-(Analítico!X$3&gt;='Gastos Gerais'!$D$4:$D$3632),-(Analítico!X$3&lt;='Gastos Gerais'!$E$4:$E$3632),-('Gastos Gerais'!$C$4:$C$3632))</f>
        <v>5170.7100000000009</v>
      </c>
      <c r="Y67" s="134">
        <f>SUMPRODUCT(-('Gastos Gerais'!$B$4:$B$3632=Analítico!$B67),-(Analítico!Y$3&gt;='Gastos Gerais'!$D$4:$D$3632),-(Analítico!Y$3&lt;='Gastos Gerais'!$E$4:$E$3632),-('Gastos Gerais'!$C$4:$C$3632))</f>
        <v>5170.7100000000009</v>
      </c>
      <c r="Z67" s="134">
        <f>SUMPRODUCT(-('Gastos Gerais'!$B$4:$B$3632=Analítico!$B67),-(Analítico!Z$3&gt;='Gastos Gerais'!$D$4:$D$3632),-(Analítico!Z$3&lt;='Gastos Gerais'!$E$4:$E$3632),-('Gastos Gerais'!$C$4:$C$3632))</f>
        <v>5170.7100000000009</v>
      </c>
      <c r="AA67" s="134">
        <f>SUMPRODUCT(-('Gastos Gerais'!$B$4:$B$3632=Analítico!$B67),-(Analítico!AA$3&gt;='Gastos Gerais'!$D$4:$D$3632),-(Analítico!AA$3&lt;='Gastos Gerais'!$E$4:$E$3632),-('Gastos Gerais'!$C$4:$C$3632))</f>
        <v>5170.7100000000009</v>
      </c>
      <c r="AB67" s="134">
        <f>SUMPRODUCT(-('Gastos Gerais'!$B$4:$B$3632=Analítico!$B67),-(Analítico!AB$3&gt;='Gastos Gerais'!$D$4:$D$3632),-(Analítico!AB$3&lt;='Gastos Gerais'!$E$4:$E$3632),-('Gastos Gerais'!$C$4:$C$3632))</f>
        <v>5472.6699999999983</v>
      </c>
      <c r="AC67" s="134">
        <f>SUMPRODUCT(-('Gastos Gerais'!$B$4:$B$3632=Analítico!$B67),-(Analítico!AC$3&gt;='Gastos Gerais'!$D$4:$D$3632),-(Analítico!AC$3&lt;='Gastos Gerais'!$E$4:$E$3632),-('Gastos Gerais'!$C$4:$C$3632))</f>
        <v>5208.5999999999985</v>
      </c>
      <c r="AD67" s="134">
        <f>SUMPRODUCT(-('Gastos Gerais'!$B$4:$B$3632=Analítico!$B67),-(Analítico!AD$3&gt;='Gastos Gerais'!$D$4:$D$3632),-(Analítico!AD$3&lt;='Gastos Gerais'!$E$4:$E$3632),-('Gastos Gerais'!$C$4:$C$3632))</f>
        <v>5208.5999999999985</v>
      </c>
      <c r="AE67" s="134">
        <f>SUMPRODUCT(-('Gastos Gerais'!$B$4:$B$3632=Analítico!$B67),-(Analítico!AE$3&gt;='Gastos Gerais'!$D$4:$D$3632),-(Analítico!AE$3&lt;='Gastos Gerais'!$E$4:$E$3632),-('Gastos Gerais'!$C$4:$C$3632))</f>
        <v>5208.5999999999985</v>
      </c>
      <c r="AF67" s="134">
        <f>SUMPRODUCT(-('Gastos Gerais'!$B$4:$B$3632=Analítico!$B67),-(Analítico!AF$3&gt;='Gastos Gerais'!$D$4:$D$3632),-(Analítico!AF$3&lt;='Gastos Gerais'!$E$4:$E$3632),-('Gastos Gerais'!$C$4:$C$3632))</f>
        <v>5208.5999999999985</v>
      </c>
      <c r="AG67" s="134">
        <f>SUMPRODUCT(-('Gastos Gerais'!$B$4:$B$3632=Analítico!$B67),-(Analítico!AG$3&gt;='Gastos Gerais'!$D$4:$D$3632),-(Analítico!AG$3&lt;='Gastos Gerais'!$E$4:$E$3632),-('Gastos Gerais'!$C$4:$C$3632))</f>
        <v>5208.5999999999985</v>
      </c>
      <c r="AH67" s="134">
        <f>SUMPRODUCT(-('Gastos Gerais'!$B$4:$B$3632=Analítico!$B67),-(Analítico!AH$3&gt;='Gastos Gerais'!$D$4:$D$3632),-(Analítico!AH$3&lt;='Gastos Gerais'!$E$4:$E$3632),-('Gastos Gerais'!$C$4:$C$3632))</f>
        <v>5208.5999999999985</v>
      </c>
      <c r="AI67" s="134">
        <f>SUMPRODUCT(-('Gastos Gerais'!$B$4:$B$3632=Analítico!$B67),-(Analítico!AI$3&gt;='Gastos Gerais'!$D$4:$D$3632),-(Analítico!AI$3&lt;='Gastos Gerais'!$E$4:$E$3632),-('Gastos Gerais'!$C$4:$C$3632))</f>
        <v>5208.5999999999985</v>
      </c>
      <c r="AJ67" s="134">
        <f>SUMPRODUCT(-('Gastos Gerais'!$B$4:$B$3632=Analítico!$B67),-(Analítico!AJ$3&gt;='Gastos Gerais'!$D$4:$D$3632),-(Analítico!AJ$3&lt;='Gastos Gerais'!$E$4:$E$3632),-('Gastos Gerais'!$C$4:$C$3632))</f>
        <v>5208.5999999999985</v>
      </c>
      <c r="AK67" s="134">
        <f>SUMPRODUCT(-('Gastos Gerais'!$B$4:$B$3632=Analítico!$B67),-(Analítico!AK$3&gt;='Gastos Gerais'!$D$4:$D$3632),-(Analítico!AK$3&lt;='Gastos Gerais'!$E$4:$E$3632),-('Gastos Gerais'!$C$4:$C$3632))</f>
        <v>5208.5999999999985</v>
      </c>
      <c r="AL67" s="134">
        <f>SUMPRODUCT(-('Gastos Gerais'!$B$4:$B$3632=Analítico!$B67),-(Analítico!AL$3&gt;='Gastos Gerais'!$D$4:$D$3632),-(Analítico!AL$3&lt;='Gastos Gerais'!$E$4:$E$3632),-('Gastos Gerais'!$C$4:$C$3632))</f>
        <v>5208.5999999999985</v>
      </c>
      <c r="AM67" s="134">
        <f>SUMPRODUCT(-('Gastos Gerais'!$B$4:$B$3632=Analítico!$B67),-(Analítico!AM$3&gt;='Gastos Gerais'!$D$4:$D$3632),-(Analítico!AM$3&lt;='Gastos Gerais'!$E$4:$E$3632),-('Gastos Gerais'!$C$4:$C$3632))</f>
        <v>5208.5999999999985</v>
      </c>
      <c r="AN67" s="134">
        <f>SUMPRODUCT(-('Gastos Gerais'!$B$4:$B$3632=Analítico!$B67),-(Analítico!AN$3&gt;='Gastos Gerais'!$D$4:$D$3632),-(Analítico!AN$3&lt;='Gastos Gerais'!$E$4:$E$3632),-('Gastos Gerais'!$C$4:$C$3632))</f>
        <v>5792.38</v>
      </c>
      <c r="AO67" s="134">
        <f>SUMPRODUCT(-('Gastos Gerais'!$B$4:$B$3632=Analítico!$B67),-(Analítico!AO$3&gt;='Gastos Gerais'!$D$4:$D$3632),-(Analítico!AO$3&lt;='Gastos Gerais'!$E$4:$E$3632),-('Gastos Gerais'!$C$4:$C$3632))</f>
        <v>5792.38</v>
      </c>
      <c r="AP67" s="134">
        <f>SUMPRODUCT(-('Gastos Gerais'!$B$4:$B$3632=Analítico!$B67),-(Analítico!AP$3&gt;='Gastos Gerais'!$D$4:$D$3632),-(Analítico!AP$3&lt;='Gastos Gerais'!$E$4:$E$3632),-('Gastos Gerais'!$C$4:$C$3632))</f>
        <v>5792.38</v>
      </c>
      <c r="AQ67" s="134">
        <f>SUMPRODUCT(-('Gastos Gerais'!$B$4:$B$3632=Analítico!$B67),-(Analítico!AQ$3&gt;='Gastos Gerais'!$D$4:$D$3632),-(Analítico!AQ$3&lt;='Gastos Gerais'!$E$4:$E$3632),-('Gastos Gerais'!$C$4:$C$3632))</f>
        <v>5792.38</v>
      </c>
      <c r="AR67" s="134">
        <f>SUMPRODUCT(-('Gastos Gerais'!$B$4:$B$3632=Analítico!$B67),-(Analítico!AR$3&gt;='Gastos Gerais'!$D$4:$D$3632),-(Analítico!AR$3&lt;='Gastos Gerais'!$E$4:$E$3632),-('Gastos Gerais'!$C$4:$C$3632))</f>
        <v>5792.38</v>
      </c>
      <c r="AS67" s="134">
        <f>SUMPRODUCT(-('Gastos Gerais'!$B$4:$B$3632=Analítico!$B67),-(Analítico!AS$3&gt;='Gastos Gerais'!$D$4:$D$3632),-(Analítico!AS$3&lt;='Gastos Gerais'!$E$4:$E$3632),-('Gastos Gerais'!$C$4:$C$3632))</f>
        <v>5792.38</v>
      </c>
      <c r="AT67" s="134">
        <f>SUMPRODUCT(-('Gastos Gerais'!$B$4:$B$3632=Analítico!$B67),-(Analítico!AT$3&gt;='Gastos Gerais'!$D$4:$D$3632),-(Analítico!AT$3&lt;='Gastos Gerais'!$E$4:$E$3632),-('Gastos Gerais'!$C$4:$C$3632))</f>
        <v>5792.38</v>
      </c>
      <c r="AU67" s="134">
        <f>SUMPRODUCT(-('Gastos Gerais'!$B$4:$B$3632=Analítico!$B67),-(Analítico!AU$3&gt;='Gastos Gerais'!$D$4:$D$3632),-(Analítico!AU$3&lt;='Gastos Gerais'!$E$4:$E$3632),-('Gastos Gerais'!$C$4:$C$3632))</f>
        <v>5792.38</v>
      </c>
      <c r="AV67" s="134">
        <f>SUMPRODUCT(-('Gastos Gerais'!$B$4:$B$3632=Analítico!$B67),-(Analítico!AV$3&gt;='Gastos Gerais'!$D$4:$D$3632),-(Analítico!AV$3&lt;='Gastos Gerais'!$E$4:$E$3632),-('Gastos Gerais'!$C$4:$C$3632))</f>
        <v>5792.38</v>
      </c>
      <c r="AW67" s="134">
        <f>SUMPRODUCT(-('Gastos Gerais'!$B$4:$B$3632=Analítico!$B67),-(Analítico!AW$3&gt;='Gastos Gerais'!$D$4:$D$3632),-(Analítico!AW$3&lt;='Gastos Gerais'!$E$4:$E$3632),-('Gastos Gerais'!$C$4:$C$3632))</f>
        <v>5792.38</v>
      </c>
      <c r="AX67" s="134">
        <f>SUMPRODUCT(-('Gastos Gerais'!$B$4:$B$3632=Analítico!$B67),-(Analítico!AX$3&gt;='Gastos Gerais'!$D$4:$D$3632),-(Analítico!AX$3&lt;='Gastos Gerais'!$E$4:$E$3632),-('Gastos Gerais'!$C$4:$C$3632))</f>
        <v>5792.38</v>
      </c>
      <c r="AY67" s="134">
        <f>SUMPRODUCT(-('Gastos Gerais'!$B$4:$B$3632=Analítico!$B67),-(Analítico!AY$3&gt;='Gastos Gerais'!$D$4:$D$3632),-(Analítico!AY$3&lt;='Gastos Gerais'!$E$4:$E$3632),-('Gastos Gerais'!$C$4:$C$3632))</f>
        <v>5792.38</v>
      </c>
      <c r="AZ67" s="134">
        <f>SUMPRODUCT(-('Gastos Gerais'!$B$4:$B$3632=Analítico!$B67),-(Analítico!AZ$3&gt;='Gastos Gerais'!$D$4:$D$3632),-(Analítico!AZ$3&lt;='Gastos Gerais'!$E$4:$E$3632),-('Gastos Gerais'!$C$4:$C$3632))</f>
        <v>6130.6399999999994</v>
      </c>
      <c r="BA67" s="134">
        <f>SUMPRODUCT(-('Gastos Gerais'!$B$4:$B$3632=Analítico!$B67),-(Analítico!BA$3&gt;='Gastos Gerais'!$D$4:$D$3632),-(Analítico!BA$3&lt;='Gastos Gerais'!$E$4:$E$3632),-('Gastos Gerais'!$C$4:$C$3632))</f>
        <v>6130.6399999999994</v>
      </c>
      <c r="BB67" s="134">
        <f>SUMPRODUCT(-('Gastos Gerais'!$B$4:$B$3632=Analítico!$B67),-(Analítico!BB$3&gt;='Gastos Gerais'!$D$4:$D$3632),-(Analítico!BB$3&lt;='Gastos Gerais'!$E$4:$E$3632),-('Gastos Gerais'!$C$4:$C$3632))</f>
        <v>6130.6399999999994</v>
      </c>
      <c r="BC67" s="134">
        <f>SUMPRODUCT(-('Gastos Gerais'!$B$4:$B$3632=Analítico!$B67),-(Analítico!BC$3&gt;='Gastos Gerais'!$D$4:$D$3632),-(Analítico!BC$3&lt;='Gastos Gerais'!$E$4:$E$3632),-('Gastos Gerais'!$C$4:$C$3632))</f>
        <v>6130.6399999999994</v>
      </c>
      <c r="BD67" s="134">
        <f>SUMPRODUCT(-('Gastos Gerais'!$B$4:$B$3632=Analítico!$B67),-(Analítico!BD$3&gt;='Gastos Gerais'!$D$4:$D$3632),-(Analítico!BD$3&lt;='Gastos Gerais'!$E$4:$E$3632),-('Gastos Gerais'!$C$4:$C$3632))</f>
        <v>6130.6399999999994</v>
      </c>
      <c r="BE67" s="134">
        <f>SUMPRODUCT(-('Gastos Gerais'!$B$4:$B$3632=Analítico!$B67),-(Analítico!BE$3&gt;='Gastos Gerais'!$D$4:$D$3632),-(Analítico!BE$3&lt;='Gastos Gerais'!$E$4:$E$3632),-('Gastos Gerais'!$C$4:$C$3632))</f>
        <v>6130.6399999999994</v>
      </c>
      <c r="BF67" s="134">
        <f>SUMPRODUCT(-('Gastos Gerais'!$B$4:$B$3632=Analítico!$B67),-(Analítico!BF$3&gt;='Gastos Gerais'!$D$4:$D$3632),-(Analítico!BF$3&lt;='Gastos Gerais'!$E$4:$E$3632),-('Gastos Gerais'!$C$4:$C$3632))</f>
        <v>6130.6399999999994</v>
      </c>
      <c r="BG67" s="134">
        <f>SUMPRODUCT(-('Gastos Gerais'!$B$4:$B$3632=Analítico!$B67),-(Analítico!BG$3&gt;='Gastos Gerais'!$D$4:$D$3632),-(Analítico!BG$3&lt;='Gastos Gerais'!$E$4:$E$3632),-('Gastos Gerais'!$C$4:$C$3632))</f>
        <v>6130.6399999999994</v>
      </c>
      <c r="BH67" s="134">
        <f>SUMPRODUCT(-('Gastos Gerais'!$B$4:$B$3632=Analítico!$B67),-(Analítico!BH$3&gt;='Gastos Gerais'!$D$4:$D$3632),-(Analítico!BH$3&lt;='Gastos Gerais'!$E$4:$E$3632),-('Gastos Gerais'!$C$4:$C$3632))</f>
        <v>6130.6399999999994</v>
      </c>
      <c r="BI67" s="134">
        <f>SUMPRODUCT(-('Gastos Gerais'!$B$4:$B$3632=Analítico!$B67),-(Analítico!BI$3&gt;='Gastos Gerais'!$D$4:$D$3632),-(Analítico!BI$3&lt;='Gastos Gerais'!$E$4:$E$3632),-('Gastos Gerais'!$C$4:$C$3632))</f>
        <v>6130.6399999999994</v>
      </c>
      <c r="BJ67" s="134">
        <f>SUMPRODUCT(-('Gastos Gerais'!$B$4:$B$3632=Analítico!$B67),-(Analítico!BJ$3&gt;='Gastos Gerais'!$D$4:$D$3632),-(Analítico!BJ$3&lt;='Gastos Gerais'!$E$4:$E$3632),-('Gastos Gerais'!$C$4:$C$3632))</f>
        <v>6130.6399999999994</v>
      </c>
      <c r="BK67" s="189">
        <f t="shared" si="37"/>
        <v>319679.98100000032</v>
      </c>
      <c r="BL67" s="136">
        <f t="shared" ca="1" si="38"/>
        <v>9.5546106663706046E-4</v>
      </c>
      <c r="BN67" s="134">
        <f>SUMPRODUCT(-('Gastos Gerais'!$B$4:$B$3632=Analítico!$B67),-(Analítico!BN$3&gt;='Gastos Gerais'!$D$4:$D$3632),-(Analítico!BN$3&lt;='Gastos Gerais'!$E$4:$E$3632),-('Gastos Gerais'!$C$4:$C$3632))</f>
        <v>3928.7699999999991</v>
      </c>
    </row>
    <row r="68" spans="1:66" s="160" customFormat="1" ht="23.25" customHeight="1">
      <c r="A68" s="229" t="s">
        <v>213</v>
      </c>
      <c r="B68" s="230" t="s">
        <v>214</v>
      </c>
      <c r="C68" s="188">
        <f t="shared" si="36"/>
        <v>650.28000000000009</v>
      </c>
      <c r="D68" s="134">
        <f>SUMPRODUCT(-('Gastos Gerais'!$B$4:$B$3632=Analítico!$B68),-(Analítico!D$3&gt;='Gastos Gerais'!$D$4:$D$3632),-(Analítico!D$3&lt;='Gastos Gerais'!$E$4:$E$3632),-('Gastos Gerais'!$C$4:$C$3632))</f>
        <v>2416.4800000000005</v>
      </c>
      <c r="E68" s="134">
        <f>SUMPRODUCT(-('Gastos Gerais'!$B$4:$B$3632=Analítico!$B68),-(Analítico!E$3&gt;='Gastos Gerais'!$D$4:$D$3632),-(Analítico!E$3&lt;='Gastos Gerais'!$E$4:$E$3632),-('Gastos Gerais'!$C$4:$C$3632))</f>
        <v>2416.4800000000005</v>
      </c>
      <c r="F68" s="134">
        <f>SUMPRODUCT(-('Gastos Gerais'!$B$4:$B$3632=Analítico!$B68),-(Analítico!F$3&gt;='Gastos Gerais'!$D$4:$D$3632),-(Analítico!F$3&lt;='Gastos Gerais'!$E$4:$E$3632),-('Gastos Gerais'!$C$4:$C$3632))</f>
        <v>2416.4800000000005</v>
      </c>
      <c r="G68" s="134">
        <f>SUMPRODUCT(-('Gastos Gerais'!$B$4:$B$3632=Analítico!$B68),-(Analítico!G$3&gt;='Gastos Gerais'!$D$4:$D$3632),-(Analítico!G$3&lt;='Gastos Gerais'!$E$4:$E$3632),-('Gastos Gerais'!$C$4:$C$3632))</f>
        <v>2416.4800000000005</v>
      </c>
      <c r="H68" s="134">
        <f>SUMPRODUCT(-('Gastos Gerais'!$B$4:$B$3632=Analítico!$B68),-(Analítico!H$3&gt;='Gastos Gerais'!$D$4:$D$3632),-(Analítico!H$3&lt;='Gastos Gerais'!$E$4:$E$3632),-('Gastos Gerais'!$C$4:$C$3632))</f>
        <v>2416.4800000000005</v>
      </c>
      <c r="I68" s="134">
        <f>SUMPRODUCT(-('Gastos Gerais'!$B$4:$B$3632=Analítico!$B68),-(Analítico!I$3&gt;='Gastos Gerais'!$D$4:$D$3632),-(Analítico!I$3&lt;='Gastos Gerais'!$E$4:$E$3632),-('Gastos Gerais'!$C$4:$C$3632))</f>
        <v>2416.4800000000005</v>
      </c>
      <c r="J68" s="134">
        <f>SUMPRODUCT(-('Gastos Gerais'!$B$4:$B$3632=Analítico!$B68),-(Analítico!J$3&gt;='Gastos Gerais'!$D$4:$D$3632),-(Analítico!J$3&lt;='Gastos Gerais'!$E$4:$E$3632),-('Gastos Gerais'!$C$4:$C$3632))</f>
        <v>2416.4800000000005</v>
      </c>
      <c r="K68" s="134">
        <f>SUMPRODUCT(-('Gastos Gerais'!$B$4:$B$3632=Analítico!$B68),-(Analítico!K$3&gt;='Gastos Gerais'!$D$4:$D$3632),-(Analítico!K$3&lt;='Gastos Gerais'!$E$4:$E$3632),-('Gastos Gerais'!$C$4:$C$3632))</f>
        <v>2416.4800000000005</v>
      </c>
      <c r="L68" s="134">
        <f>SUMPRODUCT(-('Gastos Gerais'!$B$4:$B$3632=Analítico!$B68),-(Analítico!L$3&gt;='Gastos Gerais'!$D$4:$D$3632),-(Analítico!L$3&lt;='Gastos Gerais'!$E$4:$E$3632),-('Gastos Gerais'!$C$4:$C$3632))</f>
        <v>2416.4800000000005</v>
      </c>
      <c r="M68" s="134">
        <f>SUMPRODUCT(-('Gastos Gerais'!$B$4:$B$3632=Analítico!$B68),-(Analítico!M$3&gt;='Gastos Gerais'!$D$4:$D$3632),-(Analítico!M$3&lt;='Gastos Gerais'!$E$4:$E$3632),-('Gastos Gerais'!$C$4:$C$3632))</f>
        <v>2548.46</v>
      </c>
      <c r="N68" s="134">
        <f>SUMPRODUCT(-('Gastos Gerais'!$B$4:$B$3632=Analítico!$B68),-(Analítico!N$3&gt;='Gastos Gerais'!$D$4:$D$3632),-(Analítico!N$3&lt;='Gastos Gerais'!$E$4:$E$3632),-('Gastos Gerais'!$C$4:$C$3632))</f>
        <v>2548.46</v>
      </c>
      <c r="O68" s="134">
        <f>SUMPRODUCT(-('Gastos Gerais'!$B$4:$B$3632=Analítico!$B68),-(Analítico!O$3&gt;='Gastos Gerais'!$D$4:$D$3632),-(Analítico!O$3&lt;='Gastos Gerais'!$E$4:$E$3632),-('Gastos Gerais'!$C$4:$C$3632))</f>
        <v>2680.44</v>
      </c>
      <c r="P68" s="134">
        <f>SUMPRODUCT(-('Gastos Gerais'!$B$4:$B$3632=Analítico!$B68),-(Analítico!P$3&gt;='Gastos Gerais'!$D$4:$D$3632),-(Analítico!P$3&lt;='Gastos Gerais'!$E$4:$E$3632),-('Gastos Gerais'!$C$4:$C$3632))</f>
        <v>2836.8900000000003</v>
      </c>
      <c r="Q68" s="134">
        <f>SUMPRODUCT(-('Gastos Gerais'!$B$4:$B$3632=Analítico!$B68),-(Analítico!Q$3&gt;='Gastos Gerais'!$D$4:$D$3632),-(Analítico!Q$3&lt;='Gastos Gerais'!$E$4:$E$3632),-('Gastos Gerais'!$C$4:$C$3632))</f>
        <v>2836.8900000000003</v>
      </c>
      <c r="R68" s="134">
        <f>SUMPRODUCT(-('Gastos Gerais'!$B$4:$B$3632=Analítico!$B68),-(Analítico!R$3&gt;='Gastos Gerais'!$D$4:$D$3632),-(Analítico!R$3&lt;='Gastos Gerais'!$E$4:$E$3632),-('Gastos Gerais'!$C$4:$C$3632))</f>
        <v>2836.8900000000003</v>
      </c>
      <c r="S68" s="134">
        <f>SUMPRODUCT(-('Gastos Gerais'!$B$4:$B$3632=Analítico!$B68),-(Analítico!S$3&gt;='Gastos Gerais'!$D$4:$D$3632),-(Analítico!S$3&lt;='Gastos Gerais'!$E$4:$E$3632),-('Gastos Gerais'!$C$4:$C$3632))</f>
        <v>2836.8900000000003</v>
      </c>
      <c r="T68" s="134">
        <f>SUMPRODUCT(-('Gastos Gerais'!$B$4:$B$3632=Analítico!$B68),-(Analítico!T$3&gt;='Gastos Gerais'!$D$4:$D$3632),-(Analítico!T$3&lt;='Gastos Gerais'!$E$4:$E$3632),-('Gastos Gerais'!$C$4:$C$3632))</f>
        <v>2836.8900000000003</v>
      </c>
      <c r="U68" s="134">
        <f>SUMPRODUCT(-('Gastos Gerais'!$B$4:$B$3632=Analítico!$B68),-(Analítico!U$3&gt;='Gastos Gerais'!$D$4:$D$3632),-(Analítico!U$3&lt;='Gastos Gerais'!$E$4:$E$3632),-('Gastos Gerais'!$C$4:$C$3632))</f>
        <v>2836.8900000000003</v>
      </c>
      <c r="V68" s="134">
        <f>SUMPRODUCT(-('Gastos Gerais'!$B$4:$B$3632=Analítico!$B68),-(Analítico!V$3&gt;='Gastos Gerais'!$D$4:$D$3632),-(Analítico!V$3&lt;='Gastos Gerais'!$E$4:$E$3632),-('Gastos Gerais'!$C$4:$C$3632))</f>
        <v>2836.8900000000003</v>
      </c>
      <c r="W68" s="134">
        <f>SUMPRODUCT(-('Gastos Gerais'!$B$4:$B$3632=Analítico!$B68),-(Analítico!W$3&gt;='Gastos Gerais'!$D$4:$D$3632),-(Analítico!W$3&lt;='Gastos Gerais'!$E$4:$E$3632),-('Gastos Gerais'!$C$4:$C$3632))</f>
        <v>2836.8900000000003</v>
      </c>
      <c r="X68" s="134">
        <f>SUMPRODUCT(-('Gastos Gerais'!$B$4:$B$3632=Analítico!$B68),-(Analítico!X$3&gt;='Gastos Gerais'!$D$4:$D$3632),-(Analítico!X$3&lt;='Gastos Gerais'!$E$4:$E$3632),-('Gastos Gerais'!$C$4:$C$3632))</f>
        <v>2836.8900000000003</v>
      </c>
      <c r="Y68" s="134">
        <f>SUMPRODUCT(-('Gastos Gerais'!$B$4:$B$3632=Analítico!$B68),-(Analítico!Y$3&gt;='Gastos Gerais'!$D$4:$D$3632),-(Analítico!Y$3&lt;='Gastos Gerais'!$E$4:$E$3632),-('Gastos Gerais'!$C$4:$C$3632))</f>
        <v>2836.8900000000003</v>
      </c>
      <c r="Z68" s="134">
        <f>SUMPRODUCT(-('Gastos Gerais'!$B$4:$B$3632=Analítico!$B68),-(Analítico!Z$3&gt;='Gastos Gerais'!$D$4:$D$3632),-(Analítico!Z$3&lt;='Gastos Gerais'!$E$4:$E$3632),-('Gastos Gerais'!$C$4:$C$3632))</f>
        <v>2836.8900000000003</v>
      </c>
      <c r="AA68" s="134">
        <f>SUMPRODUCT(-('Gastos Gerais'!$B$4:$B$3632=Analítico!$B68),-(Analítico!AA$3&gt;='Gastos Gerais'!$D$4:$D$3632),-(Analítico!AA$3&lt;='Gastos Gerais'!$E$4:$E$3632),-('Gastos Gerais'!$C$4:$C$3632))</f>
        <v>2836.8900000000003</v>
      </c>
      <c r="AB68" s="134">
        <f>SUMPRODUCT(-('Gastos Gerais'!$B$4:$B$3632=Analítico!$B68),-(Analítico!AB$3&gt;='Gastos Gerais'!$D$4:$D$3632),-(Analítico!AB$3&lt;='Gastos Gerais'!$E$4:$E$3632),-('Gastos Gerais'!$C$4:$C$3632))</f>
        <v>3002.5899999999988</v>
      </c>
      <c r="AC68" s="134">
        <f>SUMPRODUCT(-('Gastos Gerais'!$B$4:$B$3632=Analítico!$B68),-(Analítico!AC$3&gt;='Gastos Gerais'!$D$4:$D$3632),-(Analítico!AC$3&lt;='Gastos Gerais'!$E$4:$E$3632),-('Gastos Gerais'!$C$4:$C$3632))</f>
        <v>2871.6399999999994</v>
      </c>
      <c r="AD68" s="134">
        <f>SUMPRODUCT(-('Gastos Gerais'!$B$4:$B$3632=Analítico!$B68),-(Analítico!AD$3&gt;='Gastos Gerais'!$D$4:$D$3632),-(Analítico!AD$3&lt;='Gastos Gerais'!$E$4:$E$3632),-('Gastos Gerais'!$C$4:$C$3632))</f>
        <v>2871.6399999999994</v>
      </c>
      <c r="AE68" s="134">
        <f>SUMPRODUCT(-('Gastos Gerais'!$B$4:$B$3632=Analítico!$B68),-(Analítico!AE$3&gt;='Gastos Gerais'!$D$4:$D$3632),-(Analítico!AE$3&lt;='Gastos Gerais'!$E$4:$E$3632),-('Gastos Gerais'!$C$4:$C$3632))</f>
        <v>2871.6399999999994</v>
      </c>
      <c r="AF68" s="134">
        <f>SUMPRODUCT(-('Gastos Gerais'!$B$4:$B$3632=Analítico!$B68),-(Analítico!AF$3&gt;='Gastos Gerais'!$D$4:$D$3632),-(Analítico!AF$3&lt;='Gastos Gerais'!$E$4:$E$3632),-('Gastos Gerais'!$C$4:$C$3632))</f>
        <v>2871.6399999999994</v>
      </c>
      <c r="AG68" s="134">
        <f>SUMPRODUCT(-('Gastos Gerais'!$B$4:$B$3632=Analítico!$B68),-(Analítico!AG$3&gt;='Gastos Gerais'!$D$4:$D$3632),-(Analítico!AG$3&lt;='Gastos Gerais'!$E$4:$E$3632),-('Gastos Gerais'!$C$4:$C$3632))</f>
        <v>2871.6399999999994</v>
      </c>
      <c r="AH68" s="134">
        <f>SUMPRODUCT(-('Gastos Gerais'!$B$4:$B$3632=Analítico!$B68),-(Analítico!AH$3&gt;='Gastos Gerais'!$D$4:$D$3632),-(Analítico!AH$3&lt;='Gastos Gerais'!$E$4:$E$3632),-('Gastos Gerais'!$C$4:$C$3632))</f>
        <v>2871.6399999999994</v>
      </c>
      <c r="AI68" s="134">
        <f>SUMPRODUCT(-('Gastos Gerais'!$B$4:$B$3632=Analítico!$B68),-(Analítico!AI$3&gt;='Gastos Gerais'!$D$4:$D$3632),-(Analítico!AI$3&lt;='Gastos Gerais'!$E$4:$E$3632),-('Gastos Gerais'!$C$4:$C$3632))</f>
        <v>2871.6399999999994</v>
      </c>
      <c r="AJ68" s="134">
        <f>SUMPRODUCT(-('Gastos Gerais'!$B$4:$B$3632=Analítico!$B68),-(Analítico!AJ$3&gt;='Gastos Gerais'!$D$4:$D$3632),-(Analítico!AJ$3&lt;='Gastos Gerais'!$E$4:$E$3632),-('Gastos Gerais'!$C$4:$C$3632))</f>
        <v>2871.6399999999994</v>
      </c>
      <c r="AK68" s="134">
        <f>SUMPRODUCT(-('Gastos Gerais'!$B$4:$B$3632=Analítico!$B68),-(Analítico!AK$3&gt;='Gastos Gerais'!$D$4:$D$3632),-(Analítico!AK$3&lt;='Gastos Gerais'!$E$4:$E$3632),-('Gastos Gerais'!$C$4:$C$3632))</f>
        <v>2871.6399999999994</v>
      </c>
      <c r="AL68" s="134">
        <f>SUMPRODUCT(-('Gastos Gerais'!$B$4:$B$3632=Analítico!$B68),-(Analítico!AL$3&gt;='Gastos Gerais'!$D$4:$D$3632),-(Analítico!AL$3&lt;='Gastos Gerais'!$E$4:$E$3632),-('Gastos Gerais'!$C$4:$C$3632))</f>
        <v>2871.6399999999994</v>
      </c>
      <c r="AM68" s="134">
        <f>SUMPRODUCT(-('Gastos Gerais'!$B$4:$B$3632=Analítico!$B68),-(Analítico!AM$3&gt;='Gastos Gerais'!$D$4:$D$3632),-(Analítico!AM$3&lt;='Gastos Gerais'!$E$4:$E$3632),-('Gastos Gerais'!$C$4:$C$3632))</f>
        <v>2871.6399999999994</v>
      </c>
      <c r="AN68" s="134">
        <f>SUMPRODUCT(-('Gastos Gerais'!$B$4:$B$3632=Analítico!$B68),-(Analítico!AN$3&gt;='Gastos Gerais'!$D$4:$D$3632),-(Analítico!AN$3&lt;='Gastos Gerais'!$E$4:$E$3632),-('Gastos Gerais'!$C$4:$C$3632))</f>
        <v>3177.9999999999995</v>
      </c>
      <c r="AO68" s="134">
        <f>SUMPRODUCT(-('Gastos Gerais'!$B$4:$B$3632=Analítico!$B68),-(Analítico!AO$3&gt;='Gastos Gerais'!$D$4:$D$3632),-(Analítico!AO$3&lt;='Gastos Gerais'!$E$4:$E$3632),-('Gastos Gerais'!$C$4:$C$3632))</f>
        <v>3177.9999999999995</v>
      </c>
      <c r="AP68" s="134">
        <f>SUMPRODUCT(-('Gastos Gerais'!$B$4:$B$3632=Analítico!$B68),-(Analítico!AP$3&gt;='Gastos Gerais'!$D$4:$D$3632),-(Analítico!AP$3&lt;='Gastos Gerais'!$E$4:$E$3632),-('Gastos Gerais'!$C$4:$C$3632))</f>
        <v>3177.9999999999995</v>
      </c>
      <c r="AQ68" s="134">
        <f>SUMPRODUCT(-('Gastos Gerais'!$B$4:$B$3632=Analítico!$B68),-(Analítico!AQ$3&gt;='Gastos Gerais'!$D$4:$D$3632),-(Analítico!AQ$3&lt;='Gastos Gerais'!$E$4:$E$3632),-('Gastos Gerais'!$C$4:$C$3632))</f>
        <v>3177.9999999999995</v>
      </c>
      <c r="AR68" s="134">
        <f>SUMPRODUCT(-('Gastos Gerais'!$B$4:$B$3632=Analítico!$B68),-(Analítico!AR$3&gt;='Gastos Gerais'!$D$4:$D$3632),-(Analítico!AR$3&lt;='Gastos Gerais'!$E$4:$E$3632),-('Gastos Gerais'!$C$4:$C$3632))</f>
        <v>3177.9999999999995</v>
      </c>
      <c r="AS68" s="134">
        <f>SUMPRODUCT(-('Gastos Gerais'!$B$4:$B$3632=Analítico!$B68),-(Analítico!AS$3&gt;='Gastos Gerais'!$D$4:$D$3632),-(Analítico!AS$3&lt;='Gastos Gerais'!$E$4:$E$3632),-('Gastos Gerais'!$C$4:$C$3632))</f>
        <v>3177.9999999999995</v>
      </c>
      <c r="AT68" s="134">
        <f>SUMPRODUCT(-('Gastos Gerais'!$B$4:$B$3632=Analítico!$B68),-(Analítico!AT$3&gt;='Gastos Gerais'!$D$4:$D$3632),-(Analítico!AT$3&lt;='Gastos Gerais'!$E$4:$E$3632),-('Gastos Gerais'!$C$4:$C$3632))</f>
        <v>3177.9999999999995</v>
      </c>
      <c r="AU68" s="134">
        <f>SUMPRODUCT(-('Gastos Gerais'!$B$4:$B$3632=Analítico!$B68),-(Analítico!AU$3&gt;='Gastos Gerais'!$D$4:$D$3632),-(Analítico!AU$3&lt;='Gastos Gerais'!$E$4:$E$3632),-('Gastos Gerais'!$C$4:$C$3632))</f>
        <v>3177.9999999999995</v>
      </c>
      <c r="AV68" s="134">
        <f>SUMPRODUCT(-('Gastos Gerais'!$B$4:$B$3632=Analítico!$B68),-(Analítico!AV$3&gt;='Gastos Gerais'!$D$4:$D$3632),-(Analítico!AV$3&lt;='Gastos Gerais'!$E$4:$E$3632),-('Gastos Gerais'!$C$4:$C$3632))</f>
        <v>3177.9999999999995</v>
      </c>
      <c r="AW68" s="134">
        <f>SUMPRODUCT(-('Gastos Gerais'!$B$4:$B$3632=Analítico!$B68),-(Analítico!AW$3&gt;='Gastos Gerais'!$D$4:$D$3632),-(Analítico!AW$3&lt;='Gastos Gerais'!$E$4:$E$3632),-('Gastos Gerais'!$C$4:$C$3632))</f>
        <v>3177.9999999999995</v>
      </c>
      <c r="AX68" s="134">
        <f>SUMPRODUCT(-('Gastos Gerais'!$B$4:$B$3632=Analítico!$B68),-(Analítico!AX$3&gt;='Gastos Gerais'!$D$4:$D$3632),-(Analítico!AX$3&lt;='Gastos Gerais'!$E$4:$E$3632),-('Gastos Gerais'!$C$4:$C$3632))</f>
        <v>3177.9999999999995</v>
      </c>
      <c r="AY68" s="134">
        <f>SUMPRODUCT(-('Gastos Gerais'!$B$4:$B$3632=Analítico!$B68),-(Analítico!AY$3&gt;='Gastos Gerais'!$D$4:$D$3632),-(Analítico!AY$3&lt;='Gastos Gerais'!$E$4:$E$3632),-('Gastos Gerais'!$C$4:$C$3632))</f>
        <v>3177.9999999999995</v>
      </c>
      <c r="AZ68" s="134">
        <f>SUMPRODUCT(-('Gastos Gerais'!$B$4:$B$3632=Analítico!$B68),-(Analítico!AZ$3&gt;='Gastos Gerais'!$D$4:$D$3632),-(Analítico!AZ$3&lt;='Gastos Gerais'!$E$4:$E$3632),-('Gastos Gerais'!$C$4:$C$3632))</f>
        <v>3363.58</v>
      </c>
      <c r="BA68" s="134">
        <f>SUMPRODUCT(-('Gastos Gerais'!$B$4:$B$3632=Analítico!$B68),-(Analítico!BA$3&gt;='Gastos Gerais'!$D$4:$D$3632),-(Analítico!BA$3&lt;='Gastos Gerais'!$E$4:$E$3632),-('Gastos Gerais'!$C$4:$C$3632))</f>
        <v>3363.58</v>
      </c>
      <c r="BB68" s="134">
        <f>SUMPRODUCT(-('Gastos Gerais'!$B$4:$B$3632=Analítico!$B68),-(Analítico!BB$3&gt;='Gastos Gerais'!$D$4:$D$3632),-(Analítico!BB$3&lt;='Gastos Gerais'!$E$4:$E$3632),-('Gastos Gerais'!$C$4:$C$3632))</f>
        <v>3363.58</v>
      </c>
      <c r="BC68" s="134">
        <f>SUMPRODUCT(-('Gastos Gerais'!$B$4:$B$3632=Analítico!$B68),-(Analítico!BC$3&gt;='Gastos Gerais'!$D$4:$D$3632),-(Analítico!BC$3&lt;='Gastos Gerais'!$E$4:$E$3632),-('Gastos Gerais'!$C$4:$C$3632))</f>
        <v>3363.58</v>
      </c>
      <c r="BD68" s="134">
        <f>SUMPRODUCT(-('Gastos Gerais'!$B$4:$B$3632=Analítico!$B68),-(Analítico!BD$3&gt;='Gastos Gerais'!$D$4:$D$3632),-(Analítico!BD$3&lt;='Gastos Gerais'!$E$4:$E$3632),-('Gastos Gerais'!$C$4:$C$3632))</f>
        <v>3363.58</v>
      </c>
      <c r="BE68" s="134">
        <f>SUMPRODUCT(-('Gastos Gerais'!$B$4:$B$3632=Analítico!$B68),-(Analítico!BE$3&gt;='Gastos Gerais'!$D$4:$D$3632),-(Analítico!BE$3&lt;='Gastos Gerais'!$E$4:$E$3632),-('Gastos Gerais'!$C$4:$C$3632))</f>
        <v>3363.58</v>
      </c>
      <c r="BF68" s="134">
        <f>SUMPRODUCT(-('Gastos Gerais'!$B$4:$B$3632=Analítico!$B68),-(Analítico!BF$3&gt;='Gastos Gerais'!$D$4:$D$3632),-(Analítico!BF$3&lt;='Gastos Gerais'!$E$4:$E$3632),-('Gastos Gerais'!$C$4:$C$3632))</f>
        <v>3363.58</v>
      </c>
      <c r="BG68" s="134">
        <f>SUMPRODUCT(-('Gastos Gerais'!$B$4:$B$3632=Analítico!$B68),-(Analítico!BG$3&gt;='Gastos Gerais'!$D$4:$D$3632),-(Analítico!BG$3&lt;='Gastos Gerais'!$E$4:$E$3632),-('Gastos Gerais'!$C$4:$C$3632))</f>
        <v>3363.58</v>
      </c>
      <c r="BH68" s="134">
        <f>SUMPRODUCT(-('Gastos Gerais'!$B$4:$B$3632=Analítico!$B68),-(Analítico!BH$3&gt;='Gastos Gerais'!$D$4:$D$3632),-(Analítico!BH$3&lt;='Gastos Gerais'!$E$4:$E$3632),-('Gastos Gerais'!$C$4:$C$3632))</f>
        <v>3363.58</v>
      </c>
      <c r="BI68" s="134">
        <f>SUMPRODUCT(-('Gastos Gerais'!$B$4:$B$3632=Analítico!$B68),-(Analítico!BI$3&gt;='Gastos Gerais'!$D$4:$D$3632),-(Analítico!BI$3&lt;='Gastos Gerais'!$E$4:$E$3632),-('Gastos Gerais'!$C$4:$C$3632))</f>
        <v>3363.58</v>
      </c>
      <c r="BJ68" s="134">
        <f>SUMPRODUCT(-('Gastos Gerais'!$B$4:$B$3632=Analítico!$B68),-(Analítico!BJ$3&gt;='Gastos Gerais'!$D$4:$D$3632),-(Analítico!BJ$3&lt;='Gastos Gerais'!$E$4:$E$3632),-('Gastos Gerais'!$C$4:$C$3632))</f>
        <v>3363.58</v>
      </c>
      <c r="BK68" s="189">
        <f t="shared" si="37"/>
        <v>173944.64999999985</v>
      </c>
      <c r="BL68" s="136">
        <f t="shared" ca="1" si="38"/>
        <v>5.1988660755335138E-4</v>
      </c>
      <c r="BN68" s="134">
        <f>SUMPRODUCT(-('Gastos Gerais'!$B$4:$B$3632=Analítico!$B68),-(Analítico!BN$3&gt;='Gastos Gerais'!$D$4:$D$3632),-(Analítico!BN$3&lt;='Gastos Gerais'!$E$4:$E$3632),-('Gastos Gerais'!$C$4:$C$3632))</f>
        <v>2167.6000000000004</v>
      </c>
    </row>
    <row r="69" spans="1:66" s="160" customFormat="1" ht="23.25" customHeight="1">
      <c r="A69" s="229" t="s">
        <v>215</v>
      </c>
      <c r="B69" s="230" t="s">
        <v>216</v>
      </c>
      <c r="C69" s="188">
        <f t="shared" si="36"/>
        <v>609</v>
      </c>
      <c r="D69" s="134">
        <f>SUMPRODUCT(-('Gastos Gerais'!$B$4:$B$3632=Analítico!$B69),-(Analítico!D$3&gt;='Gastos Gerais'!$D$4:$D$3632),-(Analítico!D$3&lt;='Gastos Gerais'!$E$4:$E$3632),-('Gastos Gerais'!$C$4:$C$3632))</f>
        <v>2030</v>
      </c>
      <c r="E69" s="134">
        <f>SUMPRODUCT(-('Gastos Gerais'!$B$4:$B$3632=Analítico!$B69),-(Analítico!E$3&gt;='Gastos Gerais'!$D$4:$D$3632),-(Analítico!E$3&lt;='Gastos Gerais'!$E$4:$E$3632),-('Gastos Gerais'!$C$4:$C$3632))</f>
        <v>2030</v>
      </c>
      <c r="F69" s="134">
        <f>SUMPRODUCT(-('Gastos Gerais'!$B$4:$B$3632=Analítico!$B69),-(Analítico!F$3&gt;='Gastos Gerais'!$D$4:$D$3632),-(Analítico!F$3&lt;='Gastos Gerais'!$E$4:$E$3632),-('Gastos Gerais'!$C$4:$C$3632))</f>
        <v>2030</v>
      </c>
      <c r="G69" s="134">
        <f>SUMPRODUCT(-('Gastos Gerais'!$B$4:$B$3632=Analítico!$B69),-(Analítico!G$3&gt;='Gastos Gerais'!$D$4:$D$3632),-(Analítico!G$3&lt;='Gastos Gerais'!$E$4:$E$3632),-('Gastos Gerais'!$C$4:$C$3632))</f>
        <v>2030</v>
      </c>
      <c r="H69" s="134">
        <f>SUMPRODUCT(-('Gastos Gerais'!$B$4:$B$3632=Analítico!$B69),-(Analítico!H$3&gt;='Gastos Gerais'!$D$4:$D$3632),-(Analítico!H$3&lt;='Gastos Gerais'!$E$4:$E$3632),-('Gastos Gerais'!$C$4:$C$3632))</f>
        <v>2030</v>
      </c>
      <c r="I69" s="134">
        <f>SUMPRODUCT(-('Gastos Gerais'!$B$4:$B$3632=Analítico!$B69),-(Analítico!I$3&gt;='Gastos Gerais'!$D$4:$D$3632),-(Analítico!I$3&lt;='Gastos Gerais'!$E$4:$E$3632),-('Gastos Gerais'!$C$4:$C$3632))</f>
        <v>2030</v>
      </c>
      <c r="J69" s="134">
        <f>SUMPRODUCT(-('Gastos Gerais'!$B$4:$B$3632=Analítico!$B69),-(Analítico!J$3&gt;='Gastos Gerais'!$D$4:$D$3632),-(Analítico!J$3&lt;='Gastos Gerais'!$E$4:$E$3632),-('Gastos Gerais'!$C$4:$C$3632))</f>
        <v>2030</v>
      </c>
      <c r="K69" s="134">
        <f>SUMPRODUCT(-('Gastos Gerais'!$B$4:$B$3632=Analítico!$B69),-(Analítico!K$3&gt;='Gastos Gerais'!$D$4:$D$3632),-(Analítico!K$3&lt;='Gastos Gerais'!$E$4:$E$3632),-('Gastos Gerais'!$C$4:$C$3632))</f>
        <v>2030</v>
      </c>
      <c r="L69" s="134">
        <f>SUMPRODUCT(-('Gastos Gerais'!$B$4:$B$3632=Analítico!$B69),-(Analítico!L$3&gt;='Gastos Gerais'!$D$4:$D$3632),-(Analítico!L$3&lt;='Gastos Gerais'!$E$4:$E$3632),-('Gastos Gerais'!$C$4:$C$3632))</f>
        <v>2030</v>
      </c>
      <c r="M69" s="134">
        <f>SUMPRODUCT(-('Gastos Gerais'!$B$4:$B$3632=Analítico!$B69),-(Analítico!M$3&gt;='Gastos Gerais'!$D$4:$D$3632),-(Analítico!M$3&lt;='Gastos Gerais'!$E$4:$E$3632),-('Gastos Gerais'!$C$4:$C$3632))</f>
        <v>2030</v>
      </c>
      <c r="N69" s="134">
        <f>SUMPRODUCT(-('Gastos Gerais'!$B$4:$B$3632=Analítico!$B69),-(Analítico!N$3&gt;='Gastos Gerais'!$D$4:$D$3632),-(Analítico!N$3&lt;='Gastos Gerais'!$E$4:$E$3632),-('Gastos Gerais'!$C$4:$C$3632))</f>
        <v>2030</v>
      </c>
      <c r="O69" s="134">
        <f>SUMPRODUCT(-('Gastos Gerais'!$B$4:$B$3632=Analítico!$B69),-(Analítico!O$3&gt;='Gastos Gerais'!$D$4:$D$3632),-(Analítico!O$3&lt;='Gastos Gerais'!$E$4:$E$3632),-('Gastos Gerais'!$C$4:$C$3632))</f>
        <v>2030</v>
      </c>
      <c r="P69" s="134">
        <f>SUMPRODUCT(-('Gastos Gerais'!$B$4:$B$3632=Analítico!$B69),-(Analítico!P$3&gt;='Gastos Gerais'!$D$4:$D$3632),-(Analítico!P$3&lt;='Gastos Gerais'!$E$4:$E$3632),-('Gastos Gerais'!$C$4:$C$3632))</f>
        <v>2148.54</v>
      </c>
      <c r="Q69" s="134">
        <f>SUMPRODUCT(-('Gastos Gerais'!$B$4:$B$3632=Analítico!$B69),-(Analítico!Q$3&gt;='Gastos Gerais'!$D$4:$D$3632),-(Analítico!Q$3&lt;='Gastos Gerais'!$E$4:$E$3632),-('Gastos Gerais'!$C$4:$C$3632))</f>
        <v>2148.54</v>
      </c>
      <c r="R69" s="134">
        <f>SUMPRODUCT(-('Gastos Gerais'!$B$4:$B$3632=Analítico!$B69),-(Analítico!R$3&gt;='Gastos Gerais'!$D$4:$D$3632),-(Analítico!R$3&lt;='Gastos Gerais'!$E$4:$E$3632),-('Gastos Gerais'!$C$4:$C$3632))</f>
        <v>2148.54</v>
      </c>
      <c r="S69" s="134">
        <f>SUMPRODUCT(-('Gastos Gerais'!$B$4:$B$3632=Analítico!$B69),-(Analítico!S$3&gt;='Gastos Gerais'!$D$4:$D$3632),-(Analítico!S$3&lt;='Gastos Gerais'!$E$4:$E$3632),-('Gastos Gerais'!$C$4:$C$3632))</f>
        <v>2148.54</v>
      </c>
      <c r="T69" s="134">
        <f>SUMPRODUCT(-('Gastos Gerais'!$B$4:$B$3632=Analítico!$B69),-(Analítico!T$3&gt;='Gastos Gerais'!$D$4:$D$3632),-(Analítico!T$3&lt;='Gastos Gerais'!$E$4:$E$3632),-('Gastos Gerais'!$C$4:$C$3632))</f>
        <v>2148.54</v>
      </c>
      <c r="U69" s="134">
        <f>SUMPRODUCT(-('Gastos Gerais'!$B$4:$B$3632=Analítico!$B69),-(Analítico!U$3&gt;='Gastos Gerais'!$D$4:$D$3632),-(Analítico!U$3&lt;='Gastos Gerais'!$E$4:$E$3632),-('Gastos Gerais'!$C$4:$C$3632))</f>
        <v>2148.54</v>
      </c>
      <c r="V69" s="134">
        <f>SUMPRODUCT(-('Gastos Gerais'!$B$4:$B$3632=Analítico!$B69),-(Analítico!V$3&gt;='Gastos Gerais'!$D$4:$D$3632),-(Analítico!V$3&lt;='Gastos Gerais'!$E$4:$E$3632),-('Gastos Gerais'!$C$4:$C$3632))</f>
        <v>2148.54</v>
      </c>
      <c r="W69" s="134">
        <f>SUMPRODUCT(-('Gastos Gerais'!$B$4:$B$3632=Analítico!$B69),-(Analítico!W$3&gt;='Gastos Gerais'!$D$4:$D$3632),-(Analítico!W$3&lt;='Gastos Gerais'!$E$4:$E$3632),-('Gastos Gerais'!$C$4:$C$3632))</f>
        <v>2148.54</v>
      </c>
      <c r="X69" s="134">
        <f>SUMPRODUCT(-('Gastos Gerais'!$B$4:$B$3632=Analítico!$B69),-(Analítico!X$3&gt;='Gastos Gerais'!$D$4:$D$3632),-(Analítico!X$3&lt;='Gastos Gerais'!$E$4:$E$3632),-('Gastos Gerais'!$C$4:$C$3632))</f>
        <v>2148.54</v>
      </c>
      <c r="Y69" s="134">
        <f>SUMPRODUCT(-('Gastos Gerais'!$B$4:$B$3632=Analítico!$B69),-(Analítico!Y$3&gt;='Gastos Gerais'!$D$4:$D$3632),-(Analítico!Y$3&lt;='Gastos Gerais'!$E$4:$E$3632),-('Gastos Gerais'!$C$4:$C$3632))</f>
        <v>2148.54</v>
      </c>
      <c r="Z69" s="134">
        <f>SUMPRODUCT(-('Gastos Gerais'!$B$4:$B$3632=Analítico!$B69),-(Analítico!Z$3&gt;='Gastos Gerais'!$D$4:$D$3632),-(Analítico!Z$3&lt;='Gastos Gerais'!$E$4:$E$3632),-('Gastos Gerais'!$C$4:$C$3632))</f>
        <v>2148.54</v>
      </c>
      <c r="AA69" s="134">
        <f>SUMPRODUCT(-('Gastos Gerais'!$B$4:$B$3632=Analítico!$B69),-(Analítico!AA$3&gt;='Gastos Gerais'!$D$4:$D$3632),-(Analítico!AA$3&lt;='Gastos Gerais'!$E$4:$E$3632),-('Gastos Gerais'!$C$4:$C$3632))</f>
        <v>2148.54</v>
      </c>
      <c r="AB69" s="134">
        <f>SUMPRODUCT(-('Gastos Gerais'!$B$4:$B$3632=Analítico!$B69),-(Analítico!AB$3&gt;='Gastos Gerais'!$D$4:$D$3632),-(Analítico!AB$3&lt;='Gastos Gerais'!$E$4:$E$3632),-('Gastos Gerais'!$C$4:$C$3632))</f>
        <v>2274</v>
      </c>
      <c r="AC69" s="134">
        <f>SUMPRODUCT(-('Gastos Gerais'!$B$4:$B$3632=Analítico!$B69),-(Analítico!AC$3&gt;='Gastos Gerais'!$D$4:$D$3632),-(Analítico!AC$3&lt;='Gastos Gerais'!$E$4:$E$3632),-('Gastos Gerais'!$C$4:$C$3632))</f>
        <v>2274</v>
      </c>
      <c r="AD69" s="134">
        <f>SUMPRODUCT(-('Gastos Gerais'!$B$4:$B$3632=Analítico!$B69),-(Analítico!AD$3&gt;='Gastos Gerais'!$D$4:$D$3632),-(Analítico!AD$3&lt;='Gastos Gerais'!$E$4:$E$3632),-('Gastos Gerais'!$C$4:$C$3632))</f>
        <v>2274</v>
      </c>
      <c r="AE69" s="134">
        <f>SUMPRODUCT(-('Gastos Gerais'!$B$4:$B$3632=Analítico!$B69),-(Analítico!AE$3&gt;='Gastos Gerais'!$D$4:$D$3632),-(Analítico!AE$3&lt;='Gastos Gerais'!$E$4:$E$3632),-('Gastos Gerais'!$C$4:$C$3632))</f>
        <v>2274</v>
      </c>
      <c r="AF69" s="134">
        <f>SUMPRODUCT(-('Gastos Gerais'!$B$4:$B$3632=Analítico!$B69),-(Analítico!AF$3&gt;='Gastos Gerais'!$D$4:$D$3632),-(Analítico!AF$3&lt;='Gastos Gerais'!$E$4:$E$3632),-('Gastos Gerais'!$C$4:$C$3632))</f>
        <v>2274</v>
      </c>
      <c r="AG69" s="134">
        <f>SUMPRODUCT(-('Gastos Gerais'!$B$4:$B$3632=Analítico!$B69),-(Analítico!AG$3&gt;='Gastos Gerais'!$D$4:$D$3632),-(Analítico!AG$3&lt;='Gastos Gerais'!$E$4:$E$3632),-('Gastos Gerais'!$C$4:$C$3632))</f>
        <v>2274</v>
      </c>
      <c r="AH69" s="134">
        <f>SUMPRODUCT(-('Gastos Gerais'!$B$4:$B$3632=Analítico!$B69),-(Analítico!AH$3&gt;='Gastos Gerais'!$D$4:$D$3632),-(Analítico!AH$3&lt;='Gastos Gerais'!$E$4:$E$3632),-('Gastos Gerais'!$C$4:$C$3632))</f>
        <v>2274</v>
      </c>
      <c r="AI69" s="134">
        <f>SUMPRODUCT(-('Gastos Gerais'!$B$4:$B$3632=Analítico!$B69),-(Analítico!AI$3&gt;='Gastos Gerais'!$D$4:$D$3632),-(Analítico!AI$3&lt;='Gastos Gerais'!$E$4:$E$3632),-('Gastos Gerais'!$C$4:$C$3632))</f>
        <v>2274</v>
      </c>
      <c r="AJ69" s="134">
        <f>SUMPRODUCT(-('Gastos Gerais'!$B$4:$B$3632=Analítico!$B69),-(Analítico!AJ$3&gt;='Gastos Gerais'!$D$4:$D$3632),-(Analítico!AJ$3&lt;='Gastos Gerais'!$E$4:$E$3632),-('Gastos Gerais'!$C$4:$C$3632))</f>
        <v>2274</v>
      </c>
      <c r="AK69" s="134">
        <f>SUMPRODUCT(-('Gastos Gerais'!$B$4:$B$3632=Analítico!$B69),-(Analítico!AK$3&gt;='Gastos Gerais'!$D$4:$D$3632),-(Analítico!AK$3&lt;='Gastos Gerais'!$E$4:$E$3632),-('Gastos Gerais'!$C$4:$C$3632))</f>
        <v>2274</v>
      </c>
      <c r="AL69" s="134">
        <f>SUMPRODUCT(-('Gastos Gerais'!$B$4:$B$3632=Analítico!$B69),-(Analítico!AL$3&gt;='Gastos Gerais'!$D$4:$D$3632),-(Analítico!AL$3&lt;='Gastos Gerais'!$E$4:$E$3632),-('Gastos Gerais'!$C$4:$C$3632))</f>
        <v>2274</v>
      </c>
      <c r="AM69" s="134">
        <f>SUMPRODUCT(-('Gastos Gerais'!$B$4:$B$3632=Analítico!$B69),-(Analítico!AM$3&gt;='Gastos Gerais'!$D$4:$D$3632),-(Analítico!AM$3&lt;='Gastos Gerais'!$E$4:$E$3632),-('Gastos Gerais'!$C$4:$C$3632))</f>
        <v>2274</v>
      </c>
      <c r="AN69" s="134">
        <f>SUMPRODUCT(-('Gastos Gerais'!$B$4:$B$3632=Analítico!$B69),-(Analítico!AN$3&gt;='Gastos Gerais'!$D$4:$D$3632),-(Analítico!AN$3&lt;='Gastos Gerais'!$E$4:$E$3632),-('Gastos Gerais'!$C$4:$C$3632))</f>
        <v>2406</v>
      </c>
      <c r="AO69" s="134">
        <f>SUMPRODUCT(-('Gastos Gerais'!$B$4:$B$3632=Analítico!$B69),-(Analítico!AO$3&gt;='Gastos Gerais'!$D$4:$D$3632),-(Analítico!AO$3&lt;='Gastos Gerais'!$E$4:$E$3632),-('Gastos Gerais'!$C$4:$C$3632))</f>
        <v>2406</v>
      </c>
      <c r="AP69" s="134">
        <f>SUMPRODUCT(-('Gastos Gerais'!$B$4:$B$3632=Analítico!$B69),-(Analítico!AP$3&gt;='Gastos Gerais'!$D$4:$D$3632),-(Analítico!AP$3&lt;='Gastos Gerais'!$E$4:$E$3632),-('Gastos Gerais'!$C$4:$C$3632))</f>
        <v>2406</v>
      </c>
      <c r="AQ69" s="134">
        <f>SUMPRODUCT(-('Gastos Gerais'!$B$4:$B$3632=Analítico!$B69),-(Analítico!AQ$3&gt;='Gastos Gerais'!$D$4:$D$3632),-(Analítico!AQ$3&lt;='Gastos Gerais'!$E$4:$E$3632),-('Gastos Gerais'!$C$4:$C$3632))</f>
        <v>2406</v>
      </c>
      <c r="AR69" s="134">
        <f>SUMPRODUCT(-('Gastos Gerais'!$B$4:$B$3632=Analítico!$B69),-(Analítico!AR$3&gt;='Gastos Gerais'!$D$4:$D$3632),-(Analítico!AR$3&lt;='Gastos Gerais'!$E$4:$E$3632),-('Gastos Gerais'!$C$4:$C$3632))</f>
        <v>2406</v>
      </c>
      <c r="AS69" s="134">
        <f>SUMPRODUCT(-('Gastos Gerais'!$B$4:$B$3632=Analítico!$B69),-(Analítico!AS$3&gt;='Gastos Gerais'!$D$4:$D$3632),-(Analítico!AS$3&lt;='Gastos Gerais'!$E$4:$E$3632),-('Gastos Gerais'!$C$4:$C$3632))</f>
        <v>2406</v>
      </c>
      <c r="AT69" s="134">
        <f>SUMPRODUCT(-('Gastos Gerais'!$B$4:$B$3632=Analítico!$B69),-(Analítico!AT$3&gt;='Gastos Gerais'!$D$4:$D$3632),-(Analítico!AT$3&lt;='Gastos Gerais'!$E$4:$E$3632),-('Gastos Gerais'!$C$4:$C$3632))</f>
        <v>2406</v>
      </c>
      <c r="AU69" s="134">
        <f>SUMPRODUCT(-('Gastos Gerais'!$B$4:$B$3632=Analítico!$B69),-(Analítico!AU$3&gt;='Gastos Gerais'!$D$4:$D$3632),-(Analítico!AU$3&lt;='Gastos Gerais'!$E$4:$E$3632),-('Gastos Gerais'!$C$4:$C$3632))</f>
        <v>2406</v>
      </c>
      <c r="AV69" s="134">
        <f>SUMPRODUCT(-('Gastos Gerais'!$B$4:$B$3632=Analítico!$B69),-(Analítico!AV$3&gt;='Gastos Gerais'!$D$4:$D$3632),-(Analítico!AV$3&lt;='Gastos Gerais'!$E$4:$E$3632),-('Gastos Gerais'!$C$4:$C$3632))</f>
        <v>2406</v>
      </c>
      <c r="AW69" s="134">
        <f>SUMPRODUCT(-('Gastos Gerais'!$B$4:$B$3632=Analítico!$B69),-(Analítico!AW$3&gt;='Gastos Gerais'!$D$4:$D$3632),-(Analítico!AW$3&lt;='Gastos Gerais'!$E$4:$E$3632),-('Gastos Gerais'!$C$4:$C$3632))</f>
        <v>2406</v>
      </c>
      <c r="AX69" s="134">
        <f>SUMPRODUCT(-('Gastos Gerais'!$B$4:$B$3632=Analítico!$B69),-(Analítico!AX$3&gt;='Gastos Gerais'!$D$4:$D$3632),-(Analítico!AX$3&lt;='Gastos Gerais'!$E$4:$E$3632),-('Gastos Gerais'!$C$4:$C$3632))</f>
        <v>2406</v>
      </c>
      <c r="AY69" s="134">
        <f>SUMPRODUCT(-('Gastos Gerais'!$B$4:$B$3632=Analítico!$B69),-(Analítico!AY$3&gt;='Gastos Gerais'!$D$4:$D$3632),-(Analítico!AY$3&lt;='Gastos Gerais'!$E$4:$E$3632),-('Gastos Gerais'!$C$4:$C$3632))</f>
        <v>2406</v>
      </c>
      <c r="AZ69" s="134">
        <f>SUMPRODUCT(-('Gastos Gerais'!$B$4:$B$3632=Analítico!$B69),-(Analítico!AZ$3&gt;='Gastos Gerais'!$D$4:$D$3632),-(Analítico!AZ$3&lt;='Gastos Gerais'!$E$4:$E$3632),-('Gastos Gerais'!$C$4:$C$3632))</f>
        <v>2547.37</v>
      </c>
      <c r="BA69" s="134">
        <f>SUMPRODUCT(-('Gastos Gerais'!$B$4:$B$3632=Analítico!$B69),-(Analítico!BA$3&gt;='Gastos Gerais'!$D$4:$D$3632),-(Analítico!BA$3&lt;='Gastos Gerais'!$E$4:$E$3632),-('Gastos Gerais'!$C$4:$C$3632))</f>
        <v>2547.37</v>
      </c>
      <c r="BB69" s="134">
        <f>SUMPRODUCT(-('Gastos Gerais'!$B$4:$B$3632=Analítico!$B69),-(Analítico!BB$3&gt;='Gastos Gerais'!$D$4:$D$3632),-(Analítico!BB$3&lt;='Gastos Gerais'!$E$4:$E$3632),-('Gastos Gerais'!$C$4:$C$3632))</f>
        <v>2547.37</v>
      </c>
      <c r="BC69" s="134">
        <f>SUMPRODUCT(-('Gastos Gerais'!$B$4:$B$3632=Analítico!$B69),-(Analítico!BC$3&gt;='Gastos Gerais'!$D$4:$D$3632),-(Analítico!BC$3&lt;='Gastos Gerais'!$E$4:$E$3632),-('Gastos Gerais'!$C$4:$C$3632))</f>
        <v>2547.37</v>
      </c>
      <c r="BD69" s="134">
        <f>SUMPRODUCT(-('Gastos Gerais'!$B$4:$B$3632=Analítico!$B69),-(Analítico!BD$3&gt;='Gastos Gerais'!$D$4:$D$3632),-(Analítico!BD$3&lt;='Gastos Gerais'!$E$4:$E$3632),-('Gastos Gerais'!$C$4:$C$3632))</f>
        <v>2547.37</v>
      </c>
      <c r="BE69" s="134">
        <f>SUMPRODUCT(-('Gastos Gerais'!$B$4:$B$3632=Analítico!$B69),-(Analítico!BE$3&gt;='Gastos Gerais'!$D$4:$D$3632),-(Analítico!BE$3&lt;='Gastos Gerais'!$E$4:$E$3632),-('Gastos Gerais'!$C$4:$C$3632))</f>
        <v>2547.37</v>
      </c>
      <c r="BF69" s="134">
        <f>SUMPRODUCT(-('Gastos Gerais'!$B$4:$B$3632=Analítico!$B69),-(Analítico!BF$3&gt;='Gastos Gerais'!$D$4:$D$3632),-(Analítico!BF$3&lt;='Gastos Gerais'!$E$4:$E$3632),-('Gastos Gerais'!$C$4:$C$3632))</f>
        <v>2547.37</v>
      </c>
      <c r="BG69" s="134">
        <f>SUMPRODUCT(-('Gastos Gerais'!$B$4:$B$3632=Analítico!$B69),-(Analítico!BG$3&gt;='Gastos Gerais'!$D$4:$D$3632),-(Analítico!BG$3&lt;='Gastos Gerais'!$E$4:$E$3632),-('Gastos Gerais'!$C$4:$C$3632))</f>
        <v>2547.37</v>
      </c>
      <c r="BH69" s="134">
        <f>SUMPRODUCT(-('Gastos Gerais'!$B$4:$B$3632=Analítico!$B69),-(Analítico!BH$3&gt;='Gastos Gerais'!$D$4:$D$3632),-(Analítico!BH$3&lt;='Gastos Gerais'!$E$4:$E$3632),-('Gastos Gerais'!$C$4:$C$3632))</f>
        <v>2547.37</v>
      </c>
      <c r="BI69" s="134">
        <f>SUMPRODUCT(-('Gastos Gerais'!$B$4:$B$3632=Analítico!$B69),-(Analítico!BI$3&gt;='Gastos Gerais'!$D$4:$D$3632),-(Analítico!BI$3&lt;='Gastos Gerais'!$E$4:$E$3632),-('Gastos Gerais'!$C$4:$C$3632))</f>
        <v>2547.37</v>
      </c>
      <c r="BJ69" s="134">
        <f>SUMPRODUCT(-('Gastos Gerais'!$B$4:$B$3632=Analítico!$B69),-(Analítico!BJ$3&gt;='Gastos Gerais'!$D$4:$D$3632),-(Analítico!BJ$3&lt;='Gastos Gerais'!$E$4:$E$3632),-('Gastos Gerais'!$C$4:$C$3632))</f>
        <v>2547.37</v>
      </c>
      <c r="BK69" s="189">
        <f t="shared" si="37"/>
        <v>134932.54999999996</v>
      </c>
      <c r="BL69" s="136">
        <f t="shared" ca="1" si="38"/>
        <v>4.0328705520993607E-4</v>
      </c>
      <c r="BN69" s="134">
        <f>SUMPRODUCT(-('Gastos Gerais'!$B$4:$B$3632=Analítico!$B69),-(Analítico!BN$3&gt;='Gastos Gerais'!$D$4:$D$3632),-(Analítico!BN$3&lt;='Gastos Gerais'!$E$4:$E$3632),-('Gastos Gerais'!$C$4:$C$3632))</f>
        <v>2030</v>
      </c>
    </row>
    <row r="70" spans="1:66" s="160" customFormat="1" ht="23.25" customHeight="1">
      <c r="A70" s="229" t="s">
        <v>217</v>
      </c>
      <c r="B70" s="230" t="s">
        <v>218</v>
      </c>
      <c r="C70" s="188">
        <f t="shared" si="36"/>
        <v>4800</v>
      </c>
      <c r="D70" s="134">
        <f>SUMPRODUCT(-('Gastos Gerais'!$B$4:$B$3632=Analítico!$B70),-(Analítico!D$3&gt;='Gastos Gerais'!$D$4:$D$3632),-(Analítico!D$3&lt;='Gastos Gerais'!$E$4:$E$3632),-('Gastos Gerais'!$C$4:$C$3632))</f>
        <v>16000</v>
      </c>
      <c r="E70" s="134">
        <f>SUMPRODUCT(-('Gastos Gerais'!$B$4:$B$3632=Analítico!$B70),-(Analítico!E$3&gt;='Gastos Gerais'!$D$4:$D$3632),-(Analítico!E$3&lt;='Gastos Gerais'!$E$4:$E$3632),-('Gastos Gerais'!$C$4:$C$3632))</f>
        <v>16000</v>
      </c>
      <c r="F70" s="134">
        <f>SUMPRODUCT(-('Gastos Gerais'!$B$4:$B$3632=Analítico!$B70),-(Analítico!F$3&gt;='Gastos Gerais'!$D$4:$D$3632),-(Analítico!F$3&lt;='Gastos Gerais'!$E$4:$E$3632),-('Gastos Gerais'!$C$4:$C$3632))</f>
        <v>16000</v>
      </c>
      <c r="G70" s="134">
        <f>SUMPRODUCT(-('Gastos Gerais'!$B$4:$B$3632=Analítico!$B70),-(Analítico!G$3&gt;='Gastos Gerais'!$D$4:$D$3632),-(Analítico!G$3&lt;='Gastos Gerais'!$E$4:$E$3632),-('Gastos Gerais'!$C$4:$C$3632))</f>
        <v>16000</v>
      </c>
      <c r="H70" s="134">
        <f>SUMPRODUCT(-('Gastos Gerais'!$B$4:$B$3632=Analítico!$B70),-(Analítico!H$3&gt;='Gastos Gerais'!$D$4:$D$3632),-(Analítico!H$3&lt;='Gastos Gerais'!$E$4:$E$3632),-('Gastos Gerais'!$C$4:$C$3632))</f>
        <v>16000</v>
      </c>
      <c r="I70" s="134">
        <f>SUMPRODUCT(-('Gastos Gerais'!$B$4:$B$3632=Analítico!$B70),-(Analítico!I$3&gt;='Gastos Gerais'!$D$4:$D$3632),-(Analítico!I$3&lt;='Gastos Gerais'!$E$4:$E$3632),-('Gastos Gerais'!$C$4:$C$3632))</f>
        <v>16000</v>
      </c>
      <c r="J70" s="134">
        <f>SUMPRODUCT(-('Gastos Gerais'!$B$4:$B$3632=Analítico!$B70),-(Analítico!J$3&gt;='Gastos Gerais'!$D$4:$D$3632),-(Analítico!J$3&lt;='Gastos Gerais'!$E$4:$E$3632),-('Gastos Gerais'!$C$4:$C$3632))</f>
        <v>16000</v>
      </c>
      <c r="K70" s="134">
        <f>SUMPRODUCT(-('Gastos Gerais'!$B$4:$B$3632=Analítico!$B70),-(Analítico!K$3&gt;='Gastos Gerais'!$D$4:$D$3632),-(Analítico!K$3&lt;='Gastos Gerais'!$E$4:$E$3632),-('Gastos Gerais'!$C$4:$C$3632))</f>
        <v>16000</v>
      </c>
      <c r="L70" s="134">
        <f>SUMPRODUCT(-('Gastos Gerais'!$B$4:$B$3632=Analítico!$B70),-(Analítico!L$3&gt;='Gastos Gerais'!$D$4:$D$3632),-(Analítico!L$3&lt;='Gastos Gerais'!$E$4:$E$3632),-('Gastos Gerais'!$C$4:$C$3632))</f>
        <v>16000</v>
      </c>
      <c r="M70" s="134">
        <f>SUMPRODUCT(-('Gastos Gerais'!$B$4:$B$3632=Analítico!$B70),-(Analítico!M$3&gt;='Gastos Gerais'!$D$4:$D$3632),-(Analítico!M$3&lt;='Gastos Gerais'!$E$4:$E$3632),-('Gastos Gerais'!$C$4:$C$3632))</f>
        <v>16000</v>
      </c>
      <c r="N70" s="134">
        <f>SUMPRODUCT(-('Gastos Gerais'!$B$4:$B$3632=Analítico!$B70),-(Analítico!N$3&gt;='Gastos Gerais'!$D$4:$D$3632),-(Analítico!N$3&lt;='Gastos Gerais'!$E$4:$E$3632),-('Gastos Gerais'!$C$4:$C$3632))</f>
        <v>16000</v>
      </c>
      <c r="O70" s="134">
        <f>SUMPRODUCT(-('Gastos Gerais'!$B$4:$B$3632=Analítico!$B70),-(Analítico!O$3&gt;='Gastos Gerais'!$D$4:$D$3632),-(Analítico!O$3&lt;='Gastos Gerais'!$E$4:$E$3632),-('Gastos Gerais'!$C$4:$C$3632))</f>
        <v>16000</v>
      </c>
      <c r="P70" s="134">
        <f>SUMPRODUCT(-('Gastos Gerais'!$B$4:$B$3632=Analítico!$B70),-(Analítico!P$3&gt;='Gastos Gerais'!$D$4:$D$3632),-(Analítico!P$3&lt;='Gastos Gerais'!$E$4:$E$3632),-('Gastos Gerais'!$C$4:$C$3632))</f>
        <v>16934.400000000001</v>
      </c>
      <c r="Q70" s="134">
        <f>SUMPRODUCT(-('Gastos Gerais'!$B$4:$B$3632=Analítico!$B70),-(Analítico!Q$3&gt;='Gastos Gerais'!$D$4:$D$3632),-(Analítico!Q$3&lt;='Gastos Gerais'!$E$4:$E$3632),-('Gastos Gerais'!$C$4:$C$3632))</f>
        <v>16934.400000000001</v>
      </c>
      <c r="R70" s="134">
        <f>SUMPRODUCT(-('Gastos Gerais'!$B$4:$B$3632=Analítico!$B70),-(Analítico!R$3&gt;='Gastos Gerais'!$D$4:$D$3632),-(Analítico!R$3&lt;='Gastos Gerais'!$E$4:$E$3632),-('Gastos Gerais'!$C$4:$C$3632))</f>
        <v>16934.400000000001</v>
      </c>
      <c r="S70" s="134">
        <f>SUMPRODUCT(-('Gastos Gerais'!$B$4:$B$3632=Analítico!$B70),-(Analítico!S$3&gt;='Gastos Gerais'!$D$4:$D$3632),-(Analítico!S$3&lt;='Gastos Gerais'!$E$4:$E$3632),-('Gastos Gerais'!$C$4:$C$3632))</f>
        <v>16934.400000000001</v>
      </c>
      <c r="T70" s="134">
        <f>SUMPRODUCT(-('Gastos Gerais'!$B$4:$B$3632=Analítico!$B70),-(Analítico!T$3&gt;='Gastos Gerais'!$D$4:$D$3632),-(Analítico!T$3&lt;='Gastos Gerais'!$E$4:$E$3632),-('Gastos Gerais'!$C$4:$C$3632))</f>
        <v>16934.400000000001</v>
      </c>
      <c r="U70" s="134">
        <f>SUMPRODUCT(-('Gastos Gerais'!$B$4:$B$3632=Analítico!$B70),-(Analítico!U$3&gt;='Gastos Gerais'!$D$4:$D$3632),-(Analítico!U$3&lt;='Gastos Gerais'!$E$4:$E$3632),-('Gastos Gerais'!$C$4:$C$3632))</f>
        <v>16934.400000000001</v>
      </c>
      <c r="V70" s="134">
        <f>SUMPRODUCT(-('Gastos Gerais'!$B$4:$B$3632=Analítico!$B70),-(Analítico!V$3&gt;='Gastos Gerais'!$D$4:$D$3632),-(Analítico!V$3&lt;='Gastos Gerais'!$E$4:$E$3632),-('Gastos Gerais'!$C$4:$C$3632))</f>
        <v>16934.400000000001</v>
      </c>
      <c r="W70" s="134">
        <f>SUMPRODUCT(-('Gastos Gerais'!$B$4:$B$3632=Analítico!$B70),-(Analítico!W$3&gt;='Gastos Gerais'!$D$4:$D$3632),-(Analítico!W$3&lt;='Gastos Gerais'!$E$4:$E$3632),-('Gastos Gerais'!$C$4:$C$3632))</f>
        <v>16934.400000000001</v>
      </c>
      <c r="X70" s="134">
        <f>SUMPRODUCT(-('Gastos Gerais'!$B$4:$B$3632=Analítico!$B70),-(Analítico!X$3&gt;='Gastos Gerais'!$D$4:$D$3632),-(Analítico!X$3&lt;='Gastos Gerais'!$E$4:$E$3632),-('Gastos Gerais'!$C$4:$C$3632))</f>
        <v>16934.400000000001</v>
      </c>
      <c r="Y70" s="134">
        <f>SUMPRODUCT(-('Gastos Gerais'!$B$4:$B$3632=Analítico!$B70),-(Analítico!Y$3&gt;='Gastos Gerais'!$D$4:$D$3632),-(Analítico!Y$3&lt;='Gastos Gerais'!$E$4:$E$3632),-('Gastos Gerais'!$C$4:$C$3632))</f>
        <v>16934.400000000001</v>
      </c>
      <c r="Z70" s="134">
        <f>SUMPRODUCT(-('Gastos Gerais'!$B$4:$B$3632=Analítico!$B70),-(Analítico!Z$3&gt;='Gastos Gerais'!$D$4:$D$3632),-(Analítico!Z$3&lt;='Gastos Gerais'!$E$4:$E$3632),-('Gastos Gerais'!$C$4:$C$3632))</f>
        <v>16934.400000000001</v>
      </c>
      <c r="AA70" s="134">
        <f>SUMPRODUCT(-('Gastos Gerais'!$B$4:$B$3632=Analítico!$B70),-(Analítico!AA$3&gt;='Gastos Gerais'!$D$4:$D$3632),-(Analítico!AA$3&lt;='Gastos Gerais'!$E$4:$E$3632),-('Gastos Gerais'!$C$4:$C$3632))</f>
        <v>16934.400000000001</v>
      </c>
      <c r="AB70" s="134">
        <f>SUMPRODUCT(-('Gastos Gerais'!$B$4:$B$3632=Analítico!$B70),-(Analítico!AB$3&gt;='Gastos Gerais'!$D$4:$D$3632),-(Analítico!AB$3&lt;='Gastos Gerais'!$E$4:$E$3632),-('Gastos Gerais'!$C$4:$C$3632))</f>
        <v>17923.37</v>
      </c>
      <c r="AC70" s="134">
        <f>SUMPRODUCT(-('Gastos Gerais'!$B$4:$B$3632=Analítico!$B70),-(Analítico!AC$3&gt;='Gastos Gerais'!$D$4:$D$3632),-(Analítico!AC$3&lt;='Gastos Gerais'!$E$4:$E$3632),-('Gastos Gerais'!$C$4:$C$3632))</f>
        <v>17923.37</v>
      </c>
      <c r="AD70" s="134">
        <f>SUMPRODUCT(-('Gastos Gerais'!$B$4:$B$3632=Analítico!$B70),-(Analítico!AD$3&gt;='Gastos Gerais'!$D$4:$D$3632),-(Analítico!AD$3&lt;='Gastos Gerais'!$E$4:$E$3632),-('Gastos Gerais'!$C$4:$C$3632))</f>
        <v>17923.37</v>
      </c>
      <c r="AE70" s="134">
        <f>SUMPRODUCT(-('Gastos Gerais'!$B$4:$B$3632=Analítico!$B70),-(Analítico!AE$3&gt;='Gastos Gerais'!$D$4:$D$3632),-(Analítico!AE$3&lt;='Gastos Gerais'!$E$4:$E$3632),-('Gastos Gerais'!$C$4:$C$3632))</f>
        <v>17923.37</v>
      </c>
      <c r="AF70" s="134">
        <f>SUMPRODUCT(-('Gastos Gerais'!$B$4:$B$3632=Analítico!$B70),-(Analítico!AF$3&gt;='Gastos Gerais'!$D$4:$D$3632),-(Analítico!AF$3&lt;='Gastos Gerais'!$E$4:$E$3632),-('Gastos Gerais'!$C$4:$C$3632))</f>
        <v>17923.37</v>
      </c>
      <c r="AG70" s="134">
        <f>SUMPRODUCT(-('Gastos Gerais'!$B$4:$B$3632=Analítico!$B70),-(Analítico!AG$3&gt;='Gastos Gerais'!$D$4:$D$3632),-(Analítico!AG$3&lt;='Gastos Gerais'!$E$4:$E$3632),-('Gastos Gerais'!$C$4:$C$3632))</f>
        <v>17923.37</v>
      </c>
      <c r="AH70" s="134">
        <f>SUMPRODUCT(-('Gastos Gerais'!$B$4:$B$3632=Analítico!$B70),-(Analítico!AH$3&gt;='Gastos Gerais'!$D$4:$D$3632),-(Analítico!AH$3&lt;='Gastos Gerais'!$E$4:$E$3632),-('Gastos Gerais'!$C$4:$C$3632))</f>
        <v>17923.37</v>
      </c>
      <c r="AI70" s="134">
        <f>SUMPRODUCT(-('Gastos Gerais'!$B$4:$B$3632=Analítico!$B70),-(Analítico!AI$3&gt;='Gastos Gerais'!$D$4:$D$3632),-(Analítico!AI$3&lt;='Gastos Gerais'!$E$4:$E$3632),-('Gastos Gerais'!$C$4:$C$3632))</f>
        <v>17923.37</v>
      </c>
      <c r="AJ70" s="134">
        <f>SUMPRODUCT(-('Gastos Gerais'!$B$4:$B$3632=Analítico!$B70),-(Analítico!AJ$3&gt;='Gastos Gerais'!$D$4:$D$3632),-(Analítico!AJ$3&lt;='Gastos Gerais'!$E$4:$E$3632),-('Gastos Gerais'!$C$4:$C$3632))</f>
        <v>17923.37</v>
      </c>
      <c r="AK70" s="134">
        <f>SUMPRODUCT(-('Gastos Gerais'!$B$4:$B$3632=Analítico!$B70),-(Analítico!AK$3&gt;='Gastos Gerais'!$D$4:$D$3632),-(Analítico!AK$3&lt;='Gastos Gerais'!$E$4:$E$3632),-('Gastos Gerais'!$C$4:$C$3632))</f>
        <v>17923.37</v>
      </c>
      <c r="AL70" s="134">
        <f>SUMPRODUCT(-('Gastos Gerais'!$B$4:$B$3632=Analítico!$B70),-(Analítico!AL$3&gt;='Gastos Gerais'!$D$4:$D$3632),-(Analítico!AL$3&lt;='Gastos Gerais'!$E$4:$E$3632),-('Gastos Gerais'!$C$4:$C$3632))</f>
        <v>17923.37</v>
      </c>
      <c r="AM70" s="134">
        <f>SUMPRODUCT(-('Gastos Gerais'!$B$4:$B$3632=Analítico!$B70),-(Analítico!AM$3&gt;='Gastos Gerais'!$D$4:$D$3632),-(Analítico!AM$3&lt;='Gastos Gerais'!$E$4:$E$3632),-('Gastos Gerais'!$C$4:$C$3632))</f>
        <v>17923.37</v>
      </c>
      <c r="AN70" s="134">
        <f>SUMPRODUCT(-('Gastos Gerais'!$B$4:$B$3632=Analítico!$B70),-(Analítico!AN$3&gt;='Gastos Gerais'!$D$4:$D$3632),-(Analítico!AN$3&lt;='Gastos Gerais'!$E$4:$E$3632),-('Gastos Gerais'!$C$4:$C$3632))</f>
        <v>18970.09</v>
      </c>
      <c r="AO70" s="134">
        <f>SUMPRODUCT(-('Gastos Gerais'!$B$4:$B$3632=Analítico!$B70),-(Analítico!AO$3&gt;='Gastos Gerais'!$D$4:$D$3632),-(Analítico!AO$3&lt;='Gastos Gerais'!$E$4:$E$3632),-('Gastos Gerais'!$C$4:$C$3632))</f>
        <v>18970.09</v>
      </c>
      <c r="AP70" s="134">
        <f>SUMPRODUCT(-('Gastos Gerais'!$B$4:$B$3632=Analítico!$B70),-(Analítico!AP$3&gt;='Gastos Gerais'!$D$4:$D$3632),-(Analítico!AP$3&lt;='Gastos Gerais'!$E$4:$E$3632),-('Gastos Gerais'!$C$4:$C$3632))</f>
        <v>18970.09</v>
      </c>
      <c r="AQ70" s="134">
        <f>SUMPRODUCT(-('Gastos Gerais'!$B$4:$B$3632=Analítico!$B70),-(Analítico!AQ$3&gt;='Gastos Gerais'!$D$4:$D$3632),-(Analítico!AQ$3&lt;='Gastos Gerais'!$E$4:$E$3632),-('Gastos Gerais'!$C$4:$C$3632))</f>
        <v>18970.09</v>
      </c>
      <c r="AR70" s="134">
        <f>SUMPRODUCT(-('Gastos Gerais'!$B$4:$B$3632=Analítico!$B70),-(Analítico!AR$3&gt;='Gastos Gerais'!$D$4:$D$3632),-(Analítico!AR$3&lt;='Gastos Gerais'!$E$4:$E$3632),-('Gastos Gerais'!$C$4:$C$3632))</f>
        <v>18970.09</v>
      </c>
      <c r="AS70" s="134">
        <f>SUMPRODUCT(-('Gastos Gerais'!$B$4:$B$3632=Analítico!$B70),-(Analítico!AS$3&gt;='Gastos Gerais'!$D$4:$D$3632),-(Analítico!AS$3&lt;='Gastos Gerais'!$E$4:$E$3632),-('Gastos Gerais'!$C$4:$C$3632))</f>
        <v>18970.09</v>
      </c>
      <c r="AT70" s="134">
        <f>SUMPRODUCT(-('Gastos Gerais'!$B$4:$B$3632=Analítico!$B70),-(Analítico!AT$3&gt;='Gastos Gerais'!$D$4:$D$3632),-(Analítico!AT$3&lt;='Gastos Gerais'!$E$4:$E$3632),-('Gastos Gerais'!$C$4:$C$3632))</f>
        <v>18970.09</v>
      </c>
      <c r="AU70" s="134">
        <f>SUMPRODUCT(-('Gastos Gerais'!$B$4:$B$3632=Analítico!$B70),-(Analítico!AU$3&gt;='Gastos Gerais'!$D$4:$D$3632),-(Analítico!AU$3&lt;='Gastos Gerais'!$E$4:$E$3632),-('Gastos Gerais'!$C$4:$C$3632))</f>
        <v>18970.09</v>
      </c>
      <c r="AV70" s="134">
        <f>SUMPRODUCT(-('Gastos Gerais'!$B$4:$B$3632=Analítico!$B70),-(Analítico!AV$3&gt;='Gastos Gerais'!$D$4:$D$3632),-(Analítico!AV$3&lt;='Gastos Gerais'!$E$4:$E$3632),-('Gastos Gerais'!$C$4:$C$3632))</f>
        <v>18970.09</v>
      </c>
      <c r="AW70" s="134">
        <f>SUMPRODUCT(-('Gastos Gerais'!$B$4:$B$3632=Analítico!$B70),-(Analítico!AW$3&gt;='Gastos Gerais'!$D$4:$D$3632),-(Analítico!AW$3&lt;='Gastos Gerais'!$E$4:$E$3632),-('Gastos Gerais'!$C$4:$C$3632))</f>
        <v>18970.09</v>
      </c>
      <c r="AX70" s="134">
        <f>SUMPRODUCT(-('Gastos Gerais'!$B$4:$B$3632=Analítico!$B70),-(Analítico!AX$3&gt;='Gastos Gerais'!$D$4:$D$3632),-(Analítico!AX$3&lt;='Gastos Gerais'!$E$4:$E$3632),-('Gastos Gerais'!$C$4:$C$3632))</f>
        <v>18970.09</v>
      </c>
      <c r="AY70" s="134">
        <f>SUMPRODUCT(-('Gastos Gerais'!$B$4:$B$3632=Analítico!$B70),-(Analítico!AY$3&gt;='Gastos Gerais'!$D$4:$D$3632),-(Analítico!AY$3&lt;='Gastos Gerais'!$E$4:$E$3632),-('Gastos Gerais'!$C$4:$C$3632))</f>
        <v>18970.09</v>
      </c>
      <c r="AZ70" s="134">
        <f>SUMPRODUCT(-('Gastos Gerais'!$B$4:$B$3632=Analítico!$B70),-(Analítico!AZ$3&gt;='Gastos Gerais'!$D$4:$D$3632),-(Analítico!AZ$3&lt;='Gastos Gerais'!$E$4:$E$3632),-('Gastos Gerais'!$C$4:$C$3632))</f>
        <v>20077.939999999999</v>
      </c>
      <c r="BA70" s="134">
        <f>SUMPRODUCT(-('Gastos Gerais'!$B$4:$B$3632=Analítico!$B70),-(Analítico!BA$3&gt;='Gastos Gerais'!$D$4:$D$3632),-(Analítico!BA$3&lt;='Gastos Gerais'!$E$4:$E$3632),-('Gastos Gerais'!$C$4:$C$3632))</f>
        <v>20077.939999999999</v>
      </c>
      <c r="BB70" s="134">
        <f>SUMPRODUCT(-('Gastos Gerais'!$B$4:$B$3632=Analítico!$B70),-(Analítico!BB$3&gt;='Gastos Gerais'!$D$4:$D$3632),-(Analítico!BB$3&lt;='Gastos Gerais'!$E$4:$E$3632),-('Gastos Gerais'!$C$4:$C$3632))</f>
        <v>20077.939999999999</v>
      </c>
      <c r="BC70" s="134">
        <f>SUMPRODUCT(-('Gastos Gerais'!$B$4:$B$3632=Analítico!$B70),-(Analítico!BC$3&gt;='Gastos Gerais'!$D$4:$D$3632),-(Analítico!BC$3&lt;='Gastos Gerais'!$E$4:$E$3632),-('Gastos Gerais'!$C$4:$C$3632))</f>
        <v>20077.939999999999</v>
      </c>
      <c r="BD70" s="134">
        <f>SUMPRODUCT(-('Gastos Gerais'!$B$4:$B$3632=Analítico!$B70),-(Analítico!BD$3&gt;='Gastos Gerais'!$D$4:$D$3632),-(Analítico!BD$3&lt;='Gastos Gerais'!$E$4:$E$3632),-('Gastos Gerais'!$C$4:$C$3632))</f>
        <v>20077.939999999999</v>
      </c>
      <c r="BE70" s="134">
        <f>SUMPRODUCT(-('Gastos Gerais'!$B$4:$B$3632=Analítico!$B70),-(Analítico!BE$3&gt;='Gastos Gerais'!$D$4:$D$3632),-(Analítico!BE$3&lt;='Gastos Gerais'!$E$4:$E$3632),-('Gastos Gerais'!$C$4:$C$3632))</f>
        <v>20077.939999999999</v>
      </c>
      <c r="BF70" s="134">
        <f>SUMPRODUCT(-('Gastos Gerais'!$B$4:$B$3632=Analítico!$B70),-(Analítico!BF$3&gt;='Gastos Gerais'!$D$4:$D$3632),-(Analítico!BF$3&lt;='Gastos Gerais'!$E$4:$E$3632),-('Gastos Gerais'!$C$4:$C$3632))</f>
        <v>20077.939999999999</v>
      </c>
      <c r="BG70" s="134">
        <f>SUMPRODUCT(-('Gastos Gerais'!$B$4:$B$3632=Analítico!$B70),-(Analítico!BG$3&gt;='Gastos Gerais'!$D$4:$D$3632),-(Analítico!BG$3&lt;='Gastos Gerais'!$E$4:$E$3632),-('Gastos Gerais'!$C$4:$C$3632))</f>
        <v>20077.939999999999</v>
      </c>
      <c r="BH70" s="134">
        <f>SUMPRODUCT(-('Gastos Gerais'!$B$4:$B$3632=Analítico!$B70),-(Analítico!BH$3&gt;='Gastos Gerais'!$D$4:$D$3632),-(Analítico!BH$3&lt;='Gastos Gerais'!$E$4:$E$3632),-('Gastos Gerais'!$C$4:$C$3632))</f>
        <v>20077.939999999999</v>
      </c>
      <c r="BI70" s="134">
        <f>SUMPRODUCT(-('Gastos Gerais'!$B$4:$B$3632=Analítico!$B70),-(Analítico!BI$3&gt;='Gastos Gerais'!$D$4:$D$3632),-(Analítico!BI$3&lt;='Gastos Gerais'!$E$4:$E$3632),-('Gastos Gerais'!$C$4:$C$3632))</f>
        <v>20077.939999999999</v>
      </c>
      <c r="BJ70" s="134">
        <f>SUMPRODUCT(-('Gastos Gerais'!$B$4:$B$3632=Analítico!$B70),-(Analítico!BJ$3&gt;='Gastos Gerais'!$D$4:$D$3632),-(Analítico!BJ$3&lt;='Gastos Gerais'!$E$4:$E$3632),-('Gastos Gerais'!$C$4:$C$3632))</f>
        <v>20077.939999999999</v>
      </c>
      <c r="BK70" s="189">
        <f t="shared" si="37"/>
        <v>1063591.6599999992</v>
      </c>
      <c r="BL70" s="136">
        <f t="shared" ca="1" si="38"/>
        <v>3.1788678751513062E-3</v>
      </c>
      <c r="BN70" s="134">
        <f>SUMPRODUCT(-('Gastos Gerais'!$B$4:$B$3632=Analítico!$B70),-(Analítico!BN$3&gt;='Gastos Gerais'!$D$4:$D$3632),-(Analítico!BN$3&lt;='Gastos Gerais'!$E$4:$E$3632),-('Gastos Gerais'!$C$4:$C$3632))</f>
        <v>16000</v>
      </c>
    </row>
    <row r="71" spans="1:66" s="160" customFormat="1" ht="23.25" customHeight="1">
      <c r="A71" s="229" t="s">
        <v>219</v>
      </c>
      <c r="B71" s="230" t="s">
        <v>220</v>
      </c>
      <c r="C71" s="188">
        <f t="shared" si="36"/>
        <v>0</v>
      </c>
      <c r="D71" s="134">
        <f>SUMPRODUCT(-('Gastos Gerais'!$B$4:$B$3632=Analítico!$B71),-(Analítico!D$3&gt;='Gastos Gerais'!$D$4:$D$3632),-(Analítico!D$3&lt;='Gastos Gerais'!$E$4:$E$3632),-('Gastos Gerais'!$C$4:$C$3632))</f>
        <v>12000</v>
      </c>
      <c r="E71" s="134">
        <f>SUMPRODUCT(-('Gastos Gerais'!$B$4:$B$3632=Analítico!$B71),-(Analítico!E$3&gt;='Gastos Gerais'!$D$4:$D$3632),-(Analítico!E$3&lt;='Gastos Gerais'!$E$4:$E$3632),-('Gastos Gerais'!$C$4:$C$3632))</f>
        <v>12000</v>
      </c>
      <c r="F71" s="134">
        <f>SUMPRODUCT(-('Gastos Gerais'!$B$4:$B$3632=Analítico!$B71),-(Analítico!F$3&gt;='Gastos Gerais'!$D$4:$D$3632),-(Analítico!F$3&lt;='Gastos Gerais'!$E$4:$E$3632),-('Gastos Gerais'!$C$4:$C$3632))</f>
        <v>12000</v>
      </c>
      <c r="G71" s="134">
        <f>SUMPRODUCT(-('Gastos Gerais'!$B$4:$B$3632=Analítico!$B71),-(Analítico!G$3&gt;='Gastos Gerais'!$D$4:$D$3632),-(Analítico!G$3&lt;='Gastos Gerais'!$E$4:$E$3632),-('Gastos Gerais'!$C$4:$C$3632))</f>
        <v>12000</v>
      </c>
      <c r="H71" s="134">
        <f>SUMPRODUCT(-('Gastos Gerais'!$B$4:$B$3632=Analítico!$B71),-(Analítico!H$3&gt;='Gastos Gerais'!$D$4:$D$3632),-(Analítico!H$3&lt;='Gastos Gerais'!$E$4:$E$3632),-('Gastos Gerais'!$C$4:$C$3632))</f>
        <v>12000</v>
      </c>
      <c r="I71" s="134">
        <f>SUMPRODUCT(-('Gastos Gerais'!$B$4:$B$3632=Analítico!$B71),-(Analítico!I$3&gt;='Gastos Gerais'!$D$4:$D$3632),-(Analítico!I$3&lt;='Gastos Gerais'!$E$4:$E$3632),-('Gastos Gerais'!$C$4:$C$3632))</f>
        <v>12000</v>
      </c>
      <c r="J71" s="134">
        <f>SUMPRODUCT(-('Gastos Gerais'!$B$4:$B$3632=Analítico!$B71),-(Analítico!J$3&gt;='Gastos Gerais'!$D$4:$D$3632),-(Analítico!J$3&lt;='Gastos Gerais'!$E$4:$E$3632),-('Gastos Gerais'!$C$4:$C$3632))</f>
        <v>12000</v>
      </c>
      <c r="K71" s="134">
        <f>SUMPRODUCT(-('Gastos Gerais'!$B$4:$B$3632=Analítico!$B71),-(Analítico!K$3&gt;='Gastos Gerais'!$D$4:$D$3632),-(Analítico!K$3&lt;='Gastos Gerais'!$E$4:$E$3632),-('Gastos Gerais'!$C$4:$C$3632))</f>
        <v>12000</v>
      </c>
      <c r="L71" s="134">
        <f>SUMPRODUCT(-('Gastos Gerais'!$B$4:$B$3632=Analítico!$B71),-(Analítico!L$3&gt;='Gastos Gerais'!$D$4:$D$3632),-(Analítico!L$3&lt;='Gastos Gerais'!$E$4:$E$3632),-('Gastos Gerais'!$C$4:$C$3632))</f>
        <v>12000</v>
      </c>
      <c r="M71" s="134">
        <f>SUMPRODUCT(-('Gastos Gerais'!$B$4:$B$3632=Analítico!$B71),-(Analítico!M$3&gt;='Gastos Gerais'!$D$4:$D$3632),-(Analítico!M$3&lt;='Gastos Gerais'!$E$4:$E$3632),-('Gastos Gerais'!$C$4:$C$3632))</f>
        <v>12000</v>
      </c>
      <c r="N71" s="134">
        <f>SUMPRODUCT(-('Gastos Gerais'!$B$4:$B$3632=Analítico!$B71),-(Analítico!N$3&gt;='Gastos Gerais'!$D$4:$D$3632),-(Analítico!N$3&lt;='Gastos Gerais'!$E$4:$E$3632),-('Gastos Gerais'!$C$4:$C$3632))</f>
        <v>12000</v>
      </c>
      <c r="O71" s="134">
        <f>SUMPRODUCT(-('Gastos Gerais'!$B$4:$B$3632=Analítico!$B71),-(Analítico!O$3&gt;='Gastos Gerais'!$D$4:$D$3632),-(Analítico!O$3&lt;='Gastos Gerais'!$E$4:$E$3632),-('Gastos Gerais'!$C$4:$C$3632))</f>
        <v>12000</v>
      </c>
      <c r="P71" s="134">
        <f>SUMPRODUCT(-('Gastos Gerais'!$B$4:$B$3632=Analítico!$B71),-(Analítico!P$3&gt;='Gastos Gerais'!$D$4:$D$3632),-(Analítico!P$3&lt;='Gastos Gerais'!$E$4:$E$3632),-('Gastos Gerais'!$C$4:$C$3632))</f>
        <v>12700.8</v>
      </c>
      <c r="Q71" s="134">
        <f>SUMPRODUCT(-('Gastos Gerais'!$B$4:$B$3632=Analítico!$B71),-(Analítico!Q$3&gt;='Gastos Gerais'!$D$4:$D$3632),-(Analítico!Q$3&lt;='Gastos Gerais'!$E$4:$E$3632),-('Gastos Gerais'!$C$4:$C$3632))</f>
        <v>12700.8</v>
      </c>
      <c r="R71" s="134">
        <f>SUMPRODUCT(-('Gastos Gerais'!$B$4:$B$3632=Analítico!$B71),-(Analítico!R$3&gt;='Gastos Gerais'!$D$4:$D$3632),-(Analítico!R$3&lt;='Gastos Gerais'!$E$4:$E$3632),-('Gastos Gerais'!$C$4:$C$3632))</f>
        <v>12700.8</v>
      </c>
      <c r="S71" s="134">
        <f>SUMPRODUCT(-('Gastos Gerais'!$B$4:$B$3632=Analítico!$B71),-(Analítico!S$3&gt;='Gastos Gerais'!$D$4:$D$3632),-(Analítico!S$3&lt;='Gastos Gerais'!$E$4:$E$3632),-('Gastos Gerais'!$C$4:$C$3632))</f>
        <v>12700.8</v>
      </c>
      <c r="T71" s="134">
        <f>SUMPRODUCT(-('Gastos Gerais'!$B$4:$B$3632=Analítico!$B71),-(Analítico!T$3&gt;='Gastos Gerais'!$D$4:$D$3632),-(Analítico!T$3&lt;='Gastos Gerais'!$E$4:$E$3632),-('Gastos Gerais'!$C$4:$C$3632))</f>
        <v>12700.8</v>
      </c>
      <c r="U71" s="134">
        <f>SUMPRODUCT(-('Gastos Gerais'!$B$4:$B$3632=Analítico!$B71),-(Analítico!U$3&gt;='Gastos Gerais'!$D$4:$D$3632),-(Analítico!U$3&lt;='Gastos Gerais'!$E$4:$E$3632),-('Gastos Gerais'!$C$4:$C$3632))</f>
        <v>12700.8</v>
      </c>
      <c r="V71" s="134">
        <f>SUMPRODUCT(-('Gastos Gerais'!$B$4:$B$3632=Analítico!$B71),-(Analítico!V$3&gt;='Gastos Gerais'!$D$4:$D$3632),-(Analítico!V$3&lt;='Gastos Gerais'!$E$4:$E$3632),-('Gastos Gerais'!$C$4:$C$3632))</f>
        <v>12700.8</v>
      </c>
      <c r="W71" s="134">
        <f>SUMPRODUCT(-('Gastos Gerais'!$B$4:$B$3632=Analítico!$B71),-(Analítico!W$3&gt;='Gastos Gerais'!$D$4:$D$3632),-(Analítico!W$3&lt;='Gastos Gerais'!$E$4:$E$3632),-('Gastos Gerais'!$C$4:$C$3632))</f>
        <v>12700.8</v>
      </c>
      <c r="X71" s="134">
        <f>SUMPRODUCT(-('Gastos Gerais'!$B$4:$B$3632=Analítico!$B71),-(Analítico!X$3&gt;='Gastos Gerais'!$D$4:$D$3632),-(Analítico!X$3&lt;='Gastos Gerais'!$E$4:$E$3632),-('Gastos Gerais'!$C$4:$C$3632))</f>
        <v>12700.8</v>
      </c>
      <c r="Y71" s="134">
        <f>SUMPRODUCT(-('Gastos Gerais'!$B$4:$B$3632=Analítico!$B71),-(Analítico!Y$3&gt;='Gastos Gerais'!$D$4:$D$3632),-(Analítico!Y$3&lt;='Gastos Gerais'!$E$4:$E$3632),-('Gastos Gerais'!$C$4:$C$3632))</f>
        <v>12700.8</v>
      </c>
      <c r="Z71" s="134">
        <f>SUMPRODUCT(-('Gastos Gerais'!$B$4:$B$3632=Analítico!$B71),-(Analítico!Z$3&gt;='Gastos Gerais'!$D$4:$D$3632),-(Analítico!Z$3&lt;='Gastos Gerais'!$E$4:$E$3632),-('Gastos Gerais'!$C$4:$C$3632))</f>
        <v>12700.8</v>
      </c>
      <c r="AA71" s="134">
        <f>SUMPRODUCT(-('Gastos Gerais'!$B$4:$B$3632=Analítico!$B71),-(Analítico!AA$3&gt;='Gastos Gerais'!$D$4:$D$3632),-(Analítico!AA$3&lt;='Gastos Gerais'!$E$4:$E$3632),-('Gastos Gerais'!$C$4:$C$3632))</f>
        <v>12700.8</v>
      </c>
      <c r="AB71" s="134">
        <f>SUMPRODUCT(-('Gastos Gerais'!$B$4:$B$3632=Analítico!$B71),-(Analítico!AB$3&gt;='Gastos Gerais'!$D$4:$D$3632),-(Analítico!AB$3&lt;='Gastos Gerais'!$E$4:$E$3632),-('Gastos Gerais'!$C$4:$C$3632))</f>
        <v>13442.52</v>
      </c>
      <c r="AC71" s="134">
        <f>SUMPRODUCT(-('Gastos Gerais'!$B$4:$B$3632=Analítico!$B71),-(Analítico!AC$3&gt;='Gastos Gerais'!$D$4:$D$3632),-(Analítico!AC$3&lt;='Gastos Gerais'!$E$4:$E$3632),-('Gastos Gerais'!$C$4:$C$3632))</f>
        <v>13442.52</v>
      </c>
      <c r="AD71" s="134">
        <f>SUMPRODUCT(-('Gastos Gerais'!$B$4:$B$3632=Analítico!$B71),-(Analítico!AD$3&gt;='Gastos Gerais'!$D$4:$D$3632),-(Analítico!AD$3&lt;='Gastos Gerais'!$E$4:$E$3632),-('Gastos Gerais'!$C$4:$C$3632))</f>
        <v>13442.52</v>
      </c>
      <c r="AE71" s="134">
        <f>SUMPRODUCT(-('Gastos Gerais'!$B$4:$B$3632=Analítico!$B71),-(Analítico!AE$3&gt;='Gastos Gerais'!$D$4:$D$3632),-(Analítico!AE$3&lt;='Gastos Gerais'!$E$4:$E$3632),-('Gastos Gerais'!$C$4:$C$3632))</f>
        <v>13442.52</v>
      </c>
      <c r="AF71" s="134">
        <f>SUMPRODUCT(-('Gastos Gerais'!$B$4:$B$3632=Analítico!$B71),-(Analítico!AF$3&gt;='Gastos Gerais'!$D$4:$D$3632),-(Analítico!AF$3&lt;='Gastos Gerais'!$E$4:$E$3632),-('Gastos Gerais'!$C$4:$C$3632))</f>
        <v>13442.52</v>
      </c>
      <c r="AG71" s="134">
        <f>SUMPRODUCT(-('Gastos Gerais'!$B$4:$B$3632=Analítico!$B71),-(Analítico!AG$3&gt;='Gastos Gerais'!$D$4:$D$3632),-(Analítico!AG$3&lt;='Gastos Gerais'!$E$4:$E$3632),-('Gastos Gerais'!$C$4:$C$3632))</f>
        <v>13442.52</v>
      </c>
      <c r="AH71" s="134">
        <f>SUMPRODUCT(-('Gastos Gerais'!$B$4:$B$3632=Analítico!$B71),-(Analítico!AH$3&gt;='Gastos Gerais'!$D$4:$D$3632),-(Analítico!AH$3&lt;='Gastos Gerais'!$E$4:$E$3632),-('Gastos Gerais'!$C$4:$C$3632))</f>
        <v>13442.52</v>
      </c>
      <c r="AI71" s="134">
        <f>SUMPRODUCT(-('Gastos Gerais'!$B$4:$B$3632=Analítico!$B71),-(Analítico!AI$3&gt;='Gastos Gerais'!$D$4:$D$3632),-(Analítico!AI$3&lt;='Gastos Gerais'!$E$4:$E$3632),-('Gastos Gerais'!$C$4:$C$3632))</f>
        <v>13442.52</v>
      </c>
      <c r="AJ71" s="134">
        <f>SUMPRODUCT(-('Gastos Gerais'!$B$4:$B$3632=Analítico!$B71),-(Analítico!AJ$3&gt;='Gastos Gerais'!$D$4:$D$3632),-(Analítico!AJ$3&lt;='Gastos Gerais'!$E$4:$E$3632),-('Gastos Gerais'!$C$4:$C$3632))</f>
        <v>13442.52</v>
      </c>
      <c r="AK71" s="134">
        <f>SUMPRODUCT(-('Gastos Gerais'!$B$4:$B$3632=Analítico!$B71),-(Analítico!AK$3&gt;='Gastos Gerais'!$D$4:$D$3632),-(Analítico!AK$3&lt;='Gastos Gerais'!$E$4:$E$3632),-('Gastos Gerais'!$C$4:$C$3632))</f>
        <v>13442.52</v>
      </c>
      <c r="AL71" s="134">
        <f>SUMPRODUCT(-('Gastos Gerais'!$B$4:$B$3632=Analítico!$B71),-(Analítico!AL$3&gt;='Gastos Gerais'!$D$4:$D$3632),-(Analítico!AL$3&lt;='Gastos Gerais'!$E$4:$E$3632),-('Gastos Gerais'!$C$4:$C$3632))</f>
        <v>13442.52</v>
      </c>
      <c r="AM71" s="134">
        <f>SUMPRODUCT(-('Gastos Gerais'!$B$4:$B$3632=Analítico!$B71),-(Analítico!AM$3&gt;='Gastos Gerais'!$D$4:$D$3632),-(Analítico!AM$3&lt;='Gastos Gerais'!$E$4:$E$3632),-('Gastos Gerais'!$C$4:$C$3632))</f>
        <v>13442.52</v>
      </c>
      <c r="AN71" s="134">
        <f>SUMPRODUCT(-('Gastos Gerais'!$B$4:$B$3632=Analítico!$B71),-(Analítico!AN$3&gt;='Gastos Gerais'!$D$4:$D$3632),-(Analítico!AN$3&lt;='Gastos Gerais'!$E$4:$E$3632),-('Gastos Gerais'!$C$4:$C$3632))</f>
        <v>14227.57</v>
      </c>
      <c r="AO71" s="134">
        <f>SUMPRODUCT(-('Gastos Gerais'!$B$4:$B$3632=Analítico!$B71),-(Analítico!AO$3&gt;='Gastos Gerais'!$D$4:$D$3632),-(Analítico!AO$3&lt;='Gastos Gerais'!$E$4:$E$3632),-('Gastos Gerais'!$C$4:$C$3632))</f>
        <v>14227.57</v>
      </c>
      <c r="AP71" s="134">
        <f>SUMPRODUCT(-('Gastos Gerais'!$B$4:$B$3632=Analítico!$B71),-(Analítico!AP$3&gt;='Gastos Gerais'!$D$4:$D$3632),-(Analítico!AP$3&lt;='Gastos Gerais'!$E$4:$E$3632),-('Gastos Gerais'!$C$4:$C$3632))</f>
        <v>14227.57</v>
      </c>
      <c r="AQ71" s="134">
        <f>SUMPRODUCT(-('Gastos Gerais'!$B$4:$B$3632=Analítico!$B71),-(Analítico!AQ$3&gt;='Gastos Gerais'!$D$4:$D$3632),-(Analítico!AQ$3&lt;='Gastos Gerais'!$E$4:$E$3632),-('Gastos Gerais'!$C$4:$C$3632))</f>
        <v>14227.57</v>
      </c>
      <c r="AR71" s="134">
        <f>SUMPRODUCT(-('Gastos Gerais'!$B$4:$B$3632=Analítico!$B71),-(Analítico!AR$3&gt;='Gastos Gerais'!$D$4:$D$3632),-(Analítico!AR$3&lt;='Gastos Gerais'!$E$4:$E$3632),-('Gastos Gerais'!$C$4:$C$3632))</f>
        <v>14227.57</v>
      </c>
      <c r="AS71" s="134">
        <f>SUMPRODUCT(-('Gastos Gerais'!$B$4:$B$3632=Analítico!$B71),-(Analítico!AS$3&gt;='Gastos Gerais'!$D$4:$D$3632),-(Analítico!AS$3&lt;='Gastos Gerais'!$E$4:$E$3632),-('Gastos Gerais'!$C$4:$C$3632))</f>
        <v>14227.57</v>
      </c>
      <c r="AT71" s="134">
        <f>SUMPRODUCT(-('Gastos Gerais'!$B$4:$B$3632=Analítico!$B71),-(Analítico!AT$3&gt;='Gastos Gerais'!$D$4:$D$3632),-(Analítico!AT$3&lt;='Gastos Gerais'!$E$4:$E$3632),-('Gastos Gerais'!$C$4:$C$3632))</f>
        <v>14227.57</v>
      </c>
      <c r="AU71" s="134">
        <f>SUMPRODUCT(-('Gastos Gerais'!$B$4:$B$3632=Analítico!$B71),-(Analítico!AU$3&gt;='Gastos Gerais'!$D$4:$D$3632),-(Analítico!AU$3&lt;='Gastos Gerais'!$E$4:$E$3632),-('Gastos Gerais'!$C$4:$C$3632))</f>
        <v>14227.57</v>
      </c>
      <c r="AV71" s="134">
        <f>SUMPRODUCT(-('Gastos Gerais'!$B$4:$B$3632=Analítico!$B71),-(Analítico!AV$3&gt;='Gastos Gerais'!$D$4:$D$3632),-(Analítico!AV$3&lt;='Gastos Gerais'!$E$4:$E$3632),-('Gastos Gerais'!$C$4:$C$3632))</f>
        <v>14227.57</v>
      </c>
      <c r="AW71" s="134">
        <f>SUMPRODUCT(-('Gastos Gerais'!$B$4:$B$3632=Analítico!$B71),-(Analítico!AW$3&gt;='Gastos Gerais'!$D$4:$D$3632),-(Analítico!AW$3&lt;='Gastos Gerais'!$E$4:$E$3632),-('Gastos Gerais'!$C$4:$C$3632))</f>
        <v>14227.57</v>
      </c>
      <c r="AX71" s="134">
        <f>SUMPRODUCT(-('Gastos Gerais'!$B$4:$B$3632=Analítico!$B71),-(Analítico!AX$3&gt;='Gastos Gerais'!$D$4:$D$3632),-(Analítico!AX$3&lt;='Gastos Gerais'!$E$4:$E$3632),-('Gastos Gerais'!$C$4:$C$3632))</f>
        <v>14227.57</v>
      </c>
      <c r="AY71" s="134">
        <f>SUMPRODUCT(-('Gastos Gerais'!$B$4:$B$3632=Analítico!$B71),-(Analítico!AY$3&gt;='Gastos Gerais'!$D$4:$D$3632),-(Analítico!AY$3&lt;='Gastos Gerais'!$E$4:$E$3632),-('Gastos Gerais'!$C$4:$C$3632))</f>
        <v>14227.57</v>
      </c>
      <c r="AZ71" s="134">
        <f>SUMPRODUCT(-('Gastos Gerais'!$B$4:$B$3632=Analítico!$B71),-(Analítico!AZ$3&gt;='Gastos Gerais'!$D$4:$D$3632),-(Analítico!AZ$3&lt;='Gastos Gerais'!$E$4:$E$3632),-('Gastos Gerais'!$C$4:$C$3632))</f>
        <v>15058.46</v>
      </c>
      <c r="BA71" s="134">
        <f>SUMPRODUCT(-('Gastos Gerais'!$B$4:$B$3632=Analítico!$B71),-(Analítico!BA$3&gt;='Gastos Gerais'!$D$4:$D$3632),-(Analítico!BA$3&lt;='Gastos Gerais'!$E$4:$E$3632),-('Gastos Gerais'!$C$4:$C$3632))</f>
        <v>15058.46</v>
      </c>
      <c r="BB71" s="134">
        <f>SUMPRODUCT(-('Gastos Gerais'!$B$4:$B$3632=Analítico!$B71),-(Analítico!BB$3&gt;='Gastos Gerais'!$D$4:$D$3632),-(Analítico!BB$3&lt;='Gastos Gerais'!$E$4:$E$3632),-('Gastos Gerais'!$C$4:$C$3632))</f>
        <v>15058.46</v>
      </c>
      <c r="BC71" s="134">
        <f>SUMPRODUCT(-('Gastos Gerais'!$B$4:$B$3632=Analítico!$B71),-(Analítico!BC$3&gt;='Gastos Gerais'!$D$4:$D$3632),-(Analítico!BC$3&lt;='Gastos Gerais'!$E$4:$E$3632),-('Gastos Gerais'!$C$4:$C$3632))</f>
        <v>15058.46</v>
      </c>
      <c r="BD71" s="134">
        <f>SUMPRODUCT(-('Gastos Gerais'!$B$4:$B$3632=Analítico!$B71),-(Analítico!BD$3&gt;='Gastos Gerais'!$D$4:$D$3632),-(Analítico!BD$3&lt;='Gastos Gerais'!$E$4:$E$3632),-('Gastos Gerais'!$C$4:$C$3632))</f>
        <v>15058.46</v>
      </c>
      <c r="BE71" s="134">
        <f>SUMPRODUCT(-('Gastos Gerais'!$B$4:$B$3632=Analítico!$B71),-(Analítico!BE$3&gt;='Gastos Gerais'!$D$4:$D$3632),-(Analítico!BE$3&lt;='Gastos Gerais'!$E$4:$E$3632),-('Gastos Gerais'!$C$4:$C$3632))</f>
        <v>15058.46</v>
      </c>
      <c r="BF71" s="134">
        <f>SUMPRODUCT(-('Gastos Gerais'!$B$4:$B$3632=Analítico!$B71),-(Analítico!BF$3&gt;='Gastos Gerais'!$D$4:$D$3632),-(Analítico!BF$3&lt;='Gastos Gerais'!$E$4:$E$3632),-('Gastos Gerais'!$C$4:$C$3632))</f>
        <v>15058.46</v>
      </c>
      <c r="BG71" s="134">
        <f>SUMPRODUCT(-('Gastos Gerais'!$B$4:$B$3632=Analítico!$B71),-(Analítico!BG$3&gt;='Gastos Gerais'!$D$4:$D$3632),-(Analítico!BG$3&lt;='Gastos Gerais'!$E$4:$E$3632),-('Gastos Gerais'!$C$4:$C$3632))</f>
        <v>15058.46</v>
      </c>
      <c r="BH71" s="134">
        <f>SUMPRODUCT(-('Gastos Gerais'!$B$4:$B$3632=Analítico!$B71),-(Analítico!BH$3&gt;='Gastos Gerais'!$D$4:$D$3632),-(Analítico!BH$3&lt;='Gastos Gerais'!$E$4:$E$3632),-('Gastos Gerais'!$C$4:$C$3632))</f>
        <v>15058.46</v>
      </c>
      <c r="BI71" s="134">
        <f>SUMPRODUCT(-('Gastos Gerais'!$B$4:$B$3632=Analítico!$B71),-(Analítico!BI$3&gt;='Gastos Gerais'!$D$4:$D$3632),-(Analítico!BI$3&lt;='Gastos Gerais'!$E$4:$E$3632),-('Gastos Gerais'!$C$4:$C$3632))</f>
        <v>15058.46</v>
      </c>
      <c r="BJ71" s="134">
        <f>SUMPRODUCT(-('Gastos Gerais'!$B$4:$B$3632=Analítico!$B71),-(Analítico!BJ$3&gt;='Gastos Gerais'!$D$4:$D$3632),-(Analítico!BJ$3&lt;='Gastos Gerais'!$E$4:$E$3632),-('Gastos Gerais'!$C$4:$C$3632))</f>
        <v>15058.46</v>
      </c>
      <c r="BK71" s="189">
        <f t="shared" si="37"/>
        <v>794093.73999999929</v>
      </c>
      <c r="BL71" s="136">
        <f t="shared" ca="1" si="38"/>
        <v>2.3733911940835954E-3</v>
      </c>
      <c r="BN71" s="134">
        <f>SUMPRODUCT(-('Gastos Gerais'!$B$4:$B$3632=Analítico!$B71),-(Analítico!BN$3&gt;='Gastos Gerais'!$D$4:$D$3632),-(Analítico!BN$3&lt;='Gastos Gerais'!$E$4:$E$3632),-('Gastos Gerais'!$C$4:$C$3632))</f>
        <v>0</v>
      </c>
    </row>
    <row r="72" spans="1:66" s="160" customFormat="1" ht="23.25" customHeight="1">
      <c r="A72" s="229" t="s">
        <v>221</v>
      </c>
      <c r="B72" s="230" t="s">
        <v>222</v>
      </c>
      <c r="C72" s="188">
        <f t="shared" si="36"/>
        <v>0</v>
      </c>
      <c r="D72" s="134">
        <f>SUMPRODUCT(-('Gastos Gerais'!$B$4:$B$3632=Analítico!$B72),-(Analítico!D$3&gt;='Gastos Gerais'!$D$4:$D$3632),-(Analítico!D$3&lt;='Gastos Gerais'!$E$4:$E$3632),-('Gastos Gerais'!$C$4:$C$3632))</f>
        <v>0</v>
      </c>
      <c r="E72" s="134">
        <f>SUMPRODUCT(-('Gastos Gerais'!$B$4:$B$3632=Analítico!$B72),-(Analítico!E$3&gt;='Gastos Gerais'!$D$4:$D$3632),-(Analítico!E$3&lt;='Gastos Gerais'!$E$4:$E$3632),-('Gastos Gerais'!$C$4:$C$3632))</f>
        <v>3500</v>
      </c>
      <c r="F72" s="134">
        <f>SUMPRODUCT(-('Gastos Gerais'!$B$4:$B$3632=Analítico!$B72),-(Analítico!F$3&gt;='Gastos Gerais'!$D$4:$D$3632),-(Analítico!F$3&lt;='Gastos Gerais'!$E$4:$E$3632),-('Gastos Gerais'!$C$4:$C$3632))</f>
        <v>3500</v>
      </c>
      <c r="G72" s="134">
        <f>SUMPRODUCT(-('Gastos Gerais'!$B$4:$B$3632=Analítico!$B72),-(Analítico!G$3&gt;='Gastos Gerais'!$D$4:$D$3632),-(Analítico!G$3&lt;='Gastos Gerais'!$E$4:$E$3632),-('Gastos Gerais'!$C$4:$C$3632))</f>
        <v>3500</v>
      </c>
      <c r="H72" s="134">
        <f>SUMPRODUCT(-('Gastos Gerais'!$B$4:$B$3632=Analítico!$B72),-(Analítico!H$3&gt;='Gastos Gerais'!$D$4:$D$3632),-(Analítico!H$3&lt;='Gastos Gerais'!$E$4:$E$3632),-('Gastos Gerais'!$C$4:$C$3632))</f>
        <v>3500</v>
      </c>
      <c r="I72" s="134">
        <f>SUMPRODUCT(-('Gastos Gerais'!$B$4:$B$3632=Analítico!$B72),-(Analítico!I$3&gt;='Gastos Gerais'!$D$4:$D$3632),-(Analítico!I$3&lt;='Gastos Gerais'!$E$4:$E$3632),-('Gastos Gerais'!$C$4:$C$3632))</f>
        <v>3500</v>
      </c>
      <c r="J72" s="134">
        <f>SUMPRODUCT(-('Gastos Gerais'!$B$4:$B$3632=Analítico!$B72),-(Analítico!J$3&gt;='Gastos Gerais'!$D$4:$D$3632),-(Analítico!J$3&lt;='Gastos Gerais'!$E$4:$E$3632),-('Gastos Gerais'!$C$4:$C$3632))</f>
        <v>3500</v>
      </c>
      <c r="K72" s="134">
        <f>SUMPRODUCT(-('Gastos Gerais'!$B$4:$B$3632=Analítico!$B72),-(Analítico!K$3&gt;='Gastos Gerais'!$D$4:$D$3632),-(Analítico!K$3&lt;='Gastos Gerais'!$E$4:$E$3632),-('Gastos Gerais'!$C$4:$C$3632))</f>
        <v>3500</v>
      </c>
      <c r="L72" s="134">
        <f>SUMPRODUCT(-('Gastos Gerais'!$B$4:$B$3632=Analítico!$B72),-(Analítico!L$3&gt;='Gastos Gerais'!$D$4:$D$3632),-(Analítico!L$3&lt;='Gastos Gerais'!$E$4:$E$3632),-('Gastos Gerais'!$C$4:$C$3632))</f>
        <v>3500</v>
      </c>
      <c r="M72" s="134">
        <f>SUMPRODUCT(-('Gastos Gerais'!$B$4:$B$3632=Analítico!$B72),-(Analítico!M$3&gt;='Gastos Gerais'!$D$4:$D$3632),-(Analítico!M$3&lt;='Gastos Gerais'!$E$4:$E$3632),-('Gastos Gerais'!$C$4:$C$3632))</f>
        <v>3500</v>
      </c>
      <c r="N72" s="134">
        <f>SUMPRODUCT(-('Gastos Gerais'!$B$4:$B$3632=Analítico!$B72),-(Analítico!N$3&gt;='Gastos Gerais'!$D$4:$D$3632),-(Analítico!N$3&lt;='Gastos Gerais'!$E$4:$E$3632),-('Gastos Gerais'!$C$4:$C$3632))</f>
        <v>3500</v>
      </c>
      <c r="O72" s="134">
        <f>SUMPRODUCT(-('Gastos Gerais'!$B$4:$B$3632=Analítico!$B72),-(Analítico!O$3&gt;='Gastos Gerais'!$D$4:$D$3632),-(Analítico!O$3&lt;='Gastos Gerais'!$E$4:$E$3632),-('Gastos Gerais'!$C$4:$C$3632))</f>
        <v>3500</v>
      </c>
      <c r="P72" s="134">
        <f>SUMPRODUCT(-('Gastos Gerais'!$B$4:$B$3632=Analítico!$B72),-(Analítico!P$3&gt;='Gastos Gerais'!$D$4:$D$3632),-(Analítico!P$3&lt;='Gastos Gerais'!$E$4:$E$3632),-('Gastos Gerais'!$C$4:$C$3632))</f>
        <v>3704.45</v>
      </c>
      <c r="Q72" s="134">
        <f>SUMPRODUCT(-('Gastos Gerais'!$B$4:$B$3632=Analítico!$B72),-(Analítico!Q$3&gt;='Gastos Gerais'!$D$4:$D$3632),-(Analítico!Q$3&lt;='Gastos Gerais'!$E$4:$E$3632),-('Gastos Gerais'!$C$4:$C$3632))</f>
        <v>3704.45</v>
      </c>
      <c r="R72" s="134">
        <f>SUMPRODUCT(-('Gastos Gerais'!$B$4:$B$3632=Analítico!$B72),-(Analítico!R$3&gt;='Gastos Gerais'!$D$4:$D$3632),-(Analítico!R$3&lt;='Gastos Gerais'!$E$4:$E$3632),-('Gastos Gerais'!$C$4:$C$3632))</f>
        <v>3704.45</v>
      </c>
      <c r="S72" s="134">
        <f>SUMPRODUCT(-('Gastos Gerais'!$B$4:$B$3632=Analítico!$B72),-(Analítico!S$3&gt;='Gastos Gerais'!$D$4:$D$3632),-(Analítico!S$3&lt;='Gastos Gerais'!$E$4:$E$3632),-('Gastos Gerais'!$C$4:$C$3632))</f>
        <v>3704.45</v>
      </c>
      <c r="T72" s="134">
        <f>SUMPRODUCT(-('Gastos Gerais'!$B$4:$B$3632=Analítico!$B72),-(Analítico!T$3&gt;='Gastos Gerais'!$D$4:$D$3632),-(Analítico!T$3&lt;='Gastos Gerais'!$E$4:$E$3632),-('Gastos Gerais'!$C$4:$C$3632))</f>
        <v>3704.45</v>
      </c>
      <c r="U72" s="134">
        <f>SUMPRODUCT(-('Gastos Gerais'!$B$4:$B$3632=Analítico!$B72),-(Analítico!U$3&gt;='Gastos Gerais'!$D$4:$D$3632),-(Analítico!U$3&lt;='Gastos Gerais'!$E$4:$E$3632),-('Gastos Gerais'!$C$4:$C$3632))</f>
        <v>3704.45</v>
      </c>
      <c r="V72" s="134">
        <f>SUMPRODUCT(-('Gastos Gerais'!$B$4:$B$3632=Analítico!$B72),-(Analítico!V$3&gt;='Gastos Gerais'!$D$4:$D$3632),-(Analítico!V$3&lt;='Gastos Gerais'!$E$4:$E$3632),-('Gastos Gerais'!$C$4:$C$3632))</f>
        <v>3704.45</v>
      </c>
      <c r="W72" s="134">
        <f>SUMPRODUCT(-('Gastos Gerais'!$B$4:$B$3632=Analítico!$B72),-(Analítico!W$3&gt;='Gastos Gerais'!$D$4:$D$3632),-(Analítico!W$3&lt;='Gastos Gerais'!$E$4:$E$3632),-('Gastos Gerais'!$C$4:$C$3632))</f>
        <v>3704.45</v>
      </c>
      <c r="X72" s="134">
        <f>SUMPRODUCT(-('Gastos Gerais'!$B$4:$B$3632=Analítico!$B72),-(Analítico!X$3&gt;='Gastos Gerais'!$D$4:$D$3632),-(Analítico!X$3&lt;='Gastos Gerais'!$E$4:$E$3632),-('Gastos Gerais'!$C$4:$C$3632))</f>
        <v>3704.45</v>
      </c>
      <c r="Y72" s="134">
        <f>SUMPRODUCT(-('Gastos Gerais'!$B$4:$B$3632=Analítico!$B72),-(Analítico!Y$3&gt;='Gastos Gerais'!$D$4:$D$3632),-(Analítico!Y$3&lt;='Gastos Gerais'!$E$4:$E$3632),-('Gastos Gerais'!$C$4:$C$3632))</f>
        <v>3704.45</v>
      </c>
      <c r="Z72" s="134">
        <f>SUMPRODUCT(-('Gastos Gerais'!$B$4:$B$3632=Analítico!$B72),-(Analítico!Z$3&gt;='Gastos Gerais'!$D$4:$D$3632),-(Analítico!Z$3&lt;='Gastos Gerais'!$E$4:$E$3632),-('Gastos Gerais'!$C$4:$C$3632))</f>
        <v>3704.45</v>
      </c>
      <c r="AA72" s="134">
        <f>SUMPRODUCT(-('Gastos Gerais'!$B$4:$B$3632=Analítico!$B72),-(Analítico!AA$3&gt;='Gastos Gerais'!$D$4:$D$3632),-(Analítico!AA$3&lt;='Gastos Gerais'!$E$4:$E$3632),-('Gastos Gerais'!$C$4:$C$3632))</f>
        <v>3704.45</v>
      </c>
      <c r="AB72" s="134">
        <f>SUMPRODUCT(-('Gastos Gerais'!$B$4:$B$3632=Analítico!$B72),-(Analítico!AB$3&gt;='Gastos Gerais'!$D$4:$D$3632),-(Analítico!AB$3&lt;='Gastos Gerais'!$E$4:$E$3632),-('Gastos Gerais'!$C$4:$C$3632))</f>
        <v>3920.73</v>
      </c>
      <c r="AC72" s="134">
        <f>SUMPRODUCT(-('Gastos Gerais'!$B$4:$B$3632=Analítico!$B72),-(Analítico!AC$3&gt;='Gastos Gerais'!$D$4:$D$3632),-(Analítico!AC$3&lt;='Gastos Gerais'!$E$4:$E$3632),-('Gastos Gerais'!$C$4:$C$3632))</f>
        <v>3920.73</v>
      </c>
      <c r="AD72" s="134">
        <f>SUMPRODUCT(-('Gastos Gerais'!$B$4:$B$3632=Analítico!$B72),-(Analítico!AD$3&gt;='Gastos Gerais'!$D$4:$D$3632),-(Analítico!AD$3&lt;='Gastos Gerais'!$E$4:$E$3632),-('Gastos Gerais'!$C$4:$C$3632))</f>
        <v>3920.73</v>
      </c>
      <c r="AE72" s="134">
        <f>SUMPRODUCT(-('Gastos Gerais'!$B$4:$B$3632=Analítico!$B72),-(Analítico!AE$3&gt;='Gastos Gerais'!$D$4:$D$3632),-(Analítico!AE$3&lt;='Gastos Gerais'!$E$4:$E$3632),-('Gastos Gerais'!$C$4:$C$3632))</f>
        <v>3920.73</v>
      </c>
      <c r="AF72" s="134">
        <f>SUMPRODUCT(-('Gastos Gerais'!$B$4:$B$3632=Analítico!$B72),-(Analítico!AF$3&gt;='Gastos Gerais'!$D$4:$D$3632),-(Analítico!AF$3&lt;='Gastos Gerais'!$E$4:$E$3632),-('Gastos Gerais'!$C$4:$C$3632))</f>
        <v>3920.73</v>
      </c>
      <c r="AG72" s="134">
        <f>SUMPRODUCT(-('Gastos Gerais'!$B$4:$B$3632=Analítico!$B72),-(Analítico!AG$3&gt;='Gastos Gerais'!$D$4:$D$3632),-(Analítico!AG$3&lt;='Gastos Gerais'!$E$4:$E$3632),-('Gastos Gerais'!$C$4:$C$3632))</f>
        <v>3920.73</v>
      </c>
      <c r="AH72" s="134">
        <f>SUMPRODUCT(-('Gastos Gerais'!$B$4:$B$3632=Analítico!$B72),-(Analítico!AH$3&gt;='Gastos Gerais'!$D$4:$D$3632),-(Analítico!AH$3&lt;='Gastos Gerais'!$E$4:$E$3632),-('Gastos Gerais'!$C$4:$C$3632))</f>
        <v>3920.73</v>
      </c>
      <c r="AI72" s="134">
        <f>SUMPRODUCT(-('Gastos Gerais'!$B$4:$B$3632=Analítico!$B72),-(Analítico!AI$3&gt;='Gastos Gerais'!$D$4:$D$3632),-(Analítico!AI$3&lt;='Gastos Gerais'!$E$4:$E$3632),-('Gastos Gerais'!$C$4:$C$3632))</f>
        <v>3920.73</v>
      </c>
      <c r="AJ72" s="134">
        <f>SUMPRODUCT(-('Gastos Gerais'!$B$4:$B$3632=Analítico!$B72),-(Analítico!AJ$3&gt;='Gastos Gerais'!$D$4:$D$3632),-(Analítico!AJ$3&lt;='Gastos Gerais'!$E$4:$E$3632),-('Gastos Gerais'!$C$4:$C$3632))</f>
        <v>3920.73</v>
      </c>
      <c r="AK72" s="134">
        <f>SUMPRODUCT(-('Gastos Gerais'!$B$4:$B$3632=Analítico!$B72),-(Analítico!AK$3&gt;='Gastos Gerais'!$D$4:$D$3632),-(Analítico!AK$3&lt;='Gastos Gerais'!$E$4:$E$3632),-('Gastos Gerais'!$C$4:$C$3632))</f>
        <v>3920.73</v>
      </c>
      <c r="AL72" s="134">
        <f>SUMPRODUCT(-('Gastos Gerais'!$B$4:$B$3632=Analítico!$B72),-(Analítico!AL$3&gt;='Gastos Gerais'!$D$4:$D$3632),-(Analítico!AL$3&lt;='Gastos Gerais'!$E$4:$E$3632),-('Gastos Gerais'!$C$4:$C$3632))</f>
        <v>3920.73</v>
      </c>
      <c r="AM72" s="134">
        <f>SUMPRODUCT(-('Gastos Gerais'!$B$4:$B$3632=Analítico!$B72),-(Analítico!AM$3&gt;='Gastos Gerais'!$D$4:$D$3632),-(Analítico!AM$3&lt;='Gastos Gerais'!$E$4:$E$3632),-('Gastos Gerais'!$C$4:$C$3632))</f>
        <v>3920.73</v>
      </c>
      <c r="AN72" s="134">
        <f>SUMPRODUCT(-('Gastos Gerais'!$B$4:$B$3632=Analítico!$B72),-(Analítico!AN$3&gt;='Gastos Gerais'!$D$4:$D$3632),-(Analítico!AN$3&lt;='Gastos Gerais'!$E$4:$E$3632),-('Gastos Gerais'!$C$4:$C$3632))</f>
        <v>4149.7</v>
      </c>
      <c r="AO72" s="134">
        <f>SUMPRODUCT(-('Gastos Gerais'!$B$4:$B$3632=Analítico!$B72),-(Analítico!AO$3&gt;='Gastos Gerais'!$D$4:$D$3632),-(Analítico!AO$3&lt;='Gastos Gerais'!$E$4:$E$3632),-('Gastos Gerais'!$C$4:$C$3632))</f>
        <v>4149.7</v>
      </c>
      <c r="AP72" s="134">
        <f>SUMPRODUCT(-('Gastos Gerais'!$B$4:$B$3632=Analítico!$B72),-(Analítico!AP$3&gt;='Gastos Gerais'!$D$4:$D$3632),-(Analítico!AP$3&lt;='Gastos Gerais'!$E$4:$E$3632),-('Gastos Gerais'!$C$4:$C$3632))</f>
        <v>4149.7</v>
      </c>
      <c r="AQ72" s="134">
        <f>SUMPRODUCT(-('Gastos Gerais'!$B$4:$B$3632=Analítico!$B72),-(Analítico!AQ$3&gt;='Gastos Gerais'!$D$4:$D$3632),-(Analítico!AQ$3&lt;='Gastos Gerais'!$E$4:$E$3632),-('Gastos Gerais'!$C$4:$C$3632))</f>
        <v>4149.7</v>
      </c>
      <c r="AR72" s="134">
        <f>SUMPRODUCT(-('Gastos Gerais'!$B$4:$B$3632=Analítico!$B72),-(Analítico!AR$3&gt;='Gastos Gerais'!$D$4:$D$3632),-(Analítico!AR$3&lt;='Gastos Gerais'!$E$4:$E$3632),-('Gastos Gerais'!$C$4:$C$3632))</f>
        <v>4149.7</v>
      </c>
      <c r="AS72" s="134">
        <f>SUMPRODUCT(-('Gastos Gerais'!$B$4:$B$3632=Analítico!$B72),-(Analítico!AS$3&gt;='Gastos Gerais'!$D$4:$D$3632),-(Analítico!AS$3&lt;='Gastos Gerais'!$E$4:$E$3632),-('Gastos Gerais'!$C$4:$C$3632))</f>
        <v>4149.7</v>
      </c>
      <c r="AT72" s="134">
        <f>SUMPRODUCT(-('Gastos Gerais'!$B$4:$B$3632=Analítico!$B72),-(Analítico!AT$3&gt;='Gastos Gerais'!$D$4:$D$3632),-(Analítico!AT$3&lt;='Gastos Gerais'!$E$4:$E$3632),-('Gastos Gerais'!$C$4:$C$3632))</f>
        <v>4149.7</v>
      </c>
      <c r="AU72" s="134">
        <f>SUMPRODUCT(-('Gastos Gerais'!$B$4:$B$3632=Analítico!$B72),-(Analítico!AU$3&gt;='Gastos Gerais'!$D$4:$D$3632),-(Analítico!AU$3&lt;='Gastos Gerais'!$E$4:$E$3632),-('Gastos Gerais'!$C$4:$C$3632))</f>
        <v>4149.7</v>
      </c>
      <c r="AV72" s="134">
        <f>SUMPRODUCT(-('Gastos Gerais'!$B$4:$B$3632=Analítico!$B72),-(Analítico!AV$3&gt;='Gastos Gerais'!$D$4:$D$3632),-(Analítico!AV$3&lt;='Gastos Gerais'!$E$4:$E$3632),-('Gastos Gerais'!$C$4:$C$3632))</f>
        <v>4149.7</v>
      </c>
      <c r="AW72" s="134">
        <f>SUMPRODUCT(-('Gastos Gerais'!$B$4:$B$3632=Analítico!$B72),-(Analítico!AW$3&gt;='Gastos Gerais'!$D$4:$D$3632),-(Analítico!AW$3&lt;='Gastos Gerais'!$E$4:$E$3632),-('Gastos Gerais'!$C$4:$C$3632))</f>
        <v>4149.7</v>
      </c>
      <c r="AX72" s="134">
        <f>SUMPRODUCT(-('Gastos Gerais'!$B$4:$B$3632=Analítico!$B72),-(Analítico!AX$3&gt;='Gastos Gerais'!$D$4:$D$3632),-(Analítico!AX$3&lt;='Gastos Gerais'!$E$4:$E$3632),-('Gastos Gerais'!$C$4:$C$3632))</f>
        <v>4149.7</v>
      </c>
      <c r="AY72" s="134">
        <f>SUMPRODUCT(-('Gastos Gerais'!$B$4:$B$3632=Analítico!$B72),-(Analítico!AY$3&gt;='Gastos Gerais'!$D$4:$D$3632),-(Analítico!AY$3&lt;='Gastos Gerais'!$E$4:$E$3632),-('Gastos Gerais'!$C$4:$C$3632))</f>
        <v>4149.7</v>
      </c>
      <c r="AZ72" s="134">
        <f>SUMPRODUCT(-('Gastos Gerais'!$B$4:$B$3632=Analítico!$B72),-(Analítico!AZ$3&gt;='Gastos Gerais'!$D$4:$D$3632),-(Analítico!AZ$3&lt;='Gastos Gerais'!$E$4:$E$3632),-('Gastos Gerais'!$C$4:$C$3632))</f>
        <v>4392.05</v>
      </c>
      <c r="BA72" s="134">
        <f>SUMPRODUCT(-('Gastos Gerais'!$B$4:$B$3632=Analítico!$B72),-(Analítico!BA$3&gt;='Gastos Gerais'!$D$4:$D$3632),-(Analítico!BA$3&lt;='Gastos Gerais'!$E$4:$E$3632),-('Gastos Gerais'!$C$4:$C$3632))</f>
        <v>4392.05</v>
      </c>
      <c r="BB72" s="134">
        <f>SUMPRODUCT(-('Gastos Gerais'!$B$4:$B$3632=Analítico!$B72),-(Analítico!BB$3&gt;='Gastos Gerais'!$D$4:$D$3632),-(Analítico!BB$3&lt;='Gastos Gerais'!$E$4:$E$3632),-('Gastos Gerais'!$C$4:$C$3632))</f>
        <v>4392.05</v>
      </c>
      <c r="BC72" s="134">
        <f>SUMPRODUCT(-('Gastos Gerais'!$B$4:$B$3632=Analítico!$B72),-(Analítico!BC$3&gt;='Gastos Gerais'!$D$4:$D$3632),-(Analítico!BC$3&lt;='Gastos Gerais'!$E$4:$E$3632),-('Gastos Gerais'!$C$4:$C$3632))</f>
        <v>4392.05</v>
      </c>
      <c r="BD72" s="134">
        <f>SUMPRODUCT(-('Gastos Gerais'!$B$4:$B$3632=Analítico!$B72),-(Analítico!BD$3&gt;='Gastos Gerais'!$D$4:$D$3632),-(Analítico!BD$3&lt;='Gastos Gerais'!$E$4:$E$3632),-('Gastos Gerais'!$C$4:$C$3632))</f>
        <v>4392.05</v>
      </c>
      <c r="BE72" s="134">
        <f>SUMPRODUCT(-('Gastos Gerais'!$B$4:$B$3632=Analítico!$B72),-(Analítico!BE$3&gt;='Gastos Gerais'!$D$4:$D$3632),-(Analítico!BE$3&lt;='Gastos Gerais'!$E$4:$E$3632),-('Gastos Gerais'!$C$4:$C$3632))</f>
        <v>4392.05</v>
      </c>
      <c r="BF72" s="134">
        <f>SUMPRODUCT(-('Gastos Gerais'!$B$4:$B$3632=Analítico!$B72),-(Analítico!BF$3&gt;='Gastos Gerais'!$D$4:$D$3632),-(Analítico!BF$3&lt;='Gastos Gerais'!$E$4:$E$3632),-('Gastos Gerais'!$C$4:$C$3632))</f>
        <v>4392.05</v>
      </c>
      <c r="BG72" s="134">
        <f>SUMPRODUCT(-('Gastos Gerais'!$B$4:$B$3632=Analítico!$B72),-(Analítico!BG$3&gt;='Gastos Gerais'!$D$4:$D$3632),-(Analítico!BG$3&lt;='Gastos Gerais'!$E$4:$E$3632),-('Gastos Gerais'!$C$4:$C$3632))</f>
        <v>4392.05</v>
      </c>
      <c r="BH72" s="134">
        <f>SUMPRODUCT(-('Gastos Gerais'!$B$4:$B$3632=Analítico!$B72),-(Analítico!BH$3&gt;='Gastos Gerais'!$D$4:$D$3632),-(Analítico!BH$3&lt;='Gastos Gerais'!$E$4:$E$3632),-('Gastos Gerais'!$C$4:$C$3632))</f>
        <v>4392.05</v>
      </c>
      <c r="BI72" s="134">
        <f>SUMPRODUCT(-('Gastos Gerais'!$B$4:$B$3632=Analítico!$B72),-(Analítico!BI$3&gt;='Gastos Gerais'!$D$4:$D$3632),-(Analítico!BI$3&lt;='Gastos Gerais'!$E$4:$E$3632),-('Gastos Gerais'!$C$4:$C$3632))</f>
        <v>4392.05</v>
      </c>
      <c r="BJ72" s="134">
        <f>SUMPRODUCT(-('Gastos Gerais'!$B$4:$B$3632=Analítico!$B72),-(Analítico!BJ$3&gt;='Gastos Gerais'!$D$4:$D$3632),-(Analítico!BJ$3&lt;='Gastos Gerais'!$E$4:$E$3632),-('Gastos Gerais'!$C$4:$C$3632))</f>
        <v>4392.05</v>
      </c>
      <c r="BK72" s="189">
        <f t="shared" si="37"/>
        <v>228111.10999999993</v>
      </c>
      <c r="BL72" s="136">
        <f t="shared" ca="1" si="38"/>
        <v>6.8177958404083965E-4</v>
      </c>
      <c r="BN72" s="134">
        <f>SUMPRODUCT(-('Gastos Gerais'!$B$4:$B$3632=Analítico!$B72),-(Analítico!BN$3&gt;='Gastos Gerais'!$D$4:$D$3632),-(Analítico!BN$3&lt;='Gastos Gerais'!$E$4:$E$3632),-('Gastos Gerais'!$C$4:$C$3632))</f>
        <v>0</v>
      </c>
    </row>
    <row r="73" spans="1:66" s="160" customFormat="1" ht="23.25" customHeight="1">
      <c r="A73" s="229" t="s">
        <v>223</v>
      </c>
      <c r="B73" s="230" t="s">
        <v>224</v>
      </c>
      <c r="C73" s="188">
        <f t="shared" si="36"/>
        <v>0</v>
      </c>
      <c r="D73" s="134">
        <f>SUMPRODUCT(-('Gastos Gerais'!$B$4:$B$3632=Analítico!$B73),-(Analítico!D$3&gt;='Gastos Gerais'!$D$4:$D$3632),-(Analítico!D$3&lt;='Gastos Gerais'!$E$4:$E$3632),-('Gastos Gerais'!$C$4:$C$3632))</f>
        <v>0</v>
      </c>
      <c r="E73" s="134">
        <f>SUMPRODUCT(-('Gastos Gerais'!$B$4:$B$3632=Analítico!$B73),-(Analítico!E$3&gt;='Gastos Gerais'!$D$4:$D$3632),-(Analítico!E$3&lt;='Gastos Gerais'!$E$4:$E$3632),-('Gastos Gerais'!$C$4:$C$3632))</f>
        <v>0</v>
      </c>
      <c r="F73" s="134">
        <f>SUMPRODUCT(-('Gastos Gerais'!$B$4:$B$3632=Analítico!$B73),-(Analítico!F$3&gt;='Gastos Gerais'!$D$4:$D$3632),-(Analítico!F$3&lt;='Gastos Gerais'!$E$4:$E$3632),-('Gastos Gerais'!$C$4:$C$3632))</f>
        <v>0</v>
      </c>
      <c r="G73" s="134">
        <f>SUMPRODUCT(-('Gastos Gerais'!$B$4:$B$3632=Analítico!$B73),-(Analítico!G$3&gt;='Gastos Gerais'!$D$4:$D$3632),-(Analítico!G$3&lt;='Gastos Gerais'!$E$4:$E$3632),-('Gastos Gerais'!$C$4:$C$3632))</f>
        <v>0</v>
      </c>
      <c r="H73" s="134">
        <f>SUMPRODUCT(-('Gastos Gerais'!$B$4:$B$3632=Analítico!$B73),-(Analítico!H$3&gt;='Gastos Gerais'!$D$4:$D$3632),-(Analítico!H$3&lt;='Gastos Gerais'!$E$4:$E$3632),-('Gastos Gerais'!$C$4:$C$3632))</f>
        <v>0</v>
      </c>
      <c r="I73" s="134">
        <f>SUMPRODUCT(-('Gastos Gerais'!$B$4:$B$3632=Analítico!$B73),-(Analítico!I$3&gt;='Gastos Gerais'!$D$4:$D$3632),-(Analítico!I$3&lt;='Gastos Gerais'!$E$4:$E$3632),-('Gastos Gerais'!$C$4:$C$3632))</f>
        <v>0</v>
      </c>
      <c r="J73" s="134">
        <f>SUMPRODUCT(-('Gastos Gerais'!$B$4:$B$3632=Analítico!$B73),-(Analítico!J$3&gt;='Gastos Gerais'!$D$4:$D$3632),-(Analítico!J$3&lt;='Gastos Gerais'!$E$4:$E$3632),-('Gastos Gerais'!$C$4:$C$3632))</f>
        <v>0</v>
      </c>
      <c r="K73" s="134">
        <f>SUMPRODUCT(-('Gastos Gerais'!$B$4:$B$3632=Analítico!$B73),-(Analítico!K$3&gt;='Gastos Gerais'!$D$4:$D$3632),-(Analítico!K$3&lt;='Gastos Gerais'!$E$4:$E$3632),-('Gastos Gerais'!$C$4:$C$3632))</f>
        <v>0</v>
      </c>
      <c r="L73" s="134">
        <f>SUMPRODUCT(-('Gastos Gerais'!$B$4:$B$3632=Analítico!$B73),-(Analítico!L$3&gt;='Gastos Gerais'!$D$4:$D$3632),-(Analítico!L$3&lt;='Gastos Gerais'!$E$4:$E$3632),-('Gastos Gerais'!$C$4:$C$3632))</f>
        <v>0</v>
      </c>
      <c r="M73" s="134">
        <f>SUMPRODUCT(-('Gastos Gerais'!$B$4:$B$3632=Analítico!$B73),-(Analítico!M$3&gt;='Gastos Gerais'!$D$4:$D$3632),-(Analítico!M$3&lt;='Gastos Gerais'!$E$4:$E$3632),-('Gastos Gerais'!$C$4:$C$3632))</f>
        <v>0</v>
      </c>
      <c r="N73" s="134">
        <f>SUMPRODUCT(-('Gastos Gerais'!$B$4:$B$3632=Analítico!$B73),-(Analítico!N$3&gt;='Gastos Gerais'!$D$4:$D$3632),-(Analítico!N$3&lt;='Gastos Gerais'!$E$4:$E$3632),-('Gastos Gerais'!$C$4:$C$3632))</f>
        <v>0</v>
      </c>
      <c r="O73" s="134">
        <f>SUMPRODUCT(-('Gastos Gerais'!$B$4:$B$3632=Analítico!$B73),-(Analítico!O$3&gt;='Gastos Gerais'!$D$4:$D$3632),-(Analítico!O$3&lt;='Gastos Gerais'!$E$4:$E$3632),-('Gastos Gerais'!$C$4:$C$3632))</f>
        <v>0</v>
      </c>
      <c r="P73" s="134">
        <f>SUMPRODUCT(-('Gastos Gerais'!$B$4:$B$3632=Analítico!$B73),-(Analítico!P$3&gt;='Gastos Gerais'!$D$4:$D$3632),-(Analítico!P$3&lt;='Gastos Gerais'!$E$4:$E$3632),-('Gastos Gerais'!$C$4:$C$3632))</f>
        <v>0</v>
      </c>
      <c r="Q73" s="134">
        <f>SUMPRODUCT(-('Gastos Gerais'!$B$4:$B$3632=Analítico!$B73),-(Analítico!Q$3&gt;='Gastos Gerais'!$D$4:$D$3632),-(Analítico!Q$3&lt;='Gastos Gerais'!$E$4:$E$3632),-('Gastos Gerais'!$C$4:$C$3632))</f>
        <v>0</v>
      </c>
      <c r="R73" s="134">
        <f>SUMPRODUCT(-('Gastos Gerais'!$B$4:$B$3632=Analítico!$B73),-(Analítico!R$3&gt;='Gastos Gerais'!$D$4:$D$3632),-(Analítico!R$3&lt;='Gastos Gerais'!$E$4:$E$3632),-('Gastos Gerais'!$C$4:$C$3632))</f>
        <v>0</v>
      </c>
      <c r="S73" s="134">
        <f>SUMPRODUCT(-('Gastos Gerais'!$B$4:$B$3632=Analítico!$B73),-(Analítico!S$3&gt;='Gastos Gerais'!$D$4:$D$3632),-(Analítico!S$3&lt;='Gastos Gerais'!$E$4:$E$3632),-('Gastos Gerais'!$C$4:$C$3632))</f>
        <v>0</v>
      </c>
      <c r="T73" s="134">
        <f>SUMPRODUCT(-('Gastos Gerais'!$B$4:$B$3632=Analítico!$B73),-(Analítico!T$3&gt;='Gastos Gerais'!$D$4:$D$3632),-(Analítico!T$3&lt;='Gastos Gerais'!$E$4:$E$3632),-('Gastos Gerais'!$C$4:$C$3632))</f>
        <v>0</v>
      </c>
      <c r="U73" s="134">
        <f>SUMPRODUCT(-('Gastos Gerais'!$B$4:$B$3632=Analítico!$B73),-(Analítico!U$3&gt;='Gastos Gerais'!$D$4:$D$3632),-(Analítico!U$3&lt;='Gastos Gerais'!$E$4:$E$3632),-('Gastos Gerais'!$C$4:$C$3632))</f>
        <v>0</v>
      </c>
      <c r="V73" s="134">
        <f>SUMPRODUCT(-('Gastos Gerais'!$B$4:$B$3632=Analítico!$B73),-(Analítico!V$3&gt;='Gastos Gerais'!$D$4:$D$3632),-(Analítico!V$3&lt;='Gastos Gerais'!$E$4:$E$3632),-('Gastos Gerais'!$C$4:$C$3632))</f>
        <v>0</v>
      </c>
      <c r="W73" s="134">
        <f>SUMPRODUCT(-('Gastos Gerais'!$B$4:$B$3632=Analítico!$B73),-(Analítico!W$3&gt;='Gastos Gerais'!$D$4:$D$3632),-(Analítico!W$3&lt;='Gastos Gerais'!$E$4:$E$3632),-('Gastos Gerais'!$C$4:$C$3632))</f>
        <v>0</v>
      </c>
      <c r="X73" s="134">
        <f>SUMPRODUCT(-('Gastos Gerais'!$B$4:$B$3632=Analítico!$B73),-(Analítico!X$3&gt;='Gastos Gerais'!$D$4:$D$3632),-(Analítico!X$3&lt;='Gastos Gerais'!$E$4:$E$3632),-('Gastos Gerais'!$C$4:$C$3632))</f>
        <v>0</v>
      </c>
      <c r="Y73" s="134">
        <f>SUMPRODUCT(-('Gastos Gerais'!$B$4:$B$3632=Analítico!$B73),-(Analítico!Y$3&gt;='Gastos Gerais'!$D$4:$D$3632),-(Analítico!Y$3&lt;='Gastos Gerais'!$E$4:$E$3632),-('Gastos Gerais'!$C$4:$C$3632))</f>
        <v>0</v>
      </c>
      <c r="Z73" s="134">
        <f>SUMPRODUCT(-('Gastos Gerais'!$B$4:$B$3632=Analítico!$B73),-(Analítico!Z$3&gt;='Gastos Gerais'!$D$4:$D$3632),-(Analítico!Z$3&lt;='Gastos Gerais'!$E$4:$E$3632),-('Gastos Gerais'!$C$4:$C$3632))</f>
        <v>0</v>
      </c>
      <c r="AA73" s="134">
        <f>SUMPRODUCT(-('Gastos Gerais'!$B$4:$B$3632=Analítico!$B73),-(Analítico!AA$3&gt;='Gastos Gerais'!$D$4:$D$3632),-(Analítico!AA$3&lt;='Gastos Gerais'!$E$4:$E$3632),-('Gastos Gerais'!$C$4:$C$3632))</f>
        <v>0</v>
      </c>
      <c r="AB73" s="134">
        <f>SUMPRODUCT(-('Gastos Gerais'!$B$4:$B$3632=Analítico!$B73),-(Analítico!AB$3&gt;='Gastos Gerais'!$D$4:$D$3632),-(Analítico!AB$3&lt;='Gastos Gerais'!$E$4:$E$3632),-('Gastos Gerais'!$C$4:$C$3632))</f>
        <v>0</v>
      </c>
      <c r="AC73" s="134">
        <f>SUMPRODUCT(-('Gastos Gerais'!$B$4:$B$3632=Analítico!$B73),-(Analítico!AC$3&gt;='Gastos Gerais'!$D$4:$D$3632),-(Analítico!AC$3&lt;='Gastos Gerais'!$E$4:$E$3632),-('Gastos Gerais'!$C$4:$C$3632))</f>
        <v>0</v>
      </c>
      <c r="AD73" s="134">
        <f>SUMPRODUCT(-('Gastos Gerais'!$B$4:$B$3632=Analítico!$B73),-(Analítico!AD$3&gt;='Gastos Gerais'!$D$4:$D$3632),-(Analítico!AD$3&lt;='Gastos Gerais'!$E$4:$E$3632),-('Gastos Gerais'!$C$4:$C$3632))</f>
        <v>0</v>
      </c>
      <c r="AE73" s="134">
        <f>SUMPRODUCT(-('Gastos Gerais'!$B$4:$B$3632=Analítico!$B73),-(Analítico!AE$3&gt;='Gastos Gerais'!$D$4:$D$3632),-(Analítico!AE$3&lt;='Gastos Gerais'!$E$4:$E$3632),-('Gastos Gerais'!$C$4:$C$3632))</f>
        <v>0</v>
      </c>
      <c r="AF73" s="134">
        <f>SUMPRODUCT(-('Gastos Gerais'!$B$4:$B$3632=Analítico!$B73),-(Analítico!AF$3&gt;='Gastos Gerais'!$D$4:$D$3632),-(Analítico!AF$3&lt;='Gastos Gerais'!$E$4:$E$3632),-('Gastos Gerais'!$C$4:$C$3632))</f>
        <v>0</v>
      </c>
      <c r="AG73" s="134">
        <f>SUMPRODUCT(-('Gastos Gerais'!$B$4:$B$3632=Analítico!$B73),-(Analítico!AG$3&gt;='Gastos Gerais'!$D$4:$D$3632),-(Analítico!AG$3&lt;='Gastos Gerais'!$E$4:$E$3632),-('Gastos Gerais'!$C$4:$C$3632))</f>
        <v>0</v>
      </c>
      <c r="AH73" s="134">
        <f>SUMPRODUCT(-('Gastos Gerais'!$B$4:$B$3632=Analítico!$B73),-(Analítico!AH$3&gt;='Gastos Gerais'!$D$4:$D$3632),-(Analítico!AH$3&lt;='Gastos Gerais'!$E$4:$E$3632),-('Gastos Gerais'!$C$4:$C$3632))</f>
        <v>0</v>
      </c>
      <c r="AI73" s="134">
        <f>SUMPRODUCT(-('Gastos Gerais'!$B$4:$B$3632=Analítico!$B73),-(Analítico!AI$3&gt;='Gastos Gerais'!$D$4:$D$3632),-(Analítico!AI$3&lt;='Gastos Gerais'!$E$4:$E$3632),-('Gastos Gerais'!$C$4:$C$3632))</f>
        <v>0</v>
      </c>
      <c r="AJ73" s="134">
        <f>SUMPRODUCT(-('Gastos Gerais'!$B$4:$B$3632=Analítico!$B73),-(Analítico!AJ$3&gt;='Gastos Gerais'!$D$4:$D$3632),-(Analítico!AJ$3&lt;='Gastos Gerais'!$E$4:$E$3632),-('Gastos Gerais'!$C$4:$C$3632))</f>
        <v>0</v>
      </c>
      <c r="AK73" s="134">
        <f>SUMPRODUCT(-('Gastos Gerais'!$B$4:$B$3632=Analítico!$B73),-(Analítico!AK$3&gt;='Gastos Gerais'!$D$4:$D$3632),-(Analítico!AK$3&lt;='Gastos Gerais'!$E$4:$E$3632),-('Gastos Gerais'!$C$4:$C$3632))</f>
        <v>0</v>
      </c>
      <c r="AL73" s="134">
        <f>SUMPRODUCT(-('Gastos Gerais'!$B$4:$B$3632=Analítico!$B73),-(Analítico!AL$3&gt;='Gastos Gerais'!$D$4:$D$3632),-(Analítico!AL$3&lt;='Gastos Gerais'!$E$4:$E$3632),-('Gastos Gerais'!$C$4:$C$3632))</f>
        <v>0</v>
      </c>
      <c r="AM73" s="134">
        <f>SUMPRODUCT(-('Gastos Gerais'!$B$4:$B$3632=Analítico!$B73),-(Analítico!AM$3&gt;='Gastos Gerais'!$D$4:$D$3632),-(Analítico!AM$3&lt;='Gastos Gerais'!$E$4:$E$3632),-('Gastos Gerais'!$C$4:$C$3632))</f>
        <v>0</v>
      </c>
      <c r="AN73" s="134">
        <f>SUMPRODUCT(-('Gastos Gerais'!$B$4:$B$3632=Analítico!$B73),-(Analítico!AN$3&gt;='Gastos Gerais'!$D$4:$D$3632),-(Analítico!AN$3&lt;='Gastos Gerais'!$E$4:$E$3632),-('Gastos Gerais'!$C$4:$C$3632))</f>
        <v>0</v>
      </c>
      <c r="AO73" s="134">
        <f>SUMPRODUCT(-('Gastos Gerais'!$B$4:$B$3632=Analítico!$B73),-(Analítico!AO$3&gt;='Gastos Gerais'!$D$4:$D$3632),-(Analítico!AO$3&lt;='Gastos Gerais'!$E$4:$E$3632),-('Gastos Gerais'!$C$4:$C$3632))</f>
        <v>0</v>
      </c>
      <c r="AP73" s="134">
        <f>SUMPRODUCT(-('Gastos Gerais'!$B$4:$B$3632=Analítico!$B73),-(Analítico!AP$3&gt;='Gastos Gerais'!$D$4:$D$3632),-(Analítico!AP$3&lt;='Gastos Gerais'!$E$4:$E$3632),-('Gastos Gerais'!$C$4:$C$3632))</f>
        <v>0</v>
      </c>
      <c r="AQ73" s="134">
        <f>SUMPRODUCT(-('Gastos Gerais'!$B$4:$B$3632=Analítico!$B73),-(Analítico!AQ$3&gt;='Gastos Gerais'!$D$4:$D$3632),-(Analítico!AQ$3&lt;='Gastos Gerais'!$E$4:$E$3632),-('Gastos Gerais'!$C$4:$C$3632))</f>
        <v>0</v>
      </c>
      <c r="AR73" s="134">
        <f>SUMPRODUCT(-('Gastos Gerais'!$B$4:$B$3632=Analítico!$B73),-(Analítico!AR$3&gt;='Gastos Gerais'!$D$4:$D$3632),-(Analítico!AR$3&lt;='Gastos Gerais'!$E$4:$E$3632),-('Gastos Gerais'!$C$4:$C$3632))</f>
        <v>0</v>
      </c>
      <c r="AS73" s="134">
        <f>SUMPRODUCT(-('Gastos Gerais'!$B$4:$B$3632=Analítico!$B73),-(Analítico!AS$3&gt;='Gastos Gerais'!$D$4:$D$3632),-(Analítico!AS$3&lt;='Gastos Gerais'!$E$4:$E$3632),-('Gastos Gerais'!$C$4:$C$3632))</f>
        <v>0</v>
      </c>
      <c r="AT73" s="134">
        <f>SUMPRODUCT(-('Gastos Gerais'!$B$4:$B$3632=Analítico!$B73),-(Analítico!AT$3&gt;='Gastos Gerais'!$D$4:$D$3632),-(Analítico!AT$3&lt;='Gastos Gerais'!$E$4:$E$3632),-('Gastos Gerais'!$C$4:$C$3632))</f>
        <v>0</v>
      </c>
      <c r="AU73" s="134">
        <f>SUMPRODUCT(-('Gastos Gerais'!$B$4:$B$3632=Analítico!$B73),-(Analítico!AU$3&gt;='Gastos Gerais'!$D$4:$D$3632),-(Analítico!AU$3&lt;='Gastos Gerais'!$E$4:$E$3632),-('Gastos Gerais'!$C$4:$C$3632))</f>
        <v>0</v>
      </c>
      <c r="AV73" s="134">
        <f>SUMPRODUCT(-('Gastos Gerais'!$B$4:$B$3632=Analítico!$B73),-(Analítico!AV$3&gt;='Gastos Gerais'!$D$4:$D$3632),-(Analítico!AV$3&lt;='Gastos Gerais'!$E$4:$E$3632),-('Gastos Gerais'!$C$4:$C$3632))</f>
        <v>0</v>
      </c>
      <c r="AW73" s="134">
        <f>SUMPRODUCT(-('Gastos Gerais'!$B$4:$B$3632=Analítico!$B73),-(Analítico!AW$3&gt;='Gastos Gerais'!$D$4:$D$3632),-(Analítico!AW$3&lt;='Gastos Gerais'!$E$4:$E$3632),-('Gastos Gerais'!$C$4:$C$3632))</f>
        <v>0</v>
      </c>
      <c r="AX73" s="134">
        <f>SUMPRODUCT(-('Gastos Gerais'!$B$4:$B$3632=Analítico!$B73),-(Analítico!AX$3&gt;='Gastos Gerais'!$D$4:$D$3632),-(Analítico!AX$3&lt;='Gastos Gerais'!$E$4:$E$3632),-('Gastos Gerais'!$C$4:$C$3632))</f>
        <v>0</v>
      </c>
      <c r="AY73" s="134">
        <f>SUMPRODUCT(-('Gastos Gerais'!$B$4:$B$3632=Analítico!$B73),-(Analítico!AY$3&gt;='Gastos Gerais'!$D$4:$D$3632),-(Analítico!AY$3&lt;='Gastos Gerais'!$E$4:$E$3632),-('Gastos Gerais'!$C$4:$C$3632))</f>
        <v>0</v>
      </c>
      <c r="AZ73" s="134">
        <f>SUMPRODUCT(-('Gastos Gerais'!$B$4:$B$3632=Analítico!$B73),-(Analítico!AZ$3&gt;='Gastos Gerais'!$D$4:$D$3632),-(Analítico!AZ$3&lt;='Gastos Gerais'!$E$4:$E$3632),-('Gastos Gerais'!$C$4:$C$3632))</f>
        <v>0</v>
      </c>
      <c r="BA73" s="134">
        <f>SUMPRODUCT(-('Gastos Gerais'!$B$4:$B$3632=Analítico!$B73),-(Analítico!BA$3&gt;='Gastos Gerais'!$D$4:$D$3632),-(Analítico!BA$3&lt;='Gastos Gerais'!$E$4:$E$3632),-('Gastos Gerais'!$C$4:$C$3632))</f>
        <v>0</v>
      </c>
      <c r="BB73" s="134">
        <f>SUMPRODUCT(-('Gastos Gerais'!$B$4:$B$3632=Analítico!$B73),-(Analítico!BB$3&gt;='Gastos Gerais'!$D$4:$D$3632),-(Analítico!BB$3&lt;='Gastos Gerais'!$E$4:$E$3632),-('Gastos Gerais'!$C$4:$C$3632))</f>
        <v>0</v>
      </c>
      <c r="BC73" s="134">
        <f>SUMPRODUCT(-('Gastos Gerais'!$B$4:$B$3632=Analítico!$B73),-(Analítico!BC$3&gt;='Gastos Gerais'!$D$4:$D$3632),-(Analítico!BC$3&lt;='Gastos Gerais'!$E$4:$E$3632),-('Gastos Gerais'!$C$4:$C$3632))</f>
        <v>0</v>
      </c>
      <c r="BD73" s="134">
        <f>SUMPRODUCT(-('Gastos Gerais'!$B$4:$B$3632=Analítico!$B73),-(Analítico!BD$3&gt;='Gastos Gerais'!$D$4:$D$3632),-(Analítico!BD$3&lt;='Gastos Gerais'!$E$4:$E$3632),-('Gastos Gerais'!$C$4:$C$3632))</f>
        <v>0</v>
      </c>
      <c r="BE73" s="134">
        <f>SUMPRODUCT(-('Gastos Gerais'!$B$4:$B$3632=Analítico!$B73),-(Analítico!BE$3&gt;='Gastos Gerais'!$D$4:$D$3632),-(Analítico!BE$3&lt;='Gastos Gerais'!$E$4:$E$3632),-('Gastos Gerais'!$C$4:$C$3632))</f>
        <v>0</v>
      </c>
      <c r="BF73" s="134">
        <f>SUMPRODUCT(-('Gastos Gerais'!$B$4:$B$3632=Analítico!$B73),-(Analítico!BF$3&gt;='Gastos Gerais'!$D$4:$D$3632),-(Analítico!BF$3&lt;='Gastos Gerais'!$E$4:$E$3632),-('Gastos Gerais'!$C$4:$C$3632))</f>
        <v>0</v>
      </c>
      <c r="BG73" s="134">
        <f>SUMPRODUCT(-('Gastos Gerais'!$B$4:$B$3632=Analítico!$B73),-(Analítico!BG$3&gt;='Gastos Gerais'!$D$4:$D$3632),-(Analítico!BG$3&lt;='Gastos Gerais'!$E$4:$E$3632),-('Gastos Gerais'!$C$4:$C$3632))</f>
        <v>0</v>
      </c>
      <c r="BH73" s="134">
        <f>SUMPRODUCT(-('Gastos Gerais'!$B$4:$B$3632=Analítico!$B73),-(Analítico!BH$3&gt;='Gastos Gerais'!$D$4:$D$3632),-(Analítico!BH$3&lt;='Gastos Gerais'!$E$4:$E$3632),-('Gastos Gerais'!$C$4:$C$3632))</f>
        <v>0</v>
      </c>
      <c r="BI73" s="134">
        <f>SUMPRODUCT(-('Gastos Gerais'!$B$4:$B$3632=Analítico!$B73),-(Analítico!BI$3&gt;='Gastos Gerais'!$D$4:$D$3632),-(Analítico!BI$3&lt;='Gastos Gerais'!$E$4:$E$3632),-('Gastos Gerais'!$C$4:$C$3632))</f>
        <v>0</v>
      </c>
      <c r="BJ73" s="134">
        <f>SUMPRODUCT(-('Gastos Gerais'!$B$4:$B$3632=Analítico!$B73),-(Analítico!BJ$3&gt;='Gastos Gerais'!$D$4:$D$3632),-(Analítico!BJ$3&lt;='Gastos Gerais'!$E$4:$E$3632),-('Gastos Gerais'!$C$4:$C$3632))</f>
        <v>0</v>
      </c>
      <c r="BK73" s="189">
        <f t="shared" si="37"/>
        <v>0</v>
      </c>
      <c r="BL73" s="136">
        <f t="shared" ca="1" si="38"/>
        <v>0</v>
      </c>
      <c r="BN73" s="134">
        <f>SUMPRODUCT(-('Gastos Gerais'!$B$4:$B$3632=Analítico!$B73),-(Analítico!BN$3&gt;='Gastos Gerais'!$D$4:$D$3632),-(Analítico!BN$3&lt;='Gastos Gerais'!$E$4:$E$3632),-('Gastos Gerais'!$C$4:$C$3632))</f>
        <v>0</v>
      </c>
    </row>
    <row r="74" spans="1:66" s="160" customFormat="1" ht="23.25" customHeight="1">
      <c r="A74" s="229" t="s">
        <v>225</v>
      </c>
      <c r="B74" s="230" t="s">
        <v>226</v>
      </c>
      <c r="C74" s="188">
        <f t="shared" si="36"/>
        <v>180</v>
      </c>
      <c r="D74" s="134">
        <f>SUMPRODUCT(-('Gastos Gerais'!$B$4:$B$3632=Analítico!$B74),-(Analítico!D$3&gt;='Gastos Gerais'!$D$4:$D$3632),-(Analítico!D$3&lt;='Gastos Gerais'!$E$4:$E$3632),-('Gastos Gerais'!$C$4:$C$3632))</f>
        <v>600</v>
      </c>
      <c r="E74" s="134">
        <f>SUMPRODUCT(-('Gastos Gerais'!$B$4:$B$3632=Analítico!$B74),-(Analítico!E$3&gt;='Gastos Gerais'!$D$4:$D$3632),-(Analítico!E$3&lt;='Gastos Gerais'!$E$4:$E$3632),-('Gastos Gerais'!$C$4:$C$3632))</f>
        <v>600</v>
      </c>
      <c r="F74" s="134">
        <f>SUMPRODUCT(-('Gastos Gerais'!$B$4:$B$3632=Analítico!$B74),-(Analítico!F$3&gt;='Gastos Gerais'!$D$4:$D$3632),-(Analítico!F$3&lt;='Gastos Gerais'!$E$4:$E$3632),-('Gastos Gerais'!$C$4:$C$3632))</f>
        <v>600</v>
      </c>
      <c r="G74" s="134">
        <f>SUMPRODUCT(-('Gastos Gerais'!$B$4:$B$3632=Analítico!$B74),-(Analítico!G$3&gt;='Gastos Gerais'!$D$4:$D$3632),-(Analítico!G$3&lt;='Gastos Gerais'!$E$4:$E$3632),-('Gastos Gerais'!$C$4:$C$3632))</f>
        <v>600</v>
      </c>
      <c r="H74" s="134">
        <f>SUMPRODUCT(-('Gastos Gerais'!$B$4:$B$3632=Analítico!$B74),-(Analítico!H$3&gt;='Gastos Gerais'!$D$4:$D$3632),-(Analítico!H$3&lt;='Gastos Gerais'!$E$4:$E$3632),-('Gastos Gerais'!$C$4:$C$3632))</f>
        <v>600</v>
      </c>
      <c r="I74" s="134">
        <f>SUMPRODUCT(-('Gastos Gerais'!$B$4:$B$3632=Analítico!$B74),-(Analítico!I$3&gt;='Gastos Gerais'!$D$4:$D$3632),-(Analítico!I$3&lt;='Gastos Gerais'!$E$4:$E$3632),-('Gastos Gerais'!$C$4:$C$3632))</f>
        <v>600</v>
      </c>
      <c r="J74" s="134">
        <f>SUMPRODUCT(-('Gastos Gerais'!$B$4:$B$3632=Analítico!$B74),-(Analítico!J$3&gt;='Gastos Gerais'!$D$4:$D$3632),-(Analítico!J$3&lt;='Gastos Gerais'!$E$4:$E$3632),-('Gastos Gerais'!$C$4:$C$3632))</f>
        <v>600</v>
      </c>
      <c r="K74" s="134">
        <f>SUMPRODUCT(-('Gastos Gerais'!$B$4:$B$3632=Analítico!$B74),-(Analítico!K$3&gt;='Gastos Gerais'!$D$4:$D$3632),-(Analítico!K$3&lt;='Gastos Gerais'!$E$4:$E$3632),-('Gastos Gerais'!$C$4:$C$3632))</f>
        <v>600</v>
      </c>
      <c r="L74" s="134">
        <f>SUMPRODUCT(-('Gastos Gerais'!$B$4:$B$3632=Analítico!$B74),-(Analítico!L$3&gt;='Gastos Gerais'!$D$4:$D$3632),-(Analítico!L$3&lt;='Gastos Gerais'!$E$4:$E$3632),-('Gastos Gerais'!$C$4:$C$3632))</f>
        <v>600</v>
      </c>
      <c r="M74" s="134">
        <f>SUMPRODUCT(-('Gastos Gerais'!$B$4:$B$3632=Analítico!$B74),-(Analítico!M$3&gt;='Gastos Gerais'!$D$4:$D$3632),-(Analítico!M$3&lt;='Gastos Gerais'!$E$4:$E$3632),-('Gastos Gerais'!$C$4:$C$3632))</f>
        <v>600</v>
      </c>
      <c r="N74" s="134">
        <f>SUMPRODUCT(-('Gastos Gerais'!$B$4:$B$3632=Analítico!$B74),-(Analítico!N$3&gt;='Gastos Gerais'!$D$4:$D$3632),-(Analítico!N$3&lt;='Gastos Gerais'!$E$4:$E$3632),-('Gastos Gerais'!$C$4:$C$3632))</f>
        <v>600</v>
      </c>
      <c r="O74" s="134">
        <f>SUMPRODUCT(-('Gastos Gerais'!$B$4:$B$3632=Analítico!$B74),-(Analítico!O$3&gt;='Gastos Gerais'!$D$4:$D$3632),-(Analítico!O$3&lt;='Gastos Gerais'!$E$4:$E$3632),-('Gastos Gerais'!$C$4:$C$3632))</f>
        <v>600</v>
      </c>
      <c r="P74" s="134">
        <f>SUMPRODUCT(-('Gastos Gerais'!$B$4:$B$3632=Analítico!$B74),-(Analítico!P$3&gt;='Gastos Gerais'!$D$4:$D$3632),-(Analítico!P$3&lt;='Gastos Gerais'!$E$4:$E$3632),-('Gastos Gerais'!$C$4:$C$3632))</f>
        <v>600</v>
      </c>
      <c r="Q74" s="134">
        <f>SUMPRODUCT(-('Gastos Gerais'!$B$4:$B$3632=Analítico!$B74),-(Analítico!Q$3&gt;='Gastos Gerais'!$D$4:$D$3632),-(Analítico!Q$3&lt;='Gastos Gerais'!$E$4:$E$3632),-('Gastos Gerais'!$C$4:$C$3632))</f>
        <v>600</v>
      </c>
      <c r="R74" s="134">
        <f>SUMPRODUCT(-('Gastos Gerais'!$B$4:$B$3632=Analítico!$B74),-(Analítico!R$3&gt;='Gastos Gerais'!$D$4:$D$3632),-(Analítico!R$3&lt;='Gastos Gerais'!$E$4:$E$3632),-('Gastos Gerais'!$C$4:$C$3632))</f>
        <v>600</v>
      </c>
      <c r="S74" s="134">
        <f>SUMPRODUCT(-('Gastos Gerais'!$B$4:$B$3632=Analítico!$B74),-(Analítico!S$3&gt;='Gastos Gerais'!$D$4:$D$3632),-(Analítico!S$3&lt;='Gastos Gerais'!$E$4:$E$3632),-('Gastos Gerais'!$C$4:$C$3632))</f>
        <v>600</v>
      </c>
      <c r="T74" s="134">
        <f>SUMPRODUCT(-('Gastos Gerais'!$B$4:$B$3632=Analítico!$B74),-(Analítico!T$3&gt;='Gastos Gerais'!$D$4:$D$3632),-(Analítico!T$3&lt;='Gastos Gerais'!$E$4:$E$3632),-('Gastos Gerais'!$C$4:$C$3632))</f>
        <v>600</v>
      </c>
      <c r="U74" s="134">
        <f>SUMPRODUCT(-('Gastos Gerais'!$B$4:$B$3632=Analítico!$B74),-(Analítico!U$3&gt;='Gastos Gerais'!$D$4:$D$3632),-(Analítico!U$3&lt;='Gastos Gerais'!$E$4:$E$3632),-('Gastos Gerais'!$C$4:$C$3632))</f>
        <v>600</v>
      </c>
      <c r="V74" s="134">
        <f>SUMPRODUCT(-('Gastos Gerais'!$B$4:$B$3632=Analítico!$B74),-(Analítico!V$3&gt;='Gastos Gerais'!$D$4:$D$3632),-(Analítico!V$3&lt;='Gastos Gerais'!$E$4:$E$3632),-('Gastos Gerais'!$C$4:$C$3632))</f>
        <v>600</v>
      </c>
      <c r="W74" s="134">
        <f>SUMPRODUCT(-('Gastos Gerais'!$B$4:$B$3632=Analítico!$B74),-(Analítico!W$3&gt;='Gastos Gerais'!$D$4:$D$3632),-(Analítico!W$3&lt;='Gastos Gerais'!$E$4:$E$3632),-('Gastos Gerais'!$C$4:$C$3632))</f>
        <v>600</v>
      </c>
      <c r="X74" s="134">
        <f>SUMPRODUCT(-('Gastos Gerais'!$B$4:$B$3632=Analítico!$B74),-(Analítico!X$3&gt;='Gastos Gerais'!$D$4:$D$3632),-(Analítico!X$3&lt;='Gastos Gerais'!$E$4:$E$3632),-('Gastos Gerais'!$C$4:$C$3632))</f>
        <v>600</v>
      </c>
      <c r="Y74" s="134">
        <f>SUMPRODUCT(-('Gastos Gerais'!$B$4:$B$3632=Analítico!$B74),-(Analítico!Y$3&gt;='Gastos Gerais'!$D$4:$D$3632),-(Analítico!Y$3&lt;='Gastos Gerais'!$E$4:$E$3632),-('Gastos Gerais'!$C$4:$C$3632))</f>
        <v>600</v>
      </c>
      <c r="Z74" s="134">
        <f>SUMPRODUCT(-('Gastos Gerais'!$B$4:$B$3632=Analítico!$B74),-(Analítico!Z$3&gt;='Gastos Gerais'!$D$4:$D$3632),-(Analítico!Z$3&lt;='Gastos Gerais'!$E$4:$E$3632),-('Gastos Gerais'!$C$4:$C$3632))</f>
        <v>600</v>
      </c>
      <c r="AA74" s="134">
        <f>SUMPRODUCT(-('Gastos Gerais'!$B$4:$B$3632=Analítico!$B74),-(Analítico!AA$3&gt;='Gastos Gerais'!$D$4:$D$3632),-(Analítico!AA$3&lt;='Gastos Gerais'!$E$4:$E$3632),-('Gastos Gerais'!$C$4:$C$3632))</f>
        <v>600</v>
      </c>
      <c r="AB74" s="134">
        <f>SUMPRODUCT(-('Gastos Gerais'!$B$4:$B$3632=Analítico!$B74),-(Analítico!AB$3&gt;='Gastos Gerais'!$D$4:$D$3632),-(Analítico!AB$3&lt;='Gastos Gerais'!$E$4:$E$3632),-('Gastos Gerais'!$C$4:$C$3632))</f>
        <v>600</v>
      </c>
      <c r="AC74" s="134">
        <f>SUMPRODUCT(-('Gastos Gerais'!$B$4:$B$3632=Analítico!$B74),-(Analítico!AC$3&gt;='Gastos Gerais'!$D$4:$D$3632),-(Analítico!AC$3&lt;='Gastos Gerais'!$E$4:$E$3632),-('Gastos Gerais'!$C$4:$C$3632))</f>
        <v>600</v>
      </c>
      <c r="AD74" s="134">
        <f>SUMPRODUCT(-('Gastos Gerais'!$B$4:$B$3632=Analítico!$B74),-(Analítico!AD$3&gt;='Gastos Gerais'!$D$4:$D$3632),-(Analítico!AD$3&lt;='Gastos Gerais'!$E$4:$E$3632),-('Gastos Gerais'!$C$4:$C$3632))</f>
        <v>600</v>
      </c>
      <c r="AE74" s="134">
        <f>SUMPRODUCT(-('Gastos Gerais'!$B$4:$B$3632=Analítico!$B74),-(Analítico!AE$3&gt;='Gastos Gerais'!$D$4:$D$3632),-(Analítico!AE$3&lt;='Gastos Gerais'!$E$4:$E$3632),-('Gastos Gerais'!$C$4:$C$3632))</f>
        <v>600</v>
      </c>
      <c r="AF74" s="134">
        <f>SUMPRODUCT(-('Gastos Gerais'!$B$4:$B$3632=Analítico!$B74),-(Analítico!AF$3&gt;='Gastos Gerais'!$D$4:$D$3632),-(Analítico!AF$3&lt;='Gastos Gerais'!$E$4:$E$3632),-('Gastos Gerais'!$C$4:$C$3632))</f>
        <v>600</v>
      </c>
      <c r="AG74" s="134">
        <f>SUMPRODUCT(-('Gastos Gerais'!$B$4:$B$3632=Analítico!$B74),-(Analítico!AG$3&gt;='Gastos Gerais'!$D$4:$D$3632),-(Analítico!AG$3&lt;='Gastos Gerais'!$E$4:$E$3632),-('Gastos Gerais'!$C$4:$C$3632))</f>
        <v>600</v>
      </c>
      <c r="AH74" s="134">
        <f>SUMPRODUCT(-('Gastos Gerais'!$B$4:$B$3632=Analítico!$B74),-(Analítico!AH$3&gt;='Gastos Gerais'!$D$4:$D$3632),-(Analítico!AH$3&lt;='Gastos Gerais'!$E$4:$E$3632),-('Gastos Gerais'!$C$4:$C$3632))</f>
        <v>600</v>
      </c>
      <c r="AI74" s="134">
        <f>SUMPRODUCT(-('Gastos Gerais'!$B$4:$B$3632=Analítico!$B74),-(Analítico!AI$3&gt;='Gastos Gerais'!$D$4:$D$3632),-(Analítico!AI$3&lt;='Gastos Gerais'!$E$4:$E$3632),-('Gastos Gerais'!$C$4:$C$3632))</f>
        <v>600</v>
      </c>
      <c r="AJ74" s="134">
        <f>SUMPRODUCT(-('Gastos Gerais'!$B$4:$B$3632=Analítico!$B74),-(Analítico!AJ$3&gt;='Gastos Gerais'!$D$4:$D$3632),-(Analítico!AJ$3&lt;='Gastos Gerais'!$E$4:$E$3632),-('Gastos Gerais'!$C$4:$C$3632))</f>
        <v>600</v>
      </c>
      <c r="AK74" s="134">
        <f>SUMPRODUCT(-('Gastos Gerais'!$B$4:$B$3632=Analítico!$B74),-(Analítico!AK$3&gt;='Gastos Gerais'!$D$4:$D$3632),-(Analítico!AK$3&lt;='Gastos Gerais'!$E$4:$E$3632),-('Gastos Gerais'!$C$4:$C$3632))</f>
        <v>600</v>
      </c>
      <c r="AL74" s="134">
        <f>SUMPRODUCT(-('Gastos Gerais'!$B$4:$B$3632=Analítico!$B74),-(Analítico!AL$3&gt;='Gastos Gerais'!$D$4:$D$3632),-(Analítico!AL$3&lt;='Gastos Gerais'!$E$4:$E$3632),-('Gastos Gerais'!$C$4:$C$3632))</f>
        <v>600</v>
      </c>
      <c r="AM74" s="134">
        <f>SUMPRODUCT(-('Gastos Gerais'!$B$4:$B$3632=Analítico!$B74),-(Analítico!AM$3&gt;='Gastos Gerais'!$D$4:$D$3632),-(Analítico!AM$3&lt;='Gastos Gerais'!$E$4:$E$3632),-('Gastos Gerais'!$C$4:$C$3632))</f>
        <v>600</v>
      </c>
      <c r="AN74" s="134">
        <f>SUMPRODUCT(-('Gastos Gerais'!$B$4:$B$3632=Analítico!$B74),-(Analítico!AN$3&gt;='Gastos Gerais'!$D$4:$D$3632),-(Analítico!AN$3&lt;='Gastos Gerais'!$E$4:$E$3632),-('Gastos Gerais'!$C$4:$C$3632))</f>
        <v>600</v>
      </c>
      <c r="AO74" s="134">
        <f>SUMPRODUCT(-('Gastos Gerais'!$B$4:$B$3632=Analítico!$B74),-(Analítico!AO$3&gt;='Gastos Gerais'!$D$4:$D$3632),-(Analítico!AO$3&lt;='Gastos Gerais'!$E$4:$E$3632),-('Gastos Gerais'!$C$4:$C$3632))</f>
        <v>600</v>
      </c>
      <c r="AP74" s="134">
        <f>SUMPRODUCT(-('Gastos Gerais'!$B$4:$B$3632=Analítico!$B74),-(Analítico!AP$3&gt;='Gastos Gerais'!$D$4:$D$3632),-(Analítico!AP$3&lt;='Gastos Gerais'!$E$4:$E$3632),-('Gastos Gerais'!$C$4:$C$3632))</f>
        <v>600</v>
      </c>
      <c r="AQ74" s="134">
        <f>SUMPRODUCT(-('Gastos Gerais'!$B$4:$B$3632=Analítico!$B74),-(Analítico!AQ$3&gt;='Gastos Gerais'!$D$4:$D$3632),-(Analítico!AQ$3&lt;='Gastos Gerais'!$E$4:$E$3632),-('Gastos Gerais'!$C$4:$C$3632))</f>
        <v>600</v>
      </c>
      <c r="AR74" s="134">
        <f>SUMPRODUCT(-('Gastos Gerais'!$B$4:$B$3632=Analítico!$B74),-(Analítico!AR$3&gt;='Gastos Gerais'!$D$4:$D$3632),-(Analítico!AR$3&lt;='Gastos Gerais'!$E$4:$E$3632),-('Gastos Gerais'!$C$4:$C$3632))</f>
        <v>600</v>
      </c>
      <c r="AS74" s="134">
        <f>SUMPRODUCT(-('Gastos Gerais'!$B$4:$B$3632=Analítico!$B74),-(Analítico!AS$3&gt;='Gastos Gerais'!$D$4:$D$3632),-(Analítico!AS$3&lt;='Gastos Gerais'!$E$4:$E$3632),-('Gastos Gerais'!$C$4:$C$3632))</f>
        <v>600</v>
      </c>
      <c r="AT74" s="134">
        <f>SUMPRODUCT(-('Gastos Gerais'!$B$4:$B$3632=Analítico!$B74),-(Analítico!AT$3&gt;='Gastos Gerais'!$D$4:$D$3632),-(Analítico!AT$3&lt;='Gastos Gerais'!$E$4:$E$3632),-('Gastos Gerais'!$C$4:$C$3632))</f>
        <v>600</v>
      </c>
      <c r="AU74" s="134">
        <f>SUMPRODUCT(-('Gastos Gerais'!$B$4:$B$3632=Analítico!$B74),-(Analítico!AU$3&gt;='Gastos Gerais'!$D$4:$D$3632),-(Analítico!AU$3&lt;='Gastos Gerais'!$E$4:$E$3632),-('Gastos Gerais'!$C$4:$C$3632))</f>
        <v>600</v>
      </c>
      <c r="AV74" s="134">
        <f>SUMPRODUCT(-('Gastos Gerais'!$B$4:$B$3632=Analítico!$B74),-(Analítico!AV$3&gt;='Gastos Gerais'!$D$4:$D$3632),-(Analítico!AV$3&lt;='Gastos Gerais'!$E$4:$E$3632),-('Gastos Gerais'!$C$4:$C$3632))</f>
        <v>600</v>
      </c>
      <c r="AW74" s="134">
        <f>SUMPRODUCT(-('Gastos Gerais'!$B$4:$B$3632=Analítico!$B74),-(Analítico!AW$3&gt;='Gastos Gerais'!$D$4:$D$3632),-(Analítico!AW$3&lt;='Gastos Gerais'!$E$4:$E$3632),-('Gastos Gerais'!$C$4:$C$3632))</f>
        <v>600</v>
      </c>
      <c r="AX74" s="134">
        <f>SUMPRODUCT(-('Gastos Gerais'!$B$4:$B$3632=Analítico!$B74),-(Analítico!AX$3&gt;='Gastos Gerais'!$D$4:$D$3632),-(Analítico!AX$3&lt;='Gastos Gerais'!$E$4:$E$3632),-('Gastos Gerais'!$C$4:$C$3632))</f>
        <v>600</v>
      </c>
      <c r="AY74" s="134">
        <f>SUMPRODUCT(-('Gastos Gerais'!$B$4:$B$3632=Analítico!$B74),-(Analítico!AY$3&gt;='Gastos Gerais'!$D$4:$D$3632),-(Analítico!AY$3&lt;='Gastos Gerais'!$E$4:$E$3632),-('Gastos Gerais'!$C$4:$C$3632))</f>
        <v>600</v>
      </c>
      <c r="AZ74" s="134">
        <f>SUMPRODUCT(-('Gastos Gerais'!$B$4:$B$3632=Analítico!$B74),-(Analítico!AZ$3&gt;='Gastos Gerais'!$D$4:$D$3632),-(Analítico!AZ$3&lt;='Gastos Gerais'!$E$4:$E$3632),-('Gastos Gerais'!$C$4:$C$3632))</f>
        <v>600</v>
      </c>
      <c r="BA74" s="134">
        <f>SUMPRODUCT(-('Gastos Gerais'!$B$4:$B$3632=Analítico!$B74),-(Analítico!BA$3&gt;='Gastos Gerais'!$D$4:$D$3632),-(Analítico!BA$3&lt;='Gastos Gerais'!$E$4:$E$3632),-('Gastos Gerais'!$C$4:$C$3632))</f>
        <v>600</v>
      </c>
      <c r="BB74" s="134">
        <f>SUMPRODUCT(-('Gastos Gerais'!$B$4:$B$3632=Analítico!$B74),-(Analítico!BB$3&gt;='Gastos Gerais'!$D$4:$D$3632),-(Analítico!BB$3&lt;='Gastos Gerais'!$E$4:$E$3632),-('Gastos Gerais'!$C$4:$C$3632))</f>
        <v>600</v>
      </c>
      <c r="BC74" s="134">
        <f>SUMPRODUCT(-('Gastos Gerais'!$B$4:$B$3632=Analítico!$B74),-(Analítico!BC$3&gt;='Gastos Gerais'!$D$4:$D$3632),-(Analítico!BC$3&lt;='Gastos Gerais'!$E$4:$E$3632),-('Gastos Gerais'!$C$4:$C$3632))</f>
        <v>600</v>
      </c>
      <c r="BD74" s="134">
        <f>SUMPRODUCT(-('Gastos Gerais'!$B$4:$B$3632=Analítico!$B74),-(Analítico!BD$3&gt;='Gastos Gerais'!$D$4:$D$3632),-(Analítico!BD$3&lt;='Gastos Gerais'!$E$4:$E$3632),-('Gastos Gerais'!$C$4:$C$3632))</f>
        <v>600</v>
      </c>
      <c r="BE74" s="134">
        <f>SUMPRODUCT(-('Gastos Gerais'!$B$4:$B$3632=Analítico!$B74),-(Analítico!BE$3&gt;='Gastos Gerais'!$D$4:$D$3632),-(Analítico!BE$3&lt;='Gastos Gerais'!$E$4:$E$3632),-('Gastos Gerais'!$C$4:$C$3632))</f>
        <v>600</v>
      </c>
      <c r="BF74" s="134">
        <f>SUMPRODUCT(-('Gastos Gerais'!$B$4:$B$3632=Analítico!$B74),-(Analítico!BF$3&gt;='Gastos Gerais'!$D$4:$D$3632),-(Analítico!BF$3&lt;='Gastos Gerais'!$E$4:$E$3632),-('Gastos Gerais'!$C$4:$C$3632))</f>
        <v>600</v>
      </c>
      <c r="BG74" s="134">
        <f>SUMPRODUCT(-('Gastos Gerais'!$B$4:$B$3632=Analítico!$B74),-(Analítico!BG$3&gt;='Gastos Gerais'!$D$4:$D$3632),-(Analítico!BG$3&lt;='Gastos Gerais'!$E$4:$E$3632),-('Gastos Gerais'!$C$4:$C$3632))</f>
        <v>600</v>
      </c>
      <c r="BH74" s="134">
        <f>SUMPRODUCT(-('Gastos Gerais'!$B$4:$B$3632=Analítico!$B74),-(Analítico!BH$3&gt;='Gastos Gerais'!$D$4:$D$3632),-(Analítico!BH$3&lt;='Gastos Gerais'!$E$4:$E$3632),-('Gastos Gerais'!$C$4:$C$3632))</f>
        <v>600</v>
      </c>
      <c r="BI74" s="134">
        <f>SUMPRODUCT(-('Gastos Gerais'!$B$4:$B$3632=Analítico!$B74),-(Analítico!BI$3&gt;='Gastos Gerais'!$D$4:$D$3632),-(Analítico!BI$3&lt;='Gastos Gerais'!$E$4:$E$3632),-('Gastos Gerais'!$C$4:$C$3632))</f>
        <v>600</v>
      </c>
      <c r="BJ74" s="134">
        <f>SUMPRODUCT(-('Gastos Gerais'!$B$4:$B$3632=Analítico!$B74),-(Analítico!BJ$3&gt;='Gastos Gerais'!$D$4:$D$3632),-(Analítico!BJ$3&lt;='Gastos Gerais'!$E$4:$E$3632),-('Gastos Gerais'!$C$4:$C$3632))</f>
        <v>600</v>
      </c>
      <c r="BK74" s="189">
        <f t="shared" si="37"/>
        <v>35580</v>
      </c>
      <c r="BL74" s="136">
        <f t="shared" ca="1" si="38"/>
        <v>1.063416753360811E-4</v>
      </c>
      <c r="BN74" s="134">
        <f>SUMPRODUCT(-('Gastos Gerais'!$B$4:$B$3632=Analítico!$B74),-(Analítico!BN$3&gt;='Gastos Gerais'!$D$4:$D$3632),-(Analítico!BN$3&lt;='Gastos Gerais'!$E$4:$E$3632),-('Gastos Gerais'!$C$4:$C$3632))</f>
        <v>600</v>
      </c>
    </row>
    <row r="75" spans="1:66" s="160" customFormat="1" ht="23.25" customHeight="1">
      <c r="A75" s="229" t="s">
        <v>227</v>
      </c>
      <c r="B75" s="231" t="s">
        <v>228</v>
      </c>
      <c r="C75" s="188">
        <f t="shared" si="36"/>
        <v>0</v>
      </c>
      <c r="D75" s="134">
        <f>SUMPRODUCT(-('Gastos Gerais'!$B$4:$B$3632=Analítico!$B75),-(Analítico!D$3&gt;='Gastos Gerais'!$D$4:$D$3632),-(Analítico!D$3&lt;='Gastos Gerais'!$E$4:$E$3632),-('Gastos Gerais'!$C$4:$C$3632))</f>
        <v>0</v>
      </c>
      <c r="E75" s="134">
        <f>SUMPRODUCT(-('Gastos Gerais'!$B$4:$B$3632=Analítico!$B75),-(Analítico!E$3&gt;='Gastos Gerais'!$D$4:$D$3632),-(Analítico!E$3&lt;='Gastos Gerais'!$E$4:$E$3632),-('Gastos Gerais'!$C$4:$C$3632))</f>
        <v>0</v>
      </c>
      <c r="F75" s="134">
        <f>SUMPRODUCT(-('Gastos Gerais'!$B$4:$B$3632=Analítico!$B75),-(Analítico!F$3&gt;='Gastos Gerais'!$D$4:$D$3632),-(Analítico!F$3&lt;='Gastos Gerais'!$E$4:$E$3632),-('Gastos Gerais'!$C$4:$C$3632))</f>
        <v>0</v>
      </c>
      <c r="G75" s="134">
        <f>SUMPRODUCT(-('Gastos Gerais'!$B$4:$B$3632=Analítico!$B75),-(Analítico!G$3&gt;='Gastos Gerais'!$D$4:$D$3632),-(Analítico!G$3&lt;='Gastos Gerais'!$E$4:$E$3632),-('Gastos Gerais'!$C$4:$C$3632))</f>
        <v>0</v>
      </c>
      <c r="H75" s="134">
        <f>SUMPRODUCT(-('Gastos Gerais'!$B$4:$B$3632=Analítico!$B75),-(Analítico!H$3&gt;='Gastos Gerais'!$D$4:$D$3632),-(Analítico!H$3&lt;='Gastos Gerais'!$E$4:$E$3632),-('Gastos Gerais'!$C$4:$C$3632))</f>
        <v>0</v>
      </c>
      <c r="I75" s="134">
        <f>SUMPRODUCT(-('Gastos Gerais'!$B$4:$B$3632=Analítico!$B75),-(Analítico!I$3&gt;='Gastos Gerais'!$D$4:$D$3632),-(Analítico!I$3&lt;='Gastos Gerais'!$E$4:$E$3632),-('Gastos Gerais'!$C$4:$C$3632))</f>
        <v>0</v>
      </c>
      <c r="J75" s="134">
        <f>SUMPRODUCT(-('Gastos Gerais'!$B$4:$B$3632=Analítico!$B75),-(Analítico!J$3&gt;='Gastos Gerais'!$D$4:$D$3632),-(Analítico!J$3&lt;='Gastos Gerais'!$E$4:$E$3632),-('Gastos Gerais'!$C$4:$C$3632))</f>
        <v>0</v>
      </c>
      <c r="K75" s="134">
        <f>SUMPRODUCT(-('Gastos Gerais'!$B$4:$B$3632=Analítico!$B75),-(Analítico!K$3&gt;='Gastos Gerais'!$D$4:$D$3632),-(Analítico!K$3&lt;='Gastos Gerais'!$E$4:$E$3632),-('Gastos Gerais'!$C$4:$C$3632))</f>
        <v>0</v>
      </c>
      <c r="L75" s="134">
        <f>SUMPRODUCT(-('Gastos Gerais'!$B$4:$B$3632=Analítico!$B75),-(Analítico!L$3&gt;='Gastos Gerais'!$D$4:$D$3632),-(Analítico!L$3&lt;='Gastos Gerais'!$E$4:$E$3632),-('Gastos Gerais'!$C$4:$C$3632))</f>
        <v>0</v>
      </c>
      <c r="M75" s="134">
        <f>SUMPRODUCT(-('Gastos Gerais'!$B$4:$B$3632=Analítico!$B75),-(Analítico!M$3&gt;='Gastos Gerais'!$D$4:$D$3632),-(Analítico!M$3&lt;='Gastos Gerais'!$E$4:$E$3632),-('Gastos Gerais'!$C$4:$C$3632))</f>
        <v>0</v>
      </c>
      <c r="N75" s="134">
        <f>SUMPRODUCT(-('Gastos Gerais'!$B$4:$B$3632=Analítico!$B75),-(Analítico!N$3&gt;='Gastos Gerais'!$D$4:$D$3632),-(Analítico!N$3&lt;='Gastos Gerais'!$E$4:$E$3632),-('Gastos Gerais'!$C$4:$C$3632))</f>
        <v>0</v>
      </c>
      <c r="O75" s="134">
        <f>SUMPRODUCT(-('Gastos Gerais'!$B$4:$B$3632=Analítico!$B75),-(Analítico!O$3&gt;='Gastos Gerais'!$D$4:$D$3632),-(Analítico!O$3&lt;='Gastos Gerais'!$E$4:$E$3632),-('Gastos Gerais'!$C$4:$C$3632))</f>
        <v>0</v>
      </c>
      <c r="P75" s="134">
        <f>SUMPRODUCT(-('Gastos Gerais'!$B$4:$B$3632=Analítico!$B75),-(Analítico!P$3&gt;='Gastos Gerais'!$D$4:$D$3632),-(Analítico!P$3&lt;='Gastos Gerais'!$E$4:$E$3632),-('Gastos Gerais'!$C$4:$C$3632))</f>
        <v>0</v>
      </c>
      <c r="Q75" s="134">
        <f>SUMPRODUCT(-('Gastos Gerais'!$B$4:$B$3632=Analítico!$B75),-(Analítico!Q$3&gt;='Gastos Gerais'!$D$4:$D$3632),-(Analítico!Q$3&lt;='Gastos Gerais'!$E$4:$E$3632),-('Gastos Gerais'!$C$4:$C$3632))</f>
        <v>0</v>
      </c>
      <c r="R75" s="134">
        <f>SUMPRODUCT(-('Gastos Gerais'!$B$4:$B$3632=Analítico!$B75),-(Analítico!R$3&gt;='Gastos Gerais'!$D$4:$D$3632),-(Analítico!R$3&lt;='Gastos Gerais'!$E$4:$E$3632),-('Gastos Gerais'!$C$4:$C$3632))</f>
        <v>0</v>
      </c>
      <c r="S75" s="134">
        <f>SUMPRODUCT(-('Gastos Gerais'!$B$4:$B$3632=Analítico!$B75),-(Analítico!S$3&gt;='Gastos Gerais'!$D$4:$D$3632),-(Analítico!S$3&lt;='Gastos Gerais'!$E$4:$E$3632),-('Gastos Gerais'!$C$4:$C$3632))</f>
        <v>0</v>
      </c>
      <c r="T75" s="134">
        <f>SUMPRODUCT(-('Gastos Gerais'!$B$4:$B$3632=Analítico!$B75),-(Analítico!T$3&gt;='Gastos Gerais'!$D$4:$D$3632),-(Analítico!T$3&lt;='Gastos Gerais'!$E$4:$E$3632),-('Gastos Gerais'!$C$4:$C$3632))</f>
        <v>0</v>
      </c>
      <c r="U75" s="134">
        <f>SUMPRODUCT(-('Gastos Gerais'!$B$4:$B$3632=Analítico!$B75),-(Analítico!U$3&gt;='Gastos Gerais'!$D$4:$D$3632),-(Analítico!U$3&lt;='Gastos Gerais'!$E$4:$E$3632),-('Gastos Gerais'!$C$4:$C$3632))</f>
        <v>0</v>
      </c>
      <c r="V75" s="134">
        <f>SUMPRODUCT(-('Gastos Gerais'!$B$4:$B$3632=Analítico!$B75),-(Analítico!V$3&gt;='Gastos Gerais'!$D$4:$D$3632),-(Analítico!V$3&lt;='Gastos Gerais'!$E$4:$E$3632),-('Gastos Gerais'!$C$4:$C$3632))</f>
        <v>0</v>
      </c>
      <c r="W75" s="134">
        <f>SUMPRODUCT(-('Gastos Gerais'!$B$4:$B$3632=Analítico!$B75),-(Analítico!W$3&gt;='Gastos Gerais'!$D$4:$D$3632),-(Analítico!W$3&lt;='Gastos Gerais'!$E$4:$E$3632),-('Gastos Gerais'!$C$4:$C$3632))</f>
        <v>0</v>
      </c>
      <c r="X75" s="134">
        <f>SUMPRODUCT(-('Gastos Gerais'!$B$4:$B$3632=Analítico!$B75),-(Analítico!X$3&gt;='Gastos Gerais'!$D$4:$D$3632),-(Analítico!X$3&lt;='Gastos Gerais'!$E$4:$E$3632),-('Gastos Gerais'!$C$4:$C$3632))</f>
        <v>0</v>
      </c>
      <c r="Y75" s="134">
        <f>SUMPRODUCT(-('Gastos Gerais'!$B$4:$B$3632=Analítico!$B75),-(Analítico!Y$3&gt;='Gastos Gerais'!$D$4:$D$3632),-(Analítico!Y$3&lt;='Gastos Gerais'!$E$4:$E$3632),-('Gastos Gerais'!$C$4:$C$3632))</f>
        <v>0</v>
      </c>
      <c r="Z75" s="134">
        <f>SUMPRODUCT(-('Gastos Gerais'!$B$4:$B$3632=Analítico!$B75),-(Analítico!Z$3&gt;='Gastos Gerais'!$D$4:$D$3632),-(Analítico!Z$3&lt;='Gastos Gerais'!$E$4:$E$3632),-('Gastos Gerais'!$C$4:$C$3632))</f>
        <v>0</v>
      </c>
      <c r="AA75" s="134">
        <f>SUMPRODUCT(-('Gastos Gerais'!$B$4:$B$3632=Analítico!$B75),-(Analítico!AA$3&gt;='Gastos Gerais'!$D$4:$D$3632),-(Analítico!AA$3&lt;='Gastos Gerais'!$E$4:$E$3632),-('Gastos Gerais'!$C$4:$C$3632))</f>
        <v>0</v>
      </c>
      <c r="AB75" s="134">
        <f>SUMPRODUCT(-('Gastos Gerais'!$B$4:$B$3632=Analítico!$B75),-(Analítico!AB$3&gt;='Gastos Gerais'!$D$4:$D$3632),-(Analítico!AB$3&lt;='Gastos Gerais'!$E$4:$E$3632),-('Gastos Gerais'!$C$4:$C$3632))</f>
        <v>0</v>
      </c>
      <c r="AC75" s="134">
        <f>SUMPRODUCT(-('Gastos Gerais'!$B$4:$B$3632=Analítico!$B75),-(Analítico!AC$3&gt;='Gastos Gerais'!$D$4:$D$3632),-(Analítico!AC$3&lt;='Gastos Gerais'!$E$4:$E$3632),-('Gastos Gerais'!$C$4:$C$3632))</f>
        <v>0</v>
      </c>
      <c r="AD75" s="134">
        <f>SUMPRODUCT(-('Gastos Gerais'!$B$4:$B$3632=Analítico!$B75),-(Analítico!AD$3&gt;='Gastos Gerais'!$D$4:$D$3632),-(Analítico!AD$3&lt;='Gastos Gerais'!$E$4:$E$3632),-('Gastos Gerais'!$C$4:$C$3632))</f>
        <v>0</v>
      </c>
      <c r="AE75" s="134">
        <f>SUMPRODUCT(-('Gastos Gerais'!$B$4:$B$3632=Analítico!$B75),-(Analítico!AE$3&gt;='Gastos Gerais'!$D$4:$D$3632),-(Analítico!AE$3&lt;='Gastos Gerais'!$E$4:$E$3632),-('Gastos Gerais'!$C$4:$C$3632))</f>
        <v>0</v>
      </c>
      <c r="AF75" s="134">
        <f>SUMPRODUCT(-('Gastos Gerais'!$B$4:$B$3632=Analítico!$B75),-(Analítico!AF$3&gt;='Gastos Gerais'!$D$4:$D$3632),-(Analítico!AF$3&lt;='Gastos Gerais'!$E$4:$E$3632),-('Gastos Gerais'!$C$4:$C$3632))</f>
        <v>0</v>
      </c>
      <c r="AG75" s="134">
        <f>SUMPRODUCT(-('Gastos Gerais'!$B$4:$B$3632=Analítico!$B75),-(Analítico!AG$3&gt;='Gastos Gerais'!$D$4:$D$3632),-(Analítico!AG$3&lt;='Gastos Gerais'!$E$4:$E$3632),-('Gastos Gerais'!$C$4:$C$3632))</f>
        <v>0</v>
      </c>
      <c r="AH75" s="134">
        <f>SUMPRODUCT(-('Gastos Gerais'!$B$4:$B$3632=Analítico!$B75),-(Analítico!AH$3&gt;='Gastos Gerais'!$D$4:$D$3632),-(Analítico!AH$3&lt;='Gastos Gerais'!$E$4:$E$3632),-('Gastos Gerais'!$C$4:$C$3632))</f>
        <v>0</v>
      </c>
      <c r="AI75" s="134">
        <f>SUMPRODUCT(-('Gastos Gerais'!$B$4:$B$3632=Analítico!$B75),-(Analítico!AI$3&gt;='Gastos Gerais'!$D$4:$D$3632),-(Analítico!AI$3&lt;='Gastos Gerais'!$E$4:$E$3632),-('Gastos Gerais'!$C$4:$C$3632))</f>
        <v>0</v>
      </c>
      <c r="AJ75" s="134">
        <f>SUMPRODUCT(-('Gastos Gerais'!$B$4:$B$3632=Analítico!$B75),-(Analítico!AJ$3&gt;='Gastos Gerais'!$D$4:$D$3632),-(Analítico!AJ$3&lt;='Gastos Gerais'!$E$4:$E$3632),-('Gastos Gerais'!$C$4:$C$3632))</f>
        <v>0</v>
      </c>
      <c r="AK75" s="134">
        <f>SUMPRODUCT(-('Gastos Gerais'!$B$4:$B$3632=Analítico!$B75),-(Analítico!AK$3&gt;='Gastos Gerais'!$D$4:$D$3632),-(Analítico!AK$3&lt;='Gastos Gerais'!$E$4:$E$3632),-('Gastos Gerais'!$C$4:$C$3632))</f>
        <v>0</v>
      </c>
      <c r="AL75" s="134">
        <f>SUMPRODUCT(-('Gastos Gerais'!$B$4:$B$3632=Analítico!$B75),-(Analítico!AL$3&gt;='Gastos Gerais'!$D$4:$D$3632),-(Analítico!AL$3&lt;='Gastos Gerais'!$E$4:$E$3632),-('Gastos Gerais'!$C$4:$C$3632))</f>
        <v>0</v>
      </c>
      <c r="AM75" s="134">
        <f>SUMPRODUCT(-('Gastos Gerais'!$B$4:$B$3632=Analítico!$B75),-(Analítico!AM$3&gt;='Gastos Gerais'!$D$4:$D$3632),-(Analítico!AM$3&lt;='Gastos Gerais'!$E$4:$E$3632),-('Gastos Gerais'!$C$4:$C$3632))</f>
        <v>0</v>
      </c>
      <c r="AN75" s="134">
        <f>SUMPRODUCT(-('Gastos Gerais'!$B$4:$B$3632=Analítico!$B75),-(Analítico!AN$3&gt;='Gastos Gerais'!$D$4:$D$3632),-(Analítico!AN$3&lt;='Gastos Gerais'!$E$4:$E$3632),-('Gastos Gerais'!$C$4:$C$3632))</f>
        <v>0</v>
      </c>
      <c r="AO75" s="134">
        <f>SUMPRODUCT(-('Gastos Gerais'!$B$4:$B$3632=Analítico!$B75),-(Analítico!AO$3&gt;='Gastos Gerais'!$D$4:$D$3632),-(Analítico!AO$3&lt;='Gastos Gerais'!$E$4:$E$3632),-('Gastos Gerais'!$C$4:$C$3632))</f>
        <v>0</v>
      </c>
      <c r="AP75" s="134">
        <f>SUMPRODUCT(-('Gastos Gerais'!$B$4:$B$3632=Analítico!$B75),-(Analítico!AP$3&gt;='Gastos Gerais'!$D$4:$D$3632),-(Analítico!AP$3&lt;='Gastos Gerais'!$E$4:$E$3632),-('Gastos Gerais'!$C$4:$C$3632))</f>
        <v>0</v>
      </c>
      <c r="AQ75" s="134">
        <f>SUMPRODUCT(-('Gastos Gerais'!$B$4:$B$3632=Analítico!$B75),-(Analítico!AQ$3&gt;='Gastos Gerais'!$D$4:$D$3632),-(Analítico!AQ$3&lt;='Gastos Gerais'!$E$4:$E$3632),-('Gastos Gerais'!$C$4:$C$3632))</f>
        <v>0</v>
      </c>
      <c r="AR75" s="134">
        <f>SUMPRODUCT(-('Gastos Gerais'!$B$4:$B$3632=Analítico!$B75),-(Analítico!AR$3&gt;='Gastos Gerais'!$D$4:$D$3632),-(Analítico!AR$3&lt;='Gastos Gerais'!$E$4:$E$3632),-('Gastos Gerais'!$C$4:$C$3632))</f>
        <v>0</v>
      </c>
      <c r="AS75" s="134">
        <f>SUMPRODUCT(-('Gastos Gerais'!$B$4:$B$3632=Analítico!$B75),-(Analítico!AS$3&gt;='Gastos Gerais'!$D$4:$D$3632),-(Analítico!AS$3&lt;='Gastos Gerais'!$E$4:$E$3632),-('Gastos Gerais'!$C$4:$C$3632))</f>
        <v>0</v>
      </c>
      <c r="AT75" s="134">
        <f>SUMPRODUCT(-('Gastos Gerais'!$B$4:$B$3632=Analítico!$B75),-(Analítico!AT$3&gt;='Gastos Gerais'!$D$4:$D$3632),-(Analítico!AT$3&lt;='Gastos Gerais'!$E$4:$E$3632),-('Gastos Gerais'!$C$4:$C$3632))</f>
        <v>0</v>
      </c>
      <c r="AU75" s="134">
        <f>SUMPRODUCT(-('Gastos Gerais'!$B$4:$B$3632=Analítico!$B75),-(Analítico!AU$3&gt;='Gastos Gerais'!$D$4:$D$3632),-(Analítico!AU$3&lt;='Gastos Gerais'!$E$4:$E$3632),-('Gastos Gerais'!$C$4:$C$3632))</f>
        <v>0</v>
      </c>
      <c r="AV75" s="134">
        <f>SUMPRODUCT(-('Gastos Gerais'!$B$4:$B$3632=Analítico!$B75),-(Analítico!AV$3&gt;='Gastos Gerais'!$D$4:$D$3632),-(Analítico!AV$3&lt;='Gastos Gerais'!$E$4:$E$3632),-('Gastos Gerais'!$C$4:$C$3632))</f>
        <v>0</v>
      </c>
      <c r="AW75" s="134">
        <f>SUMPRODUCT(-('Gastos Gerais'!$B$4:$B$3632=Analítico!$B75),-(Analítico!AW$3&gt;='Gastos Gerais'!$D$4:$D$3632),-(Analítico!AW$3&lt;='Gastos Gerais'!$E$4:$E$3632),-('Gastos Gerais'!$C$4:$C$3632))</f>
        <v>0</v>
      </c>
      <c r="AX75" s="134">
        <f>SUMPRODUCT(-('Gastos Gerais'!$B$4:$B$3632=Analítico!$B75),-(Analítico!AX$3&gt;='Gastos Gerais'!$D$4:$D$3632),-(Analítico!AX$3&lt;='Gastos Gerais'!$E$4:$E$3632),-('Gastos Gerais'!$C$4:$C$3632))</f>
        <v>0</v>
      </c>
      <c r="AY75" s="134">
        <f>SUMPRODUCT(-('Gastos Gerais'!$B$4:$B$3632=Analítico!$B75),-(Analítico!AY$3&gt;='Gastos Gerais'!$D$4:$D$3632),-(Analítico!AY$3&lt;='Gastos Gerais'!$E$4:$E$3632),-('Gastos Gerais'!$C$4:$C$3632))</f>
        <v>0</v>
      </c>
      <c r="AZ75" s="134">
        <f>SUMPRODUCT(-('Gastos Gerais'!$B$4:$B$3632=Analítico!$B75),-(Analítico!AZ$3&gt;='Gastos Gerais'!$D$4:$D$3632),-(Analítico!AZ$3&lt;='Gastos Gerais'!$E$4:$E$3632),-('Gastos Gerais'!$C$4:$C$3632))</f>
        <v>0</v>
      </c>
      <c r="BA75" s="134">
        <f>SUMPRODUCT(-('Gastos Gerais'!$B$4:$B$3632=Analítico!$B75),-(Analítico!BA$3&gt;='Gastos Gerais'!$D$4:$D$3632),-(Analítico!BA$3&lt;='Gastos Gerais'!$E$4:$E$3632),-('Gastos Gerais'!$C$4:$C$3632))</f>
        <v>0</v>
      </c>
      <c r="BB75" s="134">
        <f>SUMPRODUCT(-('Gastos Gerais'!$B$4:$B$3632=Analítico!$B75),-(Analítico!BB$3&gt;='Gastos Gerais'!$D$4:$D$3632),-(Analítico!BB$3&lt;='Gastos Gerais'!$E$4:$E$3632),-('Gastos Gerais'!$C$4:$C$3632))</f>
        <v>0</v>
      </c>
      <c r="BC75" s="134">
        <f>SUMPRODUCT(-('Gastos Gerais'!$B$4:$B$3632=Analítico!$B75),-(Analítico!BC$3&gt;='Gastos Gerais'!$D$4:$D$3632),-(Analítico!BC$3&lt;='Gastos Gerais'!$E$4:$E$3632),-('Gastos Gerais'!$C$4:$C$3632))</f>
        <v>0</v>
      </c>
      <c r="BD75" s="134">
        <f>SUMPRODUCT(-('Gastos Gerais'!$B$4:$B$3632=Analítico!$B75),-(Analítico!BD$3&gt;='Gastos Gerais'!$D$4:$D$3632),-(Analítico!BD$3&lt;='Gastos Gerais'!$E$4:$E$3632),-('Gastos Gerais'!$C$4:$C$3632))</f>
        <v>0</v>
      </c>
      <c r="BE75" s="134">
        <f>SUMPRODUCT(-('Gastos Gerais'!$B$4:$B$3632=Analítico!$B75),-(Analítico!BE$3&gt;='Gastos Gerais'!$D$4:$D$3632),-(Analítico!BE$3&lt;='Gastos Gerais'!$E$4:$E$3632),-('Gastos Gerais'!$C$4:$C$3632))</f>
        <v>0</v>
      </c>
      <c r="BF75" s="134">
        <f>SUMPRODUCT(-('Gastos Gerais'!$B$4:$B$3632=Analítico!$B75),-(Analítico!BF$3&gt;='Gastos Gerais'!$D$4:$D$3632),-(Analítico!BF$3&lt;='Gastos Gerais'!$E$4:$E$3632),-('Gastos Gerais'!$C$4:$C$3632))</f>
        <v>0</v>
      </c>
      <c r="BG75" s="134">
        <f>SUMPRODUCT(-('Gastos Gerais'!$B$4:$B$3632=Analítico!$B75),-(Analítico!BG$3&gt;='Gastos Gerais'!$D$4:$D$3632),-(Analítico!BG$3&lt;='Gastos Gerais'!$E$4:$E$3632),-('Gastos Gerais'!$C$4:$C$3632))</f>
        <v>0</v>
      </c>
      <c r="BH75" s="134">
        <f>SUMPRODUCT(-('Gastos Gerais'!$B$4:$B$3632=Analítico!$B75),-(Analítico!BH$3&gt;='Gastos Gerais'!$D$4:$D$3632),-(Analítico!BH$3&lt;='Gastos Gerais'!$E$4:$E$3632),-('Gastos Gerais'!$C$4:$C$3632))</f>
        <v>0</v>
      </c>
      <c r="BI75" s="134">
        <f>SUMPRODUCT(-('Gastos Gerais'!$B$4:$B$3632=Analítico!$B75),-(Analítico!BI$3&gt;='Gastos Gerais'!$D$4:$D$3632),-(Analítico!BI$3&lt;='Gastos Gerais'!$E$4:$E$3632),-('Gastos Gerais'!$C$4:$C$3632))</f>
        <v>0</v>
      </c>
      <c r="BJ75" s="134">
        <f>SUMPRODUCT(-('Gastos Gerais'!$B$4:$B$3632=Analítico!$B75),-(Analítico!BJ$3&gt;='Gastos Gerais'!$D$4:$D$3632),-(Analítico!BJ$3&lt;='Gastos Gerais'!$E$4:$E$3632),-('Gastos Gerais'!$C$4:$C$3632))</f>
        <v>0</v>
      </c>
      <c r="BK75" s="189">
        <f t="shared" si="37"/>
        <v>0</v>
      </c>
      <c r="BL75" s="136">
        <f t="shared" ca="1" si="38"/>
        <v>0</v>
      </c>
      <c r="BN75" s="134">
        <f>SUMPRODUCT(-('Gastos Gerais'!$B$4:$B$3632=Analítico!$B75),-(Analítico!BN$3&gt;='Gastos Gerais'!$D$4:$D$3632),-(Analítico!BN$3&lt;='Gastos Gerais'!$E$4:$E$3632),-('Gastos Gerais'!$C$4:$C$3632))</f>
        <v>0</v>
      </c>
    </row>
    <row r="76" spans="1:66" s="160" customFormat="1" ht="23.25" customHeight="1">
      <c r="A76" s="229" t="s">
        <v>229</v>
      </c>
      <c r="B76" s="230" t="s">
        <v>230</v>
      </c>
      <c r="C76" s="188">
        <f t="shared" si="36"/>
        <v>90</v>
      </c>
      <c r="D76" s="134">
        <f>SUMPRODUCT(-('Gastos Gerais'!$B$4:$B$3632=Analítico!$B76),-(Analítico!D$3&gt;='Gastos Gerais'!$D$4:$D$3632),-(Analítico!D$3&lt;='Gastos Gerais'!$E$4:$E$3632),-('Gastos Gerais'!$C$4:$C$3632))</f>
        <v>0</v>
      </c>
      <c r="E76" s="134">
        <f>SUMPRODUCT(-('Gastos Gerais'!$B$4:$B$3632=Analítico!$B76),-(Analítico!E$3&gt;='Gastos Gerais'!$D$4:$D$3632),-(Analítico!E$3&lt;='Gastos Gerais'!$E$4:$E$3632),-('Gastos Gerais'!$C$4:$C$3632))</f>
        <v>0</v>
      </c>
      <c r="F76" s="134">
        <f>SUMPRODUCT(-('Gastos Gerais'!$B$4:$B$3632=Analítico!$B76),-(Analítico!F$3&gt;='Gastos Gerais'!$D$4:$D$3632),-(Analítico!F$3&lt;='Gastos Gerais'!$E$4:$E$3632),-('Gastos Gerais'!$C$4:$C$3632))</f>
        <v>0</v>
      </c>
      <c r="G76" s="134">
        <f>SUMPRODUCT(-('Gastos Gerais'!$B$4:$B$3632=Analítico!$B76),-(Analítico!G$3&gt;='Gastos Gerais'!$D$4:$D$3632),-(Analítico!G$3&lt;='Gastos Gerais'!$E$4:$E$3632),-('Gastos Gerais'!$C$4:$C$3632))</f>
        <v>0</v>
      </c>
      <c r="H76" s="134">
        <f>SUMPRODUCT(-('Gastos Gerais'!$B$4:$B$3632=Analítico!$B76),-(Analítico!H$3&gt;='Gastos Gerais'!$D$4:$D$3632),-(Analítico!H$3&lt;='Gastos Gerais'!$E$4:$E$3632),-('Gastos Gerais'!$C$4:$C$3632))</f>
        <v>0</v>
      </c>
      <c r="I76" s="134">
        <f>SUMPRODUCT(-('Gastos Gerais'!$B$4:$B$3632=Analítico!$B76),-(Analítico!I$3&gt;='Gastos Gerais'!$D$4:$D$3632),-(Analítico!I$3&lt;='Gastos Gerais'!$E$4:$E$3632),-('Gastos Gerais'!$C$4:$C$3632))</f>
        <v>0</v>
      </c>
      <c r="J76" s="134">
        <f>SUMPRODUCT(-('Gastos Gerais'!$B$4:$B$3632=Analítico!$B76),-(Analítico!J$3&gt;='Gastos Gerais'!$D$4:$D$3632),-(Analítico!J$3&lt;='Gastos Gerais'!$E$4:$E$3632),-('Gastos Gerais'!$C$4:$C$3632))</f>
        <v>0</v>
      </c>
      <c r="K76" s="134">
        <f>SUMPRODUCT(-('Gastos Gerais'!$B$4:$B$3632=Analítico!$B76),-(Analítico!K$3&gt;='Gastos Gerais'!$D$4:$D$3632),-(Analítico!K$3&lt;='Gastos Gerais'!$E$4:$E$3632),-('Gastos Gerais'!$C$4:$C$3632))</f>
        <v>0</v>
      </c>
      <c r="L76" s="134">
        <f>SUMPRODUCT(-('Gastos Gerais'!$B$4:$B$3632=Analítico!$B76),-(Analítico!L$3&gt;='Gastos Gerais'!$D$4:$D$3632),-(Analítico!L$3&lt;='Gastos Gerais'!$E$4:$E$3632),-('Gastos Gerais'!$C$4:$C$3632))</f>
        <v>0</v>
      </c>
      <c r="M76" s="134">
        <f>SUMPRODUCT(-('Gastos Gerais'!$B$4:$B$3632=Analítico!$B76),-(Analítico!M$3&gt;='Gastos Gerais'!$D$4:$D$3632),-(Analítico!M$3&lt;='Gastos Gerais'!$E$4:$E$3632),-('Gastos Gerais'!$C$4:$C$3632))</f>
        <v>0</v>
      </c>
      <c r="N76" s="134">
        <f>SUMPRODUCT(-('Gastos Gerais'!$B$4:$B$3632=Analítico!$B76),-(Analítico!N$3&gt;='Gastos Gerais'!$D$4:$D$3632),-(Analítico!N$3&lt;='Gastos Gerais'!$E$4:$E$3632),-('Gastos Gerais'!$C$4:$C$3632))</f>
        <v>0</v>
      </c>
      <c r="O76" s="134">
        <f>SUMPRODUCT(-('Gastos Gerais'!$B$4:$B$3632=Analítico!$B76),-(Analítico!O$3&gt;='Gastos Gerais'!$D$4:$D$3632),-(Analítico!O$3&lt;='Gastos Gerais'!$E$4:$E$3632),-('Gastos Gerais'!$C$4:$C$3632))</f>
        <v>317.52</v>
      </c>
      <c r="P76" s="134">
        <f>SUMPRODUCT(-('Gastos Gerais'!$B$4:$B$3632=Analítico!$B76),-(Analítico!P$3&gt;='Gastos Gerais'!$D$4:$D$3632),-(Analítico!P$3&lt;='Gastos Gerais'!$E$4:$E$3632),-('Gastos Gerais'!$C$4:$C$3632))</f>
        <v>0</v>
      </c>
      <c r="Q76" s="134">
        <f>SUMPRODUCT(-('Gastos Gerais'!$B$4:$B$3632=Analítico!$B76),-(Analítico!Q$3&gt;='Gastos Gerais'!$D$4:$D$3632),-(Analítico!Q$3&lt;='Gastos Gerais'!$E$4:$E$3632),-('Gastos Gerais'!$C$4:$C$3632))</f>
        <v>0</v>
      </c>
      <c r="R76" s="134">
        <f>SUMPRODUCT(-('Gastos Gerais'!$B$4:$B$3632=Analítico!$B76),-(Analítico!R$3&gt;='Gastos Gerais'!$D$4:$D$3632),-(Analítico!R$3&lt;='Gastos Gerais'!$E$4:$E$3632),-('Gastos Gerais'!$C$4:$C$3632))</f>
        <v>0</v>
      </c>
      <c r="S76" s="134">
        <f>SUMPRODUCT(-('Gastos Gerais'!$B$4:$B$3632=Analítico!$B76),-(Analítico!S$3&gt;='Gastos Gerais'!$D$4:$D$3632),-(Analítico!S$3&lt;='Gastos Gerais'!$E$4:$E$3632),-('Gastos Gerais'!$C$4:$C$3632))</f>
        <v>0</v>
      </c>
      <c r="T76" s="134">
        <f>SUMPRODUCT(-('Gastos Gerais'!$B$4:$B$3632=Analítico!$B76),-(Analítico!T$3&gt;='Gastos Gerais'!$D$4:$D$3632),-(Analítico!T$3&lt;='Gastos Gerais'!$E$4:$E$3632),-('Gastos Gerais'!$C$4:$C$3632))</f>
        <v>0</v>
      </c>
      <c r="U76" s="134">
        <f>SUMPRODUCT(-('Gastos Gerais'!$B$4:$B$3632=Analítico!$B76),-(Analítico!U$3&gt;='Gastos Gerais'!$D$4:$D$3632),-(Analítico!U$3&lt;='Gastos Gerais'!$E$4:$E$3632),-('Gastos Gerais'!$C$4:$C$3632))</f>
        <v>0</v>
      </c>
      <c r="V76" s="134">
        <f>SUMPRODUCT(-('Gastos Gerais'!$B$4:$B$3632=Analítico!$B76),-(Analítico!V$3&gt;='Gastos Gerais'!$D$4:$D$3632),-(Analítico!V$3&lt;='Gastos Gerais'!$E$4:$E$3632),-('Gastos Gerais'!$C$4:$C$3632))</f>
        <v>0</v>
      </c>
      <c r="W76" s="134">
        <f>SUMPRODUCT(-('Gastos Gerais'!$B$4:$B$3632=Analítico!$B76),-(Analítico!W$3&gt;='Gastos Gerais'!$D$4:$D$3632),-(Analítico!W$3&lt;='Gastos Gerais'!$E$4:$E$3632),-('Gastos Gerais'!$C$4:$C$3632))</f>
        <v>0</v>
      </c>
      <c r="X76" s="134">
        <f>SUMPRODUCT(-('Gastos Gerais'!$B$4:$B$3632=Analítico!$B76),-(Analítico!X$3&gt;='Gastos Gerais'!$D$4:$D$3632),-(Analítico!X$3&lt;='Gastos Gerais'!$E$4:$E$3632),-('Gastos Gerais'!$C$4:$C$3632))</f>
        <v>0</v>
      </c>
      <c r="Y76" s="134">
        <f>SUMPRODUCT(-('Gastos Gerais'!$B$4:$B$3632=Analítico!$B76),-(Analítico!Y$3&gt;='Gastos Gerais'!$D$4:$D$3632),-(Analítico!Y$3&lt;='Gastos Gerais'!$E$4:$E$3632),-('Gastos Gerais'!$C$4:$C$3632))</f>
        <v>0</v>
      </c>
      <c r="Z76" s="134">
        <f>SUMPRODUCT(-('Gastos Gerais'!$B$4:$B$3632=Analítico!$B76),-(Analítico!Z$3&gt;='Gastos Gerais'!$D$4:$D$3632),-(Analítico!Z$3&lt;='Gastos Gerais'!$E$4:$E$3632),-('Gastos Gerais'!$C$4:$C$3632))</f>
        <v>0</v>
      </c>
      <c r="AA76" s="134">
        <f>SUMPRODUCT(-('Gastos Gerais'!$B$4:$B$3632=Analítico!$B76),-(Analítico!AA$3&gt;='Gastos Gerais'!$D$4:$D$3632),-(Analítico!AA$3&lt;='Gastos Gerais'!$E$4:$E$3632),-('Gastos Gerais'!$C$4:$C$3632))</f>
        <v>336.06</v>
      </c>
      <c r="AB76" s="134">
        <f>SUMPRODUCT(-('Gastos Gerais'!$B$4:$B$3632=Analítico!$B76),-(Analítico!AB$3&gt;='Gastos Gerais'!$D$4:$D$3632),-(Analítico!AB$3&lt;='Gastos Gerais'!$E$4:$E$3632),-('Gastos Gerais'!$C$4:$C$3632))</f>
        <v>0</v>
      </c>
      <c r="AC76" s="134">
        <f>SUMPRODUCT(-('Gastos Gerais'!$B$4:$B$3632=Analítico!$B76),-(Analítico!AC$3&gt;='Gastos Gerais'!$D$4:$D$3632),-(Analítico!AC$3&lt;='Gastos Gerais'!$E$4:$E$3632),-('Gastos Gerais'!$C$4:$C$3632))</f>
        <v>0</v>
      </c>
      <c r="AD76" s="134">
        <f>SUMPRODUCT(-('Gastos Gerais'!$B$4:$B$3632=Analítico!$B76),-(Analítico!AD$3&gt;='Gastos Gerais'!$D$4:$D$3632),-(Analítico!AD$3&lt;='Gastos Gerais'!$E$4:$E$3632),-('Gastos Gerais'!$C$4:$C$3632))</f>
        <v>0</v>
      </c>
      <c r="AE76" s="134">
        <f>SUMPRODUCT(-('Gastos Gerais'!$B$4:$B$3632=Analítico!$B76),-(Analítico!AE$3&gt;='Gastos Gerais'!$D$4:$D$3632),-(Analítico!AE$3&lt;='Gastos Gerais'!$E$4:$E$3632),-('Gastos Gerais'!$C$4:$C$3632))</f>
        <v>0</v>
      </c>
      <c r="AF76" s="134">
        <f>SUMPRODUCT(-('Gastos Gerais'!$B$4:$B$3632=Analítico!$B76),-(Analítico!AF$3&gt;='Gastos Gerais'!$D$4:$D$3632),-(Analítico!AF$3&lt;='Gastos Gerais'!$E$4:$E$3632),-('Gastos Gerais'!$C$4:$C$3632))</f>
        <v>0</v>
      </c>
      <c r="AG76" s="134">
        <f>SUMPRODUCT(-('Gastos Gerais'!$B$4:$B$3632=Analítico!$B76),-(Analítico!AG$3&gt;='Gastos Gerais'!$D$4:$D$3632),-(Analítico!AG$3&lt;='Gastos Gerais'!$E$4:$E$3632),-('Gastos Gerais'!$C$4:$C$3632))</f>
        <v>0</v>
      </c>
      <c r="AH76" s="134">
        <f>SUMPRODUCT(-('Gastos Gerais'!$B$4:$B$3632=Analítico!$B76),-(Analítico!AH$3&gt;='Gastos Gerais'!$D$4:$D$3632),-(Analítico!AH$3&lt;='Gastos Gerais'!$E$4:$E$3632),-('Gastos Gerais'!$C$4:$C$3632))</f>
        <v>0</v>
      </c>
      <c r="AI76" s="134">
        <f>SUMPRODUCT(-('Gastos Gerais'!$B$4:$B$3632=Analítico!$B76),-(Analítico!AI$3&gt;='Gastos Gerais'!$D$4:$D$3632),-(Analítico!AI$3&lt;='Gastos Gerais'!$E$4:$E$3632),-('Gastos Gerais'!$C$4:$C$3632))</f>
        <v>0</v>
      </c>
      <c r="AJ76" s="134">
        <f>SUMPRODUCT(-('Gastos Gerais'!$B$4:$B$3632=Analítico!$B76),-(Analítico!AJ$3&gt;='Gastos Gerais'!$D$4:$D$3632),-(Analítico!AJ$3&lt;='Gastos Gerais'!$E$4:$E$3632),-('Gastos Gerais'!$C$4:$C$3632))</f>
        <v>0</v>
      </c>
      <c r="AK76" s="134">
        <f>SUMPRODUCT(-('Gastos Gerais'!$B$4:$B$3632=Analítico!$B76),-(Analítico!AK$3&gt;='Gastos Gerais'!$D$4:$D$3632),-(Analítico!AK$3&lt;='Gastos Gerais'!$E$4:$E$3632),-('Gastos Gerais'!$C$4:$C$3632))</f>
        <v>0</v>
      </c>
      <c r="AL76" s="134">
        <f>SUMPRODUCT(-('Gastos Gerais'!$B$4:$B$3632=Analítico!$B76),-(Analítico!AL$3&gt;='Gastos Gerais'!$D$4:$D$3632),-(Analítico!AL$3&lt;='Gastos Gerais'!$E$4:$E$3632),-('Gastos Gerais'!$C$4:$C$3632))</f>
        <v>0</v>
      </c>
      <c r="AM76" s="134">
        <f>SUMPRODUCT(-('Gastos Gerais'!$B$4:$B$3632=Analítico!$B76),-(Analítico!AM$3&gt;='Gastos Gerais'!$D$4:$D$3632),-(Analítico!AM$3&lt;='Gastos Gerais'!$E$4:$E$3632),-('Gastos Gerais'!$C$4:$C$3632))</f>
        <v>355.69</v>
      </c>
      <c r="AN76" s="134">
        <f>SUMPRODUCT(-('Gastos Gerais'!$B$4:$B$3632=Analítico!$B76),-(Analítico!AN$3&gt;='Gastos Gerais'!$D$4:$D$3632),-(Analítico!AN$3&lt;='Gastos Gerais'!$E$4:$E$3632),-('Gastos Gerais'!$C$4:$C$3632))</f>
        <v>0</v>
      </c>
      <c r="AO76" s="134">
        <f>SUMPRODUCT(-('Gastos Gerais'!$B$4:$B$3632=Analítico!$B76),-(Analítico!AO$3&gt;='Gastos Gerais'!$D$4:$D$3632),-(Analítico!AO$3&lt;='Gastos Gerais'!$E$4:$E$3632),-('Gastos Gerais'!$C$4:$C$3632))</f>
        <v>0</v>
      </c>
      <c r="AP76" s="134">
        <f>SUMPRODUCT(-('Gastos Gerais'!$B$4:$B$3632=Analítico!$B76),-(Analítico!AP$3&gt;='Gastos Gerais'!$D$4:$D$3632),-(Analítico!AP$3&lt;='Gastos Gerais'!$E$4:$E$3632),-('Gastos Gerais'!$C$4:$C$3632))</f>
        <v>0</v>
      </c>
      <c r="AQ76" s="134">
        <f>SUMPRODUCT(-('Gastos Gerais'!$B$4:$B$3632=Analítico!$B76),-(Analítico!AQ$3&gt;='Gastos Gerais'!$D$4:$D$3632),-(Analítico!AQ$3&lt;='Gastos Gerais'!$E$4:$E$3632),-('Gastos Gerais'!$C$4:$C$3632))</f>
        <v>0</v>
      </c>
      <c r="AR76" s="134">
        <f>SUMPRODUCT(-('Gastos Gerais'!$B$4:$B$3632=Analítico!$B76),-(Analítico!AR$3&gt;='Gastos Gerais'!$D$4:$D$3632),-(Analítico!AR$3&lt;='Gastos Gerais'!$E$4:$E$3632),-('Gastos Gerais'!$C$4:$C$3632))</f>
        <v>0</v>
      </c>
      <c r="AS76" s="134">
        <f>SUMPRODUCT(-('Gastos Gerais'!$B$4:$B$3632=Analítico!$B76),-(Analítico!AS$3&gt;='Gastos Gerais'!$D$4:$D$3632),-(Analítico!AS$3&lt;='Gastos Gerais'!$E$4:$E$3632),-('Gastos Gerais'!$C$4:$C$3632))</f>
        <v>0</v>
      </c>
      <c r="AT76" s="134">
        <f>SUMPRODUCT(-('Gastos Gerais'!$B$4:$B$3632=Analítico!$B76),-(Analítico!AT$3&gt;='Gastos Gerais'!$D$4:$D$3632),-(Analítico!AT$3&lt;='Gastos Gerais'!$E$4:$E$3632),-('Gastos Gerais'!$C$4:$C$3632))</f>
        <v>0</v>
      </c>
      <c r="AU76" s="134">
        <f>SUMPRODUCT(-('Gastos Gerais'!$B$4:$B$3632=Analítico!$B76),-(Analítico!AU$3&gt;='Gastos Gerais'!$D$4:$D$3632),-(Analítico!AU$3&lt;='Gastos Gerais'!$E$4:$E$3632),-('Gastos Gerais'!$C$4:$C$3632))</f>
        <v>0</v>
      </c>
      <c r="AV76" s="134">
        <f>SUMPRODUCT(-('Gastos Gerais'!$B$4:$B$3632=Analítico!$B76),-(Analítico!AV$3&gt;='Gastos Gerais'!$D$4:$D$3632),-(Analítico!AV$3&lt;='Gastos Gerais'!$E$4:$E$3632),-('Gastos Gerais'!$C$4:$C$3632))</f>
        <v>0</v>
      </c>
      <c r="AW76" s="134">
        <f>SUMPRODUCT(-('Gastos Gerais'!$B$4:$B$3632=Analítico!$B76),-(Analítico!AW$3&gt;='Gastos Gerais'!$D$4:$D$3632),-(Analítico!AW$3&lt;='Gastos Gerais'!$E$4:$E$3632),-('Gastos Gerais'!$C$4:$C$3632))</f>
        <v>0</v>
      </c>
      <c r="AX76" s="134">
        <f>SUMPRODUCT(-('Gastos Gerais'!$B$4:$B$3632=Analítico!$B76),-(Analítico!AX$3&gt;='Gastos Gerais'!$D$4:$D$3632),-(Analítico!AX$3&lt;='Gastos Gerais'!$E$4:$E$3632),-('Gastos Gerais'!$C$4:$C$3632))</f>
        <v>0</v>
      </c>
      <c r="AY76" s="134">
        <f>SUMPRODUCT(-('Gastos Gerais'!$B$4:$B$3632=Analítico!$B76),-(Analítico!AY$3&gt;='Gastos Gerais'!$D$4:$D$3632),-(Analítico!AY$3&lt;='Gastos Gerais'!$E$4:$E$3632),-('Gastos Gerais'!$C$4:$C$3632))</f>
        <v>376.46</v>
      </c>
      <c r="AZ76" s="134">
        <f>SUMPRODUCT(-('Gastos Gerais'!$B$4:$B$3632=Analítico!$B76),-(Analítico!AZ$3&gt;='Gastos Gerais'!$D$4:$D$3632),-(Analítico!AZ$3&lt;='Gastos Gerais'!$E$4:$E$3632),-('Gastos Gerais'!$C$4:$C$3632))</f>
        <v>0</v>
      </c>
      <c r="BA76" s="134">
        <f>SUMPRODUCT(-('Gastos Gerais'!$B$4:$B$3632=Analítico!$B76),-(Analítico!BA$3&gt;='Gastos Gerais'!$D$4:$D$3632),-(Analítico!BA$3&lt;='Gastos Gerais'!$E$4:$E$3632),-('Gastos Gerais'!$C$4:$C$3632))</f>
        <v>0</v>
      </c>
      <c r="BB76" s="134">
        <f>SUMPRODUCT(-('Gastos Gerais'!$B$4:$B$3632=Analítico!$B76),-(Analítico!BB$3&gt;='Gastos Gerais'!$D$4:$D$3632),-(Analítico!BB$3&lt;='Gastos Gerais'!$E$4:$E$3632),-('Gastos Gerais'!$C$4:$C$3632))</f>
        <v>0</v>
      </c>
      <c r="BC76" s="134">
        <f>SUMPRODUCT(-('Gastos Gerais'!$B$4:$B$3632=Analítico!$B76),-(Analítico!BC$3&gt;='Gastos Gerais'!$D$4:$D$3632),-(Analítico!BC$3&lt;='Gastos Gerais'!$E$4:$E$3632),-('Gastos Gerais'!$C$4:$C$3632))</f>
        <v>0</v>
      </c>
      <c r="BD76" s="134">
        <f>SUMPRODUCT(-('Gastos Gerais'!$B$4:$B$3632=Analítico!$B76),-(Analítico!BD$3&gt;='Gastos Gerais'!$D$4:$D$3632),-(Analítico!BD$3&lt;='Gastos Gerais'!$E$4:$E$3632),-('Gastos Gerais'!$C$4:$C$3632))</f>
        <v>0</v>
      </c>
      <c r="BE76" s="134">
        <f>SUMPRODUCT(-('Gastos Gerais'!$B$4:$B$3632=Analítico!$B76),-(Analítico!BE$3&gt;='Gastos Gerais'!$D$4:$D$3632),-(Analítico!BE$3&lt;='Gastos Gerais'!$E$4:$E$3632),-('Gastos Gerais'!$C$4:$C$3632))</f>
        <v>0</v>
      </c>
      <c r="BF76" s="134">
        <f>SUMPRODUCT(-('Gastos Gerais'!$B$4:$B$3632=Analítico!$B76),-(Analítico!BF$3&gt;='Gastos Gerais'!$D$4:$D$3632),-(Analítico!BF$3&lt;='Gastos Gerais'!$E$4:$E$3632),-('Gastos Gerais'!$C$4:$C$3632))</f>
        <v>0</v>
      </c>
      <c r="BG76" s="134">
        <f>SUMPRODUCT(-('Gastos Gerais'!$B$4:$B$3632=Analítico!$B76),-(Analítico!BG$3&gt;='Gastos Gerais'!$D$4:$D$3632),-(Analítico!BG$3&lt;='Gastos Gerais'!$E$4:$E$3632),-('Gastos Gerais'!$C$4:$C$3632))</f>
        <v>0</v>
      </c>
      <c r="BH76" s="134">
        <f>SUMPRODUCT(-('Gastos Gerais'!$B$4:$B$3632=Analítico!$B76),-(Analítico!BH$3&gt;='Gastos Gerais'!$D$4:$D$3632),-(Analítico!BH$3&lt;='Gastos Gerais'!$E$4:$E$3632),-('Gastos Gerais'!$C$4:$C$3632))</f>
        <v>0</v>
      </c>
      <c r="BI76" s="134">
        <f>SUMPRODUCT(-('Gastos Gerais'!$B$4:$B$3632=Analítico!$B76),-(Analítico!BI$3&gt;='Gastos Gerais'!$D$4:$D$3632),-(Analítico!BI$3&lt;='Gastos Gerais'!$E$4:$E$3632),-('Gastos Gerais'!$C$4:$C$3632))</f>
        <v>398.44</v>
      </c>
      <c r="BJ76" s="134">
        <f>SUMPRODUCT(-('Gastos Gerais'!$B$4:$B$3632=Analítico!$B76),-(Analítico!BJ$3&gt;='Gastos Gerais'!$D$4:$D$3632),-(Analítico!BJ$3&lt;='Gastos Gerais'!$E$4:$E$3632),-('Gastos Gerais'!$C$4:$C$3632))</f>
        <v>398.44</v>
      </c>
      <c r="BK76" s="189">
        <f t="shared" si="37"/>
        <v>2272.61</v>
      </c>
      <c r="BL76" s="136">
        <f t="shared" ca="1" si="38"/>
        <v>6.7923877117912113E-6</v>
      </c>
      <c r="BN76" s="134">
        <f>SUMPRODUCT(-('Gastos Gerais'!$B$4:$B$3632=Analítico!$B76),-(Analítico!BN$3&gt;='Gastos Gerais'!$D$4:$D$3632),-(Analítico!BN$3&lt;='Gastos Gerais'!$E$4:$E$3632),-('Gastos Gerais'!$C$4:$C$3632))</f>
        <v>300</v>
      </c>
    </row>
    <row r="77" spans="1:66" s="160" customFormat="1" ht="23.25" customHeight="1">
      <c r="A77" s="229" t="s">
        <v>231</v>
      </c>
      <c r="B77" s="230" t="s">
        <v>232</v>
      </c>
      <c r="C77" s="188">
        <f t="shared" si="36"/>
        <v>0</v>
      </c>
      <c r="D77" s="134">
        <f>SUMPRODUCT(-('Gastos Gerais'!$B$4:$B$3632=Analítico!$B77),-(Analítico!D$3&gt;='Gastos Gerais'!$D$4:$D$3632),-(Analítico!D$3&lt;='Gastos Gerais'!$E$4:$E$3632),-('Gastos Gerais'!$C$4:$C$3632))</f>
        <v>0</v>
      </c>
      <c r="E77" s="134">
        <f>SUMPRODUCT(-('Gastos Gerais'!$B$4:$B$3632=Analítico!$B77),-(Analítico!E$3&gt;='Gastos Gerais'!$D$4:$D$3632),-(Analítico!E$3&lt;='Gastos Gerais'!$E$4:$E$3632),-('Gastos Gerais'!$C$4:$C$3632))</f>
        <v>0</v>
      </c>
      <c r="F77" s="134">
        <f>SUMPRODUCT(-('Gastos Gerais'!$B$4:$B$3632=Analítico!$B77),-(Analítico!F$3&gt;='Gastos Gerais'!$D$4:$D$3632),-(Analítico!F$3&lt;='Gastos Gerais'!$E$4:$E$3632),-('Gastos Gerais'!$C$4:$C$3632))</f>
        <v>0</v>
      </c>
      <c r="G77" s="134">
        <f>SUMPRODUCT(-('Gastos Gerais'!$B$4:$B$3632=Analítico!$B77),-(Analítico!G$3&gt;='Gastos Gerais'!$D$4:$D$3632),-(Analítico!G$3&lt;='Gastos Gerais'!$E$4:$E$3632),-('Gastos Gerais'!$C$4:$C$3632))</f>
        <v>0</v>
      </c>
      <c r="H77" s="134">
        <f>SUMPRODUCT(-('Gastos Gerais'!$B$4:$B$3632=Analítico!$B77),-(Analítico!H$3&gt;='Gastos Gerais'!$D$4:$D$3632),-(Analítico!H$3&lt;='Gastos Gerais'!$E$4:$E$3632),-('Gastos Gerais'!$C$4:$C$3632))</f>
        <v>0</v>
      </c>
      <c r="I77" s="134">
        <f>SUMPRODUCT(-('Gastos Gerais'!$B$4:$B$3632=Analítico!$B77),-(Analítico!I$3&gt;='Gastos Gerais'!$D$4:$D$3632),-(Analítico!I$3&lt;='Gastos Gerais'!$E$4:$E$3632),-('Gastos Gerais'!$C$4:$C$3632))</f>
        <v>0</v>
      </c>
      <c r="J77" s="134">
        <f>SUMPRODUCT(-('Gastos Gerais'!$B$4:$B$3632=Analítico!$B77),-(Analítico!J$3&gt;='Gastos Gerais'!$D$4:$D$3632),-(Analítico!J$3&lt;='Gastos Gerais'!$E$4:$E$3632),-('Gastos Gerais'!$C$4:$C$3632))</f>
        <v>0</v>
      </c>
      <c r="K77" s="134">
        <f>SUMPRODUCT(-('Gastos Gerais'!$B$4:$B$3632=Analítico!$B77),-(Analítico!K$3&gt;='Gastos Gerais'!$D$4:$D$3632),-(Analítico!K$3&lt;='Gastos Gerais'!$E$4:$E$3632),-('Gastos Gerais'!$C$4:$C$3632))</f>
        <v>0</v>
      </c>
      <c r="L77" s="134">
        <f>SUMPRODUCT(-('Gastos Gerais'!$B$4:$B$3632=Analítico!$B77),-(Analítico!L$3&gt;='Gastos Gerais'!$D$4:$D$3632),-(Analítico!L$3&lt;='Gastos Gerais'!$E$4:$E$3632),-('Gastos Gerais'!$C$4:$C$3632))</f>
        <v>0</v>
      </c>
      <c r="M77" s="134">
        <f>SUMPRODUCT(-('Gastos Gerais'!$B$4:$B$3632=Analítico!$B77),-(Analítico!M$3&gt;='Gastos Gerais'!$D$4:$D$3632),-(Analítico!M$3&lt;='Gastos Gerais'!$E$4:$E$3632),-('Gastos Gerais'!$C$4:$C$3632))</f>
        <v>0</v>
      </c>
      <c r="N77" s="134">
        <f>SUMPRODUCT(-('Gastos Gerais'!$B$4:$B$3632=Analítico!$B77),-(Analítico!N$3&gt;='Gastos Gerais'!$D$4:$D$3632),-(Analítico!N$3&lt;='Gastos Gerais'!$E$4:$E$3632),-('Gastos Gerais'!$C$4:$C$3632))</f>
        <v>0</v>
      </c>
      <c r="O77" s="134">
        <f>SUMPRODUCT(-('Gastos Gerais'!$B$4:$B$3632=Analítico!$B77),-(Analítico!O$3&gt;='Gastos Gerais'!$D$4:$D$3632),-(Analítico!O$3&lt;='Gastos Gerais'!$E$4:$E$3632),-('Gastos Gerais'!$C$4:$C$3632))</f>
        <v>0</v>
      </c>
      <c r="P77" s="134">
        <f>SUMPRODUCT(-('Gastos Gerais'!$B$4:$B$3632=Analítico!$B77),-(Analítico!P$3&gt;='Gastos Gerais'!$D$4:$D$3632),-(Analítico!P$3&lt;='Gastos Gerais'!$E$4:$E$3632),-('Gastos Gerais'!$C$4:$C$3632))</f>
        <v>0</v>
      </c>
      <c r="Q77" s="134">
        <f>SUMPRODUCT(-('Gastos Gerais'!$B$4:$B$3632=Analítico!$B77),-(Analítico!Q$3&gt;='Gastos Gerais'!$D$4:$D$3632),-(Analítico!Q$3&lt;='Gastos Gerais'!$E$4:$E$3632),-('Gastos Gerais'!$C$4:$C$3632))</f>
        <v>0</v>
      </c>
      <c r="R77" s="134">
        <f>SUMPRODUCT(-('Gastos Gerais'!$B$4:$B$3632=Analítico!$B77),-(Analítico!R$3&gt;='Gastos Gerais'!$D$4:$D$3632),-(Analítico!R$3&lt;='Gastos Gerais'!$E$4:$E$3632),-('Gastos Gerais'!$C$4:$C$3632))</f>
        <v>0</v>
      </c>
      <c r="S77" s="134">
        <f>SUMPRODUCT(-('Gastos Gerais'!$B$4:$B$3632=Analítico!$B77),-(Analítico!S$3&gt;='Gastos Gerais'!$D$4:$D$3632),-(Analítico!S$3&lt;='Gastos Gerais'!$E$4:$E$3632),-('Gastos Gerais'!$C$4:$C$3632))</f>
        <v>0</v>
      </c>
      <c r="T77" s="134">
        <f>SUMPRODUCT(-('Gastos Gerais'!$B$4:$B$3632=Analítico!$B77),-(Analítico!T$3&gt;='Gastos Gerais'!$D$4:$D$3632),-(Analítico!T$3&lt;='Gastos Gerais'!$E$4:$E$3632),-('Gastos Gerais'!$C$4:$C$3632))</f>
        <v>0</v>
      </c>
      <c r="U77" s="134">
        <f>SUMPRODUCT(-('Gastos Gerais'!$B$4:$B$3632=Analítico!$B77),-(Analítico!U$3&gt;='Gastos Gerais'!$D$4:$D$3632),-(Analítico!U$3&lt;='Gastos Gerais'!$E$4:$E$3632),-('Gastos Gerais'!$C$4:$C$3632))</f>
        <v>0</v>
      </c>
      <c r="V77" s="134">
        <f>SUMPRODUCT(-('Gastos Gerais'!$B$4:$B$3632=Analítico!$B77),-(Analítico!V$3&gt;='Gastos Gerais'!$D$4:$D$3632),-(Analítico!V$3&lt;='Gastos Gerais'!$E$4:$E$3632),-('Gastos Gerais'!$C$4:$C$3632))</f>
        <v>0</v>
      </c>
      <c r="W77" s="134">
        <f>SUMPRODUCT(-('Gastos Gerais'!$B$4:$B$3632=Analítico!$B77),-(Analítico!W$3&gt;='Gastos Gerais'!$D$4:$D$3632),-(Analítico!W$3&lt;='Gastos Gerais'!$E$4:$E$3632),-('Gastos Gerais'!$C$4:$C$3632))</f>
        <v>0</v>
      </c>
      <c r="X77" s="134">
        <f>SUMPRODUCT(-('Gastos Gerais'!$B$4:$B$3632=Analítico!$B77),-(Analítico!X$3&gt;='Gastos Gerais'!$D$4:$D$3632),-(Analítico!X$3&lt;='Gastos Gerais'!$E$4:$E$3632),-('Gastos Gerais'!$C$4:$C$3632))</f>
        <v>0</v>
      </c>
      <c r="Y77" s="134">
        <f>SUMPRODUCT(-('Gastos Gerais'!$B$4:$B$3632=Analítico!$B77),-(Analítico!Y$3&gt;='Gastos Gerais'!$D$4:$D$3632),-(Analítico!Y$3&lt;='Gastos Gerais'!$E$4:$E$3632),-('Gastos Gerais'!$C$4:$C$3632))</f>
        <v>0</v>
      </c>
      <c r="Z77" s="134">
        <f>SUMPRODUCT(-('Gastos Gerais'!$B$4:$B$3632=Analítico!$B77),-(Analítico!Z$3&gt;='Gastos Gerais'!$D$4:$D$3632),-(Analítico!Z$3&lt;='Gastos Gerais'!$E$4:$E$3632),-('Gastos Gerais'!$C$4:$C$3632))</f>
        <v>0</v>
      </c>
      <c r="AA77" s="134">
        <f>SUMPRODUCT(-('Gastos Gerais'!$B$4:$B$3632=Analítico!$B77),-(Analítico!AA$3&gt;='Gastos Gerais'!$D$4:$D$3632),-(Analítico!AA$3&lt;='Gastos Gerais'!$E$4:$E$3632),-('Gastos Gerais'!$C$4:$C$3632))</f>
        <v>0</v>
      </c>
      <c r="AB77" s="134">
        <f>SUMPRODUCT(-('Gastos Gerais'!$B$4:$B$3632=Analítico!$B77),-(Analítico!AB$3&gt;='Gastos Gerais'!$D$4:$D$3632),-(Analítico!AB$3&lt;='Gastos Gerais'!$E$4:$E$3632),-('Gastos Gerais'!$C$4:$C$3632))</f>
        <v>0</v>
      </c>
      <c r="AC77" s="134">
        <f>SUMPRODUCT(-('Gastos Gerais'!$B$4:$B$3632=Analítico!$B77),-(Analítico!AC$3&gt;='Gastos Gerais'!$D$4:$D$3632),-(Analítico!AC$3&lt;='Gastos Gerais'!$E$4:$E$3632),-('Gastos Gerais'!$C$4:$C$3632))</f>
        <v>0</v>
      </c>
      <c r="AD77" s="134">
        <f>SUMPRODUCT(-('Gastos Gerais'!$B$4:$B$3632=Analítico!$B77),-(Analítico!AD$3&gt;='Gastos Gerais'!$D$4:$D$3632),-(Analítico!AD$3&lt;='Gastos Gerais'!$E$4:$E$3632),-('Gastos Gerais'!$C$4:$C$3632))</f>
        <v>0</v>
      </c>
      <c r="AE77" s="134">
        <f>SUMPRODUCT(-('Gastos Gerais'!$B$4:$B$3632=Analítico!$B77),-(Analítico!AE$3&gt;='Gastos Gerais'!$D$4:$D$3632),-(Analítico!AE$3&lt;='Gastos Gerais'!$E$4:$E$3632),-('Gastos Gerais'!$C$4:$C$3632))</f>
        <v>0</v>
      </c>
      <c r="AF77" s="134">
        <f>SUMPRODUCT(-('Gastos Gerais'!$B$4:$B$3632=Analítico!$B77),-(Analítico!AF$3&gt;='Gastos Gerais'!$D$4:$D$3632),-(Analítico!AF$3&lt;='Gastos Gerais'!$E$4:$E$3632),-('Gastos Gerais'!$C$4:$C$3632))</f>
        <v>0</v>
      </c>
      <c r="AG77" s="134">
        <f>SUMPRODUCT(-('Gastos Gerais'!$B$4:$B$3632=Analítico!$B77),-(Analítico!AG$3&gt;='Gastos Gerais'!$D$4:$D$3632),-(Analítico!AG$3&lt;='Gastos Gerais'!$E$4:$E$3632),-('Gastos Gerais'!$C$4:$C$3632))</f>
        <v>0</v>
      </c>
      <c r="AH77" s="134">
        <f>SUMPRODUCT(-('Gastos Gerais'!$B$4:$B$3632=Analítico!$B77),-(Analítico!AH$3&gt;='Gastos Gerais'!$D$4:$D$3632),-(Analítico!AH$3&lt;='Gastos Gerais'!$E$4:$E$3632),-('Gastos Gerais'!$C$4:$C$3632))</f>
        <v>0</v>
      </c>
      <c r="AI77" s="134">
        <f>SUMPRODUCT(-('Gastos Gerais'!$B$4:$B$3632=Analítico!$B77),-(Analítico!AI$3&gt;='Gastos Gerais'!$D$4:$D$3632),-(Analítico!AI$3&lt;='Gastos Gerais'!$E$4:$E$3632),-('Gastos Gerais'!$C$4:$C$3632))</f>
        <v>0</v>
      </c>
      <c r="AJ77" s="134">
        <f>SUMPRODUCT(-('Gastos Gerais'!$B$4:$B$3632=Analítico!$B77),-(Analítico!AJ$3&gt;='Gastos Gerais'!$D$4:$D$3632),-(Analítico!AJ$3&lt;='Gastos Gerais'!$E$4:$E$3632),-('Gastos Gerais'!$C$4:$C$3632))</f>
        <v>0</v>
      </c>
      <c r="AK77" s="134">
        <f>SUMPRODUCT(-('Gastos Gerais'!$B$4:$B$3632=Analítico!$B77),-(Analítico!AK$3&gt;='Gastos Gerais'!$D$4:$D$3632),-(Analítico!AK$3&lt;='Gastos Gerais'!$E$4:$E$3632),-('Gastos Gerais'!$C$4:$C$3632))</f>
        <v>0</v>
      </c>
      <c r="AL77" s="134">
        <f>SUMPRODUCT(-('Gastos Gerais'!$B$4:$B$3632=Analítico!$B77),-(Analítico!AL$3&gt;='Gastos Gerais'!$D$4:$D$3632),-(Analítico!AL$3&lt;='Gastos Gerais'!$E$4:$E$3632),-('Gastos Gerais'!$C$4:$C$3632))</f>
        <v>0</v>
      </c>
      <c r="AM77" s="134">
        <f>SUMPRODUCT(-('Gastos Gerais'!$B$4:$B$3632=Analítico!$B77),-(Analítico!AM$3&gt;='Gastos Gerais'!$D$4:$D$3632),-(Analítico!AM$3&lt;='Gastos Gerais'!$E$4:$E$3632),-('Gastos Gerais'!$C$4:$C$3632))</f>
        <v>0</v>
      </c>
      <c r="AN77" s="134">
        <f>SUMPRODUCT(-('Gastos Gerais'!$B$4:$B$3632=Analítico!$B77),-(Analítico!AN$3&gt;='Gastos Gerais'!$D$4:$D$3632),-(Analítico!AN$3&lt;='Gastos Gerais'!$E$4:$E$3632),-('Gastos Gerais'!$C$4:$C$3632))</f>
        <v>0</v>
      </c>
      <c r="AO77" s="134">
        <f>SUMPRODUCT(-('Gastos Gerais'!$B$4:$B$3632=Analítico!$B77),-(Analítico!AO$3&gt;='Gastos Gerais'!$D$4:$D$3632),-(Analítico!AO$3&lt;='Gastos Gerais'!$E$4:$E$3632),-('Gastos Gerais'!$C$4:$C$3632))</f>
        <v>0</v>
      </c>
      <c r="AP77" s="134">
        <f>SUMPRODUCT(-('Gastos Gerais'!$B$4:$B$3632=Analítico!$B77),-(Analítico!AP$3&gt;='Gastos Gerais'!$D$4:$D$3632),-(Analítico!AP$3&lt;='Gastos Gerais'!$E$4:$E$3632),-('Gastos Gerais'!$C$4:$C$3632))</f>
        <v>0</v>
      </c>
      <c r="AQ77" s="134">
        <f>SUMPRODUCT(-('Gastos Gerais'!$B$4:$B$3632=Analítico!$B77),-(Analítico!AQ$3&gt;='Gastos Gerais'!$D$4:$D$3632),-(Analítico!AQ$3&lt;='Gastos Gerais'!$E$4:$E$3632),-('Gastos Gerais'!$C$4:$C$3632))</f>
        <v>0</v>
      </c>
      <c r="AR77" s="134">
        <f>SUMPRODUCT(-('Gastos Gerais'!$B$4:$B$3632=Analítico!$B77),-(Analítico!AR$3&gt;='Gastos Gerais'!$D$4:$D$3632),-(Analítico!AR$3&lt;='Gastos Gerais'!$E$4:$E$3632),-('Gastos Gerais'!$C$4:$C$3632))</f>
        <v>0</v>
      </c>
      <c r="AS77" s="134">
        <f>SUMPRODUCT(-('Gastos Gerais'!$B$4:$B$3632=Analítico!$B77),-(Analítico!AS$3&gt;='Gastos Gerais'!$D$4:$D$3632),-(Analítico!AS$3&lt;='Gastos Gerais'!$E$4:$E$3632),-('Gastos Gerais'!$C$4:$C$3632))</f>
        <v>0</v>
      </c>
      <c r="AT77" s="134">
        <f>SUMPRODUCT(-('Gastos Gerais'!$B$4:$B$3632=Analítico!$B77),-(Analítico!AT$3&gt;='Gastos Gerais'!$D$4:$D$3632),-(Analítico!AT$3&lt;='Gastos Gerais'!$E$4:$E$3632),-('Gastos Gerais'!$C$4:$C$3632))</f>
        <v>0</v>
      </c>
      <c r="AU77" s="134">
        <f>SUMPRODUCT(-('Gastos Gerais'!$B$4:$B$3632=Analítico!$B77),-(Analítico!AU$3&gt;='Gastos Gerais'!$D$4:$D$3632),-(Analítico!AU$3&lt;='Gastos Gerais'!$E$4:$E$3632),-('Gastos Gerais'!$C$4:$C$3632))</f>
        <v>0</v>
      </c>
      <c r="AV77" s="134">
        <f>SUMPRODUCT(-('Gastos Gerais'!$B$4:$B$3632=Analítico!$B77),-(Analítico!AV$3&gt;='Gastos Gerais'!$D$4:$D$3632),-(Analítico!AV$3&lt;='Gastos Gerais'!$E$4:$E$3632),-('Gastos Gerais'!$C$4:$C$3632))</f>
        <v>0</v>
      </c>
      <c r="AW77" s="134">
        <f>SUMPRODUCT(-('Gastos Gerais'!$B$4:$B$3632=Analítico!$B77),-(Analítico!AW$3&gt;='Gastos Gerais'!$D$4:$D$3632),-(Analítico!AW$3&lt;='Gastos Gerais'!$E$4:$E$3632),-('Gastos Gerais'!$C$4:$C$3632))</f>
        <v>0</v>
      </c>
      <c r="AX77" s="134">
        <f>SUMPRODUCT(-('Gastos Gerais'!$B$4:$B$3632=Analítico!$B77),-(Analítico!AX$3&gt;='Gastos Gerais'!$D$4:$D$3632),-(Analítico!AX$3&lt;='Gastos Gerais'!$E$4:$E$3632),-('Gastos Gerais'!$C$4:$C$3632))</f>
        <v>0</v>
      </c>
      <c r="AY77" s="134">
        <f>SUMPRODUCT(-('Gastos Gerais'!$B$4:$B$3632=Analítico!$B77),-(Analítico!AY$3&gt;='Gastos Gerais'!$D$4:$D$3632),-(Analítico!AY$3&lt;='Gastos Gerais'!$E$4:$E$3632),-('Gastos Gerais'!$C$4:$C$3632))</f>
        <v>0</v>
      </c>
      <c r="AZ77" s="134">
        <f>SUMPRODUCT(-('Gastos Gerais'!$B$4:$B$3632=Analítico!$B77),-(Analítico!AZ$3&gt;='Gastos Gerais'!$D$4:$D$3632),-(Analítico!AZ$3&lt;='Gastos Gerais'!$E$4:$E$3632),-('Gastos Gerais'!$C$4:$C$3632))</f>
        <v>0</v>
      </c>
      <c r="BA77" s="134">
        <f>SUMPRODUCT(-('Gastos Gerais'!$B$4:$B$3632=Analítico!$B77),-(Analítico!BA$3&gt;='Gastos Gerais'!$D$4:$D$3632),-(Analítico!BA$3&lt;='Gastos Gerais'!$E$4:$E$3632),-('Gastos Gerais'!$C$4:$C$3632))</f>
        <v>0</v>
      </c>
      <c r="BB77" s="134">
        <f>SUMPRODUCT(-('Gastos Gerais'!$B$4:$B$3632=Analítico!$B77),-(Analítico!BB$3&gt;='Gastos Gerais'!$D$4:$D$3632),-(Analítico!BB$3&lt;='Gastos Gerais'!$E$4:$E$3632),-('Gastos Gerais'!$C$4:$C$3632))</f>
        <v>0</v>
      </c>
      <c r="BC77" s="134">
        <f>SUMPRODUCT(-('Gastos Gerais'!$B$4:$B$3632=Analítico!$B77),-(Analítico!BC$3&gt;='Gastos Gerais'!$D$4:$D$3632),-(Analítico!BC$3&lt;='Gastos Gerais'!$E$4:$E$3632),-('Gastos Gerais'!$C$4:$C$3632))</f>
        <v>0</v>
      </c>
      <c r="BD77" s="134">
        <f>SUMPRODUCT(-('Gastos Gerais'!$B$4:$B$3632=Analítico!$B77),-(Analítico!BD$3&gt;='Gastos Gerais'!$D$4:$D$3632),-(Analítico!BD$3&lt;='Gastos Gerais'!$E$4:$E$3632),-('Gastos Gerais'!$C$4:$C$3632))</f>
        <v>0</v>
      </c>
      <c r="BE77" s="134">
        <f>SUMPRODUCT(-('Gastos Gerais'!$B$4:$B$3632=Analítico!$B77),-(Analítico!BE$3&gt;='Gastos Gerais'!$D$4:$D$3632),-(Analítico!BE$3&lt;='Gastos Gerais'!$E$4:$E$3632),-('Gastos Gerais'!$C$4:$C$3632))</f>
        <v>0</v>
      </c>
      <c r="BF77" s="134">
        <f>SUMPRODUCT(-('Gastos Gerais'!$B$4:$B$3632=Analítico!$B77),-(Analítico!BF$3&gt;='Gastos Gerais'!$D$4:$D$3632),-(Analítico!BF$3&lt;='Gastos Gerais'!$E$4:$E$3632),-('Gastos Gerais'!$C$4:$C$3632))</f>
        <v>0</v>
      </c>
      <c r="BG77" s="134">
        <f>SUMPRODUCT(-('Gastos Gerais'!$B$4:$B$3632=Analítico!$B77),-(Analítico!BG$3&gt;='Gastos Gerais'!$D$4:$D$3632),-(Analítico!BG$3&lt;='Gastos Gerais'!$E$4:$E$3632),-('Gastos Gerais'!$C$4:$C$3632))</f>
        <v>0</v>
      </c>
      <c r="BH77" s="134">
        <f>SUMPRODUCT(-('Gastos Gerais'!$B$4:$B$3632=Analítico!$B77),-(Analítico!BH$3&gt;='Gastos Gerais'!$D$4:$D$3632),-(Analítico!BH$3&lt;='Gastos Gerais'!$E$4:$E$3632),-('Gastos Gerais'!$C$4:$C$3632))</f>
        <v>0</v>
      </c>
      <c r="BI77" s="134">
        <f>SUMPRODUCT(-('Gastos Gerais'!$B$4:$B$3632=Analítico!$B77),-(Analítico!BI$3&gt;='Gastos Gerais'!$D$4:$D$3632),-(Analítico!BI$3&lt;='Gastos Gerais'!$E$4:$E$3632),-('Gastos Gerais'!$C$4:$C$3632))</f>
        <v>0</v>
      </c>
      <c r="BJ77" s="134">
        <f>SUMPRODUCT(-('Gastos Gerais'!$B$4:$B$3632=Analítico!$B77),-(Analítico!BJ$3&gt;='Gastos Gerais'!$D$4:$D$3632),-(Analítico!BJ$3&lt;='Gastos Gerais'!$E$4:$E$3632),-('Gastos Gerais'!$C$4:$C$3632))</f>
        <v>0</v>
      </c>
      <c r="BK77" s="189">
        <f t="shared" si="37"/>
        <v>0</v>
      </c>
      <c r="BL77" s="136">
        <f t="shared" ca="1" si="38"/>
        <v>0</v>
      </c>
      <c r="BN77" s="134">
        <f>SUMPRODUCT(-('Gastos Gerais'!$B$4:$B$3632=Analítico!$B77),-(Analítico!BN$3&gt;='Gastos Gerais'!$D$4:$D$3632),-(Analítico!BN$3&lt;='Gastos Gerais'!$E$4:$E$3632),-('Gastos Gerais'!$C$4:$C$3632))</f>
        <v>0</v>
      </c>
    </row>
    <row r="78" spans="1:66" s="160" customFormat="1" ht="23.25" customHeight="1">
      <c r="A78" s="229" t="s">
        <v>233</v>
      </c>
      <c r="B78" s="230" t="s">
        <v>234</v>
      </c>
      <c r="C78" s="188">
        <f t="shared" si="36"/>
        <v>208.908099999</v>
      </c>
      <c r="D78" s="134">
        <f>SUMPRODUCT(-('Gastos Gerais'!$B$4:$B$3632=Analítico!$B78),-(Analítico!D$3&gt;='Gastos Gerais'!$D$4:$D$3632),-(Analítico!D$3&lt;='Gastos Gerais'!$E$4:$E$3632),-('Gastos Gerais'!$C$4:$C$3632))</f>
        <v>696.36033333</v>
      </c>
      <c r="E78" s="134">
        <f>SUMPRODUCT(-('Gastos Gerais'!$B$4:$B$3632=Analítico!$B78),-(Analítico!E$3&gt;='Gastos Gerais'!$D$4:$D$3632),-(Analítico!E$3&lt;='Gastos Gerais'!$E$4:$E$3632),-('Gastos Gerais'!$C$4:$C$3632))</f>
        <v>696.36033333</v>
      </c>
      <c r="F78" s="134">
        <f>SUMPRODUCT(-('Gastos Gerais'!$B$4:$B$3632=Analítico!$B78),-(Analítico!F$3&gt;='Gastos Gerais'!$D$4:$D$3632),-(Analítico!F$3&lt;='Gastos Gerais'!$E$4:$E$3632),-('Gastos Gerais'!$C$4:$C$3632))</f>
        <v>696.36033333</v>
      </c>
      <c r="G78" s="134">
        <f>SUMPRODUCT(-('Gastos Gerais'!$B$4:$B$3632=Analítico!$B78),-(Analítico!G$3&gt;='Gastos Gerais'!$D$4:$D$3632),-(Analítico!G$3&lt;='Gastos Gerais'!$E$4:$E$3632),-('Gastos Gerais'!$C$4:$C$3632))</f>
        <v>696.36033333</v>
      </c>
      <c r="H78" s="134">
        <f>SUMPRODUCT(-('Gastos Gerais'!$B$4:$B$3632=Analítico!$B78),-(Analítico!H$3&gt;='Gastos Gerais'!$D$4:$D$3632),-(Analítico!H$3&lt;='Gastos Gerais'!$E$4:$E$3632),-('Gastos Gerais'!$C$4:$C$3632))</f>
        <v>696.36033333</v>
      </c>
      <c r="I78" s="134">
        <f>SUMPRODUCT(-('Gastos Gerais'!$B$4:$B$3632=Analítico!$B78),-(Analítico!I$3&gt;='Gastos Gerais'!$D$4:$D$3632),-(Analítico!I$3&lt;='Gastos Gerais'!$E$4:$E$3632),-('Gastos Gerais'!$C$4:$C$3632))</f>
        <v>696.36033333</v>
      </c>
      <c r="J78" s="134">
        <f>SUMPRODUCT(-('Gastos Gerais'!$B$4:$B$3632=Analítico!$B78),-(Analítico!J$3&gt;='Gastos Gerais'!$D$4:$D$3632),-(Analítico!J$3&lt;='Gastos Gerais'!$E$4:$E$3632),-('Gastos Gerais'!$C$4:$C$3632))</f>
        <v>696.36033333</v>
      </c>
      <c r="K78" s="134">
        <f>SUMPRODUCT(-('Gastos Gerais'!$B$4:$B$3632=Analítico!$B78),-(Analítico!K$3&gt;='Gastos Gerais'!$D$4:$D$3632),-(Analítico!K$3&lt;='Gastos Gerais'!$E$4:$E$3632),-('Gastos Gerais'!$C$4:$C$3632))</f>
        <v>696.36033333</v>
      </c>
      <c r="L78" s="134">
        <f>SUMPRODUCT(-('Gastos Gerais'!$B$4:$B$3632=Analítico!$B78),-(Analítico!L$3&gt;='Gastos Gerais'!$D$4:$D$3632),-(Analítico!L$3&lt;='Gastos Gerais'!$E$4:$E$3632),-('Gastos Gerais'!$C$4:$C$3632))</f>
        <v>696.36033333</v>
      </c>
      <c r="M78" s="134">
        <f>SUMPRODUCT(-('Gastos Gerais'!$B$4:$B$3632=Analítico!$B78),-(Analítico!M$3&gt;='Gastos Gerais'!$D$4:$D$3632),-(Analítico!M$3&lt;='Gastos Gerais'!$E$4:$E$3632),-('Gastos Gerais'!$C$4:$C$3632))</f>
        <v>696.36033333</v>
      </c>
      <c r="N78" s="134">
        <f>SUMPRODUCT(-('Gastos Gerais'!$B$4:$B$3632=Analítico!$B78),-(Analítico!N$3&gt;='Gastos Gerais'!$D$4:$D$3632),-(Analítico!N$3&lt;='Gastos Gerais'!$E$4:$E$3632),-('Gastos Gerais'!$C$4:$C$3632))</f>
        <v>696.36033333</v>
      </c>
      <c r="O78" s="134">
        <f>SUMPRODUCT(-('Gastos Gerais'!$B$4:$B$3632=Analítico!$B78),-(Analítico!O$3&gt;='Gastos Gerais'!$D$4:$D$3632),-(Analítico!O$3&lt;='Gastos Gerais'!$E$4:$E$3632),-('Gastos Gerais'!$C$4:$C$3632))</f>
        <v>696.36033333</v>
      </c>
      <c r="P78" s="134">
        <f>SUMPRODUCT(-('Gastos Gerais'!$B$4:$B$3632=Analítico!$B78),-(Analítico!P$3&gt;='Gastos Gerais'!$D$4:$D$3632),-(Analítico!P$3&lt;='Gastos Gerais'!$E$4:$E$3632),-('Gastos Gerais'!$C$4:$C$3632))</f>
        <v>696.36033333</v>
      </c>
      <c r="Q78" s="134">
        <f>SUMPRODUCT(-('Gastos Gerais'!$B$4:$B$3632=Analítico!$B78),-(Analítico!Q$3&gt;='Gastos Gerais'!$D$4:$D$3632),-(Analítico!Q$3&lt;='Gastos Gerais'!$E$4:$E$3632),-('Gastos Gerais'!$C$4:$C$3632))</f>
        <v>696.36033333</v>
      </c>
      <c r="R78" s="134">
        <f>SUMPRODUCT(-('Gastos Gerais'!$B$4:$B$3632=Analítico!$B78),-(Analítico!R$3&gt;='Gastos Gerais'!$D$4:$D$3632),-(Analítico!R$3&lt;='Gastos Gerais'!$E$4:$E$3632),-('Gastos Gerais'!$C$4:$C$3632))</f>
        <v>696.36033333</v>
      </c>
      <c r="S78" s="134">
        <f>SUMPRODUCT(-('Gastos Gerais'!$B$4:$B$3632=Analítico!$B78),-(Analítico!S$3&gt;='Gastos Gerais'!$D$4:$D$3632),-(Analítico!S$3&lt;='Gastos Gerais'!$E$4:$E$3632),-('Gastos Gerais'!$C$4:$C$3632))</f>
        <v>696.36033333</v>
      </c>
      <c r="T78" s="134">
        <f>SUMPRODUCT(-('Gastos Gerais'!$B$4:$B$3632=Analítico!$B78),-(Analítico!T$3&gt;='Gastos Gerais'!$D$4:$D$3632),-(Analítico!T$3&lt;='Gastos Gerais'!$E$4:$E$3632),-('Gastos Gerais'!$C$4:$C$3632))</f>
        <v>696.36033333</v>
      </c>
      <c r="U78" s="134">
        <f>SUMPRODUCT(-('Gastos Gerais'!$B$4:$B$3632=Analítico!$B78),-(Analítico!U$3&gt;='Gastos Gerais'!$D$4:$D$3632),-(Analítico!U$3&lt;='Gastos Gerais'!$E$4:$E$3632),-('Gastos Gerais'!$C$4:$C$3632))</f>
        <v>696.36033333</v>
      </c>
      <c r="V78" s="134">
        <f>SUMPRODUCT(-('Gastos Gerais'!$B$4:$B$3632=Analítico!$B78),-(Analítico!V$3&gt;='Gastos Gerais'!$D$4:$D$3632),-(Analítico!V$3&lt;='Gastos Gerais'!$E$4:$E$3632),-('Gastos Gerais'!$C$4:$C$3632))</f>
        <v>696.36033333</v>
      </c>
      <c r="W78" s="134">
        <f>SUMPRODUCT(-('Gastos Gerais'!$B$4:$B$3632=Analítico!$B78),-(Analítico!W$3&gt;='Gastos Gerais'!$D$4:$D$3632),-(Analítico!W$3&lt;='Gastos Gerais'!$E$4:$E$3632),-('Gastos Gerais'!$C$4:$C$3632))</f>
        <v>696.36033333</v>
      </c>
      <c r="X78" s="134">
        <f>SUMPRODUCT(-('Gastos Gerais'!$B$4:$B$3632=Analítico!$B78),-(Analítico!X$3&gt;='Gastos Gerais'!$D$4:$D$3632),-(Analítico!X$3&lt;='Gastos Gerais'!$E$4:$E$3632),-('Gastos Gerais'!$C$4:$C$3632))</f>
        <v>696.36033333</v>
      </c>
      <c r="Y78" s="134">
        <f>SUMPRODUCT(-('Gastos Gerais'!$B$4:$B$3632=Analítico!$B78),-(Analítico!Y$3&gt;='Gastos Gerais'!$D$4:$D$3632),-(Analítico!Y$3&lt;='Gastos Gerais'!$E$4:$E$3632),-('Gastos Gerais'!$C$4:$C$3632))</f>
        <v>696.36033333</v>
      </c>
      <c r="Z78" s="134">
        <f>SUMPRODUCT(-('Gastos Gerais'!$B$4:$B$3632=Analítico!$B78),-(Analítico!Z$3&gt;='Gastos Gerais'!$D$4:$D$3632),-(Analítico!Z$3&lt;='Gastos Gerais'!$E$4:$E$3632),-('Gastos Gerais'!$C$4:$C$3632))</f>
        <v>696.36033333</v>
      </c>
      <c r="AA78" s="134">
        <f>SUMPRODUCT(-('Gastos Gerais'!$B$4:$B$3632=Analítico!$B78),-(Analítico!AA$3&gt;='Gastos Gerais'!$D$4:$D$3632),-(Analítico!AA$3&lt;='Gastos Gerais'!$E$4:$E$3632),-('Gastos Gerais'!$C$4:$C$3632))</f>
        <v>696.36033333</v>
      </c>
      <c r="AB78" s="134">
        <f>SUMPRODUCT(-('Gastos Gerais'!$B$4:$B$3632=Analítico!$B78),-(Analítico!AB$3&gt;='Gastos Gerais'!$D$4:$D$3632),-(Analítico!AB$3&lt;='Gastos Gerais'!$E$4:$E$3632),-('Gastos Gerais'!$C$4:$C$3632))</f>
        <v>696.36033333</v>
      </c>
      <c r="AC78" s="134">
        <f>SUMPRODUCT(-('Gastos Gerais'!$B$4:$B$3632=Analítico!$B78),-(Analítico!AC$3&gt;='Gastos Gerais'!$D$4:$D$3632),-(Analítico!AC$3&lt;='Gastos Gerais'!$E$4:$E$3632),-('Gastos Gerais'!$C$4:$C$3632))</f>
        <v>696.36033333</v>
      </c>
      <c r="AD78" s="134">
        <f>SUMPRODUCT(-('Gastos Gerais'!$B$4:$B$3632=Analítico!$B78),-(Analítico!AD$3&gt;='Gastos Gerais'!$D$4:$D$3632),-(Analítico!AD$3&lt;='Gastos Gerais'!$E$4:$E$3632),-('Gastos Gerais'!$C$4:$C$3632))</f>
        <v>696.36033333</v>
      </c>
      <c r="AE78" s="134">
        <f>SUMPRODUCT(-('Gastos Gerais'!$B$4:$B$3632=Analítico!$B78),-(Analítico!AE$3&gt;='Gastos Gerais'!$D$4:$D$3632),-(Analítico!AE$3&lt;='Gastos Gerais'!$E$4:$E$3632),-('Gastos Gerais'!$C$4:$C$3632))</f>
        <v>696.36033333</v>
      </c>
      <c r="AF78" s="134">
        <f>SUMPRODUCT(-('Gastos Gerais'!$B$4:$B$3632=Analítico!$B78),-(Analítico!AF$3&gt;='Gastos Gerais'!$D$4:$D$3632),-(Analítico!AF$3&lt;='Gastos Gerais'!$E$4:$E$3632),-('Gastos Gerais'!$C$4:$C$3632))</f>
        <v>696.36033333</v>
      </c>
      <c r="AG78" s="134">
        <f>SUMPRODUCT(-('Gastos Gerais'!$B$4:$B$3632=Analítico!$B78),-(Analítico!AG$3&gt;='Gastos Gerais'!$D$4:$D$3632),-(Analítico!AG$3&lt;='Gastos Gerais'!$E$4:$E$3632),-('Gastos Gerais'!$C$4:$C$3632))</f>
        <v>696.36033333</v>
      </c>
      <c r="AH78" s="134">
        <f>SUMPRODUCT(-('Gastos Gerais'!$B$4:$B$3632=Analítico!$B78),-(Analítico!AH$3&gt;='Gastos Gerais'!$D$4:$D$3632),-(Analítico!AH$3&lt;='Gastos Gerais'!$E$4:$E$3632),-('Gastos Gerais'!$C$4:$C$3632))</f>
        <v>696.36033333</v>
      </c>
      <c r="AI78" s="134">
        <f>SUMPRODUCT(-('Gastos Gerais'!$B$4:$B$3632=Analítico!$B78),-(Analítico!AI$3&gt;='Gastos Gerais'!$D$4:$D$3632),-(Analítico!AI$3&lt;='Gastos Gerais'!$E$4:$E$3632),-('Gastos Gerais'!$C$4:$C$3632))</f>
        <v>696.36033333</v>
      </c>
      <c r="AJ78" s="134">
        <f>SUMPRODUCT(-('Gastos Gerais'!$B$4:$B$3632=Analítico!$B78),-(Analítico!AJ$3&gt;='Gastos Gerais'!$D$4:$D$3632),-(Analítico!AJ$3&lt;='Gastos Gerais'!$E$4:$E$3632),-('Gastos Gerais'!$C$4:$C$3632))</f>
        <v>696.36033333</v>
      </c>
      <c r="AK78" s="134">
        <f>SUMPRODUCT(-('Gastos Gerais'!$B$4:$B$3632=Analítico!$B78),-(Analítico!AK$3&gt;='Gastos Gerais'!$D$4:$D$3632),-(Analítico!AK$3&lt;='Gastos Gerais'!$E$4:$E$3632),-('Gastos Gerais'!$C$4:$C$3632))</f>
        <v>696.36033333</v>
      </c>
      <c r="AL78" s="134">
        <f>SUMPRODUCT(-('Gastos Gerais'!$B$4:$B$3632=Analítico!$B78),-(Analítico!AL$3&gt;='Gastos Gerais'!$D$4:$D$3632),-(Analítico!AL$3&lt;='Gastos Gerais'!$E$4:$E$3632),-('Gastos Gerais'!$C$4:$C$3632))</f>
        <v>696.36033333</v>
      </c>
      <c r="AM78" s="134">
        <f>SUMPRODUCT(-('Gastos Gerais'!$B$4:$B$3632=Analítico!$B78),-(Analítico!AM$3&gt;='Gastos Gerais'!$D$4:$D$3632),-(Analítico!AM$3&lt;='Gastos Gerais'!$E$4:$E$3632),-('Gastos Gerais'!$C$4:$C$3632))</f>
        <v>696.36033333</v>
      </c>
      <c r="AN78" s="134">
        <f>SUMPRODUCT(-('Gastos Gerais'!$B$4:$B$3632=Analítico!$B78),-(Analítico!AN$3&gt;='Gastos Gerais'!$D$4:$D$3632),-(Analítico!AN$3&lt;='Gastos Gerais'!$E$4:$E$3632),-('Gastos Gerais'!$C$4:$C$3632))</f>
        <v>696.36033333</v>
      </c>
      <c r="AO78" s="134">
        <f>SUMPRODUCT(-('Gastos Gerais'!$B$4:$B$3632=Analítico!$B78),-(Analítico!AO$3&gt;='Gastos Gerais'!$D$4:$D$3632),-(Analítico!AO$3&lt;='Gastos Gerais'!$E$4:$E$3632),-('Gastos Gerais'!$C$4:$C$3632))</f>
        <v>696.36033333</v>
      </c>
      <c r="AP78" s="134">
        <f>SUMPRODUCT(-('Gastos Gerais'!$B$4:$B$3632=Analítico!$B78),-(Analítico!AP$3&gt;='Gastos Gerais'!$D$4:$D$3632),-(Analítico!AP$3&lt;='Gastos Gerais'!$E$4:$E$3632),-('Gastos Gerais'!$C$4:$C$3632))</f>
        <v>696.36033333</v>
      </c>
      <c r="AQ78" s="134">
        <f>SUMPRODUCT(-('Gastos Gerais'!$B$4:$B$3632=Analítico!$B78),-(Analítico!AQ$3&gt;='Gastos Gerais'!$D$4:$D$3632),-(Analítico!AQ$3&lt;='Gastos Gerais'!$E$4:$E$3632),-('Gastos Gerais'!$C$4:$C$3632))</f>
        <v>696.36033333</v>
      </c>
      <c r="AR78" s="134">
        <f>SUMPRODUCT(-('Gastos Gerais'!$B$4:$B$3632=Analítico!$B78),-(Analítico!AR$3&gt;='Gastos Gerais'!$D$4:$D$3632),-(Analítico!AR$3&lt;='Gastos Gerais'!$E$4:$E$3632),-('Gastos Gerais'!$C$4:$C$3632))</f>
        <v>696.36033333</v>
      </c>
      <c r="AS78" s="134">
        <f>SUMPRODUCT(-('Gastos Gerais'!$B$4:$B$3632=Analítico!$B78),-(Analítico!AS$3&gt;='Gastos Gerais'!$D$4:$D$3632),-(Analítico!AS$3&lt;='Gastos Gerais'!$E$4:$E$3632),-('Gastos Gerais'!$C$4:$C$3632))</f>
        <v>696.36033333</v>
      </c>
      <c r="AT78" s="134">
        <f>SUMPRODUCT(-('Gastos Gerais'!$B$4:$B$3632=Analítico!$B78),-(Analítico!AT$3&gt;='Gastos Gerais'!$D$4:$D$3632),-(Analítico!AT$3&lt;='Gastos Gerais'!$E$4:$E$3632),-('Gastos Gerais'!$C$4:$C$3632))</f>
        <v>696.36033333</v>
      </c>
      <c r="AU78" s="134">
        <f>SUMPRODUCT(-('Gastos Gerais'!$B$4:$B$3632=Analítico!$B78),-(Analítico!AU$3&gt;='Gastos Gerais'!$D$4:$D$3632),-(Analítico!AU$3&lt;='Gastos Gerais'!$E$4:$E$3632),-('Gastos Gerais'!$C$4:$C$3632))</f>
        <v>696.36033333</v>
      </c>
      <c r="AV78" s="134">
        <f>SUMPRODUCT(-('Gastos Gerais'!$B$4:$B$3632=Analítico!$B78),-(Analítico!AV$3&gt;='Gastos Gerais'!$D$4:$D$3632),-(Analítico!AV$3&lt;='Gastos Gerais'!$E$4:$E$3632),-('Gastos Gerais'!$C$4:$C$3632))</f>
        <v>696.36033333</v>
      </c>
      <c r="AW78" s="134">
        <f>SUMPRODUCT(-('Gastos Gerais'!$B$4:$B$3632=Analítico!$B78),-(Analítico!AW$3&gt;='Gastos Gerais'!$D$4:$D$3632),-(Analítico!AW$3&lt;='Gastos Gerais'!$E$4:$E$3632),-('Gastos Gerais'!$C$4:$C$3632))</f>
        <v>696.36033333</v>
      </c>
      <c r="AX78" s="134">
        <f>SUMPRODUCT(-('Gastos Gerais'!$B$4:$B$3632=Analítico!$B78),-(Analítico!AX$3&gt;='Gastos Gerais'!$D$4:$D$3632),-(Analítico!AX$3&lt;='Gastos Gerais'!$E$4:$E$3632),-('Gastos Gerais'!$C$4:$C$3632))</f>
        <v>696.36033333</v>
      </c>
      <c r="AY78" s="134">
        <f>SUMPRODUCT(-('Gastos Gerais'!$B$4:$B$3632=Analítico!$B78),-(Analítico!AY$3&gt;='Gastos Gerais'!$D$4:$D$3632),-(Analítico!AY$3&lt;='Gastos Gerais'!$E$4:$E$3632),-('Gastos Gerais'!$C$4:$C$3632))</f>
        <v>696.36033333</v>
      </c>
      <c r="AZ78" s="134">
        <f>SUMPRODUCT(-('Gastos Gerais'!$B$4:$B$3632=Analítico!$B78),-(Analítico!AZ$3&gt;='Gastos Gerais'!$D$4:$D$3632),-(Analítico!AZ$3&lt;='Gastos Gerais'!$E$4:$E$3632),-('Gastos Gerais'!$C$4:$C$3632))</f>
        <v>696.36033333</v>
      </c>
      <c r="BA78" s="134">
        <f>SUMPRODUCT(-('Gastos Gerais'!$B$4:$B$3632=Analítico!$B78),-(Analítico!BA$3&gt;='Gastos Gerais'!$D$4:$D$3632),-(Analítico!BA$3&lt;='Gastos Gerais'!$E$4:$E$3632),-('Gastos Gerais'!$C$4:$C$3632))</f>
        <v>696.36033333</v>
      </c>
      <c r="BB78" s="134">
        <f>SUMPRODUCT(-('Gastos Gerais'!$B$4:$B$3632=Analítico!$B78),-(Analítico!BB$3&gt;='Gastos Gerais'!$D$4:$D$3632),-(Analítico!BB$3&lt;='Gastos Gerais'!$E$4:$E$3632),-('Gastos Gerais'!$C$4:$C$3632))</f>
        <v>696.36033333</v>
      </c>
      <c r="BC78" s="134">
        <f>SUMPRODUCT(-('Gastos Gerais'!$B$4:$B$3632=Analítico!$B78),-(Analítico!BC$3&gt;='Gastos Gerais'!$D$4:$D$3632),-(Analítico!BC$3&lt;='Gastos Gerais'!$E$4:$E$3632),-('Gastos Gerais'!$C$4:$C$3632))</f>
        <v>696.36033333</v>
      </c>
      <c r="BD78" s="134">
        <f>SUMPRODUCT(-('Gastos Gerais'!$B$4:$B$3632=Analítico!$B78),-(Analítico!BD$3&gt;='Gastos Gerais'!$D$4:$D$3632),-(Analítico!BD$3&lt;='Gastos Gerais'!$E$4:$E$3632),-('Gastos Gerais'!$C$4:$C$3632))</f>
        <v>696.36033333</v>
      </c>
      <c r="BE78" s="134">
        <f>SUMPRODUCT(-('Gastos Gerais'!$B$4:$B$3632=Analítico!$B78),-(Analítico!BE$3&gt;='Gastos Gerais'!$D$4:$D$3632),-(Analítico!BE$3&lt;='Gastos Gerais'!$E$4:$E$3632),-('Gastos Gerais'!$C$4:$C$3632))</f>
        <v>696.36033333</v>
      </c>
      <c r="BF78" s="134">
        <f>SUMPRODUCT(-('Gastos Gerais'!$B$4:$B$3632=Analítico!$B78),-(Analítico!BF$3&gt;='Gastos Gerais'!$D$4:$D$3632),-(Analítico!BF$3&lt;='Gastos Gerais'!$E$4:$E$3632),-('Gastos Gerais'!$C$4:$C$3632))</f>
        <v>696.36033333</v>
      </c>
      <c r="BG78" s="134">
        <f>SUMPRODUCT(-('Gastos Gerais'!$B$4:$B$3632=Analítico!$B78),-(Analítico!BG$3&gt;='Gastos Gerais'!$D$4:$D$3632),-(Analítico!BG$3&lt;='Gastos Gerais'!$E$4:$E$3632),-('Gastos Gerais'!$C$4:$C$3632))</f>
        <v>696.36033333</v>
      </c>
      <c r="BH78" s="134">
        <f>SUMPRODUCT(-('Gastos Gerais'!$B$4:$B$3632=Analítico!$B78),-(Analítico!BH$3&gt;='Gastos Gerais'!$D$4:$D$3632),-(Analítico!BH$3&lt;='Gastos Gerais'!$E$4:$E$3632),-('Gastos Gerais'!$C$4:$C$3632))</f>
        <v>696.36033333</v>
      </c>
      <c r="BI78" s="134">
        <f>SUMPRODUCT(-('Gastos Gerais'!$B$4:$B$3632=Analítico!$B78),-(Analítico!BI$3&gt;='Gastos Gerais'!$D$4:$D$3632),-(Analítico!BI$3&lt;='Gastos Gerais'!$E$4:$E$3632),-('Gastos Gerais'!$C$4:$C$3632))</f>
        <v>696.36033333</v>
      </c>
      <c r="BJ78" s="134">
        <f>SUMPRODUCT(-('Gastos Gerais'!$B$4:$B$3632=Analítico!$B78),-(Analítico!BJ$3&gt;='Gastos Gerais'!$D$4:$D$3632),-(Analítico!BJ$3&lt;='Gastos Gerais'!$E$4:$E$3632),-('Gastos Gerais'!$C$4:$C$3632))</f>
        <v>696.36033333</v>
      </c>
      <c r="BK78" s="189">
        <f t="shared" si="37"/>
        <v>41294.167766469007</v>
      </c>
      <c r="BL78" s="136">
        <f t="shared" ca="1" si="38"/>
        <v>1.2342020747317347E-4</v>
      </c>
      <c r="BN78" s="134">
        <f>SUMPRODUCT(-('Gastos Gerais'!$B$4:$B$3632=Analítico!$B78),-(Analítico!BN$3&gt;='Gastos Gerais'!$D$4:$D$3632),-(Analítico!BN$3&lt;='Gastos Gerais'!$E$4:$E$3632),-('Gastos Gerais'!$C$4:$C$3632))</f>
        <v>696.36033333</v>
      </c>
    </row>
    <row r="79" spans="1:66" s="160" customFormat="1" ht="23.25" customHeight="1">
      <c r="A79" s="229" t="s">
        <v>235</v>
      </c>
      <c r="B79" s="232" t="s">
        <v>236</v>
      </c>
      <c r="C79" s="188">
        <f t="shared" si="36"/>
        <v>0</v>
      </c>
      <c r="D79" s="134">
        <f>SUMPRODUCT(-('Gastos Gerais'!$B$4:$B$3632=Analítico!$B79),-(Analítico!D$3&gt;='Gastos Gerais'!$D$4:$D$3632),-(Analítico!D$3&lt;='Gastos Gerais'!$E$4:$E$3632),-('Gastos Gerais'!$C$4:$C$3632))</f>
        <v>27893.039999999983</v>
      </c>
      <c r="E79" s="134">
        <f>SUMPRODUCT(-('Gastos Gerais'!$B$4:$B$3632=Analítico!$B79),-(Analítico!E$3&gt;='Gastos Gerais'!$D$4:$D$3632),-(Analítico!E$3&lt;='Gastos Gerais'!$E$4:$E$3632),-('Gastos Gerais'!$C$4:$C$3632))</f>
        <v>27893.039999999983</v>
      </c>
      <c r="F79" s="134">
        <f>SUMPRODUCT(-('Gastos Gerais'!$B$4:$B$3632=Analítico!$B79),-(Analítico!F$3&gt;='Gastos Gerais'!$D$4:$D$3632),-(Analítico!F$3&lt;='Gastos Gerais'!$E$4:$E$3632),-('Gastos Gerais'!$C$4:$C$3632))</f>
        <v>27893.039999999983</v>
      </c>
      <c r="G79" s="134">
        <f>SUMPRODUCT(-('Gastos Gerais'!$B$4:$B$3632=Analítico!$B79),-(Analítico!G$3&gt;='Gastos Gerais'!$D$4:$D$3632),-(Analítico!G$3&lt;='Gastos Gerais'!$E$4:$E$3632),-('Gastos Gerais'!$C$4:$C$3632))</f>
        <v>27893.039999999983</v>
      </c>
      <c r="H79" s="134">
        <f>SUMPRODUCT(-('Gastos Gerais'!$B$4:$B$3632=Analítico!$B79),-(Analítico!H$3&gt;='Gastos Gerais'!$D$4:$D$3632),-(Analítico!H$3&lt;='Gastos Gerais'!$E$4:$E$3632),-('Gastos Gerais'!$C$4:$C$3632))</f>
        <v>27893.039999999983</v>
      </c>
      <c r="I79" s="134">
        <f>SUMPRODUCT(-('Gastos Gerais'!$B$4:$B$3632=Analítico!$B79),-(Analítico!I$3&gt;='Gastos Gerais'!$D$4:$D$3632),-(Analítico!I$3&lt;='Gastos Gerais'!$E$4:$E$3632),-('Gastos Gerais'!$C$4:$C$3632))</f>
        <v>27893.039999999983</v>
      </c>
      <c r="J79" s="134">
        <f>SUMPRODUCT(-('Gastos Gerais'!$B$4:$B$3632=Analítico!$B79),-(Analítico!J$3&gt;='Gastos Gerais'!$D$4:$D$3632),-(Analítico!J$3&lt;='Gastos Gerais'!$E$4:$E$3632),-('Gastos Gerais'!$C$4:$C$3632))</f>
        <v>27893.039999999983</v>
      </c>
      <c r="K79" s="134">
        <f>SUMPRODUCT(-('Gastos Gerais'!$B$4:$B$3632=Analítico!$B79),-(Analítico!K$3&gt;='Gastos Gerais'!$D$4:$D$3632),-(Analítico!K$3&lt;='Gastos Gerais'!$E$4:$E$3632),-('Gastos Gerais'!$C$4:$C$3632))</f>
        <v>27893.039999999983</v>
      </c>
      <c r="L79" s="134">
        <f>SUMPRODUCT(-('Gastos Gerais'!$B$4:$B$3632=Analítico!$B79),-(Analítico!L$3&gt;='Gastos Gerais'!$D$4:$D$3632),-(Analítico!L$3&lt;='Gastos Gerais'!$E$4:$E$3632),-('Gastos Gerais'!$C$4:$C$3632))</f>
        <v>27893.039999999983</v>
      </c>
      <c r="M79" s="134">
        <f>SUMPRODUCT(-('Gastos Gerais'!$B$4:$B$3632=Analítico!$B79),-(Analítico!M$3&gt;='Gastos Gerais'!$D$4:$D$3632),-(Analítico!M$3&lt;='Gastos Gerais'!$E$4:$E$3632),-('Gastos Gerais'!$C$4:$C$3632))</f>
        <v>27893.039999999983</v>
      </c>
      <c r="N79" s="134">
        <f>SUMPRODUCT(-('Gastos Gerais'!$B$4:$B$3632=Analítico!$B79),-(Analítico!N$3&gt;='Gastos Gerais'!$D$4:$D$3632),-(Analítico!N$3&lt;='Gastos Gerais'!$E$4:$E$3632),-('Gastos Gerais'!$C$4:$C$3632))</f>
        <v>28632.869999999981</v>
      </c>
      <c r="O79" s="134">
        <f>SUMPRODUCT(-('Gastos Gerais'!$B$4:$B$3632=Analítico!$B79),-(Analítico!O$3&gt;='Gastos Gerais'!$D$4:$D$3632),-(Analítico!O$3&lt;='Gastos Gerais'!$E$4:$E$3632),-('Gastos Gerais'!$C$4:$C$3632))</f>
        <v>28632.869999999981</v>
      </c>
      <c r="P79" s="134">
        <f>SUMPRODUCT(-('Gastos Gerais'!$B$4:$B$3632=Analítico!$B79),-(Analítico!P$3&gt;='Gastos Gerais'!$D$4:$D$3632),-(Analítico!P$3&lt;='Gastos Gerais'!$E$4:$E$3632),-('Gastos Gerais'!$C$4:$C$3632))</f>
        <v>14967.479999999996</v>
      </c>
      <c r="Q79" s="134">
        <f>SUMPRODUCT(-('Gastos Gerais'!$B$4:$B$3632=Analítico!$B79),-(Analítico!Q$3&gt;='Gastos Gerais'!$D$4:$D$3632),-(Analítico!Q$3&lt;='Gastos Gerais'!$E$4:$E$3632),-('Gastos Gerais'!$C$4:$C$3632))</f>
        <v>14967.479999999996</v>
      </c>
      <c r="R79" s="134">
        <f>SUMPRODUCT(-('Gastos Gerais'!$B$4:$B$3632=Analítico!$B79),-(Analítico!R$3&gt;='Gastos Gerais'!$D$4:$D$3632),-(Analítico!R$3&lt;='Gastos Gerais'!$E$4:$E$3632),-('Gastos Gerais'!$C$4:$C$3632))</f>
        <v>14967.479999999996</v>
      </c>
      <c r="S79" s="134">
        <f>SUMPRODUCT(-('Gastos Gerais'!$B$4:$B$3632=Analítico!$B79),-(Analítico!S$3&gt;='Gastos Gerais'!$D$4:$D$3632),-(Analítico!S$3&lt;='Gastos Gerais'!$E$4:$E$3632),-('Gastos Gerais'!$C$4:$C$3632))</f>
        <v>14967.479999999996</v>
      </c>
      <c r="T79" s="134">
        <f>SUMPRODUCT(-('Gastos Gerais'!$B$4:$B$3632=Analítico!$B79),-(Analítico!T$3&gt;='Gastos Gerais'!$D$4:$D$3632),-(Analítico!T$3&lt;='Gastos Gerais'!$E$4:$E$3632),-('Gastos Gerais'!$C$4:$C$3632))</f>
        <v>14967.479999999996</v>
      </c>
      <c r="U79" s="134">
        <f>SUMPRODUCT(-('Gastos Gerais'!$B$4:$B$3632=Analítico!$B79),-(Analítico!U$3&gt;='Gastos Gerais'!$D$4:$D$3632),-(Analítico!U$3&lt;='Gastos Gerais'!$E$4:$E$3632),-('Gastos Gerais'!$C$4:$C$3632))</f>
        <v>14967.479999999996</v>
      </c>
      <c r="V79" s="134">
        <f>SUMPRODUCT(-('Gastos Gerais'!$B$4:$B$3632=Analítico!$B79),-(Analítico!V$3&gt;='Gastos Gerais'!$D$4:$D$3632),-(Analítico!V$3&lt;='Gastos Gerais'!$E$4:$E$3632),-('Gastos Gerais'!$C$4:$C$3632))</f>
        <v>14967.479999999996</v>
      </c>
      <c r="W79" s="134">
        <f>SUMPRODUCT(-('Gastos Gerais'!$B$4:$B$3632=Analítico!$B79),-(Analítico!W$3&gt;='Gastos Gerais'!$D$4:$D$3632),-(Analítico!W$3&lt;='Gastos Gerais'!$E$4:$E$3632),-('Gastos Gerais'!$C$4:$C$3632))</f>
        <v>14967.479999999996</v>
      </c>
      <c r="X79" s="134">
        <f>SUMPRODUCT(-('Gastos Gerais'!$B$4:$B$3632=Analítico!$B79),-(Analítico!X$3&gt;='Gastos Gerais'!$D$4:$D$3632),-(Analítico!X$3&lt;='Gastos Gerais'!$E$4:$E$3632),-('Gastos Gerais'!$C$4:$C$3632))</f>
        <v>14967.479999999996</v>
      </c>
      <c r="Y79" s="134">
        <f>SUMPRODUCT(-('Gastos Gerais'!$B$4:$B$3632=Analítico!$B79),-(Analítico!Y$3&gt;='Gastos Gerais'!$D$4:$D$3632),-(Analítico!Y$3&lt;='Gastos Gerais'!$E$4:$E$3632),-('Gastos Gerais'!$C$4:$C$3632))</f>
        <v>14967.479999999996</v>
      </c>
      <c r="Z79" s="134">
        <f>SUMPRODUCT(-('Gastos Gerais'!$B$4:$B$3632=Analítico!$B79),-(Analítico!Z$3&gt;='Gastos Gerais'!$D$4:$D$3632),-(Analítico!Z$3&lt;='Gastos Gerais'!$E$4:$E$3632),-('Gastos Gerais'!$C$4:$C$3632))</f>
        <v>15020.009999999997</v>
      </c>
      <c r="AA79" s="134">
        <f>SUMPRODUCT(-('Gastos Gerais'!$B$4:$B$3632=Analítico!$B79),-(Analítico!AA$3&gt;='Gastos Gerais'!$D$4:$D$3632),-(Analítico!AA$3&lt;='Gastos Gerais'!$E$4:$E$3632),-('Gastos Gerais'!$C$4:$C$3632))</f>
        <v>15020.009999999997</v>
      </c>
      <c r="AB79" s="134">
        <f>SUMPRODUCT(-('Gastos Gerais'!$B$4:$B$3632=Analítico!$B79),-(Analítico!AB$3&gt;='Gastos Gerais'!$D$4:$D$3632),-(Analítico!AB$3&lt;='Gastos Gerais'!$E$4:$E$3632),-('Gastos Gerais'!$C$4:$C$3632))</f>
        <v>15969.049999999997</v>
      </c>
      <c r="AC79" s="134">
        <f>SUMPRODUCT(-('Gastos Gerais'!$B$4:$B$3632=Analítico!$B79),-(Analítico!AC$3&gt;='Gastos Gerais'!$D$4:$D$3632),-(Analítico!AC$3&lt;='Gastos Gerais'!$E$4:$E$3632),-('Gastos Gerais'!$C$4:$C$3632))</f>
        <v>15969.049999999997</v>
      </c>
      <c r="AD79" s="134">
        <f>SUMPRODUCT(-('Gastos Gerais'!$B$4:$B$3632=Analítico!$B79),-(Analítico!AD$3&gt;='Gastos Gerais'!$D$4:$D$3632),-(Analítico!AD$3&lt;='Gastos Gerais'!$E$4:$E$3632),-('Gastos Gerais'!$C$4:$C$3632))</f>
        <v>15969.049999999997</v>
      </c>
      <c r="AE79" s="134">
        <f>SUMPRODUCT(-('Gastos Gerais'!$B$4:$B$3632=Analítico!$B79),-(Analítico!AE$3&gt;='Gastos Gerais'!$D$4:$D$3632),-(Analítico!AE$3&lt;='Gastos Gerais'!$E$4:$E$3632),-('Gastos Gerais'!$C$4:$C$3632))</f>
        <v>15969.049999999997</v>
      </c>
      <c r="AF79" s="134">
        <f>SUMPRODUCT(-('Gastos Gerais'!$B$4:$B$3632=Analítico!$B79),-(Analítico!AF$3&gt;='Gastos Gerais'!$D$4:$D$3632),-(Analítico!AF$3&lt;='Gastos Gerais'!$E$4:$E$3632),-('Gastos Gerais'!$C$4:$C$3632))</f>
        <v>15969.049999999997</v>
      </c>
      <c r="AG79" s="134">
        <f>SUMPRODUCT(-('Gastos Gerais'!$B$4:$B$3632=Analítico!$B79),-(Analítico!AG$3&gt;='Gastos Gerais'!$D$4:$D$3632),-(Analítico!AG$3&lt;='Gastos Gerais'!$E$4:$E$3632),-('Gastos Gerais'!$C$4:$C$3632))</f>
        <v>15969.049999999997</v>
      </c>
      <c r="AH79" s="134">
        <f>SUMPRODUCT(-('Gastos Gerais'!$B$4:$B$3632=Analítico!$B79),-(Analítico!AH$3&gt;='Gastos Gerais'!$D$4:$D$3632),-(Analítico!AH$3&lt;='Gastos Gerais'!$E$4:$E$3632),-('Gastos Gerais'!$C$4:$C$3632))</f>
        <v>15969.049999999997</v>
      </c>
      <c r="AI79" s="134">
        <f>SUMPRODUCT(-('Gastos Gerais'!$B$4:$B$3632=Analítico!$B79),-(Analítico!AI$3&gt;='Gastos Gerais'!$D$4:$D$3632),-(Analítico!AI$3&lt;='Gastos Gerais'!$E$4:$E$3632),-('Gastos Gerais'!$C$4:$C$3632))</f>
        <v>15969.049999999997</v>
      </c>
      <c r="AJ79" s="134">
        <f>SUMPRODUCT(-('Gastos Gerais'!$B$4:$B$3632=Analítico!$B79),-(Analítico!AJ$3&gt;='Gastos Gerais'!$D$4:$D$3632),-(Analítico!AJ$3&lt;='Gastos Gerais'!$E$4:$E$3632),-('Gastos Gerais'!$C$4:$C$3632))</f>
        <v>15969.049999999997</v>
      </c>
      <c r="AK79" s="134">
        <f>SUMPRODUCT(-('Gastos Gerais'!$B$4:$B$3632=Analítico!$B79),-(Analítico!AK$3&gt;='Gastos Gerais'!$D$4:$D$3632),-(Analítico!AK$3&lt;='Gastos Gerais'!$E$4:$E$3632),-('Gastos Gerais'!$C$4:$C$3632))</f>
        <v>15969.049999999997</v>
      </c>
      <c r="AL79" s="134">
        <f>SUMPRODUCT(-('Gastos Gerais'!$B$4:$B$3632=Analítico!$B79),-(Analítico!AL$3&gt;='Gastos Gerais'!$D$4:$D$3632),-(Analítico!AL$3&lt;='Gastos Gerais'!$E$4:$E$3632),-('Gastos Gerais'!$C$4:$C$3632))</f>
        <v>16024.659999999998</v>
      </c>
      <c r="AM79" s="134">
        <f>SUMPRODUCT(-('Gastos Gerais'!$B$4:$B$3632=Analítico!$B79),-(Analítico!AM$3&gt;='Gastos Gerais'!$D$4:$D$3632),-(Analítico!AM$3&lt;='Gastos Gerais'!$E$4:$E$3632),-('Gastos Gerais'!$C$4:$C$3632))</f>
        <v>16024.659999999998</v>
      </c>
      <c r="AN79" s="134">
        <f>SUMPRODUCT(-('Gastos Gerais'!$B$4:$B$3632=Analítico!$B79),-(Analítico!AN$3&gt;='Gastos Gerais'!$D$4:$D$3632),-(Analítico!AN$3&lt;='Gastos Gerais'!$E$4:$E$3632),-('Gastos Gerais'!$C$4:$C$3632))</f>
        <v>16137.359999999993</v>
      </c>
      <c r="AO79" s="134">
        <f>SUMPRODUCT(-('Gastos Gerais'!$B$4:$B$3632=Analítico!$B79),-(Analítico!AO$3&gt;='Gastos Gerais'!$D$4:$D$3632),-(Analítico!AO$3&lt;='Gastos Gerais'!$E$4:$E$3632),-('Gastos Gerais'!$C$4:$C$3632))</f>
        <v>16137.359999999993</v>
      </c>
      <c r="AP79" s="134">
        <f>SUMPRODUCT(-('Gastos Gerais'!$B$4:$B$3632=Analítico!$B79),-(Analítico!AP$3&gt;='Gastos Gerais'!$D$4:$D$3632),-(Analítico!AP$3&lt;='Gastos Gerais'!$E$4:$E$3632),-('Gastos Gerais'!$C$4:$C$3632))</f>
        <v>16137.359999999993</v>
      </c>
      <c r="AQ79" s="134">
        <f>SUMPRODUCT(-('Gastos Gerais'!$B$4:$B$3632=Analítico!$B79),-(Analítico!AQ$3&gt;='Gastos Gerais'!$D$4:$D$3632),-(Analítico!AQ$3&lt;='Gastos Gerais'!$E$4:$E$3632),-('Gastos Gerais'!$C$4:$C$3632))</f>
        <v>16137.359999999993</v>
      </c>
      <c r="AR79" s="134">
        <f>SUMPRODUCT(-('Gastos Gerais'!$B$4:$B$3632=Analítico!$B79),-(Analítico!AR$3&gt;='Gastos Gerais'!$D$4:$D$3632),-(Analítico!AR$3&lt;='Gastos Gerais'!$E$4:$E$3632),-('Gastos Gerais'!$C$4:$C$3632))</f>
        <v>16137.359999999993</v>
      </c>
      <c r="AS79" s="134">
        <f>SUMPRODUCT(-('Gastos Gerais'!$B$4:$B$3632=Analítico!$B79),-(Analítico!AS$3&gt;='Gastos Gerais'!$D$4:$D$3632),-(Analítico!AS$3&lt;='Gastos Gerais'!$E$4:$E$3632),-('Gastos Gerais'!$C$4:$C$3632))</f>
        <v>16137.359999999993</v>
      </c>
      <c r="AT79" s="134">
        <f>SUMPRODUCT(-('Gastos Gerais'!$B$4:$B$3632=Analítico!$B79),-(Analítico!AT$3&gt;='Gastos Gerais'!$D$4:$D$3632),-(Analítico!AT$3&lt;='Gastos Gerais'!$E$4:$E$3632),-('Gastos Gerais'!$C$4:$C$3632))</f>
        <v>16137.359999999993</v>
      </c>
      <c r="AU79" s="134">
        <f>SUMPRODUCT(-('Gastos Gerais'!$B$4:$B$3632=Analítico!$B79),-(Analítico!AU$3&gt;='Gastos Gerais'!$D$4:$D$3632),-(Analítico!AU$3&lt;='Gastos Gerais'!$E$4:$E$3632),-('Gastos Gerais'!$C$4:$C$3632))</f>
        <v>16137.359999999993</v>
      </c>
      <c r="AV79" s="134">
        <f>SUMPRODUCT(-('Gastos Gerais'!$B$4:$B$3632=Analítico!$B79),-(Analítico!AV$3&gt;='Gastos Gerais'!$D$4:$D$3632),-(Analítico!AV$3&lt;='Gastos Gerais'!$E$4:$E$3632),-('Gastos Gerais'!$C$4:$C$3632))</f>
        <v>16137.359999999993</v>
      </c>
      <c r="AW79" s="134">
        <f>SUMPRODUCT(-('Gastos Gerais'!$B$4:$B$3632=Analítico!$B79),-(Analítico!AW$3&gt;='Gastos Gerais'!$D$4:$D$3632),-(Analítico!AW$3&lt;='Gastos Gerais'!$E$4:$E$3632),-('Gastos Gerais'!$C$4:$C$3632))</f>
        <v>16137.359999999993</v>
      </c>
      <c r="AX79" s="134">
        <f>SUMPRODUCT(-('Gastos Gerais'!$B$4:$B$3632=Analítico!$B79),-(Analítico!AX$3&gt;='Gastos Gerais'!$D$4:$D$3632),-(Analítico!AX$3&lt;='Gastos Gerais'!$E$4:$E$3632),-('Gastos Gerais'!$C$4:$C$3632))</f>
        <v>16196.219999999992</v>
      </c>
      <c r="AY79" s="134">
        <f>SUMPRODUCT(-('Gastos Gerais'!$B$4:$B$3632=Analítico!$B79),-(Analítico!AY$3&gt;='Gastos Gerais'!$D$4:$D$3632),-(Analítico!AY$3&lt;='Gastos Gerais'!$E$4:$E$3632),-('Gastos Gerais'!$C$4:$C$3632))</f>
        <v>16196.219999999992</v>
      </c>
      <c r="AZ79" s="134">
        <f>SUMPRODUCT(-('Gastos Gerais'!$B$4:$B$3632=Analítico!$B79),-(Analítico!AZ$3&gt;='Gastos Gerais'!$D$4:$D$3632),-(Analítico!AZ$3&lt;='Gastos Gerais'!$E$4:$E$3632),-('Gastos Gerais'!$C$4:$C$3632))</f>
        <v>17522.349999999999</v>
      </c>
      <c r="BA79" s="134">
        <f>SUMPRODUCT(-('Gastos Gerais'!$B$4:$B$3632=Analítico!$B79),-(Analítico!BA$3&gt;='Gastos Gerais'!$D$4:$D$3632),-(Analítico!BA$3&lt;='Gastos Gerais'!$E$4:$E$3632),-('Gastos Gerais'!$C$4:$C$3632))</f>
        <v>17522.349999999999</v>
      </c>
      <c r="BB79" s="134">
        <f>SUMPRODUCT(-('Gastos Gerais'!$B$4:$B$3632=Analítico!$B79),-(Analítico!BB$3&gt;='Gastos Gerais'!$D$4:$D$3632),-(Analítico!BB$3&lt;='Gastos Gerais'!$E$4:$E$3632),-('Gastos Gerais'!$C$4:$C$3632))</f>
        <v>17522.349999999999</v>
      </c>
      <c r="BC79" s="134">
        <f>SUMPRODUCT(-('Gastos Gerais'!$B$4:$B$3632=Analítico!$B79),-(Analítico!BC$3&gt;='Gastos Gerais'!$D$4:$D$3632),-(Analítico!BC$3&lt;='Gastos Gerais'!$E$4:$E$3632),-('Gastos Gerais'!$C$4:$C$3632))</f>
        <v>17522.349999999999</v>
      </c>
      <c r="BD79" s="134">
        <f>SUMPRODUCT(-('Gastos Gerais'!$B$4:$B$3632=Analítico!$B79),-(Analítico!BD$3&gt;='Gastos Gerais'!$D$4:$D$3632),-(Analítico!BD$3&lt;='Gastos Gerais'!$E$4:$E$3632),-('Gastos Gerais'!$C$4:$C$3632))</f>
        <v>17522.349999999999</v>
      </c>
      <c r="BE79" s="134">
        <f>SUMPRODUCT(-('Gastos Gerais'!$B$4:$B$3632=Analítico!$B79),-(Analítico!BE$3&gt;='Gastos Gerais'!$D$4:$D$3632),-(Analítico!BE$3&lt;='Gastos Gerais'!$E$4:$E$3632),-('Gastos Gerais'!$C$4:$C$3632))</f>
        <v>17522.349999999999</v>
      </c>
      <c r="BF79" s="134">
        <f>SUMPRODUCT(-('Gastos Gerais'!$B$4:$B$3632=Analítico!$B79),-(Analítico!BF$3&gt;='Gastos Gerais'!$D$4:$D$3632),-(Analítico!BF$3&lt;='Gastos Gerais'!$E$4:$E$3632),-('Gastos Gerais'!$C$4:$C$3632))</f>
        <v>17522.349999999999</v>
      </c>
      <c r="BG79" s="134">
        <f>SUMPRODUCT(-('Gastos Gerais'!$B$4:$B$3632=Analítico!$B79),-(Analítico!BG$3&gt;='Gastos Gerais'!$D$4:$D$3632),-(Analítico!BG$3&lt;='Gastos Gerais'!$E$4:$E$3632),-('Gastos Gerais'!$C$4:$C$3632))</f>
        <v>17522.349999999999</v>
      </c>
      <c r="BH79" s="134">
        <f>SUMPRODUCT(-('Gastos Gerais'!$B$4:$B$3632=Analítico!$B79),-(Analítico!BH$3&gt;='Gastos Gerais'!$D$4:$D$3632),-(Analítico!BH$3&lt;='Gastos Gerais'!$E$4:$E$3632),-('Gastos Gerais'!$C$4:$C$3632))</f>
        <v>17522.349999999999</v>
      </c>
      <c r="BI79" s="134">
        <f>SUMPRODUCT(-('Gastos Gerais'!$B$4:$B$3632=Analítico!$B79),-(Analítico!BI$3&gt;='Gastos Gerais'!$D$4:$D$3632),-(Analítico!BI$3&lt;='Gastos Gerais'!$E$4:$E$3632),-('Gastos Gerais'!$C$4:$C$3632))</f>
        <v>17522.349999999999</v>
      </c>
      <c r="BJ79" s="134">
        <f>SUMPRODUCT(-('Gastos Gerais'!$B$4:$B$3632=Analítico!$B79),-(Analítico!BJ$3&gt;='Gastos Gerais'!$D$4:$D$3632),-(Analítico!BJ$3&lt;='Gastos Gerais'!$E$4:$E$3632),-('Gastos Gerais'!$C$4:$C$3632))</f>
        <v>17522.349999999999</v>
      </c>
      <c r="BK79" s="189">
        <f t="shared" si="37"/>
        <v>1094162.67</v>
      </c>
      <c r="BL79" s="136">
        <f t="shared" ca="1" si="38"/>
        <v>3.2702386570545149E-3</v>
      </c>
      <c r="BN79" s="134">
        <f>SUMPRODUCT(-('Gastos Gerais'!$B$4:$B$3632=Analítico!$B79),-(Analítico!BN$3&gt;='Gastos Gerais'!$D$4:$D$3632),-(Analítico!BN$3&lt;='Gastos Gerais'!$E$4:$E$3632),-('Gastos Gerais'!$C$4:$C$3632))</f>
        <v>0</v>
      </c>
    </row>
    <row r="80" spans="1:66" s="160" customFormat="1" ht="23.25" customHeight="1">
      <c r="A80" s="229" t="s">
        <v>237</v>
      </c>
      <c r="B80" s="232" t="s">
        <v>238</v>
      </c>
      <c r="C80" s="188">
        <f t="shared" si="36"/>
        <v>0</v>
      </c>
      <c r="D80" s="134">
        <f>SUMPRODUCT(-('Gastos Gerais'!$B$4:$B$3632=Analítico!$B80),-(Analítico!D$3&gt;='Gastos Gerais'!$D$4:$D$3632),-(Analítico!D$3&lt;='Gastos Gerais'!$E$4:$E$3632),-('Gastos Gerais'!$C$4:$C$3632))</f>
        <v>0</v>
      </c>
      <c r="E80" s="134">
        <f>SUMPRODUCT(-('Gastos Gerais'!$B$4:$B$3632=Analítico!$B80),-(Analítico!E$3&gt;='Gastos Gerais'!$D$4:$D$3632),-(Analítico!E$3&lt;='Gastos Gerais'!$E$4:$E$3632),-('Gastos Gerais'!$C$4:$C$3632))</f>
        <v>0</v>
      </c>
      <c r="F80" s="134">
        <f>SUMPRODUCT(-('Gastos Gerais'!$B$4:$B$3632=Analítico!$B80),-(Analítico!F$3&gt;='Gastos Gerais'!$D$4:$D$3632),-(Analítico!F$3&lt;='Gastos Gerais'!$E$4:$E$3632),-('Gastos Gerais'!$C$4:$C$3632))</f>
        <v>0</v>
      </c>
      <c r="G80" s="134">
        <f>SUMPRODUCT(-('Gastos Gerais'!$B$4:$B$3632=Analítico!$B80),-(Analítico!G$3&gt;='Gastos Gerais'!$D$4:$D$3632),-(Analítico!G$3&lt;='Gastos Gerais'!$E$4:$E$3632),-('Gastos Gerais'!$C$4:$C$3632))</f>
        <v>0</v>
      </c>
      <c r="H80" s="134">
        <f>SUMPRODUCT(-('Gastos Gerais'!$B$4:$B$3632=Analítico!$B80),-(Analítico!H$3&gt;='Gastos Gerais'!$D$4:$D$3632),-(Analítico!H$3&lt;='Gastos Gerais'!$E$4:$E$3632),-('Gastos Gerais'!$C$4:$C$3632))</f>
        <v>0</v>
      </c>
      <c r="I80" s="134">
        <f>SUMPRODUCT(-('Gastos Gerais'!$B$4:$B$3632=Analítico!$B80),-(Analítico!I$3&gt;='Gastos Gerais'!$D$4:$D$3632),-(Analítico!I$3&lt;='Gastos Gerais'!$E$4:$E$3632),-('Gastos Gerais'!$C$4:$C$3632))</f>
        <v>0</v>
      </c>
      <c r="J80" s="134">
        <f>SUMPRODUCT(-('Gastos Gerais'!$B$4:$B$3632=Analítico!$B80),-(Analítico!J$3&gt;='Gastos Gerais'!$D$4:$D$3632),-(Analítico!J$3&lt;='Gastos Gerais'!$E$4:$E$3632),-('Gastos Gerais'!$C$4:$C$3632))</f>
        <v>0</v>
      </c>
      <c r="K80" s="134">
        <f>SUMPRODUCT(-('Gastos Gerais'!$B$4:$B$3632=Analítico!$B80),-(Analítico!K$3&gt;='Gastos Gerais'!$D$4:$D$3632),-(Analítico!K$3&lt;='Gastos Gerais'!$E$4:$E$3632),-('Gastos Gerais'!$C$4:$C$3632))</f>
        <v>0</v>
      </c>
      <c r="L80" s="134">
        <f>SUMPRODUCT(-('Gastos Gerais'!$B$4:$B$3632=Analítico!$B80),-(Analítico!L$3&gt;='Gastos Gerais'!$D$4:$D$3632),-(Analítico!L$3&lt;='Gastos Gerais'!$E$4:$E$3632),-('Gastos Gerais'!$C$4:$C$3632))</f>
        <v>0</v>
      </c>
      <c r="M80" s="134">
        <f>SUMPRODUCT(-('Gastos Gerais'!$B$4:$B$3632=Analítico!$B80),-(Analítico!M$3&gt;='Gastos Gerais'!$D$4:$D$3632),-(Analítico!M$3&lt;='Gastos Gerais'!$E$4:$E$3632),-('Gastos Gerais'!$C$4:$C$3632))</f>
        <v>0</v>
      </c>
      <c r="N80" s="134">
        <f>SUMPRODUCT(-('Gastos Gerais'!$B$4:$B$3632=Analítico!$B80),-(Analítico!N$3&gt;='Gastos Gerais'!$D$4:$D$3632),-(Analítico!N$3&lt;='Gastos Gerais'!$E$4:$E$3632),-('Gastos Gerais'!$C$4:$C$3632))</f>
        <v>800</v>
      </c>
      <c r="O80" s="134">
        <f>SUMPRODUCT(-('Gastos Gerais'!$B$4:$B$3632=Analítico!$B80),-(Analítico!O$3&gt;='Gastos Gerais'!$D$4:$D$3632),-(Analítico!O$3&lt;='Gastos Gerais'!$E$4:$E$3632),-('Gastos Gerais'!$C$4:$C$3632))</f>
        <v>1170.44</v>
      </c>
      <c r="P80" s="134">
        <f>SUMPRODUCT(-('Gastos Gerais'!$B$4:$B$3632=Analítico!$B80),-(Analítico!P$3&gt;='Gastos Gerais'!$D$4:$D$3632),-(Analítico!P$3&lt;='Gastos Gerais'!$E$4:$E$3632),-('Gastos Gerais'!$C$4:$C$3632))</f>
        <v>7617.9199999999973</v>
      </c>
      <c r="Q80" s="134">
        <f>SUMPRODUCT(-('Gastos Gerais'!$B$4:$B$3632=Analítico!$B80),-(Analítico!Q$3&gt;='Gastos Gerais'!$D$4:$D$3632),-(Analítico!Q$3&lt;='Gastos Gerais'!$E$4:$E$3632),-('Gastos Gerais'!$C$4:$C$3632))</f>
        <v>7617.9199999999973</v>
      </c>
      <c r="R80" s="134">
        <f>SUMPRODUCT(-('Gastos Gerais'!$B$4:$B$3632=Analítico!$B80),-(Analítico!R$3&gt;='Gastos Gerais'!$D$4:$D$3632),-(Analítico!R$3&lt;='Gastos Gerais'!$E$4:$E$3632),-('Gastos Gerais'!$C$4:$C$3632))</f>
        <v>7617.9199999999973</v>
      </c>
      <c r="S80" s="134">
        <f>SUMPRODUCT(-('Gastos Gerais'!$B$4:$B$3632=Analítico!$B80),-(Analítico!S$3&gt;='Gastos Gerais'!$D$4:$D$3632),-(Analítico!S$3&lt;='Gastos Gerais'!$E$4:$E$3632),-('Gastos Gerais'!$C$4:$C$3632))</f>
        <v>7617.9199999999973</v>
      </c>
      <c r="T80" s="134">
        <f>SUMPRODUCT(-('Gastos Gerais'!$B$4:$B$3632=Analítico!$B80),-(Analítico!T$3&gt;='Gastos Gerais'!$D$4:$D$3632),-(Analítico!T$3&lt;='Gastos Gerais'!$E$4:$E$3632),-('Gastos Gerais'!$C$4:$C$3632))</f>
        <v>7617.9199999999973</v>
      </c>
      <c r="U80" s="134">
        <f>SUMPRODUCT(-('Gastos Gerais'!$B$4:$B$3632=Analítico!$B80),-(Analítico!U$3&gt;='Gastos Gerais'!$D$4:$D$3632),-(Analítico!U$3&lt;='Gastos Gerais'!$E$4:$E$3632),-('Gastos Gerais'!$C$4:$C$3632))</f>
        <v>7617.9199999999973</v>
      </c>
      <c r="V80" s="134">
        <f>SUMPRODUCT(-('Gastos Gerais'!$B$4:$B$3632=Analítico!$B80),-(Analítico!V$3&gt;='Gastos Gerais'!$D$4:$D$3632),-(Analítico!V$3&lt;='Gastos Gerais'!$E$4:$E$3632),-('Gastos Gerais'!$C$4:$C$3632))</f>
        <v>7247.4799999999977</v>
      </c>
      <c r="W80" s="134">
        <f>SUMPRODUCT(-('Gastos Gerais'!$B$4:$B$3632=Analítico!$B80),-(Analítico!W$3&gt;='Gastos Gerais'!$D$4:$D$3632),-(Analítico!W$3&lt;='Gastos Gerais'!$E$4:$E$3632),-('Gastos Gerais'!$C$4:$C$3632))</f>
        <v>7247.4799999999977</v>
      </c>
      <c r="X80" s="134">
        <f>SUMPRODUCT(-('Gastos Gerais'!$B$4:$B$3632=Analítico!$B80),-(Analítico!X$3&gt;='Gastos Gerais'!$D$4:$D$3632),-(Analítico!X$3&lt;='Gastos Gerais'!$E$4:$E$3632),-('Gastos Gerais'!$C$4:$C$3632))</f>
        <v>7247.4799999999977</v>
      </c>
      <c r="Y80" s="134">
        <f>SUMPRODUCT(-('Gastos Gerais'!$B$4:$B$3632=Analítico!$B80),-(Analítico!Y$3&gt;='Gastos Gerais'!$D$4:$D$3632),-(Analítico!Y$3&lt;='Gastos Gerais'!$E$4:$E$3632),-('Gastos Gerais'!$C$4:$C$3632))</f>
        <v>7247.4799999999977</v>
      </c>
      <c r="Z80" s="134">
        <f>SUMPRODUCT(-('Gastos Gerais'!$B$4:$B$3632=Analítico!$B80),-(Analítico!Z$3&gt;='Gastos Gerais'!$D$4:$D$3632),-(Analítico!Z$3&lt;='Gastos Gerais'!$E$4:$E$3632),-('Gastos Gerais'!$C$4:$C$3632))</f>
        <v>7247.4799999999977</v>
      </c>
      <c r="AA80" s="134">
        <f>SUMPRODUCT(-('Gastos Gerais'!$B$4:$B$3632=Analítico!$B80),-(Analítico!AA$3&gt;='Gastos Gerais'!$D$4:$D$3632),-(Analítico!AA$3&lt;='Gastos Gerais'!$E$4:$E$3632),-('Gastos Gerais'!$C$4:$C$3632))</f>
        <v>7247.4799999999977</v>
      </c>
      <c r="AB80" s="134">
        <f>SUMPRODUCT(-('Gastos Gerais'!$B$4:$B$3632=Analítico!$B80),-(Analítico!AB$3&gt;='Gastos Gerais'!$D$4:$D$3632),-(Analítico!AB$3&lt;='Gastos Gerais'!$E$4:$E$3632),-('Gastos Gerais'!$C$4:$C$3632))</f>
        <v>8007.2599999999984</v>
      </c>
      <c r="AC80" s="134">
        <f>SUMPRODUCT(-('Gastos Gerais'!$B$4:$B$3632=Analítico!$B80),-(Analítico!AC$3&gt;='Gastos Gerais'!$D$4:$D$3632),-(Analítico!AC$3&lt;='Gastos Gerais'!$E$4:$E$3632),-('Gastos Gerais'!$C$4:$C$3632))</f>
        <v>8007.2599999999984</v>
      </c>
      <c r="AD80" s="134">
        <f>SUMPRODUCT(-('Gastos Gerais'!$B$4:$B$3632=Analítico!$B80),-(Analítico!AD$3&gt;='Gastos Gerais'!$D$4:$D$3632),-(Analítico!AD$3&lt;='Gastos Gerais'!$E$4:$E$3632),-('Gastos Gerais'!$C$4:$C$3632))</f>
        <v>8007.2599999999984</v>
      </c>
      <c r="AE80" s="134">
        <f>SUMPRODUCT(-('Gastos Gerais'!$B$4:$B$3632=Analítico!$B80),-(Analítico!AE$3&gt;='Gastos Gerais'!$D$4:$D$3632),-(Analítico!AE$3&lt;='Gastos Gerais'!$E$4:$E$3632),-('Gastos Gerais'!$C$4:$C$3632))</f>
        <v>8007.2599999999984</v>
      </c>
      <c r="AF80" s="134">
        <f>SUMPRODUCT(-('Gastos Gerais'!$B$4:$B$3632=Analítico!$B80),-(Analítico!AF$3&gt;='Gastos Gerais'!$D$4:$D$3632),-(Analítico!AF$3&lt;='Gastos Gerais'!$E$4:$E$3632),-('Gastos Gerais'!$C$4:$C$3632))</f>
        <v>8007.2599999999984</v>
      </c>
      <c r="AG80" s="134">
        <f>SUMPRODUCT(-('Gastos Gerais'!$B$4:$B$3632=Analítico!$B80),-(Analítico!AG$3&gt;='Gastos Gerais'!$D$4:$D$3632),-(Analítico!AG$3&lt;='Gastos Gerais'!$E$4:$E$3632),-('Gastos Gerais'!$C$4:$C$3632))</f>
        <v>8007.2599999999984</v>
      </c>
      <c r="AH80" s="134">
        <f>SUMPRODUCT(-('Gastos Gerais'!$B$4:$B$3632=Analítico!$B80),-(Analítico!AH$3&gt;='Gastos Gerais'!$D$4:$D$3632),-(Analítico!AH$3&lt;='Gastos Gerais'!$E$4:$E$3632),-('Gastos Gerais'!$C$4:$C$3632))</f>
        <v>7615.1899999999987</v>
      </c>
      <c r="AI80" s="134">
        <f>SUMPRODUCT(-('Gastos Gerais'!$B$4:$B$3632=Analítico!$B80),-(Analítico!AI$3&gt;='Gastos Gerais'!$D$4:$D$3632),-(Analítico!AI$3&lt;='Gastos Gerais'!$E$4:$E$3632),-('Gastos Gerais'!$C$4:$C$3632))</f>
        <v>7615.1899999999987</v>
      </c>
      <c r="AJ80" s="134">
        <f>SUMPRODUCT(-('Gastos Gerais'!$B$4:$B$3632=Analítico!$B80),-(Analítico!AJ$3&gt;='Gastos Gerais'!$D$4:$D$3632),-(Analítico!AJ$3&lt;='Gastos Gerais'!$E$4:$E$3632),-('Gastos Gerais'!$C$4:$C$3632))</f>
        <v>7615.1899999999987</v>
      </c>
      <c r="AK80" s="134">
        <f>SUMPRODUCT(-('Gastos Gerais'!$B$4:$B$3632=Analítico!$B80),-(Analítico!AK$3&gt;='Gastos Gerais'!$D$4:$D$3632),-(Analítico!AK$3&lt;='Gastos Gerais'!$E$4:$E$3632),-('Gastos Gerais'!$C$4:$C$3632))</f>
        <v>7615.1899999999987</v>
      </c>
      <c r="AL80" s="134">
        <f>SUMPRODUCT(-('Gastos Gerais'!$B$4:$B$3632=Analítico!$B80),-(Analítico!AL$3&gt;='Gastos Gerais'!$D$4:$D$3632),-(Analítico!AL$3&lt;='Gastos Gerais'!$E$4:$E$3632),-('Gastos Gerais'!$C$4:$C$3632))</f>
        <v>7615.1899999999987</v>
      </c>
      <c r="AM80" s="134">
        <f>SUMPRODUCT(-('Gastos Gerais'!$B$4:$B$3632=Analítico!$B80),-(Analítico!AM$3&gt;='Gastos Gerais'!$D$4:$D$3632),-(Analítico!AM$3&lt;='Gastos Gerais'!$E$4:$E$3632),-('Gastos Gerais'!$C$4:$C$3632))</f>
        <v>7615.1899999999987</v>
      </c>
      <c r="AN80" s="134">
        <f>SUMPRODUCT(-('Gastos Gerais'!$B$4:$B$3632=Analítico!$B80),-(Analítico!AN$3&gt;='Gastos Gerais'!$D$4:$D$3632),-(Analítico!AN$3&lt;='Gastos Gerais'!$E$4:$E$3632),-('Gastos Gerais'!$C$4:$C$3632))</f>
        <v>8858.6700000000037</v>
      </c>
      <c r="AO80" s="134">
        <f>SUMPRODUCT(-('Gastos Gerais'!$B$4:$B$3632=Analítico!$B80),-(Analítico!AO$3&gt;='Gastos Gerais'!$D$4:$D$3632),-(Analítico!AO$3&lt;='Gastos Gerais'!$E$4:$E$3632),-('Gastos Gerais'!$C$4:$C$3632))</f>
        <v>8858.6700000000037</v>
      </c>
      <c r="AP80" s="134">
        <f>SUMPRODUCT(-('Gastos Gerais'!$B$4:$B$3632=Analítico!$B80),-(Analítico!AP$3&gt;='Gastos Gerais'!$D$4:$D$3632),-(Analítico!AP$3&lt;='Gastos Gerais'!$E$4:$E$3632),-('Gastos Gerais'!$C$4:$C$3632))</f>
        <v>8858.6700000000037</v>
      </c>
      <c r="AQ80" s="134">
        <f>SUMPRODUCT(-('Gastos Gerais'!$B$4:$B$3632=Analítico!$B80),-(Analítico!AQ$3&gt;='Gastos Gerais'!$D$4:$D$3632),-(Analítico!AQ$3&lt;='Gastos Gerais'!$E$4:$E$3632),-('Gastos Gerais'!$C$4:$C$3632))</f>
        <v>8858.6700000000037</v>
      </c>
      <c r="AR80" s="134">
        <f>SUMPRODUCT(-('Gastos Gerais'!$B$4:$B$3632=Analítico!$B80),-(Analítico!AR$3&gt;='Gastos Gerais'!$D$4:$D$3632),-(Analítico!AR$3&lt;='Gastos Gerais'!$E$4:$E$3632),-('Gastos Gerais'!$C$4:$C$3632))</f>
        <v>8858.6700000000037</v>
      </c>
      <c r="AS80" s="134">
        <f>SUMPRODUCT(-('Gastos Gerais'!$B$4:$B$3632=Analítico!$B80),-(Analítico!AS$3&gt;='Gastos Gerais'!$D$4:$D$3632),-(Analítico!AS$3&lt;='Gastos Gerais'!$E$4:$E$3632),-('Gastos Gerais'!$C$4:$C$3632))</f>
        <v>8858.6700000000037</v>
      </c>
      <c r="AT80" s="134">
        <f>SUMPRODUCT(-('Gastos Gerais'!$B$4:$B$3632=Analítico!$B80),-(Analítico!AT$3&gt;='Gastos Gerais'!$D$4:$D$3632),-(Analítico!AT$3&lt;='Gastos Gerais'!$E$4:$E$3632),-('Gastos Gerais'!$C$4:$C$3632))</f>
        <v>8443.7000000000044</v>
      </c>
      <c r="AU80" s="134">
        <f>SUMPRODUCT(-('Gastos Gerais'!$B$4:$B$3632=Analítico!$B80),-(Analítico!AU$3&gt;='Gastos Gerais'!$D$4:$D$3632),-(Analítico!AU$3&lt;='Gastos Gerais'!$E$4:$E$3632),-('Gastos Gerais'!$C$4:$C$3632))</f>
        <v>8443.7000000000044</v>
      </c>
      <c r="AV80" s="134">
        <f>SUMPRODUCT(-('Gastos Gerais'!$B$4:$B$3632=Analítico!$B80),-(Analítico!AV$3&gt;='Gastos Gerais'!$D$4:$D$3632),-(Analítico!AV$3&lt;='Gastos Gerais'!$E$4:$E$3632),-('Gastos Gerais'!$C$4:$C$3632))</f>
        <v>8443.7000000000044</v>
      </c>
      <c r="AW80" s="134">
        <f>SUMPRODUCT(-('Gastos Gerais'!$B$4:$B$3632=Analítico!$B80),-(Analítico!AW$3&gt;='Gastos Gerais'!$D$4:$D$3632),-(Analítico!AW$3&lt;='Gastos Gerais'!$E$4:$E$3632),-('Gastos Gerais'!$C$4:$C$3632))</f>
        <v>8443.7000000000044</v>
      </c>
      <c r="AX80" s="134">
        <f>SUMPRODUCT(-('Gastos Gerais'!$B$4:$B$3632=Analítico!$B80),-(Analítico!AX$3&gt;='Gastos Gerais'!$D$4:$D$3632),-(Analítico!AX$3&lt;='Gastos Gerais'!$E$4:$E$3632),-('Gastos Gerais'!$C$4:$C$3632))</f>
        <v>8443.7000000000044</v>
      </c>
      <c r="AY80" s="134">
        <f>SUMPRODUCT(-('Gastos Gerais'!$B$4:$B$3632=Analítico!$B80),-(Analítico!AY$3&gt;='Gastos Gerais'!$D$4:$D$3632),-(Analítico!AY$3&lt;='Gastos Gerais'!$E$4:$E$3632),-('Gastos Gerais'!$C$4:$C$3632))</f>
        <v>8443.7000000000044</v>
      </c>
      <c r="AZ80" s="134">
        <f>SUMPRODUCT(-('Gastos Gerais'!$B$4:$B$3632=Analítico!$B80),-(Analítico!AZ$3&gt;='Gastos Gerais'!$D$4:$D$3632),-(Analítico!AZ$3&lt;='Gastos Gerais'!$E$4:$E$3632),-('Gastos Gerais'!$C$4:$C$3632))</f>
        <v>8855.7799999999988</v>
      </c>
      <c r="BA80" s="134">
        <f>SUMPRODUCT(-('Gastos Gerais'!$B$4:$B$3632=Analítico!$B80),-(Analítico!BA$3&gt;='Gastos Gerais'!$D$4:$D$3632),-(Analítico!BA$3&lt;='Gastos Gerais'!$E$4:$E$3632),-('Gastos Gerais'!$C$4:$C$3632))</f>
        <v>8855.7799999999988</v>
      </c>
      <c r="BB80" s="134">
        <f>SUMPRODUCT(-('Gastos Gerais'!$B$4:$B$3632=Analítico!$B80),-(Analítico!BB$3&gt;='Gastos Gerais'!$D$4:$D$3632),-(Analítico!BB$3&lt;='Gastos Gerais'!$E$4:$E$3632),-('Gastos Gerais'!$C$4:$C$3632))</f>
        <v>8855.7799999999988</v>
      </c>
      <c r="BC80" s="134">
        <f>SUMPRODUCT(-('Gastos Gerais'!$B$4:$B$3632=Analítico!$B80),-(Analítico!BC$3&gt;='Gastos Gerais'!$D$4:$D$3632),-(Analítico!BC$3&lt;='Gastos Gerais'!$E$4:$E$3632),-('Gastos Gerais'!$C$4:$C$3632))</f>
        <v>8855.7799999999988</v>
      </c>
      <c r="BD80" s="134">
        <f>SUMPRODUCT(-('Gastos Gerais'!$B$4:$B$3632=Analítico!$B80),-(Analítico!BD$3&gt;='Gastos Gerais'!$D$4:$D$3632),-(Analítico!BD$3&lt;='Gastos Gerais'!$E$4:$E$3632),-('Gastos Gerais'!$C$4:$C$3632))</f>
        <v>8855.7799999999988</v>
      </c>
      <c r="BE80" s="134">
        <f>SUMPRODUCT(-('Gastos Gerais'!$B$4:$B$3632=Analítico!$B80),-(Analítico!BE$3&gt;='Gastos Gerais'!$D$4:$D$3632),-(Analítico!BE$3&lt;='Gastos Gerais'!$E$4:$E$3632),-('Gastos Gerais'!$C$4:$C$3632))</f>
        <v>8855.7799999999988</v>
      </c>
      <c r="BF80" s="134">
        <f>SUMPRODUCT(-('Gastos Gerais'!$B$4:$B$3632=Analítico!$B80),-(Analítico!BF$3&gt;='Gastos Gerais'!$D$4:$D$3632),-(Analítico!BF$3&lt;='Gastos Gerais'!$E$4:$E$3632),-('Gastos Gerais'!$C$4:$C$3632))</f>
        <v>8416.57</v>
      </c>
      <c r="BG80" s="134">
        <f>SUMPRODUCT(-('Gastos Gerais'!$B$4:$B$3632=Analítico!$B80),-(Analítico!BG$3&gt;='Gastos Gerais'!$D$4:$D$3632),-(Analítico!BG$3&lt;='Gastos Gerais'!$E$4:$E$3632),-('Gastos Gerais'!$C$4:$C$3632))</f>
        <v>8416.57</v>
      </c>
      <c r="BH80" s="134">
        <f>SUMPRODUCT(-('Gastos Gerais'!$B$4:$B$3632=Analítico!$B80),-(Analítico!BH$3&gt;='Gastos Gerais'!$D$4:$D$3632),-(Analítico!BH$3&lt;='Gastos Gerais'!$E$4:$E$3632),-('Gastos Gerais'!$C$4:$C$3632))</f>
        <v>8416.57</v>
      </c>
      <c r="BI80" s="134">
        <f>SUMPRODUCT(-('Gastos Gerais'!$B$4:$B$3632=Analítico!$B80),-(Analítico!BI$3&gt;='Gastos Gerais'!$D$4:$D$3632),-(Analítico!BI$3&lt;='Gastos Gerais'!$E$4:$E$3632),-('Gastos Gerais'!$C$4:$C$3632))</f>
        <v>8416.57</v>
      </c>
      <c r="BJ80" s="134">
        <f>SUMPRODUCT(-('Gastos Gerais'!$B$4:$B$3632=Analítico!$B80),-(Analítico!BJ$3&gt;='Gastos Gerais'!$D$4:$D$3632),-(Analítico!BJ$3&lt;='Gastos Gerais'!$E$4:$E$3632),-('Gastos Gerais'!$C$4:$C$3632))</f>
        <v>8416.57</v>
      </c>
      <c r="BK80" s="189">
        <f t="shared" si="37"/>
        <v>383929.29000000033</v>
      </c>
      <c r="BL80" s="136">
        <f t="shared" ca="1" si="38"/>
        <v>1.1474897107698753E-3</v>
      </c>
      <c r="BN80" s="134">
        <f>SUMPRODUCT(-('Gastos Gerais'!$B$4:$B$3632=Analítico!$B80),-(Analítico!BN$3&gt;='Gastos Gerais'!$D$4:$D$3632),-(Analítico!BN$3&lt;='Gastos Gerais'!$E$4:$E$3632),-('Gastos Gerais'!$C$4:$C$3632))</f>
        <v>0</v>
      </c>
    </row>
    <row r="81" spans="1:66" s="160" customFormat="1" ht="22.5">
      <c r="A81" s="229" t="s">
        <v>239</v>
      </c>
      <c r="B81" s="232" t="s">
        <v>240</v>
      </c>
      <c r="C81" s="188">
        <f t="shared" si="36"/>
        <v>0</v>
      </c>
      <c r="D81" s="134">
        <f>SUMPRODUCT(-('Gastos Gerais'!$B$4:$B$3632=Analítico!$B81),-(Analítico!D$3&gt;='Gastos Gerais'!$D$4:$D$3632),-(Analítico!D$3&lt;='Gastos Gerais'!$E$4:$E$3632),-('Gastos Gerais'!$C$4:$C$3632))</f>
        <v>800</v>
      </c>
      <c r="E81" s="134">
        <f>SUMPRODUCT(-('Gastos Gerais'!$B$4:$B$3632=Analítico!$B81),-(Analítico!E$3&gt;='Gastos Gerais'!$D$4:$D$3632),-(Analítico!E$3&lt;='Gastos Gerais'!$E$4:$E$3632),-('Gastos Gerais'!$C$4:$C$3632))</f>
        <v>850</v>
      </c>
      <c r="F81" s="134">
        <f>SUMPRODUCT(-('Gastos Gerais'!$B$4:$B$3632=Analítico!$B81),-(Analítico!F$3&gt;='Gastos Gerais'!$D$4:$D$3632),-(Analítico!F$3&lt;='Gastos Gerais'!$E$4:$E$3632),-('Gastos Gerais'!$C$4:$C$3632))</f>
        <v>850</v>
      </c>
      <c r="G81" s="134">
        <f>SUMPRODUCT(-('Gastos Gerais'!$B$4:$B$3632=Analítico!$B81),-(Analítico!G$3&gt;='Gastos Gerais'!$D$4:$D$3632),-(Analítico!G$3&lt;='Gastos Gerais'!$E$4:$E$3632),-('Gastos Gerais'!$C$4:$C$3632))</f>
        <v>850</v>
      </c>
      <c r="H81" s="134">
        <f>SUMPRODUCT(-('Gastos Gerais'!$B$4:$B$3632=Analítico!$B81),-(Analítico!H$3&gt;='Gastos Gerais'!$D$4:$D$3632),-(Analítico!H$3&lt;='Gastos Gerais'!$E$4:$E$3632),-('Gastos Gerais'!$C$4:$C$3632))</f>
        <v>850</v>
      </c>
      <c r="I81" s="134">
        <f>SUMPRODUCT(-('Gastos Gerais'!$B$4:$B$3632=Analítico!$B81),-(Analítico!I$3&gt;='Gastos Gerais'!$D$4:$D$3632),-(Analítico!I$3&lt;='Gastos Gerais'!$E$4:$E$3632),-('Gastos Gerais'!$C$4:$C$3632))</f>
        <v>1150</v>
      </c>
      <c r="J81" s="134">
        <f>SUMPRODUCT(-('Gastos Gerais'!$B$4:$B$3632=Analítico!$B81),-(Analítico!J$3&gt;='Gastos Gerais'!$D$4:$D$3632),-(Analítico!J$3&lt;='Gastos Gerais'!$E$4:$E$3632),-('Gastos Gerais'!$C$4:$C$3632))</f>
        <v>1150</v>
      </c>
      <c r="K81" s="134">
        <f>SUMPRODUCT(-('Gastos Gerais'!$B$4:$B$3632=Analítico!$B81),-(Analítico!K$3&gt;='Gastos Gerais'!$D$4:$D$3632),-(Analítico!K$3&lt;='Gastos Gerais'!$E$4:$E$3632),-('Gastos Gerais'!$C$4:$C$3632))</f>
        <v>1150</v>
      </c>
      <c r="L81" s="134">
        <f>SUMPRODUCT(-('Gastos Gerais'!$B$4:$B$3632=Analítico!$B81),-(Analítico!L$3&gt;='Gastos Gerais'!$D$4:$D$3632),-(Analítico!L$3&lt;='Gastos Gerais'!$E$4:$E$3632),-('Gastos Gerais'!$C$4:$C$3632))</f>
        <v>1150</v>
      </c>
      <c r="M81" s="134">
        <f>SUMPRODUCT(-('Gastos Gerais'!$B$4:$B$3632=Analítico!$B81),-(Analítico!M$3&gt;='Gastos Gerais'!$D$4:$D$3632),-(Analítico!M$3&lt;='Gastos Gerais'!$E$4:$E$3632),-('Gastos Gerais'!$C$4:$C$3632))</f>
        <v>1150</v>
      </c>
      <c r="N81" s="134">
        <f>SUMPRODUCT(-('Gastos Gerais'!$B$4:$B$3632=Analítico!$B81),-(Analítico!N$3&gt;='Gastos Gerais'!$D$4:$D$3632),-(Analítico!N$3&lt;='Gastos Gerais'!$E$4:$E$3632),-('Gastos Gerais'!$C$4:$C$3632))</f>
        <v>900</v>
      </c>
      <c r="O81" s="134">
        <f>SUMPRODUCT(-('Gastos Gerais'!$B$4:$B$3632=Analítico!$B81),-(Analítico!O$3&gt;='Gastos Gerais'!$D$4:$D$3632),-(Analítico!O$3&lt;='Gastos Gerais'!$E$4:$E$3632),-('Gastos Gerais'!$C$4:$C$3632))</f>
        <v>900</v>
      </c>
      <c r="P81" s="134">
        <f>SUMPRODUCT(-('Gastos Gerais'!$B$4:$B$3632=Analítico!$B81),-(Analítico!P$3&gt;='Gastos Gerais'!$D$4:$D$3632),-(Analítico!P$3&lt;='Gastos Gerais'!$E$4:$E$3632),-('Gastos Gerais'!$C$4:$C$3632))</f>
        <v>950</v>
      </c>
      <c r="Q81" s="134">
        <f>SUMPRODUCT(-('Gastos Gerais'!$B$4:$B$3632=Analítico!$B81),-(Analítico!Q$3&gt;='Gastos Gerais'!$D$4:$D$3632),-(Analítico!Q$3&lt;='Gastos Gerais'!$E$4:$E$3632),-('Gastos Gerais'!$C$4:$C$3632))</f>
        <v>950</v>
      </c>
      <c r="R81" s="134">
        <f>SUMPRODUCT(-('Gastos Gerais'!$B$4:$B$3632=Analítico!$B81),-(Analítico!R$3&gt;='Gastos Gerais'!$D$4:$D$3632),-(Analítico!R$3&lt;='Gastos Gerais'!$E$4:$E$3632),-('Gastos Gerais'!$C$4:$C$3632))</f>
        <v>950</v>
      </c>
      <c r="S81" s="134">
        <f>SUMPRODUCT(-('Gastos Gerais'!$B$4:$B$3632=Analítico!$B81),-(Analítico!S$3&gt;='Gastos Gerais'!$D$4:$D$3632),-(Analítico!S$3&lt;='Gastos Gerais'!$E$4:$E$3632),-('Gastos Gerais'!$C$4:$C$3632))</f>
        <v>950</v>
      </c>
      <c r="T81" s="134">
        <f>SUMPRODUCT(-('Gastos Gerais'!$B$4:$B$3632=Analítico!$B81),-(Analítico!T$3&gt;='Gastos Gerais'!$D$4:$D$3632),-(Analítico!T$3&lt;='Gastos Gerais'!$E$4:$E$3632),-('Gastos Gerais'!$C$4:$C$3632))</f>
        <v>950</v>
      </c>
      <c r="U81" s="134">
        <f>SUMPRODUCT(-('Gastos Gerais'!$B$4:$B$3632=Analítico!$B81),-(Analítico!U$3&gt;='Gastos Gerais'!$D$4:$D$3632),-(Analítico!U$3&lt;='Gastos Gerais'!$E$4:$E$3632),-('Gastos Gerais'!$C$4:$C$3632))</f>
        <v>1250</v>
      </c>
      <c r="V81" s="134">
        <f>SUMPRODUCT(-('Gastos Gerais'!$B$4:$B$3632=Analítico!$B81),-(Analítico!V$3&gt;='Gastos Gerais'!$D$4:$D$3632),-(Analítico!V$3&lt;='Gastos Gerais'!$E$4:$E$3632),-('Gastos Gerais'!$C$4:$C$3632))</f>
        <v>1250</v>
      </c>
      <c r="W81" s="134">
        <f>SUMPRODUCT(-('Gastos Gerais'!$B$4:$B$3632=Analítico!$B81),-(Analítico!W$3&gt;='Gastos Gerais'!$D$4:$D$3632),-(Analítico!W$3&lt;='Gastos Gerais'!$E$4:$E$3632),-('Gastos Gerais'!$C$4:$C$3632))</f>
        <v>1250</v>
      </c>
      <c r="X81" s="134">
        <f>SUMPRODUCT(-('Gastos Gerais'!$B$4:$B$3632=Analítico!$B81),-(Analítico!X$3&gt;='Gastos Gerais'!$D$4:$D$3632),-(Analítico!X$3&lt;='Gastos Gerais'!$E$4:$E$3632),-('Gastos Gerais'!$C$4:$C$3632))</f>
        <v>1250</v>
      </c>
      <c r="Y81" s="134">
        <f>SUMPRODUCT(-('Gastos Gerais'!$B$4:$B$3632=Analítico!$B81),-(Analítico!Y$3&gt;='Gastos Gerais'!$D$4:$D$3632),-(Analítico!Y$3&lt;='Gastos Gerais'!$E$4:$E$3632),-('Gastos Gerais'!$C$4:$C$3632))</f>
        <v>1250</v>
      </c>
      <c r="Z81" s="134">
        <f>SUMPRODUCT(-('Gastos Gerais'!$B$4:$B$3632=Analítico!$B81),-(Analítico!Z$3&gt;='Gastos Gerais'!$D$4:$D$3632),-(Analítico!Z$3&lt;='Gastos Gerais'!$E$4:$E$3632),-('Gastos Gerais'!$C$4:$C$3632))</f>
        <v>950</v>
      </c>
      <c r="AA81" s="134">
        <f>SUMPRODUCT(-('Gastos Gerais'!$B$4:$B$3632=Analítico!$B81),-(Analítico!AA$3&gt;='Gastos Gerais'!$D$4:$D$3632),-(Analítico!AA$3&lt;='Gastos Gerais'!$E$4:$E$3632),-('Gastos Gerais'!$C$4:$C$3632))</f>
        <v>950</v>
      </c>
      <c r="AB81" s="134">
        <f>SUMPRODUCT(-('Gastos Gerais'!$B$4:$B$3632=Analítico!$B81),-(Analítico!AB$3&gt;='Gastos Gerais'!$D$4:$D$3632),-(Analítico!AB$3&lt;='Gastos Gerais'!$E$4:$E$3632),-('Gastos Gerais'!$C$4:$C$3632))</f>
        <v>950</v>
      </c>
      <c r="AC81" s="134">
        <f>SUMPRODUCT(-('Gastos Gerais'!$B$4:$B$3632=Analítico!$B81),-(Analítico!AC$3&gt;='Gastos Gerais'!$D$4:$D$3632),-(Analítico!AC$3&lt;='Gastos Gerais'!$E$4:$E$3632),-('Gastos Gerais'!$C$4:$C$3632))</f>
        <v>950</v>
      </c>
      <c r="AD81" s="134">
        <f>SUMPRODUCT(-('Gastos Gerais'!$B$4:$B$3632=Analítico!$B81),-(Analítico!AD$3&gt;='Gastos Gerais'!$D$4:$D$3632),-(Analítico!AD$3&lt;='Gastos Gerais'!$E$4:$E$3632),-('Gastos Gerais'!$C$4:$C$3632))</f>
        <v>950</v>
      </c>
      <c r="AE81" s="134">
        <f>SUMPRODUCT(-('Gastos Gerais'!$B$4:$B$3632=Analítico!$B81),-(Analítico!AE$3&gt;='Gastos Gerais'!$D$4:$D$3632),-(Analítico!AE$3&lt;='Gastos Gerais'!$E$4:$E$3632),-('Gastos Gerais'!$C$4:$C$3632))</f>
        <v>950</v>
      </c>
      <c r="AF81" s="134">
        <f>SUMPRODUCT(-('Gastos Gerais'!$B$4:$B$3632=Analítico!$B81),-(Analítico!AF$3&gt;='Gastos Gerais'!$D$4:$D$3632),-(Analítico!AF$3&lt;='Gastos Gerais'!$E$4:$E$3632),-('Gastos Gerais'!$C$4:$C$3632))</f>
        <v>950</v>
      </c>
      <c r="AG81" s="134">
        <f>SUMPRODUCT(-('Gastos Gerais'!$B$4:$B$3632=Analítico!$B81),-(Analítico!AG$3&gt;='Gastos Gerais'!$D$4:$D$3632),-(Analítico!AG$3&lt;='Gastos Gerais'!$E$4:$E$3632),-('Gastos Gerais'!$C$4:$C$3632))</f>
        <v>1250</v>
      </c>
      <c r="AH81" s="134">
        <f>SUMPRODUCT(-('Gastos Gerais'!$B$4:$B$3632=Analítico!$B81),-(Analítico!AH$3&gt;='Gastos Gerais'!$D$4:$D$3632),-(Analítico!AH$3&lt;='Gastos Gerais'!$E$4:$E$3632),-('Gastos Gerais'!$C$4:$C$3632))</f>
        <v>1250</v>
      </c>
      <c r="AI81" s="134">
        <f>SUMPRODUCT(-('Gastos Gerais'!$B$4:$B$3632=Analítico!$B81),-(Analítico!AI$3&gt;='Gastos Gerais'!$D$4:$D$3632),-(Analítico!AI$3&lt;='Gastos Gerais'!$E$4:$E$3632),-('Gastos Gerais'!$C$4:$C$3632))</f>
        <v>1250</v>
      </c>
      <c r="AJ81" s="134">
        <f>SUMPRODUCT(-('Gastos Gerais'!$B$4:$B$3632=Analítico!$B81),-(Analítico!AJ$3&gt;='Gastos Gerais'!$D$4:$D$3632),-(Analítico!AJ$3&lt;='Gastos Gerais'!$E$4:$E$3632),-('Gastos Gerais'!$C$4:$C$3632))</f>
        <v>1250</v>
      </c>
      <c r="AK81" s="134">
        <f>SUMPRODUCT(-('Gastos Gerais'!$B$4:$B$3632=Analítico!$B81),-(Analítico!AK$3&gt;='Gastos Gerais'!$D$4:$D$3632),-(Analítico!AK$3&lt;='Gastos Gerais'!$E$4:$E$3632),-('Gastos Gerais'!$C$4:$C$3632))</f>
        <v>1250</v>
      </c>
      <c r="AL81" s="134">
        <f>SUMPRODUCT(-('Gastos Gerais'!$B$4:$B$3632=Analítico!$B81),-(Analítico!AL$3&gt;='Gastos Gerais'!$D$4:$D$3632),-(Analítico!AL$3&lt;='Gastos Gerais'!$E$4:$E$3632),-('Gastos Gerais'!$C$4:$C$3632))</f>
        <v>950</v>
      </c>
      <c r="AM81" s="134">
        <f>SUMPRODUCT(-('Gastos Gerais'!$B$4:$B$3632=Analítico!$B81),-(Analítico!AM$3&gt;='Gastos Gerais'!$D$4:$D$3632),-(Analítico!AM$3&lt;='Gastos Gerais'!$E$4:$E$3632),-('Gastos Gerais'!$C$4:$C$3632))</f>
        <v>950</v>
      </c>
      <c r="AN81" s="134">
        <f>SUMPRODUCT(-('Gastos Gerais'!$B$4:$B$3632=Analítico!$B81),-(Analítico!AN$3&gt;='Gastos Gerais'!$D$4:$D$3632),-(Analítico!AN$3&lt;='Gastos Gerais'!$E$4:$E$3632),-('Gastos Gerais'!$C$4:$C$3632))</f>
        <v>950</v>
      </c>
      <c r="AO81" s="134">
        <f>SUMPRODUCT(-('Gastos Gerais'!$B$4:$B$3632=Analítico!$B81),-(Analítico!AO$3&gt;='Gastos Gerais'!$D$4:$D$3632),-(Analítico!AO$3&lt;='Gastos Gerais'!$E$4:$E$3632),-('Gastos Gerais'!$C$4:$C$3632))</f>
        <v>950</v>
      </c>
      <c r="AP81" s="134">
        <f>SUMPRODUCT(-('Gastos Gerais'!$B$4:$B$3632=Analítico!$B81),-(Analítico!AP$3&gt;='Gastos Gerais'!$D$4:$D$3632),-(Analítico!AP$3&lt;='Gastos Gerais'!$E$4:$E$3632),-('Gastos Gerais'!$C$4:$C$3632))</f>
        <v>950</v>
      </c>
      <c r="AQ81" s="134">
        <f>SUMPRODUCT(-('Gastos Gerais'!$B$4:$B$3632=Analítico!$B81),-(Analítico!AQ$3&gt;='Gastos Gerais'!$D$4:$D$3632),-(Analítico!AQ$3&lt;='Gastos Gerais'!$E$4:$E$3632),-('Gastos Gerais'!$C$4:$C$3632))</f>
        <v>950</v>
      </c>
      <c r="AR81" s="134">
        <f>SUMPRODUCT(-('Gastos Gerais'!$B$4:$B$3632=Analítico!$B81),-(Analítico!AR$3&gt;='Gastos Gerais'!$D$4:$D$3632),-(Analítico!AR$3&lt;='Gastos Gerais'!$E$4:$E$3632),-('Gastos Gerais'!$C$4:$C$3632))</f>
        <v>950</v>
      </c>
      <c r="AS81" s="134">
        <f>SUMPRODUCT(-('Gastos Gerais'!$B$4:$B$3632=Analítico!$B81),-(Analítico!AS$3&gt;='Gastos Gerais'!$D$4:$D$3632),-(Analítico!AS$3&lt;='Gastos Gerais'!$E$4:$E$3632),-('Gastos Gerais'!$C$4:$C$3632))</f>
        <v>1250</v>
      </c>
      <c r="AT81" s="134">
        <f>SUMPRODUCT(-('Gastos Gerais'!$B$4:$B$3632=Analítico!$B81),-(Analítico!AT$3&gt;='Gastos Gerais'!$D$4:$D$3632),-(Analítico!AT$3&lt;='Gastos Gerais'!$E$4:$E$3632),-('Gastos Gerais'!$C$4:$C$3632))</f>
        <v>1250</v>
      </c>
      <c r="AU81" s="134">
        <f>SUMPRODUCT(-('Gastos Gerais'!$B$4:$B$3632=Analítico!$B81),-(Analítico!AU$3&gt;='Gastos Gerais'!$D$4:$D$3632),-(Analítico!AU$3&lt;='Gastos Gerais'!$E$4:$E$3632),-('Gastos Gerais'!$C$4:$C$3632))</f>
        <v>1250</v>
      </c>
      <c r="AV81" s="134">
        <f>SUMPRODUCT(-('Gastos Gerais'!$B$4:$B$3632=Analítico!$B81),-(Analítico!AV$3&gt;='Gastos Gerais'!$D$4:$D$3632),-(Analítico!AV$3&lt;='Gastos Gerais'!$E$4:$E$3632),-('Gastos Gerais'!$C$4:$C$3632))</f>
        <v>1250</v>
      </c>
      <c r="AW81" s="134">
        <f>SUMPRODUCT(-('Gastos Gerais'!$B$4:$B$3632=Analítico!$B81),-(Analítico!AW$3&gt;='Gastos Gerais'!$D$4:$D$3632),-(Analítico!AW$3&lt;='Gastos Gerais'!$E$4:$E$3632),-('Gastos Gerais'!$C$4:$C$3632))</f>
        <v>1250</v>
      </c>
      <c r="AX81" s="134">
        <f>SUMPRODUCT(-('Gastos Gerais'!$B$4:$B$3632=Analítico!$B81),-(Analítico!AX$3&gt;='Gastos Gerais'!$D$4:$D$3632),-(Analítico!AX$3&lt;='Gastos Gerais'!$E$4:$E$3632),-('Gastos Gerais'!$C$4:$C$3632))</f>
        <v>950</v>
      </c>
      <c r="AY81" s="134">
        <f>SUMPRODUCT(-('Gastos Gerais'!$B$4:$B$3632=Analítico!$B81),-(Analítico!AY$3&gt;='Gastos Gerais'!$D$4:$D$3632),-(Analítico!AY$3&lt;='Gastos Gerais'!$E$4:$E$3632),-('Gastos Gerais'!$C$4:$C$3632))</f>
        <v>950</v>
      </c>
      <c r="AZ81" s="134">
        <f>SUMPRODUCT(-('Gastos Gerais'!$B$4:$B$3632=Analítico!$B81),-(Analítico!AZ$3&gt;='Gastos Gerais'!$D$4:$D$3632),-(Analítico!AZ$3&lt;='Gastos Gerais'!$E$4:$E$3632),-('Gastos Gerais'!$C$4:$C$3632))</f>
        <v>950</v>
      </c>
      <c r="BA81" s="134">
        <f>SUMPRODUCT(-('Gastos Gerais'!$B$4:$B$3632=Analítico!$B81),-(Analítico!BA$3&gt;='Gastos Gerais'!$D$4:$D$3632),-(Analítico!BA$3&lt;='Gastos Gerais'!$E$4:$E$3632),-('Gastos Gerais'!$C$4:$C$3632))</f>
        <v>950</v>
      </c>
      <c r="BB81" s="134">
        <f>SUMPRODUCT(-('Gastos Gerais'!$B$4:$B$3632=Analítico!$B81),-(Analítico!BB$3&gt;='Gastos Gerais'!$D$4:$D$3632),-(Analítico!BB$3&lt;='Gastos Gerais'!$E$4:$E$3632),-('Gastos Gerais'!$C$4:$C$3632))</f>
        <v>950</v>
      </c>
      <c r="BC81" s="134">
        <f>SUMPRODUCT(-('Gastos Gerais'!$B$4:$B$3632=Analítico!$B81),-(Analítico!BC$3&gt;='Gastos Gerais'!$D$4:$D$3632),-(Analítico!BC$3&lt;='Gastos Gerais'!$E$4:$E$3632),-('Gastos Gerais'!$C$4:$C$3632))</f>
        <v>950</v>
      </c>
      <c r="BD81" s="134">
        <f>SUMPRODUCT(-('Gastos Gerais'!$B$4:$B$3632=Analítico!$B81),-(Analítico!BD$3&gt;='Gastos Gerais'!$D$4:$D$3632),-(Analítico!BD$3&lt;='Gastos Gerais'!$E$4:$E$3632),-('Gastos Gerais'!$C$4:$C$3632))</f>
        <v>950</v>
      </c>
      <c r="BE81" s="134">
        <f>SUMPRODUCT(-('Gastos Gerais'!$B$4:$B$3632=Analítico!$B81),-(Analítico!BE$3&gt;='Gastos Gerais'!$D$4:$D$3632),-(Analítico!BE$3&lt;='Gastos Gerais'!$E$4:$E$3632),-('Gastos Gerais'!$C$4:$C$3632))</f>
        <v>1250</v>
      </c>
      <c r="BF81" s="134">
        <f>SUMPRODUCT(-('Gastos Gerais'!$B$4:$B$3632=Analítico!$B81),-(Analítico!BF$3&gt;='Gastos Gerais'!$D$4:$D$3632),-(Analítico!BF$3&lt;='Gastos Gerais'!$E$4:$E$3632),-('Gastos Gerais'!$C$4:$C$3632))</f>
        <v>1250</v>
      </c>
      <c r="BG81" s="134">
        <f>SUMPRODUCT(-('Gastos Gerais'!$B$4:$B$3632=Analítico!$B81),-(Analítico!BG$3&gt;='Gastos Gerais'!$D$4:$D$3632),-(Analítico!BG$3&lt;='Gastos Gerais'!$E$4:$E$3632),-('Gastos Gerais'!$C$4:$C$3632))</f>
        <v>1250</v>
      </c>
      <c r="BH81" s="134">
        <f>SUMPRODUCT(-('Gastos Gerais'!$B$4:$B$3632=Analítico!$B81),-(Analítico!BH$3&gt;='Gastos Gerais'!$D$4:$D$3632),-(Analítico!BH$3&lt;='Gastos Gerais'!$E$4:$E$3632),-('Gastos Gerais'!$C$4:$C$3632))</f>
        <v>1250</v>
      </c>
      <c r="BI81" s="134">
        <f>SUMPRODUCT(-('Gastos Gerais'!$B$4:$B$3632=Analítico!$B81),-(Analítico!BI$3&gt;='Gastos Gerais'!$D$4:$D$3632),-(Analítico!BI$3&lt;='Gastos Gerais'!$E$4:$E$3632),-('Gastos Gerais'!$C$4:$C$3632))</f>
        <v>1250</v>
      </c>
      <c r="BJ81" s="134">
        <f>SUMPRODUCT(-('Gastos Gerais'!$B$4:$B$3632=Analítico!$B81),-(Analítico!BJ$3&gt;='Gastos Gerais'!$D$4:$D$3632),-(Analítico!BJ$3&lt;='Gastos Gerais'!$E$4:$E$3632),-('Gastos Gerais'!$C$4:$C$3632))</f>
        <v>1250</v>
      </c>
      <c r="BK81" s="189">
        <f t="shared" si="37"/>
        <v>62700</v>
      </c>
      <c r="BL81" s="136">
        <f t="shared" ca="1" si="38"/>
        <v>1.8739806193289165E-4</v>
      </c>
      <c r="BN81" s="134">
        <f>SUMPRODUCT(-('Gastos Gerais'!$B$4:$B$3632=Analítico!$B81),-(Analítico!BN$3&gt;='Gastos Gerais'!$D$4:$D$3632),-(Analítico!BN$3&lt;='Gastos Gerais'!$E$4:$E$3632),-('Gastos Gerais'!$C$4:$C$3632))</f>
        <v>0</v>
      </c>
    </row>
    <row r="82" spans="1:66" s="160" customFormat="1" ht="23.25" customHeight="1">
      <c r="A82" s="229" t="s">
        <v>241</v>
      </c>
      <c r="B82" s="232" t="s">
        <v>242</v>
      </c>
      <c r="C82" s="188">
        <f t="shared" si="36"/>
        <v>0</v>
      </c>
      <c r="D82" s="134">
        <f>SUMPRODUCT(-('Gastos Gerais'!$B$4:$B$3632=Analítico!$B82),-(Analítico!D$3&gt;='Gastos Gerais'!$D$4:$D$3632),-(Analítico!D$3&lt;='Gastos Gerais'!$E$4:$E$3632),-('Gastos Gerais'!$C$4:$C$3632))</f>
        <v>0</v>
      </c>
      <c r="E82" s="134">
        <f>SUMPRODUCT(-('Gastos Gerais'!$B$4:$B$3632=Analítico!$B82),-(Analítico!E$3&gt;='Gastos Gerais'!$D$4:$D$3632),-(Analítico!E$3&lt;='Gastos Gerais'!$E$4:$E$3632),-('Gastos Gerais'!$C$4:$C$3632))</f>
        <v>0</v>
      </c>
      <c r="F82" s="134">
        <f>SUMPRODUCT(-('Gastos Gerais'!$B$4:$B$3632=Analítico!$B82),-(Analítico!F$3&gt;='Gastos Gerais'!$D$4:$D$3632),-(Analítico!F$3&lt;='Gastos Gerais'!$E$4:$E$3632),-('Gastos Gerais'!$C$4:$C$3632))</f>
        <v>0</v>
      </c>
      <c r="G82" s="134">
        <f>SUMPRODUCT(-('Gastos Gerais'!$B$4:$B$3632=Analítico!$B82),-(Analítico!G$3&gt;='Gastos Gerais'!$D$4:$D$3632),-(Analítico!G$3&lt;='Gastos Gerais'!$E$4:$E$3632),-('Gastos Gerais'!$C$4:$C$3632))</f>
        <v>0</v>
      </c>
      <c r="H82" s="134">
        <f>SUMPRODUCT(-('Gastos Gerais'!$B$4:$B$3632=Analítico!$B82),-(Analítico!H$3&gt;='Gastos Gerais'!$D$4:$D$3632),-(Analítico!H$3&lt;='Gastos Gerais'!$E$4:$E$3632),-('Gastos Gerais'!$C$4:$C$3632))</f>
        <v>0</v>
      </c>
      <c r="I82" s="134">
        <f>SUMPRODUCT(-('Gastos Gerais'!$B$4:$B$3632=Analítico!$B82),-(Analítico!I$3&gt;='Gastos Gerais'!$D$4:$D$3632),-(Analítico!I$3&lt;='Gastos Gerais'!$E$4:$E$3632),-('Gastos Gerais'!$C$4:$C$3632))</f>
        <v>0</v>
      </c>
      <c r="J82" s="134">
        <f>SUMPRODUCT(-('Gastos Gerais'!$B$4:$B$3632=Analítico!$B82),-(Analítico!J$3&gt;='Gastos Gerais'!$D$4:$D$3632),-(Analítico!J$3&lt;='Gastos Gerais'!$E$4:$E$3632),-('Gastos Gerais'!$C$4:$C$3632))</f>
        <v>0</v>
      </c>
      <c r="K82" s="134">
        <f>SUMPRODUCT(-('Gastos Gerais'!$B$4:$B$3632=Analítico!$B82),-(Analítico!K$3&gt;='Gastos Gerais'!$D$4:$D$3632),-(Analítico!K$3&lt;='Gastos Gerais'!$E$4:$E$3632),-('Gastos Gerais'!$C$4:$C$3632))</f>
        <v>0</v>
      </c>
      <c r="L82" s="134">
        <f>SUMPRODUCT(-('Gastos Gerais'!$B$4:$B$3632=Analítico!$B82),-(Analítico!L$3&gt;='Gastos Gerais'!$D$4:$D$3632),-(Analítico!L$3&lt;='Gastos Gerais'!$E$4:$E$3632),-('Gastos Gerais'!$C$4:$C$3632))</f>
        <v>0</v>
      </c>
      <c r="M82" s="134">
        <f>SUMPRODUCT(-('Gastos Gerais'!$B$4:$B$3632=Analítico!$B82),-(Analítico!M$3&gt;='Gastos Gerais'!$D$4:$D$3632),-(Analítico!M$3&lt;='Gastos Gerais'!$E$4:$E$3632),-('Gastos Gerais'!$C$4:$C$3632))</f>
        <v>0</v>
      </c>
      <c r="N82" s="134">
        <f>SUMPRODUCT(-('Gastos Gerais'!$B$4:$B$3632=Analítico!$B82),-(Analítico!N$3&gt;='Gastos Gerais'!$D$4:$D$3632),-(Analítico!N$3&lt;='Gastos Gerais'!$E$4:$E$3632),-('Gastos Gerais'!$C$4:$C$3632))</f>
        <v>0</v>
      </c>
      <c r="O82" s="134">
        <f>SUMPRODUCT(-('Gastos Gerais'!$B$4:$B$3632=Analítico!$B82),-(Analítico!O$3&gt;='Gastos Gerais'!$D$4:$D$3632),-(Analítico!O$3&lt;='Gastos Gerais'!$E$4:$E$3632),-('Gastos Gerais'!$C$4:$C$3632))</f>
        <v>0</v>
      </c>
      <c r="P82" s="134">
        <f>SUMPRODUCT(-('Gastos Gerais'!$B$4:$B$3632=Analítico!$B82),-(Analítico!P$3&gt;='Gastos Gerais'!$D$4:$D$3632),-(Analítico!P$3&lt;='Gastos Gerais'!$E$4:$E$3632),-('Gastos Gerais'!$C$4:$C$3632))</f>
        <v>0</v>
      </c>
      <c r="Q82" s="134">
        <f>SUMPRODUCT(-('Gastos Gerais'!$B$4:$B$3632=Analítico!$B82),-(Analítico!Q$3&gt;='Gastos Gerais'!$D$4:$D$3632),-(Analítico!Q$3&lt;='Gastos Gerais'!$E$4:$E$3632),-('Gastos Gerais'!$C$4:$C$3632))</f>
        <v>0</v>
      </c>
      <c r="R82" s="134">
        <f>SUMPRODUCT(-('Gastos Gerais'!$B$4:$B$3632=Analítico!$B82),-(Analítico!R$3&gt;='Gastos Gerais'!$D$4:$D$3632),-(Analítico!R$3&lt;='Gastos Gerais'!$E$4:$E$3632),-('Gastos Gerais'!$C$4:$C$3632))</f>
        <v>0</v>
      </c>
      <c r="S82" s="134">
        <f>SUMPRODUCT(-('Gastos Gerais'!$B$4:$B$3632=Analítico!$B82),-(Analítico!S$3&gt;='Gastos Gerais'!$D$4:$D$3632),-(Analítico!S$3&lt;='Gastos Gerais'!$E$4:$E$3632),-('Gastos Gerais'!$C$4:$C$3632))</f>
        <v>0</v>
      </c>
      <c r="T82" s="134">
        <f>SUMPRODUCT(-('Gastos Gerais'!$B$4:$B$3632=Analítico!$B82),-(Analítico!T$3&gt;='Gastos Gerais'!$D$4:$D$3632),-(Analítico!T$3&lt;='Gastos Gerais'!$E$4:$E$3632),-('Gastos Gerais'!$C$4:$C$3632))</f>
        <v>0</v>
      </c>
      <c r="U82" s="134">
        <f>SUMPRODUCT(-('Gastos Gerais'!$B$4:$B$3632=Analítico!$B82),-(Analítico!U$3&gt;='Gastos Gerais'!$D$4:$D$3632),-(Analítico!U$3&lt;='Gastos Gerais'!$E$4:$E$3632),-('Gastos Gerais'!$C$4:$C$3632))</f>
        <v>0</v>
      </c>
      <c r="V82" s="134">
        <f>SUMPRODUCT(-('Gastos Gerais'!$B$4:$B$3632=Analítico!$B82),-(Analítico!V$3&gt;='Gastos Gerais'!$D$4:$D$3632),-(Analítico!V$3&lt;='Gastos Gerais'!$E$4:$E$3632),-('Gastos Gerais'!$C$4:$C$3632))</f>
        <v>0</v>
      </c>
      <c r="W82" s="134">
        <f>SUMPRODUCT(-('Gastos Gerais'!$B$4:$B$3632=Analítico!$B82),-(Analítico!W$3&gt;='Gastos Gerais'!$D$4:$D$3632),-(Analítico!W$3&lt;='Gastos Gerais'!$E$4:$E$3632),-('Gastos Gerais'!$C$4:$C$3632))</f>
        <v>0</v>
      </c>
      <c r="X82" s="134">
        <f>SUMPRODUCT(-('Gastos Gerais'!$B$4:$B$3632=Analítico!$B82),-(Analítico!X$3&gt;='Gastos Gerais'!$D$4:$D$3632),-(Analítico!X$3&lt;='Gastos Gerais'!$E$4:$E$3632),-('Gastos Gerais'!$C$4:$C$3632))</f>
        <v>0</v>
      </c>
      <c r="Y82" s="134">
        <f>SUMPRODUCT(-('Gastos Gerais'!$B$4:$B$3632=Analítico!$B82),-(Analítico!Y$3&gt;='Gastos Gerais'!$D$4:$D$3632),-(Analítico!Y$3&lt;='Gastos Gerais'!$E$4:$E$3632),-('Gastos Gerais'!$C$4:$C$3632))</f>
        <v>0</v>
      </c>
      <c r="Z82" s="134">
        <f>SUMPRODUCT(-('Gastos Gerais'!$B$4:$B$3632=Analítico!$B82),-(Analítico!Z$3&gt;='Gastos Gerais'!$D$4:$D$3632),-(Analítico!Z$3&lt;='Gastos Gerais'!$E$4:$E$3632),-('Gastos Gerais'!$C$4:$C$3632))</f>
        <v>0</v>
      </c>
      <c r="AA82" s="134">
        <f>SUMPRODUCT(-('Gastos Gerais'!$B$4:$B$3632=Analítico!$B82),-(Analítico!AA$3&gt;='Gastos Gerais'!$D$4:$D$3632),-(Analítico!AA$3&lt;='Gastos Gerais'!$E$4:$E$3632),-('Gastos Gerais'!$C$4:$C$3632))</f>
        <v>0</v>
      </c>
      <c r="AB82" s="134">
        <f>SUMPRODUCT(-('Gastos Gerais'!$B$4:$B$3632=Analítico!$B82),-(Analítico!AB$3&gt;='Gastos Gerais'!$D$4:$D$3632),-(Analítico!AB$3&lt;='Gastos Gerais'!$E$4:$E$3632),-('Gastos Gerais'!$C$4:$C$3632))</f>
        <v>0</v>
      </c>
      <c r="AC82" s="134">
        <f>SUMPRODUCT(-('Gastos Gerais'!$B$4:$B$3632=Analítico!$B82),-(Analítico!AC$3&gt;='Gastos Gerais'!$D$4:$D$3632),-(Analítico!AC$3&lt;='Gastos Gerais'!$E$4:$E$3632),-('Gastos Gerais'!$C$4:$C$3632))</f>
        <v>0</v>
      </c>
      <c r="AD82" s="134">
        <f>SUMPRODUCT(-('Gastos Gerais'!$B$4:$B$3632=Analítico!$B82),-(Analítico!AD$3&gt;='Gastos Gerais'!$D$4:$D$3632),-(Analítico!AD$3&lt;='Gastos Gerais'!$E$4:$E$3632),-('Gastos Gerais'!$C$4:$C$3632))</f>
        <v>0</v>
      </c>
      <c r="AE82" s="134">
        <f>SUMPRODUCT(-('Gastos Gerais'!$B$4:$B$3632=Analítico!$B82),-(Analítico!AE$3&gt;='Gastos Gerais'!$D$4:$D$3632),-(Analítico!AE$3&lt;='Gastos Gerais'!$E$4:$E$3632),-('Gastos Gerais'!$C$4:$C$3632))</f>
        <v>0</v>
      </c>
      <c r="AF82" s="134">
        <f>SUMPRODUCT(-('Gastos Gerais'!$B$4:$B$3632=Analítico!$B82),-(Analítico!AF$3&gt;='Gastos Gerais'!$D$4:$D$3632),-(Analítico!AF$3&lt;='Gastos Gerais'!$E$4:$E$3632),-('Gastos Gerais'!$C$4:$C$3632))</f>
        <v>0</v>
      </c>
      <c r="AG82" s="134">
        <f>SUMPRODUCT(-('Gastos Gerais'!$B$4:$B$3632=Analítico!$B82),-(Analítico!AG$3&gt;='Gastos Gerais'!$D$4:$D$3632),-(Analítico!AG$3&lt;='Gastos Gerais'!$E$4:$E$3632),-('Gastos Gerais'!$C$4:$C$3632))</f>
        <v>0</v>
      </c>
      <c r="AH82" s="134">
        <f>SUMPRODUCT(-('Gastos Gerais'!$B$4:$B$3632=Analítico!$B82),-(Analítico!AH$3&gt;='Gastos Gerais'!$D$4:$D$3632),-(Analítico!AH$3&lt;='Gastos Gerais'!$E$4:$E$3632),-('Gastos Gerais'!$C$4:$C$3632))</f>
        <v>0</v>
      </c>
      <c r="AI82" s="134">
        <f>SUMPRODUCT(-('Gastos Gerais'!$B$4:$B$3632=Analítico!$B82),-(Analítico!AI$3&gt;='Gastos Gerais'!$D$4:$D$3632),-(Analítico!AI$3&lt;='Gastos Gerais'!$E$4:$E$3632),-('Gastos Gerais'!$C$4:$C$3632))</f>
        <v>0</v>
      </c>
      <c r="AJ82" s="134">
        <f>SUMPRODUCT(-('Gastos Gerais'!$B$4:$B$3632=Analítico!$B82),-(Analítico!AJ$3&gt;='Gastos Gerais'!$D$4:$D$3632),-(Analítico!AJ$3&lt;='Gastos Gerais'!$E$4:$E$3632),-('Gastos Gerais'!$C$4:$C$3632))</f>
        <v>0</v>
      </c>
      <c r="AK82" s="134">
        <f>SUMPRODUCT(-('Gastos Gerais'!$B$4:$B$3632=Analítico!$B82),-(Analítico!AK$3&gt;='Gastos Gerais'!$D$4:$D$3632),-(Analítico!AK$3&lt;='Gastos Gerais'!$E$4:$E$3632),-('Gastos Gerais'!$C$4:$C$3632))</f>
        <v>0</v>
      </c>
      <c r="AL82" s="134">
        <f>SUMPRODUCT(-('Gastos Gerais'!$B$4:$B$3632=Analítico!$B82),-(Analítico!AL$3&gt;='Gastos Gerais'!$D$4:$D$3632),-(Analítico!AL$3&lt;='Gastos Gerais'!$E$4:$E$3632),-('Gastos Gerais'!$C$4:$C$3632))</f>
        <v>0</v>
      </c>
      <c r="AM82" s="134">
        <f>SUMPRODUCT(-('Gastos Gerais'!$B$4:$B$3632=Analítico!$B82),-(Analítico!AM$3&gt;='Gastos Gerais'!$D$4:$D$3632),-(Analítico!AM$3&lt;='Gastos Gerais'!$E$4:$E$3632),-('Gastos Gerais'!$C$4:$C$3632))</f>
        <v>0</v>
      </c>
      <c r="AN82" s="134">
        <f>SUMPRODUCT(-('Gastos Gerais'!$B$4:$B$3632=Analítico!$B82),-(Analítico!AN$3&gt;='Gastos Gerais'!$D$4:$D$3632),-(Analítico!AN$3&lt;='Gastos Gerais'!$E$4:$E$3632),-('Gastos Gerais'!$C$4:$C$3632))</f>
        <v>0</v>
      </c>
      <c r="AO82" s="134">
        <f>SUMPRODUCT(-('Gastos Gerais'!$B$4:$B$3632=Analítico!$B82),-(Analítico!AO$3&gt;='Gastos Gerais'!$D$4:$D$3632),-(Analítico!AO$3&lt;='Gastos Gerais'!$E$4:$E$3632),-('Gastos Gerais'!$C$4:$C$3632))</f>
        <v>0</v>
      </c>
      <c r="AP82" s="134">
        <f>SUMPRODUCT(-('Gastos Gerais'!$B$4:$B$3632=Analítico!$B82),-(Analítico!AP$3&gt;='Gastos Gerais'!$D$4:$D$3632),-(Analítico!AP$3&lt;='Gastos Gerais'!$E$4:$E$3632),-('Gastos Gerais'!$C$4:$C$3632))</f>
        <v>0</v>
      </c>
      <c r="AQ82" s="134">
        <f>SUMPRODUCT(-('Gastos Gerais'!$B$4:$B$3632=Analítico!$B82),-(Analítico!AQ$3&gt;='Gastos Gerais'!$D$4:$D$3632),-(Analítico!AQ$3&lt;='Gastos Gerais'!$E$4:$E$3632),-('Gastos Gerais'!$C$4:$C$3632))</f>
        <v>0</v>
      </c>
      <c r="AR82" s="134">
        <f>SUMPRODUCT(-('Gastos Gerais'!$B$4:$B$3632=Analítico!$B82),-(Analítico!AR$3&gt;='Gastos Gerais'!$D$4:$D$3632),-(Analítico!AR$3&lt;='Gastos Gerais'!$E$4:$E$3632),-('Gastos Gerais'!$C$4:$C$3632))</f>
        <v>0</v>
      </c>
      <c r="AS82" s="134">
        <f>SUMPRODUCT(-('Gastos Gerais'!$B$4:$B$3632=Analítico!$B82),-(Analítico!AS$3&gt;='Gastos Gerais'!$D$4:$D$3632),-(Analítico!AS$3&lt;='Gastos Gerais'!$E$4:$E$3632),-('Gastos Gerais'!$C$4:$C$3632))</f>
        <v>0</v>
      </c>
      <c r="AT82" s="134">
        <f>SUMPRODUCT(-('Gastos Gerais'!$B$4:$B$3632=Analítico!$B82),-(Analítico!AT$3&gt;='Gastos Gerais'!$D$4:$D$3632),-(Analítico!AT$3&lt;='Gastos Gerais'!$E$4:$E$3632),-('Gastos Gerais'!$C$4:$C$3632))</f>
        <v>0</v>
      </c>
      <c r="AU82" s="134">
        <f>SUMPRODUCT(-('Gastos Gerais'!$B$4:$B$3632=Analítico!$B82),-(Analítico!AU$3&gt;='Gastos Gerais'!$D$4:$D$3632),-(Analítico!AU$3&lt;='Gastos Gerais'!$E$4:$E$3632),-('Gastos Gerais'!$C$4:$C$3632))</f>
        <v>0</v>
      </c>
      <c r="AV82" s="134">
        <f>SUMPRODUCT(-('Gastos Gerais'!$B$4:$B$3632=Analítico!$B82),-(Analítico!AV$3&gt;='Gastos Gerais'!$D$4:$D$3632),-(Analítico!AV$3&lt;='Gastos Gerais'!$E$4:$E$3632),-('Gastos Gerais'!$C$4:$C$3632))</f>
        <v>0</v>
      </c>
      <c r="AW82" s="134">
        <f>SUMPRODUCT(-('Gastos Gerais'!$B$4:$B$3632=Analítico!$B82),-(Analítico!AW$3&gt;='Gastos Gerais'!$D$4:$D$3632),-(Analítico!AW$3&lt;='Gastos Gerais'!$E$4:$E$3632),-('Gastos Gerais'!$C$4:$C$3632))</f>
        <v>0</v>
      </c>
      <c r="AX82" s="134">
        <f>SUMPRODUCT(-('Gastos Gerais'!$B$4:$B$3632=Analítico!$B82),-(Analítico!AX$3&gt;='Gastos Gerais'!$D$4:$D$3632),-(Analítico!AX$3&lt;='Gastos Gerais'!$E$4:$E$3632),-('Gastos Gerais'!$C$4:$C$3632))</f>
        <v>0</v>
      </c>
      <c r="AY82" s="134">
        <f>SUMPRODUCT(-('Gastos Gerais'!$B$4:$B$3632=Analítico!$B82),-(Analítico!AY$3&gt;='Gastos Gerais'!$D$4:$D$3632),-(Analítico!AY$3&lt;='Gastos Gerais'!$E$4:$E$3632),-('Gastos Gerais'!$C$4:$C$3632))</f>
        <v>0</v>
      </c>
      <c r="AZ82" s="134">
        <f>SUMPRODUCT(-('Gastos Gerais'!$B$4:$B$3632=Analítico!$B82),-(Analítico!AZ$3&gt;='Gastos Gerais'!$D$4:$D$3632),-(Analítico!AZ$3&lt;='Gastos Gerais'!$E$4:$E$3632),-('Gastos Gerais'!$C$4:$C$3632))</f>
        <v>0</v>
      </c>
      <c r="BA82" s="134">
        <f>SUMPRODUCT(-('Gastos Gerais'!$B$4:$B$3632=Analítico!$B82),-(Analítico!BA$3&gt;='Gastos Gerais'!$D$4:$D$3632),-(Analítico!BA$3&lt;='Gastos Gerais'!$E$4:$E$3632),-('Gastos Gerais'!$C$4:$C$3632))</f>
        <v>0</v>
      </c>
      <c r="BB82" s="134">
        <f>SUMPRODUCT(-('Gastos Gerais'!$B$4:$B$3632=Analítico!$B82),-(Analítico!BB$3&gt;='Gastos Gerais'!$D$4:$D$3632),-(Analítico!BB$3&lt;='Gastos Gerais'!$E$4:$E$3632),-('Gastos Gerais'!$C$4:$C$3632))</f>
        <v>0</v>
      </c>
      <c r="BC82" s="134">
        <f>SUMPRODUCT(-('Gastos Gerais'!$B$4:$B$3632=Analítico!$B82),-(Analítico!BC$3&gt;='Gastos Gerais'!$D$4:$D$3632),-(Analítico!BC$3&lt;='Gastos Gerais'!$E$4:$E$3632),-('Gastos Gerais'!$C$4:$C$3632))</f>
        <v>0</v>
      </c>
      <c r="BD82" s="134">
        <f>SUMPRODUCT(-('Gastos Gerais'!$B$4:$B$3632=Analítico!$B82),-(Analítico!BD$3&gt;='Gastos Gerais'!$D$4:$D$3632),-(Analítico!BD$3&lt;='Gastos Gerais'!$E$4:$E$3632),-('Gastos Gerais'!$C$4:$C$3632))</f>
        <v>0</v>
      </c>
      <c r="BE82" s="134">
        <f>SUMPRODUCT(-('Gastos Gerais'!$B$4:$B$3632=Analítico!$B82),-(Analítico!BE$3&gt;='Gastos Gerais'!$D$4:$D$3632),-(Analítico!BE$3&lt;='Gastos Gerais'!$E$4:$E$3632),-('Gastos Gerais'!$C$4:$C$3632))</f>
        <v>0</v>
      </c>
      <c r="BF82" s="134">
        <f>SUMPRODUCT(-('Gastos Gerais'!$B$4:$B$3632=Analítico!$B82),-(Analítico!BF$3&gt;='Gastos Gerais'!$D$4:$D$3632),-(Analítico!BF$3&lt;='Gastos Gerais'!$E$4:$E$3632),-('Gastos Gerais'!$C$4:$C$3632))</f>
        <v>0</v>
      </c>
      <c r="BG82" s="134">
        <f>SUMPRODUCT(-('Gastos Gerais'!$B$4:$B$3632=Analítico!$B82),-(Analítico!BG$3&gt;='Gastos Gerais'!$D$4:$D$3632),-(Analítico!BG$3&lt;='Gastos Gerais'!$E$4:$E$3632),-('Gastos Gerais'!$C$4:$C$3632))</f>
        <v>1000</v>
      </c>
      <c r="BH82" s="134">
        <f>SUMPRODUCT(-('Gastos Gerais'!$B$4:$B$3632=Analítico!$B82),-(Analítico!BH$3&gt;='Gastos Gerais'!$D$4:$D$3632),-(Analítico!BH$3&lt;='Gastos Gerais'!$E$4:$E$3632),-('Gastos Gerais'!$C$4:$C$3632))</f>
        <v>1000</v>
      </c>
      <c r="BI82" s="134">
        <f>SUMPRODUCT(-('Gastos Gerais'!$B$4:$B$3632=Analítico!$B82),-(Analítico!BI$3&gt;='Gastos Gerais'!$D$4:$D$3632),-(Analítico!BI$3&lt;='Gastos Gerais'!$E$4:$E$3632),-('Gastos Gerais'!$C$4:$C$3632))</f>
        <v>1000</v>
      </c>
      <c r="BJ82" s="134">
        <f>SUMPRODUCT(-('Gastos Gerais'!$B$4:$B$3632=Analítico!$B82),-(Analítico!BJ$3&gt;='Gastos Gerais'!$D$4:$D$3632),-(Analítico!BJ$3&lt;='Gastos Gerais'!$E$4:$E$3632),-('Gastos Gerais'!$C$4:$C$3632))</f>
        <v>1000</v>
      </c>
      <c r="BK82" s="189">
        <f t="shared" si="37"/>
        <v>4000</v>
      </c>
      <c r="BL82" s="136">
        <f t="shared" ca="1" si="38"/>
        <v>1.1955219262066453E-5</v>
      </c>
      <c r="BN82" s="134">
        <f>SUMPRODUCT(-('Gastos Gerais'!$B$4:$B$3632=Analítico!$B82),-(Analítico!BN$3&gt;='Gastos Gerais'!$D$4:$D$3632),-(Analítico!BN$3&lt;='Gastos Gerais'!$E$4:$E$3632),-('Gastos Gerais'!$C$4:$C$3632))</f>
        <v>0</v>
      </c>
    </row>
    <row r="83" spans="1:66" s="160" customFormat="1" ht="23.25" customHeight="1">
      <c r="A83" s="229" t="s">
        <v>243</v>
      </c>
      <c r="B83" s="232" t="s">
        <v>244</v>
      </c>
      <c r="C83" s="188">
        <f t="shared" si="36"/>
        <v>1080</v>
      </c>
      <c r="D83" s="134">
        <f>SUMPRODUCT(-('Gastos Gerais'!$B$4:$B$3632=Analítico!$B83),-(Analítico!D$3&gt;='Gastos Gerais'!$D$4:$D$3632),-(Analítico!D$3&lt;='Gastos Gerais'!$E$4:$E$3632),-('Gastos Gerais'!$C$4:$C$3632))</f>
        <v>4850</v>
      </c>
      <c r="E83" s="134">
        <f>SUMPRODUCT(-('Gastos Gerais'!$B$4:$B$3632=Analítico!$B83),-(Analítico!E$3&gt;='Gastos Gerais'!$D$4:$D$3632),-(Analítico!E$3&lt;='Gastos Gerais'!$E$4:$E$3632),-('Gastos Gerais'!$C$4:$C$3632))</f>
        <v>5100</v>
      </c>
      <c r="F83" s="134">
        <f>SUMPRODUCT(-('Gastos Gerais'!$B$4:$B$3632=Analítico!$B83),-(Analítico!F$3&gt;='Gastos Gerais'!$D$4:$D$3632),-(Analítico!F$3&lt;='Gastos Gerais'!$E$4:$E$3632),-('Gastos Gerais'!$C$4:$C$3632))</f>
        <v>5100</v>
      </c>
      <c r="G83" s="134">
        <f>SUMPRODUCT(-('Gastos Gerais'!$B$4:$B$3632=Analítico!$B83),-(Analítico!G$3&gt;='Gastos Gerais'!$D$4:$D$3632),-(Analítico!G$3&lt;='Gastos Gerais'!$E$4:$E$3632),-('Gastos Gerais'!$C$4:$C$3632))</f>
        <v>5100</v>
      </c>
      <c r="H83" s="134">
        <f>SUMPRODUCT(-('Gastos Gerais'!$B$4:$B$3632=Analítico!$B83),-(Analítico!H$3&gt;='Gastos Gerais'!$D$4:$D$3632),-(Analítico!H$3&lt;='Gastos Gerais'!$E$4:$E$3632),-('Gastos Gerais'!$C$4:$C$3632))</f>
        <v>5100</v>
      </c>
      <c r="I83" s="134">
        <f>SUMPRODUCT(-('Gastos Gerais'!$B$4:$B$3632=Analítico!$B83),-(Analítico!I$3&gt;='Gastos Gerais'!$D$4:$D$3632),-(Analítico!I$3&lt;='Gastos Gerais'!$E$4:$E$3632),-('Gastos Gerais'!$C$4:$C$3632))</f>
        <v>5100</v>
      </c>
      <c r="J83" s="134">
        <f>SUMPRODUCT(-('Gastos Gerais'!$B$4:$B$3632=Analítico!$B83),-(Analítico!J$3&gt;='Gastos Gerais'!$D$4:$D$3632),-(Analítico!J$3&lt;='Gastos Gerais'!$E$4:$E$3632),-('Gastos Gerais'!$C$4:$C$3632))</f>
        <v>5100</v>
      </c>
      <c r="K83" s="134">
        <f>SUMPRODUCT(-('Gastos Gerais'!$B$4:$B$3632=Analítico!$B83),-(Analítico!K$3&gt;='Gastos Gerais'!$D$4:$D$3632),-(Analítico!K$3&lt;='Gastos Gerais'!$E$4:$E$3632),-('Gastos Gerais'!$C$4:$C$3632))</f>
        <v>5100</v>
      </c>
      <c r="L83" s="134">
        <f>SUMPRODUCT(-('Gastos Gerais'!$B$4:$B$3632=Analítico!$B83),-(Analítico!L$3&gt;='Gastos Gerais'!$D$4:$D$3632),-(Analítico!L$3&lt;='Gastos Gerais'!$E$4:$E$3632),-('Gastos Gerais'!$C$4:$C$3632))</f>
        <v>5100</v>
      </c>
      <c r="M83" s="134">
        <f>SUMPRODUCT(-('Gastos Gerais'!$B$4:$B$3632=Analítico!$B83),-(Analítico!M$3&gt;='Gastos Gerais'!$D$4:$D$3632),-(Analítico!M$3&lt;='Gastos Gerais'!$E$4:$E$3632),-('Gastos Gerais'!$C$4:$C$3632))</f>
        <v>5100</v>
      </c>
      <c r="N83" s="134">
        <f>SUMPRODUCT(-('Gastos Gerais'!$B$4:$B$3632=Analítico!$B83),-(Analítico!N$3&gt;='Gastos Gerais'!$D$4:$D$3632),-(Analítico!N$3&lt;='Gastos Gerais'!$E$4:$E$3632),-('Gastos Gerais'!$C$4:$C$3632))</f>
        <v>5443.8</v>
      </c>
      <c r="O83" s="134">
        <f>SUMPRODUCT(-('Gastos Gerais'!$B$4:$B$3632=Analítico!$B83),-(Analítico!O$3&gt;='Gastos Gerais'!$D$4:$D$3632),-(Analítico!O$3&lt;='Gastos Gerais'!$E$4:$E$3632),-('Gastos Gerais'!$C$4:$C$3632))</f>
        <v>5443.8</v>
      </c>
      <c r="P83" s="134">
        <f>SUMPRODUCT(-('Gastos Gerais'!$B$4:$B$3632=Analítico!$B83),-(Analítico!P$3&gt;='Gastos Gerais'!$D$4:$D$3632),-(Analítico!P$3&lt;='Gastos Gerais'!$E$4:$E$3632),-('Gastos Gerais'!$C$4:$C$3632))</f>
        <v>6323.8</v>
      </c>
      <c r="Q83" s="134">
        <f>SUMPRODUCT(-('Gastos Gerais'!$B$4:$B$3632=Analítico!$B83),-(Analítico!Q$3&gt;='Gastos Gerais'!$D$4:$D$3632),-(Analítico!Q$3&lt;='Gastos Gerais'!$E$4:$E$3632),-('Gastos Gerais'!$C$4:$C$3632))</f>
        <v>6323.8</v>
      </c>
      <c r="R83" s="134">
        <f>SUMPRODUCT(-('Gastos Gerais'!$B$4:$B$3632=Analítico!$B83),-(Analítico!R$3&gt;='Gastos Gerais'!$D$4:$D$3632),-(Analítico!R$3&lt;='Gastos Gerais'!$E$4:$E$3632),-('Gastos Gerais'!$C$4:$C$3632))</f>
        <v>6323.8</v>
      </c>
      <c r="S83" s="134">
        <f>SUMPRODUCT(-('Gastos Gerais'!$B$4:$B$3632=Analítico!$B83),-(Analítico!S$3&gt;='Gastos Gerais'!$D$4:$D$3632),-(Analítico!S$3&lt;='Gastos Gerais'!$E$4:$E$3632),-('Gastos Gerais'!$C$4:$C$3632))</f>
        <v>6323.8</v>
      </c>
      <c r="T83" s="134">
        <f>SUMPRODUCT(-('Gastos Gerais'!$B$4:$B$3632=Analítico!$B83),-(Analítico!T$3&gt;='Gastos Gerais'!$D$4:$D$3632),-(Analítico!T$3&lt;='Gastos Gerais'!$E$4:$E$3632),-('Gastos Gerais'!$C$4:$C$3632))</f>
        <v>6323.8</v>
      </c>
      <c r="U83" s="134">
        <f>SUMPRODUCT(-('Gastos Gerais'!$B$4:$B$3632=Analítico!$B83),-(Analítico!U$3&gt;='Gastos Gerais'!$D$4:$D$3632),-(Analítico!U$3&lt;='Gastos Gerais'!$E$4:$E$3632),-('Gastos Gerais'!$C$4:$C$3632))</f>
        <v>6323.8</v>
      </c>
      <c r="V83" s="134">
        <f>SUMPRODUCT(-('Gastos Gerais'!$B$4:$B$3632=Analítico!$B83),-(Analítico!V$3&gt;='Gastos Gerais'!$D$4:$D$3632),-(Analítico!V$3&lt;='Gastos Gerais'!$E$4:$E$3632),-('Gastos Gerais'!$C$4:$C$3632))</f>
        <v>6323.8</v>
      </c>
      <c r="W83" s="134">
        <f>SUMPRODUCT(-('Gastos Gerais'!$B$4:$B$3632=Analítico!$B83),-(Analítico!W$3&gt;='Gastos Gerais'!$D$4:$D$3632),-(Analítico!W$3&lt;='Gastos Gerais'!$E$4:$E$3632),-('Gastos Gerais'!$C$4:$C$3632))</f>
        <v>6323.8</v>
      </c>
      <c r="X83" s="134">
        <f>SUMPRODUCT(-('Gastos Gerais'!$B$4:$B$3632=Analítico!$B83),-(Analítico!X$3&gt;='Gastos Gerais'!$D$4:$D$3632),-(Analítico!X$3&lt;='Gastos Gerais'!$E$4:$E$3632),-('Gastos Gerais'!$C$4:$C$3632))</f>
        <v>6323.8</v>
      </c>
      <c r="Y83" s="134">
        <f>SUMPRODUCT(-('Gastos Gerais'!$B$4:$B$3632=Analítico!$B83),-(Analítico!Y$3&gt;='Gastos Gerais'!$D$4:$D$3632),-(Analítico!Y$3&lt;='Gastos Gerais'!$E$4:$E$3632),-('Gastos Gerais'!$C$4:$C$3632))</f>
        <v>6323.8</v>
      </c>
      <c r="Z83" s="134">
        <f>SUMPRODUCT(-('Gastos Gerais'!$B$4:$B$3632=Analítico!$B83),-(Analítico!Z$3&gt;='Gastos Gerais'!$D$4:$D$3632),-(Analítico!Z$3&lt;='Gastos Gerais'!$E$4:$E$3632),-('Gastos Gerais'!$C$4:$C$3632))</f>
        <v>6370.15</v>
      </c>
      <c r="AA83" s="134">
        <f>SUMPRODUCT(-('Gastos Gerais'!$B$4:$B$3632=Analítico!$B83),-(Analítico!AA$3&gt;='Gastos Gerais'!$D$4:$D$3632),-(Analítico!AA$3&lt;='Gastos Gerais'!$E$4:$E$3632),-('Gastos Gerais'!$C$4:$C$3632))</f>
        <v>6370.15</v>
      </c>
      <c r="AB83" s="134">
        <f>SUMPRODUCT(-('Gastos Gerais'!$B$4:$B$3632=Analítico!$B83),-(Analítico!AB$3&gt;='Gastos Gerais'!$D$4:$D$3632),-(Analítico!AB$3&lt;='Gastos Gerais'!$E$4:$E$3632),-('Gastos Gerais'!$C$4:$C$3632))</f>
        <v>6760.15</v>
      </c>
      <c r="AC83" s="134">
        <f>SUMPRODUCT(-('Gastos Gerais'!$B$4:$B$3632=Analítico!$B83),-(Analítico!AC$3&gt;='Gastos Gerais'!$D$4:$D$3632),-(Analítico!AC$3&lt;='Gastos Gerais'!$E$4:$E$3632),-('Gastos Gerais'!$C$4:$C$3632))</f>
        <v>6760.15</v>
      </c>
      <c r="AD83" s="134">
        <f>SUMPRODUCT(-('Gastos Gerais'!$B$4:$B$3632=Analítico!$B83),-(Analítico!AD$3&gt;='Gastos Gerais'!$D$4:$D$3632),-(Analítico!AD$3&lt;='Gastos Gerais'!$E$4:$E$3632),-('Gastos Gerais'!$C$4:$C$3632))</f>
        <v>6760.15</v>
      </c>
      <c r="AE83" s="134">
        <f>SUMPRODUCT(-('Gastos Gerais'!$B$4:$B$3632=Analítico!$B83),-(Analítico!AE$3&gt;='Gastos Gerais'!$D$4:$D$3632),-(Analítico!AE$3&lt;='Gastos Gerais'!$E$4:$E$3632),-('Gastos Gerais'!$C$4:$C$3632))</f>
        <v>6760.15</v>
      </c>
      <c r="AF83" s="134">
        <f>SUMPRODUCT(-('Gastos Gerais'!$B$4:$B$3632=Analítico!$B83),-(Analítico!AF$3&gt;='Gastos Gerais'!$D$4:$D$3632),-(Analítico!AF$3&lt;='Gastos Gerais'!$E$4:$E$3632),-('Gastos Gerais'!$C$4:$C$3632))</f>
        <v>6760.15</v>
      </c>
      <c r="AG83" s="134">
        <f>SUMPRODUCT(-('Gastos Gerais'!$B$4:$B$3632=Analítico!$B83),-(Analítico!AG$3&gt;='Gastos Gerais'!$D$4:$D$3632),-(Analítico!AG$3&lt;='Gastos Gerais'!$E$4:$E$3632),-('Gastos Gerais'!$C$4:$C$3632))</f>
        <v>6760.15</v>
      </c>
      <c r="AH83" s="134">
        <f>SUMPRODUCT(-('Gastos Gerais'!$B$4:$B$3632=Analítico!$B83),-(Analítico!AH$3&gt;='Gastos Gerais'!$D$4:$D$3632),-(Analítico!AH$3&lt;='Gastos Gerais'!$E$4:$E$3632),-('Gastos Gerais'!$C$4:$C$3632))</f>
        <v>6760.15</v>
      </c>
      <c r="AI83" s="134">
        <f>SUMPRODUCT(-('Gastos Gerais'!$B$4:$B$3632=Analítico!$B83),-(Analítico!AI$3&gt;='Gastos Gerais'!$D$4:$D$3632),-(Analítico!AI$3&lt;='Gastos Gerais'!$E$4:$E$3632),-('Gastos Gerais'!$C$4:$C$3632))</f>
        <v>6760.15</v>
      </c>
      <c r="AJ83" s="134">
        <f>SUMPRODUCT(-('Gastos Gerais'!$B$4:$B$3632=Analítico!$B83),-(Analítico!AJ$3&gt;='Gastos Gerais'!$D$4:$D$3632),-(Analítico!AJ$3&lt;='Gastos Gerais'!$E$4:$E$3632),-('Gastos Gerais'!$C$4:$C$3632))</f>
        <v>6760.15</v>
      </c>
      <c r="AK83" s="134">
        <f>SUMPRODUCT(-('Gastos Gerais'!$B$4:$B$3632=Analítico!$B83),-(Analítico!AK$3&gt;='Gastos Gerais'!$D$4:$D$3632),-(Analítico!AK$3&lt;='Gastos Gerais'!$E$4:$E$3632),-('Gastos Gerais'!$C$4:$C$3632))</f>
        <v>6760.15</v>
      </c>
      <c r="AL83" s="134">
        <f>SUMPRODUCT(-('Gastos Gerais'!$B$4:$B$3632=Analítico!$B83),-(Analítico!AL$3&gt;='Gastos Gerais'!$D$4:$D$3632),-(Analítico!AL$3&lt;='Gastos Gerais'!$E$4:$E$3632),-('Gastos Gerais'!$C$4:$C$3632))</f>
        <v>6809.22</v>
      </c>
      <c r="AM83" s="134">
        <f>SUMPRODUCT(-('Gastos Gerais'!$B$4:$B$3632=Analítico!$B83),-(Analítico!AM$3&gt;='Gastos Gerais'!$D$4:$D$3632),-(Analítico!AM$3&lt;='Gastos Gerais'!$E$4:$E$3632),-('Gastos Gerais'!$C$4:$C$3632))</f>
        <v>6809.22</v>
      </c>
      <c r="AN83" s="134">
        <f>SUMPRODUCT(-('Gastos Gerais'!$B$4:$B$3632=Analítico!$B83),-(Analítico!AN$3&gt;='Gastos Gerais'!$D$4:$D$3632),-(Analítico!AN$3&lt;='Gastos Gerais'!$E$4:$E$3632),-('Gastos Gerais'!$C$4:$C$3632))</f>
        <v>7399.22</v>
      </c>
      <c r="AO83" s="134">
        <f>SUMPRODUCT(-('Gastos Gerais'!$B$4:$B$3632=Analítico!$B83),-(Analítico!AO$3&gt;='Gastos Gerais'!$D$4:$D$3632),-(Analítico!AO$3&lt;='Gastos Gerais'!$E$4:$E$3632),-('Gastos Gerais'!$C$4:$C$3632))</f>
        <v>7399.22</v>
      </c>
      <c r="AP83" s="134">
        <f>SUMPRODUCT(-('Gastos Gerais'!$B$4:$B$3632=Analítico!$B83),-(Analítico!AP$3&gt;='Gastos Gerais'!$D$4:$D$3632),-(Analítico!AP$3&lt;='Gastos Gerais'!$E$4:$E$3632),-('Gastos Gerais'!$C$4:$C$3632))</f>
        <v>7399.22</v>
      </c>
      <c r="AQ83" s="134">
        <f>SUMPRODUCT(-('Gastos Gerais'!$B$4:$B$3632=Analítico!$B83),-(Analítico!AQ$3&gt;='Gastos Gerais'!$D$4:$D$3632),-(Analítico!AQ$3&lt;='Gastos Gerais'!$E$4:$E$3632),-('Gastos Gerais'!$C$4:$C$3632))</f>
        <v>7399.22</v>
      </c>
      <c r="AR83" s="134">
        <f>SUMPRODUCT(-('Gastos Gerais'!$B$4:$B$3632=Analítico!$B83),-(Analítico!AR$3&gt;='Gastos Gerais'!$D$4:$D$3632),-(Analítico!AR$3&lt;='Gastos Gerais'!$E$4:$E$3632),-('Gastos Gerais'!$C$4:$C$3632))</f>
        <v>7399.22</v>
      </c>
      <c r="AS83" s="134">
        <f>SUMPRODUCT(-('Gastos Gerais'!$B$4:$B$3632=Analítico!$B83),-(Analítico!AS$3&gt;='Gastos Gerais'!$D$4:$D$3632),-(Analítico!AS$3&lt;='Gastos Gerais'!$E$4:$E$3632),-('Gastos Gerais'!$C$4:$C$3632))</f>
        <v>7399.22</v>
      </c>
      <c r="AT83" s="134">
        <f>SUMPRODUCT(-('Gastos Gerais'!$B$4:$B$3632=Analítico!$B83),-(Analítico!AT$3&gt;='Gastos Gerais'!$D$4:$D$3632),-(Analítico!AT$3&lt;='Gastos Gerais'!$E$4:$E$3632),-('Gastos Gerais'!$C$4:$C$3632))</f>
        <v>7399.22</v>
      </c>
      <c r="AU83" s="134">
        <f>SUMPRODUCT(-('Gastos Gerais'!$B$4:$B$3632=Analítico!$B83),-(Analítico!AU$3&gt;='Gastos Gerais'!$D$4:$D$3632),-(Analítico!AU$3&lt;='Gastos Gerais'!$E$4:$E$3632),-('Gastos Gerais'!$C$4:$C$3632))</f>
        <v>7399.22</v>
      </c>
      <c r="AV83" s="134">
        <f>SUMPRODUCT(-('Gastos Gerais'!$B$4:$B$3632=Analítico!$B83),-(Analítico!AV$3&gt;='Gastos Gerais'!$D$4:$D$3632),-(Analítico!AV$3&lt;='Gastos Gerais'!$E$4:$E$3632),-('Gastos Gerais'!$C$4:$C$3632))</f>
        <v>7399.22</v>
      </c>
      <c r="AW83" s="134">
        <f>SUMPRODUCT(-('Gastos Gerais'!$B$4:$B$3632=Analítico!$B83),-(Analítico!AW$3&gt;='Gastos Gerais'!$D$4:$D$3632),-(Analítico!AW$3&lt;='Gastos Gerais'!$E$4:$E$3632),-('Gastos Gerais'!$C$4:$C$3632))</f>
        <v>7399.22</v>
      </c>
      <c r="AX83" s="134">
        <f>SUMPRODUCT(-('Gastos Gerais'!$B$4:$B$3632=Analítico!$B83),-(Analítico!AX$3&gt;='Gastos Gerais'!$D$4:$D$3632),-(Analítico!AX$3&lt;='Gastos Gerais'!$E$4:$E$3632),-('Gastos Gerais'!$C$4:$C$3632))</f>
        <v>7451.15</v>
      </c>
      <c r="AY83" s="134">
        <f>SUMPRODUCT(-('Gastos Gerais'!$B$4:$B$3632=Analítico!$B83),-(Analítico!AY$3&gt;='Gastos Gerais'!$D$4:$D$3632),-(Analítico!AY$3&lt;='Gastos Gerais'!$E$4:$E$3632),-('Gastos Gerais'!$C$4:$C$3632))</f>
        <v>7451.15</v>
      </c>
      <c r="AZ83" s="134">
        <f>SUMPRODUCT(-('Gastos Gerais'!$B$4:$B$3632=Analítico!$B83),-(Analítico!AZ$3&gt;='Gastos Gerais'!$D$4:$D$3632),-(Analítico!AZ$3&lt;='Gastos Gerais'!$E$4:$E$3632),-('Gastos Gerais'!$C$4:$C$3632))</f>
        <v>7741.15</v>
      </c>
      <c r="BA83" s="134">
        <f>SUMPRODUCT(-('Gastos Gerais'!$B$4:$B$3632=Analítico!$B83),-(Analítico!BA$3&gt;='Gastos Gerais'!$D$4:$D$3632),-(Analítico!BA$3&lt;='Gastos Gerais'!$E$4:$E$3632),-('Gastos Gerais'!$C$4:$C$3632))</f>
        <v>7741.15</v>
      </c>
      <c r="BB83" s="134">
        <f>SUMPRODUCT(-('Gastos Gerais'!$B$4:$B$3632=Analítico!$B83),-(Analítico!BB$3&gt;='Gastos Gerais'!$D$4:$D$3632),-(Analítico!BB$3&lt;='Gastos Gerais'!$E$4:$E$3632),-('Gastos Gerais'!$C$4:$C$3632))</f>
        <v>7741.15</v>
      </c>
      <c r="BC83" s="134">
        <f>SUMPRODUCT(-('Gastos Gerais'!$B$4:$B$3632=Analítico!$B83),-(Analítico!BC$3&gt;='Gastos Gerais'!$D$4:$D$3632),-(Analítico!BC$3&lt;='Gastos Gerais'!$E$4:$E$3632),-('Gastos Gerais'!$C$4:$C$3632))</f>
        <v>7741.15</v>
      </c>
      <c r="BD83" s="134">
        <f>SUMPRODUCT(-('Gastos Gerais'!$B$4:$B$3632=Analítico!$B83),-(Analítico!BD$3&gt;='Gastos Gerais'!$D$4:$D$3632),-(Analítico!BD$3&lt;='Gastos Gerais'!$E$4:$E$3632),-('Gastos Gerais'!$C$4:$C$3632))</f>
        <v>7741.15</v>
      </c>
      <c r="BE83" s="134">
        <f>SUMPRODUCT(-('Gastos Gerais'!$B$4:$B$3632=Analítico!$B83),-(Analítico!BE$3&gt;='Gastos Gerais'!$D$4:$D$3632),-(Analítico!BE$3&lt;='Gastos Gerais'!$E$4:$E$3632),-('Gastos Gerais'!$C$4:$C$3632))</f>
        <v>7741.15</v>
      </c>
      <c r="BF83" s="134">
        <f>SUMPRODUCT(-('Gastos Gerais'!$B$4:$B$3632=Analítico!$B83),-(Analítico!BF$3&gt;='Gastos Gerais'!$D$4:$D$3632),-(Analítico!BF$3&lt;='Gastos Gerais'!$E$4:$E$3632),-('Gastos Gerais'!$C$4:$C$3632))</f>
        <v>7741.15</v>
      </c>
      <c r="BG83" s="134">
        <f>SUMPRODUCT(-('Gastos Gerais'!$B$4:$B$3632=Analítico!$B83),-(Analítico!BG$3&gt;='Gastos Gerais'!$D$4:$D$3632),-(Analítico!BG$3&lt;='Gastos Gerais'!$E$4:$E$3632),-('Gastos Gerais'!$C$4:$C$3632))</f>
        <v>7741.15</v>
      </c>
      <c r="BH83" s="134">
        <f>SUMPRODUCT(-('Gastos Gerais'!$B$4:$B$3632=Analítico!$B83),-(Analítico!BH$3&gt;='Gastos Gerais'!$D$4:$D$3632),-(Analítico!BH$3&lt;='Gastos Gerais'!$E$4:$E$3632),-('Gastos Gerais'!$C$4:$C$3632))</f>
        <v>7741.15</v>
      </c>
      <c r="BI83" s="134">
        <f>SUMPRODUCT(-('Gastos Gerais'!$B$4:$B$3632=Analítico!$B83),-(Analítico!BI$3&gt;='Gastos Gerais'!$D$4:$D$3632),-(Analítico!BI$3&lt;='Gastos Gerais'!$E$4:$E$3632),-('Gastos Gerais'!$C$4:$C$3632))</f>
        <v>7741.15</v>
      </c>
      <c r="BJ83" s="134">
        <f>SUMPRODUCT(-('Gastos Gerais'!$B$4:$B$3632=Analítico!$B83),-(Analítico!BJ$3&gt;='Gastos Gerais'!$D$4:$D$3632),-(Analítico!BJ$3&lt;='Gastos Gerais'!$E$4:$E$3632),-('Gastos Gerais'!$C$4:$C$3632))</f>
        <v>7391.15</v>
      </c>
      <c r="BK83" s="189">
        <f t="shared" si="37"/>
        <v>393612.99000000017</v>
      </c>
      <c r="BL83" s="136">
        <f t="shared" ca="1" si="38"/>
        <v>1.1764323999618931E-3</v>
      </c>
      <c r="BN83" s="134">
        <f>SUMPRODUCT(-('Gastos Gerais'!$B$4:$B$3632=Analítico!$B83),-(Analítico!BN$3&gt;='Gastos Gerais'!$D$4:$D$3632),-(Analítico!BN$3&lt;='Gastos Gerais'!$E$4:$E$3632),-('Gastos Gerais'!$C$4:$C$3632))</f>
        <v>3600</v>
      </c>
    </row>
    <row r="84" spans="1:66" s="160" customFormat="1" ht="23.25" customHeight="1">
      <c r="A84" s="229" t="s">
        <v>245</v>
      </c>
      <c r="B84" s="232" t="s">
        <v>246</v>
      </c>
      <c r="C84" s="188">
        <f t="shared" si="36"/>
        <v>0</v>
      </c>
      <c r="D84" s="134">
        <f>SUMPRODUCT(-('Gastos Gerais'!$B$4:$B$3632=Analítico!$B84),-(Analítico!D$3&gt;='Gastos Gerais'!$D$4:$D$3632),-(Analítico!D$3&lt;='Gastos Gerais'!$E$4:$E$3632),-('Gastos Gerais'!$C$4:$C$3632))</f>
        <v>0</v>
      </c>
      <c r="E84" s="134">
        <f>SUMPRODUCT(-('Gastos Gerais'!$B$4:$B$3632=Analítico!$B84),-(Analítico!E$3&gt;='Gastos Gerais'!$D$4:$D$3632),-(Analítico!E$3&lt;='Gastos Gerais'!$E$4:$E$3632),-('Gastos Gerais'!$C$4:$C$3632))</f>
        <v>0</v>
      </c>
      <c r="F84" s="134">
        <f>SUMPRODUCT(-('Gastos Gerais'!$B$4:$B$3632=Analítico!$B84),-(Analítico!F$3&gt;='Gastos Gerais'!$D$4:$D$3632),-(Analítico!F$3&lt;='Gastos Gerais'!$E$4:$E$3632),-('Gastos Gerais'!$C$4:$C$3632))</f>
        <v>0</v>
      </c>
      <c r="G84" s="134">
        <f>SUMPRODUCT(-('Gastos Gerais'!$B$4:$B$3632=Analítico!$B84),-(Analítico!G$3&gt;='Gastos Gerais'!$D$4:$D$3632),-(Analítico!G$3&lt;='Gastos Gerais'!$E$4:$E$3632),-('Gastos Gerais'!$C$4:$C$3632))</f>
        <v>0</v>
      </c>
      <c r="H84" s="134">
        <f>SUMPRODUCT(-('Gastos Gerais'!$B$4:$B$3632=Analítico!$B84),-(Analítico!H$3&gt;='Gastos Gerais'!$D$4:$D$3632),-(Analítico!H$3&lt;='Gastos Gerais'!$E$4:$E$3632),-('Gastos Gerais'!$C$4:$C$3632))</f>
        <v>0</v>
      </c>
      <c r="I84" s="134">
        <f>SUMPRODUCT(-('Gastos Gerais'!$B$4:$B$3632=Analítico!$B84),-(Analítico!I$3&gt;='Gastos Gerais'!$D$4:$D$3632),-(Analítico!I$3&lt;='Gastos Gerais'!$E$4:$E$3632),-('Gastos Gerais'!$C$4:$C$3632))</f>
        <v>0</v>
      </c>
      <c r="J84" s="134">
        <f>SUMPRODUCT(-('Gastos Gerais'!$B$4:$B$3632=Analítico!$B84),-(Analítico!J$3&gt;='Gastos Gerais'!$D$4:$D$3632),-(Analítico!J$3&lt;='Gastos Gerais'!$E$4:$E$3632),-('Gastos Gerais'!$C$4:$C$3632))</f>
        <v>0</v>
      </c>
      <c r="K84" s="134">
        <f>SUMPRODUCT(-('Gastos Gerais'!$B$4:$B$3632=Analítico!$B84),-(Analítico!K$3&gt;='Gastos Gerais'!$D$4:$D$3632),-(Analítico!K$3&lt;='Gastos Gerais'!$E$4:$E$3632),-('Gastos Gerais'!$C$4:$C$3632))</f>
        <v>0</v>
      </c>
      <c r="L84" s="134">
        <f>SUMPRODUCT(-('Gastos Gerais'!$B$4:$B$3632=Analítico!$B84),-(Analítico!L$3&gt;='Gastos Gerais'!$D$4:$D$3632),-(Analítico!L$3&lt;='Gastos Gerais'!$E$4:$E$3632),-('Gastos Gerais'!$C$4:$C$3632))</f>
        <v>0</v>
      </c>
      <c r="M84" s="134">
        <f>SUMPRODUCT(-('Gastos Gerais'!$B$4:$B$3632=Analítico!$B84),-(Analítico!M$3&gt;='Gastos Gerais'!$D$4:$D$3632),-(Analítico!M$3&lt;='Gastos Gerais'!$E$4:$E$3632),-('Gastos Gerais'!$C$4:$C$3632))</f>
        <v>0</v>
      </c>
      <c r="N84" s="134">
        <f>SUMPRODUCT(-('Gastos Gerais'!$B$4:$B$3632=Analítico!$B84),-(Analítico!N$3&gt;='Gastos Gerais'!$D$4:$D$3632),-(Analítico!N$3&lt;='Gastos Gerais'!$E$4:$E$3632),-('Gastos Gerais'!$C$4:$C$3632))</f>
        <v>300</v>
      </c>
      <c r="O84" s="134">
        <f>SUMPRODUCT(-('Gastos Gerais'!$B$4:$B$3632=Analítico!$B84),-(Analítico!O$3&gt;='Gastos Gerais'!$D$4:$D$3632),-(Analítico!O$3&lt;='Gastos Gerais'!$E$4:$E$3632),-('Gastos Gerais'!$C$4:$C$3632))</f>
        <v>300</v>
      </c>
      <c r="P84" s="134">
        <f>SUMPRODUCT(-('Gastos Gerais'!$B$4:$B$3632=Analítico!$B84),-(Analítico!P$3&gt;='Gastos Gerais'!$D$4:$D$3632),-(Analítico!P$3&lt;='Gastos Gerais'!$E$4:$E$3632),-('Gastos Gerais'!$C$4:$C$3632))</f>
        <v>5653.2400000000007</v>
      </c>
      <c r="Q84" s="134">
        <f>SUMPRODUCT(-('Gastos Gerais'!$B$4:$B$3632=Analítico!$B84),-(Analítico!Q$3&gt;='Gastos Gerais'!$D$4:$D$3632),-(Analítico!Q$3&lt;='Gastos Gerais'!$E$4:$E$3632),-('Gastos Gerais'!$C$4:$C$3632))</f>
        <v>5653.2400000000007</v>
      </c>
      <c r="R84" s="134">
        <f>SUMPRODUCT(-('Gastos Gerais'!$B$4:$B$3632=Analítico!$B84),-(Analítico!R$3&gt;='Gastos Gerais'!$D$4:$D$3632),-(Analítico!R$3&lt;='Gastos Gerais'!$E$4:$E$3632),-('Gastos Gerais'!$C$4:$C$3632))</f>
        <v>5653.2400000000007</v>
      </c>
      <c r="S84" s="134">
        <f>SUMPRODUCT(-('Gastos Gerais'!$B$4:$B$3632=Analítico!$B84),-(Analítico!S$3&gt;='Gastos Gerais'!$D$4:$D$3632),-(Analítico!S$3&lt;='Gastos Gerais'!$E$4:$E$3632),-('Gastos Gerais'!$C$4:$C$3632))</f>
        <v>5653.2400000000007</v>
      </c>
      <c r="T84" s="134">
        <f>SUMPRODUCT(-('Gastos Gerais'!$B$4:$B$3632=Analítico!$B84),-(Analítico!T$3&gt;='Gastos Gerais'!$D$4:$D$3632),-(Analítico!T$3&lt;='Gastos Gerais'!$E$4:$E$3632),-('Gastos Gerais'!$C$4:$C$3632))</f>
        <v>5653.2400000000007</v>
      </c>
      <c r="U84" s="134">
        <f>SUMPRODUCT(-('Gastos Gerais'!$B$4:$B$3632=Analítico!$B84),-(Analítico!U$3&gt;='Gastos Gerais'!$D$4:$D$3632),-(Analítico!U$3&lt;='Gastos Gerais'!$E$4:$E$3632),-('Gastos Gerais'!$C$4:$C$3632))</f>
        <v>5653.2400000000007</v>
      </c>
      <c r="V84" s="134">
        <f>SUMPRODUCT(-('Gastos Gerais'!$B$4:$B$3632=Analítico!$B84),-(Analítico!V$3&gt;='Gastos Gerais'!$D$4:$D$3632),-(Analítico!V$3&lt;='Gastos Gerais'!$E$4:$E$3632),-('Gastos Gerais'!$C$4:$C$3632))</f>
        <v>5653.2400000000007</v>
      </c>
      <c r="W84" s="134">
        <f>SUMPRODUCT(-('Gastos Gerais'!$B$4:$B$3632=Analítico!$B84),-(Analítico!W$3&gt;='Gastos Gerais'!$D$4:$D$3632),-(Analítico!W$3&lt;='Gastos Gerais'!$E$4:$E$3632),-('Gastos Gerais'!$C$4:$C$3632))</f>
        <v>5653.2400000000007</v>
      </c>
      <c r="X84" s="134">
        <f>SUMPRODUCT(-('Gastos Gerais'!$B$4:$B$3632=Analítico!$B84),-(Analítico!X$3&gt;='Gastos Gerais'!$D$4:$D$3632),-(Analítico!X$3&lt;='Gastos Gerais'!$E$4:$E$3632),-('Gastos Gerais'!$C$4:$C$3632))</f>
        <v>5653.2400000000007</v>
      </c>
      <c r="Y84" s="134">
        <f>SUMPRODUCT(-('Gastos Gerais'!$B$4:$B$3632=Analítico!$B84),-(Analítico!Y$3&gt;='Gastos Gerais'!$D$4:$D$3632),-(Analítico!Y$3&lt;='Gastos Gerais'!$E$4:$E$3632),-('Gastos Gerais'!$C$4:$C$3632))</f>
        <v>5653.2400000000007</v>
      </c>
      <c r="Z84" s="134">
        <f>SUMPRODUCT(-('Gastos Gerais'!$B$4:$B$3632=Analítico!$B84),-(Analítico!Z$3&gt;='Gastos Gerais'!$D$4:$D$3632),-(Analítico!Z$3&lt;='Gastos Gerais'!$E$4:$E$3632),-('Gastos Gerais'!$C$4:$C$3632))</f>
        <v>5653.2400000000007</v>
      </c>
      <c r="AA84" s="134">
        <f>SUMPRODUCT(-('Gastos Gerais'!$B$4:$B$3632=Analítico!$B84),-(Analítico!AA$3&gt;='Gastos Gerais'!$D$4:$D$3632),-(Analítico!AA$3&lt;='Gastos Gerais'!$E$4:$E$3632),-('Gastos Gerais'!$C$4:$C$3632))</f>
        <v>5653.2400000000007</v>
      </c>
      <c r="AB84" s="134">
        <f>SUMPRODUCT(-('Gastos Gerais'!$B$4:$B$3632=Analítico!$B84),-(Analítico!AB$3&gt;='Gastos Gerais'!$D$4:$D$3632),-(Analítico!AB$3&lt;='Gastos Gerais'!$E$4:$E$3632),-('Gastos Gerais'!$C$4:$C$3632))</f>
        <v>5833.75</v>
      </c>
      <c r="AC84" s="134">
        <f>SUMPRODUCT(-('Gastos Gerais'!$B$4:$B$3632=Analítico!$B84),-(Analítico!AC$3&gt;='Gastos Gerais'!$D$4:$D$3632),-(Analítico!AC$3&lt;='Gastos Gerais'!$E$4:$E$3632),-('Gastos Gerais'!$C$4:$C$3632))</f>
        <v>5833.75</v>
      </c>
      <c r="AD84" s="134">
        <f>SUMPRODUCT(-('Gastos Gerais'!$B$4:$B$3632=Analítico!$B84),-(Analítico!AD$3&gt;='Gastos Gerais'!$D$4:$D$3632),-(Analítico!AD$3&lt;='Gastos Gerais'!$E$4:$E$3632),-('Gastos Gerais'!$C$4:$C$3632))</f>
        <v>5833.75</v>
      </c>
      <c r="AE84" s="134">
        <f>SUMPRODUCT(-('Gastos Gerais'!$B$4:$B$3632=Analítico!$B84),-(Analítico!AE$3&gt;='Gastos Gerais'!$D$4:$D$3632),-(Analítico!AE$3&lt;='Gastos Gerais'!$E$4:$E$3632),-('Gastos Gerais'!$C$4:$C$3632))</f>
        <v>5833.75</v>
      </c>
      <c r="AF84" s="134">
        <f>SUMPRODUCT(-('Gastos Gerais'!$B$4:$B$3632=Analítico!$B84),-(Analítico!AF$3&gt;='Gastos Gerais'!$D$4:$D$3632),-(Analítico!AF$3&lt;='Gastos Gerais'!$E$4:$E$3632),-('Gastos Gerais'!$C$4:$C$3632))</f>
        <v>5833.75</v>
      </c>
      <c r="AG84" s="134">
        <f>SUMPRODUCT(-('Gastos Gerais'!$B$4:$B$3632=Analítico!$B84),-(Analítico!AG$3&gt;='Gastos Gerais'!$D$4:$D$3632),-(Analítico!AG$3&lt;='Gastos Gerais'!$E$4:$E$3632),-('Gastos Gerais'!$C$4:$C$3632))</f>
        <v>5833.75</v>
      </c>
      <c r="AH84" s="134">
        <f>SUMPRODUCT(-('Gastos Gerais'!$B$4:$B$3632=Analítico!$B84),-(Analítico!AH$3&gt;='Gastos Gerais'!$D$4:$D$3632),-(Analítico!AH$3&lt;='Gastos Gerais'!$E$4:$E$3632),-('Gastos Gerais'!$C$4:$C$3632))</f>
        <v>5833.75</v>
      </c>
      <c r="AI84" s="134">
        <f>SUMPRODUCT(-('Gastos Gerais'!$B$4:$B$3632=Analítico!$B84),-(Analítico!AI$3&gt;='Gastos Gerais'!$D$4:$D$3632),-(Analítico!AI$3&lt;='Gastos Gerais'!$E$4:$E$3632),-('Gastos Gerais'!$C$4:$C$3632))</f>
        <v>5833.75</v>
      </c>
      <c r="AJ84" s="134">
        <f>SUMPRODUCT(-('Gastos Gerais'!$B$4:$B$3632=Analítico!$B84),-(Analítico!AJ$3&gt;='Gastos Gerais'!$D$4:$D$3632),-(Analítico!AJ$3&lt;='Gastos Gerais'!$E$4:$E$3632),-('Gastos Gerais'!$C$4:$C$3632))</f>
        <v>5833.75</v>
      </c>
      <c r="AK84" s="134">
        <f>SUMPRODUCT(-('Gastos Gerais'!$B$4:$B$3632=Analítico!$B84),-(Analítico!AK$3&gt;='Gastos Gerais'!$D$4:$D$3632),-(Analítico!AK$3&lt;='Gastos Gerais'!$E$4:$E$3632),-('Gastos Gerais'!$C$4:$C$3632))</f>
        <v>5833.75</v>
      </c>
      <c r="AL84" s="134">
        <f>SUMPRODUCT(-('Gastos Gerais'!$B$4:$B$3632=Analítico!$B84),-(Analítico!AL$3&gt;='Gastos Gerais'!$D$4:$D$3632),-(Analítico!AL$3&lt;='Gastos Gerais'!$E$4:$E$3632),-('Gastos Gerais'!$C$4:$C$3632))</f>
        <v>5833.75</v>
      </c>
      <c r="AM84" s="134">
        <f>SUMPRODUCT(-('Gastos Gerais'!$B$4:$B$3632=Analítico!$B84),-(Analítico!AM$3&gt;='Gastos Gerais'!$D$4:$D$3632),-(Analítico!AM$3&lt;='Gastos Gerais'!$E$4:$E$3632),-('Gastos Gerais'!$C$4:$C$3632))</f>
        <v>5833.75</v>
      </c>
      <c r="AN84" s="134">
        <f>SUMPRODUCT(-('Gastos Gerais'!$B$4:$B$3632=Analítico!$B84),-(Analítico!AN$3&gt;='Gastos Gerais'!$D$4:$D$3632),-(Analítico!AN$3&lt;='Gastos Gerais'!$E$4:$E$3632),-('Gastos Gerais'!$C$4:$C$3632))</f>
        <v>6156.9400000000023</v>
      </c>
      <c r="AO84" s="134">
        <f>SUMPRODUCT(-('Gastos Gerais'!$B$4:$B$3632=Analítico!$B84),-(Analítico!AO$3&gt;='Gastos Gerais'!$D$4:$D$3632),-(Analítico!AO$3&lt;='Gastos Gerais'!$E$4:$E$3632),-('Gastos Gerais'!$C$4:$C$3632))</f>
        <v>6156.9400000000023</v>
      </c>
      <c r="AP84" s="134">
        <f>SUMPRODUCT(-('Gastos Gerais'!$B$4:$B$3632=Analítico!$B84),-(Analítico!AP$3&gt;='Gastos Gerais'!$D$4:$D$3632),-(Analítico!AP$3&lt;='Gastos Gerais'!$E$4:$E$3632),-('Gastos Gerais'!$C$4:$C$3632))</f>
        <v>6156.9400000000023</v>
      </c>
      <c r="AQ84" s="134">
        <f>SUMPRODUCT(-('Gastos Gerais'!$B$4:$B$3632=Analítico!$B84),-(Analítico!AQ$3&gt;='Gastos Gerais'!$D$4:$D$3632),-(Analítico!AQ$3&lt;='Gastos Gerais'!$E$4:$E$3632),-('Gastos Gerais'!$C$4:$C$3632))</f>
        <v>6156.9400000000023</v>
      </c>
      <c r="AR84" s="134">
        <f>SUMPRODUCT(-('Gastos Gerais'!$B$4:$B$3632=Analítico!$B84),-(Analítico!AR$3&gt;='Gastos Gerais'!$D$4:$D$3632),-(Analítico!AR$3&lt;='Gastos Gerais'!$E$4:$E$3632),-('Gastos Gerais'!$C$4:$C$3632))</f>
        <v>6156.9400000000023</v>
      </c>
      <c r="AS84" s="134">
        <f>SUMPRODUCT(-('Gastos Gerais'!$B$4:$B$3632=Analítico!$B84),-(Analítico!AS$3&gt;='Gastos Gerais'!$D$4:$D$3632),-(Analítico!AS$3&lt;='Gastos Gerais'!$E$4:$E$3632),-('Gastos Gerais'!$C$4:$C$3632))</f>
        <v>6156.9400000000023</v>
      </c>
      <c r="AT84" s="134">
        <f>SUMPRODUCT(-('Gastos Gerais'!$B$4:$B$3632=Analítico!$B84),-(Analítico!AT$3&gt;='Gastos Gerais'!$D$4:$D$3632),-(Analítico!AT$3&lt;='Gastos Gerais'!$E$4:$E$3632),-('Gastos Gerais'!$C$4:$C$3632))</f>
        <v>6156.9400000000023</v>
      </c>
      <c r="AU84" s="134">
        <f>SUMPRODUCT(-('Gastos Gerais'!$B$4:$B$3632=Analítico!$B84),-(Analítico!AU$3&gt;='Gastos Gerais'!$D$4:$D$3632),-(Analítico!AU$3&lt;='Gastos Gerais'!$E$4:$E$3632),-('Gastos Gerais'!$C$4:$C$3632))</f>
        <v>6156.9400000000023</v>
      </c>
      <c r="AV84" s="134">
        <f>SUMPRODUCT(-('Gastos Gerais'!$B$4:$B$3632=Analítico!$B84),-(Analítico!AV$3&gt;='Gastos Gerais'!$D$4:$D$3632),-(Analítico!AV$3&lt;='Gastos Gerais'!$E$4:$E$3632),-('Gastos Gerais'!$C$4:$C$3632))</f>
        <v>6156.9400000000023</v>
      </c>
      <c r="AW84" s="134">
        <f>SUMPRODUCT(-('Gastos Gerais'!$B$4:$B$3632=Analítico!$B84),-(Analítico!AW$3&gt;='Gastos Gerais'!$D$4:$D$3632),-(Analítico!AW$3&lt;='Gastos Gerais'!$E$4:$E$3632),-('Gastos Gerais'!$C$4:$C$3632))</f>
        <v>6156.9400000000023</v>
      </c>
      <c r="AX84" s="134">
        <f>SUMPRODUCT(-('Gastos Gerais'!$B$4:$B$3632=Analítico!$B84),-(Analítico!AX$3&gt;='Gastos Gerais'!$D$4:$D$3632),-(Analítico!AX$3&lt;='Gastos Gerais'!$E$4:$E$3632),-('Gastos Gerais'!$C$4:$C$3632))</f>
        <v>6156.9400000000023</v>
      </c>
      <c r="AY84" s="134">
        <f>SUMPRODUCT(-('Gastos Gerais'!$B$4:$B$3632=Analítico!$B84),-(Analítico!AY$3&gt;='Gastos Gerais'!$D$4:$D$3632),-(Analítico!AY$3&lt;='Gastos Gerais'!$E$4:$E$3632),-('Gastos Gerais'!$C$4:$C$3632))</f>
        <v>6156.9400000000023</v>
      </c>
      <c r="AZ84" s="134">
        <f>SUMPRODUCT(-('Gastos Gerais'!$B$4:$B$3632=Analítico!$B84),-(Analítico!AZ$3&gt;='Gastos Gerais'!$D$4:$D$3632),-(Analítico!AZ$3&lt;='Gastos Gerais'!$E$4:$E$3632),-('Gastos Gerais'!$C$4:$C$3632))</f>
        <v>6498.9400000000023</v>
      </c>
      <c r="BA84" s="134">
        <f>SUMPRODUCT(-('Gastos Gerais'!$B$4:$B$3632=Analítico!$B84),-(Analítico!BA$3&gt;='Gastos Gerais'!$D$4:$D$3632),-(Analítico!BA$3&lt;='Gastos Gerais'!$E$4:$E$3632),-('Gastos Gerais'!$C$4:$C$3632))</f>
        <v>6498.9400000000023</v>
      </c>
      <c r="BB84" s="134">
        <f>SUMPRODUCT(-('Gastos Gerais'!$B$4:$B$3632=Analítico!$B84),-(Analítico!BB$3&gt;='Gastos Gerais'!$D$4:$D$3632),-(Analítico!BB$3&lt;='Gastos Gerais'!$E$4:$E$3632),-('Gastos Gerais'!$C$4:$C$3632))</f>
        <v>6498.9400000000023</v>
      </c>
      <c r="BC84" s="134">
        <f>SUMPRODUCT(-('Gastos Gerais'!$B$4:$B$3632=Analítico!$B84),-(Analítico!BC$3&gt;='Gastos Gerais'!$D$4:$D$3632),-(Analítico!BC$3&lt;='Gastos Gerais'!$E$4:$E$3632),-('Gastos Gerais'!$C$4:$C$3632))</f>
        <v>6498.9400000000023</v>
      </c>
      <c r="BD84" s="134">
        <f>SUMPRODUCT(-('Gastos Gerais'!$B$4:$B$3632=Analítico!$B84),-(Analítico!BD$3&gt;='Gastos Gerais'!$D$4:$D$3632),-(Analítico!BD$3&lt;='Gastos Gerais'!$E$4:$E$3632),-('Gastos Gerais'!$C$4:$C$3632))</f>
        <v>6498.9400000000023</v>
      </c>
      <c r="BE84" s="134">
        <f>SUMPRODUCT(-('Gastos Gerais'!$B$4:$B$3632=Analítico!$B84),-(Analítico!BE$3&gt;='Gastos Gerais'!$D$4:$D$3632),-(Analítico!BE$3&lt;='Gastos Gerais'!$E$4:$E$3632),-('Gastos Gerais'!$C$4:$C$3632))</f>
        <v>6498.9400000000023</v>
      </c>
      <c r="BF84" s="134">
        <f>SUMPRODUCT(-('Gastos Gerais'!$B$4:$B$3632=Analítico!$B84),-(Analítico!BF$3&gt;='Gastos Gerais'!$D$4:$D$3632),-(Analítico!BF$3&lt;='Gastos Gerais'!$E$4:$E$3632),-('Gastos Gerais'!$C$4:$C$3632))</f>
        <v>6498.9400000000023</v>
      </c>
      <c r="BG84" s="134">
        <f>SUMPRODUCT(-('Gastos Gerais'!$B$4:$B$3632=Analítico!$B84),-(Analítico!BG$3&gt;='Gastos Gerais'!$D$4:$D$3632),-(Analítico!BG$3&lt;='Gastos Gerais'!$E$4:$E$3632),-('Gastos Gerais'!$C$4:$C$3632))</f>
        <v>6498.9400000000023</v>
      </c>
      <c r="BH84" s="134">
        <f>SUMPRODUCT(-('Gastos Gerais'!$B$4:$B$3632=Analítico!$B84),-(Analítico!BH$3&gt;='Gastos Gerais'!$D$4:$D$3632),-(Analítico!BH$3&lt;='Gastos Gerais'!$E$4:$E$3632),-('Gastos Gerais'!$C$4:$C$3632))</f>
        <v>6498.9400000000023</v>
      </c>
      <c r="BI84" s="134">
        <f>SUMPRODUCT(-('Gastos Gerais'!$B$4:$B$3632=Analítico!$B84),-(Analítico!BI$3&gt;='Gastos Gerais'!$D$4:$D$3632),-(Analítico!BI$3&lt;='Gastos Gerais'!$E$4:$E$3632),-('Gastos Gerais'!$C$4:$C$3632))</f>
        <v>6498.9400000000023</v>
      </c>
      <c r="BJ84" s="134">
        <f>SUMPRODUCT(-('Gastos Gerais'!$B$4:$B$3632=Analítico!$B84),-(Analítico!BJ$3&gt;='Gastos Gerais'!$D$4:$D$3632),-(Analítico!BJ$3&lt;='Gastos Gerais'!$E$4:$E$3632),-('Gastos Gerais'!$C$4:$C$3632))</f>
        <v>6172.6800000000021</v>
      </c>
      <c r="BK84" s="189">
        <f t="shared" si="37"/>
        <v>283489.24000000005</v>
      </c>
      <c r="BL84" s="136">
        <f t="shared" ca="1" si="38"/>
        <v>8.4729400565914509E-4</v>
      </c>
      <c r="BN84" s="134">
        <f>SUMPRODUCT(-('Gastos Gerais'!$B$4:$B$3632=Analítico!$B84),-(Analítico!BN$3&gt;='Gastos Gerais'!$D$4:$D$3632),-(Analítico!BN$3&lt;='Gastos Gerais'!$E$4:$E$3632),-('Gastos Gerais'!$C$4:$C$3632))</f>
        <v>0</v>
      </c>
    </row>
    <row r="85" spans="1:66" s="160" customFormat="1" ht="23.25" customHeight="1">
      <c r="A85" s="229" t="s">
        <v>247</v>
      </c>
      <c r="B85" s="232" t="s">
        <v>248</v>
      </c>
      <c r="C85" s="188">
        <f t="shared" si="36"/>
        <v>1647.15</v>
      </c>
      <c r="D85" s="134">
        <f>SUMPRODUCT(-('Gastos Gerais'!$B$4:$B$3632=Analítico!$B85),-(Analítico!D$3&gt;='Gastos Gerais'!$D$4:$D$3632),-(Analítico!D$3&lt;='Gastos Gerais'!$E$4:$E$3632),-('Gastos Gerais'!$C$4:$C$3632))</f>
        <v>19561.099999999999</v>
      </c>
      <c r="E85" s="134">
        <f>SUMPRODUCT(-('Gastos Gerais'!$B$4:$B$3632=Analítico!$B85),-(Analítico!E$3&gt;='Gastos Gerais'!$D$4:$D$3632),-(Analítico!E$3&lt;='Gastos Gerais'!$E$4:$E$3632),-('Gastos Gerais'!$C$4:$C$3632))</f>
        <v>26329.1</v>
      </c>
      <c r="F85" s="134">
        <f>SUMPRODUCT(-('Gastos Gerais'!$B$4:$B$3632=Analítico!$B85),-(Analítico!F$3&gt;='Gastos Gerais'!$D$4:$D$3632),-(Analítico!F$3&lt;='Gastos Gerais'!$E$4:$E$3632),-('Gastos Gerais'!$C$4:$C$3632))</f>
        <v>26329.1</v>
      </c>
      <c r="G85" s="134">
        <f>SUMPRODUCT(-('Gastos Gerais'!$B$4:$B$3632=Analítico!$B85),-(Analítico!G$3&gt;='Gastos Gerais'!$D$4:$D$3632),-(Analítico!G$3&lt;='Gastos Gerais'!$E$4:$E$3632),-('Gastos Gerais'!$C$4:$C$3632))</f>
        <v>26329.1</v>
      </c>
      <c r="H85" s="134">
        <f>SUMPRODUCT(-('Gastos Gerais'!$B$4:$B$3632=Analítico!$B85),-(Analítico!H$3&gt;='Gastos Gerais'!$D$4:$D$3632),-(Analítico!H$3&lt;='Gastos Gerais'!$E$4:$E$3632),-('Gastos Gerais'!$C$4:$C$3632))</f>
        <v>26329.1</v>
      </c>
      <c r="I85" s="134">
        <f>SUMPRODUCT(-('Gastos Gerais'!$B$4:$B$3632=Analítico!$B85),-(Analítico!I$3&gt;='Gastos Gerais'!$D$4:$D$3632),-(Analítico!I$3&lt;='Gastos Gerais'!$E$4:$E$3632),-('Gastos Gerais'!$C$4:$C$3632))</f>
        <v>26329.1</v>
      </c>
      <c r="J85" s="134">
        <f>SUMPRODUCT(-('Gastos Gerais'!$B$4:$B$3632=Analítico!$B85),-(Analítico!J$3&gt;='Gastos Gerais'!$D$4:$D$3632),-(Analítico!J$3&lt;='Gastos Gerais'!$E$4:$E$3632),-('Gastos Gerais'!$C$4:$C$3632))</f>
        <v>414.5</v>
      </c>
      <c r="K85" s="134">
        <f>SUMPRODUCT(-('Gastos Gerais'!$B$4:$B$3632=Analítico!$B85),-(Analítico!K$3&gt;='Gastos Gerais'!$D$4:$D$3632),-(Analítico!K$3&lt;='Gastos Gerais'!$E$4:$E$3632),-('Gastos Gerais'!$C$4:$C$3632))</f>
        <v>414.5</v>
      </c>
      <c r="L85" s="134">
        <f>SUMPRODUCT(-('Gastos Gerais'!$B$4:$B$3632=Analítico!$B85),-(Analítico!L$3&gt;='Gastos Gerais'!$D$4:$D$3632),-(Analítico!L$3&lt;='Gastos Gerais'!$E$4:$E$3632),-('Gastos Gerais'!$C$4:$C$3632))</f>
        <v>414.5</v>
      </c>
      <c r="M85" s="134">
        <f>SUMPRODUCT(-('Gastos Gerais'!$B$4:$B$3632=Analítico!$B85),-(Analítico!M$3&gt;='Gastos Gerais'!$D$4:$D$3632),-(Analítico!M$3&lt;='Gastos Gerais'!$E$4:$E$3632),-('Gastos Gerais'!$C$4:$C$3632))</f>
        <v>414.5</v>
      </c>
      <c r="N85" s="134">
        <f>SUMPRODUCT(-('Gastos Gerais'!$B$4:$B$3632=Analítico!$B85),-(Analítico!N$3&gt;='Gastos Gerais'!$D$4:$D$3632),-(Analítico!N$3&lt;='Gastos Gerais'!$E$4:$E$3632),-('Gastos Gerais'!$C$4:$C$3632))</f>
        <v>2106.5</v>
      </c>
      <c r="O85" s="134">
        <f>SUMPRODUCT(-('Gastos Gerais'!$B$4:$B$3632=Analítico!$B85),-(Analítico!O$3&gt;='Gastos Gerais'!$D$4:$D$3632),-(Analítico!O$3&lt;='Gastos Gerais'!$E$4:$E$3632),-('Gastos Gerais'!$C$4:$C$3632))</f>
        <v>2106.5</v>
      </c>
      <c r="P85" s="134">
        <f>SUMPRODUCT(-('Gastos Gerais'!$B$4:$B$3632=Analítico!$B85),-(Analítico!P$3&gt;='Gastos Gerais'!$D$4:$D$3632),-(Analítico!P$3&lt;='Gastos Gerais'!$E$4:$E$3632),-('Gastos Gerais'!$C$4:$C$3632))</f>
        <v>19157.18</v>
      </c>
      <c r="Q85" s="134">
        <f>SUMPRODUCT(-('Gastos Gerais'!$B$4:$B$3632=Analítico!$B85),-(Analítico!Q$3&gt;='Gastos Gerais'!$D$4:$D$3632),-(Analítico!Q$3&lt;='Gastos Gerais'!$E$4:$E$3632),-('Gastos Gerais'!$C$4:$C$3632))</f>
        <v>20849.18</v>
      </c>
      <c r="R85" s="134">
        <f>SUMPRODUCT(-('Gastos Gerais'!$B$4:$B$3632=Analítico!$B85),-(Analítico!R$3&gt;='Gastos Gerais'!$D$4:$D$3632),-(Analítico!R$3&lt;='Gastos Gerais'!$E$4:$E$3632),-('Gastos Gerais'!$C$4:$C$3632))</f>
        <v>20849.18</v>
      </c>
      <c r="S85" s="134">
        <f>SUMPRODUCT(-('Gastos Gerais'!$B$4:$B$3632=Analítico!$B85),-(Analítico!S$3&gt;='Gastos Gerais'!$D$4:$D$3632),-(Analítico!S$3&lt;='Gastos Gerais'!$E$4:$E$3632),-('Gastos Gerais'!$C$4:$C$3632))</f>
        <v>21695.18</v>
      </c>
      <c r="T85" s="134">
        <f>SUMPRODUCT(-('Gastos Gerais'!$B$4:$B$3632=Analítico!$B85),-(Analítico!T$3&gt;='Gastos Gerais'!$D$4:$D$3632),-(Analítico!T$3&lt;='Gastos Gerais'!$E$4:$E$3632),-('Gastos Gerais'!$C$4:$C$3632))</f>
        <v>20849.18</v>
      </c>
      <c r="U85" s="134">
        <f>SUMPRODUCT(-('Gastos Gerais'!$B$4:$B$3632=Analítico!$B85),-(Analítico!U$3&gt;='Gastos Gerais'!$D$4:$D$3632),-(Analítico!U$3&lt;='Gastos Gerais'!$E$4:$E$3632),-('Gastos Gerais'!$C$4:$C$3632))</f>
        <v>20849.18</v>
      </c>
      <c r="V85" s="134">
        <f>SUMPRODUCT(-('Gastos Gerais'!$B$4:$B$3632=Analítico!$B85),-(Analítico!V$3&gt;='Gastos Gerais'!$D$4:$D$3632),-(Analítico!V$3&lt;='Gastos Gerais'!$E$4:$E$3632),-('Gastos Gerais'!$C$4:$C$3632))</f>
        <v>8159.18</v>
      </c>
      <c r="W85" s="134">
        <f>SUMPRODUCT(-('Gastos Gerais'!$B$4:$B$3632=Analítico!$B85),-(Analítico!W$3&gt;='Gastos Gerais'!$D$4:$D$3632),-(Analítico!W$3&lt;='Gastos Gerais'!$E$4:$E$3632),-('Gastos Gerais'!$C$4:$C$3632))</f>
        <v>8159.18</v>
      </c>
      <c r="X85" s="134">
        <f>SUMPRODUCT(-('Gastos Gerais'!$B$4:$B$3632=Analítico!$B85),-(Analítico!X$3&gt;='Gastos Gerais'!$D$4:$D$3632),-(Analítico!X$3&lt;='Gastos Gerais'!$E$4:$E$3632),-('Gastos Gerais'!$C$4:$C$3632))</f>
        <v>7313.18</v>
      </c>
      <c r="Y85" s="134">
        <f>SUMPRODUCT(-('Gastos Gerais'!$B$4:$B$3632=Analítico!$B85),-(Analítico!Y$3&gt;='Gastos Gerais'!$D$4:$D$3632),-(Analítico!Y$3&lt;='Gastos Gerais'!$E$4:$E$3632),-('Gastos Gerais'!$C$4:$C$3632))</f>
        <v>6467.18</v>
      </c>
      <c r="Z85" s="134">
        <f>SUMPRODUCT(-('Gastos Gerais'!$B$4:$B$3632=Analítico!$B85),-(Analítico!Z$3&gt;='Gastos Gerais'!$D$4:$D$3632),-(Analítico!Z$3&lt;='Gastos Gerais'!$E$4:$E$3632),-('Gastos Gerais'!$C$4:$C$3632))</f>
        <v>9851.18</v>
      </c>
      <c r="AA85" s="134">
        <f>SUMPRODUCT(-('Gastos Gerais'!$B$4:$B$3632=Analítico!$B85),-(Analítico!AA$3&gt;='Gastos Gerais'!$D$4:$D$3632),-(Analítico!AA$3&lt;='Gastos Gerais'!$E$4:$E$3632),-('Gastos Gerais'!$C$4:$C$3632))</f>
        <v>9851.18</v>
      </c>
      <c r="AB85" s="134">
        <f>SUMPRODUCT(-('Gastos Gerais'!$B$4:$B$3632=Analítico!$B85),-(Analítico!AB$3&gt;='Gastos Gerais'!$D$4:$D$3632),-(Analítico!AB$3&lt;='Gastos Gerais'!$E$4:$E$3632),-('Gastos Gerais'!$C$4:$C$3632))</f>
        <v>21719.730000000003</v>
      </c>
      <c r="AC85" s="134">
        <f>SUMPRODUCT(-('Gastos Gerais'!$B$4:$B$3632=Analítico!$B85),-(Analítico!AC$3&gt;='Gastos Gerais'!$D$4:$D$3632),-(Analítico!AC$3&lt;='Gastos Gerais'!$E$4:$E$3632),-('Gastos Gerais'!$C$4:$C$3632))</f>
        <v>22565.730000000003</v>
      </c>
      <c r="AD85" s="134">
        <f>SUMPRODUCT(-('Gastos Gerais'!$B$4:$B$3632=Analítico!$B85),-(Analítico!AD$3&gt;='Gastos Gerais'!$D$4:$D$3632),-(Analítico!AD$3&lt;='Gastos Gerais'!$E$4:$E$3632),-('Gastos Gerais'!$C$4:$C$3632))</f>
        <v>20873.730000000003</v>
      </c>
      <c r="AE85" s="134">
        <f>SUMPRODUCT(-('Gastos Gerais'!$B$4:$B$3632=Analítico!$B85),-(Analítico!AE$3&gt;='Gastos Gerais'!$D$4:$D$3632),-(Analítico!AE$3&lt;='Gastos Gerais'!$E$4:$E$3632),-('Gastos Gerais'!$C$4:$C$3632))</f>
        <v>20873.730000000003</v>
      </c>
      <c r="AF85" s="134">
        <f>SUMPRODUCT(-('Gastos Gerais'!$B$4:$B$3632=Analítico!$B85),-(Analítico!AF$3&gt;='Gastos Gerais'!$D$4:$D$3632),-(Analítico!AF$3&lt;='Gastos Gerais'!$E$4:$E$3632),-('Gastos Gerais'!$C$4:$C$3632))</f>
        <v>19181.730000000003</v>
      </c>
      <c r="AG85" s="134">
        <f>SUMPRODUCT(-('Gastos Gerais'!$B$4:$B$3632=Analítico!$B85),-(Analítico!AG$3&gt;='Gastos Gerais'!$D$4:$D$3632),-(Analítico!AG$3&lt;='Gastos Gerais'!$E$4:$E$3632),-('Gastos Gerais'!$C$4:$C$3632))</f>
        <v>19181.730000000003</v>
      </c>
      <c r="AH85" s="134">
        <f>SUMPRODUCT(-('Gastos Gerais'!$B$4:$B$3632=Analítico!$B85),-(Analítico!AH$3&gt;='Gastos Gerais'!$D$4:$D$3632),-(Analítico!AH$3&lt;='Gastos Gerais'!$E$4:$E$3632),-('Gastos Gerais'!$C$4:$C$3632))</f>
        <v>6491.7300000000005</v>
      </c>
      <c r="AI85" s="134">
        <f>SUMPRODUCT(-('Gastos Gerais'!$B$4:$B$3632=Analítico!$B85),-(Analítico!AI$3&gt;='Gastos Gerais'!$D$4:$D$3632),-(Analítico!AI$3&lt;='Gastos Gerais'!$E$4:$E$3632),-('Gastos Gerais'!$C$4:$C$3632))</f>
        <v>6491.7300000000005</v>
      </c>
      <c r="AJ85" s="134">
        <f>SUMPRODUCT(-('Gastos Gerais'!$B$4:$B$3632=Analítico!$B85),-(Analítico!AJ$3&gt;='Gastos Gerais'!$D$4:$D$3632),-(Analítico!AJ$3&lt;='Gastos Gerais'!$E$4:$E$3632),-('Gastos Gerais'!$C$4:$C$3632))</f>
        <v>6491.7300000000005</v>
      </c>
      <c r="AK85" s="134">
        <f>SUMPRODUCT(-('Gastos Gerais'!$B$4:$B$3632=Analítico!$B85),-(Analítico!AK$3&gt;='Gastos Gerais'!$D$4:$D$3632),-(Analítico!AK$3&lt;='Gastos Gerais'!$E$4:$E$3632),-('Gastos Gerais'!$C$4:$C$3632))</f>
        <v>6491.7300000000005</v>
      </c>
      <c r="AL85" s="134">
        <f>SUMPRODUCT(-('Gastos Gerais'!$B$4:$B$3632=Analítico!$B85),-(Analítico!AL$3&gt;='Gastos Gerais'!$D$4:$D$3632),-(Analítico!AL$3&lt;='Gastos Gerais'!$E$4:$E$3632),-('Gastos Gerais'!$C$4:$C$3632))</f>
        <v>9029.73</v>
      </c>
      <c r="AM85" s="134">
        <f>SUMPRODUCT(-('Gastos Gerais'!$B$4:$B$3632=Analítico!$B85),-(Analítico!AM$3&gt;='Gastos Gerais'!$D$4:$D$3632),-(Analítico!AM$3&lt;='Gastos Gerais'!$E$4:$E$3632),-('Gastos Gerais'!$C$4:$C$3632))</f>
        <v>9029.73</v>
      </c>
      <c r="AN85" s="134">
        <f>SUMPRODUCT(-('Gastos Gerais'!$B$4:$B$3632=Analítico!$B85),-(Analítico!AN$3&gt;='Gastos Gerais'!$D$4:$D$3632),-(Analítico!AN$3&lt;='Gastos Gerais'!$E$4:$E$3632),-('Gastos Gerais'!$C$4:$C$3632))</f>
        <v>21252.84</v>
      </c>
      <c r="AO85" s="134">
        <f>SUMPRODUCT(-('Gastos Gerais'!$B$4:$B$3632=Analítico!$B85),-(Analítico!AO$3&gt;='Gastos Gerais'!$D$4:$D$3632),-(Analítico!AO$3&lt;='Gastos Gerais'!$E$4:$E$3632),-('Gastos Gerais'!$C$4:$C$3632))</f>
        <v>22098.84</v>
      </c>
      <c r="AP85" s="134">
        <f>SUMPRODUCT(-('Gastos Gerais'!$B$4:$B$3632=Analítico!$B85),-(Analítico!AP$3&gt;='Gastos Gerais'!$D$4:$D$3632),-(Analítico!AP$3&lt;='Gastos Gerais'!$E$4:$E$3632),-('Gastos Gerais'!$C$4:$C$3632))</f>
        <v>21252.84</v>
      </c>
      <c r="AQ85" s="134">
        <f>SUMPRODUCT(-('Gastos Gerais'!$B$4:$B$3632=Analítico!$B85),-(Analítico!AQ$3&gt;='Gastos Gerais'!$D$4:$D$3632),-(Analítico!AQ$3&lt;='Gastos Gerais'!$E$4:$E$3632),-('Gastos Gerais'!$C$4:$C$3632))</f>
        <v>21252.84</v>
      </c>
      <c r="AR85" s="134">
        <f>SUMPRODUCT(-('Gastos Gerais'!$B$4:$B$3632=Analítico!$B85),-(Analítico!AR$3&gt;='Gastos Gerais'!$D$4:$D$3632),-(Analítico!AR$3&lt;='Gastos Gerais'!$E$4:$E$3632),-('Gastos Gerais'!$C$4:$C$3632))</f>
        <v>19560.84</v>
      </c>
      <c r="AS85" s="134">
        <f>SUMPRODUCT(-('Gastos Gerais'!$B$4:$B$3632=Analítico!$B85),-(Analítico!AS$3&gt;='Gastos Gerais'!$D$4:$D$3632),-(Analítico!AS$3&lt;='Gastos Gerais'!$E$4:$E$3632),-('Gastos Gerais'!$C$4:$C$3632))</f>
        <v>19560.84</v>
      </c>
      <c r="AT85" s="134">
        <f>SUMPRODUCT(-('Gastos Gerais'!$B$4:$B$3632=Analítico!$B85),-(Analítico!AT$3&gt;='Gastos Gerais'!$D$4:$D$3632),-(Analítico!AT$3&lt;='Gastos Gerais'!$E$4:$E$3632),-('Gastos Gerais'!$C$4:$C$3632))</f>
        <v>6870.8399999999992</v>
      </c>
      <c r="AU85" s="134">
        <f>SUMPRODUCT(-('Gastos Gerais'!$B$4:$B$3632=Analítico!$B85),-(Analítico!AU$3&gt;='Gastos Gerais'!$D$4:$D$3632),-(Analítico!AU$3&lt;='Gastos Gerais'!$E$4:$E$3632),-('Gastos Gerais'!$C$4:$C$3632))</f>
        <v>6870.8399999999992</v>
      </c>
      <c r="AV85" s="134">
        <f>SUMPRODUCT(-('Gastos Gerais'!$B$4:$B$3632=Analítico!$B85),-(Analítico!AV$3&gt;='Gastos Gerais'!$D$4:$D$3632),-(Analítico!AV$3&lt;='Gastos Gerais'!$E$4:$E$3632),-('Gastos Gerais'!$C$4:$C$3632))</f>
        <v>6870.8399999999992</v>
      </c>
      <c r="AW85" s="134">
        <f>SUMPRODUCT(-('Gastos Gerais'!$B$4:$B$3632=Analítico!$B85),-(Analítico!AW$3&gt;='Gastos Gerais'!$D$4:$D$3632),-(Analítico!AW$3&lt;='Gastos Gerais'!$E$4:$E$3632),-('Gastos Gerais'!$C$4:$C$3632))</f>
        <v>6870.8399999999992</v>
      </c>
      <c r="AX85" s="134">
        <f>SUMPRODUCT(-('Gastos Gerais'!$B$4:$B$3632=Analítico!$B85),-(Analítico!AX$3&gt;='Gastos Gerais'!$D$4:$D$3632),-(Analítico!AX$3&lt;='Gastos Gerais'!$E$4:$E$3632),-('Gastos Gerais'!$C$4:$C$3632))</f>
        <v>9408.84</v>
      </c>
      <c r="AY85" s="134">
        <f>SUMPRODUCT(-('Gastos Gerais'!$B$4:$B$3632=Analítico!$B85),-(Analítico!AY$3&gt;='Gastos Gerais'!$D$4:$D$3632),-(Analítico!AY$3&lt;='Gastos Gerais'!$E$4:$E$3632),-('Gastos Gerais'!$C$4:$C$3632))</f>
        <v>9408.84</v>
      </c>
      <c r="AZ85" s="134">
        <f>SUMPRODUCT(-('Gastos Gerais'!$B$4:$B$3632=Analítico!$B85),-(Analítico!AZ$3&gt;='Gastos Gerais'!$D$4:$D$3632),-(Analítico!AZ$3&lt;='Gastos Gerais'!$E$4:$E$3632),-('Gastos Gerais'!$C$4:$C$3632))</f>
        <v>21280.34</v>
      </c>
      <c r="BA85" s="134">
        <f>SUMPRODUCT(-('Gastos Gerais'!$B$4:$B$3632=Analítico!$B85),-(Analítico!BA$3&gt;='Gastos Gerais'!$D$4:$D$3632),-(Analítico!BA$3&lt;='Gastos Gerais'!$E$4:$E$3632),-('Gastos Gerais'!$C$4:$C$3632))</f>
        <v>22126.34</v>
      </c>
      <c r="BB85" s="134">
        <f>SUMPRODUCT(-('Gastos Gerais'!$B$4:$B$3632=Analítico!$B85),-(Analítico!BB$3&gt;='Gastos Gerais'!$D$4:$D$3632),-(Analítico!BB$3&lt;='Gastos Gerais'!$E$4:$E$3632),-('Gastos Gerais'!$C$4:$C$3632))</f>
        <v>21280.34</v>
      </c>
      <c r="BC85" s="134">
        <f>SUMPRODUCT(-('Gastos Gerais'!$B$4:$B$3632=Analítico!$B85),-(Analítico!BC$3&gt;='Gastos Gerais'!$D$4:$D$3632),-(Analítico!BC$3&lt;='Gastos Gerais'!$E$4:$E$3632),-('Gastos Gerais'!$C$4:$C$3632))</f>
        <v>21280.34</v>
      </c>
      <c r="BD85" s="134">
        <f>SUMPRODUCT(-('Gastos Gerais'!$B$4:$B$3632=Analítico!$B85),-(Analítico!BD$3&gt;='Gastos Gerais'!$D$4:$D$3632),-(Analítico!BD$3&lt;='Gastos Gerais'!$E$4:$E$3632),-('Gastos Gerais'!$C$4:$C$3632))</f>
        <v>19588.34</v>
      </c>
      <c r="BE85" s="134">
        <f>SUMPRODUCT(-('Gastos Gerais'!$B$4:$B$3632=Analítico!$B85),-(Analítico!BE$3&gt;='Gastos Gerais'!$D$4:$D$3632),-(Analítico!BE$3&lt;='Gastos Gerais'!$E$4:$E$3632),-('Gastos Gerais'!$C$4:$C$3632))</f>
        <v>19588.34</v>
      </c>
      <c r="BF85" s="134">
        <f>SUMPRODUCT(-('Gastos Gerais'!$B$4:$B$3632=Analítico!$B85),-(Analítico!BF$3&gt;='Gastos Gerais'!$D$4:$D$3632),-(Analítico!BF$3&lt;='Gastos Gerais'!$E$4:$E$3632),-('Gastos Gerais'!$C$4:$C$3632))</f>
        <v>6898.3399999999992</v>
      </c>
      <c r="BG85" s="134">
        <f>SUMPRODUCT(-('Gastos Gerais'!$B$4:$B$3632=Analítico!$B85),-(Analítico!BG$3&gt;='Gastos Gerais'!$D$4:$D$3632),-(Analítico!BG$3&lt;='Gastos Gerais'!$E$4:$E$3632),-('Gastos Gerais'!$C$4:$C$3632))</f>
        <v>6898.3399999999992</v>
      </c>
      <c r="BH85" s="134">
        <f>SUMPRODUCT(-('Gastos Gerais'!$B$4:$B$3632=Analítico!$B85),-(Analítico!BH$3&gt;='Gastos Gerais'!$D$4:$D$3632),-(Analítico!BH$3&lt;='Gastos Gerais'!$E$4:$E$3632),-('Gastos Gerais'!$C$4:$C$3632))</f>
        <v>6898.3399999999992</v>
      </c>
      <c r="BI85" s="134">
        <f>SUMPRODUCT(-('Gastos Gerais'!$B$4:$B$3632=Analítico!$B85),-(Analítico!BI$3&gt;='Gastos Gerais'!$D$4:$D$3632),-(Analítico!BI$3&lt;='Gastos Gerais'!$E$4:$E$3632),-('Gastos Gerais'!$C$4:$C$3632))</f>
        <v>6898.3399999999992</v>
      </c>
      <c r="BJ85" s="134">
        <f>SUMPRODUCT(-('Gastos Gerais'!$B$4:$B$3632=Analítico!$B85),-(Analítico!BJ$3&gt;='Gastos Gerais'!$D$4:$D$3632),-(Analítico!BJ$3&lt;='Gastos Gerais'!$E$4:$E$3632),-('Gastos Gerais'!$C$4:$C$3632))</f>
        <v>6898.3399999999992</v>
      </c>
      <c r="BK85" s="189">
        <f t="shared" si="37"/>
        <v>832113.48999999906</v>
      </c>
      <c r="BL85" s="136">
        <f t="shared" ca="1" si="38"/>
        <v>2.4870248059683324E-3</v>
      </c>
      <c r="BN85" s="134">
        <f>SUMPRODUCT(-('Gastos Gerais'!$B$4:$B$3632=Analítico!$B85),-(Analítico!BN$3&gt;='Gastos Gerais'!$D$4:$D$3632),-(Analítico!BN$3&lt;='Gastos Gerais'!$E$4:$E$3632),-('Gastos Gerais'!$C$4:$C$3632))</f>
        <v>5490.5</v>
      </c>
    </row>
    <row r="86" spans="1:66" s="160" customFormat="1" ht="23.25" customHeight="1">
      <c r="A86" s="229" t="s">
        <v>249</v>
      </c>
      <c r="B86" s="232" t="s">
        <v>250</v>
      </c>
      <c r="C86" s="188">
        <f t="shared" si="36"/>
        <v>0</v>
      </c>
      <c r="D86" s="134">
        <f>SUMPRODUCT(-('Gastos Gerais'!$B$4:$B$3632=Analítico!$B86),-(Analítico!D$3&gt;='Gastos Gerais'!$D$4:$D$3632),-(Analítico!D$3&lt;='Gastos Gerais'!$E$4:$E$3632),-('Gastos Gerais'!$C$4:$C$3632))</f>
        <v>0</v>
      </c>
      <c r="E86" s="134">
        <f>SUMPRODUCT(-('Gastos Gerais'!$B$4:$B$3632=Analítico!$B86),-(Analítico!E$3&gt;='Gastos Gerais'!$D$4:$D$3632),-(Analítico!E$3&lt;='Gastos Gerais'!$E$4:$E$3632),-('Gastos Gerais'!$C$4:$C$3632))</f>
        <v>0</v>
      </c>
      <c r="F86" s="134">
        <f>SUMPRODUCT(-('Gastos Gerais'!$B$4:$B$3632=Analítico!$B86),-(Analítico!F$3&gt;='Gastos Gerais'!$D$4:$D$3632),-(Analítico!F$3&lt;='Gastos Gerais'!$E$4:$E$3632),-('Gastos Gerais'!$C$4:$C$3632))</f>
        <v>0</v>
      </c>
      <c r="G86" s="134">
        <f>SUMPRODUCT(-('Gastos Gerais'!$B$4:$B$3632=Analítico!$B86),-(Analítico!G$3&gt;='Gastos Gerais'!$D$4:$D$3632),-(Analítico!G$3&lt;='Gastos Gerais'!$E$4:$E$3632),-('Gastos Gerais'!$C$4:$C$3632))</f>
        <v>0</v>
      </c>
      <c r="H86" s="134">
        <f>SUMPRODUCT(-('Gastos Gerais'!$B$4:$B$3632=Analítico!$B86),-(Analítico!H$3&gt;='Gastos Gerais'!$D$4:$D$3632),-(Analítico!H$3&lt;='Gastos Gerais'!$E$4:$E$3632),-('Gastos Gerais'!$C$4:$C$3632))</f>
        <v>0</v>
      </c>
      <c r="I86" s="134">
        <f>SUMPRODUCT(-('Gastos Gerais'!$B$4:$B$3632=Analítico!$B86),-(Analítico!I$3&gt;='Gastos Gerais'!$D$4:$D$3632),-(Analítico!I$3&lt;='Gastos Gerais'!$E$4:$E$3632),-('Gastos Gerais'!$C$4:$C$3632))</f>
        <v>0</v>
      </c>
      <c r="J86" s="134">
        <f>SUMPRODUCT(-('Gastos Gerais'!$B$4:$B$3632=Analítico!$B86),-(Analítico!J$3&gt;='Gastos Gerais'!$D$4:$D$3632),-(Analítico!J$3&lt;='Gastos Gerais'!$E$4:$E$3632),-('Gastos Gerais'!$C$4:$C$3632))</f>
        <v>0</v>
      </c>
      <c r="K86" s="134">
        <f>SUMPRODUCT(-('Gastos Gerais'!$B$4:$B$3632=Analítico!$B86),-(Analítico!K$3&gt;='Gastos Gerais'!$D$4:$D$3632),-(Analítico!K$3&lt;='Gastos Gerais'!$E$4:$E$3632),-('Gastos Gerais'!$C$4:$C$3632))</f>
        <v>0</v>
      </c>
      <c r="L86" s="134">
        <f>SUMPRODUCT(-('Gastos Gerais'!$B$4:$B$3632=Analítico!$B86),-(Analítico!L$3&gt;='Gastos Gerais'!$D$4:$D$3632),-(Analítico!L$3&lt;='Gastos Gerais'!$E$4:$E$3632),-('Gastos Gerais'!$C$4:$C$3632))</f>
        <v>0</v>
      </c>
      <c r="M86" s="134">
        <f>SUMPRODUCT(-('Gastos Gerais'!$B$4:$B$3632=Analítico!$B86),-(Analítico!M$3&gt;='Gastos Gerais'!$D$4:$D$3632),-(Analítico!M$3&lt;='Gastos Gerais'!$E$4:$E$3632),-('Gastos Gerais'!$C$4:$C$3632))</f>
        <v>0</v>
      </c>
      <c r="N86" s="134">
        <f>SUMPRODUCT(-('Gastos Gerais'!$B$4:$B$3632=Analítico!$B86),-(Analítico!N$3&gt;='Gastos Gerais'!$D$4:$D$3632),-(Analítico!N$3&lt;='Gastos Gerais'!$E$4:$E$3632),-('Gastos Gerais'!$C$4:$C$3632))</f>
        <v>0</v>
      </c>
      <c r="O86" s="134">
        <f>SUMPRODUCT(-('Gastos Gerais'!$B$4:$B$3632=Analítico!$B86),-(Analítico!O$3&gt;='Gastos Gerais'!$D$4:$D$3632),-(Analítico!O$3&lt;='Gastos Gerais'!$E$4:$E$3632),-('Gastos Gerais'!$C$4:$C$3632))</f>
        <v>0</v>
      </c>
      <c r="P86" s="134">
        <f>SUMPRODUCT(-('Gastos Gerais'!$B$4:$B$3632=Analítico!$B86),-(Analítico!P$3&gt;='Gastos Gerais'!$D$4:$D$3632),-(Analítico!P$3&lt;='Gastos Gerais'!$E$4:$E$3632),-('Gastos Gerais'!$C$4:$C$3632))</f>
        <v>0</v>
      </c>
      <c r="Q86" s="134">
        <f>SUMPRODUCT(-('Gastos Gerais'!$B$4:$B$3632=Analítico!$B86),-(Analítico!Q$3&gt;='Gastos Gerais'!$D$4:$D$3632),-(Analítico!Q$3&lt;='Gastos Gerais'!$E$4:$E$3632),-('Gastos Gerais'!$C$4:$C$3632))</f>
        <v>0</v>
      </c>
      <c r="R86" s="134">
        <f>SUMPRODUCT(-('Gastos Gerais'!$B$4:$B$3632=Analítico!$B86),-(Analítico!R$3&gt;='Gastos Gerais'!$D$4:$D$3632),-(Analítico!R$3&lt;='Gastos Gerais'!$E$4:$E$3632),-('Gastos Gerais'!$C$4:$C$3632))</f>
        <v>0</v>
      </c>
      <c r="S86" s="134">
        <f>SUMPRODUCT(-('Gastos Gerais'!$B$4:$B$3632=Analítico!$B86),-(Analítico!S$3&gt;='Gastos Gerais'!$D$4:$D$3632),-(Analítico!S$3&lt;='Gastos Gerais'!$E$4:$E$3632),-('Gastos Gerais'!$C$4:$C$3632))</f>
        <v>0</v>
      </c>
      <c r="T86" s="134">
        <f>SUMPRODUCT(-('Gastos Gerais'!$B$4:$B$3632=Analítico!$B86),-(Analítico!T$3&gt;='Gastos Gerais'!$D$4:$D$3632),-(Analítico!T$3&lt;='Gastos Gerais'!$E$4:$E$3632),-('Gastos Gerais'!$C$4:$C$3632))</f>
        <v>0</v>
      </c>
      <c r="U86" s="134">
        <f>SUMPRODUCT(-('Gastos Gerais'!$B$4:$B$3632=Analítico!$B86),-(Analítico!U$3&gt;='Gastos Gerais'!$D$4:$D$3632),-(Analítico!U$3&lt;='Gastos Gerais'!$E$4:$E$3632),-('Gastos Gerais'!$C$4:$C$3632))</f>
        <v>0</v>
      </c>
      <c r="V86" s="134">
        <f>SUMPRODUCT(-('Gastos Gerais'!$B$4:$B$3632=Analítico!$B86),-(Analítico!V$3&gt;='Gastos Gerais'!$D$4:$D$3632),-(Analítico!V$3&lt;='Gastos Gerais'!$E$4:$E$3632),-('Gastos Gerais'!$C$4:$C$3632))</f>
        <v>0</v>
      </c>
      <c r="W86" s="134">
        <f>SUMPRODUCT(-('Gastos Gerais'!$B$4:$B$3632=Analítico!$B86),-(Analítico!W$3&gt;='Gastos Gerais'!$D$4:$D$3632),-(Analítico!W$3&lt;='Gastos Gerais'!$E$4:$E$3632),-('Gastos Gerais'!$C$4:$C$3632))</f>
        <v>0</v>
      </c>
      <c r="X86" s="134">
        <f>SUMPRODUCT(-('Gastos Gerais'!$B$4:$B$3632=Analítico!$B86),-(Analítico!X$3&gt;='Gastos Gerais'!$D$4:$D$3632),-(Analítico!X$3&lt;='Gastos Gerais'!$E$4:$E$3632),-('Gastos Gerais'!$C$4:$C$3632))</f>
        <v>0</v>
      </c>
      <c r="Y86" s="134">
        <f>SUMPRODUCT(-('Gastos Gerais'!$B$4:$B$3632=Analítico!$B86),-(Analítico!Y$3&gt;='Gastos Gerais'!$D$4:$D$3632),-(Analítico!Y$3&lt;='Gastos Gerais'!$E$4:$E$3632),-('Gastos Gerais'!$C$4:$C$3632))</f>
        <v>0</v>
      </c>
      <c r="Z86" s="134">
        <f>SUMPRODUCT(-('Gastos Gerais'!$B$4:$B$3632=Analítico!$B86),-(Analítico!Z$3&gt;='Gastos Gerais'!$D$4:$D$3632),-(Analítico!Z$3&lt;='Gastos Gerais'!$E$4:$E$3632),-('Gastos Gerais'!$C$4:$C$3632))</f>
        <v>0</v>
      </c>
      <c r="AA86" s="134">
        <f>SUMPRODUCT(-('Gastos Gerais'!$B$4:$B$3632=Analítico!$B86),-(Analítico!AA$3&gt;='Gastos Gerais'!$D$4:$D$3632),-(Analítico!AA$3&lt;='Gastos Gerais'!$E$4:$E$3632),-('Gastos Gerais'!$C$4:$C$3632))</f>
        <v>0</v>
      </c>
      <c r="AB86" s="134">
        <f>SUMPRODUCT(-('Gastos Gerais'!$B$4:$B$3632=Analítico!$B86),-(Analítico!AB$3&gt;='Gastos Gerais'!$D$4:$D$3632),-(Analítico!AB$3&lt;='Gastos Gerais'!$E$4:$E$3632),-('Gastos Gerais'!$C$4:$C$3632))</f>
        <v>0</v>
      </c>
      <c r="AC86" s="134">
        <f>SUMPRODUCT(-('Gastos Gerais'!$B$4:$B$3632=Analítico!$B86),-(Analítico!AC$3&gt;='Gastos Gerais'!$D$4:$D$3632),-(Analítico!AC$3&lt;='Gastos Gerais'!$E$4:$E$3632),-('Gastos Gerais'!$C$4:$C$3632))</f>
        <v>0</v>
      </c>
      <c r="AD86" s="134">
        <f>SUMPRODUCT(-('Gastos Gerais'!$B$4:$B$3632=Analítico!$B86),-(Analítico!AD$3&gt;='Gastos Gerais'!$D$4:$D$3632),-(Analítico!AD$3&lt;='Gastos Gerais'!$E$4:$E$3632),-('Gastos Gerais'!$C$4:$C$3632))</f>
        <v>0</v>
      </c>
      <c r="AE86" s="134">
        <f>SUMPRODUCT(-('Gastos Gerais'!$B$4:$B$3632=Analítico!$B86),-(Analítico!AE$3&gt;='Gastos Gerais'!$D$4:$D$3632),-(Analítico!AE$3&lt;='Gastos Gerais'!$E$4:$E$3632),-('Gastos Gerais'!$C$4:$C$3632))</f>
        <v>0</v>
      </c>
      <c r="AF86" s="134">
        <f>SUMPRODUCT(-('Gastos Gerais'!$B$4:$B$3632=Analítico!$B86),-(Analítico!AF$3&gt;='Gastos Gerais'!$D$4:$D$3632),-(Analítico!AF$3&lt;='Gastos Gerais'!$E$4:$E$3632),-('Gastos Gerais'!$C$4:$C$3632))</f>
        <v>0</v>
      </c>
      <c r="AG86" s="134">
        <f>SUMPRODUCT(-('Gastos Gerais'!$B$4:$B$3632=Analítico!$B86),-(Analítico!AG$3&gt;='Gastos Gerais'!$D$4:$D$3632),-(Analítico!AG$3&lt;='Gastos Gerais'!$E$4:$E$3632),-('Gastos Gerais'!$C$4:$C$3632))</f>
        <v>0</v>
      </c>
      <c r="AH86" s="134">
        <f>SUMPRODUCT(-('Gastos Gerais'!$B$4:$B$3632=Analítico!$B86),-(Analítico!AH$3&gt;='Gastos Gerais'!$D$4:$D$3632),-(Analítico!AH$3&lt;='Gastos Gerais'!$E$4:$E$3632),-('Gastos Gerais'!$C$4:$C$3632))</f>
        <v>0</v>
      </c>
      <c r="AI86" s="134">
        <f>SUMPRODUCT(-('Gastos Gerais'!$B$4:$B$3632=Analítico!$B86),-(Analítico!AI$3&gt;='Gastos Gerais'!$D$4:$D$3632),-(Analítico!AI$3&lt;='Gastos Gerais'!$E$4:$E$3632),-('Gastos Gerais'!$C$4:$C$3632))</f>
        <v>0</v>
      </c>
      <c r="AJ86" s="134">
        <f>SUMPRODUCT(-('Gastos Gerais'!$B$4:$B$3632=Analítico!$B86),-(Analítico!AJ$3&gt;='Gastos Gerais'!$D$4:$D$3632),-(Analítico!AJ$3&lt;='Gastos Gerais'!$E$4:$E$3632),-('Gastos Gerais'!$C$4:$C$3632))</f>
        <v>0</v>
      </c>
      <c r="AK86" s="134">
        <f>SUMPRODUCT(-('Gastos Gerais'!$B$4:$B$3632=Analítico!$B86),-(Analítico!AK$3&gt;='Gastos Gerais'!$D$4:$D$3632),-(Analítico!AK$3&lt;='Gastos Gerais'!$E$4:$E$3632),-('Gastos Gerais'!$C$4:$C$3632))</f>
        <v>0</v>
      </c>
      <c r="AL86" s="134">
        <f>SUMPRODUCT(-('Gastos Gerais'!$B$4:$B$3632=Analítico!$B86),-(Analítico!AL$3&gt;='Gastos Gerais'!$D$4:$D$3632),-(Analítico!AL$3&lt;='Gastos Gerais'!$E$4:$E$3632),-('Gastos Gerais'!$C$4:$C$3632))</f>
        <v>0</v>
      </c>
      <c r="AM86" s="134">
        <f>SUMPRODUCT(-('Gastos Gerais'!$B$4:$B$3632=Analítico!$B86),-(Analítico!AM$3&gt;='Gastos Gerais'!$D$4:$D$3632),-(Analítico!AM$3&lt;='Gastos Gerais'!$E$4:$E$3632),-('Gastos Gerais'!$C$4:$C$3632))</f>
        <v>0</v>
      </c>
      <c r="AN86" s="134">
        <f>SUMPRODUCT(-('Gastos Gerais'!$B$4:$B$3632=Analítico!$B86),-(Analítico!AN$3&gt;='Gastos Gerais'!$D$4:$D$3632),-(Analítico!AN$3&lt;='Gastos Gerais'!$E$4:$E$3632),-('Gastos Gerais'!$C$4:$C$3632))</f>
        <v>0</v>
      </c>
      <c r="AO86" s="134">
        <f>SUMPRODUCT(-('Gastos Gerais'!$B$4:$B$3632=Analítico!$B86),-(Analítico!AO$3&gt;='Gastos Gerais'!$D$4:$D$3632),-(Analítico!AO$3&lt;='Gastos Gerais'!$E$4:$E$3632),-('Gastos Gerais'!$C$4:$C$3632))</f>
        <v>0</v>
      </c>
      <c r="AP86" s="134">
        <f>SUMPRODUCT(-('Gastos Gerais'!$B$4:$B$3632=Analítico!$B86),-(Analítico!AP$3&gt;='Gastos Gerais'!$D$4:$D$3632),-(Analítico!AP$3&lt;='Gastos Gerais'!$E$4:$E$3632),-('Gastos Gerais'!$C$4:$C$3632))</f>
        <v>0</v>
      </c>
      <c r="AQ86" s="134">
        <f>SUMPRODUCT(-('Gastos Gerais'!$B$4:$B$3632=Analítico!$B86),-(Analítico!AQ$3&gt;='Gastos Gerais'!$D$4:$D$3632),-(Analítico!AQ$3&lt;='Gastos Gerais'!$E$4:$E$3632),-('Gastos Gerais'!$C$4:$C$3632))</f>
        <v>0</v>
      </c>
      <c r="AR86" s="134">
        <f>SUMPRODUCT(-('Gastos Gerais'!$B$4:$B$3632=Analítico!$B86),-(Analítico!AR$3&gt;='Gastos Gerais'!$D$4:$D$3632),-(Analítico!AR$3&lt;='Gastos Gerais'!$E$4:$E$3632),-('Gastos Gerais'!$C$4:$C$3632))</f>
        <v>0</v>
      </c>
      <c r="AS86" s="134">
        <f>SUMPRODUCT(-('Gastos Gerais'!$B$4:$B$3632=Analítico!$B86),-(Analítico!AS$3&gt;='Gastos Gerais'!$D$4:$D$3632),-(Analítico!AS$3&lt;='Gastos Gerais'!$E$4:$E$3632),-('Gastos Gerais'!$C$4:$C$3632))</f>
        <v>0</v>
      </c>
      <c r="AT86" s="134">
        <f>SUMPRODUCT(-('Gastos Gerais'!$B$4:$B$3632=Analítico!$B86),-(Analítico!AT$3&gt;='Gastos Gerais'!$D$4:$D$3632),-(Analítico!AT$3&lt;='Gastos Gerais'!$E$4:$E$3632),-('Gastos Gerais'!$C$4:$C$3632))</f>
        <v>0</v>
      </c>
      <c r="AU86" s="134">
        <f>SUMPRODUCT(-('Gastos Gerais'!$B$4:$B$3632=Analítico!$B86),-(Analítico!AU$3&gt;='Gastos Gerais'!$D$4:$D$3632),-(Analítico!AU$3&lt;='Gastos Gerais'!$E$4:$E$3632),-('Gastos Gerais'!$C$4:$C$3632))</f>
        <v>0</v>
      </c>
      <c r="AV86" s="134">
        <f>SUMPRODUCT(-('Gastos Gerais'!$B$4:$B$3632=Analítico!$B86),-(Analítico!AV$3&gt;='Gastos Gerais'!$D$4:$D$3632),-(Analítico!AV$3&lt;='Gastos Gerais'!$E$4:$E$3632),-('Gastos Gerais'!$C$4:$C$3632))</f>
        <v>0</v>
      </c>
      <c r="AW86" s="134">
        <f>SUMPRODUCT(-('Gastos Gerais'!$B$4:$B$3632=Analítico!$B86),-(Analítico!AW$3&gt;='Gastos Gerais'!$D$4:$D$3632),-(Analítico!AW$3&lt;='Gastos Gerais'!$E$4:$E$3632),-('Gastos Gerais'!$C$4:$C$3632))</f>
        <v>0</v>
      </c>
      <c r="AX86" s="134">
        <f>SUMPRODUCT(-('Gastos Gerais'!$B$4:$B$3632=Analítico!$B86),-(Analítico!AX$3&gt;='Gastos Gerais'!$D$4:$D$3632),-(Analítico!AX$3&lt;='Gastos Gerais'!$E$4:$E$3632),-('Gastos Gerais'!$C$4:$C$3632))</f>
        <v>0</v>
      </c>
      <c r="AY86" s="134">
        <f>SUMPRODUCT(-('Gastos Gerais'!$B$4:$B$3632=Analítico!$B86),-(Analítico!AY$3&gt;='Gastos Gerais'!$D$4:$D$3632),-(Analítico!AY$3&lt;='Gastos Gerais'!$E$4:$E$3632),-('Gastos Gerais'!$C$4:$C$3632))</f>
        <v>0</v>
      </c>
      <c r="AZ86" s="134">
        <f>SUMPRODUCT(-('Gastos Gerais'!$B$4:$B$3632=Analítico!$B86),-(Analítico!AZ$3&gt;='Gastos Gerais'!$D$4:$D$3632),-(Analítico!AZ$3&lt;='Gastos Gerais'!$E$4:$E$3632),-('Gastos Gerais'!$C$4:$C$3632))</f>
        <v>0</v>
      </c>
      <c r="BA86" s="134">
        <f>SUMPRODUCT(-('Gastos Gerais'!$B$4:$B$3632=Analítico!$B86),-(Analítico!BA$3&gt;='Gastos Gerais'!$D$4:$D$3632),-(Analítico!BA$3&lt;='Gastos Gerais'!$E$4:$E$3632),-('Gastos Gerais'!$C$4:$C$3632))</f>
        <v>0</v>
      </c>
      <c r="BB86" s="134">
        <f>SUMPRODUCT(-('Gastos Gerais'!$B$4:$B$3632=Analítico!$B86),-(Analítico!BB$3&gt;='Gastos Gerais'!$D$4:$D$3632),-(Analítico!BB$3&lt;='Gastos Gerais'!$E$4:$E$3632),-('Gastos Gerais'!$C$4:$C$3632))</f>
        <v>0</v>
      </c>
      <c r="BC86" s="134">
        <f>SUMPRODUCT(-('Gastos Gerais'!$B$4:$B$3632=Analítico!$B86),-(Analítico!BC$3&gt;='Gastos Gerais'!$D$4:$D$3632),-(Analítico!BC$3&lt;='Gastos Gerais'!$E$4:$E$3632),-('Gastos Gerais'!$C$4:$C$3632))</f>
        <v>0</v>
      </c>
      <c r="BD86" s="134">
        <f>SUMPRODUCT(-('Gastos Gerais'!$B$4:$B$3632=Analítico!$B86),-(Analítico!BD$3&gt;='Gastos Gerais'!$D$4:$D$3632),-(Analítico!BD$3&lt;='Gastos Gerais'!$E$4:$E$3632),-('Gastos Gerais'!$C$4:$C$3632))</f>
        <v>0</v>
      </c>
      <c r="BE86" s="134">
        <f>SUMPRODUCT(-('Gastos Gerais'!$B$4:$B$3632=Analítico!$B86),-(Analítico!BE$3&gt;='Gastos Gerais'!$D$4:$D$3632),-(Analítico!BE$3&lt;='Gastos Gerais'!$E$4:$E$3632),-('Gastos Gerais'!$C$4:$C$3632))</f>
        <v>0</v>
      </c>
      <c r="BF86" s="134">
        <f>SUMPRODUCT(-('Gastos Gerais'!$B$4:$B$3632=Analítico!$B86),-(Analítico!BF$3&gt;='Gastos Gerais'!$D$4:$D$3632),-(Analítico!BF$3&lt;='Gastos Gerais'!$E$4:$E$3632),-('Gastos Gerais'!$C$4:$C$3632))</f>
        <v>0</v>
      </c>
      <c r="BG86" s="134">
        <f>SUMPRODUCT(-('Gastos Gerais'!$B$4:$B$3632=Analítico!$B86),-(Analítico!BG$3&gt;='Gastos Gerais'!$D$4:$D$3632),-(Analítico!BG$3&lt;='Gastos Gerais'!$E$4:$E$3632),-('Gastos Gerais'!$C$4:$C$3632))</f>
        <v>0</v>
      </c>
      <c r="BH86" s="134">
        <f>SUMPRODUCT(-('Gastos Gerais'!$B$4:$B$3632=Analítico!$B86),-(Analítico!BH$3&gt;='Gastos Gerais'!$D$4:$D$3632),-(Analítico!BH$3&lt;='Gastos Gerais'!$E$4:$E$3632),-('Gastos Gerais'!$C$4:$C$3632))</f>
        <v>0</v>
      </c>
      <c r="BI86" s="134">
        <f>SUMPRODUCT(-('Gastos Gerais'!$B$4:$B$3632=Analítico!$B86),-(Analítico!BI$3&gt;='Gastos Gerais'!$D$4:$D$3632),-(Analítico!BI$3&lt;='Gastos Gerais'!$E$4:$E$3632),-('Gastos Gerais'!$C$4:$C$3632))</f>
        <v>0</v>
      </c>
      <c r="BJ86" s="134">
        <f>SUMPRODUCT(-('Gastos Gerais'!$B$4:$B$3632=Analítico!$B86),-(Analítico!BJ$3&gt;='Gastos Gerais'!$D$4:$D$3632),-(Analítico!BJ$3&lt;='Gastos Gerais'!$E$4:$E$3632),-('Gastos Gerais'!$C$4:$C$3632))</f>
        <v>0</v>
      </c>
      <c r="BK86" s="189">
        <f t="shared" si="37"/>
        <v>0</v>
      </c>
      <c r="BL86" s="136">
        <f t="shared" ca="1" si="38"/>
        <v>0</v>
      </c>
      <c r="BN86" s="134">
        <f>SUMPRODUCT(-('Gastos Gerais'!$B$4:$B$3632=Analítico!$B86),-(Analítico!BN$3&gt;='Gastos Gerais'!$D$4:$D$3632),-(Analítico!BN$3&lt;='Gastos Gerais'!$E$4:$E$3632),-('Gastos Gerais'!$C$4:$C$3632))</f>
        <v>0</v>
      </c>
    </row>
    <row r="87" spans="1:66" s="160" customFormat="1" ht="23.25" customHeight="1">
      <c r="A87" s="229" t="s">
        <v>251</v>
      </c>
      <c r="B87" s="232" t="s">
        <v>252</v>
      </c>
      <c r="C87" s="188">
        <f t="shared" si="36"/>
        <v>31500</v>
      </c>
      <c r="D87" s="134">
        <f>SUMPRODUCT(-('Gastos Gerais'!$B$4:$B$3632=Analítico!$B87),-(Analítico!D$3&gt;='Gastos Gerais'!$D$4:$D$3632),-(Analítico!D$3&lt;='Gastos Gerais'!$E$4:$E$3632),-('Gastos Gerais'!$C$4:$C$3632))</f>
        <v>105000</v>
      </c>
      <c r="E87" s="134">
        <f>SUMPRODUCT(-('Gastos Gerais'!$B$4:$B$3632=Analítico!$B87),-(Analítico!E$3&gt;='Gastos Gerais'!$D$4:$D$3632),-(Analítico!E$3&lt;='Gastos Gerais'!$E$4:$E$3632),-('Gastos Gerais'!$C$4:$C$3632))</f>
        <v>119000</v>
      </c>
      <c r="F87" s="134">
        <f>SUMPRODUCT(-('Gastos Gerais'!$B$4:$B$3632=Analítico!$B87),-(Analítico!F$3&gt;='Gastos Gerais'!$D$4:$D$3632),-(Analítico!F$3&lt;='Gastos Gerais'!$E$4:$E$3632),-('Gastos Gerais'!$C$4:$C$3632))</f>
        <v>119000</v>
      </c>
      <c r="G87" s="134">
        <f>SUMPRODUCT(-('Gastos Gerais'!$B$4:$B$3632=Analítico!$B87),-(Analítico!G$3&gt;='Gastos Gerais'!$D$4:$D$3632),-(Analítico!G$3&lt;='Gastos Gerais'!$E$4:$E$3632),-('Gastos Gerais'!$C$4:$C$3632))</f>
        <v>119000</v>
      </c>
      <c r="H87" s="134">
        <f>SUMPRODUCT(-('Gastos Gerais'!$B$4:$B$3632=Analítico!$B87),-(Analítico!H$3&gt;='Gastos Gerais'!$D$4:$D$3632),-(Analítico!H$3&lt;='Gastos Gerais'!$E$4:$E$3632),-('Gastos Gerais'!$C$4:$C$3632))</f>
        <v>119000</v>
      </c>
      <c r="I87" s="134">
        <f>SUMPRODUCT(-('Gastos Gerais'!$B$4:$B$3632=Analítico!$B87),-(Analítico!I$3&gt;='Gastos Gerais'!$D$4:$D$3632),-(Analítico!I$3&lt;='Gastos Gerais'!$E$4:$E$3632),-('Gastos Gerais'!$C$4:$C$3632))</f>
        <v>119000</v>
      </c>
      <c r="J87" s="134">
        <f>SUMPRODUCT(-('Gastos Gerais'!$B$4:$B$3632=Analítico!$B87),-(Analítico!J$3&gt;='Gastos Gerais'!$D$4:$D$3632),-(Analítico!J$3&lt;='Gastos Gerais'!$E$4:$E$3632),-('Gastos Gerais'!$C$4:$C$3632))</f>
        <v>119000</v>
      </c>
      <c r="K87" s="134">
        <f>SUMPRODUCT(-('Gastos Gerais'!$B$4:$B$3632=Analítico!$B87),-(Analítico!K$3&gt;='Gastos Gerais'!$D$4:$D$3632),-(Analítico!K$3&lt;='Gastos Gerais'!$E$4:$E$3632),-('Gastos Gerais'!$C$4:$C$3632))</f>
        <v>119000</v>
      </c>
      <c r="L87" s="134">
        <f>SUMPRODUCT(-('Gastos Gerais'!$B$4:$B$3632=Analítico!$B87),-(Analítico!L$3&gt;='Gastos Gerais'!$D$4:$D$3632),-(Analítico!L$3&lt;='Gastos Gerais'!$E$4:$E$3632),-('Gastos Gerais'!$C$4:$C$3632))</f>
        <v>119000</v>
      </c>
      <c r="M87" s="134">
        <f>SUMPRODUCT(-('Gastos Gerais'!$B$4:$B$3632=Analítico!$B87),-(Analítico!M$3&gt;='Gastos Gerais'!$D$4:$D$3632),-(Analítico!M$3&lt;='Gastos Gerais'!$E$4:$E$3632),-('Gastos Gerais'!$C$4:$C$3632))</f>
        <v>119000</v>
      </c>
      <c r="N87" s="134">
        <f>SUMPRODUCT(-('Gastos Gerais'!$B$4:$B$3632=Analítico!$B87),-(Analítico!N$3&gt;='Gastos Gerais'!$D$4:$D$3632),-(Analítico!N$3&lt;='Gastos Gerais'!$E$4:$E$3632),-('Gastos Gerais'!$C$4:$C$3632))</f>
        <v>119000</v>
      </c>
      <c r="O87" s="134">
        <f>SUMPRODUCT(-('Gastos Gerais'!$B$4:$B$3632=Analítico!$B87),-(Analítico!O$3&gt;='Gastos Gerais'!$D$4:$D$3632),-(Analítico!O$3&lt;='Gastos Gerais'!$E$4:$E$3632),-('Gastos Gerais'!$C$4:$C$3632))</f>
        <v>126000</v>
      </c>
      <c r="P87" s="134">
        <f>SUMPRODUCT(-('Gastos Gerais'!$B$4:$B$3632=Analítico!$B87),-(Analítico!P$3&gt;='Gastos Gerais'!$D$4:$D$3632),-(Analítico!P$3&lt;='Gastos Gerais'!$E$4:$E$3632),-('Gastos Gerais'!$C$4:$C$3632))</f>
        <v>134540.80000000002</v>
      </c>
      <c r="Q87" s="134">
        <f>SUMPRODUCT(-('Gastos Gerais'!$B$4:$B$3632=Analítico!$B87),-(Analítico!Q$3&gt;='Gastos Gerais'!$D$4:$D$3632),-(Analítico!Q$3&lt;='Gastos Gerais'!$E$4:$E$3632),-('Gastos Gerais'!$C$4:$C$3632))</f>
        <v>141540.80000000002</v>
      </c>
      <c r="R87" s="134">
        <f>SUMPRODUCT(-('Gastos Gerais'!$B$4:$B$3632=Analítico!$B87),-(Analítico!R$3&gt;='Gastos Gerais'!$D$4:$D$3632),-(Analítico!R$3&lt;='Gastos Gerais'!$E$4:$E$3632),-('Gastos Gerais'!$C$4:$C$3632))</f>
        <v>141540.80000000002</v>
      </c>
      <c r="S87" s="134">
        <f>SUMPRODUCT(-('Gastos Gerais'!$B$4:$B$3632=Analítico!$B87),-(Analítico!S$3&gt;='Gastos Gerais'!$D$4:$D$3632),-(Analítico!S$3&lt;='Gastos Gerais'!$E$4:$E$3632),-('Gastos Gerais'!$C$4:$C$3632))</f>
        <v>141540.80000000002</v>
      </c>
      <c r="T87" s="134">
        <f>SUMPRODUCT(-('Gastos Gerais'!$B$4:$B$3632=Analítico!$B87),-(Analítico!T$3&gt;='Gastos Gerais'!$D$4:$D$3632),-(Analítico!T$3&lt;='Gastos Gerais'!$E$4:$E$3632),-('Gastos Gerais'!$C$4:$C$3632))</f>
        <v>141540.80000000002</v>
      </c>
      <c r="U87" s="134">
        <f>SUMPRODUCT(-('Gastos Gerais'!$B$4:$B$3632=Analítico!$B87),-(Analítico!U$3&gt;='Gastos Gerais'!$D$4:$D$3632),-(Analítico!U$3&lt;='Gastos Gerais'!$E$4:$E$3632),-('Gastos Gerais'!$C$4:$C$3632))</f>
        <v>141540.80000000002</v>
      </c>
      <c r="V87" s="134">
        <f>SUMPRODUCT(-('Gastos Gerais'!$B$4:$B$3632=Analítico!$B87),-(Analítico!V$3&gt;='Gastos Gerais'!$D$4:$D$3632),-(Analítico!V$3&lt;='Gastos Gerais'!$E$4:$E$3632),-('Gastos Gerais'!$C$4:$C$3632))</f>
        <v>141540.80000000002</v>
      </c>
      <c r="W87" s="134">
        <f>SUMPRODUCT(-('Gastos Gerais'!$B$4:$B$3632=Analítico!$B87),-(Analítico!W$3&gt;='Gastos Gerais'!$D$4:$D$3632),-(Analítico!W$3&lt;='Gastos Gerais'!$E$4:$E$3632),-('Gastos Gerais'!$C$4:$C$3632))</f>
        <v>141540.80000000002</v>
      </c>
      <c r="X87" s="134">
        <f>SUMPRODUCT(-('Gastos Gerais'!$B$4:$B$3632=Analítico!$B87),-(Analítico!X$3&gt;='Gastos Gerais'!$D$4:$D$3632),-(Analítico!X$3&lt;='Gastos Gerais'!$E$4:$E$3632),-('Gastos Gerais'!$C$4:$C$3632))</f>
        <v>141540.80000000002</v>
      </c>
      <c r="Y87" s="134">
        <f>SUMPRODUCT(-('Gastos Gerais'!$B$4:$B$3632=Analítico!$B87),-(Analítico!Y$3&gt;='Gastos Gerais'!$D$4:$D$3632),-(Analítico!Y$3&lt;='Gastos Gerais'!$E$4:$E$3632),-('Gastos Gerais'!$C$4:$C$3632))</f>
        <v>141540.80000000002</v>
      </c>
      <c r="Z87" s="134">
        <f>SUMPRODUCT(-('Gastos Gerais'!$B$4:$B$3632=Analítico!$B87),-(Analítico!Z$3&gt;='Gastos Gerais'!$D$4:$D$3632),-(Analítico!Z$3&lt;='Gastos Gerais'!$E$4:$E$3632),-('Gastos Gerais'!$C$4:$C$3632))</f>
        <v>141540.80000000002</v>
      </c>
      <c r="AA87" s="134">
        <f>SUMPRODUCT(-('Gastos Gerais'!$B$4:$B$3632=Analítico!$B87),-(Analítico!AA$3&gt;='Gastos Gerais'!$D$4:$D$3632),-(Analítico!AA$3&lt;='Gastos Gerais'!$E$4:$E$3632),-('Gastos Gerais'!$C$4:$C$3632))</f>
        <v>141540.80000000002</v>
      </c>
      <c r="AB87" s="134">
        <f>SUMPRODUCT(-('Gastos Gerais'!$B$4:$B$3632=Analítico!$B87),-(Analítico!AB$3&gt;='Gastos Gerais'!$D$4:$D$3632),-(Analítico!AB$3&lt;='Gastos Gerais'!$E$4:$E$3632),-('Gastos Gerais'!$C$4:$C$3632))</f>
        <v>148666.49999999997</v>
      </c>
      <c r="AC87" s="134">
        <f>SUMPRODUCT(-('Gastos Gerais'!$B$4:$B$3632=Analítico!$B87),-(Analítico!AC$3&gt;='Gastos Gerais'!$D$4:$D$3632),-(Analítico!AC$3&lt;='Gastos Gerais'!$E$4:$E$3632),-('Gastos Gerais'!$C$4:$C$3632))</f>
        <v>148666.49999999997</v>
      </c>
      <c r="AD87" s="134">
        <f>SUMPRODUCT(-('Gastos Gerais'!$B$4:$B$3632=Analítico!$B87),-(Analítico!AD$3&gt;='Gastos Gerais'!$D$4:$D$3632),-(Analítico!AD$3&lt;='Gastos Gerais'!$E$4:$E$3632),-('Gastos Gerais'!$C$4:$C$3632))</f>
        <v>148666.49999999997</v>
      </c>
      <c r="AE87" s="134">
        <f>SUMPRODUCT(-('Gastos Gerais'!$B$4:$B$3632=Analítico!$B87),-(Analítico!AE$3&gt;='Gastos Gerais'!$D$4:$D$3632),-(Analítico!AE$3&lt;='Gastos Gerais'!$E$4:$E$3632),-('Gastos Gerais'!$C$4:$C$3632))</f>
        <v>148666.49999999997</v>
      </c>
      <c r="AF87" s="134">
        <f>SUMPRODUCT(-('Gastos Gerais'!$B$4:$B$3632=Analítico!$B87),-(Analítico!AF$3&gt;='Gastos Gerais'!$D$4:$D$3632),-(Analítico!AF$3&lt;='Gastos Gerais'!$E$4:$E$3632),-('Gastos Gerais'!$C$4:$C$3632))</f>
        <v>148666.49999999997</v>
      </c>
      <c r="AG87" s="134">
        <f>SUMPRODUCT(-('Gastos Gerais'!$B$4:$B$3632=Analítico!$B87),-(Analítico!AG$3&gt;='Gastos Gerais'!$D$4:$D$3632),-(Analítico!AG$3&lt;='Gastos Gerais'!$E$4:$E$3632),-('Gastos Gerais'!$C$4:$C$3632))</f>
        <v>148666.49999999997</v>
      </c>
      <c r="AH87" s="134">
        <f>SUMPRODUCT(-('Gastos Gerais'!$B$4:$B$3632=Analítico!$B87),-(Analítico!AH$3&gt;='Gastos Gerais'!$D$4:$D$3632),-(Analítico!AH$3&lt;='Gastos Gerais'!$E$4:$E$3632),-('Gastos Gerais'!$C$4:$C$3632))</f>
        <v>148666.49999999997</v>
      </c>
      <c r="AI87" s="134">
        <f>SUMPRODUCT(-('Gastos Gerais'!$B$4:$B$3632=Analítico!$B87),-(Analítico!AI$3&gt;='Gastos Gerais'!$D$4:$D$3632),-(Analítico!AI$3&lt;='Gastos Gerais'!$E$4:$E$3632),-('Gastos Gerais'!$C$4:$C$3632))</f>
        <v>148666.49999999997</v>
      </c>
      <c r="AJ87" s="134">
        <f>SUMPRODUCT(-('Gastos Gerais'!$B$4:$B$3632=Analítico!$B87),-(Analítico!AJ$3&gt;='Gastos Gerais'!$D$4:$D$3632),-(Analítico!AJ$3&lt;='Gastos Gerais'!$E$4:$E$3632),-('Gastos Gerais'!$C$4:$C$3632))</f>
        <v>148666.49999999997</v>
      </c>
      <c r="AK87" s="134">
        <f>SUMPRODUCT(-('Gastos Gerais'!$B$4:$B$3632=Analítico!$B87),-(Analítico!AK$3&gt;='Gastos Gerais'!$D$4:$D$3632),-(Analítico!AK$3&lt;='Gastos Gerais'!$E$4:$E$3632),-('Gastos Gerais'!$C$4:$C$3632))</f>
        <v>148666.49999999997</v>
      </c>
      <c r="AL87" s="134">
        <f>SUMPRODUCT(-('Gastos Gerais'!$B$4:$B$3632=Analítico!$B87),-(Analítico!AL$3&gt;='Gastos Gerais'!$D$4:$D$3632),-(Analítico!AL$3&lt;='Gastos Gerais'!$E$4:$E$3632),-('Gastos Gerais'!$C$4:$C$3632))</f>
        <v>148666.49999999997</v>
      </c>
      <c r="AM87" s="134">
        <f>SUMPRODUCT(-('Gastos Gerais'!$B$4:$B$3632=Analítico!$B87),-(Analítico!AM$3&gt;='Gastos Gerais'!$D$4:$D$3632),-(Analítico!AM$3&lt;='Gastos Gerais'!$E$4:$E$3632),-('Gastos Gerais'!$C$4:$C$3632))</f>
        <v>148666.49999999997</v>
      </c>
      <c r="AN87" s="134">
        <f>SUMPRODUCT(-('Gastos Gerais'!$B$4:$B$3632=Analítico!$B87),-(Analítico!AN$3&gt;='Gastos Gerais'!$D$4:$D$3632),-(Analítico!AN$3&lt;='Gastos Gerais'!$E$4:$E$3632),-('Gastos Gerais'!$C$4:$C$3632))</f>
        <v>166145.76999999999</v>
      </c>
      <c r="AO87" s="134">
        <f>SUMPRODUCT(-('Gastos Gerais'!$B$4:$B$3632=Analítico!$B87),-(Analítico!AO$3&gt;='Gastos Gerais'!$D$4:$D$3632),-(Analítico!AO$3&lt;='Gastos Gerais'!$E$4:$E$3632),-('Gastos Gerais'!$C$4:$C$3632))</f>
        <v>166145.76999999999</v>
      </c>
      <c r="AP87" s="134">
        <f>SUMPRODUCT(-('Gastos Gerais'!$B$4:$B$3632=Analítico!$B87),-(Analítico!AP$3&gt;='Gastos Gerais'!$D$4:$D$3632),-(Analítico!AP$3&lt;='Gastos Gerais'!$E$4:$E$3632),-('Gastos Gerais'!$C$4:$C$3632))</f>
        <v>166145.76999999999</v>
      </c>
      <c r="AQ87" s="134">
        <f>SUMPRODUCT(-('Gastos Gerais'!$B$4:$B$3632=Analítico!$B87),-(Analítico!AQ$3&gt;='Gastos Gerais'!$D$4:$D$3632),-(Analítico!AQ$3&lt;='Gastos Gerais'!$E$4:$E$3632),-('Gastos Gerais'!$C$4:$C$3632))</f>
        <v>166145.76999999999</v>
      </c>
      <c r="AR87" s="134">
        <f>SUMPRODUCT(-('Gastos Gerais'!$B$4:$B$3632=Analítico!$B87),-(Analítico!AR$3&gt;='Gastos Gerais'!$D$4:$D$3632),-(Analítico!AR$3&lt;='Gastos Gerais'!$E$4:$E$3632),-('Gastos Gerais'!$C$4:$C$3632))</f>
        <v>166145.76999999999</v>
      </c>
      <c r="AS87" s="134">
        <f>SUMPRODUCT(-('Gastos Gerais'!$B$4:$B$3632=Analítico!$B87),-(Analítico!AS$3&gt;='Gastos Gerais'!$D$4:$D$3632),-(Analítico!AS$3&lt;='Gastos Gerais'!$E$4:$E$3632),-('Gastos Gerais'!$C$4:$C$3632))</f>
        <v>166145.76999999999</v>
      </c>
      <c r="AT87" s="134">
        <f>SUMPRODUCT(-('Gastos Gerais'!$B$4:$B$3632=Analítico!$B87),-(Analítico!AT$3&gt;='Gastos Gerais'!$D$4:$D$3632),-(Analítico!AT$3&lt;='Gastos Gerais'!$E$4:$E$3632),-('Gastos Gerais'!$C$4:$C$3632))</f>
        <v>166145.76999999999</v>
      </c>
      <c r="AU87" s="134">
        <f>SUMPRODUCT(-('Gastos Gerais'!$B$4:$B$3632=Analítico!$B87),-(Analítico!AU$3&gt;='Gastos Gerais'!$D$4:$D$3632),-(Analítico!AU$3&lt;='Gastos Gerais'!$E$4:$E$3632),-('Gastos Gerais'!$C$4:$C$3632))</f>
        <v>166145.76999999999</v>
      </c>
      <c r="AV87" s="134">
        <f>SUMPRODUCT(-('Gastos Gerais'!$B$4:$B$3632=Analítico!$B87),-(Analítico!AV$3&gt;='Gastos Gerais'!$D$4:$D$3632),-(Analítico!AV$3&lt;='Gastos Gerais'!$E$4:$E$3632),-('Gastos Gerais'!$C$4:$C$3632))</f>
        <v>166145.76999999999</v>
      </c>
      <c r="AW87" s="134">
        <f>SUMPRODUCT(-('Gastos Gerais'!$B$4:$B$3632=Analítico!$B87),-(Analítico!AW$3&gt;='Gastos Gerais'!$D$4:$D$3632),-(Analítico!AW$3&lt;='Gastos Gerais'!$E$4:$E$3632),-('Gastos Gerais'!$C$4:$C$3632))</f>
        <v>166145.76999999999</v>
      </c>
      <c r="AX87" s="134">
        <f>SUMPRODUCT(-('Gastos Gerais'!$B$4:$B$3632=Analítico!$B87),-(Analítico!AX$3&gt;='Gastos Gerais'!$D$4:$D$3632),-(Analítico!AX$3&lt;='Gastos Gerais'!$E$4:$E$3632),-('Gastos Gerais'!$C$4:$C$3632))</f>
        <v>166145.76999999999</v>
      </c>
      <c r="AY87" s="134">
        <f>SUMPRODUCT(-('Gastos Gerais'!$B$4:$B$3632=Analítico!$B87),-(Analítico!AY$3&gt;='Gastos Gerais'!$D$4:$D$3632),-(Analítico!AY$3&lt;='Gastos Gerais'!$E$4:$E$3632),-('Gastos Gerais'!$C$4:$C$3632))</f>
        <v>166145.76999999999</v>
      </c>
      <c r="AZ87" s="134">
        <f>SUMPRODUCT(-('Gastos Gerais'!$B$4:$B$3632=Analítico!$B87),-(Analítico!AZ$3&gt;='Gastos Gerais'!$D$4:$D$3632),-(Analítico!AZ$3&lt;='Gastos Gerais'!$E$4:$E$3632),-('Gastos Gerais'!$C$4:$C$3632))</f>
        <v>166544.31</v>
      </c>
      <c r="BA87" s="134">
        <f>SUMPRODUCT(-('Gastos Gerais'!$B$4:$B$3632=Analítico!$B87),-(Analítico!BA$3&gt;='Gastos Gerais'!$D$4:$D$3632),-(Analítico!BA$3&lt;='Gastos Gerais'!$E$4:$E$3632),-('Gastos Gerais'!$C$4:$C$3632))</f>
        <v>166544.31</v>
      </c>
      <c r="BB87" s="134">
        <f>SUMPRODUCT(-('Gastos Gerais'!$B$4:$B$3632=Analítico!$B87),-(Analítico!BB$3&gt;='Gastos Gerais'!$D$4:$D$3632),-(Analítico!BB$3&lt;='Gastos Gerais'!$E$4:$E$3632),-('Gastos Gerais'!$C$4:$C$3632))</f>
        <v>166544.31</v>
      </c>
      <c r="BC87" s="134">
        <f>SUMPRODUCT(-('Gastos Gerais'!$B$4:$B$3632=Analítico!$B87),-(Analítico!BC$3&gt;='Gastos Gerais'!$D$4:$D$3632),-(Analítico!BC$3&lt;='Gastos Gerais'!$E$4:$E$3632),-('Gastos Gerais'!$C$4:$C$3632))</f>
        <v>166544.31</v>
      </c>
      <c r="BD87" s="134">
        <f>SUMPRODUCT(-('Gastos Gerais'!$B$4:$B$3632=Analítico!$B87),-(Analítico!BD$3&gt;='Gastos Gerais'!$D$4:$D$3632),-(Analítico!BD$3&lt;='Gastos Gerais'!$E$4:$E$3632),-('Gastos Gerais'!$C$4:$C$3632))</f>
        <v>166544.31</v>
      </c>
      <c r="BE87" s="134">
        <f>SUMPRODUCT(-('Gastos Gerais'!$B$4:$B$3632=Analítico!$B87),-(Analítico!BE$3&gt;='Gastos Gerais'!$D$4:$D$3632),-(Analítico!BE$3&lt;='Gastos Gerais'!$E$4:$E$3632),-('Gastos Gerais'!$C$4:$C$3632))</f>
        <v>166544.31</v>
      </c>
      <c r="BF87" s="134">
        <f>SUMPRODUCT(-('Gastos Gerais'!$B$4:$B$3632=Analítico!$B87),-(Analítico!BF$3&gt;='Gastos Gerais'!$D$4:$D$3632),-(Analítico!BF$3&lt;='Gastos Gerais'!$E$4:$E$3632),-('Gastos Gerais'!$C$4:$C$3632))</f>
        <v>166544.31</v>
      </c>
      <c r="BG87" s="134">
        <f>SUMPRODUCT(-('Gastos Gerais'!$B$4:$B$3632=Analítico!$B87),-(Analítico!BG$3&gt;='Gastos Gerais'!$D$4:$D$3632),-(Analítico!BG$3&lt;='Gastos Gerais'!$E$4:$E$3632),-('Gastos Gerais'!$C$4:$C$3632))</f>
        <v>166544.31</v>
      </c>
      <c r="BH87" s="134">
        <f>SUMPRODUCT(-('Gastos Gerais'!$B$4:$B$3632=Analítico!$B87),-(Analítico!BH$3&gt;='Gastos Gerais'!$D$4:$D$3632),-(Analítico!BH$3&lt;='Gastos Gerais'!$E$4:$E$3632),-('Gastos Gerais'!$C$4:$C$3632))</f>
        <v>166544.31</v>
      </c>
      <c r="BI87" s="134">
        <f>SUMPRODUCT(-('Gastos Gerais'!$B$4:$B$3632=Analítico!$B87),-(Analítico!BI$3&gt;='Gastos Gerais'!$D$4:$D$3632),-(Analítico!BI$3&lt;='Gastos Gerais'!$E$4:$E$3632),-('Gastos Gerais'!$C$4:$C$3632))</f>
        <v>166544.31</v>
      </c>
      <c r="BJ87" s="134">
        <f>SUMPRODUCT(-('Gastos Gerais'!$B$4:$B$3632=Analítico!$B87),-(Analítico!BJ$3&gt;='Gastos Gerais'!$D$4:$D$3632),-(Analítico!BJ$3&lt;='Gastos Gerais'!$E$4:$E$3632),-('Gastos Gerais'!$C$4:$C$3632))</f>
        <v>166544.31</v>
      </c>
      <c r="BK87" s="189">
        <f t="shared" si="37"/>
        <v>8753724.2499999907</v>
      </c>
      <c r="BL87" s="136">
        <f t="shared" ca="1" si="38"/>
        <v>2.6163173192104528E-2</v>
      </c>
      <c r="BN87" s="134">
        <f>SUMPRODUCT(-('Gastos Gerais'!$B$4:$B$3632=Analítico!$B87),-(Analítico!BN$3&gt;='Gastos Gerais'!$D$4:$D$3632),-(Analítico!BN$3&lt;='Gastos Gerais'!$E$4:$E$3632),-('Gastos Gerais'!$C$4:$C$3632))</f>
        <v>105000</v>
      </c>
    </row>
    <row r="88" spans="1:66" s="160" customFormat="1" ht="23.25" customHeight="1">
      <c r="A88" s="229" t="s">
        <v>253</v>
      </c>
      <c r="B88" s="232" t="s">
        <v>254</v>
      </c>
      <c r="C88" s="188">
        <f t="shared" si="36"/>
        <v>0</v>
      </c>
      <c r="D88" s="134">
        <f>SUMPRODUCT(-('Gastos Gerais'!$B$4:$B$3632=Analítico!$B88),-(Analítico!D$3&gt;='Gastos Gerais'!$D$4:$D$3632),-(Analítico!D$3&lt;='Gastos Gerais'!$E$4:$E$3632),-('Gastos Gerais'!$C$4:$C$3632))</f>
        <v>0</v>
      </c>
      <c r="E88" s="134">
        <f>SUMPRODUCT(-('Gastos Gerais'!$B$4:$B$3632=Analítico!$B88),-(Analítico!E$3&gt;='Gastos Gerais'!$D$4:$D$3632),-(Analítico!E$3&lt;='Gastos Gerais'!$E$4:$E$3632),-('Gastos Gerais'!$C$4:$C$3632))</f>
        <v>0</v>
      </c>
      <c r="F88" s="134">
        <f>SUMPRODUCT(-('Gastos Gerais'!$B$4:$B$3632=Analítico!$B88),-(Analítico!F$3&gt;='Gastos Gerais'!$D$4:$D$3632),-(Analítico!F$3&lt;='Gastos Gerais'!$E$4:$E$3632),-('Gastos Gerais'!$C$4:$C$3632))</f>
        <v>0</v>
      </c>
      <c r="G88" s="134">
        <f>SUMPRODUCT(-('Gastos Gerais'!$B$4:$B$3632=Analítico!$B88),-(Analítico!G$3&gt;='Gastos Gerais'!$D$4:$D$3632),-(Analítico!G$3&lt;='Gastos Gerais'!$E$4:$E$3632),-('Gastos Gerais'!$C$4:$C$3632))</f>
        <v>0</v>
      </c>
      <c r="H88" s="134">
        <f>SUMPRODUCT(-('Gastos Gerais'!$B$4:$B$3632=Analítico!$B88),-(Analítico!H$3&gt;='Gastos Gerais'!$D$4:$D$3632),-(Analítico!H$3&lt;='Gastos Gerais'!$E$4:$E$3632),-('Gastos Gerais'!$C$4:$C$3632))</f>
        <v>0</v>
      </c>
      <c r="I88" s="134">
        <f>SUMPRODUCT(-('Gastos Gerais'!$B$4:$B$3632=Analítico!$B88),-(Analítico!I$3&gt;='Gastos Gerais'!$D$4:$D$3632),-(Analítico!I$3&lt;='Gastos Gerais'!$E$4:$E$3632),-('Gastos Gerais'!$C$4:$C$3632))</f>
        <v>0</v>
      </c>
      <c r="J88" s="134">
        <f>SUMPRODUCT(-('Gastos Gerais'!$B$4:$B$3632=Analítico!$B88),-(Analítico!J$3&gt;='Gastos Gerais'!$D$4:$D$3632),-(Analítico!J$3&lt;='Gastos Gerais'!$E$4:$E$3632),-('Gastos Gerais'!$C$4:$C$3632))</f>
        <v>0</v>
      </c>
      <c r="K88" s="134">
        <f>SUMPRODUCT(-('Gastos Gerais'!$B$4:$B$3632=Analítico!$B88),-(Analítico!K$3&gt;='Gastos Gerais'!$D$4:$D$3632),-(Analítico!K$3&lt;='Gastos Gerais'!$E$4:$E$3632),-('Gastos Gerais'!$C$4:$C$3632))</f>
        <v>0</v>
      </c>
      <c r="L88" s="134">
        <f>SUMPRODUCT(-('Gastos Gerais'!$B$4:$B$3632=Analítico!$B88),-(Analítico!L$3&gt;='Gastos Gerais'!$D$4:$D$3632),-(Analítico!L$3&lt;='Gastos Gerais'!$E$4:$E$3632),-('Gastos Gerais'!$C$4:$C$3632))</f>
        <v>0</v>
      </c>
      <c r="M88" s="134">
        <f>SUMPRODUCT(-('Gastos Gerais'!$B$4:$B$3632=Analítico!$B88),-(Analítico!M$3&gt;='Gastos Gerais'!$D$4:$D$3632),-(Analítico!M$3&lt;='Gastos Gerais'!$E$4:$E$3632),-('Gastos Gerais'!$C$4:$C$3632))</f>
        <v>0</v>
      </c>
      <c r="N88" s="134">
        <f>SUMPRODUCT(-('Gastos Gerais'!$B$4:$B$3632=Analítico!$B88),-(Analítico!N$3&gt;='Gastos Gerais'!$D$4:$D$3632),-(Analítico!N$3&lt;='Gastos Gerais'!$E$4:$E$3632),-('Gastos Gerais'!$C$4:$C$3632))</f>
        <v>0</v>
      </c>
      <c r="O88" s="134">
        <f>SUMPRODUCT(-('Gastos Gerais'!$B$4:$B$3632=Analítico!$B88),-(Analítico!O$3&gt;='Gastos Gerais'!$D$4:$D$3632),-(Analítico!O$3&lt;='Gastos Gerais'!$E$4:$E$3632),-('Gastos Gerais'!$C$4:$C$3632))</f>
        <v>0</v>
      </c>
      <c r="P88" s="134">
        <f>SUMPRODUCT(-('Gastos Gerais'!$B$4:$B$3632=Analítico!$B88),-(Analítico!P$3&gt;='Gastos Gerais'!$D$4:$D$3632),-(Analítico!P$3&lt;='Gastos Gerais'!$E$4:$E$3632),-('Gastos Gerais'!$C$4:$C$3632))</f>
        <v>0</v>
      </c>
      <c r="Q88" s="134">
        <f>SUMPRODUCT(-('Gastos Gerais'!$B$4:$B$3632=Analítico!$B88),-(Analítico!Q$3&gt;='Gastos Gerais'!$D$4:$D$3632),-(Analítico!Q$3&lt;='Gastos Gerais'!$E$4:$E$3632),-('Gastos Gerais'!$C$4:$C$3632))</f>
        <v>0</v>
      </c>
      <c r="R88" s="134">
        <f>SUMPRODUCT(-('Gastos Gerais'!$B$4:$B$3632=Analítico!$B88),-(Analítico!R$3&gt;='Gastos Gerais'!$D$4:$D$3632),-(Analítico!R$3&lt;='Gastos Gerais'!$E$4:$E$3632),-('Gastos Gerais'!$C$4:$C$3632))</f>
        <v>0</v>
      </c>
      <c r="S88" s="134">
        <f>SUMPRODUCT(-('Gastos Gerais'!$B$4:$B$3632=Analítico!$B88),-(Analítico!S$3&gt;='Gastos Gerais'!$D$4:$D$3632),-(Analítico!S$3&lt;='Gastos Gerais'!$E$4:$E$3632),-('Gastos Gerais'!$C$4:$C$3632))</f>
        <v>0</v>
      </c>
      <c r="T88" s="134">
        <f>SUMPRODUCT(-('Gastos Gerais'!$B$4:$B$3632=Analítico!$B88),-(Analítico!T$3&gt;='Gastos Gerais'!$D$4:$D$3632),-(Analítico!T$3&lt;='Gastos Gerais'!$E$4:$E$3632),-('Gastos Gerais'!$C$4:$C$3632))</f>
        <v>0</v>
      </c>
      <c r="U88" s="134">
        <f>SUMPRODUCT(-('Gastos Gerais'!$B$4:$B$3632=Analítico!$B88),-(Analítico!U$3&gt;='Gastos Gerais'!$D$4:$D$3632),-(Analítico!U$3&lt;='Gastos Gerais'!$E$4:$E$3632),-('Gastos Gerais'!$C$4:$C$3632))</f>
        <v>0</v>
      </c>
      <c r="V88" s="134">
        <f>SUMPRODUCT(-('Gastos Gerais'!$B$4:$B$3632=Analítico!$B88),-(Analítico!V$3&gt;='Gastos Gerais'!$D$4:$D$3632),-(Analítico!V$3&lt;='Gastos Gerais'!$E$4:$E$3632),-('Gastos Gerais'!$C$4:$C$3632))</f>
        <v>0</v>
      </c>
      <c r="W88" s="134">
        <f>SUMPRODUCT(-('Gastos Gerais'!$B$4:$B$3632=Analítico!$B88),-(Analítico!W$3&gt;='Gastos Gerais'!$D$4:$D$3632),-(Analítico!W$3&lt;='Gastos Gerais'!$E$4:$E$3632),-('Gastos Gerais'!$C$4:$C$3632))</f>
        <v>0</v>
      </c>
      <c r="X88" s="134">
        <f>SUMPRODUCT(-('Gastos Gerais'!$B$4:$B$3632=Analítico!$B88),-(Analítico!X$3&gt;='Gastos Gerais'!$D$4:$D$3632),-(Analítico!X$3&lt;='Gastos Gerais'!$E$4:$E$3632),-('Gastos Gerais'!$C$4:$C$3632))</f>
        <v>0</v>
      </c>
      <c r="Y88" s="134">
        <f>SUMPRODUCT(-('Gastos Gerais'!$B$4:$B$3632=Analítico!$B88),-(Analítico!Y$3&gt;='Gastos Gerais'!$D$4:$D$3632),-(Analítico!Y$3&lt;='Gastos Gerais'!$E$4:$E$3632),-('Gastos Gerais'!$C$4:$C$3632))</f>
        <v>0</v>
      </c>
      <c r="Z88" s="134">
        <f>SUMPRODUCT(-('Gastos Gerais'!$B$4:$B$3632=Analítico!$B88),-(Analítico!Z$3&gt;='Gastos Gerais'!$D$4:$D$3632),-(Analítico!Z$3&lt;='Gastos Gerais'!$E$4:$E$3632),-('Gastos Gerais'!$C$4:$C$3632))</f>
        <v>0</v>
      </c>
      <c r="AA88" s="134">
        <f>SUMPRODUCT(-('Gastos Gerais'!$B$4:$B$3632=Analítico!$B88),-(Analítico!AA$3&gt;='Gastos Gerais'!$D$4:$D$3632),-(Analítico!AA$3&lt;='Gastos Gerais'!$E$4:$E$3632),-('Gastos Gerais'!$C$4:$C$3632))</f>
        <v>0</v>
      </c>
      <c r="AB88" s="134">
        <f>SUMPRODUCT(-('Gastos Gerais'!$B$4:$B$3632=Analítico!$B88),-(Analítico!AB$3&gt;='Gastos Gerais'!$D$4:$D$3632),-(Analítico!AB$3&lt;='Gastos Gerais'!$E$4:$E$3632),-('Gastos Gerais'!$C$4:$C$3632))</f>
        <v>0</v>
      </c>
      <c r="AC88" s="134">
        <f>SUMPRODUCT(-('Gastos Gerais'!$B$4:$B$3632=Analítico!$B88),-(Analítico!AC$3&gt;='Gastos Gerais'!$D$4:$D$3632),-(Analítico!AC$3&lt;='Gastos Gerais'!$E$4:$E$3632),-('Gastos Gerais'!$C$4:$C$3632))</f>
        <v>0</v>
      </c>
      <c r="AD88" s="134">
        <f>SUMPRODUCT(-('Gastos Gerais'!$B$4:$B$3632=Analítico!$B88),-(Analítico!AD$3&gt;='Gastos Gerais'!$D$4:$D$3632),-(Analítico!AD$3&lt;='Gastos Gerais'!$E$4:$E$3632),-('Gastos Gerais'!$C$4:$C$3632))</f>
        <v>0</v>
      </c>
      <c r="AE88" s="134">
        <f>SUMPRODUCT(-('Gastos Gerais'!$B$4:$B$3632=Analítico!$B88),-(Analítico!AE$3&gt;='Gastos Gerais'!$D$4:$D$3632),-(Analítico!AE$3&lt;='Gastos Gerais'!$E$4:$E$3632),-('Gastos Gerais'!$C$4:$C$3632))</f>
        <v>0</v>
      </c>
      <c r="AF88" s="134">
        <f>SUMPRODUCT(-('Gastos Gerais'!$B$4:$B$3632=Analítico!$B88),-(Analítico!AF$3&gt;='Gastos Gerais'!$D$4:$D$3632),-(Analítico!AF$3&lt;='Gastos Gerais'!$E$4:$E$3632),-('Gastos Gerais'!$C$4:$C$3632))</f>
        <v>0</v>
      </c>
      <c r="AG88" s="134">
        <f>SUMPRODUCT(-('Gastos Gerais'!$B$4:$B$3632=Analítico!$B88),-(Analítico!AG$3&gt;='Gastos Gerais'!$D$4:$D$3632),-(Analítico!AG$3&lt;='Gastos Gerais'!$E$4:$E$3632),-('Gastos Gerais'!$C$4:$C$3632))</f>
        <v>0</v>
      </c>
      <c r="AH88" s="134">
        <f>SUMPRODUCT(-('Gastos Gerais'!$B$4:$B$3632=Analítico!$B88),-(Analítico!AH$3&gt;='Gastos Gerais'!$D$4:$D$3632),-(Analítico!AH$3&lt;='Gastos Gerais'!$E$4:$E$3632),-('Gastos Gerais'!$C$4:$C$3632))</f>
        <v>0</v>
      </c>
      <c r="AI88" s="134">
        <f>SUMPRODUCT(-('Gastos Gerais'!$B$4:$B$3632=Analítico!$B88),-(Analítico!AI$3&gt;='Gastos Gerais'!$D$4:$D$3632),-(Analítico!AI$3&lt;='Gastos Gerais'!$E$4:$E$3632),-('Gastos Gerais'!$C$4:$C$3632))</f>
        <v>0</v>
      </c>
      <c r="AJ88" s="134">
        <f>SUMPRODUCT(-('Gastos Gerais'!$B$4:$B$3632=Analítico!$B88),-(Analítico!AJ$3&gt;='Gastos Gerais'!$D$4:$D$3632),-(Analítico!AJ$3&lt;='Gastos Gerais'!$E$4:$E$3632),-('Gastos Gerais'!$C$4:$C$3632))</f>
        <v>0</v>
      </c>
      <c r="AK88" s="134">
        <f>SUMPRODUCT(-('Gastos Gerais'!$B$4:$B$3632=Analítico!$B88),-(Analítico!AK$3&gt;='Gastos Gerais'!$D$4:$D$3632),-(Analítico!AK$3&lt;='Gastos Gerais'!$E$4:$E$3632),-('Gastos Gerais'!$C$4:$C$3632))</f>
        <v>0</v>
      </c>
      <c r="AL88" s="134">
        <f>SUMPRODUCT(-('Gastos Gerais'!$B$4:$B$3632=Analítico!$B88),-(Analítico!AL$3&gt;='Gastos Gerais'!$D$4:$D$3632),-(Analítico!AL$3&lt;='Gastos Gerais'!$E$4:$E$3632),-('Gastos Gerais'!$C$4:$C$3632))</f>
        <v>0</v>
      </c>
      <c r="AM88" s="134">
        <f>SUMPRODUCT(-('Gastos Gerais'!$B$4:$B$3632=Analítico!$B88),-(Analítico!AM$3&gt;='Gastos Gerais'!$D$4:$D$3632),-(Analítico!AM$3&lt;='Gastos Gerais'!$E$4:$E$3632),-('Gastos Gerais'!$C$4:$C$3632))</f>
        <v>0</v>
      </c>
      <c r="AN88" s="134">
        <f>SUMPRODUCT(-('Gastos Gerais'!$B$4:$B$3632=Analítico!$B88),-(Analítico!AN$3&gt;='Gastos Gerais'!$D$4:$D$3632),-(Analítico!AN$3&lt;='Gastos Gerais'!$E$4:$E$3632),-('Gastos Gerais'!$C$4:$C$3632))</f>
        <v>0</v>
      </c>
      <c r="AO88" s="134">
        <f>SUMPRODUCT(-('Gastos Gerais'!$B$4:$B$3632=Analítico!$B88),-(Analítico!AO$3&gt;='Gastos Gerais'!$D$4:$D$3632),-(Analítico!AO$3&lt;='Gastos Gerais'!$E$4:$E$3632),-('Gastos Gerais'!$C$4:$C$3632))</f>
        <v>0</v>
      </c>
      <c r="AP88" s="134">
        <f>SUMPRODUCT(-('Gastos Gerais'!$B$4:$B$3632=Analítico!$B88),-(Analítico!AP$3&gt;='Gastos Gerais'!$D$4:$D$3632),-(Analítico!AP$3&lt;='Gastos Gerais'!$E$4:$E$3632),-('Gastos Gerais'!$C$4:$C$3632))</f>
        <v>0</v>
      </c>
      <c r="AQ88" s="134">
        <f>SUMPRODUCT(-('Gastos Gerais'!$B$4:$B$3632=Analítico!$B88),-(Analítico!AQ$3&gt;='Gastos Gerais'!$D$4:$D$3632),-(Analítico!AQ$3&lt;='Gastos Gerais'!$E$4:$E$3632),-('Gastos Gerais'!$C$4:$C$3632))</f>
        <v>0</v>
      </c>
      <c r="AR88" s="134">
        <f>SUMPRODUCT(-('Gastos Gerais'!$B$4:$B$3632=Analítico!$B88),-(Analítico!AR$3&gt;='Gastos Gerais'!$D$4:$D$3632),-(Analítico!AR$3&lt;='Gastos Gerais'!$E$4:$E$3632),-('Gastos Gerais'!$C$4:$C$3632))</f>
        <v>0</v>
      </c>
      <c r="AS88" s="134">
        <f>SUMPRODUCT(-('Gastos Gerais'!$B$4:$B$3632=Analítico!$B88),-(Analítico!AS$3&gt;='Gastos Gerais'!$D$4:$D$3632),-(Analítico!AS$3&lt;='Gastos Gerais'!$E$4:$E$3632),-('Gastos Gerais'!$C$4:$C$3632))</f>
        <v>0</v>
      </c>
      <c r="AT88" s="134">
        <f>SUMPRODUCT(-('Gastos Gerais'!$B$4:$B$3632=Analítico!$B88),-(Analítico!AT$3&gt;='Gastos Gerais'!$D$4:$D$3632),-(Analítico!AT$3&lt;='Gastos Gerais'!$E$4:$E$3632),-('Gastos Gerais'!$C$4:$C$3632))</f>
        <v>0</v>
      </c>
      <c r="AU88" s="134">
        <f>SUMPRODUCT(-('Gastos Gerais'!$B$4:$B$3632=Analítico!$B88),-(Analítico!AU$3&gt;='Gastos Gerais'!$D$4:$D$3632),-(Analítico!AU$3&lt;='Gastos Gerais'!$E$4:$E$3632),-('Gastos Gerais'!$C$4:$C$3632))</f>
        <v>0</v>
      </c>
      <c r="AV88" s="134">
        <f>SUMPRODUCT(-('Gastos Gerais'!$B$4:$B$3632=Analítico!$B88),-(Analítico!AV$3&gt;='Gastos Gerais'!$D$4:$D$3632),-(Analítico!AV$3&lt;='Gastos Gerais'!$E$4:$E$3632),-('Gastos Gerais'!$C$4:$C$3632))</f>
        <v>0</v>
      </c>
      <c r="AW88" s="134">
        <f>SUMPRODUCT(-('Gastos Gerais'!$B$4:$B$3632=Analítico!$B88),-(Analítico!AW$3&gt;='Gastos Gerais'!$D$4:$D$3632),-(Analítico!AW$3&lt;='Gastos Gerais'!$E$4:$E$3632),-('Gastos Gerais'!$C$4:$C$3632))</f>
        <v>0</v>
      </c>
      <c r="AX88" s="134">
        <f>SUMPRODUCT(-('Gastos Gerais'!$B$4:$B$3632=Analítico!$B88),-(Analítico!AX$3&gt;='Gastos Gerais'!$D$4:$D$3632),-(Analítico!AX$3&lt;='Gastos Gerais'!$E$4:$E$3632),-('Gastos Gerais'!$C$4:$C$3632))</f>
        <v>0</v>
      </c>
      <c r="AY88" s="134">
        <f>SUMPRODUCT(-('Gastos Gerais'!$B$4:$B$3632=Analítico!$B88),-(Analítico!AY$3&gt;='Gastos Gerais'!$D$4:$D$3632),-(Analítico!AY$3&lt;='Gastos Gerais'!$E$4:$E$3632),-('Gastos Gerais'!$C$4:$C$3632))</f>
        <v>0</v>
      </c>
      <c r="AZ88" s="134">
        <f>SUMPRODUCT(-('Gastos Gerais'!$B$4:$B$3632=Analítico!$B88),-(Analítico!AZ$3&gt;='Gastos Gerais'!$D$4:$D$3632),-(Analítico!AZ$3&lt;='Gastos Gerais'!$E$4:$E$3632),-('Gastos Gerais'!$C$4:$C$3632))</f>
        <v>0</v>
      </c>
      <c r="BA88" s="134">
        <f>SUMPRODUCT(-('Gastos Gerais'!$B$4:$B$3632=Analítico!$B88),-(Analítico!BA$3&gt;='Gastos Gerais'!$D$4:$D$3632),-(Analítico!BA$3&lt;='Gastos Gerais'!$E$4:$E$3632),-('Gastos Gerais'!$C$4:$C$3632))</f>
        <v>0</v>
      </c>
      <c r="BB88" s="134">
        <f>SUMPRODUCT(-('Gastos Gerais'!$B$4:$B$3632=Analítico!$B88),-(Analítico!BB$3&gt;='Gastos Gerais'!$D$4:$D$3632),-(Analítico!BB$3&lt;='Gastos Gerais'!$E$4:$E$3632),-('Gastos Gerais'!$C$4:$C$3632))</f>
        <v>0</v>
      </c>
      <c r="BC88" s="134">
        <f>SUMPRODUCT(-('Gastos Gerais'!$B$4:$B$3632=Analítico!$B88),-(Analítico!BC$3&gt;='Gastos Gerais'!$D$4:$D$3632),-(Analítico!BC$3&lt;='Gastos Gerais'!$E$4:$E$3632),-('Gastos Gerais'!$C$4:$C$3632))</f>
        <v>0</v>
      </c>
      <c r="BD88" s="134">
        <f>SUMPRODUCT(-('Gastos Gerais'!$B$4:$B$3632=Analítico!$B88),-(Analítico!BD$3&gt;='Gastos Gerais'!$D$4:$D$3632),-(Analítico!BD$3&lt;='Gastos Gerais'!$E$4:$E$3632),-('Gastos Gerais'!$C$4:$C$3632))</f>
        <v>0</v>
      </c>
      <c r="BE88" s="134">
        <f>SUMPRODUCT(-('Gastos Gerais'!$B$4:$B$3632=Analítico!$B88),-(Analítico!BE$3&gt;='Gastos Gerais'!$D$4:$D$3632),-(Analítico!BE$3&lt;='Gastos Gerais'!$E$4:$E$3632),-('Gastos Gerais'!$C$4:$C$3632))</f>
        <v>0</v>
      </c>
      <c r="BF88" s="134">
        <f>SUMPRODUCT(-('Gastos Gerais'!$B$4:$B$3632=Analítico!$B88),-(Analítico!BF$3&gt;='Gastos Gerais'!$D$4:$D$3632),-(Analítico!BF$3&lt;='Gastos Gerais'!$E$4:$E$3632),-('Gastos Gerais'!$C$4:$C$3632))</f>
        <v>0</v>
      </c>
      <c r="BG88" s="134">
        <f>SUMPRODUCT(-('Gastos Gerais'!$B$4:$B$3632=Analítico!$B88),-(Analítico!BG$3&gt;='Gastos Gerais'!$D$4:$D$3632),-(Analítico!BG$3&lt;='Gastos Gerais'!$E$4:$E$3632),-('Gastos Gerais'!$C$4:$C$3632))</f>
        <v>0</v>
      </c>
      <c r="BH88" s="134">
        <f>SUMPRODUCT(-('Gastos Gerais'!$B$4:$B$3632=Analítico!$B88),-(Analítico!BH$3&gt;='Gastos Gerais'!$D$4:$D$3632),-(Analítico!BH$3&lt;='Gastos Gerais'!$E$4:$E$3632),-('Gastos Gerais'!$C$4:$C$3632))</f>
        <v>0</v>
      </c>
      <c r="BI88" s="134">
        <f>SUMPRODUCT(-('Gastos Gerais'!$B$4:$B$3632=Analítico!$B88),-(Analítico!BI$3&gt;='Gastos Gerais'!$D$4:$D$3632),-(Analítico!BI$3&lt;='Gastos Gerais'!$E$4:$E$3632),-('Gastos Gerais'!$C$4:$C$3632))</f>
        <v>0</v>
      </c>
      <c r="BJ88" s="134">
        <f>SUMPRODUCT(-('Gastos Gerais'!$B$4:$B$3632=Analítico!$B88),-(Analítico!BJ$3&gt;='Gastos Gerais'!$D$4:$D$3632),-(Analítico!BJ$3&lt;='Gastos Gerais'!$E$4:$E$3632),-('Gastos Gerais'!$C$4:$C$3632))</f>
        <v>0</v>
      </c>
      <c r="BK88" s="189">
        <f t="shared" si="37"/>
        <v>0</v>
      </c>
      <c r="BL88" s="136">
        <f t="shared" ca="1" si="38"/>
        <v>0</v>
      </c>
      <c r="BN88" s="134">
        <f>SUMPRODUCT(-('Gastos Gerais'!$B$4:$B$3632=Analítico!$B88),-(Analítico!BN$3&gt;='Gastos Gerais'!$D$4:$D$3632),-(Analítico!BN$3&lt;='Gastos Gerais'!$E$4:$E$3632),-('Gastos Gerais'!$C$4:$C$3632))</f>
        <v>0</v>
      </c>
    </row>
    <row r="89" spans="1:66" s="160" customFormat="1" ht="23.25" customHeight="1">
      <c r="A89" s="229" t="s">
        <v>255</v>
      </c>
      <c r="B89" s="232" t="s">
        <v>256</v>
      </c>
      <c r="C89" s="188">
        <f t="shared" si="36"/>
        <v>0</v>
      </c>
      <c r="D89" s="134">
        <f>SUMPRODUCT(-('Gastos Gerais'!$B$4:$B$3632=Analítico!$B89),-(Analítico!D$3&gt;='Gastos Gerais'!$D$4:$D$3632),-(Analítico!D$3&lt;='Gastos Gerais'!$E$4:$E$3632),-('Gastos Gerais'!$C$4:$C$3632))</f>
        <v>0</v>
      </c>
      <c r="E89" s="134">
        <f>SUMPRODUCT(-('Gastos Gerais'!$B$4:$B$3632=Analítico!$B89),-(Analítico!E$3&gt;='Gastos Gerais'!$D$4:$D$3632),-(Analítico!E$3&lt;='Gastos Gerais'!$E$4:$E$3632),-('Gastos Gerais'!$C$4:$C$3632))</f>
        <v>0</v>
      </c>
      <c r="F89" s="134">
        <f>SUMPRODUCT(-('Gastos Gerais'!$B$4:$B$3632=Analítico!$B89),-(Analítico!F$3&gt;='Gastos Gerais'!$D$4:$D$3632),-(Analítico!F$3&lt;='Gastos Gerais'!$E$4:$E$3632),-('Gastos Gerais'!$C$4:$C$3632))</f>
        <v>0</v>
      </c>
      <c r="G89" s="134">
        <f>SUMPRODUCT(-('Gastos Gerais'!$B$4:$B$3632=Analítico!$B89),-(Analítico!G$3&gt;='Gastos Gerais'!$D$4:$D$3632),-(Analítico!G$3&lt;='Gastos Gerais'!$E$4:$E$3632),-('Gastos Gerais'!$C$4:$C$3632))</f>
        <v>0</v>
      </c>
      <c r="H89" s="134">
        <f>SUMPRODUCT(-('Gastos Gerais'!$B$4:$B$3632=Analítico!$B89),-(Analítico!H$3&gt;='Gastos Gerais'!$D$4:$D$3632),-(Analítico!H$3&lt;='Gastos Gerais'!$E$4:$E$3632),-('Gastos Gerais'!$C$4:$C$3632))</f>
        <v>0</v>
      </c>
      <c r="I89" s="134">
        <f>SUMPRODUCT(-('Gastos Gerais'!$B$4:$B$3632=Analítico!$B89),-(Analítico!I$3&gt;='Gastos Gerais'!$D$4:$D$3632),-(Analítico!I$3&lt;='Gastos Gerais'!$E$4:$E$3632),-('Gastos Gerais'!$C$4:$C$3632))</f>
        <v>0</v>
      </c>
      <c r="J89" s="134">
        <f>SUMPRODUCT(-('Gastos Gerais'!$B$4:$B$3632=Analítico!$B89),-(Analítico!J$3&gt;='Gastos Gerais'!$D$4:$D$3632),-(Analítico!J$3&lt;='Gastos Gerais'!$E$4:$E$3632),-('Gastos Gerais'!$C$4:$C$3632))</f>
        <v>0</v>
      </c>
      <c r="K89" s="134">
        <f>SUMPRODUCT(-('Gastos Gerais'!$B$4:$B$3632=Analítico!$B89),-(Analítico!K$3&gt;='Gastos Gerais'!$D$4:$D$3632),-(Analítico!K$3&lt;='Gastos Gerais'!$E$4:$E$3632),-('Gastos Gerais'!$C$4:$C$3632))</f>
        <v>0</v>
      </c>
      <c r="L89" s="134">
        <f>SUMPRODUCT(-('Gastos Gerais'!$B$4:$B$3632=Analítico!$B89),-(Analítico!L$3&gt;='Gastos Gerais'!$D$4:$D$3632),-(Analítico!L$3&lt;='Gastos Gerais'!$E$4:$E$3632),-('Gastos Gerais'!$C$4:$C$3632))</f>
        <v>0</v>
      </c>
      <c r="M89" s="134">
        <f>SUMPRODUCT(-('Gastos Gerais'!$B$4:$B$3632=Analítico!$B89),-(Analítico!M$3&gt;='Gastos Gerais'!$D$4:$D$3632),-(Analítico!M$3&lt;='Gastos Gerais'!$E$4:$E$3632),-('Gastos Gerais'!$C$4:$C$3632))</f>
        <v>0</v>
      </c>
      <c r="N89" s="134">
        <f>SUMPRODUCT(-('Gastos Gerais'!$B$4:$B$3632=Analítico!$B89),-(Analítico!N$3&gt;='Gastos Gerais'!$D$4:$D$3632),-(Analítico!N$3&lt;='Gastos Gerais'!$E$4:$E$3632),-('Gastos Gerais'!$C$4:$C$3632))</f>
        <v>0</v>
      </c>
      <c r="O89" s="134">
        <f>SUMPRODUCT(-('Gastos Gerais'!$B$4:$B$3632=Analítico!$B89),-(Analítico!O$3&gt;='Gastos Gerais'!$D$4:$D$3632),-(Analítico!O$3&lt;='Gastos Gerais'!$E$4:$E$3632),-('Gastos Gerais'!$C$4:$C$3632))</f>
        <v>0</v>
      </c>
      <c r="P89" s="134">
        <f>SUMPRODUCT(-('Gastos Gerais'!$B$4:$B$3632=Analítico!$B89),-(Analítico!P$3&gt;='Gastos Gerais'!$D$4:$D$3632),-(Analítico!P$3&lt;='Gastos Gerais'!$E$4:$E$3632),-('Gastos Gerais'!$C$4:$C$3632))</f>
        <v>0</v>
      </c>
      <c r="Q89" s="134">
        <f>SUMPRODUCT(-('Gastos Gerais'!$B$4:$B$3632=Analítico!$B89),-(Analítico!Q$3&gt;='Gastos Gerais'!$D$4:$D$3632),-(Analítico!Q$3&lt;='Gastos Gerais'!$E$4:$E$3632),-('Gastos Gerais'!$C$4:$C$3632))</f>
        <v>0</v>
      </c>
      <c r="R89" s="134">
        <f>SUMPRODUCT(-('Gastos Gerais'!$B$4:$B$3632=Analítico!$B89),-(Analítico!R$3&gt;='Gastos Gerais'!$D$4:$D$3632),-(Analítico!R$3&lt;='Gastos Gerais'!$E$4:$E$3632),-('Gastos Gerais'!$C$4:$C$3632))</f>
        <v>0</v>
      </c>
      <c r="S89" s="134">
        <f>SUMPRODUCT(-('Gastos Gerais'!$B$4:$B$3632=Analítico!$B89),-(Analítico!S$3&gt;='Gastos Gerais'!$D$4:$D$3632),-(Analítico!S$3&lt;='Gastos Gerais'!$E$4:$E$3632),-('Gastos Gerais'!$C$4:$C$3632))</f>
        <v>0</v>
      </c>
      <c r="T89" s="134">
        <f>SUMPRODUCT(-('Gastos Gerais'!$B$4:$B$3632=Analítico!$B89),-(Analítico!T$3&gt;='Gastos Gerais'!$D$4:$D$3632),-(Analítico!T$3&lt;='Gastos Gerais'!$E$4:$E$3632),-('Gastos Gerais'!$C$4:$C$3632))</f>
        <v>0</v>
      </c>
      <c r="U89" s="134">
        <f>SUMPRODUCT(-('Gastos Gerais'!$B$4:$B$3632=Analítico!$B89),-(Analítico!U$3&gt;='Gastos Gerais'!$D$4:$D$3632),-(Analítico!U$3&lt;='Gastos Gerais'!$E$4:$E$3632),-('Gastos Gerais'!$C$4:$C$3632))</f>
        <v>0</v>
      </c>
      <c r="V89" s="134">
        <f>SUMPRODUCT(-('Gastos Gerais'!$B$4:$B$3632=Analítico!$B89),-(Analítico!V$3&gt;='Gastos Gerais'!$D$4:$D$3632),-(Analítico!V$3&lt;='Gastos Gerais'!$E$4:$E$3632),-('Gastos Gerais'!$C$4:$C$3632))</f>
        <v>0</v>
      </c>
      <c r="W89" s="134">
        <f>SUMPRODUCT(-('Gastos Gerais'!$B$4:$B$3632=Analítico!$B89),-(Analítico!W$3&gt;='Gastos Gerais'!$D$4:$D$3632),-(Analítico!W$3&lt;='Gastos Gerais'!$E$4:$E$3632),-('Gastos Gerais'!$C$4:$C$3632))</f>
        <v>0</v>
      </c>
      <c r="X89" s="134">
        <f>SUMPRODUCT(-('Gastos Gerais'!$B$4:$B$3632=Analítico!$B89),-(Analítico!X$3&gt;='Gastos Gerais'!$D$4:$D$3632),-(Analítico!X$3&lt;='Gastos Gerais'!$E$4:$E$3632),-('Gastos Gerais'!$C$4:$C$3632))</f>
        <v>0</v>
      </c>
      <c r="Y89" s="134">
        <f>SUMPRODUCT(-('Gastos Gerais'!$B$4:$B$3632=Analítico!$B89),-(Analítico!Y$3&gt;='Gastos Gerais'!$D$4:$D$3632),-(Analítico!Y$3&lt;='Gastos Gerais'!$E$4:$E$3632),-('Gastos Gerais'!$C$4:$C$3632))</f>
        <v>0</v>
      </c>
      <c r="Z89" s="134">
        <f>SUMPRODUCT(-('Gastos Gerais'!$B$4:$B$3632=Analítico!$B89),-(Analítico!Z$3&gt;='Gastos Gerais'!$D$4:$D$3632),-(Analítico!Z$3&lt;='Gastos Gerais'!$E$4:$E$3632),-('Gastos Gerais'!$C$4:$C$3632))</f>
        <v>0</v>
      </c>
      <c r="AA89" s="134">
        <f>SUMPRODUCT(-('Gastos Gerais'!$B$4:$B$3632=Analítico!$B89),-(Analítico!AA$3&gt;='Gastos Gerais'!$D$4:$D$3632),-(Analítico!AA$3&lt;='Gastos Gerais'!$E$4:$E$3632),-('Gastos Gerais'!$C$4:$C$3632))</f>
        <v>0</v>
      </c>
      <c r="AB89" s="134">
        <f>SUMPRODUCT(-('Gastos Gerais'!$B$4:$B$3632=Analítico!$B89),-(Analítico!AB$3&gt;='Gastos Gerais'!$D$4:$D$3632),-(Analítico!AB$3&lt;='Gastos Gerais'!$E$4:$E$3632),-('Gastos Gerais'!$C$4:$C$3632))</f>
        <v>0</v>
      </c>
      <c r="AC89" s="134">
        <f>SUMPRODUCT(-('Gastos Gerais'!$B$4:$B$3632=Analítico!$B89),-(Analítico!AC$3&gt;='Gastos Gerais'!$D$4:$D$3632),-(Analítico!AC$3&lt;='Gastos Gerais'!$E$4:$E$3632),-('Gastos Gerais'!$C$4:$C$3632))</f>
        <v>0</v>
      </c>
      <c r="AD89" s="134">
        <f>SUMPRODUCT(-('Gastos Gerais'!$B$4:$B$3632=Analítico!$B89),-(Analítico!AD$3&gt;='Gastos Gerais'!$D$4:$D$3632),-(Analítico!AD$3&lt;='Gastos Gerais'!$E$4:$E$3632),-('Gastos Gerais'!$C$4:$C$3632))</f>
        <v>0</v>
      </c>
      <c r="AE89" s="134">
        <f>SUMPRODUCT(-('Gastos Gerais'!$B$4:$B$3632=Analítico!$B89),-(Analítico!AE$3&gt;='Gastos Gerais'!$D$4:$D$3632),-(Analítico!AE$3&lt;='Gastos Gerais'!$E$4:$E$3632),-('Gastos Gerais'!$C$4:$C$3632))</f>
        <v>0</v>
      </c>
      <c r="AF89" s="134">
        <f>SUMPRODUCT(-('Gastos Gerais'!$B$4:$B$3632=Analítico!$B89),-(Analítico!AF$3&gt;='Gastos Gerais'!$D$4:$D$3632),-(Analítico!AF$3&lt;='Gastos Gerais'!$E$4:$E$3632),-('Gastos Gerais'!$C$4:$C$3632))</f>
        <v>0</v>
      </c>
      <c r="AG89" s="134">
        <f>SUMPRODUCT(-('Gastos Gerais'!$B$4:$B$3632=Analítico!$B89),-(Analítico!AG$3&gt;='Gastos Gerais'!$D$4:$D$3632),-(Analítico!AG$3&lt;='Gastos Gerais'!$E$4:$E$3632),-('Gastos Gerais'!$C$4:$C$3632))</f>
        <v>0</v>
      </c>
      <c r="AH89" s="134">
        <f>SUMPRODUCT(-('Gastos Gerais'!$B$4:$B$3632=Analítico!$B89),-(Analítico!AH$3&gt;='Gastos Gerais'!$D$4:$D$3632),-(Analítico!AH$3&lt;='Gastos Gerais'!$E$4:$E$3632),-('Gastos Gerais'!$C$4:$C$3632))</f>
        <v>0</v>
      </c>
      <c r="AI89" s="134">
        <f>SUMPRODUCT(-('Gastos Gerais'!$B$4:$B$3632=Analítico!$B89),-(Analítico!AI$3&gt;='Gastos Gerais'!$D$4:$D$3632),-(Analítico!AI$3&lt;='Gastos Gerais'!$E$4:$E$3632),-('Gastos Gerais'!$C$4:$C$3632))</f>
        <v>0</v>
      </c>
      <c r="AJ89" s="134">
        <f>SUMPRODUCT(-('Gastos Gerais'!$B$4:$B$3632=Analítico!$B89),-(Analítico!AJ$3&gt;='Gastos Gerais'!$D$4:$D$3632),-(Analítico!AJ$3&lt;='Gastos Gerais'!$E$4:$E$3632),-('Gastos Gerais'!$C$4:$C$3632))</f>
        <v>0</v>
      </c>
      <c r="AK89" s="134">
        <f>SUMPRODUCT(-('Gastos Gerais'!$B$4:$B$3632=Analítico!$B89),-(Analítico!AK$3&gt;='Gastos Gerais'!$D$4:$D$3632),-(Analítico!AK$3&lt;='Gastos Gerais'!$E$4:$E$3632),-('Gastos Gerais'!$C$4:$C$3632))</f>
        <v>0</v>
      </c>
      <c r="AL89" s="134">
        <f>SUMPRODUCT(-('Gastos Gerais'!$B$4:$B$3632=Analítico!$B89),-(Analítico!AL$3&gt;='Gastos Gerais'!$D$4:$D$3632),-(Analítico!AL$3&lt;='Gastos Gerais'!$E$4:$E$3632),-('Gastos Gerais'!$C$4:$C$3632))</f>
        <v>0</v>
      </c>
      <c r="AM89" s="134">
        <f>SUMPRODUCT(-('Gastos Gerais'!$B$4:$B$3632=Analítico!$B89),-(Analítico!AM$3&gt;='Gastos Gerais'!$D$4:$D$3632),-(Analítico!AM$3&lt;='Gastos Gerais'!$E$4:$E$3632),-('Gastos Gerais'!$C$4:$C$3632))</f>
        <v>0</v>
      </c>
      <c r="AN89" s="134">
        <f>SUMPRODUCT(-('Gastos Gerais'!$B$4:$B$3632=Analítico!$B89),-(Analítico!AN$3&gt;='Gastos Gerais'!$D$4:$D$3632),-(Analítico!AN$3&lt;='Gastos Gerais'!$E$4:$E$3632),-('Gastos Gerais'!$C$4:$C$3632))</f>
        <v>0</v>
      </c>
      <c r="AO89" s="134">
        <f>SUMPRODUCT(-('Gastos Gerais'!$B$4:$B$3632=Analítico!$B89),-(Analítico!AO$3&gt;='Gastos Gerais'!$D$4:$D$3632),-(Analítico!AO$3&lt;='Gastos Gerais'!$E$4:$E$3632),-('Gastos Gerais'!$C$4:$C$3632))</f>
        <v>0</v>
      </c>
      <c r="AP89" s="134">
        <f>SUMPRODUCT(-('Gastos Gerais'!$B$4:$B$3632=Analítico!$B89),-(Analítico!AP$3&gt;='Gastos Gerais'!$D$4:$D$3632),-(Analítico!AP$3&lt;='Gastos Gerais'!$E$4:$E$3632),-('Gastos Gerais'!$C$4:$C$3632))</f>
        <v>0</v>
      </c>
      <c r="AQ89" s="134">
        <f>SUMPRODUCT(-('Gastos Gerais'!$B$4:$B$3632=Analítico!$B89),-(Analítico!AQ$3&gt;='Gastos Gerais'!$D$4:$D$3632),-(Analítico!AQ$3&lt;='Gastos Gerais'!$E$4:$E$3632),-('Gastos Gerais'!$C$4:$C$3632))</f>
        <v>0</v>
      </c>
      <c r="AR89" s="134">
        <f>SUMPRODUCT(-('Gastos Gerais'!$B$4:$B$3632=Analítico!$B89),-(Analítico!AR$3&gt;='Gastos Gerais'!$D$4:$D$3632),-(Analítico!AR$3&lt;='Gastos Gerais'!$E$4:$E$3632),-('Gastos Gerais'!$C$4:$C$3632))</f>
        <v>0</v>
      </c>
      <c r="AS89" s="134">
        <f>SUMPRODUCT(-('Gastos Gerais'!$B$4:$B$3632=Analítico!$B89),-(Analítico!AS$3&gt;='Gastos Gerais'!$D$4:$D$3632),-(Analítico!AS$3&lt;='Gastos Gerais'!$E$4:$E$3632),-('Gastos Gerais'!$C$4:$C$3632))</f>
        <v>0</v>
      </c>
      <c r="AT89" s="134">
        <f>SUMPRODUCT(-('Gastos Gerais'!$B$4:$B$3632=Analítico!$B89),-(Analítico!AT$3&gt;='Gastos Gerais'!$D$4:$D$3632),-(Analítico!AT$3&lt;='Gastos Gerais'!$E$4:$E$3632),-('Gastos Gerais'!$C$4:$C$3632))</f>
        <v>0</v>
      </c>
      <c r="AU89" s="134">
        <f>SUMPRODUCT(-('Gastos Gerais'!$B$4:$B$3632=Analítico!$B89),-(Analítico!AU$3&gt;='Gastos Gerais'!$D$4:$D$3632),-(Analítico!AU$3&lt;='Gastos Gerais'!$E$4:$E$3632),-('Gastos Gerais'!$C$4:$C$3632))</f>
        <v>0</v>
      </c>
      <c r="AV89" s="134">
        <f>SUMPRODUCT(-('Gastos Gerais'!$B$4:$B$3632=Analítico!$B89),-(Analítico!AV$3&gt;='Gastos Gerais'!$D$4:$D$3632),-(Analítico!AV$3&lt;='Gastos Gerais'!$E$4:$E$3632),-('Gastos Gerais'!$C$4:$C$3632))</f>
        <v>0</v>
      </c>
      <c r="AW89" s="134">
        <f>SUMPRODUCT(-('Gastos Gerais'!$B$4:$B$3632=Analítico!$B89),-(Analítico!AW$3&gt;='Gastos Gerais'!$D$4:$D$3632),-(Analítico!AW$3&lt;='Gastos Gerais'!$E$4:$E$3632),-('Gastos Gerais'!$C$4:$C$3632))</f>
        <v>0</v>
      </c>
      <c r="AX89" s="134">
        <f>SUMPRODUCT(-('Gastos Gerais'!$B$4:$B$3632=Analítico!$B89),-(Analítico!AX$3&gt;='Gastos Gerais'!$D$4:$D$3632),-(Analítico!AX$3&lt;='Gastos Gerais'!$E$4:$E$3632),-('Gastos Gerais'!$C$4:$C$3632))</f>
        <v>0</v>
      </c>
      <c r="AY89" s="134">
        <f>SUMPRODUCT(-('Gastos Gerais'!$B$4:$B$3632=Analítico!$B89),-(Analítico!AY$3&gt;='Gastos Gerais'!$D$4:$D$3632),-(Analítico!AY$3&lt;='Gastos Gerais'!$E$4:$E$3632),-('Gastos Gerais'!$C$4:$C$3632))</f>
        <v>0</v>
      </c>
      <c r="AZ89" s="134">
        <f>SUMPRODUCT(-('Gastos Gerais'!$B$4:$B$3632=Analítico!$B89),-(Analítico!AZ$3&gt;='Gastos Gerais'!$D$4:$D$3632),-(Analítico!AZ$3&lt;='Gastos Gerais'!$E$4:$E$3632),-('Gastos Gerais'!$C$4:$C$3632))</f>
        <v>0</v>
      </c>
      <c r="BA89" s="134">
        <f>SUMPRODUCT(-('Gastos Gerais'!$B$4:$B$3632=Analítico!$B89),-(Analítico!BA$3&gt;='Gastos Gerais'!$D$4:$D$3632),-(Analítico!BA$3&lt;='Gastos Gerais'!$E$4:$E$3632),-('Gastos Gerais'!$C$4:$C$3632))</f>
        <v>0</v>
      </c>
      <c r="BB89" s="134">
        <f>SUMPRODUCT(-('Gastos Gerais'!$B$4:$B$3632=Analítico!$B89),-(Analítico!BB$3&gt;='Gastos Gerais'!$D$4:$D$3632),-(Analítico!BB$3&lt;='Gastos Gerais'!$E$4:$E$3632),-('Gastos Gerais'!$C$4:$C$3632))</f>
        <v>0</v>
      </c>
      <c r="BC89" s="134">
        <f>SUMPRODUCT(-('Gastos Gerais'!$B$4:$B$3632=Analítico!$B89),-(Analítico!BC$3&gt;='Gastos Gerais'!$D$4:$D$3632),-(Analítico!BC$3&lt;='Gastos Gerais'!$E$4:$E$3632),-('Gastos Gerais'!$C$4:$C$3632))</f>
        <v>0</v>
      </c>
      <c r="BD89" s="134">
        <f>SUMPRODUCT(-('Gastos Gerais'!$B$4:$B$3632=Analítico!$B89),-(Analítico!BD$3&gt;='Gastos Gerais'!$D$4:$D$3632),-(Analítico!BD$3&lt;='Gastos Gerais'!$E$4:$E$3632),-('Gastos Gerais'!$C$4:$C$3632))</f>
        <v>0</v>
      </c>
      <c r="BE89" s="134">
        <f>SUMPRODUCT(-('Gastos Gerais'!$B$4:$B$3632=Analítico!$B89),-(Analítico!BE$3&gt;='Gastos Gerais'!$D$4:$D$3632),-(Analítico!BE$3&lt;='Gastos Gerais'!$E$4:$E$3632),-('Gastos Gerais'!$C$4:$C$3632))</f>
        <v>0</v>
      </c>
      <c r="BF89" s="134">
        <f>SUMPRODUCT(-('Gastos Gerais'!$B$4:$B$3632=Analítico!$B89),-(Analítico!BF$3&gt;='Gastos Gerais'!$D$4:$D$3632),-(Analítico!BF$3&lt;='Gastos Gerais'!$E$4:$E$3632),-('Gastos Gerais'!$C$4:$C$3632))</f>
        <v>0</v>
      </c>
      <c r="BG89" s="134">
        <f>SUMPRODUCT(-('Gastos Gerais'!$B$4:$B$3632=Analítico!$B89),-(Analítico!BG$3&gt;='Gastos Gerais'!$D$4:$D$3632),-(Analítico!BG$3&lt;='Gastos Gerais'!$E$4:$E$3632),-('Gastos Gerais'!$C$4:$C$3632))</f>
        <v>0</v>
      </c>
      <c r="BH89" s="134">
        <f>SUMPRODUCT(-('Gastos Gerais'!$B$4:$B$3632=Analítico!$B89),-(Analítico!BH$3&gt;='Gastos Gerais'!$D$4:$D$3632),-(Analítico!BH$3&lt;='Gastos Gerais'!$E$4:$E$3632),-('Gastos Gerais'!$C$4:$C$3632))</f>
        <v>0</v>
      </c>
      <c r="BI89" s="134">
        <f>SUMPRODUCT(-('Gastos Gerais'!$B$4:$B$3632=Analítico!$B89),-(Analítico!BI$3&gt;='Gastos Gerais'!$D$4:$D$3632),-(Analítico!BI$3&lt;='Gastos Gerais'!$E$4:$E$3632),-('Gastos Gerais'!$C$4:$C$3632))</f>
        <v>0</v>
      </c>
      <c r="BJ89" s="134">
        <f>SUMPRODUCT(-('Gastos Gerais'!$B$4:$B$3632=Analítico!$B89),-(Analítico!BJ$3&gt;='Gastos Gerais'!$D$4:$D$3632),-(Analítico!BJ$3&lt;='Gastos Gerais'!$E$4:$E$3632),-('Gastos Gerais'!$C$4:$C$3632))</f>
        <v>0</v>
      </c>
      <c r="BK89" s="189">
        <f t="shared" si="37"/>
        <v>0</v>
      </c>
      <c r="BL89" s="136">
        <f t="shared" ca="1" si="38"/>
        <v>0</v>
      </c>
      <c r="BN89" s="134">
        <f>SUMPRODUCT(-('Gastos Gerais'!$B$4:$B$3632=Analítico!$B89),-(Analítico!BN$3&gt;='Gastos Gerais'!$D$4:$D$3632),-(Analítico!BN$3&lt;='Gastos Gerais'!$E$4:$E$3632),-('Gastos Gerais'!$C$4:$C$3632))</f>
        <v>0</v>
      </c>
    </row>
    <row r="90" spans="1:66" s="160" customFormat="1" ht="23.25" customHeight="1">
      <c r="A90" s="229" t="s">
        <v>257</v>
      </c>
      <c r="B90" s="232" t="s">
        <v>258</v>
      </c>
      <c r="C90" s="188">
        <f t="shared" si="36"/>
        <v>1871.1510000000001</v>
      </c>
      <c r="D90" s="134">
        <f>SUMPRODUCT(-('Gastos Gerais'!$B$4:$B$3632=Analítico!$B90),-(Analítico!D$3&gt;='Gastos Gerais'!$D$4:$D$3632),-(Analítico!D$3&lt;='Gastos Gerais'!$E$4:$E$3632),-('Gastos Gerais'!$C$4:$C$3632))</f>
        <v>6237.17</v>
      </c>
      <c r="E90" s="134">
        <f>SUMPRODUCT(-('Gastos Gerais'!$B$4:$B$3632=Analítico!$B90),-(Analítico!E$3&gt;='Gastos Gerais'!$D$4:$D$3632),-(Analítico!E$3&lt;='Gastos Gerais'!$E$4:$E$3632),-('Gastos Gerais'!$C$4:$C$3632))</f>
        <v>6624.71</v>
      </c>
      <c r="F90" s="134">
        <f>SUMPRODUCT(-('Gastos Gerais'!$B$4:$B$3632=Analítico!$B90),-(Analítico!F$3&gt;='Gastos Gerais'!$D$4:$D$3632),-(Analítico!F$3&lt;='Gastos Gerais'!$E$4:$E$3632),-('Gastos Gerais'!$C$4:$C$3632))</f>
        <v>6624.71</v>
      </c>
      <c r="G90" s="134">
        <f>SUMPRODUCT(-('Gastos Gerais'!$B$4:$B$3632=Analítico!$B90),-(Analítico!G$3&gt;='Gastos Gerais'!$D$4:$D$3632),-(Analítico!G$3&lt;='Gastos Gerais'!$E$4:$E$3632),-('Gastos Gerais'!$C$4:$C$3632))</f>
        <v>6624.71</v>
      </c>
      <c r="H90" s="134">
        <f>SUMPRODUCT(-('Gastos Gerais'!$B$4:$B$3632=Analítico!$B90),-(Analítico!H$3&gt;='Gastos Gerais'!$D$4:$D$3632),-(Analítico!H$3&lt;='Gastos Gerais'!$E$4:$E$3632),-('Gastos Gerais'!$C$4:$C$3632))</f>
        <v>6624.71</v>
      </c>
      <c r="I90" s="134">
        <f>SUMPRODUCT(-('Gastos Gerais'!$B$4:$B$3632=Analítico!$B90),-(Analítico!I$3&gt;='Gastos Gerais'!$D$4:$D$3632),-(Analítico!I$3&lt;='Gastos Gerais'!$E$4:$E$3632),-('Gastos Gerais'!$C$4:$C$3632))</f>
        <v>6624.71</v>
      </c>
      <c r="J90" s="134">
        <f>SUMPRODUCT(-('Gastos Gerais'!$B$4:$B$3632=Analítico!$B90),-(Analítico!J$3&gt;='Gastos Gerais'!$D$4:$D$3632),-(Analítico!J$3&lt;='Gastos Gerais'!$E$4:$E$3632),-('Gastos Gerais'!$C$4:$C$3632))</f>
        <v>6624.71</v>
      </c>
      <c r="K90" s="134">
        <f>SUMPRODUCT(-('Gastos Gerais'!$B$4:$B$3632=Analítico!$B90),-(Analítico!K$3&gt;='Gastos Gerais'!$D$4:$D$3632),-(Analítico!K$3&lt;='Gastos Gerais'!$E$4:$E$3632),-('Gastos Gerais'!$C$4:$C$3632))</f>
        <v>6624.71</v>
      </c>
      <c r="L90" s="134">
        <f>SUMPRODUCT(-('Gastos Gerais'!$B$4:$B$3632=Analítico!$B90),-(Analítico!L$3&gt;='Gastos Gerais'!$D$4:$D$3632),-(Analítico!L$3&lt;='Gastos Gerais'!$E$4:$E$3632),-('Gastos Gerais'!$C$4:$C$3632))</f>
        <v>6624.71</v>
      </c>
      <c r="M90" s="134">
        <f>SUMPRODUCT(-('Gastos Gerais'!$B$4:$B$3632=Analítico!$B90),-(Analítico!M$3&gt;='Gastos Gerais'!$D$4:$D$3632),-(Analítico!M$3&lt;='Gastos Gerais'!$E$4:$E$3632),-('Gastos Gerais'!$C$4:$C$3632))</f>
        <v>6624.71</v>
      </c>
      <c r="N90" s="134">
        <f>SUMPRODUCT(-('Gastos Gerais'!$B$4:$B$3632=Analítico!$B90),-(Analítico!N$3&gt;='Gastos Gerais'!$D$4:$D$3632),-(Analítico!N$3&lt;='Gastos Gerais'!$E$4:$E$3632),-('Gastos Gerais'!$C$4:$C$3632))</f>
        <v>7012.99</v>
      </c>
      <c r="O90" s="134">
        <f>SUMPRODUCT(-('Gastos Gerais'!$B$4:$B$3632=Analítico!$B90),-(Analítico!O$3&gt;='Gastos Gerais'!$D$4:$D$3632),-(Analítico!O$3&lt;='Gastos Gerais'!$E$4:$E$3632),-('Gastos Gerais'!$C$4:$C$3632))</f>
        <v>7206.76</v>
      </c>
      <c r="P90" s="134">
        <f>SUMPRODUCT(-('Gastos Gerais'!$B$4:$B$3632=Analítico!$B90),-(Analítico!P$3&gt;='Gastos Gerais'!$D$4:$D$3632),-(Analítico!P$3&lt;='Gastos Gerais'!$E$4:$E$3632),-('Gastos Gerais'!$C$4:$C$3632))</f>
        <v>7410.3399999999992</v>
      </c>
      <c r="Q90" s="134">
        <f>SUMPRODUCT(-('Gastos Gerais'!$B$4:$B$3632=Analítico!$B90),-(Analítico!Q$3&gt;='Gastos Gerais'!$D$4:$D$3632),-(Analítico!Q$3&lt;='Gastos Gerais'!$E$4:$E$3632),-('Gastos Gerais'!$C$4:$C$3632))</f>
        <v>7410.3399999999992</v>
      </c>
      <c r="R90" s="134">
        <f>SUMPRODUCT(-('Gastos Gerais'!$B$4:$B$3632=Analítico!$B90),-(Analítico!R$3&gt;='Gastos Gerais'!$D$4:$D$3632),-(Analítico!R$3&lt;='Gastos Gerais'!$E$4:$E$3632),-('Gastos Gerais'!$C$4:$C$3632))</f>
        <v>7410.3399999999992</v>
      </c>
      <c r="S90" s="134">
        <f>SUMPRODUCT(-('Gastos Gerais'!$B$4:$B$3632=Analítico!$B90),-(Analítico!S$3&gt;='Gastos Gerais'!$D$4:$D$3632),-(Analítico!S$3&lt;='Gastos Gerais'!$E$4:$E$3632),-('Gastos Gerais'!$C$4:$C$3632))</f>
        <v>7410.3399999999992</v>
      </c>
      <c r="T90" s="134">
        <f>SUMPRODUCT(-('Gastos Gerais'!$B$4:$B$3632=Analítico!$B90),-(Analítico!T$3&gt;='Gastos Gerais'!$D$4:$D$3632),-(Analítico!T$3&lt;='Gastos Gerais'!$E$4:$E$3632),-('Gastos Gerais'!$C$4:$C$3632))</f>
        <v>7410.3399999999992</v>
      </c>
      <c r="U90" s="134">
        <f>SUMPRODUCT(-('Gastos Gerais'!$B$4:$B$3632=Analítico!$B90),-(Analítico!U$3&gt;='Gastos Gerais'!$D$4:$D$3632),-(Analítico!U$3&lt;='Gastos Gerais'!$E$4:$E$3632),-('Gastos Gerais'!$C$4:$C$3632))</f>
        <v>7410.3399999999992</v>
      </c>
      <c r="V90" s="134">
        <f>SUMPRODUCT(-('Gastos Gerais'!$B$4:$B$3632=Analítico!$B90),-(Analítico!V$3&gt;='Gastos Gerais'!$D$4:$D$3632),-(Analítico!V$3&lt;='Gastos Gerais'!$E$4:$E$3632),-('Gastos Gerais'!$C$4:$C$3632))</f>
        <v>7410.3399999999992</v>
      </c>
      <c r="W90" s="134">
        <f>SUMPRODUCT(-('Gastos Gerais'!$B$4:$B$3632=Analítico!$B90),-(Analítico!W$3&gt;='Gastos Gerais'!$D$4:$D$3632),-(Analítico!W$3&lt;='Gastos Gerais'!$E$4:$E$3632),-('Gastos Gerais'!$C$4:$C$3632))</f>
        <v>7410.3399999999992</v>
      </c>
      <c r="X90" s="134">
        <f>SUMPRODUCT(-('Gastos Gerais'!$B$4:$B$3632=Analítico!$B90),-(Analítico!X$3&gt;='Gastos Gerais'!$D$4:$D$3632),-(Analítico!X$3&lt;='Gastos Gerais'!$E$4:$E$3632),-('Gastos Gerais'!$C$4:$C$3632))</f>
        <v>7410.3399999999992</v>
      </c>
      <c r="Y90" s="134">
        <f>SUMPRODUCT(-('Gastos Gerais'!$B$4:$B$3632=Analítico!$B90),-(Analítico!Y$3&gt;='Gastos Gerais'!$D$4:$D$3632),-(Analítico!Y$3&lt;='Gastos Gerais'!$E$4:$E$3632),-('Gastos Gerais'!$C$4:$C$3632))</f>
        <v>7410.3399999999992</v>
      </c>
      <c r="Z90" s="134">
        <f>SUMPRODUCT(-('Gastos Gerais'!$B$4:$B$3632=Analítico!$B90),-(Analítico!Z$3&gt;='Gastos Gerais'!$D$4:$D$3632),-(Analítico!Z$3&lt;='Gastos Gerais'!$E$4:$E$3632),-('Gastos Gerais'!$C$4:$C$3632))</f>
        <v>7616.2099999999991</v>
      </c>
      <c r="AA90" s="134">
        <f>SUMPRODUCT(-('Gastos Gerais'!$B$4:$B$3632=Analítico!$B90),-(Analítico!AA$3&gt;='Gastos Gerais'!$D$4:$D$3632),-(Analítico!AA$3&lt;='Gastos Gerais'!$E$4:$E$3632),-('Gastos Gerais'!$C$4:$C$3632))</f>
        <v>7616.2099999999991</v>
      </c>
      <c r="AB90" s="134">
        <f>SUMPRODUCT(-('Gastos Gerais'!$B$4:$B$3632=Analítico!$B90),-(Analítico!AB$3&gt;='Gastos Gerais'!$D$4:$D$3632),-(Analítico!AB$3&lt;='Gastos Gerais'!$E$4:$E$3632),-('Gastos Gerais'!$C$4:$C$3632))</f>
        <v>7843.16</v>
      </c>
      <c r="AC90" s="134">
        <f>SUMPRODUCT(-('Gastos Gerais'!$B$4:$B$3632=Analítico!$B90),-(Analítico!AC$3&gt;='Gastos Gerais'!$D$4:$D$3632),-(Analítico!AC$3&lt;='Gastos Gerais'!$E$4:$E$3632),-('Gastos Gerais'!$C$4:$C$3632))</f>
        <v>7843.16</v>
      </c>
      <c r="AD90" s="134">
        <f>SUMPRODUCT(-('Gastos Gerais'!$B$4:$B$3632=Analítico!$B90),-(Analítico!AD$3&gt;='Gastos Gerais'!$D$4:$D$3632),-(Analítico!AD$3&lt;='Gastos Gerais'!$E$4:$E$3632),-('Gastos Gerais'!$C$4:$C$3632))</f>
        <v>7843.16</v>
      </c>
      <c r="AE90" s="134">
        <f>SUMPRODUCT(-('Gastos Gerais'!$B$4:$B$3632=Analítico!$B90),-(Analítico!AE$3&gt;='Gastos Gerais'!$D$4:$D$3632),-(Analítico!AE$3&lt;='Gastos Gerais'!$E$4:$E$3632),-('Gastos Gerais'!$C$4:$C$3632))</f>
        <v>7843.16</v>
      </c>
      <c r="AF90" s="134">
        <f>SUMPRODUCT(-('Gastos Gerais'!$B$4:$B$3632=Analítico!$B90),-(Analítico!AF$3&gt;='Gastos Gerais'!$D$4:$D$3632),-(Analítico!AF$3&lt;='Gastos Gerais'!$E$4:$E$3632),-('Gastos Gerais'!$C$4:$C$3632))</f>
        <v>7843.16</v>
      </c>
      <c r="AG90" s="134">
        <f>SUMPRODUCT(-('Gastos Gerais'!$B$4:$B$3632=Analítico!$B90),-(Analítico!AG$3&gt;='Gastos Gerais'!$D$4:$D$3632),-(Analítico!AG$3&lt;='Gastos Gerais'!$E$4:$E$3632),-('Gastos Gerais'!$C$4:$C$3632))</f>
        <v>7843.16</v>
      </c>
      <c r="AH90" s="134">
        <f>SUMPRODUCT(-('Gastos Gerais'!$B$4:$B$3632=Analítico!$B90),-(Analítico!AH$3&gt;='Gastos Gerais'!$D$4:$D$3632),-(Analítico!AH$3&lt;='Gastos Gerais'!$E$4:$E$3632),-('Gastos Gerais'!$C$4:$C$3632))</f>
        <v>7843.16</v>
      </c>
      <c r="AI90" s="134">
        <f>SUMPRODUCT(-('Gastos Gerais'!$B$4:$B$3632=Analítico!$B90),-(Analítico!AI$3&gt;='Gastos Gerais'!$D$4:$D$3632),-(Analítico!AI$3&lt;='Gastos Gerais'!$E$4:$E$3632),-('Gastos Gerais'!$C$4:$C$3632))</f>
        <v>7843.16</v>
      </c>
      <c r="AJ90" s="134">
        <f>SUMPRODUCT(-('Gastos Gerais'!$B$4:$B$3632=Analítico!$B90),-(Analítico!AJ$3&gt;='Gastos Gerais'!$D$4:$D$3632),-(Analítico!AJ$3&lt;='Gastos Gerais'!$E$4:$E$3632),-('Gastos Gerais'!$C$4:$C$3632))</f>
        <v>7843.16</v>
      </c>
      <c r="AK90" s="134">
        <f>SUMPRODUCT(-('Gastos Gerais'!$B$4:$B$3632=Analítico!$B90),-(Analítico!AK$3&gt;='Gastos Gerais'!$D$4:$D$3632),-(Analítico!AK$3&lt;='Gastos Gerais'!$E$4:$E$3632),-('Gastos Gerais'!$C$4:$C$3632))</f>
        <v>7843.16</v>
      </c>
      <c r="AL90" s="134">
        <f>SUMPRODUCT(-('Gastos Gerais'!$B$4:$B$3632=Analítico!$B90),-(Analítico!AL$3&gt;='Gastos Gerais'!$D$4:$D$3632),-(Analítico!AL$3&lt;='Gastos Gerais'!$E$4:$E$3632),-('Gastos Gerais'!$C$4:$C$3632))</f>
        <v>8061.0499999999993</v>
      </c>
      <c r="AM90" s="134">
        <f>SUMPRODUCT(-('Gastos Gerais'!$B$4:$B$3632=Analítico!$B90),-(Analítico!AM$3&gt;='Gastos Gerais'!$D$4:$D$3632),-(Analítico!AM$3&lt;='Gastos Gerais'!$E$4:$E$3632),-('Gastos Gerais'!$C$4:$C$3632))</f>
        <v>8061.0499999999993</v>
      </c>
      <c r="AN90" s="134">
        <f>SUMPRODUCT(-('Gastos Gerais'!$B$4:$B$3632=Analítico!$B90),-(Analítico!AN$3&gt;='Gastos Gerais'!$D$4:$D$3632),-(Analítico!AN$3&lt;='Gastos Gerais'!$E$4:$E$3632),-('Gastos Gerais'!$C$4:$C$3632))</f>
        <v>8301.2699999999986</v>
      </c>
      <c r="AO90" s="134">
        <f>SUMPRODUCT(-('Gastos Gerais'!$B$4:$B$3632=Analítico!$B90),-(Analítico!AO$3&gt;='Gastos Gerais'!$D$4:$D$3632),-(Analítico!AO$3&lt;='Gastos Gerais'!$E$4:$E$3632),-('Gastos Gerais'!$C$4:$C$3632))</f>
        <v>8301.2699999999986</v>
      </c>
      <c r="AP90" s="134">
        <f>SUMPRODUCT(-('Gastos Gerais'!$B$4:$B$3632=Analítico!$B90),-(Analítico!AP$3&gt;='Gastos Gerais'!$D$4:$D$3632),-(Analítico!AP$3&lt;='Gastos Gerais'!$E$4:$E$3632),-('Gastos Gerais'!$C$4:$C$3632))</f>
        <v>8301.2699999999986</v>
      </c>
      <c r="AQ90" s="134">
        <f>SUMPRODUCT(-('Gastos Gerais'!$B$4:$B$3632=Analítico!$B90),-(Analítico!AQ$3&gt;='Gastos Gerais'!$D$4:$D$3632),-(Analítico!AQ$3&lt;='Gastos Gerais'!$E$4:$E$3632),-('Gastos Gerais'!$C$4:$C$3632))</f>
        <v>8301.2699999999986</v>
      </c>
      <c r="AR90" s="134">
        <f>SUMPRODUCT(-('Gastos Gerais'!$B$4:$B$3632=Analítico!$B90),-(Analítico!AR$3&gt;='Gastos Gerais'!$D$4:$D$3632),-(Analítico!AR$3&lt;='Gastos Gerais'!$E$4:$E$3632),-('Gastos Gerais'!$C$4:$C$3632))</f>
        <v>8301.2699999999986</v>
      </c>
      <c r="AS90" s="134">
        <f>SUMPRODUCT(-('Gastos Gerais'!$B$4:$B$3632=Analítico!$B90),-(Analítico!AS$3&gt;='Gastos Gerais'!$D$4:$D$3632),-(Analítico!AS$3&lt;='Gastos Gerais'!$E$4:$E$3632),-('Gastos Gerais'!$C$4:$C$3632))</f>
        <v>8301.2699999999986</v>
      </c>
      <c r="AT90" s="134">
        <f>SUMPRODUCT(-('Gastos Gerais'!$B$4:$B$3632=Analítico!$B90),-(Analítico!AT$3&gt;='Gastos Gerais'!$D$4:$D$3632),-(Analítico!AT$3&lt;='Gastos Gerais'!$E$4:$E$3632),-('Gastos Gerais'!$C$4:$C$3632))</f>
        <v>8301.2699999999986</v>
      </c>
      <c r="AU90" s="134">
        <f>SUMPRODUCT(-('Gastos Gerais'!$B$4:$B$3632=Analítico!$B90),-(Analítico!AU$3&gt;='Gastos Gerais'!$D$4:$D$3632),-(Analítico!AU$3&lt;='Gastos Gerais'!$E$4:$E$3632),-('Gastos Gerais'!$C$4:$C$3632))</f>
        <v>8301.2699999999986</v>
      </c>
      <c r="AV90" s="134">
        <f>SUMPRODUCT(-('Gastos Gerais'!$B$4:$B$3632=Analítico!$B90),-(Analítico!AV$3&gt;='Gastos Gerais'!$D$4:$D$3632),-(Analítico!AV$3&lt;='Gastos Gerais'!$E$4:$E$3632),-('Gastos Gerais'!$C$4:$C$3632))</f>
        <v>8301.2699999999986</v>
      </c>
      <c r="AW90" s="134">
        <f>SUMPRODUCT(-('Gastos Gerais'!$B$4:$B$3632=Analítico!$B90),-(Analítico!AW$3&gt;='Gastos Gerais'!$D$4:$D$3632),-(Analítico!AW$3&lt;='Gastos Gerais'!$E$4:$E$3632),-('Gastos Gerais'!$C$4:$C$3632))</f>
        <v>8301.2699999999986</v>
      </c>
      <c r="AX90" s="134">
        <f>SUMPRODUCT(-('Gastos Gerais'!$B$4:$B$3632=Analítico!$B90),-(Analítico!AX$3&gt;='Gastos Gerais'!$D$4:$D$3632),-(Analítico!AX$3&lt;='Gastos Gerais'!$E$4:$E$3632),-('Gastos Gerais'!$C$4:$C$3632))</f>
        <v>8531.89</v>
      </c>
      <c r="AY90" s="134">
        <f>SUMPRODUCT(-('Gastos Gerais'!$B$4:$B$3632=Analítico!$B90),-(Analítico!AY$3&gt;='Gastos Gerais'!$D$4:$D$3632),-(Analítico!AY$3&lt;='Gastos Gerais'!$E$4:$E$3632),-('Gastos Gerais'!$C$4:$C$3632))</f>
        <v>8531.89</v>
      </c>
      <c r="AZ90" s="134">
        <f>SUMPRODUCT(-('Gastos Gerais'!$B$4:$B$3632=Analítico!$B90),-(Analítico!AZ$3&gt;='Gastos Gerais'!$D$4:$D$3632),-(Analítico!AZ$3&lt;='Gastos Gerais'!$E$4:$E$3632),-('Gastos Gerais'!$C$4:$C$3632))</f>
        <v>8786.1299999999992</v>
      </c>
      <c r="BA90" s="134">
        <f>SUMPRODUCT(-('Gastos Gerais'!$B$4:$B$3632=Analítico!$B90),-(Analítico!BA$3&gt;='Gastos Gerais'!$D$4:$D$3632),-(Analítico!BA$3&lt;='Gastos Gerais'!$E$4:$E$3632),-('Gastos Gerais'!$C$4:$C$3632))</f>
        <v>8786.1299999999992</v>
      </c>
      <c r="BB90" s="134">
        <f>SUMPRODUCT(-('Gastos Gerais'!$B$4:$B$3632=Analítico!$B90),-(Analítico!BB$3&gt;='Gastos Gerais'!$D$4:$D$3632),-(Analítico!BB$3&lt;='Gastos Gerais'!$E$4:$E$3632),-('Gastos Gerais'!$C$4:$C$3632))</f>
        <v>8786.1299999999992</v>
      </c>
      <c r="BC90" s="134">
        <f>SUMPRODUCT(-('Gastos Gerais'!$B$4:$B$3632=Analítico!$B90),-(Analítico!BC$3&gt;='Gastos Gerais'!$D$4:$D$3632),-(Analítico!BC$3&lt;='Gastos Gerais'!$E$4:$E$3632),-('Gastos Gerais'!$C$4:$C$3632))</f>
        <v>8786.1299999999992</v>
      </c>
      <c r="BD90" s="134">
        <f>SUMPRODUCT(-('Gastos Gerais'!$B$4:$B$3632=Analítico!$B90),-(Analítico!BD$3&gt;='Gastos Gerais'!$D$4:$D$3632),-(Analítico!BD$3&lt;='Gastos Gerais'!$E$4:$E$3632),-('Gastos Gerais'!$C$4:$C$3632))</f>
        <v>8786.1299999999992</v>
      </c>
      <c r="BE90" s="134">
        <f>SUMPRODUCT(-('Gastos Gerais'!$B$4:$B$3632=Analítico!$B90),-(Analítico!BE$3&gt;='Gastos Gerais'!$D$4:$D$3632),-(Analítico!BE$3&lt;='Gastos Gerais'!$E$4:$E$3632),-('Gastos Gerais'!$C$4:$C$3632))</f>
        <v>8786.1299999999992</v>
      </c>
      <c r="BF90" s="134">
        <f>SUMPRODUCT(-('Gastos Gerais'!$B$4:$B$3632=Analítico!$B90),-(Analítico!BF$3&gt;='Gastos Gerais'!$D$4:$D$3632),-(Analítico!BF$3&lt;='Gastos Gerais'!$E$4:$E$3632),-('Gastos Gerais'!$C$4:$C$3632))</f>
        <v>8786.1299999999992</v>
      </c>
      <c r="BG90" s="134">
        <f>SUMPRODUCT(-('Gastos Gerais'!$B$4:$B$3632=Analítico!$B90),-(Analítico!BG$3&gt;='Gastos Gerais'!$D$4:$D$3632),-(Analítico!BG$3&lt;='Gastos Gerais'!$E$4:$E$3632),-('Gastos Gerais'!$C$4:$C$3632))</f>
        <v>8786.1299999999992</v>
      </c>
      <c r="BH90" s="134">
        <f>SUMPRODUCT(-('Gastos Gerais'!$B$4:$B$3632=Analítico!$B90),-(Analítico!BH$3&gt;='Gastos Gerais'!$D$4:$D$3632),-(Analítico!BH$3&lt;='Gastos Gerais'!$E$4:$E$3632),-('Gastos Gerais'!$C$4:$C$3632))</f>
        <v>8786.1299999999992</v>
      </c>
      <c r="BI90" s="134">
        <f>SUMPRODUCT(-('Gastos Gerais'!$B$4:$B$3632=Analítico!$B90),-(Analítico!BI$3&gt;='Gastos Gerais'!$D$4:$D$3632),-(Analítico!BI$3&lt;='Gastos Gerais'!$E$4:$E$3632),-('Gastos Gerais'!$C$4:$C$3632))</f>
        <v>8786.1299999999992</v>
      </c>
      <c r="BJ90" s="134">
        <f>SUMPRODUCT(-('Gastos Gerais'!$B$4:$B$3632=Analítico!$B90),-(Analítico!BJ$3&gt;='Gastos Gerais'!$D$4:$D$3632),-(Analítico!BJ$3&lt;='Gastos Gerais'!$E$4:$E$3632),-('Gastos Gerais'!$C$4:$C$3632))</f>
        <v>8542.9699999999993</v>
      </c>
      <c r="BK90" s="189">
        <f t="shared" si="37"/>
        <v>462320.7310000002</v>
      </c>
      <c r="BL90" s="136">
        <f t="shared" ca="1" si="38"/>
        <v>1.3817864271259614E-3</v>
      </c>
      <c r="BN90" s="134">
        <f>SUMPRODUCT(-('Gastos Gerais'!$B$4:$B$3632=Analítico!$B90),-(Analítico!BN$3&gt;='Gastos Gerais'!$D$4:$D$3632),-(Analítico!BN$3&lt;='Gastos Gerais'!$E$4:$E$3632),-('Gastos Gerais'!$C$4:$C$3632))</f>
        <v>6237.17</v>
      </c>
    </row>
    <row r="91" spans="1:66" s="160" customFormat="1" ht="23.25" customHeight="1">
      <c r="A91" s="229" t="s">
        <v>259</v>
      </c>
      <c r="B91" s="232" t="s">
        <v>260</v>
      </c>
      <c r="C91" s="188">
        <f t="shared" si="36"/>
        <v>105</v>
      </c>
      <c r="D91" s="134">
        <f>SUMPRODUCT(-('Gastos Gerais'!$B$4:$B$3632=Analítico!$B91),-(Analítico!D$3&gt;='Gastos Gerais'!$D$4:$D$3632),-(Analítico!D$3&lt;='Gastos Gerais'!$E$4:$E$3632),-('Gastos Gerais'!$C$4:$C$3632))</f>
        <v>350</v>
      </c>
      <c r="E91" s="134">
        <f>SUMPRODUCT(-('Gastos Gerais'!$B$4:$B$3632=Analítico!$B91),-(Analítico!E$3&gt;='Gastos Gerais'!$D$4:$D$3632),-(Analítico!E$3&lt;='Gastos Gerais'!$E$4:$E$3632),-('Gastos Gerais'!$C$4:$C$3632))</f>
        <v>350</v>
      </c>
      <c r="F91" s="134">
        <f>SUMPRODUCT(-('Gastos Gerais'!$B$4:$B$3632=Analítico!$B91),-(Analítico!F$3&gt;='Gastos Gerais'!$D$4:$D$3632),-(Analítico!F$3&lt;='Gastos Gerais'!$E$4:$E$3632),-('Gastos Gerais'!$C$4:$C$3632))</f>
        <v>350</v>
      </c>
      <c r="G91" s="134">
        <f>SUMPRODUCT(-('Gastos Gerais'!$B$4:$B$3632=Analítico!$B91),-(Analítico!G$3&gt;='Gastos Gerais'!$D$4:$D$3632),-(Analítico!G$3&lt;='Gastos Gerais'!$E$4:$E$3632),-('Gastos Gerais'!$C$4:$C$3632))</f>
        <v>350</v>
      </c>
      <c r="H91" s="134">
        <f>SUMPRODUCT(-('Gastos Gerais'!$B$4:$B$3632=Analítico!$B91),-(Analítico!H$3&gt;='Gastos Gerais'!$D$4:$D$3632),-(Analítico!H$3&lt;='Gastos Gerais'!$E$4:$E$3632),-('Gastos Gerais'!$C$4:$C$3632))</f>
        <v>350</v>
      </c>
      <c r="I91" s="134">
        <f>SUMPRODUCT(-('Gastos Gerais'!$B$4:$B$3632=Analítico!$B91),-(Analítico!I$3&gt;='Gastos Gerais'!$D$4:$D$3632),-(Analítico!I$3&lt;='Gastos Gerais'!$E$4:$E$3632),-('Gastos Gerais'!$C$4:$C$3632))</f>
        <v>350</v>
      </c>
      <c r="J91" s="134">
        <f>SUMPRODUCT(-('Gastos Gerais'!$B$4:$B$3632=Analítico!$B91),-(Analítico!J$3&gt;='Gastos Gerais'!$D$4:$D$3632),-(Analítico!J$3&lt;='Gastos Gerais'!$E$4:$E$3632),-('Gastos Gerais'!$C$4:$C$3632))</f>
        <v>200</v>
      </c>
      <c r="K91" s="134">
        <f>SUMPRODUCT(-('Gastos Gerais'!$B$4:$B$3632=Analítico!$B91),-(Analítico!K$3&gt;='Gastos Gerais'!$D$4:$D$3632),-(Analítico!K$3&lt;='Gastos Gerais'!$E$4:$E$3632),-('Gastos Gerais'!$C$4:$C$3632))</f>
        <v>200</v>
      </c>
      <c r="L91" s="134">
        <f>SUMPRODUCT(-('Gastos Gerais'!$B$4:$B$3632=Analítico!$B91),-(Analítico!L$3&gt;='Gastos Gerais'!$D$4:$D$3632),-(Analítico!L$3&lt;='Gastos Gerais'!$E$4:$E$3632),-('Gastos Gerais'!$C$4:$C$3632))</f>
        <v>200</v>
      </c>
      <c r="M91" s="134">
        <f>SUMPRODUCT(-('Gastos Gerais'!$B$4:$B$3632=Analítico!$B91),-(Analítico!M$3&gt;='Gastos Gerais'!$D$4:$D$3632),-(Analítico!M$3&lt;='Gastos Gerais'!$E$4:$E$3632),-('Gastos Gerais'!$C$4:$C$3632))</f>
        <v>200</v>
      </c>
      <c r="N91" s="134">
        <f>SUMPRODUCT(-('Gastos Gerais'!$B$4:$B$3632=Analítico!$B91),-(Analítico!N$3&gt;='Gastos Gerais'!$D$4:$D$3632),-(Analítico!N$3&lt;='Gastos Gerais'!$E$4:$E$3632),-('Gastos Gerais'!$C$4:$C$3632))</f>
        <v>200</v>
      </c>
      <c r="O91" s="134">
        <f>SUMPRODUCT(-('Gastos Gerais'!$B$4:$B$3632=Analítico!$B91),-(Analítico!O$3&gt;='Gastos Gerais'!$D$4:$D$3632),-(Analítico!O$3&lt;='Gastos Gerais'!$E$4:$E$3632),-('Gastos Gerais'!$C$4:$C$3632))</f>
        <v>200</v>
      </c>
      <c r="P91" s="134">
        <f>SUMPRODUCT(-('Gastos Gerais'!$B$4:$B$3632=Analítico!$B91),-(Analítico!P$3&gt;='Gastos Gerais'!$D$4:$D$3632),-(Analítico!P$3&lt;='Gastos Gerais'!$E$4:$E$3632),-('Gastos Gerais'!$C$4:$C$3632))</f>
        <v>200</v>
      </c>
      <c r="Q91" s="134">
        <f>SUMPRODUCT(-('Gastos Gerais'!$B$4:$B$3632=Analítico!$B91),-(Analítico!Q$3&gt;='Gastos Gerais'!$D$4:$D$3632),-(Analítico!Q$3&lt;='Gastos Gerais'!$E$4:$E$3632),-('Gastos Gerais'!$C$4:$C$3632))</f>
        <v>200</v>
      </c>
      <c r="R91" s="134">
        <f>SUMPRODUCT(-('Gastos Gerais'!$B$4:$B$3632=Analítico!$B91),-(Analítico!R$3&gt;='Gastos Gerais'!$D$4:$D$3632),-(Analítico!R$3&lt;='Gastos Gerais'!$E$4:$E$3632),-('Gastos Gerais'!$C$4:$C$3632))</f>
        <v>200</v>
      </c>
      <c r="S91" s="134">
        <f>SUMPRODUCT(-('Gastos Gerais'!$B$4:$B$3632=Analítico!$B91),-(Analítico!S$3&gt;='Gastos Gerais'!$D$4:$D$3632),-(Analítico!S$3&lt;='Gastos Gerais'!$E$4:$E$3632),-('Gastos Gerais'!$C$4:$C$3632))</f>
        <v>200</v>
      </c>
      <c r="T91" s="134">
        <f>SUMPRODUCT(-('Gastos Gerais'!$B$4:$B$3632=Analítico!$B91),-(Analítico!T$3&gt;='Gastos Gerais'!$D$4:$D$3632),-(Analítico!T$3&lt;='Gastos Gerais'!$E$4:$E$3632),-('Gastos Gerais'!$C$4:$C$3632))</f>
        <v>200</v>
      </c>
      <c r="U91" s="134">
        <f>SUMPRODUCT(-('Gastos Gerais'!$B$4:$B$3632=Analítico!$B91),-(Analítico!U$3&gt;='Gastos Gerais'!$D$4:$D$3632),-(Analítico!U$3&lt;='Gastos Gerais'!$E$4:$E$3632),-('Gastos Gerais'!$C$4:$C$3632))</f>
        <v>200</v>
      </c>
      <c r="V91" s="134">
        <f>SUMPRODUCT(-('Gastos Gerais'!$B$4:$B$3632=Analítico!$B91),-(Analítico!V$3&gt;='Gastos Gerais'!$D$4:$D$3632),-(Analítico!V$3&lt;='Gastos Gerais'!$E$4:$E$3632),-('Gastos Gerais'!$C$4:$C$3632))</f>
        <v>200</v>
      </c>
      <c r="W91" s="134">
        <f>SUMPRODUCT(-('Gastos Gerais'!$B$4:$B$3632=Analítico!$B91),-(Analítico!W$3&gt;='Gastos Gerais'!$D$4:$D$3632),-(Analítico!W$3&lt;='Gastos Gerais'!$E$4:$E$3632),-('Gastos Gerais'!$C$4:$C$3632))</f>
        <v>200</v>
      </c>
      <c r="X91" s="134">
        <f>SUMPRODUCT(-('Gastos Gerais'!$B$4:$B$3632=Analítico!$B91),-(Analítico!X$3&gt;='Gastos Gerais'!$D$4:$D$3632),-(Analítico!X$3&lt;='Gastos Gerais'!$E$4:$E$3632),-('Gastos Gerais'!$C$4:$C$3632))</f>
        <v>200</v>
      </c>
      <c r="Y91" s="134">
        <f>SUMPRODUCT(-('Gastos Gerais'!$B$4:$B$3632=Analítico!$B91),-(Analítico!Y$3&gt;='Gastos Gerais'!$D$4:$D$3632),-(Analítico!Y$3&lt;='Gastos Gerais'!$E$4:$E$3632),-('Gastos Gerais'!$C$4:$C$3632))</f>
        <v>200</v>
      </c>
      <c r="Z91" s="134">
        <f>SUMPRODUCT(-('Gastos Gerais'!$B$4:$B$3632=Analítico!$B91),-(Analítico!Z$3&gt;='Gastos Gerais'!$D$4:$D$3632),-(Analítico!Z$3&lt;='Gastos Gerais'!$E$4:$E$3632),-('Gastos Gerais'!$C$4:$C$3632))</f>
        <v>200</v>
      </c>
      <c r="AA91" s="134">
        <f>SUMPRODUCT(-('Gastos Gerais'!$B$4:$B$3632=Analítico!$B91),-(Analítico!AA$3&gt;='Gastos Gerais'!$D$4:$D$3632),-(Analítico!AA$3&lt;='Gastos Gerais'!$E$4:$E$3632),-('Gastos Gerais'!$C$4:$C$3632))</f>
        <v>200</v>
      </c>
      <c r="AB91" s="134">
        <f>SUMPRODUCT(-('Gastos Gerais'!$B$4:$B$3632=Analítico!$B91),-(Analítico!AB$3&gt;='Gastos Gerais'!$D$4:$D$3632),-(Analítico!AB$3&lt;='Gastos Gerais'!$E$4:$E$3632),-('Gastos Gerais'!$C$4:$C$3632))</f>
        <v>200</v>
      </c>
      <c r="AC91" s="134">
        <f>SUMPRODUCT(-('Gastos Gerais'!$B$4:$B$3632=Analítico!$B91),-(Analítico!AC$3&gt;='Gastos Gerais'!$D$4:$D$3632),-(Analítico!AC$3&lt;='Gastos Gerais'!$E$4:$E$3632),-('Gastos Gerais'!$C$4:$C$3632))</f>
        <v>200</v>
      </c>
      <c r="AD91" s="134">
        <f>SUMPRODUCT(-('Gastos Gerais'!$B$4:$B$3632=Analítico!$B91),-(Analítico!AD$3&gt;='Gastos Gerais'!$D$4:$D$3632),-(Analítico!AD$3&lt;='Gastos Gerais'!$E$4:$E$3632),-('Gastos Gerais'!$C$4:$C$3632))</f>
        <v>200</v>
      </c>
      <c r="AE91" s="134">
        <f>SUMPRODUCT(-('Gastos Gerais'!$B$4:$B$3632=Analítico!$B91),-(Analítico!AE$3&gt;='Gastos Gerais'!$D$4:$D$3632),-(Analítico!AE$3&lt;='Gastos Gerais'!$E$4:$E$3632),-('Gastos Gerais'!$C$4:$C$3632))</f>
        <v>200</v>
      </c>
      <c r="AF91" s="134">
        <f>SUMPRODUCT(-('Gastos Gerais'!$B$4:$B$3632=Analítico!$B91),-(Analítico!AF$3&gt;='Gastos Gerais'!$D$4:$D$3632),-(Analítico!AF$3&lt;='Gastos Gerais'!$E$4:$E$3632),-('Gastos Gerais'!$C$4:$C$3632))</f>
        <v>200</v>
      </c>
      <c r="AG91" s="134">
        <f>SUMPRODUCT(-('Gastos Gerais'!$B$4:$B$3632=Analítico!$B91),-(Analítico!AG$3&gt;='Gastos Gerais'!$D$4:$D$3632),-(Analítico!AG$3&lt;='Gastos Gerais'!$E$4:$E$3632),-('Gastos Gerais'!$C$4:$C$3632))</f>
        <v>200</v>
      </c>
      <c r="AH91" s="134">
        <f>SUMPRODUCT(-('Gastos Gerais'!$B$4:$B$3632=Analítico!$B91),-(Analítico!AH$3&gt;='Gastos Gerais'!$D$4:$D$3632),-(Analítico!AH$3&lt;='Gastos Gerais'!$E$4:$E$3632),-('Gastos Gerais'!$C$4:$C$3632))</f>
        <v>200</v>
      </c>
      <c r="AI91" s="134">
        <f>SUMPRODUCT(-('Gastos Gerais'!$B$4:$B$3632=Analítico!$B91),-(Analítico!AI$3&gt;='Gastos Gerais'!$D$4:$D$3632),-(Analítico!AI$3&lt;='Gastos Gerais'!$E$4:$E$3632),-('Gastos Gerais'!$C$4:$C$3632))</f>
        <v>200</v>
      </c>
      <c r="AJ91" s="134">
        <f>SUMPRODUCT(-('Gastos Gerais'!$B$4:$B$3632=Analítico!$B91),-(Analítico!AJ$3&gt;='Gastos Gerais'!$D$4:$D$3632),-(Analítico!AJ$3&lt;='Gastos Gerais'!$E$4:$E$3632),-('Gastos Gerais'!$C$4:$C$3632))</f>
        <v>550</v>
      </c>
      <c r="AK91" s="134">
        <f>SUMPRODUCT(-('Gastos Gerais'!$B$4:$B$3632=Analítico!$B91),-(Analítico!AK$3&gt;='Gastos Gerais'!$D$4:$D$3632),-(Analítico!AK$3&lt;='Gastos Gerais'!$E$4:$E$3632),-('Gastos Gerais'!$C$4:$C$3632))</f>
        <v>550</v>
      </c>
      <c r="AL91" s="134">
        <f>SUMPRODUCT(-('Gastos Gerais'!$B$4:$B$3632=Analítico!$B91),-(Analítico!AL$3&gt;='Gastos Gerais'!$D$4:$D$3632),-(Analítico!AL$3&lt;='Gastos Gerais'!$E$4:$E$3632),-('Gastos Gerais'!$C$4:$C$3632))</f>
        <v>550</v>
      </c>
      <c r="AM91" s="134">
        <f>SUMPRODUCT(-('Gastos Gerais'!$B$4:$B$3632=Analítico!$B91),-(Analítico!AM$3&gt;='Gastos Gerais'!$D$4:$D$3632),-(Analítico!AM$3&lt;='Gastos Gerais'!$E$4:$E$3632),-('Gastos Gerais'!$C$4:$C$3632))</f>
        <v>550</v>
      </c>
      <c r="AN91" s="134">
        <f>SUMPRODUCT(-('Gastos Gerais'!$B$4:$B$3632=Analítico!$B91),-(Analítico!AN$3&gt;='Gastos Gerais'!$D$4:$D$3632),-(Analítico!AN$3&lt;='Gastos Gerais'!$E$4:$E$3632),-('Gastos Gerais'!$C$4:$C$3632))</f>
        <v>550</v>
      </c>
      <c r="AO91" s="134">
        <f>SUMPRODUCT(-('Gastos Gerais'!$B$4:$B$3632=Analítico!$B91),-(Analítico!AO$3&gt;='Gastos Gerais'!$D$4:$D$3632),-(Analítico!AO$3&lt;='Gastos Gerais'!$E$4:$E$3632),-('Gastos Gerais'!$C$4:$C$3632))</f>
        <v>550</v>
      </c>
      <c r="AP91" s="134">
        <f>SUMPRODUCT(-('Gastos Gerais'!$B$4:$B$3632=Analítico!$B91),-(Analítico!AP$3&gt;='Gastos Gerais'!$D$4:$D$3632),-(Analítico!AP$3&lt;='Gastos Gerais'!$E$4:$E$3632),-('Gastos Gerais'!$C$4:$C$3632))</f>
        <v>550</v>
      </c>
      <c r="AQ91" s="134">
        <f>SUMPRODUCT(-('Gastos Gerais'!$B$4:$B$3632=Analítico!$B91),-(Analítico!AQ$3&gt;='Gastos Gerais'!$D$4:$D$3632),-(Analítico!AQ$3&lt;='Gastos Gerais'!$E$4:$E$3632),-('Gastos Gerais'!$C$4:$C$3632))</f>
        <v>550</v>
      </c>
      <c r="AR91" s="134">
        <f>SUMPRODUCT(-('Gastos Gerais'!$B$4:$B$3632=Analítico!$B91),-(Analítico!AR$3&gt;='Gastos Gerais'!$D$4:$D$3632),-(Analítico!AR$3&lt;='Gastos Gerais'!$E$4:$E$3632),-('Gastos Gerais'!$C$4:$C$3632))</f>
        <v>550</v>
      </c>
      <c r="AS91" s="134">
        <f>SUMPRODUCT(-('Gastos Gerais'!$B$4:$B$3632=Analítico!$B91),-(Analítico!AS$3&gt;='Gastos Gerais'!$D$4:$D$3632),-(Analítico!AS$3&lt;='Gastos Gerais'!$E$4:$E$3632),-('Gastos Gerais'!$C$4:$C$3632))</f>
        <v>550</v>
      </c>
      <c r="AT91" s="134">
        <f>SUMPRODUCT(-('Gastos Gerais'!$B$4:$B$3632=Analítico!$B91),-(Analítico!AT$3&gt;='Gastos Gerais'!$D$4:$D$3632),-(Analítico!AT$3&lt;='Gastos Gerais'!$E$4:$E$3632),-('Gastos Gerais'!$C$4:$C$3632))</f>
        <v>550</v>
      </c>
      <c r="AU91" s="134">
        <f>SUMPRODUCT(-('Gastos Gerais'!$B$4:$B$3632=Analítico!$B91),-(Analítico!AU$3&gt;='Gastos Gerais'!$D$4:$D$3632),-(Analítico!AU$3&lt;='Gastos Gerais'!$E$4:$E$3632),-('Gastos Gerais'!$C$4:$C$3632))</f>
        <v>550</v>
      </c>
      <c r="AV91" s="134">
        <f>SUMPRODUCT(-('Gastos Gerais'!$B$4:$B$3632=Analítico!$B91),-(Analítico!AV$3&gt;='Gastos Gerais'!$D$4:$D$3632),-(Analítico!AV$3&lt;='Gastos Gerais'!$E$4:$E$3632),-('Gastos Gerais'!$C$4:$C$3632))</f>
        <v>550</v>
      </c>
      <c r="AW91" s="134">
        <f>SUMPRODUCT(-('Gastos Gerais'!$B$4:$B$3632=Analítico!$B91),-(Analítico!AW$3&gt;='Gastos Gerais'!$D$4:$D$3632),-(Analítico!AW$3&lt;='Gastos Gerais'!$E$4:$E$3632),-('Gastos Gerais'!$C$4:$C$3632))</f>
        <v>550</v>
      </c>
      <c r="AX91" s="134">
        <f>SUMPRODUCT(-('Gastos Gerais'!$B$4:$B$3632=Analítico!$B91),-(Analítico!AX$3&gt;='Gastos Gerais'!$D$4:$D$3632),-(Analítico!AX$3&lt;='Gastos Gerais'!$E$4:$E$3632),-('Gastos Gerais'!$C$4:$C$3632))</f>
        <v>550</v>
      </c>
      <c r="AY91" s="134">
        <f>SUMPRODUCT(-('Gastos Gerais'!$B$4:$B$3632=Analítico!$B91),-(Analítico!AY$3&gt;='Gastos Gerais'!$D$4:$D$3632),-(Analítico!AY$3&lt;='Gastos Gerais'!$E$4:$E$3632),-('Gastos Gerais'!$C$4:$C$3632))</f>
        <v>550</v>
      </c>
      <c r="AZ91" s="134">
        <f>SUMPRODUCT(-('Gastos Gerais'!$B$4:$B$3632=Analítico!$B91),-(Analítico!AZ$3&gt;='Gastos Gerais'!$D$4:$D$3632),-(Analítico!AZ$3&lt;='Gastos Gerais'!$E$4:$E$3632),-('Gastos Gerais'!$C$4:$C$3632))</f>
        <v>550</v>
      </c>
      <c r="BA91" s="134">
        <f>SUMPRODUCT(-('Gastos Gerais'!$B$4:$B$3632=Analítico!$B91),-(Analítico!BA$3&gt;='Gastos Gerais'!$D$4:$D$3632),-(Analítico!BA$3&lt;='Gastos Gerais'!$E$4:$E$3632),-('Gastos Gerais'!$C$4:$C$3632))</f>
        <v>550</v>
      </c>
      <c r="BB91" s="134">
        <f>SUMPRODUCT(-('Gastos Gerais'!$B$4:$B$3632=Analítico!$B91),-(Analítico!BB$3&gt;='Gastos Gerais'!$D$4:$D$3632),-(Analítico!BB$3&lt;='Gastos Gerais'!$E$4:$E$3632),-('Gastos Gerais'!$C$4:$C$3632))</f>
        <v>550</v>
      </c>
      <c r="BC91" s="134">
        <f>SUMPRODUCT(-('Gastos Gerais'!$B$4:$B$3632=Analítico!$B91),-(Analítico!BC$3&gt;='Gastos Gerais'!$D$4:$D$3632),-(Analítico!BC$3&lt;='Gastos Gerais'!$E$4:$E$3632),-('Gastos Gerais'!$C$4:$C$3632))</f>
        <v>550</v>
      </c>
      <c r="BD91" s="134">
        <f>SUMPRODUCT(-('Gastos Gerais'!$B$4:$B$3632=Analítico!$B91),-(Analítico!BD$3&gt;='Gastos Gerais'!$D$4:$D$3632),-(Analítico!BD$3&lt;='Gastos Gerais'!$E$4:$E$3632),-('Gastos Gerais'!$C$4:$C$3632))</f>
        <v>550</v>
      </c>
      <c r="BE91" s="134">
        <f>SUMPRODUCT(-('Gastos Gerais'!$B$4:$B$3632=Analítico!$B91),-(Analítico!BE$3&gt;='Gastos Gerais'!$D$4:$D$3632),-(Analítico!BE$3&lt;='Gastos Gerais'!$E$4:$E$3632),-('Gastos Gerais'!$C$4:$C$3632))</f>
        <v>550</v>
      </c>
      <c r="BF91" s="134">
        <f>SUMPRODUCT(-('Gastos Gerais'!$B$4:$B$3632=Analítico!$B91),-(Analítico!BF$3&gt;='Gastos Gerais'!$D$4:$D$3632),-(Analítico!BF$3&lt;='Gastos Gerais'!$E$4:$E$3632),-('Gastos Gerais'!$C$4:$C$3632))</f>
        <v>550</v>
      </c>
      <c r="BG91" s="134">
        <f>SUMPRODUCT(-('Gastos Gerais'!$B$4:$B$3632=Analítico!$B91),-(Analítico!BG$3&gt;='Gastos Gerais'!$D$4:$D$3632),-(Analítico!BG$3&lt;='Gastos Gerais'!$E$4:$E$3632),-('Gastos Gerais'!$C$4:$C$3632))</f>
        <v>550</v>
      </c>
      <c r="BH91" s="134">
        <f>SUMPRODUCT(-('Gastos Gerais'!$B$4:$B$3632=Analítico!$B91),-(Analítico!BH$3&gt;='Gastos Gerais'!$D$4:$D$3632),-(Analítico!BH$3&lt;='Gastos Gerais'!$E$4:$E$3632),-('Gastos Gerais'!$C$4:$C$3632))</f>
        <v>550</v>
      </c>
      <c r="BI91" s="134">
        <f>SUMPRODUCT(-('Gastos Gerais'!$B$4:$B$3632=Analítico!$B91),-(Analítico!BI$3&gt;='Gastos Gerais'!$D$4:$D$3632),-(Analítico!BI$3&lt;='Gastos Gerais'!$E$4:$E$3632),-('Gastos Gerais'!$C$4:$C$3632))</f>
        <v>550</v>
      </c>
      <c r="BJ91" s="134">
        <f>SUMPRODUCT(-('Gastos Gerais'!$B$4:$B$3632=Analítico!$B91),-(Analítico!BJ$3&gt;='Gastos Gerais'!$D$4:$D$3632),-(Analítico!BJ$3&lt;='Gastos Gerais'!$E$4:$E$3632),-('Gastos Gerais'!$C$4:$C$3632))</f>
        <v>550</v>
      </c>
      <c r="BK91" s="189">
        <f t="shared" si="37"/>
        <v>22255</v>
      </c>
      <c r="BL91" s="136">
        <f t="shared" ca="1" si="38"/>
        <v>6.6515851169322236E-5</v>
      </c>
      <c r="BN91" s="134">
        <f>SUMPRODUCT(-('Gastos Gerais'!$B$4:$B$3632=Analítico!$B91),-(Analítico!BN$3&gt;='Gastos Gerais'!$D$4:$D$3632),-(Analítico!BN$3&lt;='Gastos Gerais'!$E$4:$E$3632),-('Gastos Gerais'!$C$4:$C$3632))</f>
        <v>350</v>
      </c>
    </row>
    <row r="92" spans="1:66" s="160" customFormat="1" ht="23.25" customHeight="1">
      <c r="A92" s="229" t="s">
        <v>261</v>
      </c>
      <c r="B92" s="232" t="s">
        <v>262</v>
      </c>
      <c r="C92" s="188">
        <f t="shared" si="36"/>
        <v>30</v>
      </c>
      <c r="D92" s="134">
        <f>SUMPRODUCT(-('Gastos Gerais'!$B$4:$B$3632=Analítico!$B92),-(Analítico!D$3&gt;='Gastos Gerais'!$D$4:$D$3632),-(Analítico!D$3&lt;='Gastos Gerais'!$E$4:$E$3632),-('Gastos Gerais'!$C$4:$C$3632))</f>
        <v>100</v>
      </c>
      <c r="E92" s="134">
        <f>SUMPRODUCT(-('Gastos Gerais'!$B$4:$B$3632=Analítico!$B92),-(Analítico!E$3&gt;='Gastos Gerais'!$D$4:$D$3632),-(Analítico!E$3&lt;='Gastos Gerais'!$E$4:$E$3632),-('Gastos Gerais'!$C$4:$C$3632))</f>
        <v>100</v>
      </c>
      <c r="F92" s="134">
        <f>SUMPRODUCT(-('Gastos Gerais'!$B$4:$B$3632=Analítico!$B92),-(Analítico!F$3&gt;='Gastos Gerais'!$D$4:$D$3632),-(Analítico!F$3&lt;='Gastos Gerais'!$E$4:$E$3632),-('Gastos Gerais'!$C$4:$C$3632))</f>
        <v>100</v>
      </c>
      <c r="G92" s="134">
        <f>SUMPRODUCT(-('Gastos Gerais'!$B$4:$B$3632=Analítico!$B92),-(Analítico!G$3&gt;='Gastos Gerais'!$D$4:$D$3632),-(Analítico!G$3&lt;='Gastos Gerais'!$E$4:$E$3632),-('Gastos Gerais'!$C$4:$C$3632))</f>
        <v>100</v>
      </c>
      <c r="H92" s="134">
        <f>SUMPRODUCT(-('Gastos Gerais'!$B$4:$B$3632=Analítico!$B92),-(Analítico!H$3&gt;='Gastos Gerais'!$D$4:$D$3632),-(Analítico!H$3&lt;='Gastos Gerais'!$E$4:$E$3632),-('Gastos Gerais'!$C$4:$C$3632))</f>
        <v>100</v>
      </c>
      <c r="I92" s="134">
        <f>SUMPRODUCT(-('Gastos Gerais'!$B$4:$B$3632=Analítico!$B92),-(Analítico!I$3&gt;='Gastos Gerais'!$D$4:$D$3632),-(Analítico!I$3&lt;='Gastos Gerais'!$E$4:$E$3632),-('Gastos Gerais'!$C$4:$C$3632))</f>
        <v>100</v>
      </c>
      <c r="J92" s="134">
        <f>SUMPRODUCT(-('Gastos Gerais'!$B$4:$B$3632=Analítico!$B92),-(Analítico!J$3&gt;='Gastos Gerais'!$D$4:$D$3632),-(Analítico!J$3&lt;='Gastos Gerais'!$E$4:$E$3632),-('Gastos Gerais'!$C$4:$C$3632))</f>
        <v>100</v>
      </c>
      <c r="K92" s="134">
        <f>SUMPRODUCT(-('Gastos Gerais'!$B$4:$B$3632=Analítico!$B92),-(Analítico!K$3&gt;='Gastos Gerais'!$D$4:$D$3632),-(Analítico!K$3&lt;='Gastos Gerais'!$E$4:$E$3632),-('Gastos Gerais'!$C$4:$C$3632))</f>
        <v>100</v>
      </c>
      <c r="L92" s="134">
        <f>SUMPRODUCT(-('Gastos Gerais'!$B$4:$B$3632=Analítico!$B92),-(Analítico!L$3&gt;='Gastos Gerais'!$D$4:$D$3632),-(Analítico!L$3&lt;='Gastos Gerais'!$E$4:$E$3632),-('Gastos Gerais'!$C$4:$C$3632))</f>
        <v>100</v>
      </c>
      <c r="M92" s="134">
        <f>SUMPRODUCT(-('Gastos Gerais'!$B$4:$B$3632=Analítico!$B92),-(Analítico!M$3&gt;='Gastos Gerais'!$D$4:$D$3632),-(Analítico!M$3&lt;='Gastos Gerais'!$E$4:$E$3632),-('Gastos Gerais'!$C$4:$C$3632))</f>
        <v>100</v>
      </c>
      <c r="N92" s="134">
        <f>SUMPRODUCT(-('Gastos Gerais'!$B$4:$B$3632=Analítico!$B92),-(Analítico!N$3&gt;='Gastos Gerais'!$D$4:$D$3632),-(Analítico!N$3&lt;='Gastos Gerais'!$E$4:$E$3632),-('Gastos Gerais'!$C$4:$C$3632))</f>
        <v>100</v>
      </c>
      <c r="O92" s="134">
        <f>SUMPRODUCT(-('Gastos Gerais'!$B$4:$B$3632=Analítico!$B92),-(Analítico!O$3&gt;='Gastos Gerais'!$D$4:$D$3632),-(Analítico!O$3&lt;='Gastos Gerais'!$E$4:$E$3632),-('Gastos Gerais'!$C$4:$C$3632))</f>
        <v>100</v>
      </c>
      <c r="P92" s="134">
        <f>SUMPRODUCT(-('Gastos Gerais'!$B$4:$B$3632=Analítico!$B92),-(Analítico!P$3&gt;='Gastos Gerais'!$D$4:$D$3632),-(Analítico!P$3&lt;='Gastos Gerais'!$E$4:$E$3632),-('Gastos Gerais'!$C$4:$C$3632))</f>
        <v>100</v>
      </c>
      <c r="Q92" s="134">
        <f>SUMPRODUCT(-('Gastos Gerais'!$B$4:$B$3632=Analítico!$B92),-(Analítico!Q$3&gt;='Gastos Gerais'!$D$4:$D$3632),-(Analítico!Q$3&lt;='Gastos Gerais'!$E$4:$E$3632),-('Gastos Gerais'!$C$4:$C$3632))</f>
        <v>100</v>
      </c>
      <c r="R92" s="134">
        <f>SUMPRODUCT(-('Gastos Gerais'!$B$4:$B$3632=Analítico!$B92),-(Analítico!R$3&gt;='Gastos Gerais'!$D$4:$D$3632),-(Analítico!R$3&lt;='Gastos Gerais'!$E$4:$E$3632),-('Gastos Gerais'!$C$4:$C$3632))</f>
        <v>100</v>
      </c>
      <c r="S92" s="134">
        <f>SUMPRODUCT(-('Gastos Gerais'!$B$4:$B$3632=Analítico!$B92),-(Analítico!S$3&gt;='Gastos Gerais'!$D$4:$D$3632),-(Analítico!S$3&lt;='Gastos Gerais'!$E$4:$E$3632),-('Gastos Gerais'!$C$4:$C$3632))</f>
        <v>100</v>
      </c>
      <c r="T92" s="134">
        <f>SUMPRODUCT(-('Gastos Gerais'!$B$4:$B$3632=Analítico!$B92),-(Analítico!T$3&gt;='Gastos Gerais'!$D$4:$D$3632),-(Analítico!T$3&lt;='Gastos Gerais'!$E$4:$E$3632),-('Gastos Gerais'!$C$4:$C$3632))</f>
        <v>100</v>
      </c>
      <c r="U92" s="134">
        <f>SUMPRODUCT(-('Gastos Gerais'!$B$4:$B$3632=Analítico!$B92),-(Analítico!U$3&gt;='Gastos Gerais'!$D$4:$D$3632),-(Analítico!U$3&lt;='Gastos Gerais'!$E$4:$E$3632),-('Gastos Gerais'!$C$4:$C$3632))</f>
        <v>100</v>
      </c>
      <c r="V92" s="134">
        <f>SUMPRODUCT(-('Gastos Gerais'!$B$4:$B$3632=Analítico!$B92),-(Analítico!V$3&gt;='Gastos Gerais'!$D$4:$D$3632),-(Analítico!V$3&lt;='Gastos Gerais'!$E$4:$E$3632),-('Gastos Gerais'!$C$4:$C$3632))</f>
        <v>100</v>
      </c>
      <c r="W92" s="134">
        <f>SUMPRODUCT(-('Gastos Gerais'!$B$4:$B$3632=Analítico!$B92),-(Analítico!W$3&gt;='Gastos Gerais'!$D$4:$D$3632),-(Analítico!W$3&lt;='Gastos Gerais'!$E$4:$E$3632),-('Gastos Gerais'!$C$4:$C$3632))</f>
        <v>100</v>
      </c>
      <c r="X92" s="134">
        <f>SUMPRODUCT(-('Gastos Gerais'!$B$4:$B$3632=Analítico!$B92),-(Analítico!X$3&gt;='Gastos Gerais'!$D$4:$D$3632),-(Analítico!X$3&lt;='Gastos Gerais'!$E$4:$E$3632),-('Gastos Gerais'!$C$4:$C$3632))</f>
        <v>100</v>
      </c>
      <c r="Y92" s="134">
        <f>SUMPRODUCT(-('Gastos Gerais'!$B$4:$B$3632=Analítico!$B92),-(Analítico!Y$3&gt;='Gastos Gerais'!$D$4:$D$3632),-(Analítico!Y$3&lt;='Gastos Gerais'!$E$4:$E$3632),-('Gastos Gerais'!$C$4:$C$3632))</f>
        <v>100</v>
      </c>
      <c r="Z92" s="134">
        <f>SUMPRODUCT(-('Gastos Gerais'!$B$4:$B$3632=Analítico!$B92),-(Analítico!Z$3&gt;='Gastos Gerais'!$D$4:$D$3632),-(Analítico!Z$3&lt;='Gastos Gerais'!$E$4:$E$3632),-('Gastos Gerais'!$C$4:$C$3632))</f>
        <v>100</v>
      </c>
      <c r="AA92" s="134">
        <f>SUMPRODUCT(-('Gastos Gerais'!$B$4:$B$3632=Analítico!$B92),-(Analítico!AA$3&gt;='Gastos Gerais'!$D$4:$D$3632),-(Analítico!AA$3&lt;='Gastos Gerais'!$E$4:$E$3632),-('Gastos Gerais'!$C$4:$C$3632))</f>
        <v>100</v>
      </c>
      <c r="AB92" s="134">
        <f>SUMPRODUCT(-('Gastos Gerais'!$B$4:$B$3632=Analítico!$B92),-(Analítico!AB$3&gt;='Gastos Gerais'!$D$4:$D$3632),-(Analítico!AB$3&lt;='Gastos Gerais'!$E$4:$E$3632),-('Gastos Gerais'!$C$4:$C$3632))</f>
        <v>100</v>
      </c>
      <c r="AC92" s="134">
        <f>SUMPRODUCT(-('Gastos Gerais'!$B$4:$B$3632=Analítico!$B92),-(Analítico!AC$3&gt;='Gastos Gerais'!$D$4:$D$3632),-(Analítico!AC$3&lt;='Gastos Gerais'!$E$4:$E$3632),-('Gastos Gerais'!$C$4:$C$3632))</f>
        <v>100</v>
      </c>
      <c r="AD92" s="134">
        <f>SUMPRODUCT(-('Gastos Gerais'!$B$4:$B$3632=Analítico!$B92),-(Analítico!AD$3&gt;='Gastos Gerais'!$D$4:$D$3632),-(Analítico!AD$3&lt;='Gastos Gerais'!$E$4:$E$3632),-('Gastos Gerais'!$C$4:$C$3632))</f>
        <v>100</v>
      </c>
      <c r="AE92" s="134">
        <f>SUMPRODUCT(-('Gastos Gerais'!$B$4:$B$3632=Analítico!$B92),-(Analítico!AE$3&gt;='Gastos Gerais'!$D$4:$D$3632),-(Analítico!AE$3&lt;='Gastos Gerais'!$E$4:$E$3632),-('Gastos Gerais'!$C$4:$C$3632))</f>
        <v>100</v>
      </c>
      <c r="AF92" s="134">
        <f>SUMPRODUCT(-('Gastos Gerais'!$B$4:$B$3632=Analítico!$B92),-(Analítico!AF$3&gt;='Gastos Gerais'!$D$4:$D$3632),-(Analítico!AF$3&lt;='Gastos Gerais'!$E$4:$E$3632),-('Gastos Gerais'!$C$4:$C$3632))</f>
        <v>100</v>
      </c>
      <c r="AG92" s="134">
        <f>SUMPRODUCT(-('Gastos Gerais'!$B$4:$B$3632=Analítico!$B92),-(Analítico!AG$3&gt;='Gastos Gerais'!$D$4:$D$3632),-(Analítico!AG$3&lt;='Gastos Gerais'!$E$4:$E$3632),-('Gastos Gerais'!$C$4:$C$3632))</f>
        <v>100</v>
      </c>
      <c r="AH92" s="134">
        <f>SUMPRODUCT(-('Gastos Gerais'!$B$4:$B$3632=Analítico!$B92),-(Analítico!AH$3&gt;='Gastos Gerais'!$D$4:$D$3632),-(Analítico!AH$3&lt;='Gastos Gerais'!$E$4:$E$3632),-('Gastos Gerais'!$C$4:$C$3632))</f>
        <v>100</v>
      </c>
      <c r="AI92" s="134">
        <f>SUMPRODUCT(-('Gastos Gerais'!$B$4:$B$3632=Analítico!$B92),-(Analítico!AI$3&gt;='Gastos Gerais'!$D$4:$D$3632),-(Analítico!AI$3&lt;='Gastos Gerais'!$E$4:$E$3632),-('Gastos Gerais'!$C$4:$C$3632))</f>
        <v>100</v>
      </c>
      <c r="AJ92" s="134">
        <f>SUMPRODUCT(-('Gastos Gerais'!$B$4:$B$3632=Analítico!$B92),-(Analítico!AJ$3&gt;='Gastos Gerais'!$D$4:$D$3632),-(Analítico!AJ$3&lt;='Gastos Gerais'!$E$4:$E$3632),-('Gastos Gerais'!$C$4:$C$3632))</f>
        <v>100</v>
      </c>
      <c r="AK92" s="134">
        <f>SUMPRODUCT(-('Gastos Gerais'!$B$4:$B$3632=Analítico!$B92),-(Analítico!AK$3&gt;='Gastos Gerais'!$D$4:$D$3632),-(Analítico!AK$3&lt;='Gastos Gerais'!$E$4:$E$3632),-('Gastos Gerais'!$C$4:$C$3632))</f>
        <v>100</v>
      </c>
      <c r="AL92" s="134">
        <f>SUMPRODUCT(-('Gastos Gerais'!$B$4:$B$3632=Analítico!$B92),-(Analítico!AL$3&gt;='Gastos Gerais'!$D$4:$D$3632),-(Analítico!AL$3&lt;='Gastos Gerais'!$E$4:$E$3632),-('Gastos Gerais'!$C$4:$C$3632))</f>
        <v>100</v>
      </c>
      <c r="AM92" s="134">
        <f>SUMPRODUCT(-('Gastos Gerais'!$B$4:$B$3632=Analítico!$B92),-(Analítico!AM$3&gt;='Gastos Gerais'!$D$4:$D$3632),-(Analítico!AM$3&lt;='Gastos Gerais'!$E$4:$E$3632),-('Gastos Gerais'!$C$4:$C$3632))</f>
        <v>100</v>
      </c>
      <c r="AN92" s="134">
        <f>SUMPRODUCT(-('Gastos Gerais'!$B$4:$B$3632=Analítico!$B92),-(Analítico!AN$3&gt;='Gastos Gerais'!$D$4:$D$3632),-(Analítico!AN$3&lt;='Gastos Gerais'!$E$4:$E$3632),-('Gastos Gerais'!$C$4:$C$3632))</f>
        <v>100</v>
      </c>
      <c r="AO92" s="134">
        <f>SUMPRODUCT(-('Gastos Gerais'!$B$4:$B$3632=Analítico!$B92),-(Analítico!AO$3&gt;='Gastos Gerais'!$D$4:$D$3632),-(Analítico!AO$3&lt;='Gastos Gerais'!$E$4:$E$3632),-('Gastos Gerais'!$C$4:$C$3632))</f>
        <v>100</v>
      </c>
      <c r="AP92" s="134">
        <f>SUMPRODUCT(-('Gastos Gerais'!$B$4:$B$3632=Analítico!$B92),-(Analítico!AP$3&gt;='Gastos Gerais'!$D$4:$D$3632),-(Analítico!AP$3&lt;='Gastos Gerais'!$E$4:$E$3632),-('Gastos Gerais'!$C$4:$C$3632))</f>
        <v>100</v>
      </c>
      <c r="AQ92" s="134">
        <f>SUMPRODUCT(-('Gastos Gerais'!$B$4:$B$3632=Analítico!$B92),-(Analítico!AQ$3&gt;='Gastos Gerais'!$D$4:$D$3632),-(Analítico!AQ$3&lt;='Gastos Gerais'!$E$4:$E$3632),-('Gastos Gerais'!$C$4:$C$3632))</f>
        <v>100</v>
      </c>
      <c r="AR92" s="134">
        <f>SUMPRODUCT(-('Gastos Gerais'!$B$4:$B$3632=Analítico!$B92),-(Analítico!AR$3&gt;='Gastos Gerais'!$D$4:$D$3632),-(Analítico!AR$3&lt;='Gastos Gerais'!$E$4:$E$3632),-('Gastos Gerais'!$C$4:$C$3632))</f>
        <v>100</v>
      </c>
      <c r="AS92" s="134">
        <f>SUMPRODUCT(-('Gastos Gerais'!$B$4:$B$3632=Analítico!$B92),-(Analítico!AS$3&gt;='Gastos Gerais'!$D$4:$D$3632),-(Analítico!AS$3&lt;='Gastos Gerais'!$E$4:$E$3632),-('Gastos Gerais'!$C$4:$C$3632))</f>
        <v>100</v>
      </c>
      <c r="AT92" s="134">
        <f>SUMPRODUCT(-('Gastos Gerais'!$B$4:$B$3632=Analítico!$B92),-(Analítico!AT$3&gt;='Gastos Gerais'!$D$4:$D$3632),-(Analítico!AT$3&lt;='Gastos Gerais'!$E$4:$E$3632),-('Gastos Gerais'!$C$4:$C$3632))</f>
        <v>100</v>
      </c>
      <c r="AU92" s="134">
        <f>SUMPRODUCT(-('Gastos Gerais'!$B$4:$B$3632=Analítico!$B92),-(Analítico!AU$3&gt;='Gastos Gerais'!$D$4:$D$3632),-(Analítico!AU$3&lt;='Gastos Gerais'!$E$4:$E$3632),-('Gastos Gerais'!$C$4:$C$3632))</f>
        <v>100</v>
      </c>
      <c r="AV92" s="134">
        <f>SUMPRODUCT(-('Gastos Gerais'!$B$4:$B$3632=Analítico!$B92),-(Analítico!AV$3&gt;='Gastos Gerais'!$D$4:$D$3632),-(Analítico!AV$3&lt;='Gastos Gerais'!$E$4:$E$3632),-('Gastos Gerais'!$C$4:$C$3632))</f>
        <v>100</v>
      </c>
      <c r="AW92" s="134">
        <f>SUMPRODUCT(-('Gastos Gerais'!$B$4:$B$3632=Analítico!$B92),-(Analítico!AW$3&gt;='Gastos Gerais'!$D$4:$D$3632),-(Analítico!AW$3&lt;='Gastos Gerais'!$E$4:$E$3632),-('Gastos Gerais'!$C$4:$C$3632))</f>
        <v>100</v>
      </c>
      <c r="AX92" s="134">
        <f>SUMPRODUCT(-('Gastos Gerais'!$B$4:$B$3632=Analítico!$B92),-(Analítico!AX$3&gt;='Gastos Gerais'!$D$4:$D$3632),-(Analítico!AX$3&lt;='Gastos Gerais'!$E$4:$E$3632),-('Gastos Gerais'!$C$4:$C$3632))</f>
        <v>100</v>
      </c>
      <c r="AY92" s="134">
        <f>SUMPRODUCT(-('Gastos Gerais'!$B$4:$B$3632=Analítico!$B92),-(Analítico!AY$3&gt;='Gastos Gerais'!$D$4:$D$3632),-(Analítico!AY$3&lt;='Gastos Gerais'!$E$4:$E$3632),-('Gastos Gerais'!$C$4:$C$3632))</f>
        <v>100</v>
      </c>
      <c r="AZ92" s="134">
        <f>SUMPRODUCT(-('Gastos Gerais'!$B$4:$B$3632=Analítico!$B92),-(Analítico!AZ$3&gt;='Gastos Gerais'!$D$4:$D$3632),-(Analítico!AZ$3&lt;='Gastos Gerais'!$E$4:$E$3632),-('Gastos Gerais'!$C$4:$C$3632))</f>
        <v>100</v>
      </c>
      <c r="BA92" s="134">
        <f>SUMPRODUCT(-('Gastos Gerais'!$B$4:$B$3632=Analítico!$B92),-(Analítico!BA$3&gt;='Gastos Gerais'!$D$4:$D$3632),-(Analítico!BA$3&lt;='Gastos Gerais'!$E$4:$E$3632),-('Gastos Gerais'!$C$4:$C$3632))</f>
        <v>100</v>
      </c>
      <c r="BB92" s="134">
        <f>SUMPRODUCT(-('Gastos Gerais'!$B$4:$B$3632=Analítico!$B92),-(Analítico!BB$3&gt;='Gastos Gerais'!$D$4:$D$3632),-(Analítico!BB$3&lt;='Gastos Gerais'!$E$4:$E$3632),-('Gastos Gerais'!$C$4:$C$3632))</f>
        <v>100</v>
      </c>
      <c r="BC92" s="134">
        <f>SUMPRODUCT(-('Gastos Gerais'!$B$4:$B$3632=Analítico!$B92),-(Analítico!BC$3&gt;='Gastos Gerais'!$D$4:$D$3632),-(Analítico!BC$3&lt;='Gastos Gerais'!$E$4:$E$3632),-('Gastos Gerais'!$C$4:$C$3632))</f>
        <v>100</v>
      </c>
      <c r="BD92" s="134">
        <f>SUMPRODUCT(-('Gastos Gerais'!$B$4:$B$3632=Analítico!$B92),-(Analítico!BD$3&gt;='Gastos Gerais'!$D$4:$D$3632),-(Analítico!BD$3&lt;='Gastos Gerais'!$E$4:$E$3632),-('Gastos Gerais'!$C$4:$C$3632))</f>
        <v>100</v>
      </c>
      <c r="BE92" s="134">
        <f>SUMPRODUCT(-('Gastos Gerais'!$B$4:$B$3632=Analítico!$B92),-(Analítico!BE$3&gt;='Gastos Gerais'!$D$4:$D$3632),-(Analítico!BE$3&lt;='Gastos Gerais'!$E$4:$E$3632),-('Gastos Gerais'!$C$4:$C$3632))</f>
        <v>100</v>
      </c>
      <c r="BF92" s="134">
        <f>SUMPRODUCT(-('Gastos Gerais'!$B$4:$B$3632=Analítico!$B92),-(Analítico!BF$3&gt;='Gastos Gerais'!$D$4:$D$3632),-(Analítico!BF$3&lt;='Gastos Gerais'!$E$4:$E$3632),-('Gastos Gerais'!$C$4:$C$3632))</f>
        <v>100</v>
      </c>
      <c r="BG92" s="134">
        <f>SUMPRODUCT(-('Gastos Gerais'!$B$4:$B$3632=Analítico!$B92),-(Analítico!BG$3&gt;='Gastos Gerais'!$D$4:$D$3632),-(Analítico!BG$3&lt;='Gastos Gerais'!$E$4:$E$3632),-('Gastos Gerais'!$C$4:$C$3632))</f>
        <v>100</v>
      </c>
      <c r="BH92" s="134">
        <f>SUMPRODUCT(-('Gastos Gerais'!$B$4:$B$3632=Analítico!$B92),-(Analítico!BH$3&gt;='Gastos Gerais'!$D$4:$D$3632),-(Analítico!BH$3&lt;='Gastos Gerais'!$E$4:$E$3632),-('Gastos Gerais'!$C$4:$C$3632))</f>
        <v>100</v>
      </c>
      <c r="BI92" s="134">
        <f>SUMPRODUCT(-('Gastos Gerais'!$B$4:$B$3632=Analítico!$B92),-(Analítico!BI$3&gt;='Gastos Gerais'!$D$4:$D$3632),-(Analítico!BI$3&lt;='Gastos Gerais'!$E$4:$E$3632),-('Gastos Gerais'!$C$4:$C$3632))</f>
        <v>100</v>
      </c>
      <c r="BJ92" s="134">
        <f>SUMPRODUCT(-('Gastos Gerais'!$B$4:$B$3632=Analítico!$B92),-(Analítico!BJ$3&gt;='Gastos Gerais'!$D$4:$D$3632),-(Analítico!BJ$3&lt;='Gastos Gerais'!$E$4:$E$3632),-('Gastos Gerais'!$C$4:$C$3632))</f>
        <v>100</v>
      </c>
      <c r="BK92" s="189">
        <f t="shared" ref="BK92:BK120" si="39">SUM(C92:BJ92)</f>
        <v>5930</v>
      </c>
      <c r="BL92" s="136">
        <f t="shared" ref="BL92:BL123" ca="1" si="40">IF($BK$152=0,0,BK92/$BK$152)</f>
        <v>1.7723612556013518E-5</v>
      </c>
      <c r="BN92" s="134">
        <f>SUMPRODUCT(-('Gastos Gerais'!$B$4:$B$3632=Analítico!$B92),-(Analítico!BN$3&gt;='Gastos Gerais'!$D$4:$D$3632),-(Analítico!BN$3&lt;='Gastos Gerais'!$E$4:$E$3632),-('Gastos Gerais'!$C$4:$C$3632))</f>
        <v>100</v>
      </c>
    </row>
    <row r="93" spans="1:66" s="160" customFormat="1" ht="23.25" customHeight="1">
      <c r="A93" s="229" t="s">
        <v>263</v>
      </c>
      <c r="B93" s="232" t="s">
        <v>264</v>
      </c>
      <c r="C93" s="188">
        <f t="shared" si="36"/>
        <v>0</v>
      </c>
      <c r="D93" s="134">
        <f>SUMPRODUCT(-('Gastos Gerais'!$B$4:$B$3632=Analítico!$B93),-(Analítico!D$3&gt;='Gastos Gerais'!$D$4:$D$3632),-(Analítico!D$3&lt;='Gastos Gerais'!$E$4:$E$3632),-('Gastos Gerais'!$C$4:$C$3632))</f>
        <v>0</v>
      </c>
      <c r="E93" s="134">
        <f>SUMPRODUCT(-('Gastos Gerais'!$B$4:$B$3632=Analítico!$B93),-(Analítico!E$3&gt;='Gastos Gerais'!$D$4:$D$3632),-(Analítico!E$3&lt;='Gastos Gerais'!$E$4:$E$3632),-('Gastos Gerais'!$C$4:$C$3632))</f>
        <v>0</v>
      </c>
      <c r="F93" s="134">
        <f>SUMPRODUCT(-('Gastos Gerais'!$B$4:$B$3632=Analítico!$B93),-(Analítico!F$3&gt;='Gastos Gerais'!$D$4:$D$3632),-(Analítico!F$3&lt;='Gastos Gerais'!$E$4:$E$3632),-('Gastos Gerais'!$C$4:$C$3632))</f>
        <v>0</v>
      </c>
      <c r="G93" s="134">
        <f>SUMPRODUCT(-('Gastos Gerais'!$B$4:$B$3632=Analítico!$B93),-(Analítico!G$3&gt;='Gastos Gerais'!$D$4:$D$3632),-(Analítico!G$3&lt;='Gastos Gerais'!$E$4:$E$3632),-('Gastos Gerais'!$C$4:$C$3632))</f>
        <v>0</v>
      </c>
      <c r="H93" s="134">
        <f>SUMPRODUCT(-('Gastos Gerais'!$B$4:$B$3632=Analítico!$B93),-(Analítico!H$3&gt;='Gastos Gerais'!$D$4:$D$3632),-(Analítico!H$3&lt;='Gastos Gerais'!$E$4:$E$3632),-('Gastos Gerais'!$C$4:$C$3632))</f>
        <v>0</v>
      </c>
      <c r="I93" s="134">
        <f>SUMPRODUCT(-('Gastos Gerais'!$B$4:$B$3632=Analítico!$B93),-(Analítico!I$3&gt;='Gastos Gerais'!$D$4:$D$3632),-(Analítico!I$3&lt;='Gastos Gerais'!$E$4:$E$3632),-('Gastos Gerais'!$C$4:$C$3632))</f>
        <v>0</v>
      </c>
      <c r="J93" s="134">
        <f>SUMPRODUCT(-('Gastos Gerais'!$B$4:$B$3632=Analítico!$B93),-(Analítico!J$3&gt;='Gastos Gerais'!$D$4:$D$3632),-(Analítico!J$3&lt;='Gastos Gerais'!$E$4:$E$3632),-('Gastos Gerais'!$C$4:$C$3632))</f>
        <v>0</v>
      </c>
      <c r="K93" s="134">
        <f>SUMPRODUCT(-('Gastos Gerais'!$B$4:$B$3632=Analítico!$B93),-(Analítico!K$3&gt;='Gastos Gerais'!$D$4:$D$3632),-(Analítico!K$3&lt;='Gastos Gerais'!$E$4:$E$3632),-('Gastos Gerais'!$C$4:$C$3632))</f>
        <v>0</v>
      </c>
      <c r="L93" s="134">
        <f>SUMPRODUCT(-('Gastos Gerais'!$B$4:$B$3632=Analítico!$B93),-(Analítico!L$3&gt;='Gastos Gerais'!$D$4:$D$3632),-(Analítico!L$3&lt;='Gastos Gerais'!$E$4:$E$3632),-('Gastos Gerais'!$C$4:$C$3632))</f>
        <v>0</v>
      </c>
      <c r="M93" s="134">
        <f>SUMPRODUCT(-('Gastos Gerais'!$B$4:$B$3632=Analítico!$B93),-(Analítico!M$3&gt;='Gastos Gerais'!$D$4:$D$3632),-(Analítico!M$3&lt;='Gastos Gerais'!$E$4:$E$3632),-('Gastos Gerais'!$C$4:$C$3632))</f>
        <v>0</v>
      </c>
      <c r="N93" s="134">
        <f>SUMPRODUCT(-('Gastos Gerais'!$B$4:$B$3632=Analítico!$B93),-(Analítico!N$3&gt;='Gastos Gerais'!$D$4:$D$3632),-(Analítico!N$3&lt;='Gastos Gerais'!$E$4:$E$3632),-('Gastos Gerais'!$C$4:$C$3632))</f>
        <v>0</v>
      </c>
      <c r="O93" s="134">
        <f>SUMPRODUCT(-('Gastos Gerais'!$B$4:$B$3632=Analítico!$B93),-(Analítico!O$3&gt;='Gastos Gerais'!$D$4:$D$3632),-(Analítico!O$3&lt;='Gastos Gerais'!$E$4:$E$3632),-('Gastos Gerais'!$C$4:$C$3632))</f>
        <v>0</v>
      </c>
      <c r="P93" s="134">
        <f>SUMPRODUCT(-('Gastos Gerais'!$B$4:$B$3632=Analítico!$B93),-(Analítico!P$3&gt;='Gastos Gerais'!$D$4:$D$3632),-(Analítico!P$3&lt;='Gastos Gerais'!$E$4:$E$3632),-('Gastos Gerais'!$C$4:$C$3632))</f>
        <v>0</v>
      </c>
      <c r="Q93" s="134">
        <f>SUMPRODUCT(-('Gastos Gerais'!$B$4:$B$3632=Analítico!$B93),-(Analítico!Q$3&gt;='Gastos Gerais'!$D$4:$D$3632),-(Analítico!Q$3&lt;='Gastos Gerais'!$E$4:$E$3632),-('Gastos Gerais'!$C$4:$C$3632))</f>
        <v>0</v>
      </c>
      <c r="R93" s="134">
        <f>SUMPRODUCT(-('Gastos Gerais'!$B$4:$B$3632=Analítico!$B93),-(Analítico!R$3&gt;='Gastos Gerais'!$D$4:$D$3632),-(Analítico!R$3&lt;='Gastos Gerais'!$E$4:$E$3632),-('Gastos Gerais'!$C$4:$C$3632))</f>
        <v>0</v>
      </c>
      <c r="S93" s="134">
        <f>SUMPRODUCT(-('Gastos Gerais'!$B$4:$B$3632=Analítico!$B93),-(Analítico!S$3&gt;='Gastos Gerais'!$D$4:$D$3632),-(Analítico!S$3&lt;='Gastos Gerais'!$E$4:$E$3632),-('Gastos Gerais'!$C$4:$C$3632))</f>
        <v>0</v>
      </c>
      <c r="T93" s="134">
        <f>SUMPRODUCT(-('Gastos Gerais'!$B$4:$B$3632=Analítico!$B93),-(Analítico!T$3&gt;='Gastos Gerais'!$D$4:$D$3632),-(Analítico!T$3&lt;='Gastos Gerais'!$E$4:$E$3632),-('Gastos Gerais'!$C$4:$C$3632))</f>
        <v>0</v>
      </c>
      <c r="U93" s="134">
        <f>SUMPRODUCT(-('Gastos Gerais'!$B$4:$B$3632=Analítico!$B93),-(Analítico!U$3&gt;='Gastos Gerais'!$D$4:$D$3632),-(Analítico!U$3&lt;='Gastos Gerais'!$E$4:$E$3632),-('Gastos Gerais'!$C$4:$C$3632))</f>
        <v>0</v>
      </c>
      <c r="V93" s="134">
        <f>SUMPRODUCT(-('Gastos Gerais'!$B$4:$B$3632=Analítico!$B93),-(Analítico!V$3&gt;='Gastos Gerais'!$D$4:$D$3632),-(Analítico!V$3&lt;='Gastos Gerais'!$E$4:$E$3632),-('Gastos Gerais'!$C$4:$C$3632))</f>
        <v>0</v>
      </c>
      <c r="W93" s="134">
        <f>SUMPRODUCT(-('Gastos Gerais'!$B$4:$B$3632=Analítico!$B93),-(Analítico!W$3&gt;='Gastos Gerais'!$D$4:$D$3632),-(Analítico!W$3&lt;='Gastos Gerais'!$E$4:$E$3632),-('Gastos Gerais'!$C$4:$C$3632))</f>
        <v>0</v>
      </c>
      <c r="X93" s="134">
        <f>SUMPRODUCT(-('Gastos Gerais'!$B$4:$B$3632=Analítico!$B93),-(Analítico!X$3&gt;='Gastos Gerais'!$D$4:$D$3632),-(Analítico!X$3&lt;='Gastos Gerais'!$E$4:$E$3632),-('Gastos Gerais'!$C$4:$C$3632))</f>
        <v>0</v>
      </c>
      <c r="Y93" s="134">
        <f>SUMPRODUCT(-('Gastos Gerais'!$B$4:$B$3632=Analítico!$B93),-(Analítico!Y$3&gt;='Gastos Gerais'!$D$4:$D$3632),-(Analítico!Y$3&lt;='Gastos Gerais'!$E$4:$E$3632),-('Gastos Gerais'!$C$4:$C$3632))</f>
        <v>0</v>
      </c>
      <c r="Z93" s="134">
        <f>SUMPRODUCT(-('Gastos Gerais'!$B$4:$B$3632=Analítico!$B93),-(Analítico!Z$3&gt;='Gastos Gerais'!$D$4:$D$3632),-(Analítico!Z$3&lt;='Gastos Gerais'!$E$4:$E$3632),-('Gastos Gerais'!$C$4:$C$3632))</f>
        <v>0</v>
      </c>
      <c r="AA93" s="134">
        <f>SUMPRODUCT(-('Gastos Gerais'!$B$4:$B$3632=Analítico!$B93),-(Analítico!AA$3&gt;='Gastos Gerais'!$D$4:$D$3632),-(Analítico!AA$3&lt;='Gastos Gerais'!$E$4:$E$3632),-('Gastos Gerais'!$C$4:$C$3632))</f>
        <v>0</v>
      </c>
      <c r="AB93" s="134">
        <f>SUMPRODUCT(-('Gastos Gerais'!$B$4:$B$3632=Analítico!$B93),-(Analítico!AB$3&gt;='Gastos Gerais'!$D$4:$D$3632),-(Analítico!AB$3&lt;='Gastos Gerais'!$E$4:$E$3632),-('Gastos Gerais'!$C$4:$C$3632))</f>
        <v>0</v>
      </c>
      <c r="AC93" s="134">
        <f>SUMPRODUCT(-('Gastos Gerais'!$B$4:$B$3632=Analítico!$B93),-(Analítico!AC$3&gt;='Gastos Gerais'!$D$4:$D$3632),-(Analítico!AC$3&lt;='Gastos Gerais'!$E$4:$E$3632),-('Gastos Gerais'!$C$4:$C$3632))</f>
        <v>0</v>
      </c>
      <c r="AD93" s="134">
        <f>SUMPRODUCT(-('Gastos Gerais'!$B$4:$B$3632=Analítico!$B93),-(Analítico!AD$3&gt;='Gastos Gerais'!$D$4:$D$3632),-(Analítico!AD$3&lt;='Gastos Gerais'!$E$4:$E$3632),-('Gastos Gerais'!$C$4:$C$3632))</f>
        <v>0</v>
      </c>
      <c r="AE93" s="134">
        <f>SUMPRODUCT(-('Gastos Gerais'!$B$4:$B$3632=Analítico!$B93),-(Analítico!AE$3&gt;='Gastos Gerais'!$D$4:$D$3632),-(Analítico!AE$3&lt;='Gastos Gerais'!$E$4:$E$3632),-('Gastos Gerais'!$C$4:$C$3632))</f>
        <v>0</v>
      </c>
      <c r="AF93" s="134">
        <f>SUMPRODUCT(-('Gastos Gerais'!$B$4:$B$3632=Analítico!$B93),-(Analítico!AF$3&gt;='Gastos Gerais'!$D$4:$D$3632),-(Analítico!AF$3&lt;='Gastos Gerais'!$E$4:$E$3632),-('Gastos Gerais'!$C$4:$C$3632))</f>
        <v>0</v>
      </c>
      <c r="AG93" s="134">
        <f>SUMPRODUCT(-('Gastos Gerais'!$B$4:$B$3632=Analítico!$B93),-(Analítico!AG$3&gt;='Gastos Gerais'!$D$4:$D$3632),-(Analítico!AG$3&lt;='Gastos Gerais'!$E$4:$E$3632),-('Gastos Gerais'!$C$4:$C$3632))</f>
        <v>0</v>
      </c>
      <c r="AH93" s="134">
        <f>SUMPRODUCT(-('Gastos Gerais'!$B$4:$B$3632=Analítico!$B93),-(Analítico!AH$3&gt;='Gastos Gerais'!$D$4:$D$3632),-(Analítico!AH$3&lt;='Gastos Gerais'!$E$4:$E$3632),-('Gastos Gerais'!$C$4:$C$3632))</f>
        <v>0</v>
      </c>
      <c r="AI93" s="134">
        <f>SUMPRODUCT(-('Gastos Gerais'!$B$4:$B$3632=Analítico!$B93),-(Analítico!AI$3&gt;='Gastos Gerais'!$D$4:$D$3632),-(Analítico!AI$3&lt;='Gastos Gerais'!$E$4:$E$3632),-('Gastos Gerais'!$C$4:$C$3632))</f>
        <v>0</v>
      </c>
      <c r="AJ93" s="134">
        <f>SUMPRODUCT(-('Gastos Gerais'!$B$4:$B$3632=Analítico!$B93),-(Analítico!AJ$3&gt;='Gastos Gerais'!$D$4:$D$3632),-(Analítico!AJ$3&lt;='Gastos Gerais'!$E$4:$E$3632),-('Gastos Gerais'!$C$4:$C$3632))</f>
        <v>0</v>
      </c>
      <c r="AK93" s="134">
        <f>SUMPRODUCT(-('Gastos Gerais'!$B$4:$B$3632=Analítico!$B93),-(Analítico!AK$3&gt;='Gastos Gerais'!$D$4:$D$3632),-(Analítico!AK$3&lt;='Gastos Gerais'!$E$4:$E$3632),-('Gastos Gerais'!$C$4:$C$3632))</f>
        <v>0</v>
      </c>
      <c r="AL93" s="134">
        <f>SUMPRODUCT(-('Gastos Gerais'!$B$4:$B$3632=Analítico!$B93),-(Analítico!AL$3&gt;='Gastos Gerais'!$D$4:$D$3632),-(Analítico!AL$3&lt;='Gastos Gerais'!$E$4:$E$3632),-('Gastos Gerais'!$C$4:$C$3632))</f>
        <v>0</v>
      </c>
      <c r="AM93" s="134">
        <f>SUMPRODUCT(-('Gastos Gerais'!$B$4:$B$3632=Analítico!$B93),-(Analítico!AM$3&gt;='Gastos Gerais'!$D$4:$D$3632),-(Analítico!AM$3&lt;='Gastos Gerais'!$E$4:$E$3632),-('Gastos Gerais'!$C$4:$C$3632))</f>
        <v>0</v>
      </c>
      <c r="AN93" s="134">
        <f>SUMPRODUCT(-('Gastos Gerais'!$B$4:$B$3632=Analítico!$B93),-(Analítico!AN$3&gt;='Gastos Gerais'!$D$4:$D$3632),-(Analítico!AN$3&lt;='Gastos Gerais'!$E$4:$E$3632),-('Gastos Gerais'!$C$4:$C$3632))</f>
        <v>0</v>
      </c>
      <c r="AO93" s="134">
        <f>SUMPRODUCT(-('Gastos Gerais'!$B$4:$B$3632=Analítico!$B93),-(Analítico!AO$3&gt;='Gastos Gerais'!$D$4:$D$3632),-(Analítico!AO$3&lt;='Gastos Gerais'!$E$4:$E$3632),-('Gastos Gerais'!$C$4:$C$3632))</f>
        <v>0</v>
      </c>
      <c r="AP93" s="134">
        <f>SUMPRODUCT(-('Gastos Gerais'!$B$4:$B$3632=Analítico!$B93),-(Analítico!AP$3&gt;='Gastos Gerais'!$D$4:$D$3632),-(Analítico!AP$3&lt;='Gastos Gerais'!$E$4:$E$3632),-('Gastos Gerais'!$C$4:$C$3632))</f>
        <v>0</v>
      </c>
      <c r="AQ93" s="134">
        <f>SUMPRODUCT(-('Gastos Gerais'!$B$4:$B$3632=Analítico!$B93),-(Analítico!AQ$3&gt;='Gastos Gerais'!$D$4:$D$3632),-(Analítico!AQ$3&lt;='Gastos Gerais'!$E$4:$E$3632),-('Gastos Gerais'!$C$4:$C$3632))</f>
        <v>0</v>
      </c>
      <c r="AR93" s="134">
        <f>SUMPRODUCT(-('Gastos Gerais'!$B$4:$B$3632=Analítico!$B93),-(Analítico!AR$3&gt;='Gastos Gerais'!$D$4:$D$3632),-(Analítico!AR$3&lt;='Gastos Gerais'!$E$4:$E$3632),-('Gastos Gerais'!$C$4:$C$3632))</f>
        <v>0</v>
      </c>
      <c r="AS93" s="134">
        <f>SUMPRODUCT(-('Gastos Gerais'!$B$4:$B$3632=Analítico!$B93),-(Analítico!AS$3&gt;='Gastos Gerais'!$D$4:$D$3632),-(Analítico!AS$3&lt;='Gastos Gerais'!$E$4:$E$3632),-('Gastos Gerais'!$C$4:$C$3632))</f>
        <v>0</v>
      </c>
      <c r="AT93" s="134">
        <f>SUMPRODUCT(-('Gastos Gerais'!$B$4:$B$3632=Analítico!$B93),-(Analítico!AT$3&gt;='Gastos Gerais'!$D$4:$D$3632),-(Analítico!AT$3&lt;='Gastos Gerais'!$E$4:$E$3632),-('Gastos Gerais'!$C$4:$C$3632))</f>
        <v>0</v>
      </c>
      <c r="AU93" s="134">
        <f>SUMPRODUCT(-('Gastos Gerais'!$B$4:$B$3632=Analítico!$B93),-(Analítico!AU$3&gt;='Gastos Gerais'!$D$4:$D$3632),-(Analítico!AU$3&lt;='Gastos Gerais'!$E$4:$E$3632),-('Gastos Gerais'!$C$4:$C$3632))</f>
        <v>0</v>
      </c>
      <c r="AV93" s="134">
        <f>SUMPRODUCT(-('Gastos Gerais'!$B$4:$B$3632=Analítico!$B93),-(Analítico!AV$3&gt;='Gastos Gerais'!$D$4:$D$3632),-(Analítico!AV$3&lt;='Gastos Gerais'!$E$4:$E$3632),-('Gastos Gerais'!$C$4:$C$3632))</f>
        <v>0</v>
      </c>
      <c r="AW93" s="134">
        <f>SUMPRODUCT(-('Gastos Gerais'!$B$4:$B$3632=Analítico!$B93),-(Analítico!AW$3&gt;='Gastos Gerais'!$D$4:$D$3632),-(Analítico!AW$3&lt;='Gastos Gerais'!$E$4:$E$3632),-('Gastos Gerais'!$C$4:$C$3632))</f>
        <v>0</v>
      </c>
      <c r="AX93" s="134">
        <f>SUMPRODUCT(-('Gastos Gerais'!$B$4:$B$3632=Analítico!$B93),-(Analítico!AX$3&gt;='Gastos Gerais'!$D$4:$D$3632),-(Analítico!AX$3&lt;='Gastos Gerais'!$E$4:$E$3632),-('Gastos Gerais'!$C$4:$C$3632))</f>
        <v>0</v>
      </c>
      <c r="AY93" s="134">
        <f>SUMPRODUCT(-('Gastos Gerais'!$B$4:$B$3632=Analítico!$B93),-(Analítico!AY$3&gt;='Gastos Gerais'!$D$4:$D$3632),-(Analítico!AY$3&lt;='Gastos Gerais'!$E$4:$E$3632),-('Gastos Gerais'!$C$4:$C$3632))</f>
        <v>0</v>
      </c>
      <c r="AZ93" s="134">
        <f>SUMPRODUCT(-('Gastos Gerais'!$B$4:$B$3632=Analítico!$B93),-(Analítico!AZ$3&gt;='Gastos Gerais'!$D$4:$D$3632),-(Analítico!AZ$3&lt;='Gastos Gerais'!$E$4:$E$3632),-('Gastos Gerais'!$C$4:$C$3632))</f>
        <v>0</v>
      </c>
      <c r="BA93" s="134">
        <f>SUMPRODUCT(-('Gastos Gerais'!$B$4:$B$3632=Analítico!$B93),-(Analítico!BA$3&gt;='Gastos Gerais'!$D$4:$D$3632),-(Analítico!BA$3&lt;='Gastos Gerais'!$E$4:$E$3632),-('Gastos Gerais'!$C$4:$C$3632))</f>
        <v>0</v>
      </c>
      <c r="BB93" s="134">
        <f>SUMPRODUCT(-('Gastos Gerais'!$B$4:$B$3632=Analítico!$B93),-(Analítico!BB$3&gt;='Gastos Gerais'!$D$4:$D$3632),-(Analítico!BB$3&lt;='Gastos Gerais'!$E$4:$E$3632),-('Gastos Gerais'!$C$4:$C$3632))</f>
        <v>0</v>
      </c>
      <c r="BC93" s="134">
        <f>SUMPRODUCT(-('Gastos Gerais'!$B$4:$B$3632=Analítico!$B93),-(Analítico!BC$3&gt;='Gastos Gerais'!$D$4:$D$3632),-(Analítico!BC$3&lt;='Gastos Gerais'!$E$4:$E$3632),-('Gastos Gerais'!$C$4:$C$3632))</f>
        <v>0</v>
      </c>
      <c r="BD93" s="134">
        <f>SUMPRODUCT(-('Gastos Gerais'!$B$4:$B$3632=Analítico!$B93),-(Analítico!BD$3&gt;='Gastos Gerais'!$D$4:$D$3632),-(Analítico!BD$3&lt;='Gastos Gerais'!$E$4:$E$3632),-('Gastos Gerais'!$C$4:$C$3632))</f>
        <v>0</v>
      </c>
      <c r="BE93" s="134">
        <f>SUMPRODUCT(-('Gastos Gerais'!$B$4:$B$3632=Analítico!$B93),-(Analítico!BE$3&gt;='Gastos Gerais'!$D$4:$D$3632),-(Analítico!BE$3&lt;='Gastos Gerais'!$E$4:$E$3632),-('Gastos Gerais'!$C$4:$C$3632))</f>
        <v>0</v>
      </c>
      <c r="BF93" s="134">
        <f>SUMPRODUCT(-('Gastos Gerais'!$B$4:$B$3632=Analítico!$B93),-(Analítico!BF$3&gt;='Gastos Gerais'!$D$4:$D$3632),-(Analítico!BF$3&lt;='Gastos Gerais'!$E$4:$E$3632),-('Gastos Gerais'!$C$4:$C$3632))</f>
        <v>0</v>
      </c>
      <c r="BG93" s="134">
        <f>SUMPRODUCT(-('Gastos Gerais'!$B$4:$B$3632=Analítico!$B93),-(Analítico!BG$3&gt;='Gastos Gerais'!$D$4:$D$3632),-(Analítico!BG$3&lt;='Gastos Gerais'!$E$4:$E$3632),-('Gastos Gerais'!$C$4:$C$3632))</f>
        <v>0</v>
      </c>
      <c r="BH93" s="134">
        <f>SUMPRODUCT(-('Gastos Gerais'!$B$4:$B$3632=Analítico!$B93),-(Analítico!BH$3&gt;='Gastos Gerais'!$D$4:$D$3632),-(Analítico!BH$3&lt;='Gastos Gerais'!$E$4:$E$3632),-('Gastos Gerais'!$C$4:$C$3632))</f>
        <v>0</v>
      </c>
      <c r="BI93" s="134">
        <f>SUMPRODUCT(-('Gastos Gerais'!$B$4:$B$3632=Analítico!$B93),-(Analítico!BI$3&gt;='Gastos Gerais'!$D$4:$D$3632),-(Analítico!BI$3&lt;='Gastos Gerais'!$E$4:$E$3632),-('Gastos Gerais'!$C$4:$C$3632))</f>
        <v>0</v>
      </c>
      <c r="BJ93" s="134">
        <f>SUMPRODUCT(-('Gastos Gerais'!$B$4:$B$3632=Analítico!$B93),-(Analítico!BJ$3&gt;='Gastos Gerais'!$D$4:$D$3632),-(Analítico!BJ$3&lt;='Gastos Gerais'!$E$4:$E$3632),-('Gastos Gerais'!$C$4:$C$3632))</f>
        <v>0</v>
      </c>
      <c r="BK93" s="189">
        <f t="shared" si="39"/>
        <v>0</v>
      </c>
      <c r="BL93" s="136">
        <f t="shared" ca="1" si="40"/>
        <v>0</v>
      </c>
      <c r="BN93" s="134">
        <f>SUMPRODUCT(-('Gastos Gerais'!$B$4:$B$3632=Analítico!$B93),-(Analítico!BN$3&gt;='Gastos Gerais'!$D$4:$D$3632),-(Analítico!BN$3&lt;='Gastos Gerais'!$E$4:$E$3632),-('Gastos Gerais'!$C$4:$C$3632))</f>
        <v>0</v>
      </c>
    </row>
    <row r="94" spans="1:66" s="160" customFormat="1" ht="23.25" customHeight="1">
      <c r="A94" s="229" t="s">
        <v>265</v>
      </c>
      <c r="B94" s="232" t="s">
        <v>266</v>
      </c>
      <c r="C94" s="188">
        <f t="shared" si="36"/>
        <v>330</v>
      </c>
      <c r="D94" s="134">
        <f>SUMPRODUCT(-('Gastos Gerais'!$B$4:$B$3632=Analítico!$B94),-(Analítico!D$3&gt;='Gastos Gerais'!$D$4:$D$3632),-(Analítico!D$3&lt;='Gastos Gerais'!$E$4:$E$3632),-('Gastos Gerais'!$C$4:$C$3632))</f>
        <v>1700</v>
      </c>
      <c r="E94" s="134">
        <f>SUMPRODUCT(-('Gastos Gerais'!$B$4:$B$3632=Analítico!$B94),-(Analítico!E$3&gt;='Gastos Gerais'!$D$4:$D$3632),-(Analítico!E$3&lt;='Gastos Gerais'!$E$4:$E$3632),-('Gastos Gerais'!$C$4:$C$3632))</f>
        <v>2900</v>
      </c>
      <c r="F94" s="134">
        <f>SUMPRODUCT(-('Gastos Gerais'!$B$4:$B$3632=Analítico!$B94),-(Analítico!F$3&gt;='Gastos Gerais'!$D$4:$D$3632),-(Analítico!F$3&lt;='Gastos Gerais'!$E$4:$E$3632),-('Gastos Gerais'!$C$4:$C$3632))</f>
        <v>2900</v>
      </c>
      <c r="G94" s="134">
        <f>SUMPRODUCT(-('Gastos Gerais'!$B$4:$B$3632=Analítico!$B94),-(Analítico!G$3&gt;='Gastos Gerais'!$D$4:$D$3632),-(Analítico!G$3&lt;='Gastos Gerais'!$E$4:$E$3632),-('Gastos Gerais'!$C$4:$C$3632))</f>
        <v>2300</v>
      </c>
      <c r="H94" s="134">
        <f>SUMPRODUCT(-('Gastos Gerais'!$B$4:$B$3632=Analítico!$B94),-(Analítico!H$3&gt;='Gastos Gerais'!$D$4:$D$3632),-(Analítico!H$3&lt;='Gastos Gerais'!$E$4:$E$3632),-('Gastos Gerais'!$C$4:$C$3632))</f>
        <v>2300</v>
      </c>
      <c r="I94" s="134">
        <f>SUMPRODUCT(-('Gastos Gerais'!$B$4:$B$3632=Analítico!$B94),-(Analítico!I$3&gt;='Gastos Gerais'!$D$4:$D$3632),-(Analítico!I$3&lt;='Gastos Gerais'!$E$4:$E$3632),-('Gastos Gerais'!$C$4:$C$3632))</f>
        <v>1700</v>
      </c>
      <c r="J94" s="134">
        <f>SUMPRODUCT(-('Gastos Gerais'!$B$4:$B$3632=Analítico!$B94),-(Analítico!J$3&gt;='Gastos Gerais'!$D$4:$D$3632),-(Analítico!J$3&lt;='Gastos Gerais'!$E$4:$E$3632),-('Gastos Gerais'!$C$4:$C$3632))</f>
        <v>500</v>
      </c>
      <c r="K94" s="134">
        <f>SUMPRODUCT(-('Gastos Gerais'!$B$4:$B$3632=Analítico!$B94),-(Analítico!K$3&gt;='Gastos Gerais'!$D$4:$D$3632),-(Analítico!K$3&lt;='Gastos Gerais'!$E$4:$E$3632),-('Gastos Gerais'!$C$4:$C$3632))</f>
        <v>500</v>
      </c>
      <c r="L94" s="134">
        <f>SUMPRODUCT(-('Gastos Gerais'!$B$4:$B$3632=Analítico!$B94),-(Analítico!L$3&gt;='Gastos Gerais'!$D$4:$D$3632),-(Analítico!L$3&lt;='Gastos Gerais'!$E$4:$E$3632),-('Gastos Gerais'!$C$4:$C$3632))</f>
        <v>500</v>
      </c>
      <c r="M94" s="134">
        <f>SUMPRODUCT(-('Gastos Gerais'!$B$4:$B$3632=Analítico!$B94),-(Analítico!M$3&gt;='Gastos Gerais'!$D$4:$D$3632),-(Analítico!M$3&lt;='Gastos Gerais'!$E$4:$E$3632),-('Gastos Gerais'!$C$4:$C$3632))</f>
        <v>500</v>
      </c>
      <c r="N94" s="134">
        <f>SUMPRODUCT(-('Gastos Gerais'!$B$4:$B$3632=Analítico!$B94),-(Analítico!N$3&gt;='Gastos Gerais'!$D$4:$D$3632),-(Analítico!N$3&lt;='Gastos Gerais'!$E$4:$E$3632),-('Gastos Gerais'!$C$4:$C$3632))</f>
        <v>2100</v>
      </c>
      <c r="O94" s="134">
        <f>SUMPRODUCT(-('Gastos Gerais'!$B$4:$B$3632=Analítico!$B94),-(Analítico!O$3&gt;='Gastos Gerais'!$D$4:$D$3632),-(Analítico!O$3&lt;='Gastos Gerais'!$E$4:$E$3632),-('Gastos Gerais'!$C$4:$C$3632))</f>
        <v>3900</v>
      </c>
      <c r="P94" s="134">
        <f>SUMPRODUCT(-('Gastos Gerais'!$B$4:$B$3632=Analítico!$B94),-(Analítico!P$3&gt;='Gastos Gerais'!$D$4:$D$3632),-(Analítico!P$3&lt;='Gastos Gerais'!$E$4:$E$3632),-('Gastos Gerais'!$C$4:$C$3632))</f>
        <v>14278.92</v>
      </c>
      <c r="Q94" s="134">
        <f>SUMPRODUCT(-('Gastos Gerais'!$B$4:$B$3632=Analítico!$B94),-(Analítico!Q$3&gt;='Gastos Gerais'!$D$4:$D$3632),-(Analítico!Q$3&lt;='Gastos Gerais'!$E$4:$E$3632),-('Gastos Gerais'!$C$4:$C$3632))</f>
        <v>8700</v>
      </c>
      <c r="R94" s="134">
        <f>SUMPRODUCT(-('Gastos Gerais'!$B$4:$B$3632=Analítico!$B94),-(Analítico!R$3&gt;='Gastos Gerais'!$D$4:$D$3632),-(Analítico!R$3&lt;='Gastos Gerais'!$E$4:$E$3632),-('Gastos Gerais'!$C$4:$C$3632))</f>
        <v>8700</v>
      </c>
      <c r="S94" s="134">
        <f>SUMPRODUCT(-('Gastos Gerais'!$B$4:$B$3632=Analítico!$B94),-(Analítico!S$3&gt;='Gastos Gerais'!$D$4:$D$3632),-(Analítico!S$3&lt;='Gastos Gerais'!$E$4:$E$3632),-('Gastos Gerais'!$C$4:$C$3632))</f>
        <v>5300</v>
      </c>
      <c r="T94" s="134">
        <f>SUMPRODUCT(-('Gastos Gerais'!$B$4:$B$3632=Analítico!$B94),-(Analítico!T$3&gt;='Gastos Gerais'!$D$4:$D$3632),-(Analítico!T$3&lt;='Gastos Gerais'!$E$4:$E$3632),-('Gastos Gerais'!$C$4:$C$3632))</f>
        <v>3500</v>
      </c>
      <c r="U94" s="134">
        <f>SUMPRODUCT(-('Gastos Gerais'!$B$4:$B$3632=Analítico!$B94),-(Analítico!U$3&gt;='Gastos Gerais'!$D$4:$D$3632),-(Analítico!U$3&lt;='Gastos Gerais'!$E$4:$E$3632),-('Gastos Gerais'!$C$4:$C$3632))</f>
        <v>3500</v>
      </c>
      <c r="V94" s="134">
        <f>SUMPRODUCT(-('Gastos Gerais'!$B$4:$B$3632=Analítico!$B94),-(Analítico!V$3&gt;='Gastos Gerais'!$D$4:$D$3632),-(Analítico!V$3&lt;='Gastos Gerais'!$E$4:$E$3632),-('Gastos Gerais'!$C$4:$C$3632))</f>
        <v>2300</v>
      </c>
      <c r="W94" s="134">
        <f>SUMPRODUCT(-('Gastos Gerais'!$B$4:$B$3632=Analítico!$B94),-(Analítico!W$3&gt;='Gastos Gerais'!$D$4:$D$3632),-(Analítico!W$3&lt;='Gastos Gerais'!$E$4:$E$3632),-('Gastos Gerais'!$C$4:$C$3632))</f>
        <v>1700</v>
      </c>
      <c r="X94" s="134">
        <f>SUMPRODUCT(-('Gastos Gerais'!$B$4:$B$3632=Analítico!$B94),-(Analítico!X$3&gt;='Gastos Gerais'!$D$4:$D$3632),-(Analítico!X$3&lt;='Gastos Gerais'!$E$4:$E$3632),-('Gastos Gerais'!$C$4:$C$3632))</f>
        <v>1700</v>
      </c>
      <c r="Y94" s="134">
        <f>SUMPRODUCT(-('Gastos Gerais'!$B$4:$B$3632=Analítico!$B94),-(Analítico!Y$3&gt;='Gastos Gerais'!$D$4:$D$3632),-(Analítico!Y$3&lt;='Gastos Gerais'!$E$4:$E$3632),-('Gastos Gerais'!$C$4:$C$3632))</f>
        <v>1700</v>
      </c>
      <c r="Z94" s="134">
        <f>SUMPRODUCT(-('Gastos Gerais'!$B$4:$B$3632=Analítico!$B94),-(Analítico!Z$3&gt;='Gastos Gerais'!$D$4:$D$3632),-(Analítico!Z$3&lt;='Gastos Gerais'!$E$4:$E$3632),-('Gastos Gerais'!$C$4:$C$3632))</f>
        <v>2750</v>
      </c>
      <c r="AA94" s="134">
        <f>SUMPRODUCT(-('Gastos Gerais'!$B$4:$B$3632=Analítico!$B94),-(Analítico!AA$3&gt;='Gastos Gerais'!$D$4:$D$3632),-(Analítico!AA$3&lt;='Gastos Gerais'!$E$4:$E$3632),-('Gastos Gerais'!$C$4:$C$3632))</f>
        <v>2750</v>
      </c>
      <c r="AB94" s="134">
        <f>SUMPRODUCT(-('Gastos Gerais'!$B$4:$B$3632=Analítico!$B94),-(Analítico!AB$3&gt;='Gastos Gerais'!$D$4:$D$3632),-(Analítico!AB$3&lt;='Gastos Gerais'!$E$4:$E$3632),-('Gastos Gerais'!$C$4:$C$3632))</f>
        <v>13550.71</v>
      </c>
      <c r="AC94" s="134">
        <f>SUMPRODUCT(-('Gastos Gerais'!$B$4:$B$3632=Analítico!$B94),-(Analítico!AC$3&gt;='Gastos Gerais'!$D$4:$D$3632),-(Analítico!AC$3&lt;='Gastos Gerais'!$E$4:$E$3632),-('Gastos Gerais'!$C$4:$C$3632))</f>
        <v>8750</v>
      </c>
      <c r="AD94" s="134">
        <f>SUMPRODUCT(-('Gastos Gerais'!$B$4:$B$3632=Analítico!$B94),-(Analítico!AD$3&gt;='Gastos Gerais'!$D$4:$D$3632),-(Analítico!AD$3&lt;='Gastos Gerais'!$E$4:$E$3632),-('Gastos Gerais'!$C$4:$C$3632))</f>
        <v>8750</v>
      </c>
      <c r="AE94" s="134">
        <f>SUMPRODUCT(-('Gastos Gerais'!$B$4:$B$3632=Analítico!$B94),-(Analítico!AE$3&gt;='Gastos Gerais'!$D$4:$D$3632),-(Analítico!AE$3&lt;='Gastos Gerais'!$E$4:$E$3632),-('Gastos Gerais'!$C$4:$C$3632))</f>
        <v>5300</v>
      </c>
      <c r="AF94" s="134">
        <f>SUMPRODUCT(-('Gastos Gerais'!$B$4:$B$3632=Analítico!$B94),-(Analítico!AF$3&gt;='Gastos Gerais'!$D$4:$D$3632),-(Analítico!AF$3&lt;='Gastos Gerais'!$E$4:$E$3632),-('Gastos Gerais'!$C$4:$C$3632))</f>
        <v>3500</v>
      </c>
      <c r="AG94" s="134">
        <f>SUMPRODUCT(-('Gastos Gerais'!$B$4:$B$3632=Analítico!$B94),-(Analítico!AG$3&gt;='Gastos Gerais'!$D$4:$D$3632),-(Analítico!AG$3&lt;='Gastos Gerais'!$E$4:$E$3632),-('Gastos Gerais'!$C$4:$C$3632))</f>
        <v>3500</v>
      </c>
      <c r="AH94" s="134">
        <f>SUMPRODUCT(-('Gastos Gerais'!$B$4:$B$3632=Analítico!$B94),-(Analítico!AH$3&gt;='Gastos Gerais'!$D$4:$D$3632),-(Analítico!AH$3&lt;='Gastos Gerais'!$E$4:$E$3632),-('Gastos Gerais'!$C$4:$C$3632))</f>
        <v>2300</v>
      </c>
      <c r="AI94" s="134">
        <f>SUMPRODUCT(-('Gastos Gerais'!$B$4:$B$3632=Analítico!$B94),-(Analítico!AI$3&gt;='Gastos Gerais'!$D$4:$D$3632),-(Analítico!AI$3&lt;='Gastos Gerais'!$E$4:$E$3632),-('Gastos Gerais'!$C$4:$C$3632))</f>
        <v>1700</v>
      </c>
      <c r="AJ94" s="134">
        <f>SUMPRODUCT(-('Gastos Gerais'!$B$4:$B$3632=Analítico!$B94),-(Analítico!AJ$3&gt;='Gastos Gerais'!$D$4:$D$3632),-(Analítico!AJ$3&lt;='Gastos Gerais'!$E$4:$E$3632),-('Gastos Gerais'!$C$4:$C$3632))</f>
        <v>1700</v>
      </c>
      <c r="AK94" s="134">
        <f>SUMPRODUCT(-('Gastos Gerais'!$B$4:$B$3632=Analítico!$B94),-(Analítico!AK$3&gt;='Gastos Gerais'!$D$4:$D$3632),-(Analítico!AK$3&lt;='Gastos Gerais'!$E$4:$E$3632),-('Gastos Gerais'!$C$4:$C$3632))</f>
        <v>1700</v>
      </c>
      <c r="AL94" s="134">
        <f>SUMPRODUCT(-('Gastos Gerais'!$B$4:$B$3632=Analítico!$B94),-(Analítico!AL$3&gt;='Gastos Gerais'!$D$4:$D$3632),-(Analítico!AL$3&lt;='Gastos Gerais'!$E$4:$E$3632),-('Gastos Gerais'!$C$4:$C$3632))</f>
        <v>2800</v>
      </c>
      <c r="AM94" s="134">
        <f>SUMPRODUCT(-('Gastos Gerais'!$B$4:$B$3632=Analítico!$B94),-(Analítico!AM$3&gt;='Gastos Gerais'!$D$4:$D$3632),-(Analítico!AM$3&lt;='Gastos Gerais'!$E$4:$E$3632),-('Gastos Gerais'!$C$4:$C$3632))</f>
        <v>2800</v>
      </c>
      <c r="AN94" s="134">
        <f>SUMPRODUCT(-('Gastos Gerais'!$B$4:$B$3632=Analítico!$B94),-(Analítico!AN$3&gt;='Gastos Gerais'!$D$4:$D$3632),-(Analítico!AN$3&lt;='Gastos Gerais'!$E$4:$E$3632),-('Gastos Gerais'!$C$4:$C$3632))</f>
        <v>13375.22</v>
      </c>
      <c r="AO94" s="134">
        <f>SUMPRODUCT(-('Gastos Gerais'!$B$4:$B$3632=Analítico!$B94),-(Analítico!AO$3&gt;='Gastos Gerais'!$D$4:$D$3632),-(Analítico!AO$3&lt;='Gastos Gerais'!$E$4:$E$3632),-('Gastos Gerais'!$C$4:$C$3632))</f>
        <v>8800</v>
      </c>
      <c r="AP94" s="134">
        <f>SUMPRODUCT(-('Gastos Gerais'!$B$4:$B$3632=Analítico!$B94),-(Analítico!AP$3&gt;='Gastos Gerais'!$D$4:$D$3632),-(Analítico!AP$3&lt;='Gastos Gerais'!$E$4:$E$3632),-('Gastos Gerais'!$C$4:$C$3632))</f>
        <v>8800</v>
      </c>
      <c r="AQ94" s="134">
        <f>SUMPRODUCT(-('Gastos Gerais'!$B$4:$B$3632=Analítico!$B94),-(Analítico!AQ$3&gt;='Gastos Gerais'!$D$4:$D$3632),-(Analítico!AQ$3&lt;='Gastos Gerais'!$E$4:$E$3632),-('Gastos Gerais'!$C$4:$C$3632))</f>
        <v>5300</v>
      </c>
      <c r="AR94" s="134">
        <f>SUMPRODUCT(-('Gastos Gerais'!$B$4:$B$3632=Analítico!$B94),-(Analítico!AR$3&gt;='Gastos Gerais'!$D$4:$D$3632),-(Analítico!AR$3&lt;='Gastos Gerais'!$E$4:$E$3632),-('Gastos Gerais'!$C$4:$C$3632))</f>
        <v>3500</v>
      </c>
      <c r="AS94" s="134">
        <f>SUMPRODUCT(-('Gastos Gerais'!$B$4:$B$3632=Analítico!$B94),-(Analítico!AS$3&gt;='Gastos Gerais'!$D$4:$D$3632),-(Analítico!AS$3&lt;='Gastos Gerais'!$E$4:$E$3632),-('Gastos Gerais'!$C$4:$C$3632))</f>
        <v>3500</v>
      </c>
      <c r="AT94" s="134">
        <f>SUMPRODUCT(-('Gastos Gerais'!$B$4:$B$3632=Analítico!$B94),-(Analítico!AT$3&gt;='Gastos Gerais'!$D$4:$D$3632),-(Analítico!AT$3&lt;='Gastos Gerais'!$E$4:$E$3632),-('Gastos Gerais'!$C$4:$C$3632))</f>
        <v>2300</v>
      </c>
      <c r="AU94" s="134">
        <f>SUMPRODUCT(-('Gastos Gerais'!$B$4:$B$3632=Analítico!$B94),-(Analítico!AU$3&gt;='Gastos Gerais'!$D$4:$D$3632),-(Analítico!AU$3&lt;='Gastos Gerais'!$E$4:$E$3632),-('Gastos Gerais'!$C$4:$C$3632))</f>
        <v>1700</v>
      </c>
      <c r="AV94" s="134">
        <f>SUMPRODUCT(-('Gastos Gerais'!$B$4:$B$3632=Analítico!$B94),-(Analítico!AV$3&gt;='Gastos Gerais'!$D$4:$D$3632),-(Analítico!AV$3&lt;='Gastos Gerais'!$E$4:$E$3632),-('Gastos Gerais'!$C$4:$C$3632))</f>
        <v>1700</v>
      </c>
      <c r="AW94" s="134">
        <f>SUMPRODUCT(-('Gastos Gerais'!$B$4:$B$3632=Analítico!$B94),-(Analítico!AW$3&gt;='Gastos Gerais'!$D$4:$D$3632),-(Analítico!AW$3&lt;='Gastos Gerais'!$E$4:$E$3632),-('Gastos Gerais'!$C$4:$C$3632))</f>
        <v>1700</v>
      </c>
      <c r="AX94" s="134">
        <f>SUMPRODUCT(-('Gastos Gerais'!$B$4:$B$3632=Analítico!$B94),-(Analítico!AX$3&gt;='Gastos Gerais'!$D$4:$D$3632),-(Analítico!AX$3&lt;='Gastos Gerais'!$E$4:$E$3632),-('Gastos Gerais'!$C$4:$C$3632))</f>
        <v>2850</v>
      </c>
      <c r="AY94" s="134">
        <f>SUMPRODUCT(-('Gastos Gerais'!$B$4:$B$3632=Analítico!$B94),-(Analítico!AY$3&gt;='Gastos Gerais'!$D$4:$D$3632),-(Analítico!AY$3&lt;='Gastos Gerais'!$E$4:$E$3632),-('Gastos Gerais'!$C$4:$C$3632))</f>
        <v>2850</v>
      </c>
      <c r="AZ94" s="134">
        <f>SUMPRODUCT(-('Gastos Gerais'!$B$4:$B$3632=Analítico!$B94),-(Analítico!AZ$3&gt;='Gastos Gerais'!$D$4:$D$3632),-(Analítico!AZ$3&lt;='Gastos Gerais'!$E$4:$E$3632),-('Gastos Gerais'!$C$4:$C$3632))</f>
        <v>13165.78</v>
      </c>
      <c r="BA94" s="134">
        <f>SUMPRODUCT(-('Gastos Gerais'!$B$4:$B$3632=Analítico!$B94),-(Analítico!BA$3&gt;='Gastos Gerais'!$D$4:$D$3632),-(Analítico!BA$3&lt;='Gastos Gerais'!$E$4:$E$3632),-('Gastos Gerais'!$C$4:$C$3632))</f>
        <v>8850</v>
      </c>
      <c r="BB94" s="134">
        <f>SUMPRODUCT(-('Gastos Gerais'!$B$4:$B$3632=Analítico!$B94),-(Analítico!BB$3&gt;='Gastos Gerais'!$D$4:$D$3632),-(Analítico!BB$3&lt;='Gastos Gerais'!$E$4:$E$3632),-('Gastos Gerais'!$C$4:$C$3632))</f>
        <v>8850</v>
      </c>
      <c r="BC94" s="134">
        <f>SUMPRODUCT(-('Gastos Gerais'!$B$4:$B$3632=Analítico!$B94),-(Analítico!BC$3&gt;='Gastos Gerais'!$D$4:$D$3632),-(Analítico!BC$3&lt;='Gastos Gerais'!$E$4:$E$3632),-('Gastos Gerais'!$C$4:$C$3632))</f>
        <v>5300</v>
      </c>
      <c r="BD94" s="134">
        <f>SUMPRODUCT(-('Gastos Gerais'!$B$4:$B$3632=Analítico!$B94),-(Analítico!BD$3&gt;='Gastos Gerais'!$D$4:$D$3632),-(Analítico!BD$3&lt;='Gastos Gerais'!$E$4:$E$3632),-('Gastos Gerais'!$C$4:$C$3632))</f>
        <v>3500</v>
      </c>
      <c r="BE94" s="134">
        <f>SUMPRODUCT(-('Gastos Gerais'!$B$4:$B$3632=Analítico!$B94),-(Analítico!BE$3&gt;='Gastos Gerais'!$D$4:$D$3632),-(Analítico!BE$3&lt;='Gastos Gerais'!$E$4:$E$3632),-('Gastos Gerais'!$C$4:$C$3632))</f>
        <v>3500</v>
      </c>
      <c r="BF94" s="134">
        <f>SUMPRODUCT(-('Gastos Gerais'!$B$4:$B$3632=Analítico!$B94),-(Analítico!BF$3&gt;='Gastos Gerais'!$D$4:$D$3632),-(Analítico!BF$3&lt;='Gastos Gerais'!$E$4:$E$3632),-('Gastos Gerais'!$C$4:$C$3632))</f>
        <v>2300</v>
      </c>
      <c r="BG94" s="134">
        <f>SUMPRODUCT(-('Gastos Gerais'!$B$4:$B$3632=Analítico!$B94),-(Analítico!BG$3&gt;='Gastos Gerais'!$D$4:$D$3632),-(Analítico!BG$3&lt;='Gastos Gerais'!$E$4:$E$3632),-('Gastos Gerais'!$C$4:$C$3632))</f>
        <v>1700</v>
      </c>
      <c r="BH94" s="134">
        <f>SUMPRODUCT(-('Gastos Gerais'!$B$4:$B$3632=Analítico!$B94),-(Analítico!BH$3&gt;='Gastos Gerais'!$D$4:$D$3632),-(Analítico!BH$3&lt;='Gastos Gerais'!$E$4:$E$3632),-('Gastos Gerais'!$C$4:$C$3632))</f>
        <v>1700</v>
      </c>
      <c r="BI94" s="134">
        <f>SUMPRODUCT(-('Gastos Gerais'!$B$4:$B$3632=Analítico!$B94),-(Analítico!BI$3&gt;='Gastos Gerais'!$D$4:$D$3632),-(Analítico!BI$3&lt;='Gastos Gerais'!$E$4:$E$3632),-('Gastos Gerais'!$C$4:$C$3632))</f>
        <v>1700</v>
      </c>
      <c r="BJ94" s="134">
        <f>SUMPRODUCT(-('Gastos Gerais'!$B$4:$B$3632=Analítico!$B94),-(Analítico!BJ$3&gt;='Gastos Gerais'!$D$4:$D$3632),-(Analítico!BJ$3&lt;='Gastos Gerais'!$E$4:$E$3632),-('Gastos Gerais'!$C$4:$C$3632))</f>
        <v>1700</v>
      </c>
      <c r="BK94" s="189">
        <f t="shared" si="39"/>
        <v>244000.63</v>
      </c>
      <c r="BL94" s="136">
        <f t="shared" ca="1" si="40"/>
        <v>7.2927025793308739E-4</v>
      </c>
      <c r="BN94" s="134">
        <f>SUMPRODUCT(-('Gastos Gerais'!$B$4:$B$3632=Analítico!$B94),-(Analítico!BN$3&gt;='Gastos Gerais'!$D$4:$D$3632),-(Analítico!BN$3&lt;='Gastos Gerais'!$E$4:$E$3632),-('Gastos Gerais'!$C$4:$C$3632))</f>
        <v>1100</v>
      </c>
    </row>
    <row r="95" spans="1:66" s="160" customFormat="1" ht="23.25" customHeight="1">
      <c r="A95" s="229" t="s">
        <v>267</v>
      </c>
      <c r="B95" s="232" t="s">
        <v>268</v>
      </c>
      <c r="C95" s="188">
        <f t="shared" si="36"/>
        <v>0</v>
      </c>
      <c r="D95" s="134">
        <f>SUMPRODUCT(-('Gastos Gerais'!$B$4:$B$3632=Analítico!$B95),-(Analítico!D$3&gt;='Gastos Gerais'!$D$4:$D$3632),-(Analítico!D$3&lt;='Gastos Gerais'!$E$4:$E$3632),-('Gastos Gerais'!$C$4:$C$3632))</f>
        <v>0</v>
      </c>
      <c r="E95" s="134">
        <f>SUMPRODUCT(-('Gastos Gerais'!$B$4:$B$3632=Analítico!$B95),-(Analítico!E$3&gt;='Gastos Gerais'!$D$4:$D$3632),-(Analítico!E$3&lt;='Gastos Gerais'!$E$4:$E$3632),-('Gastos Gerais'!$C$4:$C$3632))</f>
        <v>0</v>
      </c>
      <c r="F95" s="134">
        <f>SUMPRODUCT(-('Gastos Gerais'!$B$4:$B$3632=Analítico!$B95),-(Analítico!F$3&gt;='Gastos Gerais'!$D$4:$D$3632),-(Analítico!F$3&lt;='Gastos Gerais'!$E$4:$E$3632),-('Gastos Gerais'!$C$4:$C$3632))</f>
        <v>0</v>
      </c>
      <c r="G95" s="134">
        <f>SUMPRODUCT(-('Gastos Gerais'!$B$4:$B$3632=Analítico!$B95),-(Analítico!G$3&gt;='Gastos Gerais'!$D$4:$D$3632),-(Analítico!G$3&lt;='Gastos Gerais'!$E$4:$E$3632),-('Gastos Gerais'!$C$4:$C$3632))</f>
        <v>0</v>
      </c>
      <c r="H95" s="134">
        <f>SUMPRODUCT(-('Gastos Gerais'!$B$4:$B$3632=Analítico!$B95),-(Analítico!H$3&gt;='Gastos Gerais'!$D$4:$D$3632),-(Analítico!H$3&lt;='Gastos Gerais'!$E$4:$E$3632),-('Gastos Gerais'!$C$4:$C$3632))</f>
        <v>0</v>
      </c>
      <c r="I95" s="134">
        <f>SUMPRODUCT(-('Gastos Gerais'!$B$4:$B$3632=Analítico!$B95),-(Analítico!I$3&gt;='Gastos Gerais'!$D$4:$D$3632),-(Analítico!I$3&lt;='Gastos Gerais'!$E$4:$E$3632),-('Gastos Gerais'!$C$4:$C$3632))</f>
        <v>0</v>
      </c>
      <c r="J95" s="134">
        <f>SUMPRODUCT(-('Gastos Gerais'!$B$4:$B$3632=Analítico!$B95),-(Analítico!J$3&gt;='Gastos Gerais'!$D$4:$D$3632),-(Analítico!J$3&lt;='Gastos Gerais'!$E$4:$E$3632),-('Gastos Gerais'!$C$4:$C$3632))</f>
        <v>0</v>
      </c>
      <c r="K95" s="134">
        <f>SUMPRODUCT(-('Gastos Gerais'!$B$4:$B$3632=Analítico!$B95),-(Analítico!K$3&gt;='Gastos Gerais'!$D$4:$D$3632),-(Analítico!K$3&lt;='Gastos Gerais'!$E$4:$E$3632),-('Gastos Gerais'!$C$4:$C$3632))</f>
        <v>0</v>
      </c>
      <c r="L95" s="134">
        <f>SUMPRODUCT(-('Gastos Gerais'!$B$4:$B$3632=Analítico!$B95),-(Analítico!L$3&gt;='Gastos Gerais'!$D$4:$D$3632),-(Analítico!L$3&lt;='Gastos Gerais'!$E$4:$E$3632),-('Gastos Gerais'!$C$4:$C$3632))</f>
        <v>0</v>
      </c>
      <c r="M95" s="134">
        <f>SUMPRODUCT(-('Gastos Gerais'!$B$4:$B$3632=Analítico!$B95),-(Analítico!M$3&gt;='Gastos Gerais'!$D$4:$D$3632),-(Analítico!M$3&lt;='Gastos Gerais'!$E$4:$E$3632),-('Gastos Gerais'!$C$4:$C$3632))</f>
        <v>0</v>
      </c>
      <c r="N95" s="134">
        <f>SUMPRODUCT(-('Gastos Gerais'!$B$4:$B$3632=Analítico!$B95),-(Analítico!N$3&gt;='Gastos Gerais'!$D$4:$D$3632),-(Analítico!N$3&lt;='Gastos Gerais'!$E$4:$E$3632),-('Gastos Gerais'!$C$4:$C$3632))</f>
        <v>0</v>
      </c>
      <c r="O95" s="134">
        <f>SUMPRODUCT(-('Gastos Gerais'!$B$4:$B$3632=Analítico!$B95),-(Analítico!O$3&gt;='Gastos Gerais'!$D$4:$D$3632),-(Analítico!O$3&lt;='Gastos Gerais'!$E$4:$E$3632),-('Gastos Gerais'!$C$4:$C$3632))</f>
        <v>0</v>
      </c>
      <c r="P95" s="134">
        <f>SUMPRODUCT(-('Gastos Gerais'!$B$4:$B$3632=Analítico!$B95),-(Analítico!P$3&gt;='Gastos Gerais'!$D$4:$D$3632),-(Analítico!P$3&lt;='Gastos Gerais'!$E$4:$E$3632),-('Gastos Gerais'!$C$4:$C$3632))</f>
        <v>0</v>
      </c>
      <c r="Q95" s="134">
        <f>SUMPRODUCT(-('Gastos Gerais'!$B$4:$B$3632=Analítico!$B95),-(Analítico!Q$3&gt;='Gastos Gerais'!$D$4:$D$3632),-(Analítico!Q$3&lt;='Gastos Gerais'!$E$4:$E$3632),-('Gastos Gerais'!$C$4:$C$3632))</f>
        <v>0</v>
      </c>
      <c r="R95" s="134">
        <f>SUMPRODUCT(-('Gastos Gerais'!$B$4:$B$3632=Analítico!$B95),-(Analítico!R$3&gt;='Gastos Gerais'!$D$4:$D$3632),-(Analítico!R$3&lt;='Gastos Gerais'!$E$4:$E$3632),-('Gastos Gerais'!$C$4:$C$3632))</f>
        <v>0</v>
      </c>
      <c r="S95" s="134">
        <f>SUMPRODUCT(-('Gastos Gerais'!$B$4:$B$3632=Analítico!$B95),-(Analítico!S$3&gt;='Gastos Gerais'!$D$4:$D$3632),-(Analítico!S$3&lt;='Gastos Gerais'!$E$4:$E$3632),-('Gastos Gerais'!$C$4:$C$3632))</f>
        <v>0</v>
      </c>
      <c r="T95" s="134">
        <f>SUMPRODUCT(-('Gastos Gerais'!$B$4:$B$3632=Analítico!$B95),-(Analítico!T$3&gt;='Gastos Gerais'!$D$4:$D$3632),-(Analítico!T$3&lt;='Gastos Gerais'!$E$4:$E$3632),-('Gastos Gerais'!$C$4:$C$3632))</f>
        <v>0</v>
      </c>
      <c r="U95" s="134">
        <f>SUMPRODUCT(-('Gastos Gerais'!$B$4:$B$3632=Analítico!$B95),-(Analítico!U$3&gt;='Gastos Gerais'!$D$4:$D$3632),-(Analítico!U$3&lt;='Gastos Gerais'!$E$4:$E$3632),-('Gastos Gerais'!$C$4:$C$3632))</f>
        <v>0</v>
      </c>
      <c r="V95" s="134">
        <f>SUMPRODUCT(-('Gastos Gerais'!$B$4:$B$3632=Analítico!$B95),-(Analítico!V$3&gt;='Gastos Gerais'!$D$4:$D$3632),-(Analítico!V$3&lt;='Gastos Gerais'!$E$4:$E$3632),-('Gastos Gerais'!$C$4:$C$3632))</f>
        <v>0</v>
      </c>
      <c r="W95" s="134">
        <f>SUMPRODUCT(-('Gastos Gerais'!$B$4:$B$3632=Analítico!$B95),-(Analítico!W$3&gt;='Gastos Gerais'!$D$4:$D$3632),-(Analítico!W$3&lt;='Gastos Gerais'!$E$4:$E$3632),-('Gastos Gerais'!$C$4:$C$3632))</f>
        <v>0</v>
      </c>
      <c r="X95" s="134">
        <f>SUMPRODUCT(-('Gastos Gerais'!$B$4:$B$3632=Analítico!$B95),-(Analítico!X$3&gt;='Gastos Gerais'!$D$4:$D$3632),-(Analítico!X$3&lt;='Gastos Gerais'!$E$4:$E$3632),-('Gastos Gerais'!$C$4:$C$3632))</f>
        <v>0</v>
      </c>
      <c r="Y95" s="134">
        <f>SUMPRODUCT(-('Gastos Gerais'!$B$4:$B$3632=Analítico!$B95),-(Analítico!Y$3&gt;='Gastos Gerais'!$D$4:$D$3632),-(Analítico!Y$3&lt;='Gastos Gerais'!$E$4:$E$3632),-('Gastos Gerais'!$C$4:$C$3632))</f>
        <v>0</v>
      </c>
      <c r="Z95" s="134">
        <f>SUMPRODUCT(-('Gastos Gerais'!$B$4:$B$3632=Analítico!$B95),-(Analítico!Z$3&gt;='Gastos Gerais'!$D$4:$D$3632),-(Analítico!Z$3&lt;='Gastos Gerais'!$E$4:$E$3632),-('Gastos Gerais'!$C$4:$C$3632))</f>
        <v>0</v>
      </c>
      <c r="AA95" s="134">
        <f>SUMPRODUCT(-('Gastos Gerais'!$B$4:$B$3632=Analítico!$B95),-(Analítico!AA$3&gt;='Gastos Gerais'!$D$4:$D$3632),-(Analítico!AA$3&lt;='Gastos Gerais'!$E$4:$E$3632),-('Gastos Gerais'!$C$4:$C$3632))</f>
        <v>0</v>
      </c>
      <c r="AB95" s="134">
        <f>SUMPRODUCT(-('Gastos Gerais'!$B$4:$B$3632=Analítico!$B95),-(Analítico!AB$3&gt;='Gastos Gerais'!$D$4:$D$3632),-(Analítico!AB$3&lt;='Gastos Gerais'!$E$4:$E$3632),-('Gastos Gerais'!$C$4:$C$3632))</f>
        <v>0</v>
      </c>
      <c r="AC95" s="134">
        <f>SUMPRODUCT(-('Gastos Gerais'!$B$4:$B$3632=Analítico!$B95),-(Analítico!AC$3&gt;='Gastos Gerais'!$D$4:$D$3632),-(Analítico!AC$3&lt;='Gastos Gerais'!$E$4:$E$3632),-('Gastos Gerais'!$C$4:$C$3632))</f>
        <v>0</v>
      </c>
      <c r="AD95" s="134">
        <f>SUMPRODUCT(-('Gastos Gerais'!$B$4:$B$3632=Analítico!$B95),-(Analítico!AD$3&gt;='Gastos Gerais'!$D$4:$D$3632),-(Analítico!AD$3&lt;='Gastos Gerais'!$E$4:$E$3632),-('Gastos Gerais'!$C$4:$C$3632))</f>
        <v>0</v>
      </c>
      <c r="AE95" s="134">
        <f>SUMPRODUCT(-('Gastos Gerais'!$B$4:$B$3632=Analítico!$B95),-(Analítico!AE$3&gt;='Gastos Gerais'!$D$4:$D$3632),-(Analítico!AE$3&lt;='Gastos Gerais'!$E$4:$E$3632),-('Gastos Gerais'!$C$4:$C$3632))</f>
        <v>0</v>
      </c>
      <c r="AF95" s="134">
        <f>SUMPRODUCT(-('Gastos Gerais'!$B$4:$B$3632=Analítico!$B95),-(Analítico!AF$3&gt;='Gastos Gerais'!$D$4:$D$3632),-(Analítico!AF$3&lt;='Gastos Gerais'!$E$4:$E$3632),-('Gastos Gerais'!$C$4:$C$3632))</f>
        <v>0</v>
      </c>
      <c r="AG95" s="134">
        <f>SUMPRODUCT(-('Gastos Gerais'!$B$4:$B$3632=Analítico!$B95),-(Analítico!AG$3&gt;='Gastos Gerais'!$D$4:$D$3632),-(Analítico!AG$3&lt;='Gastos Gerais'!$E$4:$E$3632),-('Gastos Gerais'!$C$4:$C$3632))</f>
        <v>0</v>
      </c>
      <c r="AH95" s="134">
        <f>SUMPRODUCT(-('Gastos Gerais'!$B$4:$B$3632=Analítico!$B95),-(Analítico!AH$3&gt;='Gastos Gerais'!$D$4:$D$3632),-(Analítico!AH$3&lt;='Gastos Gerais'!$E$4:$E$3632),-('Gastos Gerais'!$C$4:$C$3632))</f>
        <v>0</v>
      </c>
      <c r="AI95" s="134">
        <f>SUMPRODUCT(-('Gastos Gerais'!$B$4:$B$3632=Analítico!$B95),-(Analítico!AI$3&gt;='Gastos Gerais'!$D$4:$D$3632),-(Analítico!AI$3&lt;='Gastos Gerais'!$E$4:$E$3632),-('Gastos Gerais'!$C$4:$C$3632))</f>
        <v>0</v>
      </c>
      <c r="AJ95" s="134">
        <f>SUMPRODUCT(-('Gastos Gerais'!$B$4:$B$3632=Analítico!$B95),-(Analítico!AJ$3&gt;='Gastos Gerais'!$D$4:$D$3632),-(Analítico!AJ$3&lt;='Gastos Gerais'!$E$4:$E$3632),-('Gastos Gerais'!$C$4:$C$3632))</f>
        <v>0</v>
      </c>
      <c r="AK95" s="134">
        <f>SUMPRODUCT(-('Gastos Gerais'!$B$4:$B$3632=Analítico!$B95),-(Analítico!AK$3&gt;='Gastos Gerais'!$D$4:$D$3632),-(Analítico!AK$3&lt;='Gastos Gerais'!$E$4:$E$3632),-('Gastos Gerais'!$C$4:$C$3632))</f>
        <v>0</v>
      </c>
      <c r="AL95" s="134">
        <f>SUMPRODUCT(-('Gastos Gerais'!$B$4:$B$3632=Analítico!$B95),-(Analítico!AL$3&gt;='Gastos Gerais'!$D$4:$D$3632),-(Analítico!AL$3&lt;='Gastos Gerais'!$E$4:$E$3632),-('Gastos Gerais'!$C$4:$C$3632))</f>
        <v>0</v>
      </c>
      <c r="AM95" s="134">
        <f>SUMPRODUCT(-('Gastos Gerais'!$B$4:$B$3632=Analítico!$B95),-(Analítico!AM$3&gt;='Gastos Gerais'!$D$4:$D$3632),-(Analítico!AM$3&lt;='Gastos Gerais'!$E$4:$E$3632),-('Gastos Gerais'!$C$4:$C$3632))</f>
        <v>0</v>
      </c>
      <c r="AN95" s="134">
        <f>SUMPRODUCT(-('Gastos Gerais'!$B$4:$B$3632=Analítico!$B95),-(Analítico!AN$3&gt;='Gastos Gerais'!$D$4:$D$3632),-(Analítico!AN$3&lt;='Gastos Gerais'!$E$4:$E$3632),-('Gastos Gerais'!$C$4:$C$3632))</f>
        <v>0</v>
      </c>
      <c r="AO95" s="134">
        <f>SUMPRODUCT(-('Gastos Gerais'!$B$4:$B$3632=Analítico!$B95),-(Analítico!AO$3&gt;='Gastos Gerais'!$D$4:$D$3632),-(Analítico!AO$3&lt;='Gastos Gerais'!$E$4:$E$3632),-('Gastos Gerais'!$C$4:$C$3632))</f>
        <v>0</v>
      </c>
      <c r="AP95" s="134">
        <f>SUMPRODUCT(-('Gastos Gerais'!$B$4:$B$3632=Analítico!$B95),-(Analítico!AP$3&gt;='Gastos Gerais'!$D$4:$D$3632),-(Analítico!AP$3&lt;='Gastos Gerais'!$E$4:$E$3632),-('Gastos Gerais'!$C$4:$C$3632))</f>
        <v>0</v>
      </c>
      <c r="AQ95" s="134">
        <f>SUMPRODUCT(-('Gastos Gerais'!$B$4:$B$3632=Analítico!$B95),-(Analítico!AQ$3&gt;='Gastos Gerais'!$D$4:$D$3632),-(Analítico!AQ$3&lt;='Gastos Gerais'!$E$4:$E$3632),-('Gastos Gerais'!$C$4:$C$3632))</f>
        <v>0</v>
      </c>
      <c r="AR95" s="134">
        <f>SUMPRODUCT(-('Gastos Gerais'!$B$4:$B$3632=Analítico!$B95),-(Analítico!AR$3&gt;='Gastos Gerais'!$D$4:$D$3632),-(Analítico!AR$3&lt;='Gastos Gerais'!$E$4:$E$3632),-('Gastos Gerais'!$C$4:$C$3632))</f>
        <v>0</v>
      </c>
      <c r="AS95" s="134">
        <f>SUMPRODUCT(-('Gastos Gerais'!$B$4:$B$3632=Analítico!$B95),-(Analítico!AS$3&gt;='Gastos Gerais'!$D$4:$D$3632),-(Analítico!AS$3&lt;='Gastos Gerais'!$E$4:$E$3632),-('Gastos Gerais'!$C$4:$C$3632))</f>
        <v>0</v>
      </c>
      <c r="AT95" s="134">
        <f>SUMPRODUCT(-('Gastos Gerais'!$B$4:$B$3632=Analítico!$B95),-(Analítico!AT$3&gt;='Gastos Gerais'!$D$4:$D$3632),-(Analítico!AT$3&lt;='Gastos Gerais'!$E$4:$E$3632),-('Gastos Gerais'!$C$4:$C$3632))</f>
        <v>0</v>
      </c>
      <c r="AU95" s="134">
        <f>SUMPRODUCT(-('Gastos Gerais'!$B$4:$B$3632=Analítico!$B95),-(Analítico!AU$3&gt;='Gastos Gerais'!$D$4:$D$3632),-(Analítico!AU$3&lt;='Gastos Gerais'!$E$4:$E$3632),-('Gastos Gerais'!$C$4:$C$3632))</f>
        <v>0</v>
      </c>
      <c r="AV95" s="134">
        <f>SUMPRODUCT(-('Gastos Gerais'!$B$4:$B$3632=Analítico!$B95),-(Analítico!AV$3&gt;='Gastos Gerais'!$D$4:$D$3632),-(Analítico!AV$3&lt;='Gastos Gerais'!$E$4:$E$3632),-('Gastos Gerais'!$C$4:$C$3632))</f>
        <v>0</v>
      </c>
      <c r="AW95" s="134">
        <f>SUMPRODUCT(-('Gastos Gerais'!$B$4:$B$3632=Analítico!$B95),-(Analítico!AW$3&gt;='Gastos Gerais'!$D$4:$D$3632),-(Analítico!AW$3&lt;='Gastos Gerais'!$E$4:$E$3632),-('Gastos Gerais'!$C$4:$C$3632))</f>
        <v>0</v>
      </c>
      <c r="AX95" s="134">
        <f>SUMPRODUCT(-('Gastos Gerais'!$B$4:$B$3632=Analítico!$B95),-(Analítico!AX$3&gt;='Gastos Gerais'!$D$4:$D$3632),-(Analítico!AX$3&lt;='Gastos Gerais'!$E$4:$E$3632),-('Gastos Gerais'!$C$4:$C$3632))</f>
        <v>0</v>
      </c>
      <c r="AY95" s="134">
        <f>SUMPRODUCT(-('Gastos Gerais'!$B$4:$B$3632=Analítico!$B95),-(Analítico!AY$3&gt;='Gastos Gerais'!$D$4:$D$3632),-(Analítico!AY$3&lt;='Gastos Gerais'!$E$4:$E$3632),-('Gastos Gerais'!$C$4:$C$3632))</f>
        <v>0</v>
      </c>
      <c r="AZ95" s="134">
        <f>SUMPRODUCT(-('Gastos Gerais'!$B$4:$B$3632=Analítico!$B95),-(Analítico!AZ$3&gt;='Gastos Gerais'!$D$4:$D$3632),-(Analítico!AZ$3&lt;='Gastos Gerais'!$E$4:$E$3632),-('Gastos Gerais'!$C$4:$C$3632))</f>
        <v>0</v>
      </c>
      <c r="BA95" s="134">
        <f>SUMPRODUCT(-('Gastos Gerais'!$B$4:$B$3632=Analítico!$B95),-(Analítico!BA$3&gt;='Gastos Gerais'!$D$4:$D$3632),-(Analítico!BA$3&lt;='Gastos Gerais'!$E$4:$E$3632),-('Gastos Gerais'!$C$4:$C$3632))</f>
        <v>0</v>
      </c>
      <c r="BB95" s="134">
        <f>SUMPRODUCT(-('Gastos Gerais'!$B$4:$B$3632=Analítico!$B95),-(Analítico!BB$3&gt;='Gastos Gerais'!$D$4:$D$3632),-(Analítico!BB$3&lt;='Gastos Gerais'!$E$4:$E$3632),-('Gastos Gerais'!$C$4:$C$3632))</f>
        <v>0</v>
      </c>
      <c r="BC95" s="134">
        <f>SUMPRODUCT(-('Gastos Gerais'!$B$4:$B$3632=Analítico!$B95),-(Analítico!BC$3&gt;='Gastos Gerais'!$D$4:$D$3632),-(Analítico!BC$3&lt;='Gastos Gerais'!$E$4:$E$3632),-('Gastos Gerais'!$C$4:$C$3632))</f>
        <v>0</v>
      </c>
      <c r="BD95" s="134">
        <f>SUMPRODUCT(-('Gastos Gerais'!$B$4:$B$3632=Analítico!$B95),-(Analítico!BD$3&gt;='Gastos Gerais'!$D$4:$D$3632),-(Analítico!BD$3&lt;='Gastos Gerais'!$E$4:$E$3632),-('Gastos Gerais'!$C$4:$C$3632))</f>
        <v>0</v>
      </c>
      <c r="BE95" s="134">
        <f>SUMPRODUCT(-('Gastos Gerais'!$B$4:$B$3632=Analítico!$B95),-(Analítico!BE$3&gt;='Gastos Gerais'!$D$4:$D$3632),-(Analítico!BE$3&lt;='Gastos Gerais'!$E$4:$E$3632),-('Gastos Gerais'!$C$4:$C$3632))</f>
        <v>0</v>
      </c>
      <c r="BF95" s="134">
        <f>SUMPRODUCT(-('Gastos Gerais'!$B$4:$B$3632=Analítico!$B95),-(Analítico!BF$3&gt;='Gastos Gerais'!$D$4:$D$3632),-(Analítico!BF$3&lt;='Gastos Gerais'!$E$4:$E$3632),-('Gastos Gerais'!$C$4:$C$3632))</f>
        <v>0</v>
      </c>
      <c r="BG95" s="134">
        <f>SUMPRODUCT(-('Gastos Gerais'!$B$4:$B$3632=Analítico!$B95),-(Analítico!BG$3&gt;='Gastos Gerais'!$D$4:$D$3632),-(Analítico!BG$3&lt;='Gastos Gerais'!$E$4:$E$3632),-('Gastos Gerais'!$C$4:$C$3632))</f>
        <v>0</v>
      </c>
      <c r="BH95" s="134">
        <f>SUMPRODUCT(-('Gastos Gerais'!$B$4:$B$3632=Analítico!$B95),-(Analítico!BH$3&gt;='Gastos Gerais'!$D$4:$D$3632),-(Analítico!BH$3&lt;='Gastos Gerais'!$E$4:$E$3632),-('Gastos Gerais'!$C$4:$C$3632))</f>
        <v>0</v>
      </c>
      <c r="BI95" s="134">
        <f>SUMPRODUCT(-('Gastos Gerais'!$B$4:$B$3632=Analítico!$B95),-(Analítico!BI$3&gt;='Gastos Gerais'!$D$4:$D$3632),-(Analítico!BI$3&lt;='Gastos Gerais'!$E$4:$E$3632),-('Gastos Gerais'!$C$4:$C$3632))</f>
        <v>0</v>
      </c>
      <c r="BJ95" s="134">
        <f>SUMPRODUCT(-('Gastos Gerais'!$B$4:$B$3632=Analítico!$B95),-(Analítico!BJ$3&gt;='Gastos Gerais'!$D$4:$D$3632),-(Analítico!BJ$3&lt;='Gastos Gerais'!$E$4:$E$3632),-('Gastos Gerais'!$C$4:$C$3632))</f>
        <v>0</v>
      </c>
      <c r="BK95" s="189">
        <f t="shared" si="39"/>
        <v>0</v>
      </c>
      <c r="BL95" s="136">
        <f t="shared" ca="1" si="40"/>
        <v>0</v>
      </c>
      <c r="BN95" s="134">
        <f>SUMPRODUCT(-('Gastos Gerais'!$B$4:$B$3632=Analítico!$B95),-(Analítico!BN$3&gt;='Gastos Gerais'!$D$4:$D$3632),-(Analítico!BN$3&lt;='Gastos Gerais'!$E$4:$E$3632),-('Gastos Gerais'!$C$4:$C$3632))</f>
        <v>0</v>
      </c>
    </row>
    <row r="96" spans="1:66" s="160" customFormat="1" ht="23.25" customHeight="1">
      <c r="A96" s="229" t="s">
        <v>269</v>
      </c>
      <c r="B96" s="232" t="s">
        <v>270</v>
      </c>
      <c r="C96" s="188">
        <f t="shared" si="36"/>
        <v>0</v>
      </c>
      <c r="D96" s="134">
        <f>SUMPRODUCT(-('Gastos Gerais'!$B$4:$B$3632=Analítico!$B96),-(Analítico!D$3&gt;='Gastos Gerais'!$D$4:$D$3632),-(Analítico!D$3&lt;='Gastos Gerais'!$E$4:$E$3632),-('Gastos Gerais'!$C$4:$C$3632))</f>
        <v>0</v>
      </c>
      <c r="E96" s="134">
        <f>SUMPRODUCT(-('Gastos Gerais'!$B$4:$B$3632=Analítico!$B96),-(Analítico!E$3&gt;='Gastos Gerais'!$D$4:$D$3632),-(Analítico!E$3&lt;='Gastos Gerais'!$E$4:$E$3632),-('Gastos Gerais'!$C$4:$C$3632))</f>
        <v>0</v>
      </c>
      <c r="F96" s="134">
        <f>SUMPRODUCT(-('Gastos Gerais'!$B$4:$B$3632=Analítico!$B96),-(Analítico!F$3&gt;='Gastos Gerais'!$D$4:$D$3632),-(Analítico!F$3&lt;='Gastos Gerais'!$E$4:$E$3632),-('Gastos Gerais'!$C$4:$C$3632))</f>
        <v>0</v>
      </c>
      <c r="G96" s="134">
        <f>SUMPRODUCT(-('Gastos Gerais'!$B$4:$B$3632=Analítico!$B96),-(Analítico!G$3&gt;='Gastos Gerais'!$D$4:$D$3632),-(Analítico!G$3&lt;='Gastos Gerais'!$E$4:$E$3632),-('Gastos Gerais'!$C$4:$C$3632))</f>
        <v>0</v>
      </c>
      <c r="H96" s="134">
        <f>SUMPRODUCT(-('Gastos Gerais'!$B$4:$B$3632=Analítico!$B96),-(Analítico!H$3&gt;='Gastos Gerais'!$D$4:$D$3632),-(Analítico!H$3&lt;='Gastos Gerais'!$E$4:$E$3632),-('Gastos Gerais'!$C$4:$C$3632))</f>
        <v>0</v>
      </c>
      <c r="I96" s="134">
        <f>SUMPRODUCT(-('Gastos Gerais'!$B$4:$B$3632=Analítico!$B96),-(Analítico!I$3&gt;='Gastos Gerais'!$D$4:$D$3632),-(Analítico!I$3&lt;='Gastos Gerais'!$E$4:$E$3632),-('Gastos Gerais'!$C$4:$C$3632))</f>
        <v>0</v>
      </c>
      <c r="J96" s="134">
        <f>SUMPRODUCT(-('Gastos Gerais'!$B$4:$B$3632=Analítico!$B96),-(Analítico!J$3&gt;='Gastos Gerais'!$D$4:$D$3632),-(Analítico!J$3&lt;='Gastos Gerais'!$E$4:$E$3632),-('Gastos Gerais'!$C$4:$C$3632))</f>
        <v>0</v>
      </c>
      <c r="K96" s="134">
        <f>SUMPRODUCT(-('Gastos Gerais'!$B$4:$B$3632=Analítico!$B96),-(Analítico!K$3&gt;='Gastos Gerais'!$D$4:$D$3632),-(Analítico!K$3&lt;='Gastos Gerais'!$E$4:$E$3632),-('Gastos Gerais'!$C$4:$C$3632))</f>
        <v>0</v>
      </c>
      <c r="L96" s="134">
        <f>SUMPRODUCT(-('Gastos Gerais'!$B$4:$B$3632=Analítico!$B96),-(Analítico!L$3&gt;='Gastos Gerais'!$D$4:$D$3632),-(Analítico!L$3&lt;='Gastos Gerais'!$E$4:$E$3632),-('Gastos Gerais'!$C$4:$C$3632))</f>
        <v>0</v>
      </c>
      <c r="M96" s="134">
        <f>SUMPRODUCT(-('Gastos Gerais'!$B$4:$B$3632=Analítico!$B96),-(Analítico!M$3&gt;='Gastos Gerais'!$D$4:$D$3632),-(Analítico!M$3&lt;='Gastos Gerais'!$E$4:$E$3632),-('Gastos Gerais'!$C$4:$C$3632))</f>
        <v>0</v>
      </c>
      <c r="N96" s="134">
        <f>SUMPRODUCT(-('Gastos Gerais'!$B$4:$B$3632=Analítico!$B96),-(Analítico!N$3&gt;='Gastos Gerais'!$D$4:$D$3632),-(Analítico!N$3&lt;='Gastos Gerais'!$E$4:$E$3632),-('Gastos Gerais'!$C$4:$C$3632))</f>
        <v>0</v>
      </c>
      <c r="O96" s="134">
        <f>SUMPRODUCT(-('Gastos Gerais'!$B$4:$B$3632=Analítico!$B96),-(Analítico!O$3&gt;='Gastos Gerais'!$D$4:$D$3632),-(Analítico!O$3&lt;='Gastos Gerais'!$E$4:$E$3632),-('Gastos Gerais'!$C$4:$C$3632))</f>
        <v>0</v>
      </c>
      <c r="P96" s="134">
        <f>SUMPRODUCT(-('Gastos Gerais'!$B$4:$B$3632=Analítico!$B96),-(Analítico!P$3&gt;='Gastos Gerais'!$D$4:$D$3632),-(Analítico!P$3&lt;='Gastos Gerais'!$E$4:$E$3632),-('Gastos Gerais'!$C$4:$C$3632))</f>
        <v>0</v>
      </c>
      <c r="Q96" s="134">
        <f>SUMPRODUCT(-('Gastos Gerais'!$B$4:$B$3632=Analítico!$B96),-(Analítico!Q$3&gt;='Gastos Gerais'!$D$4:$D$3632),-(Analítico!Q$3&lt;='Gastos Gerais'!$E$4:$E$3632),-('Gastos Gerais'!$C$4:$C$3632))</f>
        <v>0</v>
      </c>
      <c r="R96" s="134">
        <f>SUMPRODUCT(-('Gastos Gerais'!$B$4:$B$3632=Analítico!$B96),-(Analítico!R$3&gt;='Gastos Gerais'!$D$4:$D$3632),-(Analítico!R$3&lt;='Gastos Gerais'!$E$4:$E$3632),-('Gastos Gerais'!$C$4:$C$3632))</f>
        <v>0</v>
      </c>
      <c r="S96" s="134">
        <f>SUMPRODUCT(-('Gastos Gerais'!$B$4:$B$3632=Analítico!$B96),-(Analítico!S$3&gt;='Gastos Gerais'!$D$4:$D$3632),-(Analítico!S$3&lt;='Gastos Gerais'!$E$4:$E$3632),-('Gastos Gerais'!$C$4:$C$3632))</f>
        <v>0</v>
      </c>
      <c r="T96" s="134">
        <f>SUMPRODUCT(-('Gastos Gerais'!$B$4:$B$3632=Analítico!$B96),-(Analítico!T$3&gt;='Gastos Gerais'!$D$4:$D$3632),-(Analítico!T$3&lt;='Gastos Gerais'!$E$4:$E$3632),-('Gastos Gerais'!$C$4:$C$3632))</f>
        <v>0</v>
      </c>
      <c r="U96" s="134">
        <f>SUMPRODUCT(-('Gastos Gerais'!$B$4:$B$3632=Analítico!$B96),-(Analítico!U$3&gt;='Gastos Gerais'!$D$4:$D$3632),-(Analítico!U$3&lt;='Gastos Gerais'!$E$4:$E$3632),-('Gastos Gerais'!$C$4:$C$3632))</f>
        <v>0</v>
      </c>
      <c r="V96" s="134">
        <f>SUMPRODUCT(-('Gastos Gerais'!$B$4:$B$3632=Analítico!$B96),-(Analítico!V$3&gt;='Gastos Gerais'!$D$4:$D$3632),-(Analítico!V$3&lt;='Gastos Gerais'!$E$4:$E$3632),-('Gastos Gerais'!$C$4:$C$3632))</f>
        <v>0</v>
      </c>
      <c r="W96" s="134">
        <f>SUMPRODUCT(-('Gastos Gerais'!$B$4:$B$3632=Analítico!$B96),-(Analítico!W$3&gt;='Gastos Gerais'!$D$4:$D$3632),-(Analítico!W$3&lt;='Gastos Gerais'!$E$4:$E$3632),-('Gastos Gerais'!$C$4:$C$3632))</f>
        <v>0</v>
      </c>
      <c r="X96" s="134">
        <f>SUMPRODUCT(-('Gastos Gerais'!$B$4:$B$3632=Analítico!$B96),-(Analítico!X$3&gt;='Gastos Gerais'!$D$4:$D$3632),-(Analítico!X$3&lt;='Gastos Gerais'!$E$4:$E$3632),-('Gastos Gerais'!$C$4:$C$3632))</f>
        <v>0</v>
      </c>
      <c r="Y96" s="134">
        <f>SUMPRODUCT(-('Gastos Gerais'!$B$4:$B$3632=Analítico!$B96),-(Analítico!Y$3&gt;='Gastos Gerais'!$D$4:$D$3632),-(Analítico!Y$3&lt;='Gastos Gerais'!$E$4:$E$3632),-('Gastos Gerais'!$C$4:$C$3632))</f>
        <v>0</v>
      </c>
      <c r="Z96" s="134">
        <f>SUMPRODUCT(-('Gastos Gerais'!$B$4:$B$3632=Analítico!$B96),-(Analítico!Z$3&gt;='Gastos Gerais'!$D$4:$D$3632),-(Analítico!Z$3&lt;='Gastos Gerais'!$E$4:$E$3632),-('Gastos Gerais'!$C$4:$C$3632))</f>
        <v>0</v>
      </c>
      <c r="AA96" s="134">
        <f>SUMPRODUCT(-('Gastos Gerais'!$B$4:$B$3632=Analítico!$B96),-(Analítico!AA$3&gt;='Gastos Gerais'!$D$4:$D$3632),-(Analítico!AA$3&lt;='Gastos Gerais'!$E$4:$E$3632),-('Gastos Gerais'!$C$4:$C$3632))</f>
        <v>0</v>
      </c>
      <c r="AB96" s="134">
        <f>SUMPRODUCT(-('Gastos Gerais'!$B$4:$B$3632=Analítico!$B96),-(Analítico!AB$3&gt;='Gastos Gerais'!$D$4:$D$3632),-(Analítico!AB$3&lt;='Gastos Gerais'!$E$4:$E$3632),-('Gastos Gerais'!$C$4:$C$3632))</f>
        <v>0</v>
      </c>
      <c r="AC96" s="134">
        <f>SUMPRODUCT(-('Gastos Gerais'!$B$4:$B$3632=Analítico!$B96),-(Analítico!AC$3&gt;='Gastos Gerais'!$D$4:$D$3632),-(Analítico!AC$3&lt;='Gastos Gerais'!$E$4:$E$3632),-('Gastos Gerais'!$C$4:$C$3632))</f>
        <v>0</v>
      </c>
      <c r="AD96" s="134">
        <f>SUMPRODUCT(-('Gastos Gerais'!$B$4:$B$3632=Analítico!$B96),-(Analítico!AD$3&gt;='Gastos Gerais'!$D$4:$D$3632),-(Analítico!AD$3&lt;='Gastos Gerais'!$E$4:$E$3632),-('Gastos Gerais'!$C$4:$C$3632))</f>
        <v>0</v>
      </c>
      <c r="AE96" s="134">
        <f>SUMPRODUCT(-('Gastos Gerais'!$B$4:$B$3632=Analítico!$B96),-(Analítico!AE$3&gt;='Gastos Gerais'!$D$4:$D$3632),-(Analítico!AE$3&lt;='Gastos Gerais'!$E$4:$E$3632),-('Gastos Gerais'!$C$4:$C$3632))</f>
        <v>0</v>
      </c>
      <c r="AF96" s="134">
        <f>SUMPRODUCT(-('Gastos Gerais'!$B$4:$B$3632=Analítico!$B96),-(Analítico!AF$3&gt;='Gastos Gerais'!$D$4:$D$3632),-(Analítico!AF$3&lt;='Gastos Gerais'!$E$4:$E$3632),-('Gastos Gerais'!$C$4:$C$3632))</f>
        <v>0</v>
      </c>
      <c r="AG96" s="134">
        <f>SUMPRODUCT(-('Gastos Gerais'!$B$4:$B$3632=Analítico!$B96),-(Analítico!AG$3&gt;='Gastos Gerais'!$D$4:$D$3632),-(Analítico!AG$3&lt;='Gastos Gerais'!$E$4:$E$3632),-('Gastos Gerais'!$C$4:$C$3632))</f>
        <v>0</v>
      </c>
      <c r="AH96" s="134">
        <f>SUMPRODUCT(-('Gastos Gerais'!$B$4:$B$3632=Analítico!$B96),-(Analítico!AH$3&gt;='Gastos Gerais'!$D$4:$D$3632),-(Analítico!AH$3&lt;='Gastos Gerais'!$E$4:$E$3632),-('Gastos Gerais'!$C$4:$C$3632))</f>
        <v>0</v>
      </c>
      <c r="AI96" s="134">
        <f>SUMPRODUCT(-('Gastos Gerais'!$B$4:$B$3632=Analítico!$B96),-(Analítico!AI$3&gt;='Gastos Gerais'!$D$4:$D$3632),-(Analítico!AI$3&lt;='Gastos Gerais'!$E$4:$E$3632),-('Gastos Gerais'!$C$4:$C$3632))</f>
        <v>0</v>
      </c>
      <c r="AJ96" s="134">
        <f>SUMPRODUCT(-('Gastos Gerais'!$B$4:$B$3632=Analítico!$B96),-(Analítico!AJ$3&gt;='Gastos Gerais'!$D$4:$D$3632),-(Analítico!AJ$3&lt;='Gastos Gerais'!$E$4:$E$3632),-('Gastos Gerais'!$C$4:$C$3632))</f>
        <v>0</v>
      </c>
      <c r="AK96" s="134">
        <f>SUMPRODUCT(-('Gastos Gerais'!$B$4:$B$3632=Analítico!$B96),-(Analítico!AK$3&gt;='Gastos Gerais'!$D$4:$D$3632),-(Analítico!AK$3&lt;='Gastos Gerais'!$E$4:$E$3632),-('Gastos Gerais'!$C$4:$C$3632))</f>
        <v>0</v>
      </c>
      <c r="AL96" s="134">
        <f>SUMPRODUCT(-('Gastos Gerais'!$B$4:$B$3632=Analítico!$B96),-(Analítico!AL$3&gt;='Gastos Gerais'!$D$4:$D$3632),-(Analítico!AL$3&lt;='Gastos Gerais'!$E$4:$E$3632),-('Gastos Gerais'!$C$4:$C$3632))</f>
        <v>0</v>
      </c>
      <c r="AM96" s="134">
        <f>SUMPRODUCT(-('Gastos Gerais'!$B$4:$B$3632=Analítico!$B96),-(Analítico!AM$3&gt;='Gastos Gerais'!$D$4:$D$3632),-(Analítico!AM$3&lt;='Gastos Gerais'!$E$4:$E$3632),-('Gastos Gerais'!$C$4:$C$3632))</f>
        <v>0</v>
      </c>
      <c r="AN96" s="134">
        <f>SUMPRODUCT(-('Gastos Gerais'!$B$4:$B$3632=Analítico!$B96),-(Analítico!AN$3&gt;='Gastos Gerais'!$D$4:$D$3632),-(Analítico!AN$3&lt;='Gastos Gerais'!$E$4:$E$3632),-('Gastos Gerais'!$C$4:$C$3632))</f>
        <v>0</v>
      </c>
      <c r="AO96" s="134">
        <f>SUMPRODUCT(-('Gastos Gerais'!$B$4:$B$3632=Analítico!$B96),-(Analítico!AO$3&gt;='Gastos Gerais'!$D$4:$D$3632),-(Analítico!AO$3&lt;='Gastos Gerais'!$E$4:$E$3632),-('Gastos Gerais'!$C$4:$C$3632))</f>
        <v>0</v>
      </c>
      <c r="AP96" s="134">
        <f>SUMPRODUCT(-('Gastos Gerais'!$B$4:$B$3632=Analítico!$B96),-(Analítico!AP$3&gt;='Gastos Gerais'!$D$4:$D$3632),-(Analítico!AP$3&lt;='Gastos Gerais'!$E$4:$E$3632),-('Gastos Gerais'!$C$4:$C$3632))</f>
        <v>0</v>
      </c>
      <c r="AQ96" s="134">
        <f>SUMPRODUCT(-('Gastos Gerais'!$B$4:$B$3632=Analítico!$B96),-(Analítico!AQ$3&gt;='Gastos Gerais'!$D$4:$D$3632),-(Analítico!AQ$3&lt;='Gastos Gerais'!$E$4:$E$3632),-('Gastos Gerais'!$C$4:$C$3632))</f>
        <v>0</v>
      </c>
      <c r="AR96" s="134">
        <f>SUMPRODUCT(-('Gastos Gerais'!$B$4:$B$3632=Analítico!$B96),-(Analítico!AR$3&gt;='Gastos Gerais'!$D$4:$D$3632),-(Analítico!AR$3&lt;='Gastos Gerais'!$E$4:$E$3632),-('Gastos Gerais'!$C$4:$C$3632))</f>
        <v>0</v>
      </c>
      <c r="AS96" s="134">
        <f>SUMPRODUCT(-('Gastos Gerais'!$B$4:$B$3632=Analítico!$B96),-(Analítico!AS$3&gt;='Gastos Gerais'!$D$4:$D$3632),-(Analítico!AS$3&lt;='Gastos Gerais'!$E$4:$E$3632),-('Gastos Gerais'!$C$4:$C$3632))</f>
        <v>0</v>
      </c>
      <c r="AT96" s="134">
        <f>SUMPRODUCT(-('Gastos Gerais'!$B$4:$B$3632=Analítico!$B96),-(Analítico!AT$3&gt;='Gastos Gerais'!$D$4:$D$3632),-(Analítico!AT$3&lt;='Gastos Gerais'!$E$4:$E$3632),-('Gastos Gerais'!$C$4:$C$3632))</f>
        <v>0</v>
      </c>
      <c r="AU96" s="134">
        <f>SUMPRODUCT(-('Gastos Gerais'!$B$4:$B$3632=Analítico!$B96),-(Analítico!AU$3&gt;='Gastos Gerais'!$D$4:$D$3632),-(Analítico!AU$3&lt;='Gastos Gerais'!$E$4:$E$3632),-('Gastos Gerais'!$C$4:$C$3632))</f>
        <v>0</v>
      </c>
      <c r="AV96" s="134">
        <f>SUMPRODUCT(-('Gastos Gerais'!$B$4:$B$3632=Analítico!$B96),-(Analítico!AV$3&gt;='Gastos Gerais'!$D$4:$D$3632),-(Analítico!AV$3&lt;='Gastos Gerais'!$E$4:$E$3632),-('Gastos Gerais'!$C$4:$C$3632))</f>
        <v>0</v>
      </c>
      <c r="AW96" s="134">
        <f>SUMPRODUCT(-('Gastos Gerais'!$B$4:$B$3632=Analítico!$B96),-(Analítico!AW$3&gt;='Gastos Gerais'!$D$4:$D$3632),-(Analítico!AW$3&lt;='Gastos Gerais'!$E$4:$E$3632),-('Gastos Gerais'!$C$4:$C$3632))</f>
        <v>0</v>
      </c>
      <c r="AX96" s="134">
        <f>SUMPRODUCT(-('Gastos Gerais'!$B$4:$B$3632=Analítico!$B96),-(Analítico!AX$3&gt;='Gastos Gerais'!$D$4:$D$3632),-(Analítico!AX$3&lt;='Gastos Gerais'!$E$4:$E$3632),-('Gastos Gerais'!$C$4:$C$3632))</f>
        <v>0</v>
      </c>
      <c r="AY96" s="134">
        <f>SUMPRODUCT(-('Gastos Gerais'!$B$4:$B$3632=Analítico!$B96),-(Analítico!AY$3&gt;='Gastos Gerais'!$D$4:$D$3632),-(Analítico!AY$3&lt;='Gastos Gerais'!$E$4:$E$3632),-('Gastos Gerais'!$C$4:$C$3632))</f>
        <v>0</v>
      </c>
      <c r="AZ96" s="134">
        <f>SUMPRODUCT(-('Gastos Gerais'!$B$4:$B$3632=Analítico!$B96),-(Analítico!AZ$3&gt;='Gastos Gerais'!$D$4:$D$3632),-(Analítico!AZ$3&lt;='Gastos Gerais'!$E$4:$E$3632),-('Gastos Gerais'!$C$4:$C$3632))</f>
        <v>0</v>
      </c>
      <c r="BA96" s="134">
        <f>SUMPRODUCT(-('Gastos Gerais'!$B$4:$B$3632=Analítico!$B96),-(Analítico!BA$3&gt;='Gastos Gerais'!$D$4:$D$3632),-(Analítico!BA$3&lt;='Gastos Gerais'!$E$4:$E$3632),-('Gastos Gerais'!$C$4:$C$3632))</f>
        <v>0</v>
      </c>
      <c r="BB96" s="134">
        <f>SUMPRODUCT(-('Gastos Gerais'!$B$4:$B$3632=Analítico!$B96),-(Analítico!BB$3&gt;='Gastos Gerais'!$D$4:$D$3632),-(Analítico!BB$3&lt;='Gastos Gerais'!$E$4:$E$3632),-('Gastos Gerais'!$C$4:$C$3632))</f>
        <v>0</v>
      </c>
      <c r="BC96" s="134">
        <f>SUMPRODUCT(-('Gastos Gerais'!$B$4:$B$3632=Analítico!$B96),-(Analítico!BC$3&gt;='Gastos Gerais'!$D$4:$D$3632),-(Analítico!BC$3&lt;='Gastos Gerais'!$E$4:$E$3632),-('Gastos Gerais'!$C$4:$C$3632))</f>
        <v>0</v>
      </c>
      <c r="BD96" s="134">
        <f>SUMPRODUCT(-('Gastos Gerais'!$B$4:$B$3632=Analítico!$B96),-(Analítico!BD$3&gt;='Gastos Gerais'!$D$4:$D$3632),-(Analítico!BD$3&lt;='Gastos Gerais'!$E$4:$E$3632),-('Gastos Gerais'!$C$4:$C$3632))</f>
        <v>0</v>
      </c>
      <c r="BE96" s="134">
        <f>SUMPRODUCT(-('Gastos Gerais'!$B$4:$B$3632=Analítico!$B96),-(Analítico!BE$3&gt;='Gastos Gerais'!$D$4:$D$3632),-(Analítico!BE$3&lt;='Gastos Gerais'!$E$4:$E$3632),-('Gastos Gerais'!$C$4:$C$3632))</f>
        <v>0</v>
      </c>
      <c r="BF96" s="134">
        <f>SUMPRODUCT(-('Gastos Gerais'!$B$4:$B$3632=Analítico!$B96),-(Analítico!BF$3&gt;='Gastos Gerais'!$D$4:$D$3632),-(Analítico!BF$3&lt;='Gastos Gerais'!$E$4:$E$3632),-('Gastos Gerais'!$C$4:$C$3632))</f>
        <v>0</v>
      </c>
      <c r="BG96" s="134">
        <f>SUMPRODUCT(-('Gastos Gerais'!$B$4:$B$3632=Analítico!$B96),-(Analítico!BG$3&gt;='Gastos Gerais'!$D$4:$D$3632),-(Analítico!BG$3&lt;='Gastos Gerais'!$E$4:$E$3632),-('Gastos Gerais'!$C$4:$C$3632))</f>
        <v>0</v>
      </c>
      <c r="BH96" s="134">
        <f>SUMPRODUCT(-('Gastos Gerais'!$B$4:$B$3632=Analítico!$B96),-(Analítico!BH$3&gt;='Gastos Gerais'!$D$4:$D$3632),-(Analítico!BH$3&lt;='Gastos Gerais'!$E$4:$E$3632),-('Gastos Gerais'!$C$4:$C$3632))</f>
        <v>0</v>
      </c>
      <c r="BI96" s="134">
        <f>SUMPRODUCT(-('Gastos Gerais'!$B$4:$B$3632=Analítico!$B96),-(Analítico!BI$3&gt;='Gastos Gerais'!$D$4:$D$3632),-(Analítico!BI$3&lt;='Gastos Gerais'!$E$4:$E$3632),-('Gastos Gerais'!$C$4:$C$3632))</f>
        <v>0</v>
      </c>
      <c r="BJ96" s="134">
        <f>SUMPRODUCT(-('Gastos Gerais'!$B$4:$B$3632=Analítico!$B96),-(Analítico!BJ$3&gt;='Gastos Gerais'!$D$4:$D$3632),-(Analítico!BJ$3&lt;='Gastos Gerais'!$E$4:$E$3632),-('Gastos Gerais'!$C$4:$C$3632))</f>
        <v>0</v>
      </c>
      <c r="BK96" s="189">
        <f t="shared" si="39"/>
        <v>0</v>
      </c>
      <c r="BL96" s="136">
        <f t="shared" ca="1" si="40"/>
        <v>0</v>
      </c>
      <c r="BN96" s="134">
        <f>SUMPRODUCT(-('Gastos Gerais'!$B$4:$B$3632=Analítico!$B96),-(Analítico!BN$3&gt;='Gastos Gerais'!$D$4:$D$3632),-(Analítico!BN$3&lt;='Gastos Gerais'!$E$4:$E$3632),-('Gastos Gerais'!$C$4:$C$3632))</f>
        <v>0</v>
      </c>
    </row>
    <row r="97" spans="1:66" s="160" customFormat="1" ht="23.25" customHeight="1">
      <c r="A97" s="229" t="s">
        <v>271</v>
      </c>
      <c r="B97" s="232" t="s">
        <v>272</v>
      </c>
      <c r="C97" s="188">
        <f t="shared" si="36"/>
        <v>0</v>
      </c>
      <c r="D97" s="134">
        <f>SUMPRODUCT(-('Gastos Gerais'!$B$4:$B$3632=Analítico!$B97),-(Analítico!D$3&gt;='Gastos Gerais'!$D$4:$D$3632),-(Analítico!D$3&lt;='Gastos Gerais'!$E$4:$E$3632),-('Gastos Gerais'!$C$4:$C$3632))</f>
        <v>0</v>
      </c>
      <c r="E97" s="134">
        <f>SUMPRODUCT(-('Gastos Gerais'!$B$4:$B$3632=Analítico!$B97),-(Analítico!E$3&gt;='Gastos Gerais'!$D$4:$D$3632),-(Analítico!E$3&lt;='Gastos Gerais'!$E$4:$E$3632),-('Gastos Gerais'!$C$4:$C$3632))</f>
        <v>0</v>
      </c>
      <c r="F97" s="134">
        <f>SUMPRODUCT(-('Gastos Gerais'!$B$4:$B$3632=Analítico!$B97),-(Analítico!F$3&gt;='Gastos Gerais'!$D$4:$D$3632),-(Analítico!F$3&lt;='Gastos Gerais'!$E$4:$E$3632),-('Gastos Gerais'!$C$4:$C$3632))</f>
        <v>0</v>
      </c>
      <c r="G97" s="134">
        <f>SUMPRODUCT(-('Gastos Gerais'!$B$4:$B$3632=Analítico!$B97),-(Analítico!G$3&gt;='Gastos Gerais'!$D$4:$D$3632),-(Analítico!G$3&lt;='Gastos Gerais'!$E$4:$E$3632),-('Gastos Gerais'!$C$4:$C$3632))</f>
        <v>0</v>
      </c>
      <c r="H97" s="134">
        <f>SUMPRODUCT(-('Gastos Gerais'!$B$4:$B$3632=Analítico!$B97),-(Analítico!H$3&gt;='Gastos Gerais'!$D$4:$D$3632),-(Analítico!H$3&lt;='Gastos Gerais'!$E$4:$E$3632),-('Gastos Gerais'!$C$4:$C$3632))</f>
        <v>0</v>
      </c>
      <c r="I97" s="134">
        <f>SUMPRODUCT(-('Gastos Gerais'!$B$4:$B$3632=Analítico!$B97),-(Analítico!I$3&gt;='Gastos Gerais'!$D$4:$D$3632),-(Analítico!I$3&lt;='Gastos Gerais'!$E$4:$E$3632),-('Gastos Gerais'!$C$4:$C$3632))</f>
        <v>0</v>
      </c>
      <c r="J97" s="134">
        <f>SUMPRODUCT(-('Gastos Gerais'!$B$4:$B$3632=Analítico!$B97),-(Analítico!J$3&gt;='Gastos Gerais'!$D$4:$D$3632),-(Analítico!J$3&lt;='Gastos Gerais'!$E$4:$E$3632),-('Gastos Gerais'!$C$4:$C$3632))</f>
        <v>0</v>
      </c>
      <c r="K97" s="134">
        <f>SUMPRODUCT(-('Gastos Gerais'!$B$4:$B$3632=Analítico!$B97),-(Analítico!K$3&gt;='Gastos Gerais'!$D$4:$D$3632),-(Analítico!K$3&lt;='Gastos Gerais'!$E$4:$E$3632),-('Gastos Gerais'!$C$4:$C$3632))</f>
        <v>0</v>
      </c>
      <c r="L97" s="134">
        <f>SUMPRODUCT(-('Gastos Gerais'!$B$4:$B$3632=Analítico!$B97),-(Analítico!L$3&gt;='Gastos Gerais'!$D$4:$D$3632),-(Analítico!L$3&lt;='Gastos Gerais'!$E$4:$E$3632),-('Gastos Gerais'!$C$4:$C$3632))</f>
        <v>0</v>
      </c>
      <c r="M97" s="134">
        <f>SUMPRODUCT(-('Gastos Gerais'!$B$4:$B$3632=Analítico!$B97),-(Analítico!M$3&gt;='Gastos Gerais'!$D$4:$D$3632),-(Analítico!M$3&lt;='Gastos Gerais'!$E$4:$E$3632),-('Gastos Gerais'!$C$4:$C$3632))</f>
        <v>0</v>
      </c>
      <c r="N97" s="134">
        <f>SUMPRODUCT(-('Gastos Gerais'!$B$4:$B$3632=Analítico!$B97),-(Analítico!N$3&gt;='Gastos Gerais'!$D$4:$D$3632),-(Analítico!N$3&lt;='Gastos Gerais'!$E$4:$E$3632),-('Gastos Gerais'!$C$4:$C$3632))</f>
        <v>0</v>
      </c>
      <c r="O97" s="134">
        <f>SUMPRODUCT(-('Gastos Gerais'!$B$4:$B$3632=Analítico!$B97),-(Analítico!O$3&gt;='Gastos Gerais'!$D$4:$D$3632),-(Analítico!O$3&lt;='Gastos Gerais'!$E$4:$E$3632),-('Gastos Gerais'!$C$4:$C$3632))</f>
        <v>0</v>
      </c>
      <c r="P97" s="134">
        <f>SUMPRODUCT(-('Gastos Gerais'!$B$4:$B$3632=Analítico!$B97),-(Analítico!P$3&gt;='Gastos Gerais'!$D$4:$D$3632),-(Analítico!P$3&lt;='Gastos Gerais'!$E$4:$E$3632),-('Gastos Gerais'!$C$4:$C$3632))</f>
        <v>0</v>
      </c>
      <c r="Q97" s="134">
        <f>SUMPRODUCT(-('Gastos Gerais'!$B$4:$B$3632=Analítico!$B97),-(Analítico!Q$3&gt;='Gastos Gerais'!$D$4:$D$3632),-(Analítico!Q$3&lt;='Gastos Gerais'!$E$4:$E$3632),-('Gastos Gerais'!$C$4:$C$3632))</f>
        <v>0</v>
      </c>
      <c r="R97" s="134">
        <f>SUMPRODUCT(-('Gastos Gerais'!$B$4:$B$3632=Analítico!$B97),-(Analítico!R$3&gt;='Gastos Gerais'!$D$4:$D$3632),-(Analítico!R$3&lt;='Gastos Gerais'!$E$4:$E$3632),-('Gastos Gerais'!$C$4:$C$3632))</f>
        <v>0</v>
      </c>
      <c r="S97" s="134">
        <f>SUMPRODUCT(-('Gastos Gerais'!$B$4:$B$3632=Analítico!$B97),-(Analítico!S$3&gt;='Gastos Gerais'!$D$4:$D$3632),-(Analítico!S$3&lt;='Gastos Gerais'!$E$4:$E$3632),-('Gastos Gerais'!$C$4:$C$3632))</f>
        <v>0</v>
      </c>
      <c r="T97" s="134">
        <f>SUMPRODUCT(-('Gastos Gerais'!$B$4:$B$3632=Analítico!$B97),-(Analítico!T$3&gt;='Gastos Gerais'!$D$4:$D$3632),-(Analítico!T$3&lt;='Gastos Gerais'!$E$4:$E$3632),-('Gastos Gerais'!$C$4:$C$3632))</f>
        <v>0</v>
      </c>
      <c r="U97" s="134">
        <f>SUMPRODUCT(-('Gastos Gerais'!$B$4:$B$3632=Analítico!$B97),-(Analítico!U$3&gt;='Gastos Gerais'!$D$4:$D$3632),-(Analítico!U$3&lt;='Gastos Gerais'!$E$4:$E$3632),-('Gastos Gerais'!$C$4:$C$3632))</f>
        <v>0</v>
      </c>
      <c r="V97" s="134">
        <f>SUMPRODUCT(-('Gastos Gerais'!$B$4:$B$3632=Analítico!$B97),-(Analítico!V$3&gt;='Gastos Gerais'!$D$4:$D$3632),-(Analítico!V$3&lt;='Gastos Gerais'!$E$4:$E$3632),-('Gastos Gerais'!$C$4:$C$3632))</f>
        <v>0</v>
      </c>
      <c r="W97" s="134">
        <f>SUMPRODUCT(-('Gastos Gerais'!$B$4:$B$3632=Analítico!$B97),-(Analítico!W$3&gt;='Gastos Gerais'!$D$4:$D$3632),-(Analítico!W$3&lt;='Gastos Gerais'!$E$4:$E$3632),-('Gastos Gerais'!$C$4:$C$3632))</f>
        <v>0</v>
      </c>
      <c r="X97" s="134">
        <f>SUMPRODUCT(-('Gastos Gerais'!$B$4:$B$3632=Analítico!$B97),-(Analítico!X$3&gt;='Gastos Gerais'!$D$4:$D$3632),-(Analítico!X$3&lt;='Gastos Gerais'!$E$4:$E$3632),-('Gastos Gerais'!$C$4:$C$3632))</f>
        <v>0</v>
      </c>
      <c r="Y97" s="134">
        <f>SUMPRODUCT(-('Gastos Gerais'!$B$4:$B$3632=Analítico!$B97),-(Analítico!Y$3&gt;='Gastos Gerais'!$D$4:$D$3632),-(Analítico!Y$3&lt;='Gastos Gerais'!$E$4:$E$3632),-('Gastos Gerais'!$C$4:$C$3632))</f>
        <v>0</v>
      </c>
      <c r="Z97" s="134">
        <f>SUMPRODUCT(-('Gastos Gerais'!$B$4:$B$3632=Analítico!$B97),-(Analítico!Z$3&gt;='Gastos Gerais'!$D$4:$D$3632),-(Analítico!Z$3&lt;='Gastos Gerais'!$E$4:$E$3632),-('Gastos Gerais'!$C$4:$C$3632))</f>
        <v>0</v>
      </c>
      <c r="AA97" s="134">
        <f>SUMPRODUCT(-('Gastos Gerais'!$B$4:$B$3632=Analítico!$B97),-(Analítico!AA$3&gt;='Gastos Gerais'!$D$4:$D$3632),-(Analítico!AA$3&lt;='Gastos Gerais'!$E$4:$E$3632),-('Gastos Gerais'!$C$4:$C$3632))</f>
        <v>0</v>
      </c>
      <c r="AB97" s="134">
        <f>SUMPRODUCT(-('Gastos Gerais'!$B$4:$B$3632=Analítico!$B97),-(Analítico!AB$3&gt;='Gastos Gerais'!$D$4:$D$3632),-(Analítico!AB$3&lt;='Gastos Gerais'!$E$4:$E$3632),-('Gastos Gerais'!$C$4:$C$3632))</f>
        <v>0</v>
      </c>
      <c r="AC97" s="134">
        <f>SUMPRODUCT(-('Gastos Gerais'!$B$4:$B$3632=Analítico!$B97),-(Analítico!AC$3&gt;='Gastos Gerais'!$D$4:$D$3632),-(Analítico!AC$3&lt;='Gastos Gerais'!$E$4:$E$3632),-('Gastos Gerais'!$C$4:$C$3632))</f>
        <v>0</v>
      </c>
      <c r="AD97" s="134">
        <f>SUMPRODUCT(-('Gastos Gerais'!$B$4:$B$3632=Analítico!$B97),-(Analítico!AD$3&gt;='Gastos Gerais'!$D$4:$D$3632),-(Analítico!AD$3&lt;='Gastos Gerais'!$E$4:$E$3632),-('Gastos Gerais'!$C$4:$C$3632))</f>
        <v>0</v>
      </c>
      <c r="AE97" s="134">
        <f>SUMPRODUCT(-('Gastos Gerais'!$B$4:$B$3632=Analítico!$B97),-(Analítico!AE$3&gt;='Gastos Gerais'!$D$4:$D$3632),-(Analítico!AE$3&lt;='Gastos Gerais'!$E$4:$E$3632),-('Gastos Gerais'!$C$4:$C$3632))</f>
        <v>0</v>
      </c>
      <c r="AF97" s="134">
        <f>SUMPRODUCT(-('Gastos Gerais'!$B$4:$B$3632=Analítico!$B97),-(Analítico!AF$3&gt;='Gastos Gerais'!$D$4:$D$3632),-(Analítico!AF$3&lt;='Gastos Gerais'!$E$4:$E$3632),-('Gastos Gerais'!$C$4:$C$3632))</f>
        <v>0</v>
      </c>
      <c r="AG97" s="134">
        <f>SUMPRODUCT(-('Gastos Gerais'!$B$4:$B$3632=Analítico!$B97),-(Analítico!AG$3&gt;='Gastos Gerais'!$D$4:$D$3632),-(Analítico!AG$3&lt;='Gastos Gerais'!$E$4:$E$3632),-('Gastos Gerais'!$C$4:$C$3632))</f>
        <v>0</v>
      </c>
      <c r="AH97" s="134">
        <f>SUMPRODUCT(-('Gastos Gerais'!$B$4:$B$3632=Analítico!$B97),-(Analítico!AH$3&gt;='Gastos Gerais'!$D$4:$D$3632),-(Analítico!AH$3&lt;='Gastos Gerais'!$E$4:$E$3632),-('Gastos Gerais'!$C$4:$C$3632))</f>
        <v>0</v>
      </c>
      <c r="AI97" s="134">
        <f>SUMPRODUCT(-('Gastos Gerais'!$B$4:$B$3632=Analítico!$B97),-(Analítico!AI$3&gt;='Gastos Gerais'!$D$4:$D$3632),-(Analítico!AI$3&lt;='Gastos Gerais'!$E$4:$E$3632),-('Gastos Gerais'!$C$4:$C$3632))</f>
        <v>0</v>
      </c>
      <c r="AJ97" s="134">
        <f>SUMPRODUCT(-('Gastos Gerais'!$B$4:$B$3632=Analítico!$B97),-(Analítico!AJ$3&gt;='Gastos Gerais'!$D$4:$D$3632),-(Analítico!AJ$3&lt;='Gastos Gerais'!$E$4:$E$3632),-('Gastos Gerais'!$C$4:$C$3632))</f>
        <v>0</v>
      </c>
      <c r="AK97" s="134">
        <f>SUMPRODUCT(-('Gastos Gerais'!$B$4:$B$3632=Analítico!$B97),-(Analítico!AK$3&gt;='Gastos Gerais'!$D$4:$D$3632),-(Analítico!AK$3&lt;='Gastos Gerais'!$E$4:$E$3632),-('Gastos Gerais'!$C$4:$C$3632))</f>
        <v>0</v>
      </c>
      <c r="AL97" s="134">
        <f>SUMPRODUCT(-('Gastos Gerais'!$B$4:$B$3632=Analítico!$B97),-(Analítico!AL$3&gt;='Gastos Gerais'!$D$4:$D$3632),-(Analítico!AL$3&lt;='Gastos Gerais'!$E$4:$E$3632),-('Gastos Gerais'!$C$4:$C$3632))</f>
        <v>0</v>
      </c>
      <c r="AM97" s="134">
        <f>SUMPRODUCT(-('Gastos Gerais'!$B$4:$B$3632=Analítico!$B97),-(Analítico!AM$3&gt;='Gastos Gerais'!$D$4:$D$3632),-(Analítico!AM$3&lt;='Gastos Gerais'!$E$4:$E$3632),-('Gastos Gerais'!$C$4:$C$3632))</f>
        <v>0</v>
      </c>
      <c r="AN97" s="134">
        <f>SUMPRODUCT(-('Gastos Gerais'!$B$4:$B$3632=Analítico!$B97),-(Analítico!AN$3&gt;='Gastos Gerais'!$D$4:$D$3632),-(Analítico!AN$3&lt;='Gastos Gerais'!$E$4:$E$3632),-('Gastos Gerais'!$C$4:$C$3632))</f>
        <v>0</v>
      </c>
      <c r="AO97" s="134">
        <f>SUMPRODUCT(-('Gastos Gerais'!$B$4:$B$3632=Analítico!$B97),-(Analítico!AO$3&gt;='Gastos Gerais'!$D$4:$D$3632),-(Analítico!AO$3&lt;='Gastos Gerais'!$E$4:$E$3632),-('Gastos Gerais'!$C$4:$C$3632))</f>
        <v>0</v>
      </c>
      <c r="AP97" s="134">
        <f>SUMPRODUCT(-('Gastos Gerais'!$B$4:$B$3632=Analítico!$B97),-(Analítico!AP$3&gt;='Gastos Gerais'!$D$4:$D$3632),-(Analítico!AP$3&lt;='Gastos Gerais'!$E$4:$E$3632),-('Gastos Gerais'!$C$4:$C$3632))</f>
        <v>0</v>
      </c>
      <c r="AQ97" s="134">
        <f>SUMPRODUCT(-('Gastos Gerais'!$B$4:$B$3632=Analítico!$B97),-(Analítico!AQ$3&gt;='Gastos Gerais'!$D$4:$D$3632),-(Analítico!AQ$3&lt;='Gastos Gerais'!$E$4:$E$3632),-('Gastos Gerais'!$C$4:$C$3632))</f>
        <v>0</v>
      </c>
      <c r="AR97" s="134">
        <f>SUMPRODUCT(-('Gastos Gerais'!$B$4:$B$3632=Analítico!$B97),-(Analítico!AR$3&gt;='Gastos Gerais'!$D$4:$D$3632),-(Analítico!AR$3&lt;='Gastos Gerais'!$E$4:$E$3632),-('Gastos Gerais'!$C$4:$C$3632))</f>
        <v>0</v>
      </c>
      <c r="AS97" s="134">
        <f>SUMPRODUCT(-('Gastos Gerais'!$B$4:$B$3632=Analítico!$B97),-(Analítico!AS$3&gt;='Gastos Gerais'!$D$4:$D$3632),-(Analítico!AS$3&lt;='Gastos Gerais'!$E$4:$E$3632),-('Gastos Gerais'!$C$4:$C$3632))</f>
        <v>0</v>
      </c>
      <c r="AT97" s="134">
        <f>SUMPRODUCT(-('Gastos Gerais'!$B$4:$B$3632=Analítico!$B97),-(Analítico!AT$3&gt;='Gastos Gerais'!$D$4:$D$3632),-(Analítico!AT$3&lt;='Gastos Gerais'!$E$4:$E$3632),-('Gastos Gerais'!$C$4:$C$3632))</f>
        <v>0</v>
      </c>
      <c r="AU97" s="134">
        <f>SUMPRODUCT(-('Gastos Gerais'!$B$4:$B$3632=Analítico!$B97),-(Analítico!AU$3&gt;='Gastos Gerais'!$D$4:$D$3632),-(Analítico!AU$3&lt;='Gastos Gerais'!$E$4:$E$3632),-('Gastos Gerais'!$C$4:$C$3632))</f>
        <v>0</v>
      </c>
      <c r="AV97" s="134">
        <f>SUMPRODUCT(-('Gastos Gerais'!$B$4:$B$3632=Analítico!$B97),-(Analítico!AV$3&gt;='Gastos Gerais'!$D$4:$D$3632),-(Analítico!AV$3&lt;='Gastos Gerais'!$E$4:$E$3632),-('Gastos Gerais'!$C$4:$C$3632))</f>
        <v>0</v>
      </c>
      <c r="AW97" s="134">
        <f>SUMPRODUCT(-('Gastos Gerais'!$B$4:$B$3632=Analítico!$B97),-(Analítico!AW$3&gt;='Gastos Gerais'!$D$4:$D$3632),-(Analítico!AW$3&lt;='Gastos Gerais'!$E$4:$E$3632),-('Gastos Gerais'!$C$4:$C$3632))</f>
        <v>0</v>
      </c>
      <c r="AX97" s="134">
        <f>SUMPRODUCT(-('Gastos Gerais'!$B$4:$B$3632=Analítico!$B97),-(Analítico!AX$3&gt;='Gastos Gerais'!$D$4:$D$3632),-(Analítico!AX$3&lt;='Gastos Gerais'!$E$4:$E$3632),-('Gastos Gerais'!$C$4:$C$3632))</f>
        <v>0</v>
      </c>
      <c r="AY97" s="134">
        <f>SUMPRODUCT(-('Gastos Gerais'!$B$4:$B$3632=Analítico!$B97),-(Analítico!AY$3&gt;='Gastos Gerais'!$D$4:$D$3632),-(Analítico!AY$3&lt;='Gastos Gerais'!$E$4:$E$3632),-('Gastos Gerais'!$C$4:$C$3632))</f>
        <v>0</v>
      </c>
      <c r="AZ97" s="134">
        <f>SUMPRODUCT(-('Gastos Gerais'!$B$4:$B$3632=Analítico!$B97),-(Analítico!AZ$3&gt;='Gastos Gerais'!$D$4:$D$3632),-(Analítico!AZ$3&lt;='Gastos Gerais'!$E$4:$E$3632),-('Gastos Gerais'!$C$4:$C$3632))</f>
        <v>0</v>
      </c>
      <c r="BA97" s="134">
        <f>SUMPRODUCT(-('Gastos Gerais'!$B$4:$B$3632=Analítico!$B97),-(Analítico!BA$3&gt;='Gastos Gerais'!$D$4:$D$3632),-(Analítico!BA$3&lt;='Gastos Gerais'!$E$4:$E$3632),-('Gastos Gerais'!$C$4:$C$3632))</f>
        <v>0</v>
      </c>
      <c r="BB97" s="134">
        <f>SUMPRODUCT(-('Gastos Gerais'!$B$4:$B$3632=Analítico!$B97),-(Analítico!BB$3&gt;='Gastos Gerais'!$D$4:$D$3632),-(Analítico!BB$3&lt;='Gastos Gerais'!$E$4:$E$3632),-('Gastos Gerais'!$C$4:$C$3632))</f>
        <v>0</v>
      </c>
      <c r="BC97" s="134">
        <f>SUMPRODUCT(-('Gastos Gerais'!$B$4:$B$3632=Analítico!$B97),-(Analítico!BC$3&gt;='Gastos Gerais'!$D$4:$D$3632),-(Analítico!BC$3&lt;='Gastos Gerais'!$E$4:$E$3632),-('Gastos Gerais'!$C$4:$C$3632))</f>
        <v>0</v>
      </c>
      <c r="BD97" s="134">
        <f>SUMPRODUCT(-('Gastos Gerais'!$B$4:$B$3632=Analítico!$B97),-(Analítico!BD$3&gt;='Gastos Gerais'!$D$4:$D$3632),-(Analítico!BD$3&lt;='Gastos Gerais'!$E$4:$E$3632),-('Gastos Gerais'!$C$4:$C$3632))</f>
        <v>0</v>
      </c>
      <c r="BE97" s="134">
        <f>SUMPRODUCT(-('Gastos Gerais'!$B$4:$B$3632=Analítico!$B97),-(Analítico!BE$3&gt;='Gastos Gerais'!$D$4:$D$3632),-(Analítico!BE$3&lt;='Gastos Gerais'!$E$4:$E$3632),-('Gastos Gerais'!$C$4:$C$3632))</f>
        <v>0</v>
      </c>
      <c r="BF97" s="134">
        <f>SUMPRODUCT(-('Gastos Gerais'!$B$4:$B$3632=Analítico!$B97),-(Analítico!BF$3&gt;='Gastos Gerais'!$D$4:$D$3632),-(Analítico!BF$3&lt;='Gastos Gerais'!$E$4:$E$3632),-('Gastos Gerais'!$C$4:$C$3632))</f>
        <v>0</v>
      </c>
      <c r="BG97" s="134">
        <f>SUMPRODUCT(-('Gastos Gerais'!$B$4:$B$3632=Analítico!$B97),-(Analítico!BG$3&gt;='Gastos Gerais'!$D$4:$D$3632),-(Analítico!BG$3&lt;='Gastos Gerais'!$E$4:$E$3632),-('Gastos Gerais'!$C$4:$C$3632))</f>
        <v>0</v>
      </c>
      <c r="BH97" s="134">
        <f>SUMPRODUCT(-('Gastos Gerais'!$B$4:$B$3632=Analítico!$B97),-(Analítico!BH$3&gt;='Gastos Gerais'!$D$4:$D$3632),-(Analítico!BH$3&lt;='Gastos Gerais'!$E$4:$E$3632),-('Gastos Gerais'!$C$4:$C$3632))</f>
        <v>0</v>
      </c>
      <c r="BI97" s="134">
        <f>SUMPRODUCT(-('Gastos Gerais'!$B$4:$B$3632=Analítico!$B97),-(Analítico!BI$3&gt;='Gastos Gerais'!$D$4:$D$3632),-(Analítico!BI$3&lt;='Gastos Gerais'!$E$4:$E$3632),-('Gastos Gerais'!$C$4:$C$3632))</f>
        <v>0</v>
      </c>
      <c r="BJ97" s="134">
        <f>SUMPRODUCT(-('Gastos Gerais'!$B$4:$B$3632=Analítico!$B97),-(Analítico!BJ$3&gt;='Gastos Gerais'!$D$4:$D$3632),-(Analítico!BJ$3&lt;='Gastos Gerais'!$E$4:$E$3632),-('Gastos Gerais'!$C$4:$C$3632))</f>
        <v>0</v>
      </c>
      <c r="BK97" s="189">
        <f t="shared" si="39"/>
        <v>0</v>
      </c>
      <c r="BL97" s="136">
        <f t="shared" ca="1" si="40"/>
        <v>0</v>
      </c>
      <c r="BN97" s="134">
        <f>SUMPRODUCT(-('Gastos Gerais'!$B$4:$B$3632=Analítico!$B97),-(Analítico!BN$3&gt;='Gastos Gerais'!$D$4:$D$3632),-(Analítico!BN$3&lt;='Gastos Gerais'!$E$4:$E$3632),-('Gastos Gerais'!$C$4:$C$3632))</f>
        <v>0</v>
      </c>
    </row>
    <row r="98" spans="1:66" s="160" customFormat="1" ht="23.25" customHeight="1">
      <c r="A98" s="229" t="s">
        <v>273</v>
      </c>
      <c r="B98" s="232" t="s">
        <v>274</v>
      </c>
      <c r="C98" s="188">
        <f t="shared" si="36"/>
        <v>4680</v>
      </c>
      <c r="D98" s="134">
        <f>SUMPRODUCT(-('Gastos Gerais'!$B$4:$B$3632=Analítico!$B98),-(Analítico!D$3&gt;='Gastos Gerais'!$D$4:$D$3632),-(Analítico!D$3&lt;='Gastos Gerais'!$E$4:$E$3632),-('Gastos Gerais'!$C$4:$C$3632))</f>
        <v>18200</v>
      </c>
      <c r="E98" s="134">
        <f>SUMPRODUCT(-('Gastos Gerais'!$B$4:$B$3632=Analítico!$B98),-(Analítico!E$3&gt;='Gastos Gerais'!$D$4:$D$3632),-(Analítico!E$3&lt;='Gastos Gerais'!$E$4:$E$3632),-('Gastos Gerais'!$C$4:$C$3632))</f>
        <v>18200</v>
      </c>
      <c r="F98" s="134">
        <f>SUMPRODUCT(-('Gastos Gerais'!$B$4:$B$3632=Analítico!$B98),-(Analítico!F$3&gt;='Gastos Gerais'!$D$4:$D$3632),-(Analítico!F$3&lt;='Gastos Gerais'!$E$4:$E$3632),-('Gastos Gerais'!$C$4:$C$3632))</f>
        <v>18200</v>
      </c>
      <c r="G98" s="134">
        <f>SUMPRODUCT(-('Gastos Gerais'!$B$4:$B$3632=Analítico!$B98),-(Analítico!G$3&gt;='Gastos Gerais'!$D$4:$D$3632),-(Analítico!G$3&lt;='Gastos Gerais'!$E$4:$E$3632),-('Gastos Gerais'!$C$4:$C$3632))</f>
        <v>18200</v>
      </c>
      <c r="H98" s="134">
        <f>SUMPRODUCT(-('Gastos Gerais'!$B$4:$B$3632=Analítico!$B98),-(Analítico!H$3&gt;='Gastos Gerais'!$D$4:$D$3632),-(Analítico!H$3&lt;='Gastos Gerais'!$E$4:$E$3632),-('Gastos Gerais'!$C$4:$C$3632))</f>
        <v>18200</v>
      </c>
      <c r="I98" s="134">
        <f>SUMPRODUCT(-('Gastos Gerais'!$B$4:$B$3632=Analítico!$B98),-(Analítico!I$3&gt;='Gastos Gerais'!$D$4:$D$3632),-(Analítico!I$3&lt;='Gastos Gerais'!$E$4:$E$3632),-('Gastos Gerais'!$C$4:$C$3632))</f>
        <v>18200</v>
      </c>
      <c r="J98" s="134">
        <f>SUMPRODUCT(-('Gastos Gerais'!$B$4:$B$3632=Analítico!$B98),-(Analítico!J$3&gt;='Gastos Gerais'!$D$4:$D$3632),-(Analítico!J$3&lt;='Gastos Gerais'!$E$4:$E$3632),-('Gastos Gerais'!$C$4:$C$3632))</f>
        <v>18200</v>
      </c>
      <c r="K98" s="134">
        <f>SUMPRODUCT(-('Gastos Gerais'!$B$4:$B$3632=Analítico!$B98),-(Analítico!K$3&gt;='Gastos Gerais'!$D$4:$D$3632),-(Analítico!K$3&lt;='Gastos Gerais'!$E$4:$E$3632),-('Gastos Gerais'!$C$4:$C$3632))</f>
        <v>18200</v>
      </c>
      <c r="L98" s="134">
        <f>SUMPRODUCT(-('Gastos Gerais'!$B$4:$B$3632=Analítico!$B98),-(Analítico!L$3&gt;='Gastos Gerais'!$D$4:$D$3632),-(Analítico!L$3&lt;='Gastos Gerais'!$E$4:$E$3632),-('Gastos Gerais'!$C$4:$C$3632))</f>
        <v>18200</v>
      </c>
      <c r="M98" s="134">
        <f>SUMPRODUCT(-('Gastos Gerais'!$B$4:$B$3632=Analítico!$B98),-(Analítico!M$3&gt;='Gastos Gerais'!$D$4:$D$3632),-(Analítico!M$3&lt;='Gastos Gerais'!$E$4:$E$3632),-('Gastos Gerais'!$C$4:$C$3632))</f>
        <v>18200</v>
      </c>
      <c r="N98" s="134">
        <f>SUMPRODUCT(-('Gastos Gerais'!$B$4:$B$3632=Analítico!$B98),-(Analítico!N$3&gt;='Gastos Gerais'!$D$4:$D$3632),-(Analítico!N$3&lt;='Gastos Gerais'!$E$4:$E$3632),-('Gastos Gerais'!$C$4:$C$3632))</f>
        <v>19300</v>
      </c>
      <c r="O98" s="134">
        <f>SUMPRODUCT(-('Gastos Gerais'!$B$4:$B$3632=Analítico!$B98),-(Analítico!O$3&gt;='Gastos Gerais'!$D$4:$D$3632),-(Analítico!O$3&lt;='Gastos Gerais'!$E$4:$E$3632),-('Gastos Gerais'!$C$4:$C$3632))</f>
        <v>19300</v>
      </c>
      <c r="P98" s="134">
        <f>SUMPRODUCT(-('Gastos Gerais'!$B$4:$B$3632=Analítico!$B98),-(Analítico!P$3&gt;='Gastos Gerais'!$D$4:$D$3632),-(Analítico!P$3&lt;='Gastos Gerais'!$E$4:$E$3632),-('Gastos Gerais'!$C$4:$C$3632))</f>
        <v>21704.880000000005</v>
      </c>
      <c r="Q98" s="134">
        <f>SUMPRODUCT(-('Gastos Gerais'!$B$4:$B$3632=Analítico!$B98),-(Analítico!Q$3&gt;='Gastos Gerais'!$D$4:$D$3632),-(Analítico!Q$3&lt;='Gastos Gerais'!$E$4:$E$3632),-('Gastos Gerais'!$C$4:$C$3632))</f>
        <v>21704.880000000005</v>
      </c>
      <c r="R98" s="134">
        <f>SUMPRODUCT(-('Gastos Gerais'!$B$4:$B$3632=Analítico!$B98),-(Analítico!R$3&gt;='Gastos Gerais'!$D$4:$D$3632),-(Analítico!R$3&lt;='Gastos Gerais'!$E$4:$E$3632),-('Gastos Gerais'!$C$4:$C$3632))</f>
        <v>21704.880000000005</v>
      </c>
      <c r="S98" s="134">
        <f>SUMPRODUCT(-('Gastos Gerais'!$B$4:$B$3632=Analítico!$B98),-(Analítico!S$3&gt;='Gastos Gerais'!$D$4:$D$3632),-(Analítico!S$3&lt;='Gastos Gerais'!$E$4:$E$3632),-('Gastos Gerais'!$C$4:$C$3632))</f>
        <v>21704.880000000005</v>
      </c>
      <c r="T98" s="134">
        <f>SUMPRODUCT(-('Gastos Gerais'!$B$4:$B$3632=Analítico!$B98),-(Analítico!T$3&gt;='Gastos Gerais'!$D$4:$D$3632),-(Analítico!T$3&lt;='Gastos Gerais'!$E$4:$E$3632),-('Gastos Gerais'!$C$4:$C$3632))</f>
        <v>21704.880000000005</v>
      </c>
      <c r="U98" s="134">
        <f>SUMPRODUCT(-('Gastos Gerais'!$B$4:$B$3632=Analítico!$B98),-(Analítico!U$3&gt;='Gastos Gerais'!$D$4:$D$3632),-(Analítico!U$3&lt;='Gastos Gerais'!$E$4:$E$3632),-('Gastos Gerais'!$C$4:$C$3632))</f>
        <v>21704.880000000005</v>
      </c>
      <c r="V98" s="134">
        <f>SUMPRODUCT(-('Gastos Gerais'!$B$4:$B$3632=Analítico!$B98),-(Analítico!V$3&gt;='Gastos Gerais'!$D$4:$D$3632),-(Analítico!V$3&lt;='Gastos Gerais'!$E$4:$E$3632),-('Gastos Gerais'!$C$4:$C$3632))</f>
        <v>21704.880000000005</v>
      </c>
      <c r="W98" s="134">
        <f>SUMPRODUCT(-('Gastos Gerais'!$B$4:$B$3632=Analítico!$B98),-(Analítico!W$3&gt;='Gastos Gerais'!$D$4:$D$3632),-(Analítico!W$3&lt;='Gastos Gerais'!$E$4:$E$3632),-('Gastos Gerais'!$C$4:$C$3632))</f>
        <v>21704.880000000005</v>
      </c>
      <c r="X98" s="134">
        <f>SUMPRODUCT(-('Gastos Gerais'!$B$4:$B$3632=Analítico!$B98),-(Analítico!X$3&gt;='Gastos Gerais'!$D$4:$D$3632),-(Analítico!X$3&lt;='Gastos Gerais'!$E$4:$E$3632),-('Gastos Gerais'!$C$4:$C$3632))</f>
        <v>21704.880000000005</v>
      </c>
      <c r="Y98" s="134">
        <f>SUMPRODUCT(-('Gastos Gerais'!$B$4:$B$3632=Analítico!$B98),-(Analítico!Y$3&gt;='Gastos Gerais'!$D$4:$D$3632),-(Analítico!Y$3&lt;='Gastos Gerais'!$E$4:$E$3632),-('Gastos Gerais'!$C$4:$C$3632))</f>
        <v>21704.880000000005</v>
      </c>
      <c r="Z98" s="134">
        <f>SUMPRODUCT(-('Gastos Gerais'!$B$4:$B$3632=Analítico!$B98),-(Analítico!Z$3&gt;='Gastos Gerais'!$D$4:$D$3632),-(Analítico!Z$3&lt;='Gastos Gerais'!$E$4:$E$3632),-('Gastos Gerais'!$C$4:$C$3632))</f>
        <v>21704.880000000005</v>
      </c>
      <c r="AA98" s="134">
        <f>SUMPRODUCT(-('Gastos Gerais'!$B$4:$B$3632=Analítico!$B98),-(Analítico!AA$3&gt;='Gastos Gerais'!$D$4:$D$3632),-(Analítico!AA$3&lt;='Gastos Gerais'!$E$4:$E$3632),-('Gastos Gerais'!$C$4:$C$3632))</f>
        <v>21704.880000000005</v>
      </c>
      <c r="AB98" s="134">
        <f>SUMPRODUCT(-('Gastos Gerais'!$B$4:$B$3632=Analítico!$B98),-(Analítico!AB$3&gt;='Gastos Gerais'!$D$4:$D$3632),-(Analítico!AB$3&lt;='Gastos Gerais'!$E$4:$E$3632),-('Gastos Gerais'!$C$4:$C$3632))</f>
        <v>26042.82</v>
      </c>
      <c r="AC98" s="134">
        <f>SUMPRODUCT(-('Gastos Gerais'!$B$4:$B$3632=Analítico!$B98),-(Analítico!AC$3&gt;='Gastos Gerais'!$D$4:$D$3632),-(Analítico!AC$3&lt;='Gastos Gerais'!$E$4:$E$3632),-('Gastos Gerais'!$C$4:$C$3632))</f>
        <v>26042.82</v>
      </c>
      <c r="AD98" s="134">
        <f>SUMPRODUCT(-('Gastos Gerais'!$B$4:$B$3632=Analítico!$B98),-(Analítico!AD$3&gt;='Gastos Gerais'!$D$4:$D$3632),-(Analítico!AD$3&lt;='Gastos Gerais'!$E$4:$E$3632),-('Gastos Gerais'!$C$4:$C$3632))</f>
        <v>26042.82</v>
      </c>
      <c r="AE98" s="134">
        <f>SUMPRODUCT(-('Gastos Gerais'!$B$4:$B$3632=Analítico!$B98),-(Analítico!AE$3&gt;='Gastos Gerais'!$D$4:$D$3632),-(Analítico!AE$3&lt;='Gastos Gerais'!$E$4:$E$3632),-('Gastos Gerais'!$C$4:$C$3632))</f>
        <v>26042.82</v>
      </c>
      <c r="AF98" s="134">
        <f>SUMPRODUCT(-('Gastos Gerais'!$B$4:$B$3632=Analítico!$B98),-(Analítico!AF$3&gt;='Gastos Gerais'!$D$4:$D$3632),-(Analítico!AF$3&lt;='Gastos Gerais'!$E$4:$E$3632),-('Gastos Gerais'!$C$4:$C$3632))</f>
        <v>26042.82</v>
      </c>
      <c r="AG98" s="134">
        <f>SUMPRODUCT(-('Gastos Gerais'!$B$4:$B$3632=Analítico!$B98),-(Analítico!AG$3&gt;='Gastos Gerais'!$D$4:$D$3632),-(Analítico!AG$3&lt;='Gastos Gerais'!$E$4:$E$3632),-('Gastos Gerais'!$C$4:$C$3632))</f>
        <v>26042.82</v>
      </c>
      <c r="AH98" s="134">
        <f>SUMPRODUCT(-('Gastos Gerais'!$B$4:$B$3632=Analítico!$B98),-(Analítico!AH$3&gt;='Gastos Gerais'!$D$4:$D$3632),-(Analítico!AH$3&lt;='Gastos Gerais'!$E$4:$E$3632),-('Gastos Gerais'!$C$4:$C$3632))</f>
        <v>26042.82</v>
      </c>
      <c r="AI98" s="134">
        <f>SUMPRODUCT(-('Gastos Gerais'!$B$4:$B$3632=Analítico!$B98),-(Analítico!AI$3&gt;='Gastos Gerais'!$D$4:$D$3632),-(Analítico!AI$3&lt;='Gastos Gerais'!$E$4:$E$3632),-('Gastos Gerais'!$C$4:$C$3632))</f>
        <v>26042.82</v>
      </c>
      <c r="AJ98" s="134">
        <f>SUMPRODUCT(-('Gastos Gerais'!$B$4:$B$3632=Analítico!$B98),-(Analítico!AJ$3&gt;='Gastos Gerais'!$D$4:$D$3632),-(Analítico!AJ$3&lt;='Gastos Gerais'!$E$4:$E$3632),-('Gastos Gerais'!$C$4:$C$3632))</f>
        <v>26042.82</v>
      </c>
      <c r="AK98" s="134">
        <f>SUMPRODUCT(-('Gastos Gerais'!$B$4:$B$3632=Analítico!$B98),-(Analítico!AK$3&gt;='Gastos Gerais'!$D$4:$D$3632),-(Analítico!AK$3&lt;='Gastos Gerais'!$E$4:$E$3632),-('Gastos Gerais'!$C$4:$C$3632))</f>
        <v>26042.82</v>
      </c>
      <c r="AL98" s="134">
        <f>SUMPRODUCT(-('Gastos Gerais'!$B$4:$B$3632=Analítico!$B98),-(Analítico!AL$3&gt;='Gastos Gerais'!$D$4:$D$3632),-(Analítico!AL$3&lt;='Gastos Gerais'!$E$4:$E$3632),-('Gastos Gerais'!$C$4:$C$3632))</f>
        <v>26042.82</v>
      </c>
      <c r="AM98" s="134">
        <f>SUMPRODUCT(-('Gastos Gerais'!$B$4:$B$3632=Analítico!$B98),-(Analítico!AM$3&gt;='Gastos Gerais'!$D$4:$D$3632),-(Analítico!AM$3&lt;='Gastos Gerais'!$E$4:$E$3632),-('Gastos Gerais'!$C$4:$C$3632))</f>
        <v>26042.82</v>
      </c>
      <c r="AN98" s="134">
        <f>SUMPRODUCT(-('Gastos Gerais'!$B$4:$B$3632=Analítico!$B98),-(Analítico!AN$3&gt;='Gastos Gerais'!$D$4:$D$3632),-(Analítico!AN$3&lt;='Gastos Gerais'!$E$4:$E$3632),-('Gastos Gerais'!$C$4:$C$3632))</f>
        <v>27608.159999999996</v>
      </c>
      <c r="AO98" s="134">
        <f>SUMPRODUCT(-('Gastos Gerais'!$B$4:$B$3632=Analítico!$B98),-(Analítico!AO$3&gt;='Gastos Gerais'!$D$4:$D$3632),-(Analítico!AO$3&lt;='Gastos Gerais'!$E$4:$E$3632),-('Gastos Gerais'!$C$4:$C$3632))</f>
        <v>27608.159999999996</v>
      </c>
      <c r="AP98" s="134">
        <f>SUMPRODUCT(-('Gastos Gerais'!$B$4:$B$3632=Analítico!$B98),-(Analítico!AP$3&gt;='Gastos Gerais'!$D$4:$D$3632),-(Analítico!AP$3&lt;='Gastos Gerais'!$E$4:$E$3632),-('Gastos Gerais'!$C$4:$C$3632))</f>
        <v>27608.159999999996</v>
      </c>
      <c r="AQ98" s="134">
        <f>SUMPRODUCT(-('Gastos Gerais'!$B$4:$B$3632=Analítico!$B98),-(Analítico!AQ$3&gt;='Gastos Gerais'!$D$4:$D$3632),-(Analítico!AQ$3&lt;='Gastos Gerais'!$E$4:$E$3632),-('Gastos Gerais'!$C$4:$C$3632))</f>
        <v>27608.159999999996</v>
      </c>
      <c r="AR98" s="134">
        <f>SUMPRODUCT(-('Gastos Gerais'!$B$4:$B$3632=Analítico!$B98),-(Analítico!AR$3&gt;='Gastos Gerais'!$D$4:$D$3632),-(Analítico!AR$3&lt;='Gastos Gerais'!$E$4:$E$3632),-('Gastos Gerais'!$C$4:$C$3632))</f>
        <v>27608.159999999996</v>
      </c>
      <c r="AS98" s="134">
        <f>SUMPRODUCT(-('Gastos Gerais'!$B$4:$B$3632=Analítico!$B98),-(Analítico!AS$3&gt;='Gastos Gerais'!$D$4:$D$3632),-(Analítico!AS$3&lt;='Gastos Gerais'!$E$4:$E$3632),-('Gastos Gerais'!$C$4:$C$3632))</f>
        <v>27608.159999999996</v>
      </c>
      <c r="AT98" s="134">
        <f>SUMPRODUCT(-('Gastos Gerais'!$B$4:$B$3632=Analítico!$B98),-(Analítico!AT$3&gt;='Gastos Gerais'!$D$4:$D$3632),-(Analítico!AT$3&lt;='Gastos Gerais'!$E$4:$E$3632),-('Gastos Gerais'!$C$4:$C$3632))</f>
        <v>27608.159999999996</v>
      </c>
      <c r="AU98" s="134">
        <f>SUMPRODUCT(-('Gastos Gerais'!$B$4:$B$3632=Analítico!$B98),-(Analítico!AU$3&gt;='Gastos Gerais'!$D$4:$D$3632),-(Analítico!AU$3&lt;='Gastos Gerais'!$E$4:$E$3632),-('Gastos Gerais'!$C$4:$C$3632))</f>
        <v>27608.159999999996</v>
      </c>
      <c r="AV98" s="134">
        <f>SUMPRODUCT(-('Gastos Gerais'!$B$4:$B$3632=Analítico!$B98),-(Analítico!AV$3&gt;='Gastos Gerais'!$D$4:$D$3632),-(Analítico!AV$3&lt;='Gastos Gerais'!$E$4:$E$3632),-('Gastos Gerais'!$C$4:$C$3632))</f>
        <v>27608.159999999996</v>
      </c>
      <c r="AW98" s="134">
        <f>SUMPRODUCT(-('Gastos Gerais'!$B$4:$B$3632=Analítico!$B98),-(Analítico!AW$3&gt;='Gastos Gerais'!$D$4:$D$3632),-(Analítico!AW$3&lt;='Gastos Gerais'!$E$4:$E$3632),-('Gastos Gerais'!$C$4:$C$3632))</f>
        <v>27608.159999999996</v>
      </c>
      <c r="AX98" s="134">
        <f>SUMPRODUCT(-('Gastos Gerais'!$B$4:$B$3632=Analítico!$B98),-(Analítico!AX$3&gt;='Gastos Gerais'!$D$4:$D$3632),-(Analítico!AX$3&lt;='Gastos Gerais'!$E$4:$E$3632),-('Gastos Gerais'!$C$4:$C$3632))</f>
        <v>27608.159999999996</v>
      </c>
      <c r="AY98" s="134">
        <f>SUMPRODUCT(-('Gastos Gerais'!$B$4:$B$3632=Analítico!$B98),-(Analítico!AY$3&gt;='Gastos Gerais'!$D$4:$D$3632),-(Analítico!AY$3&lt;='Gastos Gerais'!$E$4:$E$3632),-('Gastos Gerais'!$C$4:$C$3632))</f>
        <v>27608.159999999996</v>
      </c>
      <c r="AZ98" s="134">
        <f>SUMPRODUCT(-('Gastos Gerais'!$B$4:$B$3632=Analítico!$B98),-(Analítico!AZ$3&gt;='Gastos Gerais'!$D$4:$D$3632),-(Analítico!AZ$3&lt;='Gastos Gerais'!$E$4:$E$3632),-('Gastos Gerais'!$C$4:$C$3632))</f>
        <v>29028.999999999993</v>
      </c>
      <c r="BA98" s="134">
        <f>SUMPRODUCT(-('Gastos Gerais'!$B$4:$B$3632=Analítico!$B98),-(Analítico!BA$3&gt;='Gastos Gerais'!$D$4:$D$3632),-(Analítico!BA$3&lt;='Gastos Gerais'!$E$4:$E$3632),-('Gastos Gerais'!$C$4:$C$3632))</f>
        <v>29028.999999999993</v>
      </c>
      <c r="BB98" s="134">
        <f>SUMPRODUCT(-('Gastos Gerais'!$B$4:$B$3632=Analítico!$B98),-(Analítico!BB$3&gt;='Gastos Gerais'!$D$4:$D$3632),-(Analítico!BB$3&lt;='Gastos Gerais'!$E$4:$E$3632),-('Gastos Gerais'!$C$4:$C$3632))</f>
        <v>29028.999999999993</v>
      </c>
      <c r="BC98" s="134">
        <f>SUMPRODUCT(-('Gastos Gerais'!$B$4:$B$3632=Analítico!$B98),-(Analítico!BC$3&gt;='Gastos Gerais'!$D$4:$D$3632),-(Analítico!BC$3&lt;='Gastos Gerais'!$E$4:$E$3632),-('Gastos Gerais'!$C$4:$C$3632))</f>
        <v>29028.999999999993</v>
      </c>
      <c r="BD98" s="134">
        <f>SUMPRODUCT(-('Gastos Gerais'!$B$4:$B$3632=Analítico!$B98),-(Analítico!BD$3&gt;='Gastos Gerais'!$D$4:$D$3632),-(Analítico!BD$3&lt;='Gastos Gerais'!$E$4:$E$3632),-('Gastos Gerais'!$C$4:$C$3632))</f>
        <v>29028.999999999993</v>
      </c>
      <c r="BE98" s="134">
        <f>SUMPRODUCT(-('Gastos Gerais'!$B$4:$B$3632=Analítico!$B98),-(Analítico!BE$3&gt;='Gastos Gerais'!$D$4:$D$3632),-(Analítico!BE$3&lt;='Gastos Gerais'!$E$4:$E$3632),-('Gastos Gerais'!$C$4:$C$3632))</f>
        <v>29028.999999999993</v>
      </c>
      <c r="BF98" s="134">
        <f>SUMPRODUCT(-('Gastos Gerais'!$B$4:$B$3632=Analítico!$B98),-(Analítico!BF$3&gt;='Gastos Gerais'!$D$4:$D$3632),-(Analítico!BF$3&lt;='Gastos Gerais'!$E$4:$E$3632),-('Gastos Gerais'!$C$4:$C$3632))</f>
        <v>29028.999999999993</v>
      </c>
      <c r="BG98" s="134">
        <f>SUMPRODUCT(-('Gastos Gerais'!$B$4:$B$3632=Analítico!$B98),-(Analítico!BG$3&gt;='Gastos Gerais'!$D$4:$D$3632),-(Analítico!BG$3&lt;='Gastos Gerais'!$E$4:$E$3632),-('Gastos Gerais'!$C$4:$C$3632))</f>
        <v>29028.999999999993</v>
      </c>
      <c r="BH98" s="134">
        <f>SUMPRODUCT(-('Gastos Gerais'!$B$4:$B$3632=Analítico!$B98),-(Analítico!BH$3&gt;='Gastos Gerais'!$D$4:$D$3632),-(Analítico!BH$3&lt;='Gastos Gerais'!$E$4:$E$3632),-('Gastos Gerais'!$C$4:$C$3632))</f>
        <v>29028.999999999993</v>
      </c>
      <c r="BI98" s="134">
        <f>SUMPRODUCT(-('Gastos Gerais'!$B$4:$B$3632=Analítico!$B98),-(Analítico!BI$3&gt;='Gastos Gerais'!$D$4:$D$3632),-(Analítico!BI$3&lt;='Gastos Gerais'!$E$4:$E$3632),-('Gastos Gerais'!$C$4:$C$3632))</f>
        <v>29028.999999999993</v>
      </c>
      <c r="BJ98" s="134">
        <f>SUMPRODUCT(-('Gastos Gerais'!$B$4:$B$3632=Analítico!$B98),-(Analítico!BJ$3&gt;='Gastos Gerais'!$D$4:$D$3632),-(Analítico!BJ$3&lt;='Gastos Gerais'!$E$4:$E$3632),-('Gastos Gerais'!$C$4:$C$3632))</f>
        <v>29028.999999999993</v>
      </c>
      <c r="BK98" s="189">
        <f t="shared" si="39"/>
        <v>1448869.3199999996</v>
      </c>
      <c r="BL98" s="136">
        <f t="shared" ca="1" si="40"/>
        <v>4.3303876006702798E-3</v>
      </c>
      <c r="BN98" s="134">
        <f>SUMPRODUCT(-('Gastos Gerais'!$B$4:$B$3632=Analítico!$B98),-(Analítico!BN$3&gt;='Gastos Gerais'!$D$4:$D$3632),-(Analítico!BN$3&lt;='Gastos Gerais'!$E$4:$E$3632),-('Gastos Gerais'!$C$4:$C$3632))</f>
        <v>15600</v>
      </c>
    </row>
    <row r="99" spans="1:66" s="160" customFormat="1" ht="23.25" customHeight="1">
      <c r="A99" s="229" t="s">
        <v>275</v>
      </c>
      <c r="B99" s="232" t="s">
        <v>276</v>
      </c>
      <c r="C99" s="188">
        <f t="shared" si="36"/>
        <v>105</v>
      </c>
      <c r="D99" s="134">
        <f>SUMPRODUCT(-('Gastos Gerais'!$B$4:$B$3632=Analítico!$B99),-(Analítico!D$3&gt;='Gastos Gerais'!$D$4:$D$3632),-(Analítico!D$3&lt;='Gastos Gerais'!$E$4:$E$3632),-('Gastos Gerais'!$C$4:$C$3632))</f>
        <v>1450</v>
      </c>
      <c r="E99" s="134">
        <f>SUMPRODUCT(-('Gastos Gerais'!$B$4:$B$3632=Analítico!$B99),-(Analítico!E$3&gt;='Gastos Gerais'!$D$4:$D$3632),-(Analítico!E$3&lt;='Gastos Gerais'!$E$4:$E$3632),-('Gastos Gerais'!$C$4:$C$3632))</f>
        <v>2550</v>
      </c>
      <c r="F99" s="134">
        <f>SUMPRODUCT(-('Gastos Gerais'!$B$4:$B$3632=Analítico!$B99),-(Analítico!F$3&gt;='Gastos Gerais'!$D$4:$D$3632),-(Analítico!F$3&lt;='Gastos Gerais'!$E$4:$E$3632),-('Gastos Gerais'!$C$4:$C$3632))</f>
        <v>2550</v>
      </c>
      <c r="G99" s="134">
        <f>SUMPRODUCT(-('Gastos Gerais'!$B$4:$B$3632=Analítico!$B99),-(Analítico!G$3&gt;='Gastos Gerais'!$D$4:$D$3632),-(Analítico!G$3&lt;='Gastos Gerais'!$E$4:$E$3632),-('Gastos Gerais'!$C$4:$C$3632))</f>
        <v>2550</v>
      </c>
      <c r="H99" s="134">
        <f>SUMPRODUCT(-('Gastos Gerais'!$B$4:$B$3632=Analítico!$B99),-(Analítico!H$3&gt;='Gastos Gerais'!$D$4:$D$3632),-(Analítico!H$3&lt;='Gastos Gerais'!$E$4:$E$3632),-('Gastos Gerais'!$C$4:$C$3632))</f>
        <v>2550</v>
      </c>
      <c r="I99" s="134">
        <f>SUMPRODUCT(-('Gastos Gerais'!$B$4:$B$3632=Analítico!$B99),-(Analítico!I$3&gt;='Gastos Gerais'!$D$4:$D$3632),-(Analítico!I$3&lt;='Gastos Gerais'!$E$4:$E$3632),-('Gastos Gerais'!$C$4:$C$3632))</f>
        <v>2550</v>
      </c>
      <c r="J99" s="134">
        <f>SUMPRODUCT(-('Gastos Gerais'!$B$4:$B$3632=Analítico!$B99),-(Analítico!J$3&gt;='Gastos Gerais'!$D$4:$D$3632),-(Analítico!J$3&lt;='Gastos Gerais'!$E$4:$E$3632),-('Gastos Gerais'!$C$4:$C$3632))</f>
        <v>2550</v>
      </c>
      <c r="K99" s="134">
        <f>SUMPRODUCT(-('Gastos Gerais'!$B$4:$B$3632=Analítico!$B99),-(Analítico!K$3&gt;='Gastos Gerais'!$D$4:$D$3632),-(Analítico!K$3&lt;='Gastos Gerais'!$E$4:$E$3632),-('Gastos Gerais'!$C$4:$C$3632))</f>
        <v>2550</v>
      </c>
      <c r="L99" s="134">
        <f>SUMPRODUCT(-('Gastos Gerais'!$B$4:$B$3632=Analítico!$B99),-(Analítico!L$3&gt;='Gastos Gerais'!$D$4:$D$3632),-(Analítico!L$3&lt;='Gastos Gerais'!$E$4:$E$3632),-('Gastos Gerais'!$C$4:$C$3632))</f>
        <v>2550</v>
      </c>
      <c r="M99" s="134">
        <f>SUMPRODUCT(-('Gastos Gerais'!$B$4:$B$3632=Analítico!$B99),-(Analítico!M$3&gt;='Gastos Gerais'!$D$4:$D$3632),-(Analítico!M$3&lt;='Gastos Gerais'!$E$4:$E$3632),-('Gastos Gerais'!$C$4:$C$3632))</f>
        <v>2550</v>
      </c>
      <c r="N99" s="134">
        <f>SUMPRODUCT(-('Gastos Gerais'!$B$4:$B$3632=Analítico!$B99),-(Analítico!N$3&gt;='Gastos Gerais'!$D$4:$D$3632),-(Analítico!N$3&lt;='Gastos Gerais'!$E$4:$E$3632),-('Gastos Gerais'!$C$4:$C$3632))</f>
        <v>2550</v>
      </c>
      <c r="O99" s="134">
        <f>SUMPRODUCT(-('Gastos Gerais'!$B$4:$B$3632=Analítico!$B99),-(Analítico!O$3&gt;='Gastos Gerais'!$D$4:$D$3632),-(Analítico!O$3&lt;='Gastos Gerais'!$E$4:$E$3632),-('Gastos Gerais'!$C$4:$C$3632))</f>
        <v>3220</v>
      </c>
      <c r="P99" s="134">
        <f>SUMPRODUCT(-('Gastos Gerais'!$B$4:$B$3632=Analítico!$B99),-(Analítico!P$3&gt;='Gastos Gerais'!$D$4:$D$3632),-(Analítico!P$3&lt;='Gastos Gerais'!$E$4:$E$3632),-('Gastos Gerais'!$C$4:$C$3632))</f>
        <v>14282.56</v>
      </c>
      <c r="Q99" s="134">
        <f>SUMPRODUCT(-('Gastos Gerais'!$B$4:$B$3632=Analítico!$B99),-(Analítico!Q$3&gt;='Gastos Gerais'!$D$4:$D$3632),-(Analítico!Q$3&lt;='Gastos Gerais'!$E$4:$E$3632),-('Gastos Gerais'!$C$4:$C$3632))</f>
        <v>14282.56</v>
      </c>
      <c r="R99" s="134">
        <f>SUMPRODUCT(-('Gastos Gerais'!$B$4:$B$3632=Analítico!$B99),-(Analítico!R$3&gt;='Gastos Gerais'!$D$4:$D$3632),-(Analítico!R$3&lt;='Gastos Gerais'!$E$4:$E$3632),-('Gastos Gerais'!$C$4:$C$3632))</f>
        <v>14282.56</v>
      </c>
      <c r="S99" s="134">
        <f>SUMPRODUCT(-('Gastos Gerais'!$B$4:$B$3632=Analítico!$B99),-(Analítico!S$3&gt;='Gastos Gerais'!$D$4:$D$3632),-(Analítico!S$3&lt;='Gastos Gerais'!$E$4:$E$3632),-('Gastos Gerais'!$C$4:$C$3632))</f>
        <v>13011.279999999999</v>
      </c>
      <c r="T99" s="134">
        <f>SUMPRODUCT(-('Gastos Gerais'!$B$4:$B$3632=Analítico!$B99),-(Analítico!T$3&gt;='Gastos Gerais'!$D$4:$D$3632),-(Analítico!T$3&lt;='Gastos Gerais'!$E$4:$E$3632),-('Gastos Gerais'!$C$4:$C$3632))</f>
        <v>13011.279999999999</v>
      </c>
      <c r="U99" s="134">
        <f>SUMPRODUCT(-('Gastos Gerais'!$B$4:$B$3632=Analítico!$B99),-(Analítico!U$3&gt;='Gastos Gerais'!$D$4:$D$3632),-(Analítico!U$3&lt;='Gastos Gerais'!$E$4:$E$3632),-('Gastos Gerais'!$C$4:$C$3632))</f>
        <v>11740</v>
      </c>
      <c r="V99" s="134">
        <f>SUMPRODUCT(-('Gastos Gerais'!$B$4:$B$3632=Analítico!$B99),-(Analítico!V$3&gt;='Gastos Gerais'!$D$4:$D$3632),-(Analítico!V$3&lt;='Gastos Gerais'!$E$4:$E$3632),-('Gastos Gerais'!$C$4:$C$3632))</f>
        <v>11740</v>
      </c>
      <c r="W99" s="134">
        <f>SUMPRODUCT(-('Gastos Gerais'!$B$4:$B$3632=Analítico!$B99),-(Analítico!W$3&gt;='Gastos Gerais'!$D$4:$D$3632),-(Analítico!W$3&lt;='Gastos Gerais'!$E$4:$E$3632),-('Gastos Gerais'!$C$4:$C$3632))</f>
        <v>11740</v>
      </c>
      <c r="X99" s="134">
        <f>SUMPRODUCT(-('Gastos Gerais'!$B$4:$B$3632=Analítico!$B99),-(Analítico!X$3&gt;='Gastos Gerais'!$D$4:$D$3632),-(Analítico!X$3&lt;='Gastos Gerais'!$E$4:$E$3632),-('Gastos Gerais'!$C$4:$C$3632))</f>
        <v>11740</v>
      </c>
      <c r="Y99" s="134">
        <f>SUMPRODUCT(-('Gastos Gerais'!$B$4:$B$3632=Analítico!$B99),-(Analítico!Y$3&gt;='Gastos Gerais'!$D$4:$D$3632),-(Analítico!Y$3&lt;='Gastos Gerais'!$E$4:$E$3632),-('Gastos Gerais'!$C$4:$C$3632))</f>
        <v>11740</v>
      </c>
      <c r="Z99" s="134">
        <f>SUMPRODUCT(-('Gastos Gerais'!$B$4:$B$3632=Analítico!$B99),-(Analítico!Z$3&gt;='Gastos Gerais'!$D$4:$D$3632),-(Analítico!Z$3&lt;='Gastos Gerais'!$E$4:$E$3632),-('Gastos Gerais'!$C$4:$C$3632))</f>
        <v>11740</v>
      </c>
      <c r="AA99" s="134">
        <f>SUMPRODUCT(-('Gastos Gerais'!$B$4:$B$3632=Analítico!$B99),-(Analítico!AA$3&gt;='Gastos Gerais'!$D$4:$D$3632),-(Analítico!AA$3&lt;='Gastos Gerais'!$E$4:$E$3632),-('Gastos Gerais'!$C$4:$C$3632))</f>
        <v>11740</v>
      </c>
      <c r="AB99" s="134">
        <f>SUMPRODUCT(-('Gastos Gerais'!$B$4:$B$3632=Analítico!$B99),-(Analítico!AB$3&gt;='Gastos Gerais'!$D$4:$D$3632),-(Analítico!AB$3&lt;='Gastos Gerais'!$E$4:$E$3632),-('Gastos Gerais'!$C$4:$C$3632))</f>
        <v>14431.06</v>
      </c>
      <c r="AC99" s="134">
        <f>SUMPRODUCT(-('Gastos Gerais'!$B$4:$B$3632=Analítico!$B99),-(Analítico!AC$3&gt;='Gastos Gerais'!$D$4:$D$3632),-(Analítico!AC$3&lt;='Gastos Gerais'!$E$4:$E$3632),-('Gastos Gerais'!$C$4:$C$3632))</f>
        <v>14431.06</v>
      </c>
      <c r="AD99" s="134">
        <f>SUMPRODUCT(-('Gastos Gerais'!$B$4:$B$3632=Analítico!$B99),-(Analítico!AD$3&gt;='Gastos Gerais'!$D$4:$D$3632),-(Analítico!AD$3&lt;='Gastos Gerais'!$E$4:$E$3632),-('Gastos Gerais'!$C$4:$C$3632))</f>
        <v>14431.06</v>
      </c>
      <c r="AE99" s="134">
        <f>SUMPRODUCT(-('Gastos Gerais'!$B$4:$B$3632=Analítico!$B99),-(Analítico!AE$3&gt;='Gastos Gerais'!$D$4:$D$3632),-(Analítico!AE$3&lt;='Gastos Gerais'!$E$4:$E$3632),-('Gastos Gerais'!$C$4:$C$3632))</f>
        <v>11740</v>
      </c>
      <c r="AF99" s="134">
        <f>SUMPRODUCT(-('Gastos Gerais'!$B$4:$B$3632=Analítico!$B99),-(Analítico!AF$3&gt;='Gastos Gerais'!$D$4:$D$3632),-(Analítico!AF$3&lt;='Gastos Gerais'!$E$4:$E$3632),-('Gastos Gerais'!$C$4:$C$3632))</f>
        <v>11740</v>
      </c>
      <c r="AG99" s="134">
        <f>SUMPRODUCT(-('Gastos Gerais'!$B$4:$B$3632=Analítico!$B99),-(Analítico!AG$3&gt;='Gastos Gerais'!$D$4:$D$3632),-(Analítico!AG$3&lt;='Gastos Gerais'!$E$4:$E$3632),-('Gastos Gerais'!$C$4:$C$3632))</f>
        <v>11740</v>
      </c>
      <c r="AH99" s="134">
        <f>SUMPRODUCT(-('Gastos Gerais'!$B$4:$B$3632=Analítico!$B99),-(Analítico!AH$3&gt;='Gastos Gerais'!$D$4:$D$3632),-(Analítico!AH$3&lt;='Gastos Gerais'!$E$4:$E$3632),-('Gastos Gerais'!$C$4:$C$3632))</f>
        <v>11740</v>
      </c>
      <c r="AI99" s="134">
        <f>SUMPRODUCT(-('Gastos Gerais'!$B$4:$B$3632=Analítico!$B99),-(Analítico!AI$3&gt;='Gastos Gerais'!$D$4:$D$3632),-(Analítico!AI$3&lt;='Gastos Gerais'!$E$4:$E$3632),-('Gastos Gerais'!$C$4:$C$3632))</f>
        <v>11740</v>
      </c>
      <c r="AJ99" s="134">
        <f>SUMPRODUCT(-('Gastos Gerais'!$B$4:$B$3632=Analítico!$B99),-(Analítico!AJ$3&gt;='Gastos Gerais'!$D$4:$D$3632),-(Analítico!AJ$3&lt;='Gastos Gerais'!$E$4:$E$3632),-('Gastos Gerais'!$C$4:$C$3632))</f>
        <v>11740</v>
      </c>
      <c r="AK99" s="134">
        <f>SUMPRODUCT(-('Gastos Gerais'!$B$4:$B$3632=Analítico!$B99),-(Analítico!AK$3&gt;='Gastos Gerais'!$D$4:$D$3632),-(Analítico!AK$3&lt;='Gastos Gerais'!$E$4:$E$3632),-('Gastos Gerais'!$C$4:$C$3632))</f>
        <v>11740</v>
      </c>
      <c r="AL99" s="134">
        <f>SUMPRODUCT(-('Gastos Gerais'!$B$4:$B$3632=Analítico!$B99),-(Analítico!AL$3&gt;='Gastos Gerais'!$D$4:$D$3632),-(Analítico!AL$3&lt;='Gastos Gerais'!$E$4:$E$3632),-('Gastos Gerais'!$C$4:$C$3632))</f>
        <v>11740</v>
      </c>
      <c r="AM99" s="134">
        <f>SUMPRODUCT(-('Gastos Gerais'!$B$4:$B$3632=Analítico!$B99),-(Analítico!AM$3&gt;='Gastos Gerais'!$D$4:$D$3632),-(Analítico!AM$3&lt;='Gastos Gerais'!$E$4:$E$3632),-('Gastos Gerais'!$C$4:$C$3632))</f>
        <v>11740</v>
      </c>
      <c r="AN99" s="134">
        <f>SUMPRODUCT(-('Gastos Gerais'!$B$4:$B$3632=Analítico!$B99),-(Analítico!AN$3&gt;='Gastos Gerais'!$D$4:$D$3632),-(Analítico!AN$3&lt;='Gastos Gerais'!$E$4:$E$3632),-('Gastos Gerais'!$C$4:$C$3632))</f>
        <v>14588.22</v>
      </c>
      <c r="AO99" s="134">
        <f>SUMPRODUCT(-('Gastos Gerais'!$B$4:$B$3632=Analítico!$B99),-(Analítico!AO$3&gt;='Gastos Gerais'!$D$4:$D$3632),-(Analítico!AO$3&lt;='Gastos Gerais'!$E$4:$E$3632),-('Gastos Gerais'!$C$4:$C$3632))</f>
        <v>14588.22</v>
      </c>
      <c r="AP99" s="134">
        <f>SUMPRODUCT(-('Gastos Gerais'!$B$4:$B$3632=Analítico!$B99),-(Analítico!AP$3&gt;='Gastos Gerais'!$D$4:$D$3632),-(Analítico!AP$3&lt;='Gastos Gerais'!$E$4:$E$3632),-('Gastos Gerais'!$C$4:$C$3632))</f>
        <v>14588.22</v>
      </c>
      <c r="AQ99" s="134">
        <f>SUMPRODUCT(-('Gastos Gerais'!$B$4:$B$3632=Analítico!$B99),-(Analítico!AQ$3&gt;='Gastos Gerais'!$D$4:$D$3632),-(Analítico!AQ$3&lt;='Gastos Gerais'!$E$4:$E$3632),-('Gastos Gerais'!$C$4:$C$3632))</f>
        <v>11740</v>
      </c>
      <c r="AR99" s="134">
        <f>SUMPRODUCT(-('Gastos Gerais'!$B$4:$B$3632=Analítico!$B99),-(Analítico!AR$3&gt;='Gastos Gerais'!$D$4:$D$3632),-(Analítico!AR$3&lt;='Gastos Gerais'!$E$4:$E$3632),-('Gastos Gerais'!$C$4:$C$3632))</f>
        <v>11740</v>
      </c>
      <c r="AS99" s="134">
        <f>SUMPRODUCT(-('Gastos Gerais'!$B$4:$B$3632=Analítico!$B99),-(Analítico!AS$3&gt;='Gastos Gerais'!$D$4:$D$3632),-(Analítico!AS$3&lt;='Gastos Gerais'!$E$4:$E$3632),-('Gastos Gerais'!$C$4:$C$3632))</f>
        <v>11740</v>
      </c>
      <c r="AT99" s="134">
        <f>SUMPRODUCT(-('Gastos Gerais'!$B$4:$B$3632=Analítico!$B99),-(Analítico!AT$3&gt;='Gastos Gerais'!$D$4:$D$3632),-(Analítico!AT$3&lt;='Gastos Gerais'!$E$4:$E$3632),-('Gastos Gerais'!$C$4:$C$3632))</f>
        <v>11740</v>
      </c>
      <c r="AU99" s="134">
        <f>SUMPRODUCT(-('Gastos Gerais'!$B$4:$B$3632=Analítico!$B99),-(Analítico!AU$3&gt;='Gastos Gerais'!$D$4:$D$3632),-(Analítico!AU$3&lt;='Gastos Gerais'!$E$4:$E$3632),-('Gastos Gerais'!$C$4:$C$3632))</f>
        <v>11740</v>
      </c>
      <c r="AV99" s="134">
        <f>SUMPRODUCT(-('Gastos Gerais'!$B$4:$B$3632=Analítico!$B99),-(Analítico!AV$3&gt;='Gastos Gerais'!$D$4:$D$3632),-(Analítico!AV$3&lt;='Gastos Gerais'!$E$4:$E$3632),-('Gastos Gerais'!$C$4:$C$3632))</f>
        <v>11740</v>
      </c>
      <c r="AW99" s="134">
        <f>SUMPRODUCT(-('Gastos Gerais'!$B$4:$B$3632=Analítico!$B99),-(Analítico!AW$3&gt;='Gastos Gerais'!$D$4:$D$3632),-(Analítico!AW$3&lt;='Gastos Gerais'!$E$4:$E$3632),-('Gastos Gerais'!$C$4:$C$3632))</f>
        <v>11740</v>
      </c>
      <c r="AX99" s="134">
        <f>SUMPRODUCT(-('Gastos Gerais'!$B$4:$B$3632=Analítico!$B99),-(Analítico!AX$3&gt;='Gastos Gerais'!$D$4:$D$3632),-(Analítico!AX$3&lt;='Gastos Gerais'!$E$4:$E$3632),-('Gastos Gerais'!$C$4:$C$3632))</f>
        <v>11740</v>
      </c>
      <c r="AY99" s="134">
        <f>SUMPRODUCT(-('Gastos Gerais'!$B$4:$B$3632=Analítico!$B99),-(Analítico!AY$3&gt;='Gastos Gerais'!$D$4:$D$3632),-(Analítico!AY$3&lt;='Gastos Gerais'!$E$4:$E$3632),-('Gastos Gerais'!$C$4:$C$3632))</f>
        <v>11740</v>
      </c>
      <c r="AZ99" s="134">
        <f>SUMPRODUCT(-('Gastos Gerais'!$B$4:$B$3632=Analítico!$B99),-(Analítico!AZ$3&gt;='Gastos Gerais'!$D$4:$D$3632),-(Analítico!AZ$3&lt;='Gastos Gerais'!$E$4:$E$3632),-('Gastos Gerais'!$C$4:$C$3632))</f>
        <v>14754.54</v>
      </c>
      <c r="BA99" s="134">
        <f>SUMPRODUCT(-('Gastos Gerais'!$B$4:$B$3632=Analítico!$B99),-(Analítico!BA$3&gt;='Gastos Gerais'!$D$4:$D$3632),-(Analítico!BA$3&lt;='Gastos Gerais'!$E$4:$E$3632),-('Gastos Gerais'!$C$4:$C$3632))</f>
        <v>14754.54</v>
      </c>
      <c r="BB99" s="134">
        <f>SUMPRODUCT(-('Gastos Gerais'!$B$4:$B$3632=Analítico!$B99),-(Analítico!BB$3&gt;='Gastos Gerais'!$D$4:$D$3632),-(Analítico!BB$3&lt;='Gastos Gerais'!$E$4:$E$3632),-('Gastos Gerais'!$C$4:$C$3632))</f>
        <v>14754.54</v>
      </c>
      <c r="BC99" s="134">
        <f>SUMPRODUCT(-('Gastos Gerais'!$B$4:$B$3632=Analítico!$B99),-(Analítico!BC$3&gt;='Gastos Gerais'!$D$4:$D$3632),-(Analítico!BC$3&lt;='Gastos Gerais'!$E$4:$E$3632),-('Gastos Gerais'!$C$4:$C$3632))</f>
        <v>11740</v>
      </c>
      <c r="BD99" s="134">
        <f>SUMPRODUCT(-('Gastos Gerais'!$B$4:$B$3632=Analítico!$B99),-(Analítico!BD$3&gt;='Gastos Gerais'!$D$4:$D$3632),-(Analítico!BD$3&lt;='Gastos Gerais'!$E$4:$E$3632),-('Gastos Gerais'!$C$4:$C$3632))</f>
        <v>11740</v>
      </c>
      <c r="BE99" s="134">
        <f>SUMPRODUCT(-('Gastos Gerais'!$B$4:$B$3632=Analítico!$B99),-(Analítico!BE$3&gt;='Gastos Gerais'!$D$4:$D$3632),-(Analítico!BE$3&lt;='Gastos Gerais'!$E$4:$E$3632),-('Gastos Gerais'!$C$4:$C$3632))</f>
        <v>11740</v>
      </c>
      <c r="BF99" s="134">
        <f>SUMPRODUCT(-('Gastos Gerais'!$B$4:$B$3632=Analítico!$B99),-(Analítico!BF$3&gt;='Gastos Gerais'!$D$4:$D$3632),-(Analítico!BF$3&lt;='Gastos Gerais'!$E$4:$E$3632),-('Gastos Gerais'!$C$4:$C$3632))</f>
        <v>11740</v>
      </c>
      <c r="BG99" s="134">
        <f>SUMPRODUCT(-('Gastos Gerais'!$B$4:$B$3632=Analítico!$B99),-(Analítico!BG$3&gt;='Gastos Gerais'!$D$4:$D$3632),-(Analítico!BG$3&lt;='Gastos Gerais'!$E$4:$E$3632),-('Gastos Gerais'!$C$4:$C$3632))</f>
        <v>11740</v>
      </c>
      <c r="BH99" s="134">
        <f>SUMPRODUCT(-('Gastos Gerais'!$B$4:$B$3632=Analítico!$B99),-(Analítico!BH$3&gt;='Gastos Gerais'!$D$4:$D$3632),-(Analítico!BH$3&lt;='Gastos Gerais'!$E$4:$E$3632),-('Gastos Gerais'!$C$4:$C$3632))</f>
        <v>11740</v>
      </c>
      <c r="BI99" s="134">
        <f>SUMPRODUCT(-('Gastos Gerais'!$B$4:$B$3632=Analítico!$B99),-(Analítico!BI$3&gt;='Gastos Gerais'!$D$4:$D$3632),-(Analítico!BI$3&lt;='Gastos Gerais'!$E$4:$E$3632),-('Gastos Gerais'!$C$4:$C$3632))</f>
        <v>11740</v>
      </c>
      <c r="BJ99" s="134">
        <f>SUMPRODUCT(-('Gastos Gerais'!$B$4:$B$3632=Analítico!$B99),-(Analítico!BJ$3&gt;='Gastos Gerais'!$D$4:$D$3632),-(Analítico!BJ$3&lt;='Gastos Gerais'!$E$4:$E$3632),-('Gastos Gerais'!$C$4:$C$3632))</f>
        <v>11740</v>
      </c>
      <c r="BK99" s="189">
        <f t="shared" si="39"/>
        <v>617886.69999999984</v>
      </c>
      <c r="BL99" s="136">
        <f t="shared" ca="1" si="40"/>
        <v>1.8467427444036684E-3</v>
      </c>
      <c r="BN99" s="134">
        <f>SUMPRODUCT(-('Gastos Gerais'!$B$4:$B$3632=Analítico!$B99),-(Analítico!BN$3&gt;='Gastos Gerais'!$D$4:$D$3632),-(Analítico!BN$3&lt;='Gastos Gerais'!$E$4:$E$3632),-('Gastos Gerais'!$C$4:$C$3632))</f>
        <v>350</v>
      </c>
    </row>
    <row r="100" spans="1:66" s="160" customFormat="1" ht="23.25" customHeight="1">
      <c r="A100" s="229" t="s">
        <v>277</v>
      </c>
      <c r="B100" s="232" t="s">
        <v>278</v>
      </c>
      <c r="C100" s="188">
        <f t="shared" si="36"/>
        <v>90600</v>
      </c>
      <c r="D100" s="134">
        <f>SUMPRODUCT(-('Gastos Gerais'!$B$4:$B$3632=Analítico!$B100),-(Analítico!D$3&gt;='Gastos Gerais'!$D$4:$D$3632),-(Analítico!D$3&lt;='Gastos Gerais'!$E$4:$E$3632),-('Gastos Gerais'!$C$4:$C$3632))</f>
        <v>581780</v>
      </c>
      <c r="E100" s="134">
        <f>SUMPRODUCT(-('Gastos Gerais'!$B$4:$B$3632=Analítico!$B100),-(Analítico!E$3&gt;='Gastos Gerais'!$D$4:$D$3632),-(Analítico!E$3&lt;='Gastos Gerais'!$E$4:$E$3632),-('Gastos Gerais'!$C$4:$C$3632))</f>
        <v>658780</v>
      </c>
      <c r="F100" s="134">
        <f>SUMPRODUCT(-('Gastos Gerais'!$B$4:$B$3632=Analítico!$B100),-(Analítico!F$3&gt;='Gastos Gerais'!$D$4:$D$3632),-(Analítico!F$3&lt;='Gastos Gerais'!$E$4:$E$3632),-('Gastos Gerais'!$C$4:$C$3632))</f>
        <v>658780</v>
      </c>
      <c r="G100" s="134">
        <f>SUMPRODUCT(-('Gastos Gerais'!$B$4:$B$3632=Analítico!$B100),-(Analítico!G$3&gt;='Gastos Gerais'!$D$4:$D$3632),-(Analítico!G$3&lt;='Gastos Gerais'!$E$4:$E$3632),-('Gastos Gerais'!$C$4:$C$3632))</f>
        <v>658780</v>
      </c>
      <c r="H100" s="134">
        <f>SUMPRODUCT(-('Gastos Gerais'!$B$4:$B$3632=Analítico!$B100),-(Analítico!H$3&gt;='Gastos Gerais'!$D$4:$D$3632),-(Analítico!H$3&lt;='Gastos Gerais'!$E$4:$E$3632),-('Gastos Gerais'!$C$4:$C$3632))</f>
        <v>658780</v>
      </c>
      <c r="I100" s="134">
        <f>SUMPRODUCT(-('Gastos Gerais'!$B$4:$B$3632=Analítico!$B100),-(Analítico!I$3&gt;='Gastos Gerais'!$D$4:$D$3632),-(Analítico!I$3&lt;='Gastos Gerais'!$E$4:$E$3632),-('Gastos Gerais'!$C$4:$C$3632))</f>
        <v>658780</v>
      </c>
      <c r="J100" s="134">
        <f>SUMPRODUCT(-('Gastos Gerais'!$B$4:$B$3632=Analítico!$B100),-(Analítico!J$3&gt;='Gastos Gerais'!$D$4:$D$3632),-(Analítico!J$3&lt;='Gastos Gerais'!$E$4:$E$3632),-('Gastos Gerais'!$C$4:$C$3632))</f>
        <v>658780</v>
      </c>
      <c r="K100" s="134">
        <f>SUMPRODUCT(-('Gastos Gerais'!$B$4:$B$3632=Analítico!$B100),-(Analítico!K$3&gt;='Gastos Gerais'!$D$4:$D$3632),-(Analítico!K$3&lt;='Gastos Gerais'!$E$4:$E$3632),-('Gastos Gerais'!$C$4:$C$3632))</f>
        <v>658780</v>
      </c>
      <c r="L100" s="134">
        <f>SUMPRODUCT(-('Gastos Gerais'!$B$4:$B$3632=Analítico!$B100),-(Analítico!L$3&gt;='Gastos Gerais'!$D$4:$D$3632),-(Analítico!L$3&lt;='Gastos Gerais'!$E$4:$E$3632),-('Gastos Gerais'!$C$4:$C$3632))</f>
        <v>658780</v>
      </c>
      <c r="M100" s="134">
        <f>SUMPRODUCT(-('Gastos Gerais'!$B$4:$B$3632=Analítico!$B100),-(Analítico!M$3&gt;='Gastos Gerais'!$D$4:$D$3632),-(Analítico!M$3&lt;='Gastos Gerais'!$E$4:$E$3632),-('Gastos Gerais'!$C$4:$C$3632))</f>
        <v>658780</v>
      </c>
      <c r="N100" s="134">
        <f>SUMPRODUCT(-('Gastos Gerais'!$B$4:$B$3632=Analítico!$B100),-(Analítico!N$3&gt;='Gastos Gerais'!$D$4:$D$3632),-(Analítico!N$3&lt;='Gastos Gerais'!$E$4:$E$3632),-('Gastos Gerais'!$C$4:$C$3632))</f>
        <v>658780</v>
      </c>
      <c r="O100" s="134">
        <f>SUMPRODUCT(-('Gastos Gerais'!$B$4:$B$3632=Analítico!$B100),-(Analítico!O$3&gt;='Gastos Gerais'!$D$4:$D$3632),-(Analítico!O$3&lt;='Gastos Gerais'!$E$4:$E$3632),-('Gastos Gerais'!$C$4:$C$3632))</f>
        <v>699780</v>
      </c>
      <c r="P100" s="134">
        <f>SUMPRODUCT(-('Gastos Gerais'!$B$4:$B$3632=Analítico!$B100),-(Analítico!P$3&gt;='Gastos Gerais'!$D$4:$D$3632),-(Analítico!P$3&lt;='Gastos Gerais'!$E$4:$E$3632),-('Gastos Gerais'!$C$4:$C$3632))</f>
        <v>740819</v>
      </c>
      <c r="Q100" s="134">
        <f>SUMPRODUCT(-('Gastos Gerais'!$B$4:$B$3632=Analítico!$B100),-(Analítico!Q$3&gt;='Gastos Gerais'!$D$4:$D$3632),-(Analítico!Q$3&lt;='Gastos Gerais'!$E$4:$E$3632),-('Gastos Gerais'!$C$4:$C$3632))</f>
        <v>782819</v>
      </c>
      <c r="R100" s="134">
        <f>SUMPRODUCT(-('Gastos Gerais'!$B$4:$B$3632=Analítico!$B100),-(Analítico!R$3&gt;='Gastos Gerais'!$D$4:$D$3632),-(Analítico!R$3&lt;='Gastos Gerais'!$E$4:$E$3632),-('Gastos Gerais'!$C$4:$C$3632))</f>
        <v>782819</v>
      </c>
      <c r="S100" s="134">
        <f>SUMPRODUCT(-('Gastos Gerais'!$B$4:$B$3632=Analítico!$B100),-(Analítico!S$3&gt;='Gastos Gerais'!$D$4:$D$3632),-(Analítico!S$3&lt;='Gastos Gerais'!$E$4:$E$3632),-('Gastos Gerais'!$C$4:$C$3632))</f>
        <v>782819</v>
      </c>
      <c r="T100" s="134">
        <f>SUMPRODUCT(-('Gastos Gerais'!$B$4:$B$3632=Analítico!$B100),-(Analítico!T$3&gt;='Gastos Gerais'!$D$4:$D$3632),-(Analítico!T$3&lt;='Gastos Gerais'!$E$4:$E$3632),-('Gastos Gerais'!$C$4:$C$3632))</f>
        <v>782819</v>
      </c>
      <c r="U100" s="134">
        <f>SUMPRODUCT(-('Gastos Gerais'!$B$4:$B$3632=Analítico!$B100),-(Analítico!U$3&gt;='Gastos Gerais'!$D$4:$D$3632),-(Analítico!U$3&lt;='Gastos Gerais'!$E$4:$E$3632),-('Gastos Gerais'!$C$4:$C$3632))</f>
        <v>782819</v>
      </c>
      <c r="V100" s="134">
        <f>SUMPRODUCT(-('Gastos Gerais'!$B$4:$B$3632=Analítico!$B100),-(Analítico!V$3&gt;='Gastos Gerais'!$D$4:$D$3632),-(Analítico!V$3&lt;='Gastos Gerais'!$E$4:$E$3632),-('Gastos Gerais'!$C$4:$C$3632))</f>
        <v>782819</v>
      </c>
      <c r="W100" s="134">
        <f>SUMPRODUCT(-('Gastos Gerais'!$B$4:$B$3632=Analítico!$B100),-(Analítico!W$3&gt;='Gastos Gerais'!$D$4:$D$3632),-(Analítico!W$3&lt;='Gastos Gerais'!$E$4:$E$3632),-('Gastos Gerais'!$C$4:$C$3632))</f>
        <v>782819</v>
      </c>
      <c r="X100" s="134">
        <f>SUMPRODUCT(-('Gastos Gerais'!$B$4:$B$3632=Analítico!$B100),-(Analítico!X$3&gt;='Gastos Gerais'!$D$4:$D$3632),-(Analítico!X$3&lt;='Gastos Gerais'!$E$4:$E$3632),-('Gastos Gerais'!$C$4:$C$3632))</f>
        <v>782819</v>
      </c>
      <c r="Y100" s="134">
        <f>SUMPRODUCT(-('Gastos Gerais'!$B$4:$B$3632=Analítico!$B100),-(Analítico!Y$3&gt;='Gastos Gerais'!$D$4:$D$3632),-(Analítico!Y$3&lt;='Gastos Gerais'!$E$4:$E$3632),-('Gastos Gerais'!$C$4:$C$3632))</f>
        <v>782819</v>
      </c>
      <c r="Z100" s="134">
        <f>SUMPRODUCT(-('Gastos Gerais'!$B$4:$B$3632=Analítico!$B100),-(Analítico!Z$3&gt;='Gastos Gerais'!$D$4:$D$3632),-(Analítico!Z$3&lt;='Gastos Gerais'!$E$4:$E$3632),-('Gastos Gerais'!$C$4:$C$3632))</f>
        <v>782819</v>
      </c>
      <c r="AA100" s="134">
        <f>SUMPRODUCT(-('Gastos Gerais'!$B$4:$B$3632=Analítico!$B100),-(Analítico!AA$3&gt;='Gastos Gerais'!$D$4:$D$3632),-(Analítico!AA$3&lt;='Gastos Gerais'!$E$4:$E$3632),-('Gastos Gerais'!$C$4:$C$3632))</f>
        <v>782819</v>
      </c>
      <c r="AB100" s="134">
        <f>SUMPRODUCT(-('Gastos Gerais'!$B$4:$B$3632=Analítico!$B100),-(Analítico!AB$3&gt;='Gastos Gerais'!$D$4:$D$3632),-(Analítico!AB$3&lt;='Gastos Gerais'!$E$4:$E$3632),-('Gastos Gerais'!$C$4:$C$3632))</f>
        <v>824186.62</v>
      </c>
      <c r="AC100" s="134">
        <f>SUMPRODUCT(-('Gastos Gerais'!$B$4:$B$3632=Analítico!$B100),-(Analítico!AC$3&gt;='Gastos Gerais'!$D$4:$D$3632),-(Analítico!AC$3&lt;='Gastos Gerais'!$E$4:$E$3632),-('Gastos Gerais'!$C$4:$C$3632))</f>
        <v>824186.62</v>
      </c>
      <c r="AD100" s="134">
        <f>SUMPRODUCT(-('Gastos Gerais'!$B$4:$B$3632=Analítico!$B100),-(Analítico!AD$3&gt;='Gastos Gerais'!$D$4:$D$3632),-(Analítico!AD$3&lt;='Gastos Gerais'!$E$4:$E$3632),-('Gastos Gerais'!$C$4:$C$3632))</f>
        <v>824186.62</v>
      </c>
      <c r="AE100" s="134">
        <f>SUMPRODUCT(-('Gastos Gerais'!$B$4:$B$3632=Analítico!$B100),-(Analítico!AE$3&gt;='Gastos Gerais'!$D$4:$D$3632),-(Analítico!AE$3&lt;='Gastos Gerais'!$E$4:$E$3632),-('Gastos Gerais'!$C$4:$C$3632))</f>
        <v>824186.62</v>
      </c>
      <c r="AF100" s="134">
        <f>SUMPRODUCT(-('Gastos Gerais'!$B$4:$B$3632=Analítico!$B100),-(Analítico!AF$3&gt;='Gastos Gerais'!$D$4:$D$3632),-(Analítico!AF$3&lt;='Gastos Gerais'!$E$4:$E$3632),-('Gastos Gerais'!$C$4:$C$3632))</f>
        <v>824186.62</v>
      </c>
      <c r="AG100" s="134">
        <f>SUMPRODUCT(-('Gastos Gerais'!$B$4:$B$3632=Analítico!$B100),-(Analítico!AG$3&gt;='Gastos Gerais'!$D$4:$D$3632),-(Analítico!AG$3&lt;='Gastos Gerais'!$E$4:$E$3632),-('Gastos Gerais'!$C$4:$C$3632))</f>
        <v>824186.62</v>
      </c>
      <c r="AH100" s="134">
        <f>SUMPRODUCT(-('Gastos Gerais'!$B$4:$B$3632=Analítico!$B100),-(Analítico!AH$3&gt;='Gastos Gerais'!$D$4:$D$3632),-(Analítico!AH$3&lt;='Gastos Gerais'!$E$4:$E$3632),-('Gastos Gerais'!$C$4:$C$3632))</f>
        <v>824186.62</v>
      </c>
      <c r="AI100" s="134">
        <f>SUMPRODUCT(-('Gastos Gerais'!$B$4:$B$3632=Analítico!$B100),-(Analítico!AI$3&gt;='Gastos Gerais'!$D$4:$D$3632),-(Analítico!AI$3&lt;='Gastos Gerais'!$E$4:$E$3632),-('Gastos Gerais'!$C$4:$C$3632))</f>
        <v>824186.62</v>
      </c>
      <c r="AJ100" s="134">
        <f>SUMPRODUCT(-('Gastos Gerais'!$B$4:$B$3632=Analítico!$B100),-(Analítico!AJ$3&gt;='Gastos Gerais'!$D$4:$D$3632),-(Analítico!AJ$3&lt;='Gastos Gerais'!$E$4:$E$3632),-('Gastos Gerais'!$C$4:$C$3632))</f>
        <v>824186.62</v>
      </c>
      <c r="AK100" s="134">
        <f>SUMPRODUCT(-('Gastos Gerais'!$B$4:$B$3632=Analítico!$B100),-(Analítico!AK$3&gt;='Gastos Gerais'!$D$4:$D$3632),-(Analítico!AK$3&lt;='Gastos Gerais'!$E$4:$E$3632),-('Gastos Gerais'!$C$4:$C$3632))</f>
        <v>824186.62</v>
      </c>
      <c r="AL100" s="134">
        <f>SUMPRODUCT(-('Gastos Gerais'!$B$4:$B$3632=Analítico!$B100),-(Analítico!AL$3&gt;='Gastos Gerais'!$D$4:$D$3632),-(Analítico!AL$3&lt;='Gastos Gerais'!$E$4:$E$3632),-('Gastos Gerais'!$C$4:$C$3632))</f>
        <v>824186.62</v>
      </c>
      <c r="AM100" s="134">
        <f>SUMPRODUCT(-('Gastos Gerais'!$B$4:$B$3632=Analítico!$B100),-(Analítico!AM$3&gt;='Gastos Gerais'!$D$4:$D$3632),-(Analítico!AM$3&lt;='Gastos Gerais'!$E$4:$E$3632),-('Gastos Gerais'!$C$4:$C$3632))</f>
        <v>824186.62</v>
      </c>
      <c r="AN100" s="134">
        <f>SUMPRODUCT(-('Gastos Gerais'!$B$4:$B$3632=Analítico!$B100),-(Analítico!AN$3&gt;='Gastos Gerais'!$D$4:$D$3632),-(Analítico!AN$3&lt;='Gastos Gerais'!$E$4:$E$3632),-('Gastos Gerais'!$C$4:$C$3632))</f>
        <v>871999.67999999993</v>
      </c>
      <c r="AO100" s="134">
        <f>SUMPRODUCT(-('Gastos Gerais'!$B$4:$B$3632=Analítico!$B100),-(Analítico!AO$3&gt;='Gastos Gerais'!$D$4:$D$3632),-(Analítico!AO$3&lt;='Gastos Gerais'!$E$4:$E$3632),-('Gastos Gerais'!$C$4:$C$3632))</f>
        <v>871999.67999999993</v>
      </c>
      <c r="AP100" s="134">
        <f>SUMPRODUCT(-('Gastos Gerais'!$B$4:$B$3632=Analítico!$B100),-(Analítico!AP$3&gt;='Gastos Gerais'!$D$4:$D$3632),-(Analítico!AP$3&lt;='Gastos Gerais'!$E$4:$E$3632),-('Gastos Gerais'!$C$4:$C$3632))</f>
        <v>871999.67999999993</v>
      </c>
      <c r="AQ100" s="134">
        <f>SUMPRODUCT(-('Gastos Gerais'!$B$4:$B$3632=Analítico!$B100),-(Analítico!AQ$3&gt;='Gastos Gerais'!$D$4:$D$3632),-(Analítico!AQ$3&lt;='Gastos Gerais'!$E$4:$E$3632),-('Gastos Gerais'!$C$4:$C$3632))</f>
        <v>871999.67999999993</v>
      </c>
      <c r="AR100" s="134">
        <f>SUMPRODUCT(-('Gastos Gerais'!$B$4:$B$3632=Analítico!$B100),-(Analítico!AR$3&gt;='Gastos Gerais'!$D$4:$D$3632),-(Analítico!AR$3&lt;='Gastos Gerais'!$E$4:$E$3632),-('Gastos Gerais'!$C$4:$C$3632))</f>
        <v>871999.67999999993</v>
      </c>
      <c r="AS100" s="134">
        <f>SUMPRODUCT(-('Gastos Gerais'!$B$4:$B$3632=Analítico!$B100),-(Analítico!AS$3&gt;='Gastos Gerais'!$D$4:$D$3632),-(Analítico!AS$3&lt;='Gastos Gerais'!$E$4:$E$3632),-('Gastos Gerais'!$C$4:$C$3632))</f>
        <v>871999.67999999993</v>
      </c>
      <c r="AT100" s="134">
        <f>SUMPRODUCT(-('Gastos Gerais'!$B$4:$B$3632=Analítico!$B100),-(Analítico!AT$3&gt;='Gastos Gerais'!$D$4:$D$3632),-(Analítico!AT$3&lt;='Gastos Gerais'!$E$4:$E$3632),-('Gastos Gerais'!$C$4:$C$3632))</f>
        <v>871999.67999999993</v>
      </c>
      <c r="AU100" s="134">
        <f>SUMPRODUCT(-('Gastos Gerais'!$B$4:$B$3632=Analítico!$B100),-(Analítico!AU$3&gt;='Gastos Gerais'!$D$4:$D$3632),-(Analítico!AU$3&lt;='Gastos Gerais'!$E$4:$E$3632),-('Gastos Gerais'!$C$4:$C$3632))</f>
        <v>871999.67999999993</v>
      </c>
      <c r="AV100" s="134">
        <f>SUMPRODUCT(-('Gastos Gerais'!$B$4:$B$3632=Analítico!$B100),-(Analítico!AV$3&gt;='Gastos Gerais'!$D$4:$D$3632),-(Analítico!AV$3&lt;='Gastos Gerais'!$E$4:$E$3632),-('Gastos Gerais'!$C$4:$C$3632))</f>
        <v>871999.67999999993</v>
      </c>
      <c r="AW100" s="134">
        <f>SUMPRODUCT(-('Gastos Gerais'!$B$4:$B$3632=Analítico!$B100),-(Analítico!AW$3&gt;='Gastos Gerais'!$D$4:$D$3632),-(Analítico!AW$3&lt;='Gastos Gerais'!$E$4:$E$3632),-('Gastos Gerais'!$C$4:$C$3632))</f>
        <v>871999.67999999993</v>
      </c>
      <c r="AX100" s="134">
        <f>SUMPRODUCT(-('Gastos Gerais'!$B$4:$B$3632=Analítico!$B100),-(Analítico!AX$3&gt;='Gastos Gerais'!$D$4:$D$3632),-(Analítico!AX$3&lt;='Gastos Gerais'!$E$4:$E$3632),-('Gastos Gerais'!$C$4:$C$3632))</f>
        <v>871999.67999999993</v>
      </c>
      <c r="AY100" s="134">
        <f>SUMPRODUCT(-('Gastos Gerais'!$B$4:$B$3632=Analítico!$B100),-(Analítico!AY$3&gt;='Gastos Gerais'!$D$4:$D$3632),-(Analítico!AY$3&lt;='Gastos Gerais'!$E$4:$E$3632),-('Gastos Gerais'!$C$4:$C$3632))</f>
        <v>871999.67999999993</v>
      </c>
      <c r="AZ100" s="134">
        <f>SUMPRODUCT(-('Gastos Gerais'!$B$4:$B$3632=Analítico!$B100),-(Analítico!AZ$3&gt;='Gastos Gerais'!$D$4:$D$3632),-(Analítico!AZ$3&lt;='Gastos Gerais'!$E$4:$E$3632),-('Gastos Gerais'!$C$4:$C$3632))</f>
        <v>922597.74000000022</v>
      </c>
      <c r="BA100" s="134">
        <f>SUMPRODUCT(-('Gastos Gerais'!$B$4:$B$3632=Analítico!$B100),-(Analítico!BA$3&gt;='Gastos Gerais'!$D$4:$D$3632),-(Analítico!BA$3&lt;='Gastos Gerais'!$E$4:$E$3632),-('Gastos Gerais'!$C$4:$C$3632))</f>
        <v>922597.74000000022</v>
      </c>
      <c r="BB100" s="134">
        <f>SUMPRODUCT(-('Gastos Gerais'!$B$4:$B$3632=Analítico!$B100),-(Analítico!BB$3&gt;='Gastos Gerais'!$D$4:$D$3632),-(Analítico!BB$3&lt;='Gastos Gerais'!$E$4:$E$3632),-('Gastos Gerais'!$C$4:$C$3632))</f>
        <v>922597.74000000022</v>
      </c>
      <c r="BC100" s="134">
        <f>SUMPRODUCT(-('Gastos Gerais'!$B$4:$B$3632=Analítico!$B100),-(Analítico!BC$3&gt;='Gastos Gerais'!$D$4:$D$3632),-(Analítico!BC$3&lt;='Gastos Gerais'!$E$4:$E$3632),-('Gastos Gerais'!$C$4:$C$3632))</f>
        <v>922597.74000000022</v>
      </c>
      <c r="BD100" s="134">
        <f>SUMPRODUCT(-('Gastos Gerais'!$B$4:$B$3632=Analítico!$B100),-(Analítico!BD$3&gt;='Gastos Gerais'!$D$4:$D$3632),-(Analítico!BD$3&lt;='Gastos Gerais'!$E$4:$E$3632),-('Gastos Gerais'!$C$4:$C$3632))</f>
        <v>922597.74000000022</v>
      </c>
      <c r="BE100" s="134">
        <f>SUMPRODUCT(-('Gastos Gerais'!$B$4:$B$3632=Analítico!$B100),-(Analítico!BE$3&gt;='Gastos Gerais'!$D$4:$D$3632),-(Analítico!BE$3&lt;='Gastos Gerais'!$E$4:$E$3632),-('Gastos Gerais'!$C$4:$C$3632))</f>
        <v>922597.74000000022</v>
      </c>
      <c r="BF100" s="134">
        <f>SUMPRODUCT(-('Gastos Gerais'!$B$4:$B$3632=Analítico!$B100),-(Analítico!BF$3&gt;='Gastos Gerais'!$D$4:$D$3632),-(Analítico!BF$3&lt;='Gastos Gerais'!$E$4:$E$3632),-('Gastos Gerais'!$C$4:$C$3632))</f>
        <v>922597.74000000022</v>
      </c>
      <c r="BG100" s="134">
        <f>SUMPRODUCT(-('Gastos Gerais'!$B$4:$B$3632=Analítico!$B100),-(Analítico!BG$3&gt;='Gastos Gerais'!$D$4:$D$3632),-(Analítico!BG$3&lt;='Gastos Gerais'!$E$4:$E$3632),-('Gastos Gerais'!$C$4:$C$3632))</f>
        <v>922597.74000000022</v>
      </c>
      <c r="BH100" s="134">
        <f>SUMPRODUCT(-('Gastos Gerais'!$B$4:$B$3632=Analítico!$B100),-(Analítico!BH$3&gt;='Gastos Gerais'!$D$4:$D$3632),-(Analítico!BH$3&lt;='Gastos Gerais'!$E$4:$E$3632),-('Gastos Gerais'!$C$4:$C$3632))</f>
        <v>922597.74000000022</v>
      </c>
      <c r="BI100" s="134">
        <f>SUMPRODUCT(-('Gastos Gerais'!$B$4:$B$3632=Analítico!$B100),-(Analítico!BI$3&gt;='Gastos Gerais'!$D$4:$D$3632),-(Analítico!BI$3&lt;='Gastos Gerais'!$E$4:$E$3632),-('Gastos Gerais'!$C$4:$C$3632))</f>
        <v>922597.74000000022</v>
      </c>
      <c r="BJ100" s="134">
        <f>SUMPRODUCT(-('Gastos Gerais'!$B$4:$B$3632=Analítico!$B100),-(Analítico!BJ$3&gt;='Gastos Gerais'!$D$4:$D$3632),-(Analítico!BJ$3&lt;='Gastos Gerais'!$E$4:$E$3632),-('Gastos Gerais'!$C$4:$C$3632))</f>
        <v>922597.74000000022</v>
      </c>
      <c r="BK100" s="189">
        <f t="shared" si="39"/>
        <v>47814598.740000032</v>
      </c>
      <c r="BL100" s="136">
        <f t="shared" ca="1" si="40"/>
        <v>0.14290850296610669</v>
      </c>
      <c r="BN100" s="134">
        <f>SUMPRODUCT(-('Gastos Gerais'!$B$4:$B$3632=Analítico!$B100),-(Analítico!BN$3&gt;='Gastos Gerais'!$D$4:$D$3632),-(Analítico!BN$3&lt;='Gastos Gerais'!$E$4:$E$3632),-('Gastos Gerais'!$C$4:$C$3632))</f>
        <v>302000</v>
      </c>
    </row>
    <row r="101" spans="1:66" s="160" customFormat="1" ht="23.25" customHeight="1">
      <c r="A101" s="229" t="s">
        <v>279</v>
      </c>
      <c r="B101" s="232" t="s">
        <v>280</v>
      </c>
      <c r="C101" s="188">
        <f t="shared" si="36"/>
        <v>300</v>
      </c>
      <c r="D101" s="134">
        <f>SUMPRODUCT(-('Gastos Gerais'!$B$4:$B$3632=Analítico!$B101),-(Analítico!D$3&gt;='Gastos Gerais'!$D$4:$D$3632),-(Analítico!D$3&lt;='Gastos Gerais'!$E$4:$E$3632),-('Gastos Gerais'!$C$4:$C$3632))</f>
        <v>2100</v>
      </c>
      <c r="E101" s="134">
        <f>SUMPRODUCT(-('Gastos Gerais'!$B$4:$B$3632=Analítico!$B101),-(Analítico!E$3&gt;='Gastos Gerais'!$D$4:$D$3632),-(Analítico!E$3&lt;='Gastos Gerais'!$E$4:$E$3632),-('Gastos Gerais'!$C$4:$C$3632))</f>
        <v>2300</v>
      </c>
      <c r="F101" s="134">
        <f>SUMPRODUCT(-('Gastos Gerais'!$B$4:$B$3632=Analítico!$B101),-(Analítico!F$3&gt;='Gastos Gerais'!$D$4:$D$3632),-(Analítico!F$3&lt;='Gastos Gerais'!$E$4:$E$3632),-('Gastos Gerais'!$C$4:$C$3632))</f>
        <v>2300</v>
      </c>
      <c r="G101" s="134">
        <f>SUMPRODUCT(-('Gastos Gerais'!$B$4:$B$3632=Analítico!$B101),-(Analítico!G$3&gt;='Gastos Gerais'!$D$4:$D$3632),-(Analítico!G$3&lt;='Gastos Gerais'!$E$4:$E$3632),-('Gastos Gerais'!$C$4:$C$3632))</f>
        <v>2300</v>
      </c>
      <c r="H101" s="134">
        <f>SUMPRODUCT(-('Gastos Gerais'!$B$4:$B$3632=Analítico!$B101),-(Analítico!H$3&gt;='Gastos Gerais'!$D$4:$D$3632),-(Analítico!H$3&lt;='Gastos Gerais'!$E$4:$E$3632),-('Gastos Gerais'!$C$4:$C$3632))</f>
        <v>2300</v>
      </c>
      <c r="I101" s="134">
        <f>SUMPRODUCT(-('Gastos Gerais'!$B$4:$B$3632=Analítico!$B101),-(Analítico!I$3&gt;='Gastos Gerais'!$D$4:$D$3632),-(Analítico!I$3&lt;='Gastos Gerais'!$E$4:$E$3632),-('Gastos Gerais'!$C$4:$C$3632))</f>
        <v>2300</v>
      </c>
      <c r="J101" s="134">
        <f>SUMPRODUCT(-('Gastos Gerais'!$B$4:$B$3632=Analítico!$B101),-(Analítico!J$3&gt;='Gastos Gerais'!$D$4:$D$3632),-(Analítico!J$3&lt;='Gastos Gerais'!$E$4:$E$3632),-('Gastos Gerais'!$C$4:$C$3632))</f>
        <v>2300</v>
      </c>
      <c r="K101" s="134">
        <f>SUMPRODUCT(-('Gastos Gerais'!$B$4:$B$3632=Analítico!$B101),-(Analítico!K$3&gt;='Gastos Gerais'!$D$4:$D$3632),-(Analítico!K$3&lt;='Gastos Gerais'!$E$4:$E$3632),-('Gastos Gerais'!$C$4:$C$3632))</f>
        <v>2300</v>
      </c>
      <c r="L101" s="134">
        <f>SUMPRODUCT(-('Gastos Gerais'!$B$4:$B$3632=Analítico!$B101),-(Analítico!L$3&gt;='Gastos Gerais'!$D$4:$D$3632),-(Analítico!L$3&lt;='Gastos Gerais'!$E$4:$E$3632),-('Gastos Gerais'!$C$4:$C$3632))</f>
        <v>2300</v>
      </c>
      <c r="M101" s="134">
        <f>SUMPRODUCT(-('Gastos Gerais'!$B$4:$B$3632=Analítico!$B101),-(Analítico!M$3&gt;='Gastos Gerais'!$D$4:$D$3632),-(Analítico!M$3&lt;='Gastos Gerais'!$E$4:$E$3632),-('Gastos Gerais'!$C$4:$C$3632))</f>
        <v>2300</v>
      </c>
      <c r="N101" s="134">
        <f>SUMPRODUCT(-('Gastos Gerais'!$B$4:$B$3632=Analítico!$B101),-(Analítico!N$3&gt;='Gastos Gerais'!$D$4:$D$3632),-(Analítico!N$3&lt;='Gastos Gerais'!$E$4:$E$3632),-('Gastos Gerais'!$C$4:$C$3632))</f>
        <v>2300</v>
      </c>
      <c r="O101" s="134">
        <f>SUMPRODUCT(-('Gastos Gerais'!$B$4:$B$3632=Analítico!$B101),-(Analítico!O$3&gt;='Gastos Gerais'!$D$4:$D$3632),-(Analítico!O$3&lt;='Gastos Gerais'!$E$4:$E$3632),-('Gastos Gerais'!$C$4:$C$3632))</f>
        <v>2400</v>
      </c>
      <c r="P101" s="134">
        <f>SUMPRODUCT(-('Gastos Gerais'!$B$4:$B$3632=Analítico!$B101),-(Analítico!P$3&gt;='Gastos Gerais'!$D$4:$D$3632),-(Analítico!P$3&lt;='Gastos Gerais'!$E$4:$E$3632),-('Gastos Gerais'!$C$4:$C$3632))</f>
        <v>2400</v>
      </c>
      <c r="Q101" s="134">
        <f>SUMPRODUCT(-('Gastos Gerais'!$B$4:$B$3632=Analítico!$B101),-(Analítico!Q$3&gt;='Gastos Gerais'!$D$4:$D$3632),-(Analítico!Q$3&lt;='Gastos Gerais'!$E$4:$E$3632),-('Gastos Gerais'!$C$4:$C$3632))</f>
        <v>72672.81</v>
      </c>
      <c r="R101" s="134">
        <f>SUMPRODUCT(-('Gastos Gerais'!$B$4:$B$3632=Analítico!$B101),-(Analítico!R$3&gt;='Gastos Gerais'!$D$4:$D$3632),-(Analítico!R$3&lt;='Gastos Gerais'!$E$4:$E$3632),-('Gastos Gerais'!$C$4:$C$3632))</f>
        <v>72672.81</v>
      </c>
      <c r="S101" s="134">
        <f>SUMPRODUCT(-('Gastos Gerais'!$B$4:$B$3632=Analítico!$B101),-(Analítico!S$3&gt;='Gastos Gerais'!$D$4:$D$3632),-(Analítico!S$3&lt;='Gastos Gerais'!$E$4:$E$3632),-('Gastos Gerais'!$C$4:$C$3632))</f>
        <v>72672.81</v>
      </c>
      <c r="T101" s="134">
        <f>SUMPRODUCT(-('Gastos Gerais'!$B$4:$B$3632=Analítico!$B101),-(Analítico!T$3&gt;='Gastos Gerais'!$D$4:$D$3632),-(Analítico!T$3&lt;='Gastos Gerais'!$E$4:$E$3632),-('Gastos Gerais'!$C$4:$C$3632))</f>
        <v>72672.81</v>
      </c>
      <c r="U101" s="134">
        <f>SUMPRODUCT(-('Gastos Gerais'!$B$4:$B$3632=Analítico!$B101),-(Analítico!U$3&gt;='Gastos Gerais'!$D$4:$D$3632),-(Analítico!U$3&lt;='Gastos Gerais'!$E$4:$E$3632),-('Gastos Gerais'!$C$4:$C$3632))</f>
        <v>72672.81</v>
      </c>
      <c r="V101" s="134">
        <f>SUMPRODUCT(-('Gastos Gerais'!$B$4:$B$3632=Analítico!$B101),-(Analítico!V$3&gt;='Gastos Gerais'!$D$4:$D$3632),-(Analítico!V$3&lt;='Gastos Gerais'!$E$4:$E$3632),-('Gastos Gerais'!$C$4:$C$3632))</f>
        <v>72672.81</v>
      </c>
      <c r="W101" s="134">
        <f>SUMPRODUCT(-('Gastos Gerais'!$B$4:$B$3632=Analítico!$B101),-(Analítico!W$3&gt;='Gastos Gerais'!$D$4:$D$3632),-(Analítico!W$3&lt;='Gastos Gerais'!$E$4:$E$3632),-('Gastos Gerais'!$C$4:$C$3632))</f>
        <v>72672.81</v>
      </c>
      <c r="X101" s="134">
        <f>SUMPRODUCT(-('Gastos Gerais'!$B$4:$B$3632=Analítico!$B101),-(Analítico!X$3&gt;='Gastos Gerais'!$D$4:$D$3632),-(Analítico!X$3&lt;='Gastos Gerais'!$E$4:$E$3632),-('Gastos Gerais'!$C$4:$C$3632))</f>
        <v>72672.81</v>
      </c>
      <c r="Y101" s="134">
        <f>SUMPRODUCT(-('Gastos Gerais'!$B$4:$B$3632=Analítico!$B101),-(Analítico!Y$3&gt;='Gastos Gerais'!$D$4:$D$3632),-(Analítico!Y$3&lt;='Gastos Gerais'!$E$4:$E$3632),-('Gastos Gerais'!$C$4:$C$3632))</f>
        <v>72672.81</v>
      </c>
      <c r="Z101" s="134">
        <f>SUMPRODUCT(-('Gastos Gerais'!$B$4:$B$3632=Analítico!$B101),-(Analítico!Z$3&gt;='Gastos Gerais'!$D$4:$D$3632),-(Analítico!Z$3&lt;='Gastos Gerais'!$E$4:$E$3632),-('Gastos Gerais'!$C$4:$C$3632))</f>
        <v>72672.81</v>
      </c>
      <c r="AA101" s="134">
        <f>SUMPRODUCT(-('Gastos Gerais'!$B$4:$B$3632=Analítico!$B101),-(Analítico!AA$3&gt;='Gastos Gerais'!$D$4:$D$3632),-(Analítico!AA$3&lt;='Gastos Gerais'!$E$4:$E$3632),-('Gastos Gerais'!$C$4:$C$3632))</f>
        <v>72672.81</v>
      </c>
      <c r="AB101" s="134">
        <f>SUMPRODUCT(-('Gastos Gerais'!$B$4:$B$3632=Analítico!$B101),-(Analítico!AB$3&gt;='Gastos Gerais'!$D$4:$D$3632),-(Analítico!AB$3&lt;='Gastos Gerais'!$E$4:$E$3632),-('Gastos Gerais'!$C$4:$C$3632))</f>
        <v>2500</v>
      </c>
      <c r="AC101" s="134">
        <f>SUMPRODUCT(-('Gastos Gerais'!$B$4:$B$3632=Analítico!$B101),-(Analítico!AC$3&gt;='Gastos Gerais'!$D$4:$D$3632),-(Analítico!AC$3&lt;='Gastos Gerais'!$E$4:$E$3632),-('Gastos Gerais'!$C$4:$C$3632))</f>
        <v>2500</v>
      </c>
      <c r="AD101" s="134">
        <f>SUMPRODUCT(-('Gastos Gerais'!$B$4:$B$3632=Analítico!$B101),-(Analítico!AD$3&gt;='Gastos Gerais'!$D$4:$D$3632),-(Analítico!AD$3&lt;='Gastos Gerais'!$E$4:$E$3632),-('Gastos Gerais'!$C$4:$C$3632))</f>
        <v>2500</v>
      </c>
      <c r="AE101" s="134">
        <f>SUMPRODUCT(-('Gastos Gerais'!$B$4:$B$3632=Analítico!$B101),-(Analítico!AE$3&gt;='Gastos Gerais'!$D$4:$D$3632),-(Analítico!AE$3&lt;='Gastos Gerais'!$E$4:$E$3632),-('Gastos Gerais'!$C$4:$C$3632))</f>
        <v>2500</v>
      </c>
      <c r="AF101" s="134">
        <f>SUMPRODUCT(-('Gastos Gerais'!$B$4:$B$3632=Analítico!$B101),-(Analítico!AF$3&gt;='Gastos Gerais'!$D$4:$D$3632),-(Analítico!AF$3&lt;='Gastos Gerais'!$E$4:$E$3632),-('Gastos Gerais'!$C$4:$C$3632))</f>
        <v>2500</v>
      </c>
      <c r="AG101" s="134">
        <f>SUMPRODUCT(-('Gastos Gerais'!$B$4:$B$3632=Analítico!$B101),-(Analítico!AG$3&gt;='Gastos Gerais'!$D$4:$D$3632),-(Analítico!AG$3&lt;='Gastos Gerais'!$E$4:$E$3632),-('Gastos Gerais'!$C$4:$C$3632))</f>
        <v>2500</v>
      </c>
      <c r="AH101" s="134">
        <f>SUMPRODUCT(-('Gastos Gerais'!$B$4:$B$3632=Analítico!$B101),-(Analítico!AH$3&gt;='Gastos Gerais'!$D$4:$D$3632),-(Analítico!AH$3&lt;='Gastos Gerais'!$E$4:$E$3632),-('Gastos Gerais'!$C$4:$C$3632))</f>
        <v>2500</v>
      </c>
      <c r="AI101" s="134">
        <f>SUMPRODUCT(-('Gastos Gerais'!$B$4:$B$3632=Analítico!$B101),-(Analítico!AI$3&gt;='Gastos Gerais'!$D$4:$D$3632),-(Analítico!AI$3&lt;='Gastos Gerais'!$E$4:$E$3632),-('Gastos Gerais'!$C$4:$C$3632))</f>
        <v>2500</v>
      </c>
      <c r="AJ101" s="134">
        <f>SUMPRODUCT(-('Gastos Gerais'!$B$4:$B$3632=Analítico!$B101),-(Analítico!AJ$3&gt;='Gastos Gerais'!$D$4:$D$3632),-(Analítico!AJ$3&lt;='Gastos Gerais'!$E$4:$E$3632),-('Gastos Gerais'!$C$4:$C$3632))</f>
        <v>2500</v>
      </c>
      <c r="AK101" s="134">
        <f>SUMPRODUCT(-('Gastos Gerais'!$B$4:$B$3632=Analítico!$B101),-(Analítico!AK$3&gt;='Gastos Gerais'!$D$4:$D$3632),-(Analítico!AK$3&lt;='Gastos Gerais'!$E$4:$E$3632),-('Gastos Gerais'!$C$4:$C$3632))</f>
        <v>2500</v>
      </c>
      <c r="AL101" s="134">
        <f>SUMPRODUCT(-('Gastos Gerais'!$B$4:$B$3632=Analítico!$B101),-(Analítico!AL$3&gt;='Gastos Gerais'!$D$4:$D$3632),-(Analítico!AL$3&lt;='Gastos Gerais'!$E$4:$E$3632),-('Gastos Gerais'!$C$4:$C$3632))</f>
        <v>2500</v>
      </c>
      <c r="AM101" s="134">
        <f>SUMPRODUCT(-('Gastos Gerais'!$B$4:$B$3632=Analítico!$B101),-(Analítico!AM$3&gt;='Gastos Gerais'!$D$4:$D$3632),-(Analítico!AM$3&lt;='Gastos Gerais'!$E$4:$E$3632),-('Gastos Gerais'!$C$4:$C$3632))</f>
        <v>2500</v>
      </c>
      <c r="AN101" s="134">
        <f>SUMPRODUCT(-('Gastos Gerais'!$B$4:$B$3632=Analítico!$B101),-(Analítico!AN$3&gt;='Gastos Gerais'!$D$4:$D$3632),-(Analítico!AN$3&lt;='Gastos Gerais'!$E$4:$E$3632),-('Gastos Gerais'!$C$4:$C$3632))</f>
        <v>2600</v>
      </c>
      <c r="AO101" s="134">
        <f>SUMPRODUCT(-('Gastos Gerais'!$B$4:$B$3632=Analítico!$B101),-(Analítico!AO$3&gt;='Gastos Gerais'!$D$4:$D$3632),-(Analítico!AO$3&lt;='Gastos Gerais'!$E$4:$E$3632),-('Gastos Gerais'!$C$4:$C$3632))</f>
        <v>2600</v>
      </c>
      <c r="AP101" s="134">
        <f>SUMPRODUCT(-('Gastos Gerais'!$B$4:$B$3632=Analítico!$B101),-(Analítico!AP$3&gt;='Gastos Gerais'!$D$4:$D$3632),-(Analítico!AP$3&lt;='Gastos Gerais'!$E$4:$E$3632),-('Gastos Gerais'!$C$4:$C$3632))</f>
        <v>2600</v>
      </c>
      <c r="AQ101" s="134">
        <f>SUMPRODUCT(-('Gastos Gerais'!$B$4:$B$3632=Analítico!$B101),-(Analítico!AQ$3&gt;='Gastos Gerais'!$D$4:$D$3632),-(Analítico!AQ$3&lt;='Gastos Gerais'!$E$4:$E$3632),-('Gastos Gerais'!$C$4:$C$3632))</f>
        <v>2600</v>
      </c>
      <c r="AR101" s="134">
        <f>SUMPRODUCT(-('Gastos Gerais'!$B$4:$B$3632=Analítico!$B101),-(Analítico!AR$3&gt;='Gastos Gerais'!$D$4:$D$3632),-(Analítico!AR$3&lt;='Gastos Gerais'!$E$4:$E$3632),-('Gastos Gerais'!$C$4:$C$3632))</f>
        <v>2600</v>
      </c>
      <c r="AS101" s="134">
        <f>SUMPRODUCT(-('Gastos Gerais'!$B$4:$B$3632=Analítico!$B101),-(Analítico!AS$3&gt;='Gastos Gerais'!$D$4:$D$3632),-(Analítico!AS$3&lt;='Gastos Gerais'!$E$4:$E$3632),-('Gastos Gerais'!$C$4:$C$3632))</f>
        <v>2600</v>
      </c>
      <c r="AT101" s="134">
        <f>SUMPRODUCT(-('Gastos Gerais'!$B$4:$B$3632=Analítico!$B101),-(Analítico!AT$3&gt;='Gastos Gerais'!$D$4:$D$3632),-(Analítico!AT$3&lt;='Gastos Gerais'!$E$4:$E$3632),-('Gastos Gerais'!$C$4:$C$3632))</f>
        <v>2600</v>
      </c>
      <c r="AU101" s="134">
        <f>SUMPRODUCT(-('Gastos Gerais'!$B$4:$B$3632=Analítico!$B101),-(Analítico!AU$3&gt;='Gastos Gerais'!$D$4:$D$3632),-(Analítico!AU$3&lt;='Gastos Gerais'!$E$4:$E$3632),-('Gastos Gerais'!$C$4:$C$3632))</f>
        <v>2600</v>
      </c>
      <c r="AV101" s="134">
        <f>SUMPRODUCT(-('Gastos Gerais'!$B$4:$B$3632=Analítico!$B101),-(Analítico!AV$3&gt;='Gastos Gerais'!$D$4:$D$3632),-(Analítico!AV$3&lt;='Gastos Gerais'!$E$4:$E$3632),-('Gastos Gerais'!$C$4:$C$3632))</f>
        <v>2600</v>
      </c>
      <c r="AW101" s="134">
        <f>SUMPRODUCT(-('Gastos Gerais'!$B$4:$B$3632=Analítico!$B101),-(Analítico!AW$3&gt;='Gastos Gerais'!$D$4:$D$3632),-(Analítico!AW$3&lt;='Gastos Gerais'!$E$4:$E$3632),-('Gastos Gerais'!$C$4:$C$3632))</f>
        <v>2600</v>
      </c>
      <c r="AX101" s="134">
        <f>SUMPRODUCT(-('Gastos Gerais'!$B$4:$B$3632=Analítico!$B101),-(Analítico!AX$3&gt;='Gastos Gerais'!$D$4:$D$3632),-(Analítico!AX$3&lt;='Gastos Gerais'!$E$4:$E$3632),-('Gastos Gerais'!$C$4:$C$3632))</f>
        <v>2600</v>
      </c>
      <c r="AY101" s="134">
        <f>SUMPRODUCT(-('Gastos Gerais'!$B$4:$B$3632=Analítico!$B101),-(Analítico!AY$3&gt;='Gastos Gerais'!$D$4:$D$3632),-(Analítico!AY$3&lt;='Gastos Gerais'!$E$4:$E$3632),-('Gastos Gerais'!$C$4:$C$3632))</f>
        <v>2600</v>
      </c>
      <c r="AZ101" s="134">
        <f>SUMPRODUCT(-('Gastos Gerais'!$B$4:$B$3632=Analítico!$B101),-(Analítico!AZ$3&gt;='Gastos Gerais'!$D$4:$D$3632),-(Analítico!AZ$3&lt;='Gastos Gerais'!$E$4:$E$3632),-('Gastos Gerais'!$C$4:$C$3632))</f>
        <v>2500</v>
      </c>
      <c r="BA101" s="134">
        <f>SUMPRODUCT(-('Gastos Gerais'!$B$4:$B$3632=Analítico!$B101),-(Analítico!BA$3&gt;='Gastos Gerais'!$D$4:$D$3632),-(Analítico!BA$3&lt;='Gastos Gerais'!$E$4:$E$3632),-('Gastos Gerais'!$C$4:$C$3632))</f>
        <v>2500</v>
      </c>
      <c r="BB101" s="134">
        <f>SUMPRODUCT(-('Gastos Gerais'!$B$4:$B$3632=Analítico!$B101),-(Analítico!BB$3&gt;='Gastos Gerais'!$D$4:$D$3632),-(Analítico!BB$3&lt;='Gastos Gerais'!$E$4:$E$3632),-('Gastos Gerais'!$C$4:$C$3632))</f>
        <v>2500</v>
      </c>
      <c r="BC101" s="134">
        <f>SUMPRODUCT(-('Gastos Gerais'!$B$4:$B$3632=Analítico!$B101),-(Analítico!BC$3&gt;='Gastos Gerais'!$D$4:$D$3632),-(Analítico!BC$3&lt;='Gastos Gerais'!$E$4:$E$3632),-('Gastos Gerais'!$C$4:$C$3632))</f>
        <v>2500</v>
      </c>
      <c r="BD101" s="134">
        <f>SUMPRODUCT(-('Gastos Gerais'!$B$4:$B$3632=Analítico!$B101),-(Analítico!BD$3&gt;='Gastos Gerais'!$D$4:$D$3632),-(Analítico!BD$3&lt;='Gastos Gerais'!$E$4:$E$3632),-('Gastos Gerais'!$C$4:$C$3632))</f>
        <v>2500</v>
      </c>
      <c r="BE101" s="134">
        <f>SUMPRODUCT(-('Gastos Gerais'!$B$4:$B$3632=Analítico!$B101),-(Analítico!BE$3&gt;='Gastos Gerais'!$D$4:$D$3632),-(Analítico!BE$3&lt;='Gastos Gerais'!$E$4:$E$3632),-('Gastos Gerais'!$C$4:$C$3632))</f>
        <v>2500</v>
      </c>
      <c r="BF101" s="134">
        <f>SUMPRODUCT(-('Gastos Gerais'!$B$4:$B$3632=Analítico!$B101),-(Analítico!BF$3&gt;='Gastos Gerais'!$D$4:$D$3632),-(Analítico!BF$3&lt;='Gastos Gerais'!$E$4:$E$3632),-('Gastos Gerais'!$C$4:$C$3632))</f>
        <v>2500</v>
      </c>
      <c r="BG101" s="134">
        <f>SUMPRODUCT(-('Gastos Gerais'!$B$4:$B$3632=Analítico!$B101),-(Analítico!BG$3&gt;='Gastos Gerais'!$D$4:$D$3632),-(Analítico!BG$3&lt;='Gastos Gerais'!$E$4:$E$3632),-('Gastos Gerais'!$C$4:$C$3632))</f>
        <v>2500</v>
      </c>
      <c r="BH101" s="134">
        <f>SUMPRODUCT(-('Gastos Gerais'!$B$4:$B$3632=Analítico!$B101),-(Analítico!BH$3&gt;='Gastos Gerais'!$D$4:$D$3632),-(Analítico!BH$3&lt;='Gastos Gerais'!$E$4:$E$3632),-('Gastos Gerais'!$C$4:$C$3632))</f>
        <v>2500</v>
      </c>
      <c r="BI101" s="134">
        <f>SUMPRODUCT(-('Gastos Gerais'!$B$4:$B$3632=Analítico!$B101),-(Analítico!BI$3&gt;='Gastos Gerais'!$D$4:$D$3632),-(Analítico!BI$3&lt;='Gastos Gerais'!$E$4:$E$3632),-('Gastos Gerais'!$C$4:$C$3632))</f>
        <v>2500</v>
      </c>
      <c r="BJ101" s="134">
        <f>SUMPRODUCT(-('Gastos Gerais'!$B$4:$B$3632=Analítico!$B101),-(Analítico!BJ$3&gt;='Gastos Gerais'!$D$4:$D$3632),-(Analítico!BJ$3&lt;='Gastos Gerais'!$E$4:$E$3632),-('Gastos Gerais'!$C$4:$C$3632))</f>
        <v>2500</v>
      </c>
      <c r="BK101" s="189">
        <f t="shared" si="39"/>
        <v>918300.91000000015</v>
      </c>
      <c r="BL101" s="136">
        <f t="shared" ca="1" si="40"/>
        <v>2.7446221819012887E-3</v>
      </c>
      <c r="BN101" s="134">
        <f>SUMPRODUCT(-('Gastos Gerais'!$B$4:$B$3632=Analítico!$B101),-(Analítico!BN$3&gt;='Gastos Gerais'!$D$4:$D$3632),-(Analítico!BN$3&lt;='Gastos Gerais'!$E$4:$E$3632),-('Gastos Gerais'!$C$4:$C$3632))</f>
        <v>1000</v>
      </c>
    </row>
    <row r="102" spans="1:66" s="160" customFormat="1" ht="23.25" customHeight="1">
      <c r="A102" s="229" t="s">
        <v>281</v>
      </c>
      <c r="B102" s="232" t="s">
        <v>282</v>
      </c>
      <c r="C102" s="188">
        <f t="shared" si="36"/>
        <v>3158.5020000000004</v>
      </c>
      <c r="D102" s="134">
        <f>SUMPRODUCT(-('Gastos Gerais'!$B$4:$B$3632=Analítico!$B102),-(Analítico!D$3&gt;='Gastos Gerais'!$D$4:$D$3632),-(Analítico!D$3&lt;='Gastos Gerais'!$E$4:$E$3632),-('Gastos Gerais'!$C$4:$C$3632))</f>
        <v>11230.520000000002</v>
      </c>
      <c r="E102" s="134">
        <f>SUMPRODUCT(-('Gastos Gerais'!$B$4:$B$3632=Analítico!$B102),-(Analítico!E$3&gt;='Gastos Gerais'!$D$4:$D$3632),-(Analítico!E$3&lt;='Gastos Gerais'!$E$4:$E$3632),-('Gastos Gerais'!$C$4:$C$3632))</f>
        <v>12634.880000000003</v>
      </c>
      <c r="F102" s="134">
        <f>SUMPRODUCT(-('Gastos Gerais'!$B$4:$B$3632=Analítico!$B102),-(Analítico!F$3&gt;='Gastos Gerais'!$D$4:$D$3632),-(Analítico!F$3&lt;='Gastos Gerais'!$E$4:$E$3632),-('Gastos Gerais'!$C$4:$C$3632))</f>
        <v>12634.880000000003</v>
      </c>
      <c r="G102" s="134">
        <f>SUMPRODUCT(-('Gastos Gerais'!$B$4:$B$3632=Analítico!$B102),-(Analítico!G$3&gt;='Gastos Gerais'!$D$4:$D$3632),-(Analítico!G$3&lt;='Gastos Gerais'!$E$4:$E$3632),-('Gastos Gerais'!$C$4:$C$3632))</f>
        <v>12634.880000000003</v>
      </c>
      <c r="H102" s="134">
        <f>SUMPRODUCT(-('Gastos Gerais'!$B$4:$B$3632=Analítico!$B102),-(Analítico!H$3&gt;='Gastos Gerais'!$D$4:$D$3632),-(Analítico!H$3&lt;='Gastos Gerais'!$E$4:$E$3632),-('Gastos Gerais'!$C$4:$C$3632))</f>
        <v>12634.880000000003</v>
      </c>
      <c r="I102" s="134">
        <f>SUMPRODUCT(-('Gastos Gerais'!$B$4:$B$3632=Analítico!$B102),-(Analítico!I$3&gt;='Gastos Gerais'!$D$4:$D$3632),-(Analítico!I$3&lt;='Gastos Gerais'!$E$4:$E$3632),-('Gastos Gerais'!$C$4:$C$3632))</f>
        <v>12634.880000000003</v>
      </c>
      <c r="J102" s="134">
        <f>SUMPRODUCT(-('Gastos Gerais'!$B$4:$B$3632=Analítico!$B102),-(Analítico!J$3&gt;='Gastos Gerais'!$D$4:$D$3632),-(Analítico!J$3&lt;='Gastos Gerais'!$E$4:$E$3632),-('Gastos Gerais'!$C$4:$C$3632))</f>
        <v>12634.880000000003</v>
      </c>
      <c r="K102" s="134">
        <f>SUMPRODUCT(-('Gastos Gerais'!$B$4:$B$3632=Analítico!$B102),-(Analítico!K$3&gt;='Gastos Gerais'!$D$4:$D$3632),-(Analítico!K$3&lt;='Gastos Gerais'!$E$4:$E$3632),-('Gastos Gerais'!$C$4:$C$3632))</f>
        <v>12634.880000000003</v>
      </c>
      <c r="L102" s="134">
        <f>SUMPRODUCT(-('Gastos Gerais'!$B$4:$B$3632=Analítico!$B102),-(Analítico!L$3&gt;='Gastos Gerais'!$D$4:$D$3632),-(Analítico!L$3&lt;='Gastos Gerais'!$E$4:$E$3632),-('Gastos Gerais'!$C$4:$C$3632))</f>
        <v>12634.880000000003</v>
      </c>
      <c r="M102" s="134">
        <f>SUMPRODUCT(-('Gastos Gerais'!$B$4:$B$3632=Analítico!$B102),-(Analítico!M$3&gt;='Gastos Gerais'!$D$4:$D$3632),-(Analítico!M$3&lt;='Gastos Gerais'!$E$4:$E$3632),-('Gastos Gerais'!$C$4:$C$3632))</f>
        <v>12634.880000000003</v>
      </c>
      <c r="N102" s="134">
        <f>SUMPRODUCT(-('Gastos Gerais'!$B$4:$B$3632=Analítico!$B102),-(Analítico!N$3&gt;='Gastos Gerais'!$D$4:$D$3632),-(Analítico!N$3&lt;='Gastos Gerais'!$E$4:$E$3632),-('Gastos Gerais'!$C$4:$C$3632))</f>
        <v>12634.880000000003</v>
      </c>
      <c r="O102" s="134">
        <f>SUMPRODUCT(-('Gastos Gerais'!$B$4:$B$3632=Analítico!$B102),-(Analítico!O$3&gt;='Gastos Gerais'!$D$4:$D$3632),-(Analítico!O$3&lt;='Gastos Gerais'!$E$4:$E$3632),-('Gastos Gerais'!$C$4:$C$3632))</f>
        <v>13337.060000000003</v>
      </c>
      <c r="P102" s="134">
        <f>SUMPRODUCT(-('Gastos Gerais'!$B$4:$B$3632=Analítico!$B102),-(Analítico!P$3&gt;='Gastos Gerais'!$D$4:$D$3632),-(Analítico!P$3&lt;='Gastos Gerais'!$E$4:$E$3632),-('Gastos Gerais'!$C$4:$C$3632))</f>
        <v>14234.060000000003</v>
      </c>
      <c r="Q102" s="134">
        <f>SUMPRODUCT(-('Gastos Gerais'!$B$4:$B$3632=Analítico!$B102),-(Analítico!Q$3&gt;='Gastos Gerais'!$D$4:$D$3632),-(Analítico!Q$3&lt;='Gastos Gerais'!$E$4:$E$3632),-('Gastos Gerais'!$C$4:$C$3632))</f>
        <v>14977.240000000003</v>
      </c>
      <c r="R102" s="134">
        <f>SUMPRODUCT(-('Gastos Gerais'!$B$4:$B$3632=Analítico!$B102),-(Analítico!R$3&gt;='Gastos Gerais'!$D$4:$D$3632),-(Analítico!R$3&lt;='Gastos Gerais'!$E$4:$E$3632),-('Gastos Gerais'!$C$4:$C$3632))</f>
        <v>14977.240000000003</v>
      </c>
      <c r="S102" s="134">
        <f>SUMPRODUCT(-('Gastos Gerais'!$B$4:$B$3632=Analítico!$B102),-(Analítico!S$3&gt;='Gastos Gerais'!$D$4:$D$3632),-(Analítico!S$3&lt;='Gastos Gerais'!$E$4:$E$3632),-('Gastos Gerais'!$C$4:$C$3632))</f>
        <v>14977.240000000003</v>
      </c>
      <c r="T102" s="134">
        <f>SUMPRODUCT(-('Gastos Gerais'!$B$4:$B$3632=Analítico!$B102),-(Analítico!T$3&gt;='Gastos Gerais'!$D$4:$D$3632),-(Analítico!T$3&lt;='Gastos Gerais'!$E$4:$E$3632),-('Gastos Gerais'!$C$4:$C$3632))</f>
        <v>14977.240000000003</v>
      </c>
      <c r="U102" s="134">
        <f>SUMPRODUCT(-('Gastos Gerais'!$B$4:$B$3632=Analítico!$B102),-(Analítico!U$3&gt;='Gastos Gerais'!$D$4:$D$3632),-(Analítico!U$3&lt;='Gastos Gerais'!$E$4:$E$3632),-('Gastos Gerais'!$C$4:$C$3632))</f>
        <v>14977.240000000003</v>
      </c>
      <c r="V102" s="134">
        <f>SUMPRODUCT(-('Gastos Gerais'!$B$4:$B$3632=Analítico!$B102),-(Analítico!V$3&gt;='Gastos Gerais'!$D$4:$D$3632),-(Analítico!V$3&lt;='Gastos Gerais'!$E$4:$E$3632),-('Gastos Gerais'!$C$4:$C$3632))</f>
        <v>14977.240000000003</v>
      </c>
      <c r="W102" s="134">
        <f>SUMPRODUCT(-('Gastos Gerais'!$B$4:$B$3632=Analítico!$B102),-(Analítico!W$3&gt;='Gastos Gerais'!$D$4:$D$3632),-(Analítico!W$3&lt;='Gastos Gerais'!$E$4:$E$3632),-('Gastos Gerais'!$C$4:$C$3632))</f>
        <v>14977.240000000003</v>
      </c>
      <c r="X102" s="134">
        <f>SUMPRODUCT(-('Gastos Gerais'!$B$4:$B$3632=Analítico!$B102),-(Analítico!X$3&gt;='Gastos Gerais'!$D$4:$D$3632),-(Analítico!X$3&lt;='Gastos Gerais'!$E$4:$E$3632),-('Gastos Gerais'!$C$4:$C$3632))</f>
        <v>14977.240000000003</v>
      </c>
      <c r="Y102" s="134">
        <f>SUMPRODUCT(-('Gastos Gerais'!$B$4:$B$3632=Analítico!$B102),-(Analítico!Y$3&gt;='Gastos Gerais'!$D$4:$D$3632),-(Analítico!Y$3&lt;='Gastos Gerais'!$E$4:$E$3632),-('Gastos Gerais'!$C$4:$C$3632))</f>
        <v>14977.240000000003</v>
      </c>
      <c r="Z102" s="134">
        <f>SUMPRODUCT(-('Gastos Gerais'!$B$4:$B$3632=Analítico!$B102),-(Analítico!Z$3&gt;='Gastos Gerais'!$D$4:$D$3632),-(Analítico!Z$3&lt;='Gastos Gerais'!$E$4:$E$3632),-('Gastos Gerais'!$C$4:$C$3632))</f>
        <v>14977.240000000003</v>
      </c>
      <c r="AA102" s="134">
        <f>SUMPRODUCT(-('Gastos Gerais'!$B$4:$B$3632=Analítico!$B102),-(Analítico!AA$3&gt;='Gastos Gerais'!$D$4:$D$3632),-(Analítico!AA$3&lt;='Gastos Gerais'!$E$4:$E$3632),-('Gastos Gerais'!$C$4:$C$3632))</f>
        <v>14977.240000000003</v>
      </c>
      <c r="AB102" s="134">
        <f>SUMPRODUCT(-('Gastos Gerais'!$B$4:$B$3632=Analítico!$B102),-(Analítico!AB$3&gt;='Gastos Gerais'!$D$4:$D$3632),-(Analítico!AB$3&lt;='Gastos Gerais'!$E$4:$E$3632),-('Gastos Gerais'!$C$4:$C$3632))</f>
        <v>15695.210000000001</v>
      </c>
      <c r="AC102" s="134">
        <f>SUMPRODUCT(-('Gastos Gerais'!$B$4:$B$3632=Analítico!$B102),-(Analítico!AC$3&gt;='Gastos Gerais'!$D$4:$D$3632),-(Analítico!AC$3&lt;='Gastos Gerais'!$E$4:$E$3632),-('Gastos Gerais'!$C$4:$C$3632))</f>
        <v>15695.210000000001</v>
      </c>
      <c r="AD102" s="134">
        <f>SUMPRODUCT(-('Gastos Gerais'!$B$4:$B$3632=Analítico!$B102),-(Analítico!AD$3&gt;='Gastos Gerais'!$D$4:$D$3632),-(Analítico!AD$3&lt;='Gastos Gerais'!$E$4:$E$3632),-('Gastos Gerais'!$C$4:$C$3632))</f>
        <v>15695.210000000001</v>
      </c>
      <c r="AE102" s="134">
        <f>SUMPRODUCT(-('Gastos Gerais'!$B$4:$B$3632=Analítico!$B102),-(Analítico!AE$3&gt;='Gastos Gerais'!$D$4:$D$3632),-(Analítico!AE$3&lt;='Gastos Gerais'!$E$4:$E$3632),-('Gastos Gerais'!$C$4:$C$3632))</f>
        <v>15695.210000000001</v>
      </c>
      <c r="AF102" s="134">
        <f>SUMPRODUCT(-('Gastos Gerais'!$B$4:$B$3632=Analítico!$B102),-(Analítico!AF$3&gt;='Gastos Gerais'!$D$4:$D$3632),-(Analítico!AF$3&lt;='Gastos Gerais'!$E$4:$E$3632),-('Gastos Gerais'!$C$4:$C$3632))</f>
        <v>15695.210000000001</v>
      </c>
      <c r="AG102" s="134">
        <f>SUMPRODUCT(-('Gastos Gerais'!$B$4:$B$3632=Analítico!$B102),-(Analítico!AG$3&gt;='Gastos Gerais'!$D$4:$D$3632),-(Analítico!AG$3&lt;='Gastos Gerais'!$E$4:$E$3632),-('Gastos Gerais'!$C$4:$C$3632))</f>
        <v>15695.210000000001</v>
      </c>
      <c r="AH102" s="134">
        <f>SUMPRODUCT(-('Gastos Gerais'!$B$4:$B$3632=Analítico!$B102),-(Analítico!AH$3&gt;='Gastos Gerais'!$D$4:$D$3632),-(Analítico!AH$3&lt;='Gastos Gerais'!$E$4:$E$3632),-('Gastos Gerais'!$C$4:$C$3632))</f>
        <v>15695.210000000001</v>
      </c>
      <c r="AI102" s="134">
        <f>SUMPRODUCT(-('Gastos Gerais'!$B$4:$B$3632=Analítico!$B102),-(Analítico!AI$3&gt;='Gastos Gerais'!$D$4:$D$3632),-(Analítico!AI$3&lt;='Gastos Gerais'!$E$4:$E$3632),-('Gastos Gerais'!$C$4:$C$3632))</f>
        <v>15695.210000000001</v>
      </c>
      <c r="AJ102" s="134">
        <f>SUMPRODUCT(-('Gastos Gerais'!$B$4:$B$3632=Analítico!$B102),-(Analítico!AJ$3&gt;='Gastos Gerais'!$D$4:$D$3632),-(Analítico!AJ$3&lt;='Gastos Gerais'!$E$4:$E$3632),-('Gastos Gerais'!$C$4:$C$3632))</f>
        <v>15695.210000000001</v>
      </c>
      <c r="AK102" s="134">
        <f>SUMPRODUCT(-('Gastos Gerais'!$B$4:$B$3632=Analítico!$B102),-(Analítico!AK$3&gt;='Gastos Gerais'!$D$4:$D$3632),-(Analítico!AK$3&lt;='Gastos Gerais'!$E$4:$E$3632),-('Gastos Gerais'!$C$4:$C$3632))</f>
        <v>15695.210000000001</v>
      </c>
      <c r="AL102" s="134">
        <f>SUMPRODUCT(-('Gastos Gerais'!$B$4:$B$3632=Analítico!$B102),-(Analítico!AL$3&gt;='Gastos Gerais'!$D$4:$D$3632),-(Analítico!AL$3&lt;='Gastos Gerais'!$E$4:$E$3632),-('Gastos Gerais'!$C$4:$C$3632))</f>
        <v>15695.210000000001</v>
      </c>
      <c r="AM102" s="134">
        <f>SUMPRODUCT(-('Gastos Gerais'!$B$4:$B$3632=Analítico!$B102),-(Analítico!AM$3&gt;='Gastos Gerais'!$D$4:$D$3632),-(Analítico!AM$3&lt;='Gastos Gerais'!$E$4:$E$3632),-('Gastos Gerais'!$C$4:$C$3632))</f>
        <v>15695.210000000001</v>
      </c>
      <c r="AN102" s="134">
        <f>SUMPRODUCT(-('Gastos Gerais'!$B$4:$B$3632=Analítico!$B102),-(Analítico!AN$3&gt;='Gastos Gerais'!$D$4:$D$3632),-(Analítico!AN$3&lt;='Gastos Gerais'!$E$4:$E$3632),-('Gastos Gerais'!$C$4:$C$3632))</f>
        <v>17449.020000000004</v>
      </c>
      <c r="AO102" s="134">
        <f>SUMPRODUCT(-('Gastos Gerais'!$B$4:$B$3632=Analítico!$B102),-(Analítico!AO$3&gt;='Gastos Gerais'!$D$4:$D$3632),-(Analítico!AO$3&lt;='Gastos Gerais'!$E$4:$E$3632),-('Gastos Gerais'!$C$4:$C$3632))</f>
        <v>17449.020000000004</v>
      </c>
      <c r="AP102" s="134">
        <f>SUMPRODUCT(-('Gastos Gerais'!$B$4:$B$3632=Analítico!$B102),-(Analítico!AP$3&gt;='Gastos Gerais'!$D$4:$D$3632),-(Analítico!AP$3&lt;='Gastos Gerais'!$E$4:$E$3632),-('Gastos Gerais'!$C$4:$C$3632))</f>
        <v>17449.020000000004</v>
      </c>
      <c r="AQ102" s="134">
        <f>SUMPRODUCT(-('Gastos Gerais'!$B$4:$B$3632=Analítico!$B102),-(Analítico!AQ$3&gt;='Gastos Gerais'!$D$4:$D$3632),-(Analítico!AQ$3&lt;='Gastos Gerais'!$E$4:$E$3632),-('Gastos Gerais'!$C$4:$C$3632))</f>
        <v>17449.020000000004</v>
      </c>
      <c r="AR102" s="134">
        <f>SUMPRODUCT(-('Gastos Gerais'!$B$4:$B$3632=Analítico!$B102),-(Analítico!AR$3&gt;='Gastos Gerais'!$D$4:$D$3632),-(Analítico!AR$3&lt;='Gastos Gerais'!$E$4:$E$3632),-('Gastos Gerais'!$C$4:$C$3632))</f>
        <v>17449.020000000004</v>
      </c>
      <c r="AS102" s="134">
        <f>SUMPRODUCT(-('Gastos Gerais'!$B$4:$B$3632=Analítico!$B102),-(Analítico!AS$3&gt;='Gastos Gerais'!$D$4:$D$3632),-(Analítico!AS$3&lt;='Gastos Gerais'!$E$4:$E$3632),-('Gastos Gerais'!$C$4:$C$3632))</f>
        <v>17449.020000000004</v>
      </c>
      <c r="AT102" s="134">
        <f>SUMPRODUCT(-('Gastos Gerais'!$B$4:$B$3632=Analítico!$B102),-(Analítico!AT$3&gt;='Gastos Gerais'!$D$4:$D$3632),-(Analítico!AT$3&lt;='Gastos Gerais'!$E$4:$E$3632),-('Gastos Gerais'!$C$4:$C$3632))</f>
        <v>17449.020000000004</v>
      </c>
      <c r="AU102" s="134">
        <f>SUMPRODUCT(-('Gastos Gerais'!$B$4:$B$3632=Analítico!$B102),-(Analítico!AU$3&gt;='Gastos Gerais'!$D$4:$D$3632),-(Analítico!AU$3&lt;='Gastos Gerais'!$E$4:$E$3632),-('Gastos Gerais'!$C$4:$C$3632))</f>
        <v>17449.020000000004</v>
      </c>
      <c r="AV102" s="134">
        <f>SUMPRODUCT(-('Gastos Gerais'!$B$4:$B$3632=Analítico!$B102),-(Analítico!AV$3&gt;='Gastos Gerais'!$D$4:$D$3632),-(Analítico!AV$3&lt;='Gastos Gerais'!$E$4:$E$3632),-('Gastos Gerais'!$C$4:$C$3632))</f>
        <v>17449.020000000004</v>
      </c>
      <c r="AW102" s="134">
        <f>SUMPRODUCT(-('Gastos Gerais'!$B$4:$B$3632=Analítico!$B102),-(Analítico!AW$3&gt;='Gastos Gerais'!$D$4:$D$3632),-(Analítico!AW$3&lt;='Gastos Gerais'!$E$4:$E$3632),-('Gastos Gerais'!$C$4:$C$3632))</f>
        <v>17449.020000000004</v>
      </c>
      <c r="AX102" s="134">
        <f>SUMPRODUCT(-('Gastos Gerais'!$B$4:$B$3632=Analítico!$B102),-(Analítico!AX$3&gt;='Gastos Gerais'!$D$4:$D$3632),-(Analítico!AX$3&lt;='Gastos Gerais'!$E$4:$E$3632),-('Gastos Gerais'!$C$4:$C$3632))</f>
        <v>17449.020000000004</v>
      </c>
      <c r="AY102" s="134">
        <f>SUMPRODUCT(-('Gastos Gerais'!$B$4:$B$3632=Analítico!$B102),-(Analítico!AY$3&gt;='Gastos Gerais'!$D$4:$D$3632),-(Analítico!AY$3&lt;='Gastos Gerais'!$E$4:$E$3632),-('Gastos Gerais'!$C$4:$C$3632))</f>
        <v>17449.020000000004</v>
      </c>
      <c r="AZ102" s="134">
        <f>SUMPRODUCT(-('Gastos Gerais'!$B$4:$B$3632=Analítico!$B102),-(Analítico!AZ$3&gt;='Gastos Gerais'!$D$4:$D$3632),-(Analítico!AZ$3&lt;='Gastos Gerais'!$E$4:$E$3632),-('Gastos Gerais'!$C$4:$C$3632))</f>
        <v>17491.659999999996</v>
      </c>
      <c r="BA102" s="134">
        <f>SUMPRODUCT(-('Gastos Gerais'!$B$4:$B$3632=Analítico!$B102),-(Analítico!BA$3&gt;='Gastos Gerais'!$D$4:$D$3632),-(Analítico!BA$3&lt;='Gastos Gerais'!$E$4:$E$3632),-('Gastos Gerais'!$C$4:$C$3632))</f>
        <v>17491.659999999996</v>
      </c>
      <c r="BB102" s="134">
        <f>SUMPRODUCT(-('Gastos Gerais'!$B$4:$B$3632=Analítico!$B102),-(Analítico!BB$3&gt;='Gastos Gerais'!$D$4:$D$3632),-(Analítico!BB$3&lt;='Gastos Gerais'!$E$4:$E$3632),-('Gastos Gerais'!$C$4:$C$3632))</f>
        <v>17491.659999999996</v>
      </c>
      <c r="BC102" s="134">
        <f>SUMPRODUCT(-('Gastos Gerais'!$B$4:$B$3632=Analítico!$B102),-(Analítico!BC$3&gt;='Gastos Gerais'!$D$4:$D$3632),-(Analítico!BC$3&lt;='Gastos Gerais'!$E$4:$E$3632),-('Gastos Gerais'!$C$4:$C$3632))</f>
        <v>17491.659999999996</v>
      </c>
      <c r="BD102" s="134">
        <f>SUMPRODUCT(-('Gastos Gerais'!$B$4:$B$3632=Analítico!$B102),-(Analítico!BD$3&gt;='Gastos Gerais'!$D$4:$D$3632),-(Analítico!BD$3&lt;='Gastos Gerais'!$E$4:$E$3632),-('Gastos Gerais'!$C$4:$C$3632))</f>
        <v>17491.659999999996</v>
      </c>
      <c r="BE102" s="134">
        <f>SUMPRODUCT(-('Gastos Gerais'!$B$4:$B$3632=Analítico!$B102),-(Analítico!BE$3&gt;='Gastos Gerais'!$D$4:$D$3632),-(Analítico!BE$3&lt;='Gastos Gerais'!$E$4:$E$3632),-('Gastos Gerais'!$C$4:$C$3632))</f>
        <v>17491.659999999996</v>
      </c>
      <c r="BF102" s="134">
        <f>SUMPRODUCT(-('Gastos Gerais'!$B$4:$B$3632=Analítico!$B102),-(Analítico!BF$3&gt;='Gastos Gerais'!$D$4:$D$3632),-(Analítico!BF$3&lt;='Gastos Gerais'!$E$4:$E$3632),-('Gastos Gerais'!$C$4:$C$3632))</f>
        <v>17491.659999999996</v>
      </c>
      <c r="BG102" s="134">
        <f>SUMPRODUCT(-('Gastos Gerais'!$B$4:$B$3632=Analítico!$B102),-(Analítico!BG$3&gt;='Gastos Gerais'!$D$4:$D$3632),-(Analítico!BG$3&lt;='Gastos Gerais'!$E$4:$E$3632),-('Gastos Gerais'!$C$4:$C$3632))</f>
        <v>17491.659999999996</v>
      </c>
      <c r="BH102" s="134">
        <f>SUMPRODUCT(-('Gastos Gerais'!$B$4:$B$3632=Analítico!$B102),-(Analítico!BH$3&gt;='Gastos Gerais'!$D$4:$D$3632),-(Analítico!BH$3&lt;='Gastos Gerais'!$E$4:$E$3632),-('Gastos Gerais'!$C$4:$C$3632))</f>
        <v>17491.659999999996</v>
      </c>
      <c r="BI102" s="134">
        <f>SUMPRODUCT(-('Gastos Gerais'!$B$4:$B$3632=Analítico!$B102),-(Analítico!BI$3&gt;='Gastos Gerais'!$D$4:$D$3632),-(Analítico!BI$3&lt;='Gastos Gerais'!$E$4:$E$3632),-('Gastos Gerais'!$C$4:$C$3632))</f>
        <v>17491.659999999996</v>
      </c>
      <c r="BJ102" s="134">
        <f>SUMPRODUCT(-('Gastos Gerais'!$B$4:$B$3632=Analítico!$B102),-(Analítico!BJ$3&gt;='Gastos Gerais'!$D$4:$D$3632),-(Analítico!BJ$3&lt;='Gastos Gerais'!$E$4:$E$3632),-('Gastos Gerais'!$C$4:$C$3632))</f>
        <v>17491.659999999996</v>
      </c>
      <c r="BK102" s="189">
        <f t="shared" si="39"/>
        <v>923197.60200000077</v>
      </c>
      <c r="BL102" s="136">
        <f t="shared" ca="1" si="40"/>
        <v>2.7592574385309921E-3</v>
      </c>
      <c r="BN102" s="134">
        <f>SUMPRODUCT(-('Gastos Gerais'!$B$4:$B$3632=Analítico!$B102),-(Analítico!BN$3&gt;='Gastos Gerais'!$D$4:$D$3632),-(Analítico!BN$3&lt;='Gastos Gerais'!$E$4:$E$3632),-('Gastos Gerais'!$C$4:$C$3632))</f>
        <v>10528.340000000002</v>
      </c>
    </row>
    <row r="103" spans="1:66" s="160" customFormat="1" ht="23.25" customHeight="1">
      <c r="A103" s="229" t="s">
        <v>283</v>
      </c>
      <c r="B103" s="232" t="s">
        <v>284</v>
      </c>
      <c r="C103" s="188">
        <f t="shared" si="36"/>
        <v>4559.8949999999986</v>
      </c>
      <c r="D103" s="134">
        <f>SUMPRODUCT(-('Gastos Gerais'!$B$4:$B$3632=Analítico!$B103),-(Analítico!D$3&gt;='Gastos Gerais'!$D$4:$D$3632),-(Analítico!D$3&lt;='Gastos Gerais'!$E$4:$E$3632),-('Gastos Gerais'!$C$4:$C$3632))</f>
        <v>26899.649999999994</v>
      </c>
      <c r="E103" s="134">
        <f>SUMPRODUCT(-('Gastos Gerais'!$B$4:$B$3632=Analítico!$B103),-(Analítico!E$3&gt;='Gastos Gerais'!$D$4:$D$3632),-(Analítico!E$3&lt;='Gastos Gerais'!$E$4:$E$3632),-('Gastos Gerais'!$C$4:$C$3632))</f>
        <v>18812.959999999995</v>
      </c>
      <c r="F103" s="134">
        <f>SUMPRODUCT(-('Gastos Gerais'!$B$4:$B$3632=Analítico!$B103),-(Analítico!F$3&gt;='Gastos Gerais'!$D$4:$D$3632),-(Analítico!F$3&lt;='Gastos Gerais'!$E$4:$E$3632),-('Gastos Gerais'!$C$4:$C$3632))</f>
        <v>18812.959999999995</v>
      </c>
      <c r="G103" s="134">
        <f>SUMPRODUCT(-('Gastos Gerais'!$B$4:$B$3632=Analítico!$B103),-(Analítico!G$3&gt;='Gastos Gerais'!$D$4:$D$3632),-(Analítico!G$3&lt;='Gastos Gerais'!$E$4:$E$3632),-('Gastos Gerais'!$C$4:$C$3632))</f>
        <v>18812.959999999995</v>
      </c>
      <c r="H103" s="134">
        <f>SUMPRODUCT(-('Gastos Gerais'!$B$4:$B$3632=Analítico!$B103),-(Analítico!H$3&gt;='Gastos Gerais'!$D$4:$D$3632),-(Analítico!H$3&lt;='Gastos Gerais'!$E$4:$E$3632),-('Gastos Gerais'!$C$4:$C$3632))</f>
        <v>18812.959999999995</v>
      </c>
      <c r="I103" s="134">
        <f>SUMPRODUCT(-('Gastos Gerais'!$B$4:$B$3632=Analítico!$B103),-(Analítico!I$3&gt;='Gastos Gerais'!$D$4:$D$3632),-(Analítico!I$3&lt;='Gastos Gerais'!$E$4:$E$3632),-('Gastos Gerais'!$C$4:$C$3632))</f>
        <v>18812.959999999995</v>
      </c>
      <c r="J103" s="134">
        <f>SUMPRODUCT(-('Gastos Gerais'!$B$4:$B$3632=Analítico!$B103),-(Analítico!J$3&gt;='Gastos Gerais'!$D$4:$D$3632),-(Analítico!J$3&lt;='Gastos Gerais'!$E$4:$E$3632),-('Gastos Gerais'!$C$4:$C$3632))</f>
        <v>18812.959999999995</v>
      </c>
      <c r="K103" s="134">
        <f>SUMPRODUCT(-('Gastos Gerais'!$B$4:$B$3632=Analítico!$B103),-(Analítico!K$3&gt;='Gastos Gerais'!$D$4:$D$3632),-(Analítico!K$3&lt;='Gastos Gerais'!$E$4:$E$3632),-('Gastos Gerais'!$C$4:$C$3632))</f>
        <v>18812.959999999995</v>
      </c>
      <c r="L103" s="134">
        <f>SUMPRODUCT(-('Gastos Gerais'!$B$4:$B$3632=Analítico!$B103),-(Analítico!L$3&gt;='Gastos Gerais'!$D$4:$D$3632),-(Analítico!L$3&lt;='Gastos Gerais'!$E$4:$E$3632),-('Gastos Gerais'!$C$4:$C$3632))</f>
        <v>18812.959999999995</v>
      </c>
      <c r="M103" s="134">
        <f>SUMPRODUCT(-('Gastos Gerais'!$B$4:$B$3632=Analítico!$B103),-(Analítico!M$3&gt;='Gastos Gerais'!$D$4:$D$3632),-(Analítico!M$3&lt;='Gastos Gerais'!$E$4:$E$3632),-('Gastos Gerais'!$C$4:$C$3632))</f>
        <v>18812.959999999995</v>
      </c>
      <c r="N103" s="134">
        <f>SUMPRODUCT(-('Gastos Gerais'!$B$4:$B$3632=Analítico!$B103),-(Analítico!N$3&gt;='Gastos Gerais'!$D$4:$D$3632),-(Analítico!N$3&lt;='Gastos Gerais'!$E$4:$E$3632),-('Gastos Gerais'!$C$4:$C$3632))</f>
        <v>18812.959999999995</v>
      </c>
      <c r="O103" s="134">
        <f>SUMPRODUCT(-('Gastos Gerais'!$B$4:$B$3632=Analítico!$B103),-(Analítico!O$3&gt;='Gastos Gerais'!$D$4:$D$3632),-(Analítico!O$3&lt;='Gastos Gerais'!$E$4:$E$3632),-('Gastos Gerais'!$C$4:$C$3632))</f>
        <v>19826.269999999997</v>
      </c>
      <c r="P103" s="134">
        <f>SUMPRODUCT(-('Gastos Gerais'!$B$4:$B$3632=Analítico!$B103),-(Analítico!P$3&gt;='Gastos Gerais'!$D$4:$D$3632),-(Analítico!P$3&lt;='Gastos Gerais'!$E$4:$E$3632),-('Gastos Gerais'!$C$4:$C$3632))</f>
        <v>19304.820000000003</v>
      </c>
      <c r="Q103" s="134">
        <f>SUMPRODUCT(-('Gastos Gerais'!$B$4:$B$3632=Analítico!$B103),-(Analítico!Q$3&gt;='Gastos Gerais'!$D$4:$D$3632),-(Analítico!Q$3&lt;='Gastos Gerais'!$E$4:$E$3632),-('Gastos Gerais'!$C$4:$C$3632))</f>
        <v>22077.310000000005</v>
      </c>
      <c r="R103" s="134">
        <f>SUMPRODUCT(-('Gastos Gerais'!$B$4:$B$3632=Analítico!$B103),-(Analítico!R$3&gt;='Gastos Gerais'!$D$4:$D$3632),-(Analítico!R$3&lt;='Gastos Gerais'!$E$4:$E$3632),-('Gastos Gerais'!$C$4:$C$3632))</f>
        <v>22077.310000000005</v>
      </c>
      <c r="S103" s="134">
        <f>SUMPRODUCT(-('Gastos Gerais'!$B$4:$B$3632=Analítico!$B103),-(Analítico!S$3&gt;='Gastos Gerais'!$D$4:$D$3632),-(Analítico!S$3&lt;='Gastos Gerais'!$E$4:$E$3632),-('Gastos Gerais'!$C$4:$C$3632))</f>
        <v>22077.310000000005</v>
      </c>
      <c r="T103" s="134">
        <f>SUMPRODUCT(-('Gastos Gerais'!$B$4:$B$3632=Analítico!$B103),-(Analítico!T$3&gt;='Gastos Gerais'!$D$4:$D$3632),-(Analítico!T$3&lt;='Gastos Gerais'!$E$4:$E$3632),-('Gastos Gerais'!$C$4:$C$3632))</f>
        <v>22077.310000000005</v>
      </c>
      <c r="U103" s="134">
        <f>SUMPRODUCT(-('Gastos Gerais'!$B$4:$B$3632=Analítico!$B103),-(Analítico!U$3&gt;='Gastos Gerais'!$D$4:$D$3632),-(Analítico!U$3&lt;='Gastos Gerais'!$E$4:$E$3632),-('Gastos Gerais'!$C$4:$C$3632))</f>
        <v>22077.310000000005</v>
      </c>
      <c r="V103" s="134">
        <f>SUMPRODUCT(-('Gastos Gerais'!$B$4:$B$3632=Analítico!$B103),-(Analítico!V$3&gt;='Gastos Gerais'!$D$4:$D$3632),-(Analítico!V$3&lt;='Gastos Gerais'!$E$4:$E$3632),-('Gastos Gerais'!$C$4:$C$3632))</f>
        <v>22077.310000000005</v>
      </c>
      <c r="W103" s="134">
        <f>SUMPRODUCT(-('Gastos Gerais'!$B$4:$B$3632=Analítico!$B103),-(Analítico!W$3&gt;='Gastos Gerais'!$D$4:$D$3632),-(Analítico!W$3&lt;='Gastos Gerais'!$E$4:$E$3632),-('Gastos Gerais'!$C$4:$C$3632))</f>
        <v>22077.310000000005</v>
      </c>
      <c r="X103" s="134">
        <f>SUMPRODUCT(-('Gastos Gerais'!$B$4:$B$3632=Analítico!$B103),-(Analítico!X$3&gt;='Gastos Gerais'!$D$4:$D$3632),-(Analítico!X$3&lt;='Gastos Gerais'!$E$4:$E$3632),-('Gastos Gerais'!$C$4:$C$3632))</f>
        <v>22077.310000000005</v>
      </c>
      <c r="Y103" s="134">
        <f>SUMPRODUCT(-('Gastos Gerais'!$B$4:$B$3632=Analítico!$B103),-(Analítico!Y$3&gt;='Gastos Gerais'!$D$4:$D$3632),-(Analítico!Y$3&lt;='Gastos Gerais'!$E$4:$E$3632),-('Gastos Gerais'!$C$4:$C$3632))</f>
        <v>22077.310000000005</v>
      </c>
      <c r="Z103" s="134">
        <f>SUMPRODUCT(-('Gastos Gerais'!$B$4:$B$3632=Analítico!$B103),-(Analítico!Z$3&gt;='Gastos Gerais'!$D$4:$D$3632),-(Analítico!Z$3&lt;='Gastos Gerais'!$E$4:$E$3632),-('Gastos Gerais'!$C$4:$C$3632))</f>
        <v>22077.310000000005</v>
      </c>
      <c r="AA103" s="134">
        <f>SUMPRODUCT(-('Gastos Gerais'!$B$4:$B$3632=Analítico!$B103),-(Analítico!AA$3&gt;='Gastos Gerais'!$D$4:$D$3632),-(Analítico!AA$3&lt;='Gastos Gerais'!$E$4:$E$3632),-('Gastos Gerais'!$C$4:$C$3632))</f>
        <v>22077.310000000005</v>
      </c>
      <c r="AB103" s="134">
        <f>SUMPRODUCT(-('Gastos Gerais'!$B$4:$B$3632=Analítico!$B103),-(Analítico!AB$3&gt;='Gastos Gerais'!$D$4:$D$3632),-(Analítico!AB$3&lt;='Gastos Gerais'!$E$4:$E$3632),-('Gastos Gerais'!$C$4:$C$3632))</f>
        <v>21567.279999999988</v>
      </c>
      <c r="AC103" s="134">
        <f>SUMPRODUCT(-('Gastos Gerais'!$B$4:$B$3632=Analítico!$B103),-(Analítico!AC$3&gt;='Gastos Gerais'!$D$4:$D$3632),-(Analítico!AC$3&lt;='Gastos Gerais'!$E$4:$E$3632),-('Gastos Gerais'!$C$4:$C$3632))</f>
        <v>21567.279999999988</v>
      </c>
      <c r="AD103" s="134">
        <f>SUMPRODUCT(-('Gastos Gerais'!$B$4:$B$3632=Analítico!$B103),-(Analítico!AD$3&gt;='Gastos Gerais'!$D$4:$D$3632),-(Analítico!AD$3&lt;='Gastos Gerais'!$E$4:$E$3632),-('Gastos Gerais'!$C$4:$C$3632))</f>
        <v>21567.279999999988</v>
      </c>
      <c r="AE103" s="134">
        <f>SUMPRODUCT(-('Gastos Gerais'!$B$4:$B$3632=Analítico!$B103),-(Analítico!AE$3&gt;='Gastos Gerais'!$D$4:$D$3632),-(Analítico!AE$3&lt;='Gastos Gerais'!$E$4:$E$3632),-('Gastos Gerais'!$C$4:$C$3632))</f>
        <v>21567.279999999988</v>
      </c>
      <c r="AF103" s="134">
        <f>SUMPRODUCT(-('Gastos Gerais'!$B$4:$B$3632=Analítico!$B103),-(Analítico!AF$3&gt;='Gastos Gerais'!$D$4:$D$3632),-(Analítico!AF$3&lt;='Gastos Gerais'!$E$4:$E$3632),-('Gastos Gerais'!$C$4:$C$3632))</f>
        <v>21567.279999999988</v>
      </c>
      <c r="AG103" s="134">
        <f>SUMPRODUCT(-('Gastos Gerais'!$B$4:$B$3632=Analítico!$B103),-(Analítico!AG$3&gt;='Gastos Gerais'!$D$4:$D$3632),-(Analítico!AG$3&lt;='Gastos Gerais'!$E$4:$E$3632),-('Gastos Gerais'!$C$4:$C$3632))</f>
        <v>21567.279999999988</v>
      </c>
      <c r="AH103" s="134">
        <f>SUMPRODUCT(-('Gastos Gerais'!$B$4:$B$3632=Analítico!$B103),-(Analítico!AH$3&gt;='Gastos Gerais'!$D$4:$D$3632),-(Analítico!AH$3&lt;='Gastos Gerais'!$E$4:$E$3632),-('Gastos Gerais'!$C$4:$C$3632))</f>
        <v>21567.279999999988</v>
      </c>
      <c r="AI103" s="134">
        <f>SUMPRODUCT(-('Gastos Gerais'!$B$4:$B$3632=Analítico!$B103),-(Analítico!AI$3&gt;='Gastos Gerais'!$D$4:$D$3632),-(Analítico!AI$3&lt;='Gastos Gerais'!$E$4:$E$3632),-('Gastos Gerais'!$C$4:$C$3632))</f>
        <v>21567.279999999988</v>
      </c>
      <c r="AJ103" s="134">
        <f>SUMPRODUCT(-('Gastos Gerais'!$B$4:$B$3632=Analítico!$B103),-(Analítico!AJ$3&gt;='Gastos Gerais'!$D$4:$D$3632),-(Analítico!AJ$3&lt;='Gastos Gerais'!$E$4:$E$3632),-('Gastos Gerais'!$C$4:$C$3632))</f>
        <v>21567.279999999988</v>
      </c>
      <c r="AK103" s="134">
        <f>SUMPRODUCT(-('Gastos Gerais'!$B$4:$B$3632=Analítico!$B103),-(Analítico!AK$3&gt;='Gastos Gerais'!$D$4:$D$3632),-(Analítico!AK$3&lt;='Gastos Gerais'!$E$4:$E$3632),-('Gastos Gerais'!$C$4:$C$3632))</f>
        <v>21567.279999999988</v>
      </c>
      <c r="AL103" s="134">
        <f>SUMPRODUCT(-('Gastos Gerais'!$B$4:$B$3632=Analítico!$B103),-(Analítico!AL$3&gt;='Gastos Gerais'!$D$4:$D$3632),-(Analítico!AL$3&lt;='Gastos Gerais'!$E$4:$E$3632),-('Gastos Gerais'!$C$4:$C$3632))</f>
        <v>23267.279999999988</v>
      </c>
      <c r="AM103" s="134">
        <f>SUMPRODUCT(-('Gastos Gerais'!$B$4:$B$3632=Analítico!$B103),-(Analítico!AM$3&gt;='Gastos Gerais'!$D$4:$D$3632),-(Analítico!AM$3&lt;='Gastos Gerais'!$E$4:$E$3632),-('Gastos Gerais'!$C$4:$C$3632))</f>
        <v>23267.279999999988</v>
      </c>
      <c r="AN103" s="134">
        <f>SUMPRODUCT(-('Gastos Gerais'!$B$4:$B$3632=Analítico!$B103),-(Analítico!AN$3&gt;='Gastos Gerais'!$D$4:$D$3632),-(Analítico!AN$3&lt;='Gastos Gerais'!$E$4:$E$3632),-('Gastos Gerais'!$C$4:$C$3632))</f>
        <v>25798.559999999998</v>
      </c>
      <c r="AO103" s="134">
        <f>SUMPRODUCT(-('Gastos Gerais'!$B$4:$B$3632=Analítico!$B103),-(Analítico!AO$3&gt;='Gastos Gerais'!$D$4:$D$3632),-(Analítico!AO$3&lt;='Gastos Gerais'!$E$4:$E$3632),-('Gastos Gerais'!$C$4:$C$3632))</f>
        <v>25798.559999999998</v>
      </c>
      <c r="AP103" s="134">
        <f>SUMPRODUCT(-('Gastos Gerais'!$B$4:$B$3632=Analítico!$B103),-(Analítico!AP$3&gt;='Gastos Gerais'!$D$4:$D$3632),-(Analítico!AP$3&lt;='Gastos Gerais'!$E$4:$E$3632),-('Gastos Gerais'!$C$4:$C$3632))</f>
        <v>25798.559999999998</v>
      </c>
      <c r="AQ103" s="134">
        <f>SUMPRODUCT(-('Gastos Gerais'!$B$4:$B$3632=Analítico!$B103),-(Analítico!AQ$3&gt;='Gastos Gerais'!$D$4:$D$3632),-(Analítico!AQ$3&lt;='Gastos Gerais'!$E$4:$E$3632),-('Gastos Gerais'!$C$4:$C$3632))</f>
        <v>25798.559999999998</v>
      </c>
      <c r="AR103" s="134">
        <f>SUMPRODUCT(-('Gastos Gerais'!$B$4:$B$3632=Analítico!$B103),-(Analítico!AR$3&gt;='Gastos Gerais'!$D$4:$D$3632),-(Analítico!AR$3&lt;='Gastos Gerais'!$E$4:$E$3632),-('Gastos Gerais'!$C$4:$C$3632))</f>
        <v>25798.559999999998</v>
      </c>
      <c r="AS103" s="134">
        <f>SUMPRODUCT(-('Gastos Gerais'!$B$4:$B$3632=Analítico!$B103),-(Analítico!AS$3&gt;='Gastos Gerais'!$D$4:$D$3632),-(Analítico!AS$3&lt;='Gastos Gerais'!$E$4:$E$3632),-('Gastos Gerais'!$C$4:$C$3632))</f>
        <v>25798.559999999998</v>
      </c>
      <c r="AT103" s="134">
        <f>SUMPRODUCT(-('Gastos Gerais'!$B$4:$B$3632=Analítico!$B103),-(Analítico!AT$3&gt;='Gastos Gerais'!$D$4:$D$3632),-(Analítico!AT$3&lt;='Gastos Gerais'!$E$4:$E$3632),-('Gastos Gerais'!$C$4:$C$3632))</f>
        <v>25798.559999999998</v>
      </c>
      <c r="AU103" s="134">
        <f>SUMPRODUCT(-('Gastos Gerais'!$B$4:$B$3632=Analítico!$B103),-(Analítico!AU$3&gt;='Gastos Gerais'!$D$4:$D$3632),-(Analítico!AU$3&lt;='Gastos Gerais'!$E$4:$E$3632),-('Gastos Gerais'!$C$4:$C$3632))</f>
        <v>25798.559999999998</v>
      </c>
      <c r="AV103" s="134">
        <f>SUMPRODUCT(-('Gastos Gerais'!$B$4:$B$3632=Analítico!$B103),-(Analítico!AV$3&gt;='Gastos Gerais'!$D$4:$D$3632),-(Analítico!AV$3&lt;='Gastos Gerais'!$E$4:$E$3632),-('Gastos Gerais'!$C$4:$C$3632))</f>
        <v>25798.559999999998</v>
      </c>
      <c r="AW103" s="134">
        <f>SUMPRODUCT(-('Gastos Gerais'!$B$4:$B$3632=Analítico!$B103),-(Analítico!AW$3&gt;='Gastos Gerais'!$D$4:$D$3632),-(Analítico!AW$3&lt;='Gastos Gerais'!$E$4:$E$3632),-('Gastos Gerais'!$C$4:$C$3632))</f>
        <v>25798.559999999998</v>
      </c>
      <c r="AX103" s="134">
        <f>SUMPRODUCT(-('Gastos Gerais'!$B$4:$B$3632=Analítico!$B103),-(Analítico!AX$3&gt;='Gastos Gerais'!$D$4:$D$3632),-(Analítico!AX$3&lt;='Gastos Gerais'!$E$4:$E$3632),-('Gastos Gerais'!$C$4:$C$3632))</f>
        <v>25798.559999999998</v>
      </c>
      <c r="AY103" s="134">
        <f>SUMPRODUCT(-('Gastos Gerais'!$B$4:$B$3632=Analítico!$B103),-(Analítico!AY$3&gt;='Gastos Gerais'!$D$4:$D$3632),-(Analítico!AY$3&lt;='Gastos Gerais'!$E$4:$E$3632),-('Gastos Gerais'!$C$4:$C$3632))</f>
        <v>25798.559999999998</v>
      </c>
      <c r="AZ103" s="134">
        <f>SUMPRODUCT(-('Gastos Gerais'!$B$4:$B$3632=Analítico!$B103),-(Analítico!AZ$3&gt;='Gastos Gerais'!$D$4:$D$3632),-(Analítico!AZ$3&lt;='Gastos Gerais'!$E$4:$E$3632),-('Gastos Gerais'!$C$4:$C$3632))</f>
        <v>25860.020000000011</v>
      </c>
      <c r="BA103" s="134">
        <f>SUMPRODUCT(-('Gastos Gerais'!$B$4:$B$3632=Analítico!$B103),-(Analítico!BA$3&gt;='Gastos Gerais'!$D$4:$D$3632),-(Analítico!BA$3&lt;='Gastos Gerais'!$E$4:$E$3632),-('Gastos Gerais'!$C$4:$C$3632))</f>
        <v>25860.020000000011</v>
      </c>
      <c r="BB103" s="134">
        <f>SUMPRODUCT(-('Gastos Gerais'!$B$4:$B$3632=Analítico!$B103),-(Analítico!BB$3&gt;='Gastos Gerais'!$D$4:$D$3632),-(Analítico!BB$3&lt;='Gastos Gerais'!$E$4:$E$3632),-('Gastos Gerais'!$C$4:$C$3632))</f>
        <v>25860.020000000011</v>
      </c>
      <c r="BC103" s="134">
        <f>SUMPRODUCT(-('Gastos Gerais'!$B$4:$B$3632=Analítico!$B103),-(Analítico!BC$3&gt;='Gastos Gerais'!$D$4:$D$3632),-(Analítico!BC$3&lt;='Gastos Gerais'!$E$4:$E$3632),-('Gastos Gerais'!$C$4:$C$3632))</f>
        <v>25860.020000000011</v>
      </c>
      <c r="BD103" s="134">
        <f>SUMPRODUCT(-('Gastos Gerais'!$B$4:$B$3632=Analítico!$B103),-(Analítico!BD$3&gt;='Gastos Gerais'!$D$4:$D$3632),-(Analítico!BD$3&lt;='Gastos Gerais'!$E$4:$E$3632),-('Gastos Gerais'!$C$4:$C$3632))</f>
        <v>25860.020000000011</v>
      </c>
      <c r="BE103" s="134">
        <f>SUMPRODUCT(-('Gastos Gerais'!$B$4:$B$3632=Analítico!$B103),-(Analítico!BE$3&gt;='Gastos Gerais'!$D$4:$D$3632),-(Analítico!BE$3&lt;='Gastos Gerais'!$E$4:$E$3632),-('Gastos Gerais'!$C$4:$C$3632))</f>
        <v>25860.020000000011</v>
      </c>
      <c r="BF103" s="134">
        <f>SUMPRODUCT(-('Gastos Gerais'!$B$4:$B$3632=Analítico!$B103),-(Analítico!BF$3&gt;='Gastos Gerais'!$D$4:$D$3632),-(Analítico!BF$3&lt;='Gastos Gerais'!$E$4:$E$3632),-('Gastos Gerais'!$C$4:$C$3632))</f>
        <v>25860.020000000011</v>
      </c>
      <c r="BG103" s="134">
        <f>SUMPRODUCT(-('Gastos Gerais'!$B$4:$B$3632=Analítico!$B103),-(Analítico!BG$3&gt;='Gastos Gerais'!$D$4:$D$3632),-(Analítico!BG$3&lt;='Gastos Gerais'!$E$4:$E$3632),-('Gastos Gerais'!$C$4:$C$3632))</f>
        <v>25860.020000000011</v>
      </c>
      <c r="BH103" s="134">
        <f>SUMPRODUCT(-('Gastos Gerais'!$B$4:$B$3632=Analítico!$B103),-(Analítico!BH$3&gt;='Gastos Gerais'!$D$4:$D$3632),-(Analítico!BH$3&lt;='Gastos Gerais'!$E$4:$E$3632),-('Gastos Gerais'!$C$4:$C$3632))</f>
        <v>25860.020000000011</v>
      </c>
      <c r="BI103" s="134">
        <f>SUMPRODUCT(-('Gastos Gerais'!$B$4:$B$3632=Analítico!$B103),-(Analítico!BI$3&gt;='Gastos Gerais'!$D$4:$D$3632),-(Analítico!BI$3&lt;='Gastos Gerais'!$E$4:$E$3632),-('Gastos Gerais'!$C$4:$C$3632))</f>
        <v>25860.020000000011</v>
      </c>
      <c r="BJ103" s="134">
        <f>SUMPRODUCT(-('Gastos Gerais'!$B$4:$B$3632=Analítico!$B103),-(Analítico!BJ$3&gt;='Gastos Gerais'!$D$4:$D$3632),-(Analítico!BJ$3&lt;='Gastos Gerais'!$E$4:$E$3632),-('Gastos Gerais'!$C$4:$C$3632))</f>
        <v>25860.020000000011</v>
      </c>
      <c r="BK103" s="189">
        <f t="shared" si="39"/>
        <v>1357820.945000001</v>
      </c>
      <c r="BL103" s="136">
        <f t="shared" ca="1" si="40"/>
        <v>4.0582617790253213E-3</v>
      </c>
      <c r="BN103" s="134">
        <f>SUMPRODUCT(-('Gastos Gerais'!$B$4:$B$3632=Analítico!$B103),-(Analítico!BN$3&gt;='Gastos Gerais'!$D$4:$D$3632),-(Analítico!BN$3&lt;='Gastos Gerais'!$E$4:$E$3632),-('Gastos Gerais'!$C$4:$C$3632))</f>
        <v>15199.649999999994</v>
      </c>
    </row>
    <row r="104" spans="1:66" s="160" customFormat="1" ht="23.25" customHeight="1">
      <c r="A104" s="229" t="s">
        <v>285</v>
      </c>
      <c r="B104" s="231" t="s">
        <v>286</v>
      </c>
      <c r="C104" s="188">
        <f t="shared" si="36"/>
        <v>4559.8949999999986</v>
      </c>
      <c r="D104" s="134">
        <f>SUMPRODUCT(-('Gastos Gerais'!$B$4:$B$3632=Analítico!$B104),-(Analítico!D$3&gt;='Gastos Gerais'!$D$4:$D$3632),-(Analítico!D$3&lt;='Gastos Gerais'!$E$4:$E$3632),-('Gastos Gerais'!$C$4:$C$3632))</f>
        <v>15199.649999999994</v>
      </c>
      <c r="E104" s="134">
        <f>SUMPRODUCT(-('Gastos Gerais'!$B$4:$B$3632=Analítico!$B104),-(Analítico!E$3&gt;='Gastos Gerais'!$D$4:$D$3632),-(Analítico!E$3&lt;='Gastos Gerais'!$E$4:$E$3632),-('Gastos Gerais'!$C$4:$C$3632))</f>
        <v>17226.269999999993</v>
      </c>
      <c r="F104" s="134">
        <f>SUMPRODUCT(-('Gastos Gerais'!$B$4:$B$3632=Analítico!$B104),-(Analítico!F$3&gt;='Gastos Gerais'!$D$4:$D$3632),-(Analítico!F$3&lt;='Gastos Gerais'!$E$4:$E$3632),-('Gastos Gerais'!$C$4:$C$3632))</f>
        <v>17226.269999999993</v>
      </c>
      <c r="G104" s="134">
        <f>SUMPRODUCT(-('Gastos Gerais'!$B$4:$B$3632=Analítico!$B104),-(Analítico!G$3&gt;='Gastos Gerais'!$D$4:$D$3632),-(Analítico!G$3&lt;='Gastos Gerais'!$E$4:$E$3632),-('Gastos Gerais'!$C$4:$C$3632))</f>
        <v>17226.269999999993</v>
      </c>
      <c r="H104" s="134">
        <f>SUMPRODUCT(-('Gastos Gerais'!$B$4:$B$3632=Analítico!$B104),-(Analítico!H$3&gt;='Gastos Gerais'!$D$4:$D$3632),-(Analítico!H$3&lt;='Gastos Gerais'!$E$4:$E$3632),-('Gastos Gerais'!$C$4:$C$3632))</f>
        <v>17226.269999999993</v>
      </c>
      <c r="I104" s="134">
        <f>SUMPRODUCT(-('Gastos Gerais'!$B$4:$B$3632=Analítico!$B104),-(Analítico!I$3&gt;='Gastos Gerais'!$D$4:$D$3632),-(Analítico!I$3&lt;='Gastos Gerais'!$E$4:$E$3632),-('Gastos Gerais'!$C$4:$C$3632))</f>
        <v>17226.269999999993</v>
      </c>
      <c r="J104" s="134">
        <f>SUMPRODUCT(-('Gastos Gerais'!$B$4:$B$3632=Analítico!$B104),-(Analítico!J$3&gt;='Gastos Gerais'!$D$4:$D$3632),-(Analítico!J$3&lt;='Gastos Gerais'!$E$4:$E$3632),-('Gastos Gerais'!$C$4:$C$3632))</f>
        <v>17226.269999999993</v>
      </c>
      <c r="K104" s="134">
        <f>SUMPRODUCT(-('Gastos Gerais'!$B$4:$B$3632=Analítico!$B104),-(Analítico!K$3&gt;='Gastos Gerais'!$D$4:$D$3632),-(Analítico!K$3&lt;='Gastos Gerais'!$E$4:$E$3632),-('Gastos Gerais'!$C$4:$C$3632))</f>
        <v>17226.269999999993</v>
      </c>
      <c r="L104" s="134">
        <f>SUMPRODUCT(-('Gastos Gerais'!$B$4:$B$3632=Analítico!$B104),-(Analítico!L$3&gt;='Gastos Gerais'!$D$4:$D$3632),-(Analítico!L$3&lt;='Gastos Gerais'!$E$4:$E$3632),-('Gastos Gerais'!$C$4:$C$3632))</f>
        <v>17226.269999999993</v>
      </c>
      <c r="M104" s="134">
        <f>SUMPRODUCT(-('Gastos Gerais'!$B$4:$B$3632=Analítico!$B104),-(Analítico!M$3&gt;='Gastos Gerais'!$D$4:$D$3632),-(Analítico!M$3&lt;='Gastos Gerais'!$E$4:$E$3632),-('Gastos Gerais'!$C$4:$C$3632))</f>
        <v>17226.269999999993</v>
      </c>
      <c r="N104" s="134">
        <f>SUMPRODUCT(-('Gastos Gerais'!$B$4:$B$3632=Analítico!$B104),-(Analítico!N$3&gt;='Gastos Gerais'!$D$4:$D$3632),-(Analítico!N$3&lt;='Gastos Gerais'!$E$4:$E$3632),-('Gastos Gerais'!$C$4:$C$3632))</f>
        <v>17226.269999999993</v>
      </c>
      <c r="O104" s="134">
        <f>SUMPRODUCT(-('Gastos Gerais'!$B$4:$B$3632=Analítico!$B104),-(Analítico!O$3&gt;='Gastos Gerais'!$D$4:$D$3632),-(Analítico!O$3&lt;='Gastos Gerais'!$E$4:$E$3632),-('Gastos Gerais'!$C$4:$C$3632))</f>
        <v>18239.579999999994</v>
      </c>
      <c r="P104" s="134">
        <f>SUMPRODUCT(-('Gastos Gerais'!$B$4:$B$3632=Analítico!$B104),-(Analítico!P$3&gt;='Gastos Gerais'!$D$4:$D$3632),-(Analítico!P$3&lt;='Gastos Gerais'!$E$4:$E$3632),-('Gastos Gerais'!$C$4:$C$3632))</f>
        <v>19304.820000000003</v>
      </c>
      <c r="Q104" s="134">
        <f>SUMPRODUCT(-('Gastos Gerais'!$B$4:$B$3632=Analítico!$B104),-(Analítico!Q$3&gt;='Gastos Gerais'!$D$4:$D$3632),-(Analítico!Q$3&lt;='Gastos Gerais'!$E$4:$E$3632),-('Gastos Gerais'!$C$4:$C$3632))</f>
        <v>20377.310000000005</v>
      </c>
      <c r="R104" s="134">
        <f>SUMPRODUCT(-('Gastos Gerais'!$B$4:$B$3632=Analítico!$B104),-(Analítico!R$3&gt;='Gastos Gerais'!$D$4:$D$3632),-(Analítico!R$3&lt;='Gastos Gerais'!$E$4:$E$3632),-('Gastos Gerais'!$C$4:$C$3632))</f>
        <v>20377.310000000005</v>
      </c>
      <c r="S104" s="134">
        <f>SUMPRODUCT(-('Gastos Gerais'!$B$4:$B$3632=Analítico!$B104),-(Analítico!S$3&gt;='Gastos Gerais'!$D$4:$D$3632),-(Analítico!S$3&lt;='Gastos Gerais'!$E$4:$E$3632),-('Gastos Gerais'!$C$4:$C$3632))</f>
        <v>20377.310000000005</v>
      </c>
      <c r="T104" s="134">
        <f>SUMPRODUCT(-('Gastos Gerais'!$B$4:$B$3632=Analítico!$B104),-(Analítico!T$3&gt;='Gastos Gerais'!$D$4:$D$3632),-(Analítico!T$3&lt;='Gastos Gerais'!$E$4:$E$3632),-('Gastos Gerais'!$C$4:$C$3632))</f>
        <v>20377.310000000005</v>
      </c>
      <c r="U104" s="134">
        <f>SUMPRODUCT(-('Gastos Gerais'!$B$4:$B$3632=Analítico!$B104),-(Analítico!U$3&gt;='Gastos Gerais'!$D$4:$D$3632),-(Analítico!U$3&lt;='Gastos Gerais'!$E$4:$E$3632),-('Gastos Gerais'!$C$4:$C$3632))</f>
        <v>20377.310000000005</v>
      </c>
      <c r="V104" s="134">
        <f>SUMPRODUCT(-('Gastos Gerais'!$B$4:$B$3632=Analítico!$B104),-(Analítico!V$3&gt;='Gastos Gerais'!$D$4:$D$3632),-(Analítico!V$3&lt;='Gastos Gerais'!$E$4:$E$3632),-('Gastos Gerais'!$C$4:$C$3632))</f>
        <v>20377.310000000005</v>
      </c>
      <c r="W104" s="134">
        <f>SUMPRODUCT(-('Gastos Gerais'!$B$4:$B$3632=Analítico!$B104),-(Analítico!W$3&gt;='Gastos Gerais'!$D$4:$D$3632),-(Analítico!W$3&lt;='Gastos Gerais'!$E$4:$E$3632),-('Gastos Gerais'!$C$4:$C$3632))</f>
        <v>20377.310000000005</v>
      </c>
      <c r="X104" s="134">
        <f>SUMPRODUCT(-('Gastos Gerais'!$B$4:$B$3632=Analítico!$B104),-(Analítico!X$3&gt;='Gastos Gerais'!$D$4:$D$3632),-(Analítico!X$3&lt;='Gastos Gerais'!$E$4:$E$3632),-('Gastos Gerais'!$C$4:$C$3632))</f>
        <v>20377.310000000005</v>
      </c>
      <c r="Y104" s="134">
        <f>SUMPRODUCT(-('Gastos Gerais'!$B$4:$B$3632=Analítico!$B104),-(Analítico!Y$3&gt;='Gastos Gerais'!$D$4:$D$3632),-(Analítico!Y$3&lt;='Gastos Gerais'!$E$4:$E$3632),-('Gastos Gerais'!$C$4:$C$3632))</f>
        <v>20377.310000000005</v>
      </c>
      <c r="Z104" s="134">
        <f>SUMPRODUCT(-('Gastos Gerais'!$B$4:$B$3632=Analítico!$B104),-(Analítico!Z$3&gt;='Gastos Gerais'!$D$4:$D$3632),-(Analítico!Z$3&lt;='Gastos Gerais'!$E$4:$E$3632),-('Gastos Gerais'!$C$4:$C$3632))</f>
        <v>20377.310000000005</v>
      </c>
      <c r="AA104" s="134">
        <f>SUMPRODUCT(-('Gastos Gerais'!$B$4:$B$3632=Analítico!$B104),-(Analítico!AA$3&gt;='Gastos Gerais'!$D$4:$D$3632),-(Analítico!AA$3&lt;='Gastos Gerais'!$E$4:$E$3632),-('Gastos Gerais'!$C$4:$C$3632))</f>
        <v>20377.310000000005</v>
      </c>
      <c r="AB104" s="134">
        <f>SUMPRODUCT(-('Gastos Gerais'!$B$4:$B$3632=Analítico!$B104),-(Analítico!AB$3&gt;='Gastos Gerais'!$D$4:$D$3632),-(Analítico!AB$3&lt;='Gastos Gerais'!$E$4:$E$3632),-('Gastos Gerais'!$C$4:$C$3632))</f>
        <v>23462.209999999992</v>
      </c>
      <c r="AC104" s="134">
        <f>SUMPRODUCT(-('Gastos Gerais'!$B$4:$B$3632=Analítico!$B104),-(Analítico!AC$3&gt;='Gastos Gerais'!$D$4:$D$3632),-(Analítico!AC$3&lt;='Gastos Gerais'!$E$4:$E$3632),-('Gastos Gerais'!$C$4:$C$3632))</f>
        <v>23462.209999999992</v>
      </c>
      <c r="AD104" s="134">
        <f>SUMPRODUCT(-('Gastos Gerais'!$B$4:$B$3632=Analítico!$B104),-(Analítico!AD$3&gt;='Gastos Gerais'!$D$4:$D$3632),-(Analítico!AD$3&lt;='Gastos Gerais'!$E$4:$E$3632),-('Gastos Gerais'!$C$4:$C$3632))</f>
        <v>23462.209999999992</v>
      </c>
      <c r="AE104" s="134">
        <f>SUMPRODUCT(-('Gastos Gerais'!$B$4:$B$3632=Analítico!$B104),-(Analítico!AE$3&gt;='Gastos Gerais'!$D$4:$D$3632),-(Analítico!AE$3&lt;='Gastos Gerais'!$E$4:$E$3632),-('Gastos Gerais'!$C$4:$C$3632))</f>
        <v>23462.209999999992</v>
      </c>
      <c r="AF104" s="134">
        <f>SUMPRODUCT(-('Gastos Gerais'!$B$4:$B$3632=Analítico!$B104),-(Analítico!AF$3&gt;='Gastos Gerais'!$D$4:$D$3632),-(Analítico!AF$3&lt;='Gastos Gerais'!$E$4:$E$3632),-('Gastos Gerais'!$C$4:$C$3632))</f>
        <v>23462.209999999992</v>
      </c>
      <c r="AG104" s="134">
        <f>SUMPRODUCT(-('Gastos Gerais'!$B$4:$B$3632=Analítico!$B104),-(Analítico!AG$3&gt;='Gastos Gerais'!$D$4:$D$3632),-(Analítico!AG$3&lt;='Gastos Gerais'!$E$4:$E$3632),-('Gastos Gerais'!$C$4:$C$3632))</f>
        <v>23462.209999999992</v>
      </c>
      <c r="AH104" s="134">
        <f>SUMPRODUCT(-('Gastos Gerais'!$B$4:$B$3632=Analítico!$B104),-(Analítico!AH$3&gt;='Gastos Gerais'!$D$4:$D$3632),-(Analítico!AH$3&lt;='Gastos Gerais'!$E$4:$E$3632),-('Gastos Gerais'!$C$4:$C$3632))</f>
        <v>23462.209999999992</v>
      </c>
      <c r="AI104" s="134">
        <f>SUMPRODUCT(-('Gastos Gerais'!$B$4:$B$3632=Analítico!$B104),-(Analítico!AI$3&gt;='Gastos Gerais'!$D$4:$D$3632),-(Analítico!AI$3&lt;='Gastos Gerais'!$E$4:$E$3632),-('Gastos Gerais'!$C$4:$C$3632))</f>
        <v>23462.209999999992</v>
      </c>
      <c r="AJ104" s="134">
        <f>SUMPRODUCT(-('Gastos Gerais'!$B$4:$B$3632=Analítico!$B104),-(Analítico!AJ$3&gt;='Gastos Gerais'!$D$4:$D$3632),-(Analítico!AJ$3&lt;='Gastos Gerais'!$E$4:$E$3632),-('Gastos Gerais'!$C$4:$C$3632))</f>
        <v>23462.209999999992</v>
      </c>
      <c r="AK104" s="134">
        <f>SUMPRODUCT(-('Gastos Gerais'!$B$4:$B$3632=Analítico!$B104),-(Analítico!AK$3&gt;='Gastos Gerais'!$D$4:$D$3632),-(Analítico!AK$3&lt;='Gastos Gerais'!$E$4:$E$3632),-('Gastos Gerais'!$C$4:$C$3632))</f>
        <v>23462.209999999992</v>
      </c>
      <c r="AL104" s="134">
        <f>SUMPRODUCT(-('Gastos Gerais'!$B$4:$B$3632=Analítico!$B104),-(Analítico!AL$3&gt;='Gastos Gerais'!$D$4:$D$3632),-(Analítico!AL$3&lt;='Gastos Gerais'!$E$4:$E$3632),-('Gastos Gerais'!$C$4:$C$3632))</f>
        <v>23462.209999999992</v>
      </c>
      <c r="AM104" s="134">
        <f>SUMPRODUCT(-('Gastos Gerais'!$B$4:$B$3632=Analítico!$B104),-(Analítico!AM$3&gt;='Gastos Gerais'!$D$4:$D$3632),-(Analítico!AM$3&lt;='Gastos Gerais'!$E$4:$E$3632),-('Gastos Gerais'!$C$4:$C$3632))</f>
        <v>23462.209999999992</v>
      </c>
      <c r="AN104" s="134">
        <f>SUMPRODUCT(-('Gastos Gerais'!$B$4:$B$3632=Analítico!$B104),-(Analítico!AN$3&gt;='Gastos Gerais'!$D$4:$D$3632),-(Analítico!AN$3&lt;='Gastos Gerais'!$E$4:$E$3632),-('Gastos Gerais'!$C$4:$C$3632))</f>
        <v>26101.86</v>
      </c>
      <c r="AO104" s="134">
        <f>SUMPRODUCT(-('Gastos Gerais'!$B$4:$B$3632=Analítico!$B104),-(Analítico!AO$3&gt;='Gastos Gerais'!$D$4:$D$3632),-(Analítico!AO$3&lt;='Gastos Gerais'!$E$4:$E$3632),-('Gastos Gerais'!$C$4:$C$3632))</f>
        <v>26101.86</v>
      </c>
      <c r="AP104" s="134">
        <f>SUMPRODUCT(-('Gastos Gerais'!$B$4:$B$3632=Analítico!$B104),-(Analítico!AP$3&gt;='Gastos Gerais'!$D$4:$D$3632),-(Analítico!AP$3&lt;='Gastos Gerais'!$E$4:$E$3632),-('Gastos Gerais'!$C$4:$C$3632))</f>
        <v>26101.86</v>
      </c>
      <c r="AQ104" s="134">
        <f>SUMPRODUCT(-('Gastos Gerais'!$B$4:$B$3632=Analítico!$B104),-(Analítico!AQ$3&gt;='Gastos Gerais'!$D$4:$D$3632),-(Analítico!AQ$3&lt;='Gastos Gerais'!$E$4:$E$3632),-('Gastos Gerais'!$C$4:$C$3632))</f>
        <v>26101.86</v>
      </c>
      <c r="AR104" s="134">
        <f>SUMPRODUCT(-('Gastos Gerais'!$B$4:$B$3632=Analítico!$B104),-(Analítico!AR$3&gt;='Gastos Gerais'!$D$4:$D$3632),-(Analítico!AR$3&lt;='Gastos Gerais'!$E$4:$E$3632),-('Gastos Gerais'!$C$4:$C$3632))</f>
        <v>26101.86</v>
      </c>
      <c r="AS104" s="134">
        <f>SUMPRODUCT(-('Gastos Gerais'!$B$4:$B$3632=Analítico!$B104),-(Analítico!AS$3&gt;='Gastos Gerais'!$D$4:$D$3632),-(Analítico!AS$3&lt;='Gastos Gerais'!$E$4:$E$3632),-('Gastos Gerais'!$C$4:$C$3632))</f>
        <v>26101.86</v>
      </c>
      <c r="AT104" s="134">
        <f>SUMPRODUCT(-('Gastos Gerais'!$B$4:$B$3632=Analítico!$B104),-(Analítico!AT$3&gt;='Gastos Gerais'!$D$4:$D$3632),-(Analítico!AT$3&lt;='Gastos Gerais'!$E$4:$E$3632),-('Gastos Gerais'!$C$4:$C$3632))</f>
        <v>26101.86</v>
      </c>
      <c r="AU104" s="134">
        <f>SUMPRODUCT(-('Gastos Gerais'!$B$4:$B$3632=Analítico!$B104),-(Analítico!AU$3&gt;='Gastos Gerais'!$D$4:$D$3632),-(Analítico!AU$3&lt;='Gastos Gerais'!$E$4:$E$3632),-('Gastos Gerais'!$C$4:$C$3632))</f>
        <v>26101.86</v>
      </c>
      <c r="AV104" s="134">
        <f>SUMPRODUCT(-('Gastos Gerais'!$B$4:$B$3632=Analítico!$B104),-(Analítico!AV$3&gt;='Gastos Gerais'!$D$4:$D$3632),-(Analítico!AV$3&lt;='Gastos Gerais'!$E$4:$E$3632),-('Gastos Gerais'!$C$4:$C$3632))</f>
        <v>26101.86</v>
      </c>
      <c r="AW104" s="134">
        <f>SUMPRODUCT(-('Gastos Gerais'!$B$4:$B$3632=Analítico!$B104),-(Analítico!AW$3&gt;='Gastos Gerais'!$D$4:$D$3632),-(Analítico!AW$3&lt;='Gastos Gerais'!$E$4:$E$3632),-('Gastos Gerais'!$C$4:$C$3632))</f>
        <v>26101.86</v>
      </c>
      <c r="AX104" s="134">
        <f>SUMPRODUCT(-('Gastos Gerais'!$B$4:$B$3632=Analítico!$B104),-(Analítico!AX$3&gt;='Gastos Gerais'!$D$4:$D$3632),-(Analítico!AX$3&lt;='Gastos Gerais'!$E$4:$E$3632),-('Gastos Gerais'!$C$4:$C$3632))</f>
        <v>26101.86</v>
      </c>
      <c r="AY104" s="134">
        <f>SUMPRODUCT(-('Gastos Gerais'!$B$4:$B$3632=Analítico!$B104),-(Analítico!AY$3&gt;='Gastos Gerais'!$D$4:$D$3632),-(Analítico!AY$3&lt;='Gastos Gerais'!$E$4:$E$3632),-('Gastos Gerais'!$C$4:$C$3632))</f>
        <v>26101.86</v>
      </c>
      <c r="AZ104" s="134">
        <f>SUMPRODUCT(-('Gastos Gerais'!$B$4:$B$3632=Analítico!$B104),-(Analítico!AZ$3&gt;='Gastos Gerais'!$D$4:$D$3632),-(Analítico!AZ$3&lt;='Gastos Gerais'!$E$4:$E$3632),-('Gastos Gerais'!$C$4:$C$3632))</f>
        <v>26365.269999999997</v>
      </c>
      <c r="BA104" s="134">
        <f>SUMPRODUCT(-('Gastos Gerais'!$B$4:$B$3632=Analítico!$B104),-(Analítico!BA$3&gt;='Gastos Gerais'!$D$4:$D$3632),-(Analítico!BA$3&lt;='Gastos Gerais'!$E$4:$E$3632),-('Gastos Gerais'!$C$4:$C$3632))</f>
        <v>26365.269999999997</v>
      </c>
      <c r="BB104" s="134">
        <f>SUMPRODUCT(-('Gastos Gerais'!$B$4:$B$3632=Analítico!$B104),-(Analítico!BB$3&gt;='Gastos Gerais'!$D$4:$D$3632),-(Analítico!BB$3&lt;='Gastos Gerais'!$E$4:$E$3632),-('Gastos Gerais'!$C$4:$C$3632))</f>
        <v>26365.269999999997</v>
      </c>
      <c r="BC104" s="134">
        <f>SUMPRODUCT(-('Gastos Gerais'!$B$4:$B$3632=Analítico!$B104),-(Analítico!BC$3&gt;='Gastos Gerais'!$D$4:$D$3632),-(Analítico!BC$3&lt;='Gastos Gerais'!$E$4:$E$3632),-('Gastos Gerais'!$C$4:$C$3632))</f>
        <v>26365.269999999997</v>
      </c>
      <c r="BD104" s="134">
        <f>SUMPRODUCT(-('Gastos Gerais'!$B$4:$B$3632=Analítico!$B104),-(Analítico!BD$3&gt;='Gastos Gerais'!$D$4:$D$3632),-(Analítico!BD$3&lt;='Gastos Gerais'!$E$4:$E$3632),-('Gastos Gerais'!$C$4:$C$3632))</f>
        <v>26365.269999999997</v>
      </c>
      <c r="BE104" s="134">
        <f>SUMPRODUCT(-('Gastos Gerais'!$B$4:$B$3632=Analítico!$B104),-(Analítico!BE$3&gt;='Gastos Gerais'!$D$4:$D$3632),-(Analítico!BE$3&lt;='Gastos Gerais'!$E$4:$E$3632),-('Gastos Gerais'!$C$4:$C$3632))</f>
        <v>26365.269999999997</v>
      </c>
      <c r="BF104" s="134">
        <f>SUMPRODUCT(-('Gastos Gerais'!$B$4:$B$3632=Analítico!$B104),-(Analítico!BF$3&gt;='Gastos Gerais'!$D$4:$D$3632),-(Analítico!BF$3&lt;='Gastos Gerais'!$E$4:$E$3632),-('Gastos Gerais'!$C$4:$C$3632))</f>
        <v>26365.269999999997</v>
      </c>
      <c r="BG104" s="134">
        <f>SUMPRODUCT(-('Gastos Gerais'!$B$4:$B$3632=Analítico!$B104),-(Analítico!BG$3&gt;='Gastos Gerais'!$D$4:$D$3632),-(Analítico!BG$3&lt;='Gastos Gerais'!$E$4:$E$3632),-('Gastos Gerais'!$C$4:$C$3632))</f>
        <v>26365.269999999997</v>
      </c>
      <c r="BH104" s="134">
        <f>SUMPRODUCT(-('Gastos Gerais'!$B$4:$B$3632=Analítico!$B104),-(Analítico!BH$3&gt;='Gastos Gerais'!$D$4:$D$3632),-(Analítico!BH$3&lt;='Gastos Gerais'!$E$4:$E$3632),-('Gastos Gerais'!$C$4:$C$3632))</f>
        <v>26365.269999999997</v>
      </c>
      <c r="BI104" s="134">
        <f>SUMPRODUCT(-('Gastos Gerais'!$B$4:$B$3632=Analítico!$B104),-(Analítico!BI$3&gt;='Gastos Gerais'!$D$4:$D$3632),-(Analítico!BI$3&lt;='Gastos Gerais'!$E$4:$E$3632),-('Gastos Gerais'!$C$4:$C$3632))</f>
        <v>26365.269999999997</v>
      </c>
      <c r="BJ104" s="134">
        <f>SUMPRODUCT(-('Gastos Gerais'!$B$4:$B$3632=Analítico!$B104),-(Analítico!BJ$3&gt;='Gastos Gerais'!$D$4:$D$3632),-(Analítico!BJ$3&lt;='Gastos Gerais'!$E$4:$E$3632),-('Gastos Gerais'!$C$4:$C$3632))</f>
        <v>26365.269999999997</v>
      </c>
      <c r="BK104" s="189">
        <f t="shared" si="39"/>
        <v>1338503.8649999995</v>
      </c>
      <c r="BL104" s="136">
        <f t="shared" ca="1" si="40"/>
        <v>4.0005267972995978E-3</v>
      </c>
      <c r="BN104" s="134">
        <f>SUMPRODUCT(-('Gastos Gerais'!$B$4:$B$3632=Analítico!$B104),-(Analítico!BN$3&gt;='Gastos Gerais'!$D$4:$D$3632),-(Analítico!BN$3&lt;='Gastos Gerais'!$E$4:$E$3632),-('Gastos Gerais'!$C$4:$C$3632))</f>
        <v>15199.649999999994</v>
      </c>
    </row>
    <row r="105" spans="1:66" s="160" customFormat="1" ht="23.25" customHeight="1">
      <c r="A105" s="229" t="s">
        <v>287</v>
      </c>
      <c r="B105" s="233" t="s">
        <v>288</v>
      </c>
      <c r="C105" s="188">
        <f t="shared" si="36"/>
        <v>1350</v>
      </c>
      <c r="D105" s="134">
        <f>SUMPRODUCT(-('Gastos Gerais'!$B$4:$B$3632=Analítico!$B105),-(Analítico!D$3&gt;='Gastos Gerais'!$D$4:$D$3632),-(Analítico!D$3&lt;='Gastos Gerais'!$E$4:$E$3632),-('Gastos Gerais'!$C$4:$C$3632))</f>
        <v>4500</v>
      </c>
      <c r="E105" s="134">
        <f>SUMPRODUCT(-('Gastos Gerais'!$B$4:$B$3632=Analítico!$B105),-(Analítico!E$3&gt;='Gastos Gerais'!$D$4:$D$3632),-(Analítico!E$3&lt;='Gastos Gerais'!$E$4:$E$3632),-('Gastos Gerais'!$C$4:$C$3632))</f>
        <v>4900</v>
      </c>
      <c r="F105" s="134">
        <f>SUMPRODUCT(-('Gastos Gerais'!$B$4:$B$3632=Analítico!$B105),-(Analítico!F$3&gt;='Gastos Gerais'!$D$4:$D$3632),-(Analítico!F$3&lt;='Gastos Gerais'!$E$4:$E$3632),-('Gastos Gerais'!$C$4:$C$3632))</f>
        <v>4900</v>
      </c>
      <c r="G105" s="134">
        <f>SUMPRODUCT(-('Gastos Gerais'!$B$4:$B$3632=Analítico!$B105),-(Analítico!G$3&gt;='Gastos Gerais'!$D$4:$D$3632),-(Analítico!G$3&lt;='Gastos Gerais'!$E$4:$E$3632),-('Gastos Gerais'!$C$4:$C$3632))</f>
        <v>4900</v>
      </c>
      <c r="H105" s="134">
        <f>SUMPRODUCT(-('Gastos Gerais'!$B$4:$B$3632=Analítico!$B105),-(Analítico!H$3&gt;='Gastos Gerais'!$D$4:$D$3632),-(Analítico!H$3&lt;='Gastos Gerais'!$E$4:$E$3632),-('Gastos Gerais'!$C$4:$C$3632))</f>
        <v>4900</v>
      </c>
      <c r="I105" s="134">
        <f>SUMPRODUCT(-('Gastos Gerais'!$B$4:$B$3632=Analítico!$B105),-(Analítico!I$3&gt;='Gastos Gerais'!$D$4:$D$3632),-(Analítico!I$3&lt;='Gastos Gerais'!$E$4:$E$3632),-('Gastos Gerais'!$C$4:$C$3632))</f>
        <v>4900</v>
      </c>
      <c r="J105" s="134">
        <f>SUMPRODUCT(-('Gastos Gerais'!$B$4:$B$3632=Analítico!$B105),-(Analítico!J$3&gt;='Gastos Gerais'!$D$4:$D$3632),-(Analítico!J$3&lt;='Gastos Gerais'!$E$4:$E$3632),-('Gastos Gerais'!$C$4:$C$3632))</f>
        <v>4900</v>
      </c>
      <c r="K105" s="134">
        <f>SUMPRODUCT(-('Gastos Gerais'!$B$4:$B$3632=Analítico!$B105),-(Analítico!K$3&gt;='Gastos Gerais'!$D$4:$D$3632),-(Analítico!K$3&lt;='Gastos Gerais'!$E$4:$E$3632),-('Gastos Gerais'!$C$4:$C$3632))</f>
        <v>4900</v>
      </c>
      <c r="L105" s="134">
        <f>SUMPRODUCT(-('Gastos Gerais'!$B$4:$B$3632=Analítico!$B105),-(Analítico!L$3&gt;='Gastos Gerais'!$D$4:$D$3632),-(Analítico!L$3&lt;='Gastos Gerais'!$E$4:$E$3632),-('Gastos Gerais'!$C$4:$C$3632))</f>
        <v>4900</v>
      </c>
      <c r="M105" s="134">
        <f>SUMPRODUCT(-('Gastos Gerais'!$B$4:$B$3632=Analítico!$B105),-(Analítico!M$3&gt;='Gastos Gerais'!$D$4:$D$3632),-(Analítico!M$3&lt;='Gastos Gerais'!$E$4:$E$3632),-('Gastos Gerais'!$C$4:$C$3632))</f>
        <v>4900</v>
      </c>
      <c r="N105" s="134">
        <f>SUMPRODUCT(-('Gastos Gerais'!$B$4:$B$3632=Analítico!$B105),-(Analítico!N$3&gt;='Gastos Gerais'!$D$4:$D$3632),-(Analítico!N$3&lt;='Gastos Gerais'!$E$4:$E$3632),-('Gastos Gerais'!$C$4:$C$3632))</f>
        <v>4900</v>
      </c>
      <c r="O105" s="134">
        <f>SUMPRODUCT(-('Gastos Gerais'!$B$4:$B$3632=Analítico!$B105),-(Analítico!O$3&gt;='Gastos Gerais'!$D$4:$D$3632),-(Analítico!O$3&lt;='Gastos Gerais'!$E$4:$E$3632),-('Gastos Gerais'!$C$4:$C$3632))</f>
        <v>5100</v>
      </c>
      <c r="P105" s="134">
        <f>SUMPRODUCT(-('Gastos Gerais'!$B$4:$B$3632=Analítico!$B105),-(Analítico!P$3&gt;='Gastos Gerais'!$D$4:$D$3632),-(Analítico!P$3&lt;='Gastos Gerais'!$E$4:$E$3632),-('Gastos Gerais'!$C$4:$C$3632))</f>
        <v>5100</v>
      </c>
      <c r="Q105" s="134">
        <f>SUMPRODUCT(-('Gastos Gerais'!$B$4:$B$3632=Analítico!$B105),-(Analítico!Q$3&gt;='Gastos Gerais'!$D$4:$D$3632),-(Analítico!Q$3&lt;='Gastos Gerais'!$E$4:$E$3632),-('Gastos Gerais'!$C$4:$C$3632))</f>
        <v>5300</v>
      </c>
      <c r="R105" s="134">
        <f>SUMPRODUCT(-('Gastos Gerais'!$B$4:$B$3632=Analítico!$B105),-(Analítico!R$3&gt;='Gastos Gerais'!$D$4:$D$3632),-(Analítico!R$3&lt;='Gastos Gerais'!$E$4:$E$3632),-('Gastos Gerais'!$C$4:$C$3632))</f>
        <v>5300</v>
      </c>
      <c r="S105" s="134">
        <f>SUMPRODUCT(-('Gastos Gerais'!$B$4:$B$3632=Analítico!$B105),-(Analítico!S$3&gt;='Gastos Gerais'!$D$4:$D$3632),-(Analítico!S$3&lt;='Gastos Gerais'!$E$4:$E$3632),-('Gastos Gerais'!$C$4:$C$3632))</f>
        <v>5300</v>
      </c>
      <c r="T105" s="134">
        <f>SUMPRODUCT(-('Gastos Gerais'!$B$4:$B$3632=Analítico!$B105),-(Analítico!T$3&gt;='Gastos Gerais'!$D$4:$D$3632),-(Analítico!T$3&lt;='Gastos Gerais'!$E$4:$E$3632),-('Gastos Gerais'!$C$4:$C$3632))</f>
        <v>5300</v>
      </c>
      <c r="U105" s="134">
        <f>SUMPRODUCT(-('Gastos Gerais'!$B$4:$B$3632=Analítico!$B105),-(Analítico!U$3&gt;='Gastos Gerais'!$D$4:$D$3632),-(Analítico!U$3&lt;='Gastos Gerais'!$E$4:$E$3632),-('Gastos Gerais'!$C$4:$C$3632))</f>
        <v>5300</v>
      </c>
      <c r="V105" s="134">
        <f>SUMPRODUCT(-('Gastos Gerais'!$B$4:$B$3632=Analítico!$B105),-(Analítico!V$3&gt;='Gastos Gerais'!$D$4:$D$3632),-(Analítico!V$3&lt;='Gastos Gerais'!$E$4:$E$3632),-('Gastos Gerais'!$C$4:$C$3632))</f>
        <v>5300</v>
      </c>
      <c r="W105" s="134">
        <f>SUMPRODUCT(-('Gastos Gerais'!$B$4:$B$3632=Analítico!$B105),-(Analítico!W$3&gt;='Gastos Gerais'!$D$4:$D$3632),-(Analítico!W$3&lt;='Gastos Gerais'!$E$4:$E$3632),-('Gastos Gerais'!$C$4:$C$3632))</f>
        <v>5300</v>
      </c>
      <c r="X105" s="134">
        <f>SUMPRODUCT(-('Gastos Gerais'!$B$4:$B$3632=Analítico!$B105),-(Analítico!X$3&gt;='Gastos Gerais'!$D$4:$D$3632),-(Analítico!X$3&lt;='Gastos Gerais'!$E$4:$E$3632),-('Gastos Gerais'!$C$4:$C$3632))</f>
        <v>5300</v>
      </c>
      <c r="Y105" s="134">
        <f>SUMPRODUCT(-('Gastos Gerais'!$B$4:$B$3632=Analítico!$B105),-(Analítico!Y$3&gt;='Gastos Gerais'!$D$4:$D$3632),-(Analítico!Y$3&lt;='Gastos Gerais'!$E$4:$E$3632),-('Gastos Gerais'!$C$4:$C$3632))</f>
        <v>5300</v>
      </c>
      <c r="Z105" s="134">
        <f>SUMPRODUCT(-('Gastos Gerais'!$B$4:$B$3632=Analítico!$B105),-(Analítico!Z$3&gt;='Gastos Gerais'!$D$4:$D$3632),-(Analítico!Z$3&lt;='Gastos Gerais'!$E$4:$E$3632),-('Gastos Gerais'!$C$4:$C$3632))</f>
        <v>5300</v>
      </c>
      <c r="AA105" s="134">
        <f>SUMPRODUCT(-('Gastos Gerais'!$B$4:$B$3632=Analítico!$B105),-(Analítico!AA$3&gt;='Gastos Gerais'!$D$4:$D$3632),-(Analítico!AA$3&lt;='Gastos Gerais'!$E$4:$E$3632),-('Gastos Gerais'!$C$4:$C$3632))</f>
        <v>5300</v>
      </c>
      <c r="AB105" s="134">
        <f>SUMPRODUCT(-('Gastos Gerais'!$B$4:$B$3632=Analítico!$B105),-(Analítico!AB$3&gt;='Gastos Gerais'!$D$4:$D$3632),-(Analítico!AB$3&lt;='Gastos Gerais'!$E$4:$E$3632),-('Gastos Gerais'!$C$4:$C$3632))</f>
        <v>5300</v>
      </c>
      <c r="AC105" s="134">
        <f>SUMPRODUCT(-('Gastos Gerais'!$B$4:$B$3632=Analítico!$B105),-(Analítico!AC$3&gt;='Gastos Gerais'!$D$4:$D$3632),-(Analítico!AC$3&lt;='Gastos Gerais'!$E$4:$E$3632),-('Gastos Gerais'!$C$4:$C$3632))</f>
        <v>5300</v>
      </c>
      <c r="AD105" s="134">
        <f>SUMPRODUCT(-('Gastos Gerais'!$B$4:$B$3632=Analítico!$B105),-(Analítico!AD$3&gt;='Gastos Gerais'!$D$4:$D$3632),-(Analítico!AD$3&lt;='Gastos Gerais'!$E$4:$E$3632),-('Gastos Gerais'!$C$4:$C$3632))</f>
        <v>5300</v>
      </c>
      <c r="AE105" s="134">
        <f>SUMPRODUCT(-('Gastos Gerais'!$B$4:$B$3632=Analítico!$B105),-(Analítico!AE$3&gt;='Gastos Gerais'!$D$4:$D$3632),-(Analítico!AE$3&lt;='Gastos Gerais'!$E$4:$E$3632),-('Gastos Gerais'!$C$4:$C$3632))</f>
        <v>5300</v>
      </c>
      <c r="AF105" s="134">
        <f>SUMPRODUCT(-('Gastos Gerais'!$B$4:$B$3632=Analítico!$B105),-(Analítico!AF$3&gt;='Gastos Gerais'!$D$4:$D$3632),-(Analítico!AF$3&lt;='Gastos Gerais'!$E$4:$E$3632),-('Gastos Gerais'!$C$4:$C$3632))</f>
        <v>5300</v>
      </c>
      <c r="AG105" s="134">
        <f>SUMPRODUCT(-('Gastos Gerais'!$B$4:$B$3632=Analítico!$B105),-(Analítico!AG$3&gt;='Gastos Gerais'!$D$4:$D$3632),-(Analítico!AG$3&lt;='Gastos Gerais'!$E$4:$E$3632),-('Gastos Gerais'!$C$4:$C$3632))</f>
        <v>5300</v>
      </c>
      <c r="AH105" s="134">
        <f>SUMPRODUCT(-('Gastos Gerais'!$B$4:$B$3632=Analítico!$B105),-(Analítico!AH$3&gt;='Gastos Gerais'!$D$4:$D$3632),-(Analítico!AH$3&lt;='Gastos Gerais'!$E$4:$E$3632),-('Gastos Gerais'!$C$4:$C$3632))</f>
        <v>5300</v>
      </c>
      <c r="AI105" s="134">
        <f>SUMPRODUCT(-('Gastos Gerais'!$B$4:$B$3632=Analítico!$B105),-(Analítico!AI$3&gt;='Gastos Gerais'!$D$4:$D$3632),-(Analítico!AI$3&lt;='Gastos Gerais'!$E$4:$E$3632),-('Gastos Gerais'!$C$4:$C$3632))</f>
        <v>5300</v>
      </c>
      <c r="AJ105" s="134">
        <f>SUMPRODUCT(-('Gastos Gerais'!$B$4:$B$3632=Analítico!$B105),-(Analítico!AJ$3&gt;='Gastos Gerais'!$D$4:$D$3632),-(Analítico!AJ$3&lt;='Gastos Gerais'!$E$4:$E$3632),-('Gastos Gerais'!$C$4:$C$3632))</f>
        <v>5300</v>
      </c>
      <c r="AK105" s="134">
        <f>SUMPRODUCT(-('Gastos Gerais'!$B$4:$B$3632=Analítico!$B105),-(Analítico!AK$3&gt;='Gastos Gerais'!$D$4:$D$3632),-(Analítico!AK$3&lt;='Gastos Gerais'!$E$4:$E$3632),-('Gastos Gerais'!$C$4:$C$3632))</f>
        <v>5300</v>
      </c>
      <c r="AL105" s="134">
        <f>SUMPRODUCT(-('Gastos Gerais'!$B$4:$B$3632=Analítico!$B105),-(Analítico!AL$3&gt;='Gastos Gerais'!$D$4:$D$3632),-(Analítico!AL$3&lt;='Gastos Gerais'!$E$4:$E$3632),-('Gastos Gerais'!$C$4:$C$3632))</f>
        <v>5300</v>
      </c>
      <c r="AM105" s="134">
        <f>SUMPRODUCT(-('Gastos Gerais'!$B$4:$B$3632=Analítico!$B105),-(Analítico!AM$3&gt;='Gastos Gerais'!$D$4:$D$3632),-(Analítico!AM$3&lt;='Gastos Gerais'!$E$4:$E$3632),-('Gastos Gerais'!$C$4:$C$3632))</f>
        <v>5300</v>
      </c>
      <c r="AN105" s="134">
        <f>SUMPRODUCT(-('Gastos Gerais'!$B$4:$B$3632=Analítico!$B105),-(Analítico!AN$3&gt;='Gastos Gerais'!$D$4:$D$3632),-(Analítico!AN$3&lt;='Gastos Gerais'!$E$4:$E$3632),-('Gastos Gerais'!$C$4:$C$3632))</f>
        <v>5500</v>
      </c>
      <c r="AO105" s="134">
        <f>SUMPRODUCT(-('Gastos Gerais'!$B$4:$B$3632=Analítico!$B105),-(Analítico!AO$3&gt;='Gastos Gerais'!$D$4:$D$3632),-(Analítico!AO$3&lt;='Gastos Gerais'!$E$4:$E$3632),-('Gastos Gerais'!$C$4:$C$3632))</f>
        <v>5500</v>
      </c>
      <c r="AP105" s="134">
        <f>SUMPRODUCT(-('Gastos Gerais'!$B$4:$B$3632=Analítico!$B105),-(Analítico!AP$3&gt;='Gastos Gerais'!$D$4:$D$3632),-(Analítico!AP$3&lt;='Gastos Gerais'!$E$4:$E$3632),-('Gastos Gerais'!$C$4:$C$3632))</f>
        <v>5500</v>
      </c>
      <c r="AQ105" s="134">
        <f>SUMPRODUCT(-('Gastos Gerais'!$B$4:$B$3632=Analítico!$B105),-(Analítico!AQ$3&gt;='Gastos Gerais'!$D$4:$D$3632),-(Analítico!AQ$3&lt;='Gastos Gerais'!$E$4:$E$3632),-('Gastos Gerais'!$C$4:$C$3632))</f>
        <v>5500</v>
      </c>
      <c r="AR105" s="134">
        <f>SUMPRODUCT(-('Gastos Gerais'!$B$4:$B$3632=Analítico!$B105),-(Analítico!AR$3&gt;='Gastos Gerais'!$D$4:$D$3632),-(Analítico!AR$3&lt;='Gastos Gerais'!$E$4:$E$3632),-('Gastos Gerais'!$C$4:$C$3632))</f>
        <v>5500</v>
      </c>
      <c r="AS105" s="134">
        <f>SUMPRODUCT(-('Gastos Gerais'!$B$4:$B$3632=Analítico!$B105),-(Analítico!AS$3&gt;='Gastos Gerais'!$D$4:$D$3632),-(Analítico!AS$3&lt;='Gastos Gerais'!$E$4:$E$3632),-('Gastos Gerais'!$C$4:$C$3632))</f>
        <v>5500</v>
      </c>
      <c r="AT105" s="134">
        <f>SUMPRODUCT(-('Gastos Gerais'!$B$4:$B$3632=Analítico!$B105),-(Analítico!AT$3&gt;='Gastos Gerais'!$D$4:$D$3632),-(Analítico!AT$3&lt;='Gastos Gerais'!$E$4:$E$3632),-('Gastos Gerais'!$C$4:$C$3632))</f>
        <v>5500</v>
      </c>
      <c r="AU105" s="134">
        <f>SUMPRODUCT(-('Gastos Gerais'!$B$4:$B$3632=Analítico!$B105),-(Analítico!AU$3&gt;='Gastos Gerais'!$D$4:$D$3632),-(Analítico!AU$3&lt;='Gastos Gerais'!$E$4:$E$3632),-('Gastos Gerais'!$C$4:$C$3632))</f>
        <v>5500</v>
      </c>
      <c r="AV105" s="134">
        <f>SUMPRODUCT(-('Gastos Gerais'!$B$4:$B$3632=Analítico!$B105),-(Analítico!AV$3&gt;='Gastos Gerais'!$D$4:$D$3632),-(Analítico!AV$3&lt;='Gastos Gerais'!$E$4:$E$3632),-('Gastos Gerais'!$C$4:$C$3632))</f>
        <v>5500</v>
      </c>
      <c r="AW105" s="134">
        <f>SUMPRODUCT(-('Gastos Gerais'!$B$4:$B$3632=Analítico!$B105),-(Analítico!AW$3&gt;='Gastos Gerais'!$D$4:$D$3632),-(Analítico!AW$3&lt;='Gastos Gerais'!$E$4:$E$3632),-('Gastos Gerais'!$C$4:$C$3632))</f>
        <v>5500</v>
      </c>
      <c r="AX105" s="134">
        <f>SUMPRODUCT(-('Gastos Gerais'!$B$4:$B$3632=Analítico!$B105),-(Analítico!AX$3&gt;='Gastos Gerais'!$D$4:$D$3632),-(Analítico!AX$3&lt;='Gastos Gerais'!$E$4:$E$3632),-('Gastos Gerais'!$C$4:$C$3632))</f>
        <v>5500</v>
      </c>
      <c r="AY105" s="134">
        <f>SUMPRODUCT(-('Gastos Gerais'!$B$4:$B$3632=Analítico!$B105),-(Analítico!AY$3&gt;='Gastos Gerais'!$D$4:$D$3632),-(Analítico!AY$3&lt;='Gastos Gerais'!$E$4:$E$3632),-('Gastos Gerais'!$C$4:$C$3632))</f>
        <v>5500</v>
      </c>
      <c r="AZ105" s="134">
        <f>SUMPRODUCT(-('Gastos Gerais'!$B$4:$B$3632=Analítico!$B105),-(Analítico!AZ$3&gt;='Gastos Gerais'!$D$4:$D$3632),-(Analítico!AZ$3&lt;='Gastos Gerais'!$E$4:$E$3632),-('Gastos Gerais'!$C$4:$C$3632))</f>
        <v>5300</v>
      </c>
      <c r="BA105" s="134">
        <f>SUMPRODUCT(-('Gastos Gerais'!$B$4:$B$3632=Analítico!$B105),-(Analítico!BA$3&gt;='Gastos Gerais'!$D$4:$D$3632),-(Analítico!BA$3&lt;='Gastos Gerais'!$E$4:$E$3632),-('Gastos Gerais'!$C$4:$C$3632))</f>
        <v>5300</v>
      </c>
      <c r="BB105" s="134">
        <f>SUMPRODUCT(-('Gastos Gerais'!$B$4:$B$3632=Analítico!$B105),-(Analítico!BB$3&gt;='Gastos Gerais'!$D$4:$D$3632),-(Analítico!BB$3&lt;='Gastos Gerais'!$E$4:$E$3632),-('Gastos Gerais'!$C$4:$C$3632))</f>
        <v>5300</v>
      </c>
      <c r="BC105" s="134">
        <f>SUMPRODUCT(-('Gastos Gerais'!$B$4:$B$3632=Analítico!$B105),-(Analítico!BC$3&gt;='Gastos Gerais'!$D$4:$D$3632),-(Analítico!BC$3&lt;='Gastos Gerais'!$E$4:$E$3632),-('Gastos Gerais'!$C$4:$C$3632))</f>
        <v>5300</v>
      </c>
      <c r="BD105" s="134">
        <f>SUMPRODUCT(-('Gastos Gerais'!$B$4:$B$3632=Analítico!$B105),-(Analítico!BD$3&gt;='Gastos Gerais'!$D$4:$D$3632),-(Analítico!BD$3&lt;='Gastos Gerais'!$E$4:$E$3632),-('Gastos Gerais'!$C$4:$C$3632))</f>
        <v>5300</v>
      </c>
      <c r="BE105" s="134">
        <f>SUMPRODUCT(-('Gastos Gerais'!$B$4:$B$3632=Analítico!$B105),-(Analítico!BE$3&gt;='Gastos Gerais'!$D$4:$D$3632),-(Analítico!BE$3&lt;='Gastos Gerais'!$E$4:$E$3632),-('Gastos Gerais'!$C$4:$C$3632))</f>
        <v>5300</v>
      </c>
      <c r="BF105" s="134">
        <f>SUMPRODUCT(-('Gastos Gerais'!$B$4:$B$3632=Analítico!$B105),-(Analítico!BF$3&gt;='Gastos Gerais'!$D$4:$D$3632),-(Analítico!BF$3&lt;='Gastos Gerais'!$E$4:$E$3632),-('Gastos Gerais'!$C$4:$C$3632))</f>
        <v>5300</v>
      </c>
      <c r="BG105" s="134">
        <f>SUMPRODUCT(-('Gastos Gerais'!$B$4:$B$3632=Analítico!$B105),-(Analítico!BG$3&gt;='Gastos Gerais'!$D$4:$D$3632),-(Analítico!BG$3&lt;='Gastos Gerais'!$E$4:$E$3632),-('Gastos Gerais'!$C$4:$C$3632))</f>
        <v>5300</v>
      </c>
      <c r="BH105" s="134">
        <f>SUMPRODUCT(-('Gastos Gerais'!$B$4:$B$3632=Analítico!$B105),-(Analítico!BH$3&gt;='Gastos Gerais'!$D$4:$D$3632),-(Analítico!BH$3&lt;='Gastos Gerais'!$E$4:$E$3632),-('Gastos Gerais'!$C$4:$C$3632))</f>
        <v>5300</v>
      </c>
      <c r="BI105" s="134">
        <f>SUMPRODUCT(-('Gastos Gerais'!$B$4:$B$3632=Analítico!$B105),-(Analítico!BI$3&gt;='Gastos Gerais'!$D$4:$D$3632),-(Analítico!BI$3&lt;='Gastos Gerais'!$E$4:$E$3632),-('Gastos Gerais'!$C$4:$C$3632))</f>
        <v>5300</v>
      </c>
      <c r="BJ105" s="134">
        <f>SUMPRODUCT(-('Gastos Gerais'!$B$4:$B$3632=Analítico!$B105),-(Analítico!BJ$3&gt;='Gastos Gerais'!$D$4:$D$3632),-(Analítico!BJ$3&lt;='Gastos Gerais'!$E$4:$E$3632),-('Gastos Gerais'!$C$4:$C$3632))</f>
        <v>5300</v>
      </c>
      <c r="BK105" s="189">
        <f t="shared" si="39"/>
        <v>311250</v>
      </c>
      <c r="BL105" s="136">
        <f t="shared" ca="1" si="40"/>
        <v>9.3026549882954592E-4</v>
      </c>
      <c r="BN105" s="134">
        <f>SUMPRODUCT(-('Gastos Gerais'!$B$4:$B$3632=Analítico!$B105),-(Analítico!BN$3&gt;='Gastos Gerais'!$D$4:$D$3632),-(Analítico!BN$3&lt;='Gastos Gerais'!$E$4:$E$3632),-('Gastos Gerais'!$C$4:$C$3632))</f>
        <v>4500</v>
      </c>
    </row>
    <row r="106" spans="1:66" s="160" customFormat="1" ht="23.25" customHeight="1">
      <c r="A106" s="229" t="s">
        <v>289</v>
      </c>
      <c r="B106" s="231" t="s">
        <v>290</v>
      </c>
      <c r="C106" s="188">
        <f t="shared" si="36"/>
        <v>360</v>
      </c>
      <c r="D106" s="134">
        <f>SUMPRODUCT(-('Gastos Gerais'!$B$4:$B$3632=Analítico!$B106),-(Analítico!D$3&gt;='Gastos Gerais'!$D$4:$D$3632),-(Analítico!D$3&lt;='Gastos Gerais'!$E$4:$E$3632),-('Gastos Gerais'!$C$4:$C$3632))</f>
        <v>1200</v>
      </c>
      <c r="E106" s="134">
        <f>SUMPRODUCT(-('Gastos Gerais'!$B$4:$B$3632=Analítico!$B106),-(Analítico!E$3&gt;='Gastos Gerais'!$D$4:$D$3632),-(Analítico!E$3&lt;='Gastos Gerais'!$E$4:$E$3632),-('Gastos Gerais'!$C$4:$C$3632))</f>
        <v>1200</v>
      </c>
      <c r="F106" s="134">
        <f>SUMPRODUCT(-('Gastos Gerais'!$B$4:$B$3632=Analítico!$B106),-(Analítico!F$3&gt;='Gastos Gerais'!$D$4:$D$3632),-(Analítico!F$3&lt;='Gastos Gerais'!$E$4:$E$3632),-('Gastos Gerais'!$C$4:$C$3632))</f>
        <v>1200</v>
      </c>
      <c r="G106" s="134">
        <f>SUMPRODUCT(-('Gastos Gerais'!$B$4:$B$3632=Analítico!$B106),-(Analítico!G$3&gt;='Gastos Gerais'!$D$4:$D$3632),-(Analítico!G$3&lt;='Gastos Gerais'!$E$4:$E$3632),-('Gastos Gerais'!$C$4:$C$3632))</f>
        <v>1200</v>
      </c>
      <c r="H106" s="134">
        <f>SUMPRODUCT(-('Gastos Gerais'!$B$4:$B$3632=Analítico!$B106),-(Analítico!H$3&gt;='Gastos Gerais'!$D$4:$D$3632),-(Analítico!H$3&lt;='Gastos Gerais'!$E$4:$E$3632),-('Gastos Gerais'!$C$4:$C$3632))</f>
        <v>1200</v>
      </c>
      <c r="I106" s="134">
        <f>SUMPRODUCT(-('Gastos Gerais'!$B$4:$B$3632=Analítico!$B106),-(Analítico!I$3&gt;='Gastos Gerais'!$D$4:$D$3632),-(Analítico!I$3&lt;='Gastos Gerais'!$E$4:$E$3632),-('Gastos Gerais'!$C$4:$C$3632))</f>
        <v>1200</v>
      </c>
      <c r="J106" s="134">
        <f>SUMPRODUCT(-('Gastos Gerais'!$B$4:$B$3632=Analítico!$B106),-(Analítico!J$3&gt;='Gastos Gerais'!$D$4:$D$3632),-(Analítico!J$3&lt;='Gastos Gerais'!$E$4:$E$3632),-('Gastos Gerais'!$C$4:$C$3632))</f>
        <v>1200</v>
      </c>
      <c r="K106" s="134">
        <f>SUMPRODUCT(-('Gastos Gerais'!$B$4:$B$3632=Analítico!$B106),-(Analítico!K$3&gt;='Gastos Gerais'!$D$4:$D$3632),-(Analítico!K$3&lt;='Gastos Gerais'!$E$4:$E$3632),-('Gastos Gerais'!$C$4:$C$3632))</f>
        <v>1200</v>
      </c>
      <c r="L106" s="134">
        <f>SUMPRODUCT(-('Gastos Gerais'!$B$4:$B$3632=Analítico!$B106),-(Analítico!L$3&gt;='Gastos Gerais'!$D$4:$D$3632),-(Analítico!L$3&lt;='Gastos Gerais'!$E$4:$E$3632),-('Gastos Gerais'!$C$4:$C$3632))</f>
        <v>1200</v>
      </c>
      <c r="M106" s="134">
        <f>SUMPRODUCT(-('Gastos Gerais'!$B$4:$B$3632=Analítico!$B106),-(Analítico!M$3&gt;='Gastos Gerais'!$D$4:$D$3632),-(Analítico!M$3&lt;='Gastos Gerais'!$E$4:$E$3632),-('Gastos Gerais'!$C$4:$C$3632))</f>
        <v>1200</v>
      </c>
      <c r="N106" s="134">
        <f>SUMPRODUCT(-('Gastos Gerais'!$B$4:$B$3632=Analítico!$B106),-(Analítico!N$3&gt;='Gastos Gerais'!$D$4:$D$3632),-(Analítico!N$3&lt;='Gastos Gerais'!$E$4:$E$3632),-('Gastos Gerais'!$C$4:$C$3632))</f>
        <v>1200</v>
      </c>
      <c r="O106" s="134">
        <f>SUMPRODUCT(-('Gastos Gerais'!$B$4:$B$3632=Analítico!$B106),-(Analítico!O$3&gt;='Gastos Gerais'!$D$4:$D$3632),-(Analítico!O$3&lt;='Gastos Gerais'!$E$4:$E$3632),-('Gastos Gerais'!$C$4:$C$3632))</f>
        <v>1200</v>
      </c>
      <c r="P106" s="134">
        <f>SUMPRODUCT(-('Gastos Gerais'!$B$4:$B$3632=Analítico!$B106),-(Analítico!P$3&gt;='Gastos Gerais'!$D$4:$D$3632),-(Analítico!P$3&lt;='Gastos Gerais'!$E$4:$E$3632),-('Gastos Gerais'!$C$4:$C$3632))</f>
        <v>1200</v>
      </c>
      <c r="Q106" s="134">
        <f>SUMPRODUCT(-('Gastos Gerais'!$B$4:$B$3632=Analítico!$B106),-(Analítico!Q$3&gt;='Gastos Gerais'!$D$4:$D$3632),-(Analítico!Q$3&lt;='Gastos Gerais'!$E$4:$E$3632),-('Gastos Gerais'!$C$4:$C$3632))</f>
        <v>1200</v>
      </c>
      <c r="R106" s="134">
        <f>SUMPRODUCT(-('Gastos Gerais'!$B$4:$B$3632=Analítico!$B106),-(Analítico!R$3&gt;='Gastos Gerais'!$D$4:$D$3632),-(Analítico!R$3&lt;='Gastos Gerais'!$E$4:$E$3632),-('Gastos Gerais'!$C$4:$C$3632))</f>
        <v>1200</v>
      </c>
      <c r="S106" s="134">
        <f>SUMPRODUCT(-('Gastos Gerais'!$B$4:$B$3632=Analítico!$B106),-(Analítico!S$3&gt;='Gastos Gerais'!$D$4:$D$3632),-(Analítico!S$3&lt;='Gastos Gerais'!$E$4:$E$3632),-('Gastos Gerais'!$C$4:$C$3632))</f>
        <v>1200</v>
      </c>
      <c r="T106" s="134">
        <f>SUMPRODUCT(-('Gastos Gerais'!$B$4:$B$3632=Analítico!$B106),-(Analítico!T$3&gt;='Gastos Gerais'!$D$4:$D$3632),-(Analítico!T$3&lt;='Gastos Gerais'!$E$4:$E$3632),-('Gastos Gerais'!$C$4:$C$3632))</f>
        <v>1200</v>
      </c>
      <c r="U106" s="134">
        <f>SUMPRODUCT(-('Gastos Gerais'!$B$4:$B$3632=Analítico!$B106),-(Analítico!U$3&gt;='Gastos Gerais'!$D$4:$D$3632),-(Analítico!U$3&lt;='Gastos Gerais'!$E$4:$E$3632),-('Gastos Gerais'!$C$4:$C$3632))</f>
        <v>1200</v>
      </c>
      <c r="V106" s="134">
        <f>SUMPRODUCT(-('Gastos Gerais'!$B$4:$B$3632=Analítico!$B106),-(Analítico!V$3&gt;='Gastos Gerais'!$D$4:$D$3632),-(Analítico!V$3&lt;='Gastos Gerais'!$E$4:$E$3632),-('Gastos Gerais'!$C$4:$C$3632))</f>
        <v>1200</v>
      </c>
      <c r="W106" s="134">
        <f>SUMPRODUCT(-('Gastos Gerais'!$B$4:$B$3632=Analítico!$B106),-(Analítico!W$3&gt;='Gastos Gerais'!$D$4:$D$3632),-(Analítico!W$3&lt;='Gastos Gerais'!$E$4:$E$3632),-('Gastos Gerais'!$C$4:$C$3632))</f>
        <v>1200</v>
      </c>
      <c r="X106" s="134">
        <f>SUMPRODUCT(-('Gastos Gerais'!$B$4:$B$3632=Analítico!$B106),-(Analítico!X$3&gt;='Gastos Gerais'!$D$4:$D$3632),-(Analítico!X$3&lt;='Gastos Gerais'!$E$4:$E$3632),-('Gastos Gerais'!$C$4:$C$3632))</f>
        <v>1200</v>
      </c>
      <c r="Y106" s="134">
        <f>SUMPRODUCT(-('Gastos Gerais'!$B$4:$B$3632=Analítico!$B106),-(Analítico!Y$3&gt;='Gastos Gerais'!$D$4:$D$3632),-(Analítico!Y$3&lt;='Gastos Gerais'!$E$4:$E$3632),-('Gastos Gerais'!$C$4:$C$3632))</f>
        <v>1200</v>
      </c>
      <c r="Z106" s="134">
        <f>SUMPRODUCT(-('Gastos Gerais'!$B$4:$B$3632=Analítico!$B106),-(Analítico!Z$3&gt;='Gastos Gerais'!$D$4:$D$3632),-(Analítico!Z$3&lt;='Gastos Gerais'!$E$4:$E$3632),-('Gastos Gerais'!$C$4:$C$3632))</f>
        <v>1200</v>
      </c>
      <c r="AA106" s="134">
        <f>SUMPRODUCT(-('Gastos Gerais'!$B$4:$B$3632=Analítico!$B106),-(Analítico!AA$3&gt;='Gastos Gerais'!$D$4:$D$3632),-(Analítico!AA$3&lt;='Gastos Gerais'!$E$4:$E$3632),-('Gastos Gerais'!$C$4:$C$3632))</f>
        <v>1200</v>
      </c>
      <c r="AB106" s="134">
        <f>SUMPRODUCT(-('Gastos Gerais'!$B$4:$B$3632=Analítico!$B106),-(Analítico!AB$3&gt;='Gastos Gerais'!$D$4:$D$3632),-(Analítico!AB$3&lt;='Gastos Gerais'!$E$4:$E$3632),-('Gastos Gerais'!$C$4:$C$3632))</f>
        <v>1200</v>
      </c>
      <c r="AC106" s="134">
        <f>SUMPRODUCT(-('Gastos Gerais'!$B$4:$B$3632=Analítico!$B106),-(Analítico!AC$3&gt;='Gastos Gerais'!$D$4:$D$3632),-(Analítico!AC$3&lt;='Gastos Gerais'!$E$4:$E$3632),-('Gastos Gerais'!$C$4:$C$3632))</f>
        <v>1200</v>
      </c>
      <c r="AD106" s="134">
        <f>SUMPRODUCT(-('Gastos Gerais'!$B$4:$B$3632=Analítico!$B106),-(Analítico!AD$3&gt;='Gastos Gerais'!$D$4:$D$3632),-(Analítico!AD$3&lt;='Gastos Gerais'!$E$4:$E$3632),-('Gastos Gerais'!$C$4:$C$3632))</f>
        <v>1200</v>
      </c>
      <c r="AE106" s="134">
        <f>SUMPRODUCT(-('Gastos Gerais'!$B$4:$B$3632=Analítico!$B106),-(Analítico!AE$3&gt;='Gastos Gerais'!$D$4:$D$3632),-(Analítico!AE$3&lt;='Gastos Gerais'!$E$4:$E$3632),-('Gastos Gerais'!$C$4:$C$3632))</f>
        <v>1200</v>
      </c>
      <c r="AF106" s="134">
        <f>SUMPRODUCT(-('Gastos Gerais'!$B$4:$B$3632=Analítico!$B106),-(Analítico!AF$3&gt;='Gastos Gerais'!$D$4:$D$3632),-(Analítico!AF$3&lt;='Gastos Gerais'!$E$4:$E$3632),-('Gastos Gerais'!$C$4:$C$3632))</f>
        <v>1200</v>
      </c>
      <c r="AG106" s="134">
        <f>SUMPRODUCT(-('Gastos Gerais'!$B$4:$B$3632=Analítico!$B106),-(Analítico!AG$3&gt;='Gastos Gerais'!$D$4:$D$3632),-(Analítico!AG$3&lt;='Gastos Gerais'!$E$4:$E$3632),-('Gastos Gerais'!$C$4:$C$3632))</f>
        <v>1200</v>
      </c>
      <c r="AH106" s="134">
        <f>SUMPRODUCT(-('Gastos Gerais'!$B$4:$B$3632=Analítico!$B106),-(Analítico!AH$3&gt;='Gastos Gerais'!$D$4:$D$3632),-(Analítico!AH$3&lt;='Gastos Gerais'!$E$4:$E$3632),-('Gastos Gerais'!$C$4:$C$3632))</f>
        <v>1200</v>
      </c>
      <c r="AI106" s="134">
        <f>SUMPRODUCT(-('Gastos Gerais'!$B$4:$B$3632=Analítico!$B106),-(Analítico!AI$3&gt;='Gastos Gerais'!$D$4:$D$3632),-(Analítico!AI$3&lt;='Gastos Gerais'!$E$4:$E$3632),-('Gastos Gerais'!$C$4:$C$3632))</f>
        <v>1200</v>
      </c>
      <c r="AJ106" s="134">
        <f>SUMPRODUCT(-('Gastos Gerais'!$B$4:$B$3632=Analítico!$B106),-(Analítico!AJ$3&gt;='Gastos Gerais'!$D$4:$D$3632),-(Analítico!AJ$3&lt;='Gastos Gerais'!$E$4:$E$3632),-('Gastos Gerais'!$C$4:$C$3632))</f>
        <v>1200</v>
      </c>
      <c r="AK106" s="134">
        <f>SUMPRODUCT(-('Gastos Gerais'!$B$4:$B$3632=Analítico!$B106),-(Analítico!AK$3&gt;='Gastos Gerais'!$D$4:$D$3632),-(Analítico!AK$3&lt;='Gastos Gerais'!$E$4:$E$3632),-('Gastos Gerais'!$C$4:$C$3632))</f>
        <v>1200</v>
      </c>
      <c r="AL106" s="134">
        <f>SUMPRODUCT(-('Gastos Gerais'!$B$4:$B$3632=Analítico!$B106),-(Analítico!AL$3&gt;='Gastos Gerais'!$D$4:$D$3632),-(Analítico!AL$3&lt;='Gastos Gerais'!$E$4:$E$3632),-('Gastos Gerais'!$C$4:$C$3632))</f>
        <v>1200</v>
      </c>
      <c r="AM106" s="134">
        <f>SUMPRODUCT(-('Gastos Gerais'!$B$4:$B$3632=Analítico!$B106),-(Analítico!AM$3&gt;='Gastos Gerais'!$D$4:$D$3632),-(Analítico!AM$3&lt;='Gastos Gerais'!$E$4:$E$3632),-('Gastos Gerais'!$C$4:$C$3632))</f>
        <v>1200</v>
      </c>
      <c r="AN106" s="134">
        <f>SUMPRODUCT(-('Gastos Gerais'!$B$4:$B$3632=Analítico!$B106),-(Analítico!AN$3&gt;='Gastos Gerais'!$D$4:$D$3632),-(Analítico!AN$3&lt;='Gastos Gerais'!$E$4:$E$3632),-('Gastos Gerais'!$C$4:$C$3632))</f>
        <v>1200</v>
      </c>
      <c r="AO106" s="134">
        <f>SUMPRODUCT(-('Gastos Gerais'!$B$4:$B$3632=Analítico!$B106),-(Analítico!AO$3&gt;='Gastos Gerais'!$D$4:$D$3632),-(Analítico!AO$3&lt;='Gastos Gerais'!$E$4:$E$3632),-('Gastos Gerais'!$C$4:$C$3632))</f>
        <v>1200</v>
      </c>
      <c r="AP106" s="134">
        <f>SUMPRODUCT(-('Gastos Gerais'!$B$4:$B$3632=Analítico!$B106),-(Analítico!AP$3&gt;='Gastos Gerais'!$D$4:$D$3632),-(Analítico!AP$3&lt;='Gastos Gerais'!$E$4:$E$3632),-('Gastos Gerais'!$C$4:$C$3632))</f>
        <v>1200</v>
      </c>
      <c r="AQ106" s="134">
        <f>SUMPRODUCT(-('Gastos Gerais'!$B$4:$B$3632=Analítico!$B106),-(Analítico!AQ$3&gt;='Gastos Gerais'!$D$4:$D$3632),-(Analítico!AQ$3&lt;='Gastos Gerais'!$E$4:$E$3632),-('Gastos Gerais'!$C$4:$C$3632))</f>
        <v>1200</v>
      </c>
      <c r="AR106" s="134">
        <f>SUMPRODUCT(-('Gastos Gerais'!$B$4:$B$3632=Analítico!$B106),-(Analítico!AR$3&gt;='Gastos Gerais'!$D$4:$D$3632),-(Analítico!AR$3&lt;='Gastos Gerais'!$E$4:$E$3632),-('Gastos Gerais'!$C$4:$C$3632))</f>
        <v>1200</v>
      </c>
      <c r="AS106" s="134">
        <f>SUMPRODUCT(-('Gastos Gerais'!$B$4:$B$3632=Analítico!$B106),-(Analítico!AS$3&gt;='Gastos Gerais'!$D$4:$D$3632),-(Analítico!AS$3&lt;='Gastos Gerais'!$E$4:$E$3632),-('Gastos Gerais'!$C$4:$C$3632))</f>
        <v>1200</v>
      </c>
      <c r="AT106" s="134">
        <f>SUMPRODUCT(-('Gastos Gerais'!$B$4:$B$3632=Analítico!$B106),-(Analítico!AT$3&gt;='Gastos Gerais'!$D$4:$D$3632),-(Analítico!AT$3&lt;='Gastos Gerais'!$E$4:$E$3632),-('Gastos Gerais'!$C$4:$C$3632))</f>
        <v>1200</v>
      </c>
      <c r="AU106" s="134">
        <f>SUMPRODUCT(-('Gastos Gerais'!$B$4:$B$3632=Analítico!$B106),-(Analítico!AU$3&gt;='Gastos Gerais'!$D$4:$D$3632),-(Analítico!AU$3&lt;='Gastos Gerais'!$E$4:$E$3632),-('Gastos Gerais'!$C$4:$C$3632))</f>
        <v>1200</v>
      </c>
      <c r="AV106" s="134">
        <f>SUMPRODUCT(-('Gastos Gerais'!$B$4:$B$3632=Analítico!$B106),-(Analítico!AV$3&gt;='Gastos Gerais'!$D$4:$D$3632),-(Analítico!AV$3&lt;='Gastos Gerais'!$E$4:$E$3632),-('Gastos Gerais'!$C$4:$C$3632))</f>
        <v>1200</v>
      </c>
      <c r="AW106" s="134">
        <f>SUMPRODUCT(-('Gastos Gerais'!$B$4:$B$3632=Analítico!$B106),-(Analítico!AW$3&gt;='Gastos Gerais'!$D$4:$D$3632),-(Analítico!AW$3&lt;='Gastos Gerais'!$E$4:$E$3632),-('Gastos Gerais'!$C$4:$C$3632))</f>
        <v>1200</v>
      </c>
      <c r="AX106" s="134">
        <f>SUMPRODUCT(-('Gastos Gerais'!$B$4:$B$3632=Analítico!$B106),-(Analítico!AX$3&gt;='Gastos Gerais'!$D$4:$D$3632),-(Analítico!AX$3&lt;='Gastos Gerais'!$E$4:$E$3632),-('Gastos Gerais'!$C$4:$C$3632))</f>
        <v>1200</v>
      </c>
      <c r="AY106" s="134">
        <f>SUMPRODUCT(-('Gastos Gerais'!$B$4:$B$3632=Analítico!$B106),-(Analítico!AY$3&gt;='Gastos Gerais'!$D$4:$D$3632),-(Analítico!AY$3&lt;='Gastos Gerais'!$E$4:$E$3632),-('Gastos Gerais'!$C$4:$C$3632))</f>
        <v>1200</v>
      </c>
      <c r="AZ106" s="134">
        <f>SUMPRODUCT(-('Gastos Gerais'!$B$4:$B$3632=Analítico!$B106),-(Analítico!AZ$3&gt;='Gastos Gerais'!$D$4:$D$3632),-(Analítico!AZ$3&lt;='Gastos Gerais'!$E$4:$E$3632),-('Gastos Gerais'!$C$4:$C$3632))</f>
        <v>1200</v>
      </c>
      <c r="BA106" s="134">
        <f>SUMPRODUCT(-('Gastos Gerais'!$B$4:$B$3632=Analítico!$B106),-(Analítico!BA$3&gt;='Gastos Gerais'!$D$4:$D$3632),-(Analítico!BA$3&lt;='Gastos Gerais'!$E$4:$E$3632),-('Gastos Gerais'!$C$4:$C$3632))</f>
        <v>1200</v>
      </c>
      <c r="BB106" s="134">
        <f>SUMPRODUCT(-('Gastos Gerais'!$B$4:$B$3632=Analítico!$B106),-(Analítico!BB$3&gt;='Gastos Gerais'!$D$4:$D$3632),-(Analítico!BB$3&lt;='Gastos Gerais'!$E$4:$E$3632),-('Gastos Gerais'!$C$4:$C$3632))</f>
        <v>1200</v>
      </c>
      <c r="BC106" s="134">
        <f>SUMPRODUCT(-('Gastos Gerais'!$B$4:$B$3632=Analítico!$B106),-(Analítico!BC$3&gt;='Gastos Gerais'!$D$4:$D$3632),-(Analítico!BC$3&lt;='Gastos Gerais'!$E$4:$E$3632),-('Gastos Gerais'!$C$4:$C$3632))</f>
        <v>1200</v>
      </c>
      <c r="BD106" s="134">
        <f>SUMPRODUCT(-('Gastos Gerais'!$B$4:$B$3632=Analítico!$B106),-(Analítico!BD$3&gt;='Gastos Gerais'!$D$4:$D$3632),-(Analítico!BD$3&lt;='Gastos Gerais'!$E$4:$E$3632),-('Gastos Gerais'!$C$4:$C$3632))</f>
        <v>1200</v>
      </c>
      <c r="BE106" s="134">
        <f>SUMPRODUCT(-('Gastos Gerais'!$B$4:$B$3632=Analítico!$B106),-(Analítico!BE$3&gt;='Gastos Gerais'!$D$4:$D$3632),-(Analítico!BE$3&lt;='Gastos Gerais'!$E$4:$E$3632),-('Gastos Gerais'!$C$4:$C$3632))</f>
        <v>1200</v>
      </c>
      <c r="BF106" s="134">
        <f>SUMPRODUCT(-('Gastos Gerais'!$B$4:$B$3632=Analítico!$B106),-(Analítico!BF$3&gt;='Gastos Gerais'!$D$4:$D$3632),-(Analítico!BF$3&lt;='Gastos Gerais'!$E$4:$E$3632),-('Gastos Gerais'!$C$4:$C$3632))</f>
        <v>1200</v>
      </c>
      <c r="BG106" s="134">
        <f>SUMPRODUCT(-('Gastos Gerais'!$B$4:$B$3632=Analítico!$B106),-(Analítico!BG$3&gt;='Gastos Gerais'!$D$4:$D$3632),-(Analítico!BG$3&lt;='Gastos Gerais'!$E$4:$E$3632),-('Gastos Gerais'!$C$4:$C$3632))</f>
        <v>1200</v>
      </c>
      <c r="BH106" s="134">
        <f>SUMPRODUCT(-('Gastos Gerais'!$B$4:$B$3632=Analítico!$B106),-(Analítico!BH$3&gt;='Gastos Gerais'!$D$4:$D$3632),-(Analítico!BH$3&lt;='Gastos Gerais'!$E$4:$E$3632),-('Gastos Gerais'!$C$4:$C$3632))</f>
        <v>1200</v>
      </c>
      <c r="BI106" s="134">
        <f>SUMPRODUCT(-('Gastos Gerais'!$B$4:$B$3632=Analítico!$B106),-(Analítico!BI$3&gt;='Gastos Gerais'!$D$4:$D$3632),-(Analítico!BI$3&lt;='Gastos Gerais'!$E$4:$E$3632),-('Gastos Gerais'!$C$4:$C$3632))</f>
        <v>1200</v>
      </c>
      <c r="BJ106" s="134">
        <f>SUMPRODUCT(-('Gastos Gerais'!$B$4:$B$3632=Analítico!$B106),-(Analítico!BJ$3&gt;='Gastos Gerais'!$D$4:$D$3632),-(Analítico!BJ$3&lt;='Gastos Gerais'!$E$4:$E$3632),-('Gastos Gerais'!$C$4:$C$3632))</f>
        <v>1200</v>
      </c>
      <c r="BK106" s="189">
        <f t="shared" si="39"/>
        <v>71160</v>
      </c>
      <c r="BL106" s="136">
        <f t="shared" ca="1" si="40"/>
        <v>2.126833506721622E-4</v>
      </c>
      <c r="BN106" s="134">
        <f>SUMPRODUCT(-('Gastos Gerais'!$B$4:$B$3632=Analítico!$B106),-(Analítico!BN$3&gt;='Gastos Gerais'!$D$4:$D$3632),-(Analítico!BN$3&lt;='Gastos Gerais'!$E$4:$E$3632),-('Gastos Gerais'!$C$4:$C$3632))</f>
        <v>1200</v>
      </c>
    </row>
    <row r="107" spans="1:66" s="160" customFormat="1" ht="23.25" customHeight="1">
      <c r="A107" s="229" t="s">
        <v>291</v>
      </c>
      <c r="B107" s="232" t="s">
        <v>292</v>
      </c>
      <c r="C107" s="188">
        <f t="shared" si="36"/>
        <v>450</v>
      </c>
      <c r="D107" s="134">
        <f>SUMPRODUCT(-('Gastos Gerais'!$B$4:$B$3632=Analítico!$B107),-(Analítico!D$3&gt;='Gastos Gerais'!$D$4:$D$3632),-(Analítico!D$3&lt;='Gastos Gerais'!$E$4:$E$3632),-('Gastos Gerais'!$C$4:$C$3632))</f>
        <v>1500</v>
      </c>
      <c r="E107" s="134">
        <f>SUMPRODUCT(-('Gastos Gerais'!$B$4:$B$3632=Analítico!$B107),-(Analítico!E$3&gt;='Gastos Gerais'!$D$4:$D$3632),-(Analítico!E$3&lt;='Gastos Gerais'!$E$4:$E$3632),-('Gastos Gerais'!$C$4:$C$3632))</f>
        <v>1500</v>
      </c>
      <c r="F107" s="134">
        <f>SUMPRODUCT(-('Gastos Gerais'!$B$4:$B$3632=Analítico!$B107),-(Analítico!F$3&gt;='Gastos Gerais'!$D$4:$D$3632),-(Analítico!F$3&lt;='Gastos Gerais'!$E$4:$E$3632),-('Gastos Gerais'!$C$4:$C$3632))</f>
        <v>1500</v>
      </c>
      <c r="G107" s="134">
        <f>SUMPRODUCT(-('Gastos Gerais'!$B$4:$B$3632=Analítico!$B107),-(Analítico!G$3&gt;='Gastos Gerais'!$D$4:$D$3632),-(Analítico!G$3&lt;='Gastos Gerais'!$E$4:$E$3632),-('Gastos Gerais'!$C$4:$C$3632))</f>
        <v>1500</v>
      </c>
      <c r="H107" s="134">
        <f>SUMPRODUCT(-('Gastos Gerais'!$B$4:$B$3632=Analítico!$B107),-(Analítico!H$3&gt;='Gastos Gerais'!$D$4:$D$3632),-(Analítico!H$3&lt;='Gastos Gerais'!$E$4:$E$3632),-('Gastos Gerais'!$C$4:$C$3632))</f>
        <v>1500</v>
      </c>
      <c r="I107" s="134">
        <f>SUMPRODUCT(-('Gastos Gerais'!$B$4:$B$3632=Analítico!$B107),-(Analítico!I$3&gt;='Gastos Gerais'!$D$4:$D$3632),-(Analítico!I$3&lt;='Gastos Gerais'!$E$4:$E$3632),-('Gastos Gerais'!$C$4:$C$3632))</f>
        <v>1500</v>
      </c>
      <c r="J107" s="134">
        <f>SUMPRODUCT(-('Gastos Gerais'!$B$4:$B$3632=Analítico!$B107),-(Analítico!J$3&gt;='Gastos Gerais'!$D$4:$D$3632),-(Analítico!J$3&lt;='Gastos Gerais'!$E$4:$E$3632),-('Gastos Gerais'!$C$4:$C$3632))</f>
        <v>1500</v>
      </c>
      <c r="K107" s="134">
        <f>SUMPRODUCT(-('Gastos Gerais'!$B$4:$B$3632=Analítico!$B107),-(Analítico!K$3&gt;='Gastos Gerais'!$D$4:$D$3632),-(Analítico!K$3&lt;='Gastos Gerais'!$E$4:$E$3632),-('Gastos Gerais'!$C$4:$C$3632))</f>
        <v>1500</v>
      </c>
      <c r="L107" s="134">
        <f>SUMPRODUCT(-('Gastos Gerais'!$B$4:$B$3632=Analítico!$B107),-(Analítico!L$3&gt;='Gastos Gerais'!$D$4:$D$3632),-(Analítico!L$3&lt;='Gastos Gerais'!$E$4:$E$3632),-('Gastos Gerais'!$C$4:$C$3632))</f>
        <v>1500</v>
      </c>
      <c r="M107" s="134">
        <f>SUMPRODUCT(-('Gastos Gerais'!$B$4:$B$3632=Analítico!$B107),-(Analítico!M$3&gt;='Gastos Gerais'!$D$4:$D$3632),-(Analítico!M$3&lt;='Gastos Gerais'!$E$4:$E$3632),-('Gastos Gerais'!$C$4:$C$3632))</f>
        <v>1500</v>
      </c>
      <c r="N107" s="134">
        <f>SUMPRODUCT(-('Gastos Gerais'!$B$4:$B$3632=Analítico!$B107),-(Analítico!N$3&gt;='Gastos Gerais'!$D$4:$D$3632),-(Analítico!N$3&lt;='Gastos Gerais'!$E$4:$E$3632),-('Gastos Gerais'!$C$4:$C$3632))</f>
        <v>1500</v>
      </c>
      <c r="O107" s="134">
        <f>SUMPRODUCT(-('Gastos Gerais'!$B$4:$B$3632=Analítico!$B107),-(Analítico!O$3&gt;='Gastos Gerais'!$D$4:$D$3632),-(Analítico!O$3&lt;='Gastos Gerais'!$E$4:$E$3632),-('Gastos Gerais'!$C$4:$C$3632))</f>
        <v>1500</v>
      </c>
      <c r="P107" s="134">
        <f>SUMPRODUCT(-('Gastos Gerais'!$B$4:$B$3632=Analítico!$B107),-(Analítico!P$3&gt;='Gastos Gerais'!$D$4:$D$3632),-(Analítico!P$3&lt;='Gastos Gerais'!$E$4:$E$3632),-('Gastos Gerais'!$C$4:$C$3632))</f>
        <v>1500</v>
      </c>
      <c r="Q107" s="134">
        <f>SUMPRODUCT(-('Gastos Gerais'!$B$4:$B$3632=Analítico!$B107),-(Analítico!Q$3&gt;='Gastos Gerais'!$D$4:$D$3632),-(Analítico!Q$3&lt;='Gastos Gerais'!$E$4:$E$3632),-('Gastos Gerais'!$C$4:$C$3632))</f>
        <v>1500</v>
      </c>
      <c r="R107" s="134">
        <f>SUMPRODUCT(-('Gastos Gerais'!$B$4:$B$3632=Analítico!$B107),-(Analítico!R$3&gt;='Gastos Gerais'!$D$4:$D$3632),-(Analítico!R$3&lt;='Gastos Gerais'!$E$4:$E$3632),-('Gastos Gerais'!$C$4:$C$3632))</f>
        <v>1500</v>
      </c>
      <c r="S107" s="134">
        <f>SUMPRODUCT(-('Gastos Gerais'!$B$4:$B$3632=Analítico!$B107),-(Analítico!S$3&gt;='Gastos Gerais'!$D$4:$D$3632),-(Analítico!S$3&lt;='Gastos Gerais'!$E$4:$E$3632),-('Gastos Gerais'!$C$4:$C$3632))</f>
        <v>1500</v>
      </c>
      <c r="T107" s="134">
        <f>SUMPRODUCT(-('Gastos Gerais'!$B$4:$B$3632=Analítico!$B107),-(Analítico!T$3&gt;='Gastos Gerais'!$D$4:$D$3632),-(Analítico!T$3&lt;='Gastos Gerais'!$E$4:$E$3632),-('Gastos Gerais'!$C$4:$C$3632))</f>
        <v>1500</v>
      </c>
      <c r="U107" s="134">
        <f>SUMPRODUCT(-('Gastos Gerais'!$B$4:$B$3632=Analítico!$B107),-(Analítico!U$3&gt;='Gastos Gerais'!$D$4:$D$3632),-(Analítico!U$3&lt;='Gastos Gerais'!$E$4:$E$3632),-('Gastos Gerais'!$C$4:$C$3632))</f>
        <v>1500</v>
      </c>
      <c r="V107" s="134">
        <f>SUMPRODUCT(-('Gastos Gerais'!$B$4:$B$3632=Analítico!$B107),-(Analítico!V$3&gt;='Gastos Gerais'!$D$4:$D$3632),-(Analítico!V$3&lt;='Gastos Gerais'!$E$4:$E$3632),-('Gastos Gerais'!$C$4:$C$3632))</f>
        <v>1500</v>
      </c>
      <c r="W107" s="134">
        <f>SUMPRODUCT(-('Gastos Gerais'!$B$4:$B$3632=Analítico!$B107),-(Analítico!W$3&gt;='Gastos Gerais'!$D$4:$D$3632),-(Analítico!W$3&lt;='Gastos Gerais'!$E$4:$E$3632),-('Gastos Gerais'!$C$4:$C$3632))</f>
        <v>1500</v>
      </c>
      <c r="X107" s="134">
        <f>SUMPRODUCT(-('Gastos Gerais'!$B$4:$B$3632=Analítico!$B107),-(Analítico!X$3&gt;='Gastos Gerais'!$D$4:$D$3632),-(Analítico!X$3&lt;='Gastos Gerais'!$E$4:$E$3632),-('Gastos Gerais'!$C$4:$C$3632))</f>
        <v>1500</v>
      </c>
      <c r="Y107" s="134">
        <f>SUMPRODUCT(-('Gastos Gerais'!$B$4:$B$3632=Analítico!$B107),-(Analítico!Y$3&gt;='Gastos Gerais'!$D$4:$D$3632),-(Analítico!Y$3&lt;='Gastos Gerais'!$E$4:$E$3632),-('Gastos Gerais'!$C$4:$C$3632))</f>
        <v>1500</v>
      </c>
      <c r="Z107" s="134">
        <f>SUMPRODUCT(-('Gastos Gerais'!$B$4:$B$3632=Analítico!$B107),-(Analítico!Z$3&gt;='Gastos Gerais'!$D$4:$D$3632),-(Analítico!Z$3&lt;='Gastos Gerais'!$E$4:$E$3632),-('Gastos Gerais'!$C$4:$C$3632))</f>
        <v>1500</v>
      </c>
      <c r="AA107" s="134">
        <f>SUMPRODUCT(-('Gastos Gerais'!$B$4:$B$3632=Analítico!$B107),-(Analítico!AA$3&gt;='Gastos Gerais'!$D$4:$D$3632),-(Analítico!AA$3&lt;='Gastos Gerais'!$E$4:$E$3632),-('Gastos Gerais'!$C$4:$C$3632))</f>
        <v>1500</v>
      </c>
      <c r="AB107" s="134">
        <f>SUMPRODUCT(-('Gastos Gerais'!$B$4:$B$3632=Analítico!$B107),-(Analítico!AB$3&gt;='Gastos Gerais'!$D$4:$D$3632),-(Analítico!AB$3&lt;='Gastos Gerais'!$E$4:$E$3632),-('Gastos Gerais'!$C$4:$C$3632))</f>
        <v>1500</v>
      </c>
      <c r="AC107" s="134">
        <f>SUMPRODUCT(-('Gastos Gerais'!$B$4:$B$3632=Analítico!$B107),-(Analítico!AC$3&gt;='Gastos Gerais'!$D$4:$D$3632),-(Analítico!AC$3&lt;='Gastos Gerais'!$E$4:$E$3632),-('Gastos Gerais'!$C$4:$C$3632))</f>
        <v>1500</v>
      </c>
      <c r="AD107" s="134">
        <f>SUMPRODUCT(-('Gastos Gerais'!$B$4:$B$3632=Analítico!$B107),-(Analítico!AD$3&gt;='Gastos Gerais'!$D$4:$D$3632),-(Analítico!AD$3&lt;='Gastos Gerais'!$E$4:$E$3632),-('Gastos Gerais'!$C$4:$C$3632))</f>
        <v>1500</v>
      </c>
      <c r="AE107" s="134">
        <f>SUMPRODUCT(-('Gastos Gerais'!$B$4:$B$3632=Analítico!$B107),-(Analítico!AE$3&gt;='Gastos Gerais'!$D$4:$D$3632),-(Analítico!AE$3&lt;='Gastos Gerais'!$E$4:$E$3632),-('Gastos Gerais'!$C$4:$C$3632))</f>
        <v>1500</v>
      </c>
      <c r="AF107" s="134">
        <f>SUMPRODUCT(-('Gastos Gerais'!$B$4:$B$3632=Analítico!$B107),-(Analítico!AF$3&gt;='Gastos Gerais'!$D$4:$D$3632),-(Analítico!AF$3&lt;='Gastos Gerais'!$E$4:$E$3632),-('Gastos Gerais'!$C$4:$C$3632))</f>
        <v>1500</v>
      </c>
      <c r="AG107" s="134">
        <f>SUMPRODUCT(-('Gastos Gerais'!$B$4:$B$3632=Analítico!$B107),-(Analítico!AG$3&gt;='Gastos Gerais'!$D$4:$D$3632),-(Analítico!AG$3&lt;='Gastos Gerais'!$E$4:$E$3632),-('Gastos Gerais'!$C$4:$C$3632))</f>
        <v>1500</v>
      </c>
      <c r="AH107" s="134">
        <f>SUMPRODUCT(-('Gastos Gerais'!$B$4:$B$3632=Analítico!$B107),-(Analítico!AH$3&gt;='Gastos Gerais'!$D$4:$D$3632),-(Analítico!AH$3&lt;='Gastos Gerais'!$E$4:$E$3632),-('Gastos Gerais'!$C$4:$C$3632))</f>
        <v>1500</v>
      </c>
      <c r="AI107" s="134">
        <f>SUMPRODUCT(-('Gastos Gerais'!$B$4:$B$3632=Analítico!$B107),-(Analítico!AI$3&gt;='Gastos Gerais'!$D$4:$D$3632),-(Analítico!AI$3&lt;='Gastos Gerais'!$E$4:$E$3632),-('Gastos Gerais'!$C$4:$C$3632))</f>
        <v>1500</v>
      </c>
      <c r="AJ107" s="134">
        <f>SUMPRODUCT(-('Gastos Gerais'!$B$4:$B$3632=Analítico!$B107),-(Analítico!AJ$3&gt;='Gastos Gerais'!$D$4:$D$3632),-(Analítico!AJ$3&lt;='Gastos Gerais'!$E$4:$E$3632),-('Gastos Gerais'!$C$4:$C$3632))</f>
        <v>1500</v>
      </c>
      <c r="AK107" s="134">
        <f>SUMPRODUCT(-('Gastos Gerais'!$B$4:$B$3632=Analítico!$B107),-(Analítico!AK$3&gt;='Gastos Gerais'!$D$4:$D$3632),-(Analítico!AK$3&lt;='Gastos Gerais'!$E$4:$E$3632),-('Gastos Gerais'!$C$4:$C$3632))</f>
        <v>1500</v>
      </c>
      <c r="AL107" s="134">
        <f>SUMPRODUCT(-('Gastos Gerais'!$B$4:$B$3632=Analítico!$B107),-(Analítico!AL$3&gt;='Gastos Gerais'!$D$4:$D$3632),-(Analítico!AL$3&lt;='Gastos Gerais'!$E$4:$E$3632),-('Gastos Gerais'!$C$4:$C$3632))</f>
        <v>1500</v>
      </c>
      <c r="AM107" s="134">
        <f>SUMPRODUCT(-('Gastos Gerais'!$B$4:$B$3632=Analítico!$B107),-(Analítico!AM$3&gt;='Gastos Gerais'!$D$4:$D$3632),-(Analítico!AM$3&lt;='Gastos Gerais'!$E$4:$E$3632),-('Gastos Gerais'!$C$4:$C$3632))</f>
        <v>1500</v>
      </c>
      <c r="AN107" s="134">
        <f>SUMPRODUCT(-('Gastos Gerais'!$B$4:$B$3632=Analítico!$B107),-(Analítico!AN$3&gt;='Gastos Gerais'!$D$4:$D$3632),-(Analítico!AN$3&lt;='Gastos Gerais'!$E$4:$E$3632),-('Gastos Gerais'!$C$4:$C$3632))</f>
        <v>1500</v>
      </c>
      <c r="AO107" s="134">
        <f>SUMPRODUCT(-('Gastos Gerais'!$B$4:$B$3632=Analítico!$B107),-(Analítico!AO$3&gt;='Gastos Gerais'!$D$4:$D$3632),-(Analítico!AO$3&lt;='Gastos Gerais'!$E$4:$E$3632),-('Gastos Gerais'!$C$4:$C$3632))</f>
        <v>1500</v>
      </c>
      <c r="AP107" s="134">
        <f>SUMPRODUCT(-('Gastos Gerais'!$B$4:$B$3632=Analítico!$B107),-(Analítico!AP$3&gt;='Gastos Gerais'!$D$4:$D$3632),-(Analítico!AP$3&lt;='Gastos Gerais'!$E$4:$E$3632),-('Gastos Gerais'!$C$4:$C$3632))</f>
        <v>1500</v>
      </c>
      <c r="AQ107" s="134">
        <f>SUMPRODUCT(-('Gastos Gerais'!$B$4:$B$3632=Analítico!$B107),-(Analítico!AQ$3&gt;='Gastos Gerais'!$D$4:$D$3632),-(Analítico!AQ$3&lt;='Gastos Gerais'!$E$4:$E$3632),-('Gastos Gerais'!$C$4:$C$3632))</f>
        <v>1500</v>
      </c>
      <c r="AR107" s="134">
        <f>SUMPRODUCT(-('Gastos Gerais'!$B$4:$B$3632=Analítico!$B107),-(Analítico!AR$3&gt;='Gastos Gerais'!$D$4:$D$3632),-(Analítico!AR$3&lt;='Gastos Gerais'!$E$4:$E$3632),-('Gastos Gerais'!$C$4:$C$3632))</f>
        <v>1500</v>
      </c>
      <c r="AS107" s="134">
        <f>SUMPRODUCT(-('Gastos Gerais'!$B$4:$B$3632=Analítico!$B107),-(Analítico!AS$3&gt;='Gastos Gerais'!$D$4:$D$3632),-(Analítico!AS$3&lt;='Gastos Gerais'!$E$4:$E$3632),-('Gastos Gerais'!$C$4:$C$3632))</f>
        <v>1500</v>
      </c>
      <c r="AT107" s="134">
        <f>SUMPRODUCT(-('Gastos Gerais'!$B$4:$B$3632=Analítico!$B107),-(Analítico!AT$3&gt;='Gastos Gerais'!$D$4:$D$3632),-(Analítico!AT$3&lt;='Gastos Gerais'!$E$4:$E$3632),-('Gastos Gerais'!$C$4:$C$3632))</f>
        <v>1500</v>
      </c>
      <c r="AU107" s="134">
        <f>SUMPRODUCT(-('Gastos Gerais'!$B$4:$B$3632=Analítico!$B107),-(Analítico!AU$3&gt;='Gastos Gerais'!$D$4:$D$3632),-(Analítico!AU$3&lt;='Gastos Gerais'!$E$4:$E$3632),-('Gastos Gerais'!$C$4:$C$3632))</f>
        <v>1500</v>
      </c>
      <c r="AV107" s="134">
        <f>SUMPRODUCT(-('Gastos Gerais'!$B$4:$B$3632=Analítico!$B107),-(Analítico!AV$3&gt;='Gastos Gerais'!$D$4:$D$3632),-(Analítico!AV$3&lt;='Gastos Gerais'!$E$4:$E$3632),-('Gastos Gerais'!$C$4:$C$3632))</f>
        <v>1500</v>
      </c>
      <c r="AW107" s="134">
        <f>SUMPRODUCT(-('Gastos Gerais'!$B$4:$B$3632=Analítico!$B107),-(Analítico!AW$3&gt;='Gastos Gerais'!$D$4:$D$3632),-(Analítico!AW$3&lt;='Gastos Gerais'!$E$4:$E$3632),-('Gastos Gerais'!$C$4:$C$3632))</f>
        <v>1500</v>
      </c>
      <c r="AX107" s="134">
        <f>SUMPRODUCT(-('Gastos Gerais'!$B$4:$B$3632=Analítico!$B107),-(Analítico!AX$3&gt;='Gastos Gerais'!$D$4:$D$3632),-(Analítico!AX$3&lt;='Gastos Gerais'!$E$4:$E$3632),-('Gastos Gerais'!$C$4:$C$3632))</f>
        <v>1500</v>
      </c>
      <c r="AY107" s="134">
        <f>SUMPRODUCT(-('Gastos Gerais'!$B$4:$B$3632=Analítico!$B107),-(Analítico!AY$3&gt;='Gastos Gerais'!$D$4:$D$3632),-(Analítico!AY$3&lt;='Gastos Gerais'!$E$4:$E$3632),-('Gastos Gerais'!$C$4:$C$3632))</f>
        <v>1500</v>
      </c>
      <c r="AZ107" s="134">
        <f>SUMPRODUCT(-('Gastos Gerais'!$B$4:$B$3632=Analítico!$B107),-(Analítico!AZ$3&gt;='Gastos Gerais'!$D$4:$D$3632),-(Analítico!AZ$3&lt;='Gastos Gerais'!$E$4:$E$3632),-('Gastos Gerais'!$C$4:$C$3632))</f>
        <v>1500</v>
      </c>
      <c r="BA107" s="134">
        <f>SUMPRODUCT(-('Gastos Gerais'!$B$4:$B$3632=Analítico!$B107),-(Analítico!BA$3&gt;='Gastos Gerais'!$D$4:$D$3632),-(Analítico!BA$3&lt;='Gastos Gerais'!$E$4:$E$3632),-('Gastos Gerais'!$C$4:$C$3632))</f>
        <v>1500</v>
      </c>
      <c r="BB107" s="134">
        <f>SUMPRODUCT(-('Gastos Gerais'!$B$4:$B$3632=Analítico!$B107),-(Analítico!BB$3&gt;='Gastos Gerais'!$D$4:$D$3632),-(Analítico!BB$3&lt;='Gastos Gerais'!$E$4:$E$3632),-('Gastos Gerais'!$C$4:$C$3632))</f>
        <v>1500</v>
      </c>
      <c r="BC107" s="134">
        <f>SUMPRODUCT(-('Gastos Gerais'!$B$4:$B$3632=Analítico!$B107),-(Analítico!BC$3&gt;='Gastos Gerais'!$D$4:$D$3632),-(Analítico!BC$3&lt;='Gastos Gerais'!$E$4:$E$3632),-('Gastos Gerais'!$C$4:$C$3632))</f>
        <v>1500</v>
      </c>
      <c r="BD107" s="134">
        <f>SUMPRODUCT(-('Gastos Gerais'!$B$4:$B$3632=Analítico!$B107),-(Analítico!BD$3&gt;='Gastos Gerais'!$D$4:$D$3632),-(Analítico!BD$3&lt;='Gastos Gerais'!$E$4:$E$3632),-('Gastos Gerais'!$C$4:$C$3632))</f>
        <v>1500</v>
      </c>
      <c r="BE107" s="134">
        <f>SUMPRODUCT(-('Gastos Gerais'!$B$4:$B$3632=Analítico!$B107),-(Analítico!BE$3&gt;='Gastos Gerais'!$D$4:$D$3632),-(Analítico!BE$3&lt;='Gastos Gerais'!$E$4:$E$3632),-('Gastos Gerais'!$C$4:$C$3632))</f>
        <v>1500</v>
      </c>
      <c r="BF107" s="134">
        <f>SUMPRODUCT(-('Gastos Gerais'!$B$4:$B$3632=Analítico!$B107),-(Analítico!BF$3&gt;='Gastos Gerais'!$D$4:$D$3632),-(Analítico!BF$3&lt;='Gastos Gerais'!$E$4:$E$3632),-('Gastos Gerais'!$C$4:$C$3632))</f>
        <v>1500</v>
      </c>
      <c r="BG107" s="134">
        <f>SUMPRODUCT(-('Gastos Gerais'!$B$4:$B$3632=Analítico!$B107),-(Analítico!BG$3&gt;='Gastos Gerais'!$D$4:$D$3632),-(Analítico!BG$3&lt;='Gastos Gerais'!$E$4:$E$3632),-('Gastos Gerais'!$C$4:$C$3632))</f>
        <v>1500</v>
      </c>
      <c r="BH107" s="134">
        <f>SUMPRODUCT(-('Gastos Gerais'!$B$4:$B$3632=Analítico!$B107),-(Analítico!BH$3&gt;='Gastos Gerais'!$D$4:$D$3632),-(Analítico!BH$3&lt;='Gastos Gerais'!$E$4:$E$3632),-('Gastos Gerais'!$C$4:$C$3632))</f>
        <v>1500</v>
      </c>
      <c r="BI107" s="134">
        <f>SUMPRODUCT(-('Gastos Gerais'!$B$4:$B$3632=Analítico!$B107),-(Analítico!BI$3&gt;='Gastos Gerais'!$D$4:$D$3632),-(Analítico!BI$3&lt;='Gastos Gerais'!$E$4:$E$3632),-('Gastos Gerais'!$C$4:$C$3632))</f>
        <v>1500</v>
      </c>
      <c r="BJ107" s="134">
        <f>SUMPRODUCT(-('Gastos Gerais'!$B$4:$B$3632=Analítico!$B107),-(Analítico!BJ$3&gt;='Gastos Gerais'!$D$4:$D$3632),-(Analítico!BJ$3&lt;='Gastos Gerais'!$E$4:$E$3632),-('Gastos Gerais'!$C$4:$C$3632))</f>
        <v>1500</v>
      </c>
      <c r="BK107" s="189">
        <f t="shared" si="39"/>
        <v>88950</v>
      </c>
      <c r="BL107" s="136">
        <f t="shared" ca="1" si="40"/>
        <v>2.6585418834020275E-4</v>
      </c>
      <c r="BN107" s="134">
        <f>SUMPRODUCT(-('Gastos Gerais'!$B$4:$B$3632=Analítico!$B107),-(Analítico!BN$3&gt;='Gastos Gerais'!$D$4:$D$3632),-(Analítico!BN$3&lt;='Gastos Gerais'!$E$4:$E$3632),-('Gastos Gerais'!$C$4:$C$3632))</f>
        <v>1500</v>
      </c>
    </row>
    <row r="108" spans="1:66" s="160" customFormat="1" ht="23.25" customHeight="1">
      <c r="A108" s="229" t="s">
        <v>293</v>
      </c>
      <c r="B108" s="232" t="s">
        <v>294</v>
      </c>
      <c r="C108" s="188">
        <f t="shared" si="36"/>
        <v>31500</v>
      </c>
      <c r="D108" s="134">
        <f>SUMPRODUCT(-('Gastos Gerais'!$B$4:$B$3632=Analítico!$B108),-(Analítico!D$3&gt;='Gastos Gerais'!$D$4:$D$3632),-(Analítico!D$3&lt;='Gastos Gerais'!$E$4:$E$3632),-('Gastos Gerais'!$C$4:$C$3632))</f>
        <v>105000</v>
      </c>
      <c r="E108" s="134">
        <f>SUMPRODUCT(-('Gastos Gerais'!$B$4:$B$3632=Analítico!$B108),-(Analítico!E$3&gt;='Gastos Gerais'!$D$4:$D$3632),-(Analítico!E$3&lt;='Gastos Gerais'!$E$4:$E$3632),-('Gastos Gerais'!$C$4:$C$3632))</f>
        <v>119000</v>
      </c>
      <c r="F108" s="134">
        <f>SUMPRODUCT(-('Gastos Gerais'!$B$4:$B$3632=Analítico!$B108),-(Analítico!F$3&gt;='Gastos Gerais'!$D$4:$D$3632),-(Analítico!F$3&lt;='Gastos Gerais'!$E$4:$E$3632),-('Gastos Gerais'!$C$4:$C$3632))</f>
        <v>119000</v>
      </c>
      <c r="G108" s="134">
        <f>SUMPRODUCT(-('Gastos Gerais'!$B$4:$B$3632=Analítico!$B108),-(Analítico!G$3&gt;='Gastos Gerais'!$D$4:$D$3632),-(Analítico!G$3&lt;='Gastos Gerais'!$E$4:$E$3632),-('Gastos Gerais'!$C$4:$C$3632))</f>
        <v>119000</v>
      </c>
      <c r="H108" s="134">
        <f>SUMPRODUCT(-('Gastos Gerais'!$B$4:$B$3632=Analítico!$B108),-(Analítico!H$3&gt;='Gastos Gerais'!$D$4:$D$3632),-(Analítico!H$3&lt;='Gastos Gerais'!$E$4:$E$3632),-('Gastos Gerais'!$C$4:$C$3632))</f>
        <v>119000</v>
      </c>
      <c r="I108" s="134">
        <f>SUMPRODUCT(-('Gastos Gerais'!$B$4:$B$3632=Analítico!$B108),-(Analítico!I$3&gt;='Gastos Gerais'!$D$4:$D$3632),-(Analítico!I$3&lt;='Gastos Gerais'!$E$4:$E$3632),-('Gastos Gerais'!$C$4:$C$3632))</f>
        <v>119000</v>
      </c>
      <c r="J108" s="134">
        <f>SUMPRODUCT(-('Gastos Gerais'!$B$4:$B$3632=Analítico!$B108),-(Analítico!J$3&gt;='Gastos Gerais'!$D$4:$D$3632),-(Analítico!J$3&lt;='Gastos Gerais'!$E$4:$E$3632),-('Gastos Gerais'!$C$4:$C$3632))</f>
        <v>119000</v>
      </c>
      <c r="K108" s="134">
        <f>SUMPRODUCT(-('Gastos Gerais'!$B$4:$B$3632=Analítico!$B108),-(Analítico!K$3&gt;='Gastos Gerais'!$D$4:$D$3632),-(Analítico!K$3&lt;='Gastos Gerais'!$E$4:$E$3632),-('Gastos Gerais'!$C$4:$C$3632))</f>
        <v>119000</v>
      </c>
      <c r="L108" s="134">
        <f>SUMPRODUCT(-('Gastos Gerais'!$B$4:$B$3632=Analítico!$B108),-(Analítico!L$3&gt;='Gastos Gerais'!$D$4:$D$3632),-(Analítico!L$3&lt;='Gastos Gerais'!$E$4:$E$3632),-('Gastos Gerais'!$C$4:$C$3632))</f>
        <v>119000</v>
      </c>
      <c r="M108" s="134">
        <f>SUMPRODUCT(-('Gastos Gerais'!$B$4:$B$3632=Analítico!$B108),-(Analítico!M$3&gt;='Gastos Gerais'!$D$4:$D$3632),-(Analítico!M$3&lt;='Gastos Gerais'!$E$4:$E$3632),-('Gastos Gerais'!$C$4:$C$3632))</f>
        <v>119000</v>
      </c>
      <c r="N108" s="134">
        <f>SUMPRODUCT(-('Gastos Gerais'!$B$4:$B$3632=Analítico!$B108),-(Analítico!N$3&gt;='Gastos Gerais'!$D$4:$D$3632),-(Analítico!N$3&lt;='Gastos Gerais'!$E$4:$E$3632),-('Gastos Gerais'!$C$4:$C$3632))</f>
        <v>119000</v>
      </c>
      <c r="O108" s="134">
        <f>SUMPRODUCT(-('Gastos Gerais'!$B$4:$B$3632=Analítico!$B108),-(Analítico!O$3&gt;='Gastos Gerais'!$D$4:$D$3632),-(Analítico!O$3&lt;='Gastos Gerais'!$E$4:$E$3632),-('Gastos Gerais'!$C$4:$C$3632))</f>
        <v>126000</v>
      </c>
      <c r="P108" s="134">
        <f>SUMPRODUCT(-('Gastos Gerais'!$B$4:$B$3632=Analítico!$B108),-(Analítico!P$3&gt;='Gastos Gerais'!$D$4:$D$3632),-(Analítico!P$3&lt;='Gastos Gerais'!$E$4:$E$3632),-('Gastos Gerais'!$C$4:$C$3632))</f>
        <v>134540.80000000002</v>
      </c>
      <c r="Q108" s="134">
        <f>SUMPRODUCT(-('Gastos Gerais'!$B$4:$B$3632=Analítico!$B108),-(Analítico!Q$3&gt;='Gastos Gerais'!$D$4:$D$3632),-(Analítico!Q$3&lt;='Gastos Gerais'!$E$4:$E$3632),-('Gastos Gerais'!$C$4:$C$3632))</f>
        <v>141540.80000000002</v>
      </c>
      <c r="R108" s="134">
        <f>SUMPRODUCT(-('Gastos Gerais'!$B$4:$B$3632=Analítico!$B108),-(Analítico!R$3&gt;='Gastos Gerais'!$D$4:$D$3632),-(Analítico!R$3&lt;='Gastos Gerais'!$E$4:$E$3632),-('Gastos Gerais'!$C$4:$C$3632))</f>
        <v>141540.80000000002</v>
      </c>
      <c r="S108" s="134">
        <f>SUMPRODUCT(-('Gastos Gerais'!$B$4:$B$3632=Analítico!$B108),-(Analítico!S$3&gt;='Gastos Gerais'!$D$4:$D$3632),-(Analítico!S$3&lt;='Gastos Gerais'!$E$4:$E$3632),-('Gastos Gerais'!$C$4:$C$3632))</f>
        <v>141540.80000000002</v>
      </c>
      <c r="T108" s="134">
        <f>SUMPRODUCT(-('Gastos Gerais'!$B$4:$B$3632=Analítico!$B108),-(Analítico!T$3&gt;='Gastos Gerais'!$D$4:$D$3632),-(Analítico!T$3&lt;='Gastos Gerais'!$E$4:$E$3632),-('Gastos Gerais'!$C$4:$C$3632))</f>
        <v>141540.80000000002</v>
      </c>
      <c r="U108" s="134">
        <f>SUMPRODUCT(-('Gastos Gerais'!$B$4:$B$3632=Analítico!$B108),-(Analítico!U$3&gt;='Gastos Gerais'!$D$4:$D$3632),-(Analítico!U$3&lt;='Gastos Gerais'!$E$4:$E$3632),-('Gastos Gerais'!$C$4:$C$3632))</f>
        <v>141540.80000000002</v>
      </c>
      <c r="V108" s="134">
        <f>SUMPRODUCT(-('Gastos Gerais'!$B$4:$B$3632=Analítico!$B108),-(Analítico!V$3&gt;='Gastos Gerais'!$D$4:$D$3632),-(Analítico!V$3&lt;='Gastos Gerais'!$E$4:$E$3632),-('Gastos Gerais'!$C$4:$C$3632))</f>
        <v>141540.80000000002</v>
      </c>
      <c r="W108" s="134">
        <f>SUMPRODUCT(-('Gastos Gerais'!$B$4:$B$3632=Analítico!$B108),-(Analítico!W$3&gt;='Gastos Gerais'!$D$4:$D$3632),-(Analítico!W$3&lt;='Gastos Gerais'!$E$4:$E$3632),-('Gastos Gerais'!$C$4:$C$3632))</f>
        <v>141540.80000000002</v>
      </c>
      <c r="X108" s="134">
        <f>SUMPRODUCT(-('Gastos Gerais'!$B$4:$B$3632=Analítico!$B108),-(Analítico!X$3&gt;='Gastos Gerais'!$D$4:$D$3632),-(Analítico!X$3&lt;='Gastos Gerais'!$E$4:$E$3632),-('Gastos Gerais'!$C$4:$C$3632))</f>
        <v>141540.80000000002</v>
      </c>
      <c r="Y108" s="134">
        <f>SUMPRODUCT(-('Gastos Gerais'!$B$4:$B$3632=Analítico!$B108),-(Analítico!Y$3&gt;='Gastos Gerais'!$D$4:$D$3632),-(Analítico!Y$3&lt;='Gastos Gerais'!$E$4:$E$3632),-('Gastos Gerais'!$C$4:$C$3632))</f>
        <v>141540.80000000002</v>
      </c>
      <c r="Z108" s="134">
        <f>SUMPRODUCT(-('Gastos Gerais'!$B$4:$B$3632=Analítico!$B108),-(Analítico!Z$3&gt;='Gastos Gerais'!$D$4:$D$3632),-(Analítico!Z$3&lt;='Gastos Gerais'!$E$4:$E$3632),-('Gastos Gerais'!$C$4:$C$3632))</f>
        <v>141540.80000000002</v>
      </c>
      <c r="AA108" s="134">
        <f>SUMPRODUCT(-('Gastos Gerais'!$B$4:$B$3632=Analítico!$B108),-(Analítico!AA$3&gt;='Gastos Gerais'!$D$4:$D$3632),-(Analítico!AA$3&lt;='Gastos Gerais'!$E$4:$E$3632),-('Gastos Gerais'!$C$4:$C$3632))</f>
        <v>141540.80000000002</v>
      </c>
      <c r="AB108" s="134">
        <f>SUMPRODUCT(-('Gastos Gerais'!$B$4:$B$3632=Analítico!$B108),-(Analítico!AB$3&gt;='Gastos Gerais'!$D$4:$D$3632),-(Analítico!AB$3&lt;='Gastos Gerais'!$E$4:$E$3632),-('Gastos Gerais'!$C$4:$C$3632))</f>
        <v>148666.49999999997</v>
      </c>
      <c r="AC108" s="134">
        <f>SUMPRODUCT(-('Gastos Gerais'!$B$4:$B$3632=Analítico!$B108),-(Analítico!AC$3&gt;='Gastos Gerais'!$D$4:$D$3632),-(Analítico!AC$3&lt;='Gastos Gerais'!$E$4:$E$3632),-('Gastos Gerais'!$C$4:$C$3632))</f>
        <v>148666.49999999997</v>
      </c>
      <c r="AD108" s="134">
        <f>SUMPRODUCT(-('Gastos Gerais'!$B$4:$B$3632=Analítico!$B108),-(Analítico!AD$3&gt;='Gastos Gerais'!$D$4:$D$3632),-(Analítico!AD$3&lt;='Gastos Gerais'!$E$4:$E$3632),-('Gastos Gerais'!$C$4:$C$3632))</f>
        <v>148666.49999999997</v>
      </c>
      <c r="AE108" s="134">
        <f>SUMPRODUCT(-('Gastos Gerais'!$B$4:$B$3632=Analítico!$B108),-(Analítico!AE$3&gt;='Gastos Gerais'!$D$4:$D$3632),-(Analítico!AE$3&lt;='Gastos Gerais'!$E$4:$E$3632),-('Gastos Gerais'!$C$4:$C$3632))</f>
        <v>148666.49999999997</v>
      </c>
      <c r="AF108" s="134">
        <f>SUMPRODUCT(-('Gastos Gerais'!$B$4:$B$3632=Analítico!$B108),-(Analítico!AF$3&gt;='Gastos Gerais'!$D$4:$D$3632),-(Analítico!AF$3&lt;='Gastos Gerais'!$E$4:$E$3632),-('Gastos Gerais'!$C$4:$C$3632))</f>
        <v>148666.49999999997</v>
      </c>
      <c r="AG108" s="134">
        <f>SUMPRODUCT(-('Gastos Gerais'!$B$4:$B$3632=Analítico!$B108),-(Analítico!AG$3&gt;='Gastos Gerais'!$D$4:$D$3632),-(Analítico!AG$3&lt;='Gastos Gerais'!$E$4:$E$3632),-('Gastos Gerais'!$C$4:$C$3632))</f>
        <v>148666.49999999997</v>
      </c>
      <c r="AH108" s="134">
        <f>SUMPRODUCT(-('Gastos Gerais'!$B$4:$B$3632=Analítico!$B108),-(Analítico!AH$3&gt;='Gastos Gerais'!$D$4:$D$3632),-(Analítico!AH$3&lt;='Gastos Gerais'!$E$4:$E$3632),-('Gastos Gerais'!$C$4:$C$3632))</f>
        <v>148666.49999999997</v>
      </c>
      <c r="AI108" s="134">
        <f>SUMPRODUCT(-('Gastos Gerais'!$B$4:$B$3632=Analítico!$B108),-(Analítico!AI$3&gt;='Gastos Gerais'!$D$4:$D$3632),-(Analítico!AI$3&lt;='Gastos Gerais'!$E$4:$E$3632),-('Gastos Gerais'!$C$4:$C$3632))</f>
        <v>148666.49999999997</v>
      </c>
      <c r="AJ108" s="134">
        <f>SUMPRODUCT(-('Gastos Gerais'!$B$4:$B$3632=Analítico!$B108),-(Analítico!AJ$3&gt;='Gastos Gerais'!$D$4:$D$3632),-(Analítico!AJ$3&lt;='Gastos Gerais'!$E$4:$E$3632),-('Gastos Gerais'!$C$4:$C$3632))</f>
        <v>148666.49999999997</v>
      </c>
      <c r="AK108" s="134">
        <f>SUMPRODUCT(-('Gastos Gerais'!$B$4:$B$3632=Analítico!$B108),-(Analítico!AK$3&gt;='Gastos Gerais'!$D$4:$D$3632),-(Analítico!AK$3&lt;='Gastos Gerais'!$E$4:$E$3632),-('Gastos Gerais'!$C$4:$C$3632))</f>
        <v>148666.49999999997</v>
      </c>
      <c r="AL108" s="134">
        <f>SUMPRODUCT(-('Gastos Gerais'!$B$4:$B$3632=Analítico!$B108),-(Analítico!AL$3&gt;='Gastos Gerais'!$D$4:$D$3632),-(Analítico!AL$3&lt;='Gastos Gerais'!$E$4:$E$3632),-('Gastos Gerais'!$C$4:$C$3632))</f>
        <v>148666.49999999997</v>
      </c>
      <c r="AM108" s="134">
        <f>SUMPRODUCT(-('Gastos Gerais'!$B$4:$B$3632=Analítico!$B108),-(Analítico!AM$3&gt;='Gastos Gerais'!$D$4:$D$3632),-(Analítico!AM$3&lt;='Gastos Gerais'!$E$4:$E$3632),-('Gastos Gerais'!$C$4:$C$3632))</f>
        <v>148666.49999999997</v>
      </c>
      <c r="AN108" s="134">
        <f>SUMPRODUCT(-('Gastos Gerais'!$B$4:$B$3632=Analítico!$B108),-(Analítico!AN$3&gt;='Gastos Gerais'!$D$4:$D$3632),-(Analítico!AN$3&lt;='Gastos Gerais'!$E$4:$E$3632),-('Gastos Gerais'!$C$4:$C$3632))</f>
        <v>166145.76999999999</v>
      </c>
      <c r="AO108" s="134">
        <f>SUMPRODUCT(-('Gastos Gerais'!$B$4:$B$3632=Analítico!$B108),-(Analítico!AO$3&gt;='Gastos Gerais'!$D$4:$D$3632),-(Analítico!AO$3&lt;='Gastos Gerais'!$E$4:$E$3632),-('Gastos Gerais'!$C$4:$C$3632))</f>
        <v>166145.76999999999</v>
      </c>
      <c r="AP108" s="134">
        <f>SUMPRODUCT(-('Gastos Gerais'!$B$4:$B$3632=Analítico!$B108),-(Analítico!AP$3&gt;='Gastos Gerais'!$D$4:$D$3632),-(Analítico!AP$3&lt;='Gastos Gerais'!$E$4:$E$3632),-('Gastos Gerais'!$C$4:$C$3632))</f>
        <v>166145.76999999999</v>
      </c>
      <c r="AQ108" s="134">
        <f>SUMPRODUCT(-('Gastos Gerais'!$B$4:$B$3632=Analítico!$B108),-(Analítico!AQ$3&gt;='Gastos Gerais'!$D$4:$D$3632),-(Analítico!AQ$3&lt;='Gastos Gerais'!$E$4:$E$3632),-('Gastos Gerais'!$C$4:$C$3632))</f>
        <v>166145.76999999999</v>
      </c>
      <c r="AR108" s="134">
        <f>SUMPRODUCT(-('Gastos Gerais'!$B$4:$B$3632=Analítico!$B108),-(Analítico!AR$3&gt;='Gastos Gerais'!$D$4:$D$3632),-(Analítico!AR$3&lt;='Gastos Gerais'!$E$4:$E$3632),-('Gastos Gerais'!$C$4:$C$3632))</f>
        <v>166145.76999999999</v>
      </c>
      <c r="AS108" s="134">
        <f>SUMPRODUCT(-('Gastos Gerais'!$B$4:$B$3632=Analítico!$B108),-(Analítico!AS$3&gt;='Gastos Gerais'!$D$4:$D$3632),-(Analítico!AS$3&lt;='Gastos Gerais'!$E$4:$E$3632),-('Gastos Gerais'!$C$4:$C$3632))</f>
        <v>166145.76999999999</v>
      </c>
      <c r="AT108" s="134">
        <f>SUMPRODUCT(-('Gastos Gerais'!$B$4:$B$3632=Analítico!$B108),-(Analítico!AT$3&gt;='Gastos Gerais'!$D$4:$D$3632),-(Analítico!AT$3&lt;='Gastos Gerais'!$E$4:$E$3632),-('Gastos Gerais'!$C$4:$C$3632))</f>
        <v>166145.76999999999</v>
      </c>
      <c r="AU108" s="134">
        <f>SUMPRODUCT(-('Gastos Gerais'!$B$4:$B$3632=Analítico!$B108),-(Analítico!AU$3&gt;='Gastos Gerais'!$D$4:$D$3632),-(Analítico!AU$3&lt;='Gastos Gerais'!$E$4:$E$3632),-('Gastos Gerais'!$C$4:$C$3632))</f>
        <v>166145.76999999999</v>
      </c>
      <c r="AV108" s="134">
        <f>SUMPRODUCT(-('Gastos Gerais'!$B$4:$B$3632=Analítico!$B108),-(Analítico!AV$3&gt;='Gastos Gerais'!$D$4:$D$3632),-(Analítico!AV$3&lt;='Gastos Gerais'!$E$4:$E$3632),-('Gastos Gerais'!$C$4:$C$3632))</f>
        <v>166145.76999999999</v>
      </c>
      <c r="AW108" s="134">
        <f>SUMPRODUCT(-('Gastos Gerais'!$B$4:$B$3632=Analítico!$B108),-(Analítico!AW$3&gt;='Gastos Gerais'!$D$4:$D$3632),-(Analítico!AW$3&lt;='Gastos Gerais'!$E$4:$E$3632),-('Gastos Gerais'!$C$4:$C$3632))</f>
        <v>166145.76999999999</v>
      </c>
      <c r="AX108" s="134">
        <f>SUMPRODUCT(-('Gastos Gerais'!$B$4:$B$3632=Analítico!$B108),-(Analítico!AX$3&gt;='Gastos Gerais'!$D$4:$D$3632),-(Analítico!AX$3&lt;='Gastos Gerais'!$E$4:$E$3632),-('Gastos Gerais'!$C$4:$C$3632))</f>
        <v>166145.76999999999</v>
      </c>
      <c r="AY108" s="134">
        <f>SUMPRODUCT(-('Gastos Gerais'!$B$4:$B$3632=Analítico!$B108),-(Analítico!AY$3&gt;='Gastos Gerais'!$D$4:$D$3632),-(Analítico!AY$3&lt;='Gastos Gerais'!$E$4:$E$3632),-('Gastos Gerais'!$C$4:$C$3632))</f>
        <v>166145.76999999999</v>
      </c>
      <c r="AZ108" s="134">
        <f>SUMPRODUCT(-('Gastos Gerais'!$B$4:$B$3632=Analítico!$B108),-(Analítico!AZ$3&gt;='Gastos Gerais'!$D$4:$D$3632),-(Analítico!AZ$3&lt;='Gastos Gerais'!$E$4:$E$3632),-('Gastos Gerais'!$C$4:$C$3632))</f>
        <v>166544.31</v>
      </c>
      <c r="BA108" s="134">
        <f>SUMPRODUCT(-('Gastos Gerais'!$B$4:$B$3632=Analítico!$B108),-(Analítico!BA$3&gt;='Gastos Gerais'!$D$4:$D$3632),-(Analítico!BA$3&lt;='Gastos Gerais'!$E$4:$E$3632),-('Gastos Gerais'!$C$4:$C$3632))</f>
        <v>166544.31</v>
      </c>
      <c r="BB108" s="134">
        <f>SUMPRODUCT(-('Gastos Gerais'!$B$4:$B$3632=Analítico!$B108),-(Analítico!BB$3&gt;='Gastos Gerais'!$D$4:$D$3632),-(Analítico!BB$3&lt;='Gastos Gerais'!$E$4:$E$3632),-('Gastos Gerais'!$C$4:$C$3632))</f>
        <v>166544.31</v>
      </c>
      <c r="BC108" s="134">
        <f>SUMPRODUCT(-('Gastos Gerais'!$B$4:$B$3632=Analítico!$B108),-(Analítico!BC$3&gt;='Gastos Gerais'!$D$4:$D$3632),-(Analítico!BC$3&lt;='Gastos Gerais'!$E$4:$E$3632),-('Gastos Gerais'!$C$4:$C$3632))</f>
        <v>166544.31</v>
      </c>
      <c r="BD108" s="134">
        <f>SUMPRODUCT(-('Gastos Gerais'!$B$4:$B$3632=Analítico!$B108),-(Analítico!BD$3&gt;='Gastos Gerais'!$D$4:$D$3632),-(Analítico!BD$3&lt;='Gastos Gerais'!$E$4:$E$3632),-('Gastos Gerais'!$C$4:$C$3632))</f>
        <v>166544.31</v>
      </c>
      <c r="BE108" s="134">
        <f>SUMPRODUCT(-('Gastos Gerais'!$B$4:$B$3632=Analítico!$B108),-(Analítico!BE$3&gt;='Gastos Gerais'!$D$4:$D$3632),-(Analítico!BE$3&lt;='Gastos Gerais'!$E$4:$E$3632),-('Gastos Gerais'!$C$4:$C$3632))</f>
        <v>166544.31</v>
      </c>
      <c r="BF108" s="134">
        <f>SUMPRODUCT(-('Gastos Gerais'!$B$4:$B$3632=Analítico!$B108),-(Analítico!BF$3&gt;='Gastos Gerais'!$D$4:$D$3632),-(Analítico!BF$3&lt;='Gastos Gerais'!$E$4:$E$3632),-('Gastos Gerais'!$C$4:$C$3632))</f>
        <v>166544.31</v>
      </c>
      <c r="BG108" s="134">
        <f>SUMPRODUCT(-('Gastos Gerais'!$B$4:$B$3632=Analítico!$B108),-(Analítico!BG$3&gt;='Gastos Gerais'!$D$4:$D$3632),-(Analítico!BG$3&lt;='Gastos Gerais'!$E$4:$E$3632),-('Gastos Gerais'!$C$4:$C$3632))</f>
        <v>166544.31</v>
      </c>
      <c r="BH108" s="134">
        <f>SUMPRODUCT(-('Gastos Gerais'!$B$4:$B$3632=Analítico!$B108),-(Analítico!BH$3&gt;='Gastos Gerais'!$D$4:$D$3632),-(Analítico!BH$3&lt;='Gastos Gerais'!$E$4:$E$3632),-('Gastos Gerais'!$C$4:$C$3632))</f>
        <v>166544.31</v>
      </c>
      <c r="BI108" s="134">
        <f>SUMPRODUCT(-('Gastos Gerais'!$B$4:$B$3632=Analítico!$B108),-(Analítico!BI$3&gt;='Gastos Gerais'!$D$4:$D$3632),-(Analítico!BI$3&lt;='Gastos Gerais'!$E$4:$E$3632),-('Gastos Gerais'!$C$4:$C$3632))</f>
        <v>166544.31</v>
      </c>
      <c r="BJ108" s="134">
        <f>SUMPRODUCT(-('Gastos Gerais'!$B$4:$B$3632=Analítico!$B108),-(Analítico!BJ$3&gt;='Gastos Gerais'!$D$4:$D$3632),-(Analítico!BJ$3&lt;='Gastos Gerais'!$E$4:$E$3632),-('Gastos Gerais'!$C$4:$C$3632))</f>
        <v>166544.31</v>
      </c>
      <c r="BK108" s="189">
        <f t="shared" si="39"/>
        <v>8753724.2499999907</v>
      </c>
      <c r="BL108" s="136">
        <f t="shared" ca="1" si="40"/>
        <v>2.6163173192104528E-2</v>
      </c>
      <c r="BN108" s="134">
        <f>SUMPRODUCT(-('Gastos Gerais'!$B$4:$B$3632=Analítico!$B108),-(Analítico!BN$3&gt;='Gastos Gerais'!$D$4:$D$3632),-(Analítico!BN$3&lt;='Gastos Gerais'!$E$4:$E$3632),-('Gastos Gerais'!$C$4:$C$3632))</f>
        <v>105000</v>
      </c>
    </row>
    <row r="109" spans="1:66" s="160" customFormat="1" ht="23.25" customHeight="1">
      <c r="A109" s="229" t="s">
        <v>295</v>
      </c>
      <c r="B109" s="232" t="s">
        <v>296</v>
      </c>
      <c r="C109" s="188">
        <f t="shared" si="36"/>
        <v>30</v>
      </c>
      <c r="D109" s="134">
        <f>SUMPRODUCT(-('Gastos Gerais'!$B$4:$B$3632=Analítico!$B109),-(Analítico!D$3&gt;='Gastos Gerais'!$D$4:$D$3632),-(Analítico!D$3&lt;='Gastos Gerais'!$E$4:$E$3632),-('Gastos Gerais'!$C$4:$C$3632))</f>
        <v>100</v>
      </c>
      <c r="E109" s="134">
        <f>SUMPRODUCT(-('Gastos Gerais'!$B$4:$B$3632=Analítico!$B109),-(Analítico!E$3&gt;='Gastos Gerais'!$D$4:$D$3632),-(Analítico!E$3&lt;='Gastos Gerais'!$E$4:$E$3632),-('Gastos Gerais'!$C$4:$C$3632))</f>
        <v>100</v>
      </c>
      <c r="F109" s="134">
        <f>SUMPRODUCT(-('Gastos Gerais'!$B$4:$B$3632=Analítico!$B109),-(Analítico!F$3&gt;='Gastos Gerais'!$D$4:$D$3632),-(Analítico!F$3&lt;='Gastos Gerais'!$E$4:$E$3632),-('Gastos Gerais'!$C$4:$C$3632))</f>
        <v>100</v>
      </c>
      <c r="G109" s="134">
        <f>SUMPRODUCT(-('Gastos Gerais'!$B$4:$B$3632=Analítico!$B109),-(Analítico!G$3&gt;='Gastos Gerais'!$D$4:$D$3632),-(Analítico!G$3&lt;='Gastos Gerais'!$E$4:$E$3632),-('Gastos Gerais'!$C$4:$C$3632))</f>
        <v>100</v>
      </c>
      <c r="H109" s="134">
        <f>SUMPRODUCT(-('Gastos Gerais'!$B$4:$B$3632=Analítico!$B109),-(Analítico!H$3&gt;='Gastos Gerais'!$D$4:$D$3632),-(Analítico!H$3&lt;='Gastos Gerais'!$E$4:$E$3632),-('Gastos Gerais'!$C$4:$C$3632))</f>
        <v>100</v>
      </c>
      <c r="I109" s="134">
        <f>SUMPRODUCT(-('Gastos Gerais'!$B$4:$B$3632=Analítico!$B109),-(Analítico!I$3&gt;='Gastos Gerais'!$D$4:$D$3632),-(Analítico!I$3&lt;='Gastos Gerais'!$E$4:$E$3632),-('Gastos Gerais'!$C$4:$C$3632))</f>
        <v>100</v>
      </c>
      <c r="J109" s="134">
        <f>SUMPRODUCT(-('Gastos Gerais'!$B$4:$B$3632=Analítico!$B109),-(Analítico!J$3&gt;='Gastos Gerais'!$D$4:$D$3632),-(Analítico!J$3&lt;='Gastos Gerais'!$E$4:$E$3632),-('Gastos Gerais'!$C$4:$C$3632))</f>
        <v>100</v>
      </c>
      <c r="K109" s="134">
        <f>SUMPRODUCT(-('Gastos Gerais'!$B$4:$B$3632=Analítico!$B109),-(Analítico!K$3&gt;='Gastos Gerais'!$D$4:$D$3632),-(Analítico!K$3&lt;='Gastos Gerais'!$E$4:$E$3632),-('Gastos Gerais'!$C$4:$C$3632))</f>
        <v>100</v>
      </c>
      <c r="L109" s="134">
        <f>SUMPRODUCT(-('Gastos Gerais'!$B$4:$B$3632=Analítico!$B109),-(Analítico!L$3&gt;='Gastos Gerais'!$D$4:$D$3632),-(Analítico!L$3&lt;='Gastos Gerais'!$E$4:$E$3632),-('Gastos Gerais'!$C$4:$C$3632))</f>
        <v>100</v>
      </c>
      <c r="M109" s="134">
        <f>SUMPRODUCT(-('Gastos Gerais'!$B$4:$B$3632=Analítico!$B109),-(Analítico!M$3&gt;='Gastos Gerais'!$D$4:$D$3632),-(Analítico!M$3&lt;='Gastos Gerais'!$E$4:$E$3632),-('Gastos Gerais'!$C$4:$C$3632))</f>
        <v>100</v>
      </c>
      <c r="N109" s="134">
        <f>SUMPRODUCT(-('Gastos Gerais'!$B$4:$B$3632=Analítico!$B109),-(Analítico!N$3&gt;='Gastos Gerais'!$D$4:$D$3632),-(Analítico!N$3&lt;='Gastos Gerais'!$E$4:$E$3632),-('Gastos Gerais'!$C$4:$C$3632))</f>
        <v>100</v>
      </c>
      <c r="O109" s="134">
        <f>SUMPRODUCT(-('Gastos Gerais'!$B$4:$B$3632=Analítico!$B109),-(Analítico!O$3&gt;='Gastos Gerais'!$D$4:$D$3632),-(Analítico!O$3&lt;='Gastos Gerais'!$E$4:$E$3632),-('Gastos Gerais'!$C$4:$C$3632))</f>
        <v>100</v>
      </c>
      <c r="P109" s="134">
        <f>SUMPRODUCT(-('Gastos Gerais'!$B$4:$B$3632=Analítico!$B109),-(Analítico!P$3&gt;='Gastos Gerais'!$D$4:$D$3632),-(Analítico!P$3&lt;='Gastos Gerais'!$E$4:$E$3632),-('Gastos Gerais'!$C$4:$C$3632))</f>
        <v>100</v>
      </c>
      <c r="Q109" s="134">
        <f>SUMPRODUCT(-('Gastos Gerais'!$B$4:$B$3632=Analítico!$B109),-(Analítico!Q$3&gt;='Gastos Gerais'!$D$4:$D$3632),-(Analítico!Q$3&lt;='Gastos Gerais'!$E$4:$E$3632),-('Gastos Gerais'!$C$4:$C$3632))</f>
        <v>100</v>
      </c>
      <c r="R109" s="134">
        <f>SUMPRODUCT(-('Gastos Gerais'!$B$4:$B$3632=Analítico!$B109),-(Analítico!R$3&gt;='Gastos Gerais'!$D$4:$D$3632),-(Analítico!R$3&lt;='Gastos Gerais'!$E$4:$E$3632),-('Gastos Gerais'!$C$4:$C$3632))</f>
        <v>100</v>
      </c>
      <c r="S109" s="134">
        <f>SUMPRODUCT(-('Gastos Gerais'!$B$4:$B$3632=Analítico!$B109),-(Analítico!S$3&gt;='Gastos Gerais'!$D$4:$D$3632),-(Analítico!S$3&lt;='Gastos Gerais'!$E$4:$E$3632),-('Gastos Gerais'!$C$4:$C$3632))</f>
        <v>100</v>
      </c>
      <c r="T109" s="134">
        <f>SUMPRODUCT(-('Gastos Gerais'!$B$4:$B$3632=Analítico!$B109),-(Analítico!T$3&gt;='Gastos Gerais'!$D$4:$D$3632),-(Analítico!T$3&lt;='Gastos Gerais'!$E$4:$E$3632),-('Gastos Gerais'!$C$4:$C$3632))</f>
        <v>100</v>
      </c>
      <c r="U109" s="134">
        <f>SUMPRODUCT(-('Gastos Gerais'!$B$4:$B$3632=Analítico!$B109),-(Analítico!U$3&gt;='Gastos Gerais'!$D$4:$D$3632),-(Analítico!U$3&lt;='Gastos Gerais'!$E$4:$E$3632),-('Gastos Gerais'!$C$4:$C$3632))</f>
        <v>100</v>
      </c>
      <c r="V109" s="134">
        <f>SUMPRODUCT(-('Gastos Gerais'!$B$4:$B$3632=Analítico!$B109),-(Analítico!V$3&gt;='Gastos Gerais'!$D$4:$D$3632),-(Analítico!V$3&lt;='Gastos Gerais'!$E$4:$E$3632),-('Gastos Gerais'!$C$4:$C$3632))</f>
        <v>100</v>
      </c>
      <c r="W109" s="134">
        <f>SUMPRODUCT(-('Gastos Gerais'!$B$4:$B$3632=Analítico!$B109),-(Analítico!W$3&gt;='Gastos Gerais'!$D$4:$D$3632),-(Analítico!W$3&lt;='Gastos Gerais'!$E$4:$E$3632),-('Gastos Gerais'!$C$4:$C$3632))</f>
        <v>100</v>
      </c>
      <c r="X109" s="134">
        <f>SUMPRODUCT(-('Gastos Gerais'!$B$4:$B$3632=Analítico!$B109),-(Analítico!X$3&gt;='Gastos Gerais'!$D$4:$D$3632),-(Analítico!X$3&lt;='Gastos Gerais'!$E$4:$E$3632),-('Gastos Gerais'!$C$4:$C$3632))</f>
        <v>100</v>
      </c>
      <c r="Y109" s="134">
        <f>SUMPRODUCT(-('Gastos Gerais'!$B$4:$B$3632=Analítico!$B109),-(Analítico!Y$3&gt;='Gastos Gerais'!$D$4:$D$3632),-(Analítico!Y$3&lt;='Gastos Gerais'!$E$4:$E$3632),-('Gastos Gerais'!$C$4:$C$3632))</f>
        <v>100</v>
      </c>
      <c r="Z109" s="134">
        <f>SUMPRODUCT(-('Gastos Gerais'!$B$4:$B$3632=Analítico!$B109),-(Analítico!Z$3&gt;='Gastos Gerais'!$D$4:$D$3632),-(Analítico!Z$3&lt;='Gastos Gerais'!$E$4:$E$3632),-('Gastos Gerais'!$C$4:$C$3632))</f>
        <v>100</v>
      </c>
      <c r="AA109" s="134">
        <f>SUMPRODUCT(-('Gastos Gerais'!$B$4:$B$3632=Analítico!$B109),-(Analítico!AA$3&gt;='Gastos Gerais'!$D$4:$D$3632),-(Analítico!AA$3&lt;='Gastos Gerais'!$E$4:$E$3632),-('Gastos Gerais'!$C$4:$C$3632))</f>
        <v>100</v>
      </c>
      <c r="AB109" s="134">
        <f>SUMPRODUCT(-('Gastos Gerais'!$B$4:$B$3632=Analítico!$B109),-(Analítico!AB$3&gt;='Gastos Gerais'!$D$4:$D$3632),-(Analítico!AB$3&lt;='Gastos Gerais'!$E$4:$E$3632),-('Gastos Gerais'!$C$4:$C$3632))</f>
        <v>100</v>
      </c>
      <c r="AC109" s="134">
        <f>SUMPRODUCT(-('Gastos Gerais'!$B$4:$B$3632=Analítico!$B109),-(Analítico!AC$3&gt;='Gastos Gerais'!$D$4:$D$3632),-(Analítico!AC$3&lt;='Gastos Gerais'!$E$4:$E$3632),-('Gastos Gerais'!$C$4:$C$3632))</f>
        <v>100</v>
      </c>
      <c r="AD109" s="134">
        <f>SUMPRODUCT(-('Gastos Gerais'!$B$4:$B$3632=Analítico!$B109),-(Analítico!AD$3&gt;='Gastos Gerais'!$D$4:$D$3632),-(Analítico!AD$3&lt;='Gastos Gerais'!$E$4:$E$3632),-('Gastos Gerais'!$C$4:$C$3632))</f>
        <v>100</v>
      </c>
      <c r="AE109" s="134">
        <f>SUMPRODUCT(-('Gastos Gerais'!$B$4:$B$3632=Analítico!$B109),-(Analítico!AE$3&gt;='Gastos Gerais'!$D$4:$D$3632),-(Analítico!AE$3&lt;='Gastos Gerais'!$E$4:$E$3632),-('Gastos Gerais'!$C$4:$C$3632))</f>
        <v>100</v>
      </c>
      <c r="AF109" s="134">
        <f>SUMPRODUCT(-('Gastos Gerais'!$B$4:$B$3632=Analítico!$B109),-(Analítico!AF$3&gt;='Gastos Gerais'!$D$4:$D$3632),-(Analítico!AF$3&lt;='Gastos Gerais'!$E$4:$E$3632),-('Gastos Gerais'!$C$4:$C$3632))</f>
        <v>100</v>
      </c>
      <c r="AG109" s="134">
        <f>SUMPRODUCT(-('Gastos Gerais'!$B$4:$B$3632=Analítico!$B109),-(Analítico!AG$3&gt;='Gastos Gerais'!$D$4:$D$3632),-(Analítico!AG$3&lt;='Gastos Gerais'!$E$4:$E$3632),-('Gastos Gerais'!$C$4:$C$3632))</f>
        <v>100</v>
      </c>
      <c r="AH109" s="134">
        <f>SUMPRODUCT(-('Gastos Gerais'!$B$4:$B$3632=Analítico!$B109),-(Analítico!AH$3&gt;='Gastos Gerais'!$D$4:$D$3632),-(Analítico!AH$3&lt;='Gastos Gerais'!$E$4:$E$3632),-('Gastos Gerais'!$C$4:$C$3632))</f>
        <v>100</v>
      </c>
      <c r="AI109" s="134">
        <f>SUMPRODUCT(-('Gastos Gerais'!$B$4:$B$3632=Analítico!$B109),-(Analítico!AI$3&gt;='Gastos Gerais'!$D$4:$D$3632),-(Analítico!AI$3&lt;='Gastos Gerais'!$E$4:$E$3632),-('Gastos Gerais'!$C$4:$C$3632))</f>
        <v>100</v>
      </c>
      <c r="AJ109" s="134">
        <f>SUMPRODUCT(-('Gastos Gerais'!$B$4:$B$3632=Analítico!$B109),-(Analítico!AJ$3&gt;='Gastos Gerais'!$D$4:$D$3632),-(Analítico!AJ$3&lt;='Gastos Gerais'!$E$4:$E$3632),-('Gastos Gerais'!$C$4:$C$3632))</f>
        <v>100</v>
      </c>
      <c r="AK109" s="134">
        <f>SUMPRODUCT(-('Gastos Gerais'!$B$4:$B$3632=Analítico!$B109),-(Analítico!AK$3&gt;='Gastos Gerais'!$D$4:$D$3632),-(Analítico!AK$3&lt;='Gastos Gerais'!$E$4:$E$3632),-('Gastos Gerais'!$C$4:$C$3632))</f>
        <v>100</v>
      </c>
      <c r="AL109" s="134">
        <f>SUMPRODUCT(-('Gastos Gerais'!$B$4:$B$3632=Analítico!$B109),-(Analítico!AL$3&gt;='Gastos Gerais'!$D$4:$D$3632),-(Analítico!AL$3&lt;='Gastos Gerais'!$E$4:$E$3632),-('Gastos Gerais'!$C$4:$C$3632))</f>
        <v>100</v>
      </c>
      <c r="AM109" s="134">
        <f>SUMPRODUCT(-('Gastos Gerais'!$B$4:$B$3632=Analítico!$B109),-(Analítico!AM$3&gt;='Gastos Gerais'!$D$4:$D$3632),-(Analítico!AM$3&lt;='Gastos Gerais'!$E$4:$E$3632),-('Gastos Gerais'!$C$4:$C$3632))</f>
        <v>100</v>
      </c>
      <c r="AN109" s="134">
        <f>SUMPRODUCT(-('Gastos Gerais'!$B$4:$B$3632=Analítico!$B109),-(Analítico!AN$3&gt;='Gastos Gerais'!$D$4:$D$3632),-(Analítico!AN$3&lt;='Gastos Gerais'!$E$4:$E$3632),-('Gastos Gerais'!$C$4:$C$3632))</f>
        <v>100</v>
      </c>
      <c r="AO109" s="134">
        <f>SUMPRODUCT(-('Gastos Gerais'!$B$4:$B$3632=Analítico!$B109),-(Analítico!AO$3&gt;='Gastos Gerais'!$D$4:$D$3632),-(Analítico!AO$3&lt;='Gastos Gerais'!$E$4:$E$3632),-('Gastos Gerais'!$C$4:$C$3632))</f>
        <v>100</v>
      </c>
      <c r="AP109" s="134">
        <f>SUMPRODUCT(-('Gastos Gerais'!$B$4:$B$3632=Analítico!$B109),-(Analítico!AP$3&gt;='Gastos Gerais'!$D$4:$D$3632),-(Analítico!AP$3&lt;='Gastos Gerais'!$E$4:$E$3632),-('Gastos Gerais'!$C$4:$C$3632))</f>
        <v>100</v>
      </c>
      <c r="AQ109" s="134">
        <f>SUMPRODUCT(-('Gastos Gerais'!$B$4:$B$3632=Analítico!$B109),-(Analítico!AQ$3&gt;='Gastos Gerais'!$D$4:$D$3632),-(Analítico!AQ$3&lt;='Gastos Gerais'!$E$4:$E$3632),-('Gastos Gerais'!$C$4:$C$3632))</f>
        <v>100</v>
      </c>
      <c r="AR109" s="134">
        <f>SUMPRODUCT(-('Gastos Gerais'!$B$4:$B$3632=Analítico!$B109),-(Analítico!AR$3&gt;='Gastos Gerais'!$D$4:$D$3632),-(Analítico!AR$3&lt;='Gastos Gerais'!$E$4:$E$3632),-('Gastos Gerais'!$C$4:$C$3632))</f>
        <v>100</v>
      </c>
      <c r="AS109" s="134">
        <f>SUMPRODUCT(-('Gastos Gerais'!$B$4:$B$3632=Analítico!$B109),-(Analítico!AS$3&gt;='Gastos Gerais'!$D$4:$D$3632),-(Analítico!AS$3&lt;='Gastos Gerais'!$E$4:$E$3632),-('Gastos Gerais'!$C$4:$C$3632))</f>
        <v>100</v>
      </c>
      <c r="AT109" s="134">
        <f>SUMPRODUCT(-('Gastos Gerais'!$B$4:$B$3632=Analítico!$B109),-(Analítico!AT$3&gt;='Gastos Gerais'!$D$4:$D$3632),-(Analítico!AT$3&lt;='Gastos Gerais'!$E$4:$E$3632),-('Gastos Gerais'!$C$4:$C$3632))</f>
        <v>100</v>
      </c>
      <c r="AU109" s="134">
        <f>SUMPRODUCT(-('Gastos Gerais'!$B$4:$B$3632=Analítico!$B109),-(Analítico!AU$3&gt;='Gastos Gerais'!$D$4:$D$3632),-(Analítico!AU$3&lt;='Gastos Gerais'!$E$4:$E$3632),-('Gastos Gerais'!$C$4:$C$3632))</f>
        <v>100</v>
      </c>
      <c r="AV109" s="134">
        <f>SUMPRODUCT(-('Gastos Gerais'!$B$4:$B$3632=Analítico!$B109),-(Analítico!AV$3&gt;='Gastos Gerais'!$D$4:$D$3632),-(Analítico!AV$3&lt;='Gastos Gerais'!$E$4:$E$3632),-('Gastos Gerais'!$C$4:$C$3632))</f>
        <v>100</v>
      </c>
      <c r="AW109" s="134">
        <f>SUMPRODUCT(-('Gastos Gerais'!$B$4:$B$3632=Analítico!$B109),-(Analítico!AW$3&gt;='Gastos Gerais'!$D$4:$D$3632),-(Analítico!AW$3&lt;='Gastos Gerais'!$E$4:$E$3632),-('Gastos Gerais'!$C$4:$C$3632))</f>
        <v>100</v>
      </c>
      <c r="AX109" s="134">
        <f>SUMPRODUCT(-('Gastos Gerais'!$B$4:$B$3632=Analítico!$B109),-(Analítico!AX$3&gt;='Gastos Gerais'!$D$4:$D$3632),-(Analítico!AX$3&lt;='Gastos Gerais'!$E$4:$E$3632),-('Gastos Gerais'!$C$4:$C$3632))</f>
        <v>100</v>
      </c>
      <c r="AY109" s="134">
        <f>SUMPRODUCT(-('Gastos Gerais'!$B$4:$B$3632=Analítico!$B109),-(Analítico!AY$3&gt;='Gastos Gerais'!$D$4:$D$3632),-(Analítico!AY$3&lt;='Gastos Gerais'!$E$4:$E$3632),-('Gastos Gerais'!$C$4:$C$3632))</f>
        <v>100</v>
      </c>
      <c r="AZ109" s="134">
        <f>SUMPRODUCT(-('Gastos Gerais'!$B$4:$B$3632=Analítico!$B109),-(Analítico!AZ$3&gt;='Gastos Gerais'!$D$4:$D$3632),-(Analítico!AZ$3&lt;='Gastos Gerais'!$E$4:$E$3632),-('Gastos Gerais'!$C$4:$C$3632))</f>
        <v>100</v>
      </c>
      <c r="BA109" s="134">
        <f>SUMPRODUCT(-('Gastos Gerais'!$B$4:$B$3632=Analítico!$B109),-(Analítico!BA$3&gt;='Gastos Gerais'!$D$4:$D$3632),-(Analítico!BA$3&lt;='Gastos Gerais'!$E$4:$E$3632),-('Gastos Gerais'!$C$4:$C$3632))</f>
        <v>100</v>
      </c>
      <c r="BB109" s="134">
        <f>SUMPRODUCT(-('Gastos Gerais'!$B$4:$B$3632=Analítico!$B109),-(Analítico!BB$3&gt;='Gastos Gerais'!$D$4:$D$3632),-(Analítico!BB$3&lt;='Gastos Gerais'!$E$4:$E$3632),-('Gastos Gerais'!$C$4:$C$3632))</f>
        <v>100</v>
      </c>
      <c r="BC109" s="134">
        <f>SUMPRODUCT(-('Gastos Gerais'!$B$4:$B$3632=Analítico!$B109),-(Analítico!BC$3&gt;='Gastos Gerais'!$D$4:$D$3632),-(Analítico!BC$3&lt;='Gastos Gerais'!$E$4:$E$3632),-('Gastos Gerais'!$C$4:$C$3632))</f>
        <v>100</v>
      </c>
      <c r="BD109" s="134">
        <f>SUMPRODUCT(-('Gastos Gerais'!$B$4:$B$3632=Analítico!$B109),-(Analítico!BD$3&gt;='Gastos Gerais'!$D$4:$D$3632),-(Analítico!BD$3&lt;='Gastos Gerais'!$E$4:$E$3632),-('Gastos Gerais'!$C$4:$C$3632))</f>
        <v>100</v>
      </c>
      <c r="BE109" s="134">
        <f>SUMPRODUCT(-('Gastos Gerais'!$B$4:$B$3632=Analítico!$B109),-(Analítico!BE$3&gt;='Gastos Gerais'!$D$4:$D$3632),-(Analítico!BE$3&lt;='Gastos Gerais'!$E$4:$E$3632),-('Gastos Gerais'!$C$4:$C$3632))</f>
        <v>100</v>
      </c>
      <c r="BF109" s="134">
        <f>SUMPRODUCT(-('Gastos Gerais'!$B$4:$B$3632=Analítico!$B109),-(Analítico!BF$3&gt;='Gastos Gerais'!$D$4:$D$3632),-(Analítico!BF$3&lt;='Gastos Gerais'!$E$4:$E$3632),-('Gastos Gerais'!$C$4:$C$3632))</f>
        <v>100</v>
      </c>
      <c r="BG109" s="134">
        <f>SUMPRODUCT(-('Gastos Gerais'!$B$4:$B$3632=Analítico!$B109),-(Analítico!BG$3&gt;='Gastos Gerais'!$D$4:$D$3632),-(Analítico!BG$3&lt;='Gastos Gerais'!$E$4:$E$3632),-('Gastos Gerais'!$C$4:$C$3632))</f>
        <v>100</v>
      </c>
      <c r="BH109" s="134">
        <f>SUMPRODUCT(-('Gastos Gerais'!$B$4:$B$3632=Analítico!$B109),-(Analítico!BH$3&gt;='Gastos Gerais'!$D$4:$D$3632),-(Analítico!BH$3&lt;='Gastos Gerais'!$E$4:$E$3632),-('Gastos Gerais'!$C$4:$C$3632))</f>
        <v>100</v>
      </c>
      <c r="BI109" s="134">
        <f>SUMPRODUCT(-('Gastos Gerais'!$B$4:$B$3632=Analítico!$B109),-(Analítico!BI$3&gt;='Gastos Gerais'!$D$4:$D$3632),-(Analítico!BI$3&lt;='Gastos Gerais'!$E$4:$E$3632),-('Gastos Gerais'!$C$4:$C$3632))</f>
        <v>100</v>
      </c>
      <c r="BJ109" s="134">
        <f>SUMPRODUCT(-('Gastos Gerais'!$B$4:$B$3632=Analítico!$B109),-(Analítico!BJ$3&gt;='Gastos Gerais'!$D$4:$D$3632),-(Analítico!BJ$3&lt;='Gastos Gerais'!$E$4:$E$3632),-('Gastos Gerais'!$C$4:$C$3632))</f>
        <v>100</v>
      </c>
      <c r="BK109" s="189">
        <f t="shared" si="39"/>
        <v>5930</v>
      </c>
      <c r="BL109" s="136">
        <f t="shared" ca="1" si="40"/>
        <v>1.7723612556013518E-5</v>
      </c>
      <c r="BN109" s="134">
        <f>SUMPRODUCT(-('Gastos Gerais'!$B$4:$B$3632=Analítico!$B109),-(Analítico!BN$3&gt;='Gastos Gerais'!$D$4:$D$3632),-(Analítico!BN$3&lt;='Gastos Gerais'!$E$4:$E$3632),-('Gastos Gerais'!$C$4:$C$3632))</f>
        <v>100</v>
      </c>
    </row>
    <row r="110" spans="1:66" s="160" customFormat="1" ht="23.25" customHeight="1">
      <c r="A110" s="229" t="s">
        <v>297</v>
      </c>
      <c r="B110" s="232" t="s">
        <v>298</v>
      </c>
      <c r="C110" s="188">
        <f t="shared" si="36"/>
        <v>13230</v>
      </c>
      <c r="D110" s="134">
        <f>SUMPRODUCT(-('Gastos Gerais'!$B$4:$B$3632=Analítico!$B110),-(Analítico!D$3&gt;='Gastos Gerais'!$D$4:$D$3632),-(Analítico!D$3&lt;='Gastos Gerais'!$E$4:$E$3632),-('Gastos Gerais'!$C$4:$C$3632))</f>
        <v>49100</v>
      </c>
      <c r="E110" s="134">
        <f>SUMPRODUCT(-('Gastos Gerais'!$B$4:$B$3632=Analítico!$B110),-(Analítico!E$3&gt;='Gastos Gerais'!$D$4:$D$3632),-(Analítico!E$3&lt;='Gastos Gerais'!$E$4:$E$3632),-('Gastos Gerais'!$C$4:$C$3632))</f>
        <v>49100</v>
      </c>
      <c r="F110" s="134">
        <f>SUMPRODUCT(-('Gastos Gerais'!$B$4:$B$3632=Analítico!$B110),-(Analítico!F$3&gt;='Gastos Gerais'!$D$4:$D$3632),-(Analítico!F$3&lt;='Gastos Gerais'!$E$4:$E$3632),-('Gastos Gerais'!$C$4:$C$3632))</f>
        <v>49100</v>
      </c>
      <c r="G110" s="134">
        <f>SUMPRODUCT(-('Gastos Gerais'!$B$4:$B$3632=Analítico!$B110),-(Analítico!G$3&gt;='Gastos Gerais'!$D$4:$D$3632),-(Analítico!G$3&lt;='Gastos Gerais'!$E$4:$E$3632),-('Gastos Gerais'!$C$4:$C$3632))</f>
        <v>49100</v>
      </c>
      <c r="H110" s="134">
        <f>SUMPRODUCT(-('Gastos Gerais'!$B$4:$B$3632=Analítico!$B110),-(Analítico!H$3&gt;='Gastos Gerais'!$D$4:$D$3632),-(Analítico!H$3&lt;='Gastos Gerais'!$E$4:$E$3632),-('Gastos Gerais'!$C$4:$C$3632))</f>
        <v>49100</v>
      </c>
      <c r="I110" s="134">
        <f>SUMPRODUCT(-('Gastos Gerais'!$B$4:$B$3632=Analítico!$B110),-(Analítico!I$3&gt;='Gastos Gerais'!$D$4:$D$3632),-(Analítico!I$3&lt;='Gastos Gerais'!$E$4:$E$3632),-('Gastos Gerais'!$C$4:$C$3632))</f>
        <v>49100</v>
      </c>
      <c r="J110" s="134">
        <f>SUMPRODUCT(-('Gastos Gerais'!$B$4:$B$3632=Analítico!$B110),-(Analítico!J$3&gt;='Gastos Gerais'!$D$4:$D$3632),-(Analítico!J$3&lt;='Gastos Gerais'!$E$4:$E$3632),-('Gastos Gerais'!$C$4:$C$3632))</f>
        <v>49100</v>
      </c>
      <c r="K110" s="134">
        <f>SUMPRODUCT(-('Gastos Gerais'!$B$4:$B$3632=Analítico!$B110),-(Analítico!K$3&gt;='Gastos Gerais'!$D$4:$D$3632),-(Analítico!K$3&lt;='Gastos Gerais'!$E$4:$E$3632),-('Gastos Gerais'!$C$4:$C$3632))</f>
        <v>49100</v>
      </c>
      <c r="L110" s="134">
        <f>SUMPRODUCT(-('Gastos Gerais'!$B$4:$B$3632=Analítico!$B110),-(Analítico!L$3&gt;='Gastos Gerais'!$D$4:$D$3632),-(Analítico!L$3&lt;='Gastos Gerais'!$E$4:$E$3632),-('Gastos Gerais'!$C$4:$C$3632))</f>
        <v>49100</v>
      </c>
      <c r="M110" s="134">
        <f>SUMPRODUCT(-('Gastos Gerais'!$B$4:$B$3632=Analítico!$B110),-(Analítico!M$3&gt;='Gastos Gerais'!$D$4:$D$3632),-(Analítico!M$3&lt;='Gastos Gerais'!$E$4:$E$3632),-('Gastos Gerais'!$C$4:$C$3632))</f>
        <v>51600</v>
      </c>
      <c r="N110" s="134">
        <f>SUMPRODUCT(-('Gastos Gerais'!$B$4:$B$3632=Analítico!$B110),-(Analítico!N$3&gt;='Gastos Gerais'!$D$4:$D$3632),-(Analítico!N$3&lt;='Gastos Gerais'!$E$4:$E$3632),-('Gastos Gerais'!$C$4:$C$3632))</f>
        <v>51985.440000000002</v>
      </c>
      <c r="O110" s="134">
        <f>SUMPRODUCT(-('Gastos Gerais'!$B$4:$B$3632=Analítico!$B110),-(Analítico!O$3&gt;='Gastos Gerais'!$D$4:$D$3632),-(Analítico!O$3&lt;='Gastos Gerais'!$E$4:$E$3632),-('Gastos Gerais'!$C$4:$C$3632))</f>
        <v>54485.440000000002</v>
      </c>
      <c r="P110" s="134">
        <f>SUMPRODUCT(-('Gastos Gerais'!$B$4:$B$3632=Analítico!$B110),-(Analítico!P$3&gt;='Gastos Gerais'!$D$4:$D$3632),-(Analítico!P$3&lt;='Gastos Gerais'!$E$4:$E$3632),-('Gastos Gerais'!$C$4:$C$3632))</f>
        <v>57113.440000000002</v>
      </c>
      <c r="Q110" s="134">
        <f>SUMPRODUCT(-('Gastos Gerais'!$B$4:$B$3632=Analítico!$B110),-(Analítico!Q$3&gt;='Gastos Gerais'!$D$4:$D$3632),-(Analítico!Q$3&lt;='Gastos Gerais'!$E$4:$E$3632),-('Gastos Gerais'!$C$4:$C$3632))</f>
        <v>57113.440000000002</v>
      </c>
      <c r="R110" s="134">
        <f>SUMPRODUCT(-('Gastos Gerais'!$B$4:$B$3632=Analítico!$B110),-(Analítico!R$3&gt;='Gastos Gerais'!$D$4:$D$3632),-(Analítico!R$3&lt;='Gastos Gerais'!$E$4:$E$3632),-('Gastos Gerais'!$C$4:$C$3632))</f>
        <v>57113.440000000002</v>
      </c>
      <c r="S110" s="134">
        <f>SUMPRODUCT(-('Gastos Gerais'!$B$4:$B$3632=Analítico!$B110),-(Analítico!S$3&gt;='Gastos Gerais'!$D$4:$D$3632),-(Analítico!S$3&lt;='Gastos Gerais'!$E$4:$E$3632),-('Gastos Gerais'!$C$4:$C$3632))</f>
        <v>57113.440000000002</v>
      </c>
      <c r="T110" s="134">
        <f>SUMPRODUCT(-('Gastos Gerais'!$B$4:$B$3632=Analítico!$B110),-(Analítico!T$3&gt;='Gastos Gerais'!$D$4:$D$3632),-(Analítico!T$3&lt;='Gastos Gerais'!$E$4:$E$3632),-('Gastos Gerais'!$C$4:$C$3632))</f>
        <v>57113.440000000002</v>
      </c>
      <c r="U110" s="134">
        <f>SUMPRODUCT(-('Gastos Gerais'!$B$4:$B$3632=Analítico!$B110),-(Analítico!U$3&gt;='Gastos Gerais'!$D$4:$D$3632),-(Analítico!U$3&lt;='Gastos Gerais'!$E$4:$E$3632),-('Gastos Gerais'!$C$4:$C$3632))</f>
        <v>57113.440000000002</v>
      </c>
      <c r="V110" s="134">
        <f>SUMPRODUCT(-('Gastos Gerais'!$B$4:$B$3632=Analítico!$B110),-(Analítico!V$3&gt;='Gastos Gerais'!$D$4:$D$3632),-(Analítico!V$3&lt;='Gastos Gerais'!$E$4:$E$3632),-('Gastos Gerais'!$C$4:$C$3632))</f>
        <v>57113.440000000002</v>
      </c>
      <c r="W110" s="134">
        <f>SUMPRODUCT(-('Gastos Gerais'!$B$4:$B$3632=Analítico!$B110),-(Analítico!W$3&gt;='Gastos Gerais'!$D$4:$D$3632),-(Analítico!W$3&lt;='Gastos Gerais'!$E$4:$E$3632),-('Gastos Gerais'!$C$4:$C$3632))</f>
        <v>57113.440000000002</v>
      </c>
      <c r="X110" s="134">
        <f>SUMPRODUCT(-('Gastos Gerais'!$B$4:$B$3632=Analítico!$B110),-(Analítico!X$3&gt;='Gastos Gerais'!$D$4:$D$3632),-(Analítico!X$3&lt;='Gastos Gerais'!$E$4:$E$3632),-('Gastos Gerais'!$C$4:$C$3632))</f>
        <v>57113.440000000002</v>
      </c>
      <c r="Y110" s="134">
        <f>SUMPRODUCT(-('Gastos Gerais'!$B$4:$B$3632=Analítico!$B110),-(Analítico!Y$3&gt;='Gastos Gerais'!$D$4:$D$3632),-(Analítico!Y$3&lt;='Gastos Gerais'!$E$4:$E$3632),-('Gastos Gerais'!$C$4:$C$3632))</f>
        <v>57113.440000000002</v>
      </c>
      <c r="Z110" s="134">
        <f>SUMPRODUCT(-('Gastos Gerais'!$B$4:$B$3632=Analítico!$B110),-(Analítico!Z$3&gt;='Gastos Gerais'!$D$4:$D$3632),-(Analítico!Z$3&lt;='Gastos Gerais'!$E$4:$E$3632),-('Gastos Gerais'!$C$4:$C$3632))</f>
        <v>57521.38</v>
      </c>
      <c r="AA110" s="134">
        <f>SUMPRODUCT(-('Gastos Gerais'!$B$4:$B$3632=Analítico!$B110),-(Analítico!AA$3&gt;='Gastos Gerais'!$D$4:$D$3632),-(Analítico!AA$3&lt;='Gastos Gerais'!$E$4:$E$3632),-('Gastos Gerais'!$C$4:$C$3632))</f>
        <v>57521.38</v>
      </c>
      <c r="AB110" s="134">
        <f>SUMPRODUCT(-('Gastos Gerais'!$B$4:$B$3632=Analítico!$B110),-(Analítico!AB$3&gt;='Gastos Gerais'!$D$4:$D$3632),-(Analítico!AB$3&lt;='Gastos Gerais'!$E$4:$E$3632),-('Gastos Gerais'!$C$4:$C$3632))</f>
        <v>60448.219999999979</v>
      </c>
      <c r="AC110" s="134">
        <f>SUMPRODUCT(-('Gastos Gerais'!$B$4:$B$3632=Analítico!$B110),-(Analítico!AC$3&gt;='Gastos Gerais'!$D$4:$D$3632),-(Analítico!AC$3&lt;='Gastos Gerais'!$E$4:$E$3632),-('Gastos Gerais'!$C$4:$C$3632))</f>
        <v>60448.219999999979</v>
      </c>
      <c r="AD110" s="134">
        <f>SUMPRODUCT(-('Gastos Gerais'!$B$4:$B$3632=Analítico!$B110),-(Analítico!AD$3&gt;='Gastos Gerais'!$D$4:$D$3632),-(Analítico!AD$3&lt;='Gastos Gerais'!$E$4:$E$3632),-('Gastos Gerais'!$C$4:$C$3632))</f>
        <v>60448.219999999979</v>
      </c>
      <c r="AE110" s="134">
        <f>SUMPRODUCT(-('Gastos Gerais'!$B$4:$B$3632=Analítico!$B110),-(Analítico!AE$3&gt;='Gastos Gerais'!$D$4:$D$3632),-(Analítico!AE$3&lt;='Gastos Gerais'!$E$4:$E$3632),-('Gastos Gerais'!$C$4:$C$3632))</f>
        <v>60448.219999999979</v>
      </c>
      <c r="AF110" s="134">
        <f>SUMPRODUCT(-('Gastos Gerais'!$B$4:$B$3632=Analítico!$B110),-(Analítico!AF$3&gt;='Gastos Gerais'!$D$4:$D$3632),-(Analítico!AF$3&lt;='Gastos Gerais'!$E$4:$E$3632),-('Gastos Gerais'!$C$4:$C$3632))</f>
        <v>60448.219999999979</v>
      </c>
      <c r="AG110" s="134">
        <f>SUMPRODUCT(-('Gastos Gerais'!$B$4:$B$3632=Analítico!$B110),-(Analítico!AG$3&gt;='Gastos Gerais'!$D$4:$D$3632),-(Analítico!AG$3&lt;='Gastos Gerais'!$E$4:$E$3632),-('Gastos Gerais'!$C$4:$C$3632))</f>
        <v>60448.219999999979</v>
      </c>
      <c r="AH110" s="134">
        <f>SUMPRODUCT(-('Gastos Gerais'!$B$4:$B$3632=Analítico!$B110),-(Analítico!AH$3&gt;='Gastos Gerais'!$D$4:$D$3632),-(Analítico!AH$3&lt;='Gastos Gerais'!$E$4:$E$3632),-('Gastos Gerais'!$C$4:$C$3632))</f>
        <v>60448.219999999979</v>
      </c>
      <c r="AI110" s="134">
        <f>SUMPRODUCT(-('Gastos Gerais'!$B$4:$B$3632=Analítico!$B110),-(Analítico!AI$3&gt;='Gastos Gerais'!$D$4:$D$3632),-(Analítico!AI$3&lt;='Gastos Gerais'!$E$4:$E$3632),-('Gastos Gerais'!$C$4:$C$3632))</f>
        <v>60448.219999999979</v>
      </c>
      <c r="AJ110" s="134">
        <f>SUMPRODUCT(-('Gastos Gerais'!$B$4:$B$3632=Analítico!$B110),-(Analítico!AJ$3&gt;='Gastos Gerais'!$D$4:$D$3632),-(Analítico!AJ$3&lt;='Gastos Gerais'!$E$4:$E$3632),-('Gastos Gerais'!$C$4:$C$3632))</f>
        <v>60448.219999999979</v>
      </c>
      <c r="AK110" s="134">
        <f>SUMPRODUCT(-('Gastos Gerais'!$B$4:$B$3632=Analítico!$B110),-(Analítico!AK$3&gt;='Gastos Gerais'!$D$4:$D$3632),-(Analítico!AK$3&lt;='Gastos Gerais'!$E$4:$E$3632),-('Gastos Gerais'!$C$4:$C$3632))</f>
        <v>60448.219999999979</v>
      </c>
      <c r="AL110" s="134">
        <f>SUMPRODUCT(-('Gastos Gerais'!$B$4:$B$3632=Analítico!$B110),-(Analítico!AL$3&gt;='Gastos Gerais'!$D$4:$D$3632),-(Analítico!AL$3&lt;='Gastos Gerais'!$E$4:$E$3632),-('Gastos Gerais'!$C$4:$C$3632))</f>
        <v>60879.999999999985</v>
      </c>
      <c r="AM110" s="134">
        <f>SUMPRODUCT(-('Gastos Gerais'!$B$4:$B$3632=Analítico!$B110),-(Analítico!AM$3&gt;='Gastos Gerais'!$D$4:$D$3632),-(Analítico!AM$3&lt;='Gastos Gerais'!$E$4:$E$3632),-('Gastos Gerais'!$C$4:$C$3632))</f>
        <v>60879.999999999985</v>
      </c>
      <c r="AN110" s="134">
        <f>SUMPRODUCT(-('Gastos Gerais'!$B$4:$B$3632=Analítico!$B110),-(Analítico!AN$3&gt;='Gastos Gerais'!$D$4:$D$3632),-(Analítico!AN$3&lt;='Gastos Gerais'!$E$4:$E$3632),-('Gastos Gerais'!$C$4:$C$3632))</f>
        <v>67116.039999999994</v>
      </c>
      <c r="AO110" s="134">
        <f>SUMPRODUCT(-('Gastos Gerais'!$B$4:$B$3632=Analítico!$B110),-(Analítico!AO$3&gt;='Gastos Gerais'!$D$4:$D$3632),-(Analítico!AO$3&lt;='Gastos Gerais'!$E$4:$E$3632),-('Gastos Gerais'!$C$4:$C$3632))</f>
        <v>67116.039999999994</v>
      </c>
      <c r="AP110" s="134">
        <f>SUMPRODUCT(-('Gastos Gerais'!$B$4:$B$3632=Analítico!$B110),-(Analítico!AP$3&gt;='Gastos Gerais'!$D$4:$D$3632),-(Analítico!AP$3&lt;='Gastos Gerais'!$E$4:$E$3632),-('Gastos Gerais'!$C$4:$C$3632))</f>
        <v>67116.039999999994</v>
      </c>
      <c r="AQ110" s="134">
        <f>SUMPRODUCT(-('Gastos Gerais'!$B$4:$B$3632=Analítico!$B110),-(Analítico!AQ$3&gt;='Gastos Gerais'!$D$4:$D$3632),-(Analítico!AQ$3&lt;='Gastos Gerais'!$E$4:$E$3632),-('Gastos Gerais'!$C$4:$C$3632))</f>
        <v>67116.039999999994</v>
      </c>
      <c r="AR110" s="134">
        <f>SUMPRODUCT(-('Gastos Gerais'!$B$4:$B$3632=Analítico!$B110),-(Analítico!AR$3&gt;='Gastos Gerais'!$D$4:$D$3632),-(Analítico!AR$3&lt;='Gastos Gerais'!$E$4:$E$3632),-('Gastos Gerais'!$C$4:$C$3632))</f>
        <v>67116.039999999994</v>
      </c>
      <c r="AS110" s="134">
        <f>SUMPRODUCT(-('Gastos Gerais'!$B$4:$B$3632=Analítico!$B110),-(Analítico!AS$3&gt;='Gastos Gerais'!$D$4:$D$3632),-(Analítico!AS$3&lt;='Gastos Gerais'!$E$4:$E$3632),-('Gastos Gerais'!$C$4:$C$3632))</f>
        <v>67116.039999999994</v>
      </c>
      <c r="AT110" s="134">
        <f>SUMPRODUCT(-('Gastos Gerais'!$B$4:$B$3632=Analítico!$B110),-(Analítico!AT$3&gt;='Gastos Gerais'!$D$4:$D$3632),-(Analítico!AT$3&lt;='Gastos Gerais'!$E$4:$E$3632),-('Gastos Gerais'!$C$4:$C$3632))</f>
        <v>67116.039999999994</v>
      </c>
      <c r="AU110" s="134">
        <f>SUMPRODUCT(-('Gastos Gerais'!$B$4:$B$3632=Analítico!$B110),-(Analítico!AU$3&gt;='Gastos Gerais'!$D$4:$D$3632),-(Analítico!AU$3&lt;='Gastos Gerais'!$E$4:$E$3632),-('Gastos Gerais'!$C$4:$C$3632))</f>
        <v>67116.039999999994</v>
      </c>
      <c r="AV110" s="134">
        <f>SUMPRODUCT(-('Gastos Gerais'!$B$4:$B$3632=Analítico!$B110),-(Analítico!AV$3&gt;='Gastos Gerais'!$D$4:$D$3632),-(Analítico!AV$3&lt;='Gastos Gerais'!$E$4:$E$3632),-('Gastos Gerais'!$C$4:$C$3632))</f>
        <v>67116.039999999994</v>
      </c>
      <c r="AW110" s="134">
        <f>SUMPRODUCT(-('Gastos Gerais'!$B$4:$B$3632=Analítico!$B110),-(Analítico!AW$3&gt;='Gastos Gerais'!$D$4:$D$3632),-(Analítico!AW$3&lt;='Gastos Gerais'!$E$4:$E$3632),-('Gastos Gerais'!$C$4:$C$3632))</f>
        <v>67116.039999999994</v>
      </c>
      <c r="AX110" s="134">
        <f>SUMPRODUCT(-('Gastos Gerais'!$B$4:$B$3632=Analítico!$B110),-(Analítico!AX$3&gt;='Gastos Gerais'!$D$4:$D$3632),-(Analítico!AX$3&lt;='Gastos Gerais'!$E$4:$E$3632),-('Gastos Gerais'!$C$4:$C$3632))</f>
        <v>67573.03</v>
      </c>
      <c r="AY110" s="134">
        <f>SUMPRODUCT(-('Gastos Gerais'!$B$4:$B$3632=Analítico!$B110),-(Analítico!AY$3&gt;='Gastos Gerais'!$D$4:$D$3632),-(Analítico!AY$3&lt;='Gastos Gerais'!$E$4:$E$3632),-('Gastos Gerais'!$C$4:$C$3632))</f>
        <v>67573.03</v>
      </c>
      <c r="AZ110" s="134">
        <f>SUMPRODUCT(-('Gastos Gerais'!$B$4:$B$3632=Analítico!$B110),-(Analítico!AZ$3&gt;='Gastos Gerais'!$D$4:$D$3632),-(Analítico!AZ$3&lt;='Gastos Gerais'!$E$4:$E$3632),-('Gastos Gerais'!$C$4:$C$3632))</f>
        <v>67715.109999999986</v>
      </c>
      <c r="BA110" s="134">
        <f>SUMPRODUCT(-('Gastos Gerais'!$B$4:$B$3632=Analítico!$B110),-(Analítico!BA$3&gt;='Gastos Gerais'!$D$4:$D$3632),-(Analítico!BA$3&lt;='Gastos Gerais'!$E$4:$E$3632),-('Gastos Gerais'!$C$4:$C$3632))</f>
        <v>67715.109999999986</v>
      </c>
      <c r="BB110" s="134">
        <f>SUMPRODUCT(-('Gastos Gerais'!$B$4:$B$3632=Analítico!$B110),-(Analítico!BB$3&gt;='Gastos Gerais'!$D$4:$D$3632),-(Analítico!BB$3&lt;='Gastos Gerais'!$E$4:$E$3632),-('Gastos Gerais'!$C$4:$C$3632))</f>
        <v>67715.109999999986</v>
      </c>
      <c r="BC110" s="134">
        <f>SUMPRODUCT(-('Gastos Gerais'!$B$4:$B$3632=Analítico!$B110),-(Analítico!BC$3&gt;='Gastos Gerais'!$D$4:$D$3632),-(Analítico!BC$3&lt;='Gastos Gerais'!$E$4:$E$3632),-('Gastos Gerais'!$C$4:$C$3632))</f>
        <v>67715.109999999986</v>
      </c>
      <c r="BD110" s="134">
        <f>SUMPRODUCT(-('Gastos Gerais'!$B$4:$B$3632=Analítico!$B110),-(Analítico!BD$3&gt;='Gastos Gerais'!$D$4:$D$3632),-(Analítico!BD$3&lt;='Gastos Gerais'!$E$4:$E$3632),-('Gastos Gerais'!$C$4:$C$3632))</f>
        <v>67715.109999999986</v>
      </c>
      <c r="BE110" s="134">
        <f>SUMPRODUCT(-('Gastos Gerais'!$B$4:$B$3632=Analítico!$B110),-(Analítico!BE$3&gt;='Gastos Gerais'!$D$4:$D$3632),-(Analítico!BE$3&lt;='Gastos Gerais'!$E$4:$E$3632),-('Gastos Gerais'!$C$4:$C$3632))</f>
        <v>67715.109999999986</v>
      </c>
      <c r="BF110" s="134">
        <f>SUMPRODUCT(-('Gastos Gerais'!$B$4:$B$3632=Analítico!$B110),-(Analítico!BF$3&gt;='Gastos Gerais'!$D$4:$D$3632),-(Analítico!BF$3&lt;='Gastos Gerais'!$E$4:$E$3632),-('Gastos Gerais'!$C$4:$C$3632))</f>
        <v>67715.109999999986</v>
      </c>
      <c r="BG110" s="134">
        <f>SUMPRODUCT(-('Gastos Gerais'!$B$4:$B$3632=Analítico!$B110),-(Analítico!BG$3&gt;='Gastos Gerais'!$D$4:$D$3632),-(Analítico!BG$3&lt;='Gastos Gerais'!$E$4:$E$3632),-('Gastos Gerais'!$C$4:$C$3632))</f>
        <v>67715.109999999986</v>
      </c>
      <c r="BH110" s="134">
        <f>SUMPRODUCT(-('Gastos Gerais'!$B$4:$B$3632=Analítico!$B110),-(Analítico!BH$3&gt;='Gastos Gerais'!$D$4:$D$3632),-(Analítico!BH$3&lt;='Gastos Gerais'!$E$4:$E$3632),-('Gastos Gerais'!$C$4:$C$3632))</f>
        <v>67715.109999999986</v>
      </c>
      <c r="BI110" s="134">
        <f>SUMPRODUCT(-('Gastos Gerais'!$B$4:$B$3632=Analítico!$B110),-(Analítico!BI$3&gt;='Gastos Gerais'!$D$4:$D$3632),-(Analítico!BI$3&lt;='Gastos Gerais'!$E$4:$E$3632),-('Gastos Gerais'!$C$4:$C$3632))</f>
        <v>67715.109999999986</v>
      </c>
      <c r="BJ110" s="134">
        <f>SUMPRODUCT(-('Gastos Gerais'!$B$4:$B$3632=Analítico!$B110),-(Analítico!BJ$3&gt;='Gastos Gerais'!$D$4:$D$3632),-(Analítico!BJ$3&lt;='Gastos Gerais'!$E$4:$E$3632),-('Gastos Gerais'!$C$4:$C$3632))</f>
        <v>67715.109999999986</v>
      </c>
      <c r="BK110" s="189">
        <f t="shared" si="39"/>
        <v>3576792.9099999974</v>
      </c>
      <c r="BL110" s="136">
        <f t="shared" ca="1" si="40"/>
        <v>1.0690335873513673E-2</v>
      </c>
      <c r="BN110" s="134">
        <f>SUMPRODUCT(-('Gastos Gerais'!$B$4:$B$3632=Analítico!$B110),-(Analítico!BN$3&gt;='Gastos Gerais'!$D$4:$D$3632),-(Analítico!BN$3&lt;='Gastos Gerais'!$E$4:$E$3632),-('Gastos Gerais'!$C$4:$C$3632))</f>
        <v>44100</v>
      </c>
    </row>
    <row r="111" spans="1:66" s="160" customFormat="1" ht="23.25" customHeight="1">
      <c r="A111" s="229" t="s">
        <v>299</v>
      </c>
      <c r="B111" s="232" t="s">
        <v>300</v>
      </c>
      <c r="C111" s="188">
        <f t="shared" si="36"/>
        <v>0</v>
      </c>
      <c r="D111" s="134">
        <f>SUMPRODUCT(-('Gastos Gerais'!$B$4:$B$3632=Analítico!$B111),-(Analítico!D$3&gt;='Gastos Gerais'!$D$4:$D$3632),-(Analítico!D$3&lt;='Gastos Gerais'!$E$4:$E$3632),-('Gastos Gerais'!$C$4:$C$3632))</f>
        <v>0</v>
      </c>
      <c r="E111" s="134">
        <f>SUMPRODUCT(-('Gastos Gerais'!$B$4:$B$3632=Analítico!$B111),-(Analítico!E$3&gt;='Gastos Gerais'!$D$4:$D$3632),-(Analítico!E$3&lt;='Gastos Gerais'!$E$4:$E$3632),-('Gastos Gerais'!$C$4:$C$3632))</f>
        <v>0</v>
      </c>
      <c r="F111" s="134">
        <f>SUMPRODUCT(-('Gastos Gerais'!$B$4:$B$3632=Analítico!$B111),-(Analítico!F$3&gt;='Gastos Gerais'!$D$4:$D$3632),-(Analítico!F$3&lt;='Gastos Gerais'!$E$4:$E$3632),-('Gastos Gerais'!$C$4:$C$3632))</f>
        <v>0</v>
      </c>
      <c r="G111" s="134">
        <f>SUMPRODUCT(-('Gastos Gerais'!$B$4:$B$3632=Analítico!$B111),-(Analítico!G$3&gt;='Gastos Gerais'!$D$4:$D$3632),-(Analítico!G$3&lt;='Gastos Gerais'!$E$4:$E$3632),-('Gastos Gerais'!$C$4:$C$3632))</f>
        <v>0</v>
      </c>
      <c r="H111" s="134">
        <f>SUMPRODUCT(-('Gastos Gerais'!$B$4:$B$3632=Analítico!$B111),-(Analítico!H$3&gt;='Gastos Gerais'!$D$4:$D$3632),-(Analítico!H$3&lt;='Gastos Gerais'!$E$4:$E$3632),-('Gastos Gerais'!$C$4:$C$3632))</f>
        <v>0</v>
      </c>
      <c r="I111" s="134">
        <f>SUMPRODUCT(-('Gastos Gerais'!$B$4:$B$3632=Analítico!$B111),-(Analítico!I$3&gt;='Gastos Gerais'!$D$4:$D$3632),-(Analítico!I$3&lt;='Gastos Gerais'!$E$4:$E$3632),-('Gastos Gerais'!$C$4:$C$3632))</f>
        <v>0</v>
      </c>
      <c r="J111" s="134">
        <f>SUMPRODUCT(-('Gastos Gerais'!$B$4:$B$3632=Analítico!$B111),-(Analítico!J$3&gt;='Gastos Gerais'!$D$4:$D$3632),-(Analítico!J$3&lt;='Gastos Gerais'!$E$4:$E$3632),-('Gastos Gerais'!$C$4:$C$3632))</f>
        <v>0</v>
      </c>
      <c r="K111" s="134">
        <f>SUMPRODUCT(-('Gastos Gerais'!$B$4:$B$3632=Analítico!$B111),-(Analítico!K$3&gt;='Gastos Gerais'!$D$4:$D$3632),-(Analítico!K$3&lt;='Gastos Gerais'!$E$4:$E$3632),-('Gastos Gerais'!$C$4:$C$3632))</f>
        <v>0</v>
      </c>
      <c r="L111" s="134">
        <f>SUMPRODUCT(-('Gastos Gerais'!$B$4:$B$3632=Analítico!$B111),-(Analítico!L$3&gt;='Gastos Gerais'!$D$4:$D$3632),-(Analítico!L$3&lt;='Gastos Gerais'!$E$4:$E$3632),-('Gastos Gerais'!$C$4:$C$3632))</f>
        <v>0</v>
      </c>
      <c r="M111" s="134">
        <f>SUMPRODUCT(-('Gastos Gerais'!$B$4:$B$3632=Analítico!$B111),-(Analítico!M$3&gt;='Gastos Gerais'!$D$4:$D$3632),-(Analítico!M$3&lt;='Gastos Gerais'!$E$4:$E$3632),-('Gastos Gerais'!$C$4:$C$3632))</f>
        <v>0</v>
      </c>
      <c r="N111" s="134">
        <f>SUMPRODUCT(-('Gastos Gerais'!$B$4:$B$3632=Analítico!$B111),-(Analítico!N$3&gt;='Gastos Gerais'!$D$4:$D$3632),-(Analítico!N$3&lt;='Gastos Gerais'!$E$4:$E$3632),-('Gastos Gerais'!$C$4:$C$3632))</f>
        <v>0</v>
      </c>
      <c r="O111" s="134">
        <f>SUMPRODUCT(-('Gastos Gerais'!$B$4:$B$3632=Analítico!$B111),-(Analítico!O$3&gt;='Gastos Gerais'!$D$4:$D$3632),-(Analítico!O$3&lt;='Gastos Gerais'!$E$4:$E$3632),-('Gastos Gerais'!$C$4:$C$3632))</f>
        <v>0</v>
      </c>
      <c r="P111" s="134">
        <f>SUMPRODUCT(-('Gastos Gerais'!$B$4:$B$3632=Analítico!$B111),-(Analítico!P$3&gt;='Gastos Gerais'!$D$4:$D$3632),-(Analítico!P$3&lt;='Gastos Gerais'!$E$4:$E$3632),-('Gastos Gerais'!$C$4:$C$3632))</f>
        <v>0</v>
      </c>
      <c r="Q111" s="134">
        <f>SUMPRODUCT(-('Gastos Gerais'!$B$4:$B$3632=Analítico!$B111),-(Analítico!Q$3&gt;='Gastos Gerais'!$D$4:$D$3632),-(Analítico!Q$3&lt;='Gastos Gerais'!$E$4:$E$3632),-('Gastos Gerais'!$C$4:$C$3632))</f>
        <v>0</v>
      </c>
      <c r="R111" s="134">
        <f>SUMPRODUCT(-('Gastos Gerais'!$B$4:$B$3632=Analítico!$B111),-(Analítico!R$3&gt;='Gastos Gerais'!$D$4:$D$3632),-(Analítico!R$3&lt;='Gastos Gerais'!$E$4:$E$3632),-('Gastos Gerais'!$C$4:$C$3632))</f>
        <v>0</v>
      </c>
      <c r="S111" s="134">
        <f>SUMPRODUCT(-('Gastos Gerais'!$B$4:$B$3632=Analítico!$B111),-(Analítico!S$3&gt;='Gastos Gerais'!$D$4:$D$3632),-(Analítico!S$3&lt;='Gastos Gerais'!$E$4:$E$3632),-('Gastos Gerais'!$C$4:$C$3632))</f>
        <v>0</v>
      </c>
      <c r="T111" s="134">
        <f>SUMPRODUCT(-('Gastos Gerais'!$B$4:$B$3632=Analítico!$B111),-(Analítico!T$3&gt;='Gastos Gerais'!$D$4:$D$3632),-(Analítico!T$3&lt;='Gastos Gerais'!$E$4:$E$3632),-('Gastos Gerais'!$C$4:$C$3632))</f>
        <v>0</v>
      </c>
      <c r="U111" s="134">
        <f>SUMPRODUCT(-('Gastos Gerais'!$B$4:$B$3632=Analítico!$B111),-(Analítico!U$3&gt;='Gastos Gerais'!$D$4:$D$3632),-(Analítico!U$3&lt;='Gastos Gerais'!$E$4:$E$3632),-('Gastos Gerais'!$C$4:$C$3632))</f>
        <v>0</v>
      </c>
      <c r="V111" s="134">
        <f>SUMPRODUCT(-('Gastos Gerais'!$B$4:$B$3632=Analítico!$B111),-(Analítico!V$3&gt;='Gastos Gerais'!$D$4:$D$3632),-(Analítico!V$3&lt;='Gastos Gerais'!$E$4:$E$3632),-('Gastos Gerais'!$C$4:$C$3632))</f>
        <v>0</v>
      </c>
      <c r="W111" s="134">
        <f>SUMPRODUCT(-('Gastos Gerais'!$B$4:$B$3632=Analítico!$B111),-(Analítico!W$3&gt;='Gastos Gerais'!$D$4:$D$3632),-(Analítico!W$3&lt;='Gastos Gerais'!$E$4:$E$3632),-('Gastos Gerais'!$C$4:$C$3632))</f>
        <v>0</v>
      </c>
      <c r="X111" s="134">
        <f>SUMPRODUCT(-('Gastos Gerais'!$B$4:$B$3632=Analítico!$B111),-(Analítico!X$3&gt;='Gastos Gerais'!$D$4:$D$3632),-(Analítico!X$3&lt;='Gastos Gerais'!$E$4:$E$3632),-('Gastos Gerais'!$C$4:$C$3632))</f>
        <v>0</v>
      </c>
      <c r="Y111" s="134">
        <f>SUMPRODUCT(-('Gastos Gerais'!$B$4:$B$3632=Analítico!$B111),-(Analítico!Y$3&gt;='Gastos Gerais'!$D$4:$D$3632),-(Analítico!Y$3&lt;='Gastos Gerais'!$E$4:$E$3632),-('Gastos Gerais'!$C$4:$C$3632))</f>
        <v>0</v>
      </c>
      <c r="Z111" s="134">
        <f>SUMPRODUCT(-('Gastos Gerais'!$B$4:$B$3632=Analítico!$B111),-(Analítico!Z$3&gt;='Gastos Gerais'!$D$4:$D$3632),-(Analítico!Z$3&lt;='Gastos Gerais'!$E$4:$E$3632),-('Gastos Gerais'!$C$4:$C$3632))</f>
        <v>0</v>
      </c>
      <c r="AA111" s="134">
        <f>SUMPRODUCT(-('Gastos Gerais'!$B$4:$B$3632=Analítico!$B111),-(Analítico!AA$3&gt;='Gastos Gerais'!$D$4:$D$3632),-(Analítico!AA$3&lt;='Gastos Gerais'!$E$4:$E$3632),-('Gastos Gerais'!$C$4:$C$3632))</f>
        <v>0</v>
      </c>
      <c r="AB111" s="134">
        <f>SUMPRODUCT(-('Gastos Gerais'!$B$4:$B$3632=Analítico!$B111),-(Analítico!AB$3&gt;='Gastos Gerais'!$D$4:$D$3632),-(Analítico!AB$3&lt;='Gastos Gerais'!$E$4:$E$3632),-('Gastos Gerais'!$C$4:$C$3632))</f>
        <v>0</v>
      </c>
      <c r="AC111" s="134">
        <f>SUMPRODUCT(-('Gastos Gerais'!$B$4:$B$3632=Analítico!$B111),-(Analítico!AC$3&gt;='Gastos Gerais'!$D$4:$D$3632),-(Analítico!AC$3&lt;='Gastos Gerais'!$E$4:$E$3632),-('Gastos Gerais'!$C$4:$C$3632))</f>
        <v>0</v>
      </c>
      <c r="AD111" s="134">
        <f>SUMPRODUCT(-('Gastos Gerais'!$B$4:$B$3632=Analítico!$B111),-(Analítico!AD$3&gt;='Gastos Gerais'!$D$4:$D$3632),-(Analítico!AD$3&lt;='Gastos Gerais'!$E$4:$E$3632),-('Gastos Gerais'!$C$4:$C$3632))</f>
        <v>0</v>
      </c>
      <c r="AE111" s="134">
        <f>SUMPRODUCT(-('Gastos Gerais'!$B$4:$B$3632=Analítico!$B111),-(Analítico!AE$3&gt;='Gastos Gerais'!$D$4:$D$3632),-(Analítico!AE$3&lt;='Gastos Gerais'!$E$4:$E$3632),-('Gastos Gerais'!$C$4:$C$3632))</f>
        <v>0</v>
      </c>
      <c r="AF111" s="134">
        <f>SUMPRODUCT(-('Gastos Gerais'!$B$4:$B$3632=Analítico!$B111),-(Analítico!AF$3&gt;='Gastos Gerais'!$D$4:$D$3632),-(Analítico!AF$3&lt;='Gastos Gerais'!$E$4:$E$3632),-('Gastos Gerais'!$C$4:$C$3632))</f>
        <v>0</v>
      </c>
      <c r="AG111" s="134">
        <f>SUMPRODUCT(-('Gastos Gerais'!$B$4:$B$3632=Analítico!$B111),-(Analítico!AG$3&gt;='Gastos Gerais'!$D$4:$D$3632),-(Analítico!AG$3&lt;='Gastos Gerais'!$E$4:$E$3632),-('Gastos Gerais'!$C$4:$C$3632))</f>
        <v>0</v>
      </c>
      <c r="AH111" s="134">
        <f>SUMPRODUCT(-('Gastos Gerais'!$B$4:$B$3632=Analítico!$B111),-(Analítico!AH$3&gt;='Gastos Gerais'!$D$4:$D$3632),-(Analítico!AH$3&lt;='Gastos Gerais'!$E$4:$E$3632),-('Gastos Gerais'!$C$4:$C$3632))</f>
        <v>0</v>
      </c>
      <c r="AI111" s="134">
        <f>SUMPRODUCT(-('Gastos Gerais'!$B$4:$B$3632=Analítico!$B111),-(Analítico!AI$3&gt;='Gastos Gerais'!$D$4:$D$3632),-(Analítico!AI$3&lt;='Gastos Gerais'!$E$4:$E$3632),-('Gastos Gerais'!$C$4:$C$3632))</f>
        <v>0</v>
      </c>
      <c r="AJ111" s="134">
        <f>SUMPRODUCT(-('Gastos Gerais'!$B$4:$B$3632=Analítico!$B111),-(Analítico!AJ$3&gt;='Gastos Gerais'!$D$4:$D$3632),-(Analítico!AJ$3&lt;='Gastos Gerais'!$E$4:$E$3632),-('Gastos Gerais'!$C$4:$C$3632))</f>
        <v>0</v>
      </c>
      <c r="AK111" s="134">
        <f>SUMPRODUCT(-('Gastos Gerais'!$B$4:$B$3632=Analítico!$B111),-(Analítico!AK$3&gt;='Gastos Gerais'!$D$4:$D$3632),-(Analítico!AK$3&lt;='Gastos Gerais'!$E$4:$E$3632),-('Gastos Gerais'!$C$4:$C$3632))</f>
        <v>0</v>
      </c>
      <c r="AL111" s="134">
        <f>SUMPRODUCT(-('Gastos Gerais'!$B$4:$B$3632=Analítico!$B111),-(Analítico!AL$3&gt;='Gastos Gerais'!$D$4:$D$3632),-(Analítico!AL$3&lt;='Gastos Gerais'!$E$4:$E$3632),-('Gastos Gerais'!$C$4:$C$3632))</f>
        <v>0</v>
      </c>
      <c r="AM111" s="134">
        <f>SUMPRODUCT(-('Gastos Gerais'!$B$4:$B$3632=Analítico!$B111),-(Analítico!AM$3&gt;='Gastos Gerais'!$D$4:$D$3632),-(Analítico!AM$3&lt;='Gastos Gerais'!$E$4:$E$3632),-('Gastos Gerais'!$C$4:$C$3632))</f>
        <v>0</v>
      </c>
      <c r="AN111" s="134">
        <f>SUMPRODUCT(-('Gastos Gerais'!$B$4:$B$3632=Analítico!$B111),-(Analítico!AN$3&gt;='Gastos Gerais'!$D$4:$D$3632),-(Analítico!AN$3&lt;='Gastos Gerais'!$E$4:$E$3632),-('Gastos Gerais'!$C$4:$C$3632))</f>
        <v>0</v>
      </c>
      <c r="AO111" s="134">
        <f>SUMPRODUCT(-('Gastos Gerais'!$B$4:$B$3632=Analítico!$B111),-(Analítico!AO$3&gt;='Gastos Gerais'!$D$4:$D$3632),-(Analítico!AO$3&lt;='Gastos Gerais'!$E$4:$E$3632),-('Gastos Gerais'!$C$4:$C$3632))</f>
        <v>0</v>
      </c>
      <c r="AP111" s="134">
        <f>SUMPRODUCT(-('Gastos Gerais'!$B$4:$B$3632=Analítico!$B111),-(Analítico!AP$3&gt;='Gastos Gerais'!$D$4:$D$3632),-(Analítico!AP$3&lt;='Gastos Gerais'!$E$4:$E$3632),-('Gastos Gerais'!$C$4:$C$3632))</f>
        <v>0</v>
      </c>
      <c r="AQ111" s="134">
        <f>SUMPRODUCT(-('Gastos Gerais'!$B$4:$B$3632=Analítico!$B111),-(Analítico!AQ$3&gt;='Gastos Gerais'!$D$4:$D$3632),-(Analítico!AQ$3&lt;='Gastos Gerais'!$E$4:$E$3632),-('Gastos Gerais'!$C$4:$C$3632))</f>
        <v>0</v>
      </c>
      <c r="AR111" s="134">
        <f>SUMPRODUCT(-('Gastos Gerais'!$B$4:$B$3632=Analítico!$B111),-(Analítico!AR$3&gt;='Gastos Gerais'!$D$4:$D$3632),-(Analítico!AR$3&lt;='Gastos Gerais'!$E$4:$E$3632),-('Gastos Gerais'!$C$4:$C$3632))</f>
        <v>0</v>
      </c>
      <c r="AS111" s="134">
        <f>SUMPRODUCT(-('Gastos Gerais'!$B$4:$B$3632=Analítico!$B111),-(Analítico!AS$3&gt;='Gastos Gerais'!$D$4:$D$3632),-(Analítico!AS$3&lt;='Gastos Gerais'!$E$4:$E$3632),-('Gastos Gerais'!$C$4:$C$3632))</f>
        <v>0</v>
      </c>
      <c r="AT111" s="134">
        <f>SUMPRODUCT(-('Gastos Gerais'!$B$4:$B$3632=Analítico!$B111),-(Analítico!AT$3&gt;='Gastos Gerais'!$D$4:$D$3632),-(Analítico!AT$3&lt;='Gastos Gerais'!$E$4:$E$3632),-('Gastos Gerais'!$C$4:$C$3632))</f>
        <v>0</v>
      </c>
      <c r="AU111" s="134">
        <f>SUMPRODUCT(-('Gastos Gerais'!$B$4:$B$3632=Analítico!$B111),-(Analítico!AU$3&gt;='Gastos Gerais'!$D$4:$D$3632),-(Analítico!AU$3&lt;='Gastos Gerais'!$E$4:$E$3632),-('Gastos Gerais'!$C$4:$C$3632))</f>
        <v>0</v>
      </c>
      <c r="AV111" s="134">
        <f>SUMPRODUCT(-('Gastos Gerais'!$B$4:$B$3632=Analítico!$B111),-(Analítico!AV$3&gt;='Gastos Gerais'!$D$4:$D$3632),-(Analítico!AV$3&lt;='Gastos Gerais'!$E$4:$E$3632),-('Gastos Gerais'!$C$4:$C$3632))</f>
        <v>0</v>
      </c>
      <c r="AW111" s="134">
        <f>SUMPRODUCT(-('Gastos Gerais'!$B$4:$B$3632=Analítico!$B111),-(Analítico!AW$3&gt;='Gastos Gerais'!$D$4:$D$3632),-(Analítico!AW$3&lt;='Gastos Gerais'!$E$4:$E$3632),-('Gastos Gerais'!$C$4:$C$3632))</f>
        <v>0</v>
      </c>
      <c r="AX111" s="134">
        <f>SUMPRODUCT(-('Gastos Gerais'!$B$4:$B$3632=Analítico!$B111),-(Analítico!AX$3&gt;='Gastos Gerais'!$D$4:$D$3632),-(Analítico!AX$3&lt;='Gastos Gerais'!$E$4:$E$3632),-('Gastos Gerais'!$C$4:$C$3632))</f>
        <v>0</v>
      </c>
      <c r="AY111" s="134">
        <f>SUMPRODUCT(-('Gastos Gerais'!$B$4:$B$3632=Analítico!$B111),-(Analítico!AY$3&gt;='Gastos Gerais'!$D$4:$D$3632),-(Analítico!AY$3&lt;='Gastos Gerais'!$E$4:$E$3632),-('Gastos Gerais'!$C$4:$C$3632))</f>
        <v>0</v>
      </c>
      <c r="AZ111" s="134">
        <f>SUMPRODUCT(-('Gastos Gerais'!$B$4:$B$3632=Analítico!$B111),-(Analítico!AZ$3&gt;='Gastos Gerais'!$D$4:$D$3632),-(Analítico!AZ$3&lt;='Gastos Gerais'!$E$4:$E$3632),-('Gastos Gerais'!$C$4:$C$3632))</f>
        <v>0</v>
      </c>
      <c r="BA111" s="134">
        <f>SUMPRODUCT(-('Gastos Gerais'!$B$4:$B$3632=Analítico!$B111),-(Analítico!BA$3&gt;='Gastos Gerais'!$D$4:$D$3632),-(Analítico!BA$3&lt;='Gastos Gerais'!$E$4:$E$3632),-('Gastos Gerais'!$C$4:$C$3632))</f>
        <v>0</v>
      </c>
      <c r="BB111" s="134">
        <f>SUMPRODUCT(-('Gastos Gerais'!$B$4:$B$3632=Analítico!$B111),-(Analítico!BB$3&gt;='Gastos Gerais'!$D$4:$D$3632),-(Analítico!BB$3&lt;='Gastos Gerais'!$E$4:$E$3632),-('Gastos Gerais'!$C$4:$C$3632))</f>
        <v>0</v>
      </c>
      <c r="BC111" s="134">
        <f>SUMPRODUCT(-('Gastos Gerais'!$B$4:$B$3632=Analítico!$B111),-(Analítico!BC$3&gt;='Gastos Gerais'!$D$4:$D$3632),-(Analítico!BC$3&lt;='Gastos Gerais'!$E$4:$E$3632),-('Gastos Gerais'!$C$4:$C$3632))</f>
        <v>0</v>
      </c>
      <c r="BD111" s="134">
        <f>SUMPRODUCT(-('Gastos Gerais'!$B$4:$B$3632=Analítico!$B111),-(Analítico!BD$3&gt;='Gastos Gerais'!$D$4:$D$3632),-(Analítico!BD$3&lt;='Gastos Gerais'!$E$4:$E$3632),-('Gastos Gerais'!$C$4:$C$3632))</f>
        <v>0</v>
      </c>
      <c r="BE111" s="134">
        <f>SUMPRODUCT(-('Gastos Gerais'!$B$4:$B$3632=Analítico!$B111),-(Analítico!BE$3&gt;='Gastos Gerais'!$D$4:$D$3632),-(Analítico!BE$3&lt;='Gastos Gerais'!$E$4:$E$3632),-('Gastos Gerais'!$C$4:$C$3632))</f>
        <v>0</v>
      </c>
      <c r="BF111" s="134">
        <f>SUMPRODUCT(-('Gastos Gerais'!$B$4:$B$3632=Analítico!$B111),-(Analítico!BF$3&gt;='Gastos Gerais'!$D$4:$D$3632),-(Analítico!BF$3&lt;='Gastos Gerais'!$E$4:$E$3632),-('Gastos Gerais'!$C$4:$C$3632))</f>
        <v>0</v>
      </c>
      <c r="BG111" s="134">
        <f>SUMPRODUCT(-('Gastos Gerais'!$B$4:$B$3632=Analítico!$B111),-(Analítico!BG$3&gt;='Gastos Gerais'!$D$4:$D$3632),-(Analítico!BG$3&lt;='Gastos Gerais'!$E$4:$E$3632),-('Gastos Gerais'!$C$4:$C$3632))</f>
        <v>0</v>
      </c>
      <c r="BH111" s="134">
        <f>SUMPRODUCT(-('Gastos Gerais'!$B$4:$B$3632=Analítico!$B111),-(Analítico!BH$3&gt;='Gastos Gerais'!$D$4:$D$3632),-(Analítico!BH$3&lt;='Gastos Gerais'!$E$4:$E$3632),-('Gastos Gerais'!$C$4:$C$3632))</f>
        <v>0</v>
      </c>
      <c r="BI111" s="134">
        <f>SUMPRODUCT(-('Gastos Gerais'!$B$4:$B$3632=Analítico!$B111),-(Analítico!BI$3&gt;='Gastos Gerais'!$D$4:$D$3632),-(Analítico!BI$3&lt;='Gastos Gerais'!$E$4:$E$3632),-('Gastos Gerais'!$C$4:$C$3632))</f>
        <v>0</v>
      </c>
      <c r="BJ111" s="134">
        <f>SUMPRODUCT(-('Gastos Gerais'!$B$4:$B$3632=Analítico!$B111),-(Analítico!BJ$3&gt;='Gastos Gerais'!$D$4:$D$3632),-(Analítico!BJ$3&lt;='Gastos Gerais'!$E$4:$E$3632),-('Gastos Gerais'!$C$4:$C$3632))</f>
        <v>0</v>
      </c>
      <c r="BK111" s="189">
        <f t="shared" si="39"/>
        <v>0</v>
      </c>
      <c r="BL111" s="136">
        <f t="shared" ca="1" si="40"/>
        <v>0</v>
      </c>
      <c r="BN111" s="134">
        <f>SUMPRODUCT(-('Gastos Gerais'!$B$4:$B$3632=Analítico!$B111),-(Analítico!BN$3&gt;='Gastos Gerais'!$D$4:$D$3632),-(Analítico!BN$3&lt;='Gastos Gerais'!$E$4:$E$3632),-('Gastos Gerais'!$C$4:$C$3632))</f>
        <v>0</v>
      </c>
    </row>
    <row r="112" spans="1:66" s="160" customFormat="1" ht="23.25" customHeight="1">
      <c r="A112" s="229" t="s">
        <v>301</v>
      </c>
      <c r="B112" s="232" t="s">
        <v>302</v>
      </c>
      <c r="C112" s="188">
        <f t="shared" si="36"/>
        <v>1416</v>
      </c>
      <c r="D112" s="134">
        <f>SUMPRODUCT(-('Gastos Gerais'!$B$4:$B$3632=Analítico!$B112),-(Analítico!D$3&gt;='Gastos Gerais'!$D$4:$D$3632),-(Analítico!D$3&lt;='Gastos Gerais'!$E$4:$E$3632),-('Gastos Gerais'!$C$4:$C$3632))</f>
        <v>4970</v>
      </c>
      <c r="E112" s="134">
        <f>SUMPRODUCT(-('Gastos Gerais'!$B$4:$B$3632=Analítico!$B112),-(Analítico!E$3&gt;='Gastos Gerais'!$D$4:$D$3632),-(Analítico!E$3&lt;='Gastos Gerais'!$E$4:$E$3632),-('Gastos Gerais'!$C$4:$C$3632))</f>
        <v>5470</v>
      </c>
      <c r="F112" s="134">
        <f>SUMPRODUCT(-('Gastos Gerais'!$B$4:$B$3632=Analítico!$B112),-(Analítico!F$3&gt;='Gastos Gerais'!$D$4:$D$3632),-(Analítico!F$3&lt;='Gastos Gerais'!$E$4:$E$3632),-('Gastos Gerais'!$C$4:$C$3632))</f>
        <v>5470</v>
      </c>
      <c r="G112" s="134">
        <f>SUMPRODUCT(-('Gastos Gerais'!$B$4:$B$3632=Analítico!$B112),-(Analítico!G$3&gt;='Gastos Gerais'!$D$4:$D$3632),-(Analítico!G$3&lt;='Gastos Gerais'!$E$4:$E$3632),-('Gastos Gerais'!$C$4:$C$3632))</f>
        <v>5470</v>
      </c>
      <c r="H112" s="134">
        <f>SUMPRODUCT(-('Gastos Gerais'!$B$4:$B$3632=Analítico!$B112),-(Analítico!H$3&gt;='Gastos Gerais'!$D$4:$D$3632),-(Analítico!H$3&lt;='Gastos Gerais'!$E$4:$E$3632),-('Gastos Gerais'!$C$4:$C$3632))</f>
        <v>5470</v>
      </c>
      <c r="I112" s="134">
        <f>SUMPRODUCT(-('Gastos Gerais'!$B$4:$B$3632=Analítico!$B112),-(Analítico!I$3&gt;='Gastos Gerais'!$D$4:$D$3632),-(Analítico!I$3&lt;='Gastos Gerais'!$E$4:$E$3632),-('Gastos Gerais'!$C$4:$C$3632))</f>
        <v>5470</v>
      </c>
      <c r="J112" s="134">
        <f>SUMPRODUCT(-('Gastos Gerais'!$B$4:$B$3632=Analítico!$B112),-(Analítico!J$3&gt;='Gastos Gerais'!$D$4:$D$3632),-(Analítico!J$3&lt;='Gastos Gerais'!$E$4:$E$3632),-('Gastos Gerais'!$C$4:$C$3632))</f>
        <v>5470</v>
      </c>
      <c r="K112" s="134">
        <f>SUMPRODUCT(-('Gastos Gerais'!$B$4:$B$3632=Analítico!$B112),-(Analítico!K$3&gt;='Gastos Gerais'!$D$4:$D$3632),-(Analítico!K$3&lt;='Gastos Gerais'!$E$4:$E$3632),-('Gastos Gerais'!$C$4:$C$3632))</f>
        <v>5470</v>
      </c>
      <c r="L112" s="134">
        <f>SUMPRODUCT(-('Gastos Gerais'!$B$4:$B$3632=Analítico!$B112),-(Analítico!L$3&gt;='Gastos Gerais'!$D$4:$D$3632),-(Analítico!L$3&lt;='Gastos Gerais'!$E$4:$E$3632),-('Gastos Gerais'!$C$4:$C$3632))</f>
        <v>5470</v>
      </c>
      <c r="M112" s="134">
        <f>SUMPRODUCT(-('Gastos Gerais'!$B$4:$B$3632=Analítico!$B112),-(Analítico!M$3&gt;='Gastos Gerais'!$D$4:$D$3632),-(Analítico!M$3&lt;='Gastos Gerais'!$E$4:$E$3632),-('Gastos Gerais'!$C$4:$C$3632))</f>
        <v>5470</v>
      </c>
      <c r="N112" s="134">
        <f>SUMPRODUCT(-('Gastos Gerais'!$B$4:$B$3632=Analítico!$B112),-(Analítico!N$3&gt;='Gastos Gerais'!$D$4:$D$3632),-(Analítico!N$3&lt;='Gastos Gerais'!$E$4:$E$3632),-('Gastos Gerais'!$C$4:$C$3632))</f>
        <v>5470</v>
      </c>
      <c r="O112" s="134">
        <f>SUMPRODUCT(-('Gastos Gerais'!$B$4:$B$3632=Analítico!$B112),-(Analítico!O$3&gt;='Gastos Gerais'!$D$4:$D$3632),-(Analítico!O$3&lt;='Gastos Gerais'!$E$4:$E$3632),-('Gastos Gerais'!$C$4:$C$3632))</f>
        <v>5670</v>
      </c>
      <c r="P112" s="134">
        <f>SUMPRODUCT(-('Gastos Gerais'!$B$4:$B$3632=Analítico!$B112),-(Analítico!P$3&gt;='Gastos Gerais'!$D$4:$D$3632),-(Analítico!P$3&lt;='Gastos Gerais'!$E$4:$E$3632),-('Gastos Gerais'!$C$4:$C$3632))</f>
        <v>3970</v>
      </c>
      <c r="Q112" s="134">
        <f>SUMPRODUCT(-('Gastos Gerais'!$B$4:$B$3632=Analítico!$B112),-(Analítico!Q$3&gt;='Gastos Gerais'!$D$4:$D$3632),-(Analítico!Q$3&lt;='Gastos Gerais'!$E$4:$E$3632),-('Gastos Gerais'!$C$4:$C$3632))</f>
        <v>4220</v>
      </c>
      <c r="R112" s="134">
        <f>SUMPRODUCT(-('Gastos Gerais'!$B$4:$B$3632=Analítico!$B112),-(Analítico!R$3&gt;='Gastos Gerais'!$D$4:$D$3632),-(Analítico!R$3&lt;='Gastos Gerais'!$E$4:$E$3632),-('Gastos Gerais'!$C$4:$C$3632))</f>
        <v>4220</v>
      </c>
      <c r="S112" s="134">
        <f>SUMPRODUCT(-('Gastos Gerais'!$B$4:$B$3632=Analítico!$B112),-(Analítico!S$3&gt;='Gastos Gerais'!$D$4:$D$3632),-(Analítico!S$3&lt;='Gastos Gerais'!$E$4:$E$3632),-('Gastos Gerais'!$C$4:$C$3632))</f>
        <v>4220</v>
      </c>
      <c r="T112" s="134">
        <f>SUMPRODUCT(-('Gastos Gerais'!$B$4:$B$3632=Analítico!$B112),-(Analítico!T$3&gt;='Gastos Gerais'!$D$4:$D$3632),-(Analítico!T$3&lt;='Gastos Gerais'!$E$4:$E$3632),-('Gastos Gerais'!$C$4:$C$3632))</f>
        <v>4220</v>
      </c>
      <c r="U112" s="134">
        <f>SUMPRODUCT(-('Gastos Gerais'!$B$4:$B$3632=Analítico!$B112),-(Analítico!U$3&gt;='Gastos Gerais'!$D$4:$D$3632),-(Analítico!U$3&lt;='Gastos Gerais'!$E$4:$E$3632),-('Gastos Gerais'!$C$4:$C$3632))</f>
        <v>4220</v>
      </c>
      <c r="V112" s="134">
        <f>SUMPRODUCT(-('Gastos Gerais'!$B$4:$B$3632=Analítico!$B112),-(Analítico!V$3&gt;='Gastos Gerais'!$D$4:$D$3632),-(Analítico!V$3&lt;='Gastos Gerais'!$E$4:$E$3632),-('Gastos Gerais'!$C$4:$C$3632))</f>
        <v>4020</v>
      </c>
      <c r="W112" s="134">
        <f>SUMPRODUCT(-('Gastos Gerais'!$B$4:$B$3632=Analítico!$B112),-(Analítico!W$3&gt;='Gastos Gerais'!$D$4:$D$3632),-(Analítico!W$3&lt;='Gastos Gerais'!$E$4:$E$3632),-('Gastos Gerais'!$C$4:$C$3632))</f>
        <v>4020</v>
      </c>
      <c r="X112" s="134">
        <f>SUMPRODUCT(-('Gastos Gerais'!$B$4:$B$3632=Analítico!$B112),-(Analítico!X$3&gt;='Gastos Gerais'!$D$4:$D$3632),-(Analítico!X$3&lt;='Gastos Gerais'!$E$4:$E$3632),-('Gastos Gerais'!$C$4:$C$3632))</f>
        <v>4020</v>
      </c>
      <c r="Y112" s="134">
        <f>SUMPRODUCT(-('Gastos Gerais'!$B$4:$B$3632=Analítico!$B112),-(Analítico!Y$3&gt;='Gastos Gerais'!$D$4:$D$3632),-(Analítico!Y$3&lt;='Gastos Gerais'!$E$4:$E$3632),-('Gastos Gerais'!$C$4:$C$3632))</f>
        <v>4020</v>
      </c>
      <c r="Z112" s="134">
        <f>SUMPRODUCT(-('Gastos Gerais'!$B$4:$B$3632=Analítico!$B112),-(Analítico!Z$3&gt;='Gastos Gerais'!$D$4:$D$3632),-(Analítico!Z$3&lt;='Gastos Gerais'!$E$4:$E$3632),-('Gastos Gerais'!$C$4:$C$3632))</f>
        <v>4020</v>
      </c>
      <c r="AA112" s="134">
        <f>SUMPRODUCT(-('Gastos Gerais'!$B$4:$B$3632=Analítico!$B112),-(Analítico!AA$3&gt;='Gastos Gerais'!$D$4:$D$3632),-(Analítico!AA$3&lt;='Gastos Gerais'!$E$4:$E$3632),-('Gastos Gerais'!$C$4:$C$3632))</f>
        <v>4020</v>
      </c>
      <c r="AB112" s="134">
        <f>SUMPRODUCT(-('Gastos Gerais'!$B$4:$B$3632=Analítico!$B112),-(Analítico!AB$3&gt;='Gastos Gerais'!$D$4:$D$3632),-(Analítico!AB$3&lt;='Gastos Gerais'!$E$4:$E$3632),-('Gastos Gerais'!$C$4:$C$3632))</f>
        <v>4220</v>
      </c>
      <c r="AC112" s="134">
        <f>SUMPRODUCT(-('Gastos Gerais'!$B$4:$B$3632=Analítico!$B112),-(Analítico!AC$3&gt;='Gastos Gerais'!$D$4:$D$3632),-(Analítico!AC$3&lt;='Gastos Gerais'!$E$4:$E$3632),-('Gastos Gerais'!$C$4:$C$3632))</f>
        <v>4220</v>
      </c>
      <c r="AD112" s="134">
        <f>SUMPRODUCT(-('Gastos Gerais'!$B$4:$B$3632=Analítico!$B112),-(Analítico!AD$3&gt;='Gastos Gerais'!$D$4:$D$3632),-(Analítico!AD$3&lt;='Gastos Gerais'!$E$4:$E$3632),-('Gastos Gerais'!$C$4:$C$3632))</f>
        <v>4220</v>
      </c>
      <c r="AE112" s="134">
        <f>SUMPRODUCT(-('Gastos Gerais'!$B$4:$B$3632=Analítico!$B112),-(Analítico!AE$3&gt;='Gastos Gerais'!$D$4:$D$3632),-(Analítico!AE$3&lt;='Gastos Gerais'!$E$4:$E$3632),-('Gastos Gerais'!$C$4:$C$3632))</f>
        <v>4220</v>
      </c>
      <c r="AF112" s="134">
        <f>SUMPRODUCT(-('Gastos Gerais'!$B$4:$B$3632=Analítico!$B112),-(Analítico!AF$3&gt;='Gastos Gerais'!$D$4:$D$3632),-(Analítico!AF$3&lt;='Gastos Gerais'!$E$4:$E$3632),-('Gastos Gerais'!$C$4:$C$3632))</f>
        <v>4220</v>
      </c>
      <c r="AG112" s="134">
        <f>SUMPRODUCT(-('Gastos Gerais'!$B$4:$B$3632=Analítico!$B112),-(Analítico!AG$3&gt;='Gastos Gerais'!$D$4:$D$3632),-(Analítico!AG$3&lt;='Gastos Gerais'!$E$4:$E$3632),-('Gastos Gerais'!$C$4:$C$3632))</f>
        <v>4220</v>
      </c>
      <c r="AH112" s="134">
        <f>SUMPRODUCT(-('Gastos Gerais'!$B$4:$B$3632=Analítico!$B112),-(Analítico!AH$3&gt;='Gastos Gerais'!$D$4:$D$3632),-(Analítico!AH$3&lt;='Gastos Gerais'!$E$4:$E$3632),-('Gastos Gerais'!$C$4:$C$3632))</f>
        <v>4020</v>
      </c>
      <c r="AI112" s="134">
        <f>SUMPRODUCT(-('Gastos Gerais'!$B$4:$B$3632=Analítico!$B112),-(Analítico!AI$3&gt;='Gastos Gerais'!$D$4:$D$3632),-(Analítico!AI$3&lt;='Gastos Gerais'!$E$4:$E$3632),-('Gastos Gerais'!$C$4:$C$3632))</f>
        <v>4020</v>
      </c>
      <c r="AJ112" s="134">
        <f>SUMPRODUCT(-('Gastos Gerais'!$B$4:$B$3632=Analítico!$B112),-(Analítico!AJ$3&gt;='Gastos Gerais'!$D$4:$D$3632),-(Analítico!AJ$3&lt;='Gastos Gerais'!$E$4:$E$3632),-('Gastos Gerais'!$C$4:$C$3632))</f>
        <v>4020</v>
      </c>
      <c r="AK112" s="134">
        <f>SUMPRODUCT(-('Gastos Gerais'!$B$4:$B$3632=Analítico!$B112),-(Analítico!AK$3&gt;='Gastos Gerais'!$D$4:$D$3632),-(Analítico!AK$3&lt;='Gastos Gerais'!$E$4:$E$3632),-('Gastos Gerais'!$C$4:$C$3632))</f>
        <v>4020</v>
      </c>
      <c r="AL112" s="134">
        <f>SUMPRODUCT(-('Gastos Gerais'!$B$4:$B$3632=Analítico!$B112),-(Analítico!AL$3&gt;='Gastos Gerais'!$D$4:$D$3632),-(Analítico!AL$3&lt;='Gastos Gerais'!$E$4:$E$3632),-('Gastos Gerais'!$C$4:$C$3632))</f>
        <v>4020</v>
      </c>
      <c r="AM112" s="134">
        <f>SUMPRODUCT(-('Gastos Gerais'!$B$4:$B$3632=Analítico!$B112),-(Analítico!AM$3&gt;='Gastos Gerais'!$D$4:$D$3632),-(Analítico!AM$3&lt;='Gastos Gerais'!$E$4:$E$3632),-('Gastos Gerais'!$C$4:$C$3632))</f>
        <v>4020</v>
      </c>
      <c r="AN112" s="134">
        <f>SUMPRODUCT(-('Gastos Gerais'!$B$4:$B$3632=Analítico!$B112),-(Analítico!AN$3&gt;='Gastos Gerais'!$D$4:$D$3632),-(Analítico!AN$3&lt;='Gastos Gerais'!$E$4:$E$3632),-('Gastos Gerais'!$C$4:$C$3632))</f>
        <v>4430</v>
      </c>
      <c r="AO112" s="134">
        <f>SUMPRODUCT(-('Gastos Gerais'!$B$4:$B$3632=Analítico!$B112),-(Analítico!AO$3&gt;='Gastos Gerais'!$D$4:$D$3632),-(Analítico!AO$3&lt;='Gastos Gerais'!$E$4:$E$3632),-('Gastos Gerais'!$C$4:$C$3632))</f>
        <v>4430</v>
      </c>
      <c r="AP112" s="134">
        <f>SUMPRODUCT(-('Gastos Gerais'!$B$4:$B$3632=Analítico!$B112),-(Analítico!AP$3&gt;='Gastos Gerais'!$D$4:$D$3632),-(Analítico!AP$3&lt;='Gastos Gerais'!$E$4:$E$3632),-('Gastos Gerais'!$C$4:$C$3632))</f>
        <v>4430</v>
      </c>
      <c r="AQ112" s="134">
        <f>SUMPRODUCT(-('Gastos Gerais'!$B$4:$B$3632=Analítico!$B112),-(Analítico!AQ$3&gt;='Gastos Gerais'!$D$4:$D$3632),-(Analítico!AQ$3&lt;='Gastos Gerais'!$E$4:$E$3632),-('Gastos Gerais'!$C$4:$C$3632))</f>
        <v>4430</v>
      </c>
      <c r="AR112" s="134">
        <f>SUMPRODUCT(-('Gastos Gerais'!$B$4:$B$3632=Analítico!$B112),-(Analítico!AR$3&gt;='Gastos Gerais'!$D$4:$D$3632),-(Analítico!AR$3&lt;='Gastos Gerais'!$E$4:$E$3632),-('Gastos Gerais'!$C$4:$C$3632))</f>
        <v>4430</v>
      </c>
      <c r="AS112" s="134">
        <f>SUMPRODUCT(-('Gastos Gerais'!$B$4:$B$3632=Analítico!$B112),-(Analítico!AS$3&gt;='Gastos Gerais'!$D$4:$D$3632),-(Analítico!AS$3&lt;='Gastos Gerais'!$E$4:$E$3632),-('Gastos Gerais'!$C$4:$C$3632))</f>
        <v>4430</v>
      </c>
      <c r="AT112" s="134">
        <f>SUMPRODUCT(-('Gastos Gerais'!$B$4:$B$3632=Analítico!$B112),-(Analítico!AT$3&gt;='Gastos Gerais'!$D$4:$D$3632),-(Analítico!AT$3&lt;='Gastos Gerais'!$E$4:$E$3632),-('Gastos Gerais'!$C$4:$C$3632))</f>
        <v>4230</v>
      </c>
      <c r="AU112" s="134">
        <f>SUMPRODUCT(-('Gastos Gerais'!$B$4:$B$3632=Analítico!$B112),-(Analítico!AU$3&gt;='Gastos Gerais'!$D$4:$D$3632),-(Analítico!AU$3&lt;='Gastos Gerais'!$E$4:$E$3632),-('Gastos Gerais'!$C$4:$C$3632))</f>
        <v>4230</v>
      </c>
      <c r="AV112" s="134">
        <f>SUMPRODUCT(-('Gastos Gerais'!$B$4:$B$3632=Analítico!$B112),-(Analítico!AV$3&gt;='Gastos Gerais'!$D$4:$D$3632),-(Analítico!AV$3&lt;='Gastos Gerais'!$E$4:$E$3632),-('Gastos Gerais'!$C$4:$C$3632))</f>
        <v>4230</v>
      </c>
      <c r="AW112" s="134">
        <f>SUMPRODUCT(-('Gastos Gerais'!$B$4:$B$3632=Analítico!$B112),-(Analítico!AW$3&gt;='Gastos Gerais'!$D$4:$D$3632),-(Analítico!AW$3&lt;='Gastos Gerais'!$E$4:$E$3632),-('Gastos Gerais'!$C$4:$C$3632))</f>
        <v>4230</v>
      </c>
      <c r="AX112" s="134">
        <f>SUMPRODUCT(-('Gastos Gerais'!$B$4:$B$3632=Analítico!$B112),-(Analítico!AX$3&gt;='Gastos Gerais'!$D$4:$D$3632),-(Analítico!AX$3&lt;='Gastos Gerais'!$E$4:$E$3632),-('Gastos Gerais'!$C$4:$C$3632))</f>
        <v>4230</v>
      </c>
      <c r="AY112" s="134">
        <f>SUMPRODUCT(-('Gastos Gerais'!$B$4:$B$3632=Analítico!$B112),-(Analítico!AY$3&gt;='Gastos Gerais'!$D$4:$D$3632),-(Analítico!AY$3&lt;='Gastos Gerais'!$E$4:$E$3632),-('Gastos Gerais'!$C$4:$C$3632))</f>
        <v>4230</v>
      </c>
      <c r="AZ112" s="134">
        <f>SUMPRODUCT(-('Gastos Gerais'!$B$4:$B$3632=Analítico!$B112),-(Analítico!AZ$3&gt;='Gastos Gerais'!$D$4:$D$3632),-(Analítico!AZ$3&lt;='Gastos Gerais'!$E$4:$E$3632),-('Gastos Gerais'!$C$4:$C$3632))</f>
        <v>4230</v>
      </c>
      <c r="BA112" s="134">
        <f>SUMPRODUCT(-('Gastos Gerais'!$B$4:$B$3632=Analítico!$B112),-(Analítico!BA$3&gt;='Gastos Gerais'!$D$4:$D$3632),-(Analítico!BA$3&lt;='Gastos Gerais'!$E$4:$E$3632),-('Gastos Gerais'!$C$4:$C$3632))</f>
        <v>4230</v>
      </c>
      <c r="BB112" s="134">
        <f>SUMPRODUCT(-('Gastos Gerais'!$B$4:$B$3632=Analítico!$B112),-(Analítico!BB$3&gt;='Gastos Gerais'!$D$4:$D$3632),-(Analítico!BB$3&lt;='Gastos Gerais'!$E$4:$E$3632),-('Gastos Gerais'!$C$4:$C$3632))</f>
        <v>4230</v>
      </c>
      <c r="BC112" s="134">
        <f>SUMPRODUCT(-('Gastos Gerais'!$B$4:$B$3632=Analítico!$B112),-(Analítico!BC$3&gt;='Gastos Gerais'!$D$4:$D$3632),-(Analítico!BC$3&lt;='Gastos Gerais'!$E$4:$E$3632),-('Gastos Gerais'!$C$4:$C$3632))</f>
        <v>4230</v>
      </c>
      <c r="BD112" s="134">
        <f>SUMPRODUCT(-('Gastos Gerais'!$B$4:$B$3632=Analítico!$B112),-(Analítico!BD$3&gt;='Gastos Gerais'!$D$4:$D$3632),-(Analítico!BD$3&lt;='Gastos Gerais'!$E$4:$E$3632),-('Gastos Gerais'!$C$4:$C$3632))</f>
        <v>4230</v>
      </c>
      <c r="BE112" s="134">
        <f>SUMPRODUCT(-('Gastos Gerais'!$B$4:$B$3632=Analítico!$B112),-(Analítico!BE$3&gt;='Gastos Gerais'!$D$4:$D$3632),-(Analítico!BE$3&lt;='Gastos Gerais'!$E$4:$E$3632),-('Gastos Gerais'!$C$4:$C$3632))</f>
        <v>4230</v>
      </c>
      <c r="BF112" s="134">
        <f>SUMPRODUCT(-('Gastos Gerais'!$B$4:$B$3632=Analítico!$B112),-(Analítico!BF$3&gt;='Gastos Gerais'!$D$4:$D$3632),-(Analítico!BF$3&lt;='Gastos Gerais'!$E$4:$E$3632),-('Gastos Gerais'!$C$4:$C$3632))</f>
        <v>4020</v>
      </c>
      <c r="BG112" s="134">
        <f>SUMPRODUCT(-('Gastos Gerais'!$B$4:$B$3632=Analítico!$B112),-(Analítico!BG$3&gt;='Gastos Gerais'!$D$4:$D$3632),-(Analítico!BG$3&lt;='Gastos Gerais'!$E$4:$E$3632),-('Gastos Gerais'!$C$4:$C$3632))</f>
        <v>4020</v>
      </c>
      <c r="BH112" s="134">
        <f>SUMPRODUCT(-('Gastos Gerais'!$B$4:$B$3632=Analítico!$B112),-(Analítico!BH$3&gt;='Gastos Gerais'!$D$4:$D$3632),-(Analítico!BH$3&lt;='Gastos Gerais'!$E$4:$E$3632),-('Gastos Gerais'!$C$4:$C$3632))</f>
        <v>4020</v>
      </c>
      <c r="BI112" s="134">
        <f>SUMPRODUCT(-('Gastos Gerais'!$B$4:$B$3632=Analítico!$B112),-(Analítico!BI$3&gt;='Gastos Gerais'!$D$4:$D$3632),-(Analítico!BI$3&lt;='Gastos Gerais'!$E$4:$E$3632),-('Gastos Gerais'!$C$4:$C$3632))</f>
        <v>4020</v>
      </c>
      <c r="BJ112" s="134">
        <f>SUMPRODUCT(-('Gastos Gerais'!$B$4:$B$3632=Analítico!$B112),-(Analítico!BJ$3&gt;='Gastos Gerais'!$D$4:$D$3632),-(Analítico!BJ$3&lt;='Gastos Gerais'!$E$4:$E$3632),-('Gastos Gerais'!$C$4:$C$3632))</f>
        <v>4020</v>
      </c>
      <c r="BK112" s="189">
        <f t="shared" si="39"/>
        <v>262826</v>
      </c>
      <c r="BL112" s="136">
        <f t="shared" ca="1" si="40"/>
        <v>7.8553561444296945E-4</v>
      </c>
      <c r="BN112" s="134">
        <f>SUMPRODUCT(-('Gastos Gerais'!$B$4:$B$3632=Analítico!$B112),-(Analítico!BN$3&gt;='Gastos Gerais'!$D$4:$D$3632),-(Analítico!BN$3&lt;='Gastos Gerais'!$E$4:$E$3632),-('Gastos Gerais'!$C$4:$C$3632))</f>
        <v>4720</v>
      </c>
    </row>
    <row r="113" spans="1:66" s="160" customFormat="1" ht="23.25" customHeight="1">
      <c r="A113" s="229" t="s">
        <v>303</v>
      </c>
      <c r="B113" s="232" t="s">
        <v>304</v>
      </c>
      <c r="C113" s="188">
        <f t="shared" si="36"/>
        <v>9144</v>
      </c>
      <c r="D113" s="134">
        <f>SUMPRODUCT(-('Gastos Gerais'!$B$4:$B$3632=Analítico!$B113),-(Analítico!D$3&gt;='Gastos Gerais'!$D$4:$D$3632),-(Analítico!D$3&lt;='Gastos Gerais'!$E$4:$E$3632),-('Gastos Gerais'!$C$4:$C$3632))</f>
        <v>32280</v>
      </c>
      <c r="E113" s="134">
        <f>SUMPRODUCT(-('Gastos Gerais'!$B$4:$B$3632=Analítico!$B113),-(Analítico!E$3&gt;='Gastos Gerais'!$D$4:$D$3632),-(Analítico!E$3&lt;='Gastos Gerais'!$E$4:$E$3632),-('Gastos Gerais'!$C$4:$C$3632))</f>
        <v>34080</v>
      </c>
      <c r="F113" s="134">
        <f>SUMPRODUCT(-('Gastos Gerais'!$B$4:$B$3632=Analítico!$B113),-(Analítico!F$3&gt;='Gastos Gerais'!$D$4:$D$3632),-(Analítico!F$3&lt;='Gastos Gerais'!$E$4:$E$3632),-('Gastos Gerais'!$C$4:$C$3632))</f>
        <v>34080</v>
      </c>
      <c r="G113" s="134">
        <f>SUMPRODUCT(-('Gastos Gerais'!$B$4:$B$3632=Analítico!$B113),-(Analítico!G$3&gt;='Gastos Gerais'!$D$4:$D$3632),-(Analítico!G$3&lt;='Gastos Gerais'!$E$4:$E$3632),-('Gastos Gerais'!$C$4:$C$3632))</f>
        <v>34080</v>
      </c>
      <c r="H113" s="134">
        <f>SUMPRODUCT(-('Gastos Gerais'!$B$4:$B$3632=Analítico!$B113),-(Analítico!H$3&gt;='Gastos Gerais'!$D$4:$D$3632),-(Analítico!H$3&lt;='Gastos Gerais'!$E$4:$E$3632),-('Gastos Gerais'!$C$4:$C$3632))</f>
        <v>34080</v>
      </c>
      <c r="I113" s="134">
        <f>SUMPRODUCT(-('Gastos Gerais'!$B$4:$B$3632=Analítico!$B113),-(Analítico!I$3&gt;='Gastos Gerais'!$D$4:$D$3632),-(Analítico!I$3&lt;='Gastos Gerais'!$E$4:$E$3632),-('Gastos Gerais'!$C$4:$C$3632))</f>
        <v>34080</v>
      </c>
      <c r="J113" s="134">
        <f>SUMPRODUCT(-('Gastos Gerais'!$B$4:$B$3632=Analítico!$B113),-(Analítico!J$3&gt;='Gastos Gerais'!$D$4:$D$3632),-(Analítico!J$3&lt;='Gastos Gerais'!$E$4:$E$3632),-('Gastos Gerais'!$C$4:$C$3632))</f>
        <v>34080</v>
      </c>
      <c r="K113" s="134">
        <f>SUMPRODUCT(-('Gastos Gerais'!$B$4:$B$3632=Analítico!$B113),-(Analítico!K$3&gt;='Gastos Gerais'!$D$4:$D$3632),-(Analítico!K$3&lt;='Gastos Gerais'!$E$4:$E$3632),-('Gastos Gerais'!$C$4:$C$3632))</f>
        <v>34080</v>
      </c>
      <c r="L113" s="134">
        <f>SUMPRODUCT(-('Gastos Gerais'!$B$4:$B$3632=Analítico!$B113),-(Analítico!L$3&gt;='Gastos Gerais'!$D$4:$D$3632),-(Analítico!L$3&lt;='Gastos Gerais'!$E$4:$E$3632),-('Gastos Gerais'!$C$4:$C$3632))</f>
        <v>34080</v>
      </c>
      <c r="M113" s="134">
        <f>SUMPRODUCT(-('Gastos Gerais'!$B$4:$B$3632=Analítico!$B113),-(Analítico!M$3&gt;='Gastos Gerais'!$D$4:$D$3632),-(Analítico!M$3&lt;='Gastos Gerais'!$E$4:$E$3632),-('Gastos Gerais'!$C$4:$C$3632))</f>
        <v>34080</v>
      </c>
      <c r="N113" s="134">
        <f>SUMPRODUCT(-('Gastos Gerais'!$B$4:$B$3632=Analítico!$B113),-(Analítico!N$3&gt;='Gastos Gerais'!$D$4:$D$3632),-(Analítico!N$3&lt;='Gastos Gerais'!$E$4:$E$3632),-('Gastos Gerais'!$C$4:$C$3632))</f>
        <v>36083.230000000003</v>
      </c>
      <c r="O113" s="134">
        <f>SUMPRODUCT(-('Gastos Gerais'!$B$4:$B$3632=Analítico!$B113),-(Analítico!O$3&gt;='Gastos Gerais'!$D$4:$D$3632),-(Analítico!O$3&lt;='Gastos Gerais'!$E$4:$E$3632),-('Gastos Gerais'!$C$4:$C$3632))</f>
        <v>37988.35</v>
      </c>
      <c r="P113" s="134">
        <f>SUMPRODUCT(-('Gastos Gerais'!$B$4:$B$3632=Analítico!$B113),-(Analítico!P$3&gt;='Gastos Gerais'!$D$4:$D$3632),-(Analítico!P$3&lt;='Gastos Gerais'!$E$4:$E$3632),-('Gastos Gerais'!$C$4:$C$3632))</f>
        <v>39880.509999999995</v>
      </c>
      <c r="Q113" s="134">
        <f>SUMPRODUCT(-('Gastos Gerais'!$B$4:$B$3632=Analítico!$B113),-(Analítico!Q$3&gt;='Gastos Gerais'!$D$4:$D$3632),-(Analítico!Q$3&lt;='Gastos Gerais'!$E$4:$E$3632),-('Gastos Gerais'!$C$4:$C$3632))</f>
        <v>39880.509999999995</v>
      </c>
      <c r="R113" s="134">
        <f>SUMPRODUCT(-('Gastos Gerais'!$B$4:$B$3632=Analítico!$B113),-(Analítico!R$3&gt;='Gastos Gerais'!$D$4:$D$3632),-(Analítico!R$3&lt;='Gastos Gerais'!$E$4:$E$3632),-('Gastos Gerais'!$C$4:$C$3632))</f>
        <v>39880.509999999995</v>
      </c>
      <c r="S113" s="134">
        <f>SUMPRODUCT(-('Gastos Gerais'!$B$4:$B$3632=Analítico!$B113),-(Analítico!S$3&gt;='Gastos Gerais'!$D$4:$D$3632),-(Analítico!S$3&lt;='Gastos Gerais'!$E$4:$E$3632),-('Gastos Gerais'!$C$4:$C$3632))</f>
        <v>39880.509999999995</v>
      </c>
      <c r="T113" s="134">
        <f>SUMPRODUCT(-('Gastos Gerais'!$B$4:$B$3632=Analítico!$B113),-(Analítico!T$3&gt;='Gastos Gerais'!$D$4:$D$3632),-(Analítico!T$3&lt;='Gastos Gerais'!$E$4:$E$3632),-('Gastos Gerais'!$C$4:$C$3632))</f>
        <v>39880.509999999995</v>
      </c>
      <c r="U113" s="134">
        <f>SUMPRODUCT(-('Gastos Gerais'!$B$4:$B$3632=Analítico!$B113),-(Analítico!U$3&gt;='Gastos Gerais'!$D$4:$D$3632),-(Analítico!U$3&lt;='Gastos Gerais'!$E$4:$E$3632),-('Gastos Gerais'!$C$4:$C$3632))</f>
        <v>39880.509999999995</v>
      </c>
      <c r="V113" s="134">
        <f>SUMPRODUCT(-('Gastos Gerais'!$B$4:$B$3632=Analítico!$B113),-(Analítico!V$3&gt;='Gastos Gerais'!$D$4:$D$3632),-(Analítico!V$3&lt;='Gastos Gerais'!$E$4:$E$3632),-('Gastos Gerais'!$C$4:$C$3632))</f>
        <v>39880.509999999995</v>
      </c>
      <c r="W113" s="134">
        <f>SUMPRODUCT(-('Gastos Gerais'!$B$4:$B$3632=Analítico!$B113),-(Analítico!W$3&gt;='Gastos Gerais'!$D$4:$D$3632),-(Analítico!W$3&lt;='Gastos Gerais'!$E$4:$E$3632),-('Gastos Gerais'!$C$4:$C$3632))</f>
        <v>39880.509999999995</v>
      </c>
      <c r="X113" s="134">
        <f>SUMPRODUCT(-('Gastos Gerais'!$B$4:$B$3632=Analítico!$B113),-(Analítico!X$3&gt;='Gastos Gerais'!$D$4:$D$3632),-(Analítico!X$3&lt;='Gastos Gerais'!$E$4:$E$3632),-('Gastos Gerais'!$C$4:$C$3632))</f>
        <v>39880.509999999995</v>
      </c>
      <c r="Y113" s="134">
        <f>SUMPRODUCT(-('Gastos Gerais'!$B$4:$B$3632=Analítico!$B113),-(Analítico!Y$3&gt;='Gastos Gerais'!$D$4:$D$3632),-(Analítico!Y$3&lt;='Gastos Gerais'!$E$4:$E$3632),-('Gastos Gerais'!$C$4:$C$3632))</f>
        <v>39880.509999999995</v>
      </c>
      <c r="Z113" s="134">
        <f>SUMPRODUCT(-('Gastos Gerais'!$B$4:$B$3632=Analítico!$B113),-(Analítico!Z$3&gt;='Gastos Gerais'!$D$4:$D$3632),-(Analítico!Z$3&lt;='Gastos Gerais'!$E$4:$E$3632),-('Gastos Gerais'!$C$4:$C$3632))</f>
        <v>40095.609999999993</v>
      </c>
      <c r="AA113" s="134">
        <f>SUMPRODUCT(-('Gastos Gerais'!$B$4:$B$3632=Analítico!$B113),-(Analítico!AA$3&gt;='Gastos Gerais'!$D$4:$D$3632),-(Analítico!AA$3&lt;='Gastos Gerais'!$E$4:$E$3632),-('Gastos Gerais'!$C$4:$C$3632))</f>
        <v>40095.609999999993</v>
      </c>
      <c r="AB113" s="134">
        <f>SUMPRODUCT(-('Gastos Gerais'!$B$4:$B$3632=Analítico!$B113),-(Analítico!AB$3&gt;='Gastos Gerais'!$D$4:$D$3632),-(Analítico!AB$3&lt;='Gastos Gerais'!$E$4:$E$3632),-('Gastos Gerais'!$C$4:$C$3632))</f>
        <v>42209.359999999993</v>
      </c>
      <c r="AC113" s="134">
        <f>SUMPRODUCT(-('Gastos Gerais'!$B$4:$B$3632=Analítico!$B113),-(Analítico!AC$3&gt;='Gastos Gerais'!$D$4:$D$3632),-(Analítico!AC$3&lt;='Gastos Gerais'!$E$4:$E$3632),-('Gastos Gerais'!$C$4:$C$3632))</f>
        <v>42209.359999999993</v>
      </c>
      <c r="AD113" s="134">
        <f>SUMPRODUCT(-('Gastos Gerais'!$B$4:$B$3632=Analítico!$B113),-(Analítico!AD$3&gt;='Gastos Gerais'!$D$4:$D$3632),-(Analítico!AD$3&lt;='Gastos Gerais'!$E$4:$E$3632),-('Gastos Gerais'!$C$4:$C$3632))</f>
        <v>42209.359999999993</v>
      </c>
      <c r="AE113" s="134">
        <f>SUMPRODUCT(-('Gastos Gerais'!$B$4:$B$3632=Analítico!$B113),-(Analítico!AE$3&gt;='Gastos Gerais'!$D$4:$D$3632),-(Analítico!AE$3&lt;='Gastos Gerais'!$E$4:$E$3632),-('Gastos Gerais'!$C$4:$C$3632))</f>
        <v>42209.359999999993</v>
      </c>
      <c r="AF113" s="134">
        <f>SUMPRODUCT(-('Gastos Gerais'!$B$4:$B$3632=Analítico!$B113),-(Analítico!AF$3&gt;='Gastos Gerais'!$D$4:$D$3632),-(Analítico!AF$3&lt;='Gastos Gerais'!$E$4:$E$3632),-('Gastos Gerais'!$C$4:$C$3632))</f>
        <v>42209.359999999993</v>
      </c>
      <c r="AG113" s="134">
        <f>SUMPRODUCT(-('Gastos Gerais'!$B$4:$B$3632=Analítico!$B113),-(Analítico!AG$3&gt;='Gastos Gerais'!$D$4:$D$3632),-(Analítico!AG$3&lt;='Gastos Gerais'!$E$4:$E$3632),-('Gastos Gerais'!$C$4:$C$3632))</f>
        <v>42209.359999999993</v>
      </c>
      <c r="AH113" s="134">
        <f>SUMPRODUCT(-('Gastos Gerais'!$B$4:$B$3632=Analítico!$B113),-(Analítico!AH$3&gt;='Gastos Gerais'!$D$4:$D$3632),-(Analítico!AH$3&lt;='Gastos Gerais'!$E$4:$E$3632),-('Gastos Gerais'!$C$4:$C$3632))</f>
        <v>42209.359999999993</v>
      </c>
      <c r="AI113" s="134">
        <f>SUMPRODUCT(-('Gastos Gerais'!$B$4:$B$3632=Analítico!$B113),-(Analítico!AI$3&gt;='Gastos Gerais'!$D$4:$D$3632),-(Analítico!AI$3&lt;='Gastos Gerais'!$E$4:$E$3632),-('Gastos Gerais'!$C$4:$C$3632))</f>
        <v>42209.359999999993</v>
      </c>
      <c r="AJ113" s="134">
        <f>SUMPRODUCT(-('Gastos Gerais'!$B$4:$B$3632=Analítico!$B113),-(Analítico!AJ$3&gt;='Gastos Gerais'!$D$4:$D$3632),-(Analítico!AJ$3&lt;='Gastos Gerais'!$E$4:$E$3632),-('Gastos Gerais'!$C$4:$C$3632))</f>
        <v>42209.359999999993</v>
      </c>
      <c r="AK113" s="134">
        <f>SUMPRODUCT(-('Gastos Gerais'!$B$4:$B$3632=Analítico!$B113),-(Analítico!AK$3&gt;='Gastos Gerais'!$D$4:$D$3632),-(Analítico!AK$3&lt;='Gastos Gerais'!$E$4:$E$3632),-('Gastos Gerais'!$C$4:$C$3632))</f>
        <v>42209.359999999993</v>
      </c>
      <c r="AL113" s="134">
        <f>SUMPRODUCT(-('Gastos Gerais'!$B$4:$B$3632=Analítico!$B113),-(Analítico!AL$3&gt;='Gastos Gerais'!$D$4:$D$3632),-(Analítico!AL$3&lt;='Gastos Gerais'!$E$4:$E$3632),-('Gastos Gerais'!$C$4:$C$3632))</f>
        <v>42437.01999999999</v>
      </c>
      <c r="AM113" s="134">
        <f>SUMPRODUCT(-('Gastos Gerais'!$B$4:$B$3632=Analítico!$B113),-(Analítico!AM$3&gt;='Gastos Gerais'!$D$4:$D$3632),-(Analítico!AM$3&lt;='Gastos Gerais'!$E$4:$E$3632),-('Gastos Gerais'!$C$4:$C$3632))</f>
        <v>42437.01999999999</v>
      </c>
      <c r="AN113" s="134">
        <f>SUMPRODUCT(-('Gastos Gerais'!$B$4:$B$3632=Analítico!$B113),-(Analítico!AN$3&gt;='Gastos Gerais'!$D$4:$D$3632),-(Analítico!AN$3&lt;='Gastos Gerais'!$E$4:$E$3632),-('Gastos Gerais'!$C$4:$C$3632))</f>
        <v>46933.22</v>
      </c>
      <c r="AO113" s="134">
        <f>SUMPRODUCT(-('Gastos Gerais'!$B$4:$B$3632=Analítico!$B113),-(Analítico!AO$3&gt;='Gastos Gerais'!$D$4:$D$3632),-(Analítico!AO$3&lt;='Gastos Gerais'!$E$4:$E$3632),-('Gastos Gerais'!$C$4:$C$3632))</f>
        <v>46933.22</v>
      </c>
      <c r="AP113" s="134">
        <f>SUMPRODUCT(-('Gastos Gerais'!$B$4:$B$3632=Analítico!$B113),-(Analítico!AP$3&gt;='Gastos Gerais'!$D$4:$D$3632),-(Analítico!AP$3&lt;='Gastos Gerais'!$E$4:$E$3632),-('Gastos Gerais'!$C$4:$C$3632))</f>
        <v>46933.22</v>
      </c>
      <c r="AQ113" s="134">
        <f>SUMPRODUCT(-('Gastos Gerais'!$B$4:$B$3632=Analítico!$B113),-(Analítico!AQ$3&gt;='Gastos Gerais'!$D$4:$D$3632),-(Analítico!AQ$3&lt;='Gastos Gerais'!$E$4:$E$3632),-('Gastos Gerais'!$C$4:$C$3632))</f>
        <v>46933.22</v>
      </c>
      <c r="AR113" s="134">
        <f>SUMPRODUCT(-('Gastos Gerais'!$B$4:$B$3632=Analítico!$B113),-(Analítico!AR$3&gt;='Gastos Gerais'!$D$4:$D$3632),-(Analítico!AR$3&lt;='Gastos Gerais'!$E$4:$E$3632),-('Gastos Gerais'!$C$4:$C$3632))</f>
        <v>46933.22</v>
      </c>
      <c r="AS113" s="134">
        <f>SUMPRODUCT(-('Gastos Gerais'!$B$4:$B$3632=Analítico!$B113),-(Analítico!AS$3&gt;='Gastos Gerais'!$D$4:$D$3632),-(Analítico!AS$3&lt;='Gastos Gerais'!$E$4:$E$3632),-('Gastos Gerais'!$C$4:$C$3632))</f>
        <v>46933.22</v>
      </c>
      <c r="AT113" s="134">
        <f>SUMPRODUCT(-('Gastos Gerais'!$B$4:$B$3632=Analítico!$B113),-(Analítico!AT$3&gt;='Gastos Gerais'!$D$4:$D$3632),-(Analítico!AT$3&lt;='Gastos Gerais'!$E$4:$E$3632),-('Gastos Gerais'!$C$4:$C$3632))</f>
        <v>46933.22</v>
      </c>
      <c r="AU113" s="134">
        <f>SUMPRODUCT(-('Gastos Gerais'!$B$4:$B$3632=Analítico!$B113),-(Analítico!AU$3&gt;='Gastos Gerais'!$D$4:$D$3632),-(Analítico!AU$3&lt;='Gastos Gerais'!$E$4:$E$3632),-('Gastos Gerais'!$C$4:$C$3632))</f>
        <v>46933.22</v>
      </c>
      <c r="AV113" s="134">
        <f>SUMPRODUCT(-('Gastos Gerais'!$B$4:$B$3632=Analítico!$B113),-(Analítico!AV$3&gt;='Gastos Gerais'!$D$4:$D$3632),-(Analítico!AV$3&lt;='Gastos Gerais'!$E$4:$E$3632),-('Gastos Gerais'!$C$4:$C$3632))</f>
        <v>46933.22</v>
      </c>
      <c r="AW113" s="134">
        <f>SUMPRODUCT(-('Gastos Gerais'!$B$4:$B$3632=Analítico!$B113),-(Analítico!AW$3&gt;='Gastos Gerais'!$D$4:$D$3632),-(Analítico!AW$3&lt;='Gastos Gerais'!$E$4:$E$3632),-('Gastos Gerais'!$C$4:$C$3632))</f>
        <v>46933.22</v>
      </c>
      <c r="AX113" s="134">
        <f>SUMPRODUCT(-('Gastos Gerais'!$B$4:$B$3632=Analítico!$B113),-(Analítico!AX$3&gt;='Gastos Gerais'!$D$4:$D$3632),-(Analítico!AX$3&lt;='Gastos Gerais'!$E$4:$E$3632),-('Gastos Gerais'!$C$4:$C$3632))</f>
        <v>47174.18</v>
      </c>
      <c r="AY113" s="134">
        <f>SUMPRODUCT(-('Gastos Gerais'!$B$4:$B$3632=Analítico!$B113),-(Analítico!AY$3&gt;='Gastos Gerais'!$D$4:$D$3632),-(Analítico!AY$3&lt;='Gastos Gerais'!$E$4:$E$3632),-('Gastos Gerais'!$C$4:$C$3632))</f>
        <v>47174.18</v>
      </c>
      <c r="AZ113" s="134">
        <f>SUMPRODUCT(-('Gastos Gerais'!$B$4:$B$3632=Analítico!$B113),-(Analítico!AZ$3&gt;='Gastos Gerais'!$D$4:$D$3632),-(Analítico!AZ$3&lt;='Gastos Gerais'!$E$4:$E$3632),-('Gastos Gerais'!$C$4:$C$3632))</f>
        <v>47283.390000000021</v>
      </c>
      <c r="BA113" s="134">
        <f>SUMPRODUCT(-('Gastos Gerais'!$B$4:$B$3632=Analítico!$B113),-(Analítico!BA$3&gt;='Gastos Gerais'!$D$4:$D$3632),-(Analítico!BA$3&lt;='Gastos Gerais'!$E$4:$E$3632),-('Gastos Gerais'!$C$4:$C$3632))</f>
        <v>47283.390000000021</v>
      </c>
      <c r="BB113" s="134">
        <f>SUMPRODUCT(-('Gastos Gerais'!$B$4:$B$3632=Analítico!$B113),-(Analítico!BB$3&gt;='Gastos Gerais'!$D$4:$D$3632),-(Analítico!BB$3&lt;='Gastos Gerais'!$E$4:$E$3632),-('Gastos Gerais'!$C$4:$C$3632))</f>
        <v>47283.390000000021</v>
      </c>
      <c r="BC113" s="134">
        <f>SUMPRODUCT(-('Gastos Gerais'!$B$4:$B$3632=Analítico!$B113),-(Analítico!BC$3&gt;='Gastos Gerais'!$D$4:$D$3632),-(Analítico!BC$3&lt;='Gastos Gerais'!$E$4:$E$3632),-('Gastos Gerais'!$C$4:$C$3632))</f>
        <v>47283.390000000021</v>
      </c>
      <c r="BD113" s="134">
        <f>SUMPRODUCT(-('Gastos Gerais'!$B$4:$B$3632=Analítico!$B113),-(Analítico!BD$3&gt;='Gastos Gerais'!$D$4:$D$3632),-(Analítico!BD$3&lt;='Gastos Gerais'!$E$4:$E$3632),-('Gastos Gerais'!$C$4:$C$3632))</f>
        <v>47283.390000000021</v>
      </c>
      <c r="BE113" s="134">
        <f>SUMPRODUCT(-('Gastos Gerais'!$B$4:$B$3632=Analítico!$B113),-(Analítico!BE$3&gt;='Gastos Gerais'!$D$4:$D$3632),-(Analítico!BE$3&lt;='Gastos Gerais'!$E$4:$E$3632),-('Gastos Gerais'!$C$4:$C$3632))</f>
        <v>47283.390000000021</v>
      </c>
      <c r="BF113" s="134">
        <f>SUMPRODUCT(-('Gastos Gerais'!$B$4:$B$3632=Analítico!$B113),-(Analítico!BF$3&gt;='Gastos Gerais'!$D$4:$D$3632),-(Analítico!BF$3&lt;='Gastos Gerais'!$E$4:$E$3632),-('Gastos Gerais'!$C$4:$C$3632))</f>
        <v>47283.390000000021</v>
      </c>
      <c r="BG113" s="134">
        <f>SUMPRODUCT(-('Gastos Gerais'!$B$4:$B$3632=Analítico!$B113),-(Analítico!BG$3&gt;='Gastos Gerais'!$D$4:$D$3632),-(Analítico!BG$3&lt;='Gastos Gerais'!$E$4:$E$3632),-('Gastos Gerais'!$C$4:$C$3632))</f>
        <v>47283.390000000021</v>
      </c>
      <c r="BH113" s="134">
        <f>SUMPRODUCT(-('Gastos Gerais'!$B$4:$B$3632=Analítico!$B113),-(Analítico!BH$3&gt;='Gastos Gerais'!$D$4:$D$3632),-(Analítico!BH$3&lt;='Gastos Gerais'!$E$4:$E$3632),-('Gastos Gerais'!$C$4:$C$3632))</f>
        <v>47283.390000000021</v>
      </c>
      <c r="BI113" s="134">
        <f>SUMPRODUCT(-('Gastos Gerais'!$B$4:$B$3632=Analítico!$B113),-(Analítico!BI$3&gt;='Gastos Gerais'!$D$4:$D$3632),-(Analítico!BI$3&lt;='Gastos Gerais'!$E$4:$E$3632),-('Gastos Gerais'!$C$4:$C$3632))</f>
        <v>47283.390000000021</v>
      </c>
      <c r="BJ113" s="134">
        <f>SUMPRODUCT(-('Gastos Gerais'!$B$4:$B$3632=Analítico!$B113),-(Analítico!BJ$3&gt;='Gastos Gerais'!$D$4:$D$3632),-(Analítico!BJ$3&lt;='Gastos Gerais'!$E$4:$E$3632),-('Gastos Gerais'!$C$4:$C$3632))</f>
        <v>47283.390000000021</v>
      </c>
      <c r="BK113" s="189">
        <f t="shared" si="39"/>
        <v>2491977.3900000015</v>
      </c>
      <c r="BL113" s="136">
        <f t="shared" ca="1" si="40"/>
        <v>7.4480340233905257E-3</v>
      </c>
      <c r="BN113" s="134">
        <f>SUMPRODUCT(-('Gastos Gerais'!$B$4:$B$3632=Analítico!$B113),-(Analítico!BN$3&gt;='Gastos Gerais'!$D$4:$D$3632),-(Analítico!BN$3&lt;='Gastos Gerais'!$E$4:$E$3632),-('Gastos Gerais'!$C$4:$C$3632))</f>
        <v>30480</v>
      </c>
    </row>
    <row r="114" spans="1:66" s="160" customFormat="1" ht="23.25" customHeight="1">
      <c r="A114" s="229" t="s">
        <v>305</v>
      </c>
      <c r="B114" s="232" t="s">
        <v>306</v>
      </c>
      <c r="C114" s="188">
        <f t="shared" si="36"/>
        <v>30</v>
      </c>
      <c r="D114" s="134">
        <f>SUMPRODUCT(-('Gastos Gerais'!$B$4:$B$3632=Analítico!$B114),-(Analítico!D$3&gt;='Gastos Gerais'!$D$4:$D$3632),-(Analítico!D$3&lt;='Gastos Gerais'!$E$4:$E$3632),-('Gastos Gerais'!$C$4:$C$3632))</f>
        <v>100</v>
      </c>
      <c r="E114" s="134">
        <f>SUMPRODUCT(-('Gastos Gerais'!$B$4:$B$3632=Analítico!$B114),-(Analítico!E$3&gt;='Gastos Gerais'!$D$4:$D$3632),-(Analítico!E$3&lt;='Gastos Gerais'!$E$4:$E$3632),-('Gastos Gerais'!$C$4:$C$3632))</f>
        <v>100</v>
      </c>
      <c r="F114" s="134">
        <f>SUMPRODUCT(-('Gastos Gerais'!$B$4:$B$3632=Analítico!$B114),-(Analítico!F$3&gt;='Gastos Gerais'!$D$4:$D$3632),-(Analítico!F$3&lt;='Gastos Gerais'!$E$4:$E$3632),-('Gastos Gerais'!$C$4:$C$3632))</f>
        <v>100</v>
      </c>
      <c r="G114" s="134">
        <f>SUMPRODUCT(-('Gastos Gerais'!$B$4:$B$3632=Analítico!$B114),-(Analítico!G$3&gt;='Gastos Gerais'!$D$4:$D$3632),-(Analítico!G$3&lt;='Gastos Gerais'!$E$4:$E$3632),-('Gastos Gerais'!$C$4:$C$3632))</f>
        <v>100</v>
      </c>
      <c r="H114" s="134">
        <f>SUMPRODUCT(-('Gastos Gerais'!$B$4:$B$3632=Analítico!$B114),-(Analítico!H$3&gt;='Gastos Gerais'!$D$4:$D$3632),-(Analítico!H$3&lt;='Gastos Gerais'!$E$4:$E$3632),-('Gastos Gerais'!$C$4:$C$3632))</f>
        <v>100</v>
      </c>
      <c r="I114" s="134">
        <f>SUMPRODUCT(-('Gastos Gerais'!$B$4:$B$3632=Analítico!$B114),-(Analítico!I$3&gt;='Gastos Gerais'!$D$4:$D$3632),-(Analítico!I$3&lt;='Gastos Gerais'!$E$4:$E$3632),-('Gastos Gerais'!$C$4:$C$3632))</f>
        <v>100</v>
      </c>
      <c r="J114" s="134">
        <f>SUMPRODUCT(-('Gastos Gerais'!$B$4:$B$3632=Analítico!$B114),-(Analítico!J$3&gt;='Gastos Gerais'!$D$4:$D$3632),-(Analítico!J$3&lt;='Gastos Gerais'!$E$4:$E$3632),-('Gastos Gerais'!$C$4:$C$3632))</f>
        <v>100</v>
      </c>
      <c r="K114" s="134">
        <f>SUMPRODUCT(-('Gastos Gerais'!$B$4:$B$3632=Analítico!$B114),-(Analítico!K$3&gt;='Gastos Gerais'!$D$4:$D$3632),-(Analítico!K$3&lt;='Gastos Gerais'!$E$4:$E$3632),-('Gastos Gerais'!$C$4:$C$3632))</f>
        <v>100</v>
      </c>
      <c r="L114" s="134">
        <f>SUMPRODUCT(-('Gastos Gerais'!$B$4:$B$3632=Analítico!$B114),-(Analítico!L$3&gt;='Gastos Gerais'!$D$4:$D$3632),-(Analítico!L$3&lt;='Gastos Gerais'!$E$4:$E$3632),-('Gastos Gerais'!$C$4:$C$3632))</f>
        <v>100</v>
      </c>
      <c r="M114" s="134">
        <f>SUMPRODUCT(-('Gastos Gerais'!$B$4:$B$3632=Analítico!$B114),-(Analítico!M$3&gt;='Gastos Gerais'!$D$4:$D$3632),-(Analítico!M$3&lt;='Gastos Gerais'!$E$4:$E$3632),-('Gastos Gerais'!$C$4:$C$3632))</f>
        <v>100</v>
      </c>
      <c r="N114" s="134">
        <f>SUMPRODUCT(-('Gastos Gerais'!$B$4:$B$3632=Analítico!$B114),-(Analítico!N$3&gt;='Gastos Gerais'!$D$4:$D$3632),-(Analítico!N$3&lt;='Gastos Gerais'!$E$4:$E$3632),-('Gastos Gerais'!$C$4:$C$3632))</f>
        <v>100</v>
      </c>
      <c r="O114" s="134">
        <f>SUMPRODUCT(-('Gastos Gerais'!$B$4:$B$3632=Analítico!$B114),-(Analítico!O$3&gt;='Gastos Gerais'!$D$4:$D$3632),-(Analítico!O$3&lt;='Gastos Gerais'!$E$4:$E$3632),-('Gastos Gerais'!$C$4:$C$3632))</f>
        <v>100</v>
      </c>
      <c r="P114" s="134">
        <f>SUMPRODUCT(-('Gastos Gerais'!$B$4:$B$3632=Analítico!$B114),-(Analítico!P$3&gt;='Gastos Gerais'!$D$4:$D$3632),-(Analítico!P$3&lt;='Gastos Gerais'!$E$4:$E$3632),-('Gastos Gerais'!$C$4:$C$3632))</f>
        <v>100</v>
      </c>
      <c r="Q114" s="134">
        <f>SUMPRODUCT(-('Gastos Gerais'!$B$4:$B$3632=Analítico!$B114),-(Analítico!Q$3&gt;='Gastos Gerais'!$D$4:$D$3632),-(Analítico!Q$3&lt;='Gastos Gerais'!$E$4:$E$3632),-('Gastos Gerais'!$C$4:$C$3632))</f>
        <v>100</v>
      </c>
      <c r="R114" s="134">
        <f>SUMPRODUCT(-('Gastos Gerais'!$B$4:$B$3632=Analítico!$B114),-(Analítico!R$3&gt;='Gastos Gerais'!$D$4:$D$3632),-(Analítico!R$3&lt;='Gastos Gerais'!$E$4:$E$3632),-('Gastos Gerais'!$C$4:$C$3632))</f>
        <v>100</v>
      </c>
      <c r="S114" s="134">
        <f>SUMPRODUCT(-('Gastos Gerais'!$B$4:$B$3632=Analítico!$B114),-(Analítico!S$3&gt;='Gastos Gerais'!$D$4:$D$3632),-(Analítico!S$3&lt;='Gastos Gerais'!$E$4:$E$3632),-('Gastos Gerais'!$C$4:$C$3632))</f>
        <v>100</v>
      </c>
      <c r="T114" s="134">
        <f>SUMPRODUCT(-('Gastos Gerais'!$B$4:$B$3632=Analítico!$B114),-(Analítico!T$3&gt;='Gastos Gerais'!$D$4:$D$3632),-(Analítico!T$3&lt;='Gastos Gerais'!$E$4:$E$3632),-('Gastos Gerais'!$C$4:$C$3632))</f>
        <v>100</v>
      </c>
      <c r="U114" s="134">
        <f>SUMPRODUCT(-('Gastos Gerais'!$B$4:$B$3632=Analítico!$B114),-(Analítico!U$3&gt;='Gastos Gerais'!$D$4:$D$3632),-(Analítico!U$3&lt;='Gastos Gerais'!$E$4:$E$3632),-('Gastos Gerais'!$C$4:$C$3632))</f>
        <v>100</v>
      </c>
      <c r="V114" s="134">
        <f>SUMPRODUCT(-('Gastos Gerais'!$B$4:$B$3632=Analítico!$B114),-(Analítico!V$3&gt;='Gastos Gerais'!$D$4:$D$3632),-(Analítico!V$3&lt;='Gastos Gerais'!$E$4:$E$3632),-('Gastos Gerais'!$C$4:$C$3632))</f>
        <v>100</v>
      </c>
      <c r="W114" s="134">
        <f>SUMPRODUCT(-('Gastos Gerais'!$B$4:$B$3632=Analítico!$B114),-(Analítico!W$3&gt;='Gastos Gerais'!$D$4:$D$3632),-(Analítico!W$3&lt;='Gastos Gerais'!$E$4:$E$3632),-('Gastos Gerais'!$C$4:$C$3632))</f>
        <v>100</v>
      </c>
      <c r="X114" s="134">
        <f>SUMPRODUCT(-('Gastos Gerais'!$B$4:$B$3632=Analítico!$B114),-(Analítico!X$3&gt;='Gastos Gerais'!$D$4:$D$3632),-(Analítico!X$3&lt;='Gastos Gerais'!$E$4:$E$3632),-('Gastos Gerais'!$C$4:$C$3632))</f>
        <v>100</v>
      </c>
      <c r="Y114" s="134">
        <f>SUMPRODUCT(-('Gastos Gerais'!$B$4:$B$3632=Analítico!$B114),-(Analítico!Y$3&gt;='Gastos Gerais'!$D$4:$D$3632),-(Analítico!Y$3&lt;='Gastos Gerais'!$E$4:$E$3632),-('Gastos Gerais'!$C$4:$C$3632))</f>
        <v>100</v>
      </c>
      <c r="Z114" s="134">
        <f>SUMPRODUCT(-('Gastos Gerais'!$B$4:$B$3632=Analítico!$B114),-(Analítico!Z$3&gt;='Gastos Gerais'!$D$4:$D$3632),-(Analítico!Z$3&lt;='Gastos Gerais'!$E$4:$E$3632),-('Gastos Gerais'!$C$4:$C$3632))</f>
        <v>100</v>
      </c>
      <c r="AA114" s="134">
        <f>SUMPRODUCT(-('Gastos Gerais'!$B$4:$B$3632=Analítico!$B114),-(Analítico!AA$3&gt;='Gastos Gerais'!$D$4:$D$3632),-(Analítico!AA$3&lt;='Gastos Gerais'!$E$4:$E$3632),-('Gastos Gerais'!$C$4:$C$3632))</f>
        <v>100</v>
      </c>
      <c r="AB114" s="134">
        <f>SUMPRODUCT(-('Gastos Gerais'!$B$4:$B$3632=Analítico!$B114),-(Analítico!AB$3&gt;='Gastos Gerais'!$D$4:$D$3632),-(Analítico!AB$3&lt;='Gastos Gerais'!$E$4:$E$3632),-('Gastos Gerais'!$C$4:$C$3632))</f>
        <v>100</v>
      </c>
      <c r="AC114" s="134">
        <f>SUMPRODUCT(-('Gastos Gerais'!$B$4:$B$3632=Analítico!$B114),-(Analítico!AC$3&gt;='Gastos Gerais'!$D$4:$D$3632),-(Analítico!AC$3&lt;='Gastos Gerais'!$E$4:$E$3632),-('Gastos Gerais'!$C$4:$C$3632))</f>
        <v>100</v>
      </c>
      <c r="AD114" s="134">
        <f>SUMPRODUCT(-('Gastos Gerais'!$B$4:$B$3632=Analítico!$B114),-(Analítico!AD$3&gt;='Gastos Gerais'!$D$4:$D$3632),-(Analítico!AD$3&lt;='Gastos Gerais'!$E$4:$E$3632),-('Gastos Gerais'!$C$4:$C$3632))</f>
        <v>100</v>
      </c>
      <c r="AE114" s="134">
        <f>SUMPRODUCT(-('Gastos Gerais'!$B$4:$B$3632=Analítico!$B114),-(Analítico!AE$3&gt;='Gastos Gerais'!$D$4:$D$3632),-(Analítico!AE$3&lt;='Gastos Gerais'!$E$4:$E$3632),-('Gastos Gerais'!$C$4:$C$3632))</f>
        <v>100</v>
      </c>
      <c r="AF114" s="134">
        <f>SUMPRODUCT(-('Gastos Gerais'!$B$4:$B$3632=Analítico!$B114),-(Analítico!AF$3&gt;='Gastos Gerais'!$D$4:$D$3632),-(Analítico!AF$3&lt;='Gastos Gerais'!$E$4:$E$3632),-('Gastos Gerais'!$C$4:$C$3632))</f>
        <v>100</v>
      </c>
      <c r="AG114" s="134">
        <f>SUMPRODUCT(-('Gastos Gerais'!$B$4:$B$3632=Analítico!$B114),-(Analítico!AG$3&gt;='Gastos Gerais'!$D$4:$D$3632),-(Analítico!AG$3&lt;='Gastos Gerais'!$E$4:$E$3632),-('Gastos Gerais'!$C$4:$C$3632))</f>
        <v>100</v>
      </c>
      <c r="AH114" s="134">
        <f>SUMPRODUCT(-('Gastos Gerais'!$B$4:$B$3632=Analítico!$B114),-(Analítico!AH$3&gt;='Gastos Gerais'!$D$4:$D$3632),-(Analítico!AH$3&lt;='Gastos Gerais'!$E$4:$E$3632),-('Gastos Gerais'!$C$4:$C$3632))</f>
        <v>100</v>
      </c>
      <c r="AI114" s="134">
        <f>SUMPRODUCT(-('Gastos Gerais'!$B$4:$B$3632=Analítico!$B114),-(Analítico!AI$3&gt;='Gastos Gerais'!$D$4:$D$3632),-(Analítico!AI$3&lt;='Gastos Gerais'!$E$4:$E$3632),-('Gastos Gerais'!$C$4:$C$3632))</f>
        <v>100</v>
      </c>
      <c r="AJ114" s="134">
        <f>SUMPRODUCT(-('Gastos Gerais'!$B$4:$B$3632=Analítico!$B114),-(Analítico!AJ$3&gt;='Gastos Gerais'!$D$4:$D$3632),-(Analítico!AJ$3&lt;='Gastos Gerais'!$E$4:$E$3632),-('Gastos Gerais'!$C$4:$C$3632))</f>
        <v>100</v>
      </c>
      <c r="AK114" s="134">
        <f>SUMPRODUCT(-('Gastos Gerais'!$B$4:$B$3632=Analítico!$B114),-(Analítico!AK$3&gt;='Gastos Gerais'!$D$4:$D$3632),-(Analítico!AK$3&lt;='Gastos Gerais'!$E$4:$E$3632),-('Gastos Gerais'!$C$4:$C$3632))</f>
        <v>100</v>
      </c>
      <c r="AL114" s="134">
        <f>SUMPRODUCT(-('Gastos Gerais'!$B$4:$B$3632=Analítico!$B114),-(Analítico!AL$3&gt;='Gastos Gerais'!$D$4:$D$3632),-(Analítico!AL$3&lt;='Gastos Gerais'!$E$4:$E$3632),-('Gastos Gerais'!$C$4:$C$3632))</f>
        <v>100</v>
      </c>
      <c r="AM114" s="134">
        <f>SUMPRODUCT(-('Gastos Gerais'!$B$4:$B$3632=Analítico!$B114),-(Analítico!AM$3&gt;='Gastos Gerais'!$D$4:$D$3632),-(Analítico!AM$3&lt;='Gastos Gerais'!$E$4:$E$3632),-('Gastos Gerais'!$C$4:$C$3632))</f>
        <v>100</v>
      </c>
      <c r="AN114" s="134">
        <f>SUMPRODUCT(-('Gastos Gerais'!$B$4:$B$3632=Analítico!$B114),-(Analítico!AN$3&gt;='Gastos Gerais'!$D$4:$D$3632),-(Analítico!AN$3&lt;='Gastos Gerais'!$E$4:$E$3632),-('Gastos Gerais'!$C$4:$C$3632))</f>
        <v>100</v>
      </c>
      <c r="AO114" s="134">
        <f>SUMPRODUCT(-('Gastos Gerais'!$B$4:$B$3632=Analítico!$B114),-(Analítico!AO$3&gt;='Gastos Gerais'!$D$4:$D$3632),-(Analítico!AO$3&lt;='Gastos Gerais'!$E$4:$E$3632),-('Gastos Gerais'!$C$4:$C$3632))</f>
        <v>100</v>
      </c>
      <c r="AP114" s="134">
        <f>SUMPRODUCT(-('Gastos Gerais'!$B$4:$B$3632=Analítico!$B114),-(Analítico!AP$3&gt;='Gastos Gerais'!$D$4:$D$3632),-(Analítico!AP$3&lt;='Gastos Gerais'!$E$4:$E$3632),-('Gastos Gerais'!$C$4:$C$3632))</f>
        <v>100</v>
      </c>
      <c r="AQ114" s="134">
        <f>SUMPRODUCT(-('Gastos Gerais'!$B$4:$B$3632=Analítico!$B114),-(Analítico!AQ$3&gt;='Gastos Gerais'!$D$4:$D$3632),-(Analítico!AQ$3&lt;='Gastos Gerais'!$E$4:$E$3632),-('Gastos Gerais'!$C$4:$C$3632))</f>
        <v>100</v>
      </c>
      <c r="AR114" s="134">
        <f>SUMPRODUCT(-('Gastos Gerais'!$B$4:$B$3632=Analítico!$B114),-(Analítico!AR$3&gt;='Gastos Gerais'!$D$4:$D$3632),-(Analítico!AR$3&lt;='Gastos Gerais'!$E$4:$E$3632),-('Gastos Gerais'!$C$4:$C$3632))</f>
        <v>100</v>
      </c>
      <c r="AS114" s="134">
        <f>SUMPRODUCT(-('Gastos Gerais'!$B$4:$B$3632=Analítico!$B114),-(Analítico!AS$3&gt;='Gastos Gerais'!$D$4:$D$3632),-(Analítico!AS$3&lt;='Gastos Gerais'!$E$4:$E$3632),-('Gastos Gerais'!$C$4:$C$3632))</f>
        <v>100</v>
      </c>
      <c r="AT114" s="134">
        <f>SUMPRODUCT(-('Gastos Gerais'!$B$4:$B$3632=Analítico!$B114),-(Analítico!AT$3&gt;='Gastos Gerais'!$D$4:$D$3632),-(Analítico!AT$3&lt;='Gastos Gerais'!$E$4:$E$3632),-('Gastos Gerais'!$C$4:$C$3632))</f>
        <v>100</v>
      </c>
      <c r="AU114" s="134">
        <f>SUMPRODUCT(-('Gastos Gerais'!$B$4:$B$3632=Analítico!$B114),-(Analítico!AU$3&gt;='Gastos Gerais'!$D$4:$D$3632),-(Analítico!AU$3&lt;='Gastos Gerais'!$E$4:$E$3632),-('Gastos Gerais'!$C$4:$C$3632))</f>
        <v>100</v>
      </c>
      <c r="AV114" s="134">
        <f>SUMPRODUCT(-('Gastos Gerais'!$B$4:$B$3632=Analítico!$B114),-(Analítico!AV$3&gt;='Gastos Gerais'!$D$4:$D$3632),-(Analítico!AV$3&lt;='Gastos Gerais'!$E$4:$E$3632),-('Gastos Gerais'!$C$4:$C$3632))</f>
        <v>100</v>
      </c>
      <c r="AW114" s="134">
        <f>SUMPRODUCT(-('Gastos Gerais'!$B$4:$B$3632=Analítico!$B114),-(Analítico!AW$3&gt;='Gastos Gerais'!$D$4:$D$3632),-(Analítico!AW$3&lt;='Gastos Gerais'!$E$4:$E$3632),-('Gastos Gerais'!$C$4:$C$3632))</f>
        <v>100</v>
      </c>
      <c r="AX114" s="134">
        <f>SUMPRODUCT(-('Gastos Gerais'!$B$4:$B$3632=Analítico!$B114),-(Analítico!AX$3&gt;='Gastos Gerais'!$D$4:$D$3632),-(Analítico!AX$3&lt;='Gastos Gerais'!$E$4:$E$3632),-('Gastos Gerais'!$C$4:$C$3632))</f>
        <v>100</v>
      </c>
      <c r="AY114" s="134">
        <f>SUMPRODUCT(-('Gastos Gerais'!$B$4:$B$3632=Analítico!$B114),-(Analítico!AY$3&gt;='Gastos Gerais'!$D$4:$D$3632),-(Analítico!AY$3&lt;='Gastos Gerais'!$E$4:$E$3632),-('Gastos Gerais'!$C$4:$C$3632))</f>
        <v>100</v>
      </c>
      <c r="AZ114" s="134">
        <f>SUMPRODUCT(-('Gastos Gerais'!$B$4:$B$3632=Analítico!$B114),-(Analítico!AZ$3&gt;='Gastos Gerais'!$D$4:$D$3632),-(Analítico!AZ$3&lt;='Gastos Gerais'!$E$4:$E$3632),-('Gastos Gerais'!$C$4:$C$3632))</f>
        <v>100</v>
      </c>
      <c r="BA114" s="134">
        <f>SUMPRODUCT(-('Gastos Gerais'!$B$4:$B$3632=Analítico!$B114),-(Analítico!BA$3&gt;='Gastos Gerais'!$D$4:$D$3632),-(Analítico!BA$3&lt;='Gastos Gerais'!$E$4:$E$3632),-('Gastos Gerais'!$C$4:$C$3632))</f>
        <v>100</v>
      </c>
      <c r="BB114" s="134">
        <f>SUMPRODUCT(-('Gastos Gerais'!$B$4:$B$3632=Analítico!$B114),-(Analítico!BB$3&gt;='Gastos Gerais'!$D$4:$D$3632),-(Analítico!BB$3&lt;='Gastos Gerais'!$E$4:$E$3632),-('Gastos Gerais'!$C$4:$C$3632))</f>
        <v>100</v>
      </c>
      <c r="BC114" s="134">
        <f>SUMPRODUCT(-('Gastos Gerais'!$B$4:$B$3632=Analítico!$B114),-(Analítico!BC$3&gt;='Gastos Gerais'!$D$4:$D$3632),-(Analítico!BC$3&lt;='Gastos Gerais'!$E$4:$E$3632),-('Gastos Gerais'!$C$4:$C$3632))</f>
        <v>100</v>
      </c>
      <c r="BD114" s="134">
        <f>SUMPRODUCT(-('Gastos Gerais'!$B$4:$B$3632=Analítico!$B114),-(Analítico!BD$3&gt;='Gastos Gerais'!$D$4:$D$3632),-(Analítico!BD$3&lt;='Gastos Gerais'!$E$4:$E$3632),-('Gastos Gerais'!$C$4:$C$3632))</f>
        <v>100</v>
      </c>
      <c r="BE114" s="134">
        <f>SUMPRODUCT(-('Gastos Gerais'!$B$4:$B$3632=Analítico!$B114),-(Analítico!BE$3&gt;='Gastos Gerais'!$D$4:$D$3632),-(Analítico!BE$3&lt;='Gastos Gerais'!$E$4:$E$3632),-('Gastos Gerais'!$C$4:$C$3632))</f>
        <v>100</v>
      </c>
      <c r="BF114" s="134">
        <f>SUMPRODUCT(-('Gastos Gerais'!$B$4:$B$3632=Analítico!$B114),-(Analítico!BF$3&gt;='Gastos Gerais'!$D$4:$D$3632),-(Analítico!BF$3&lt;='Gastos Gerais'!$E$4:$E$3632),-('Gastos Gerais'!$C$4:$C$3632))</f>
        <v>100</v>
      </c>
      <c r="BG114" s="134">
        <f>SUMPRODUCT(-('Gastos Gerais'!$B$4:$B$3632=Analítico!$B114),-(Analítico!BG$3&gt;='Gastos Gerais'!$D$4:$D$3632),-(Analítico!BG$3&lt;='Gastos Gerais'!$E$4:$E$3632),-('Gastos Gerais'!$C$4:$C$3632))</f>
        <v>100</v>
      </c>
      <c r="BH114" s="134">
        <f>SUMPRODUCT(-('Gastos Gerais'!$B$4:$B$3632=Analítico!$B114),-(Analítico!BH$3&gt;='Gastos Gerais'!$D$4:$D$3632),-(Analítico!BH$3&lt;='Gastos Gerais'!$E$4:$E$3632),-('Gastos Gerais'!$C$4:$C$3632))</f>
        <v>100</v>
      </c>
      <c r="BI114" s="134">
        <f>SUMPRODUCT(-('Gastos Gerais'!$B$4:$B$3632=Analítico!$B114),-(Analítico!BI$3&gt;='Gastos Gerais'!$D$4:$D$3632),-(Analítico!BI$3&lt;='Gastos Gerais'!$E$4:$E$3632),-('Gastos Gerais'!$C$4:$C$3632))</f>
        <v>100</v>
      </c>
      <c r="BJ114" s="134">
        <f>SUMPRODUCT(-('Gastos Gerais'!$B$4:$B$3632=Analítico!$B114),-(Analítico!BJ$3&gt;='Gastos Gerais'!$D$4:$D$3632),-(Analítico!BJ$3&lt;='Gastos Gerais'!$E$4:$E$3632),-('Gastos Gerais'!$C$4:$C$3632))</f>
        <v>100</v>
      </c>
      <c r="BK114" s="189">
        <f t="shared" si="39"/>
        <v>5930</v>
      </c>
      <c r="BL114" s="136">
        <f t="shared" ca="1" si="40"/>
        <v>1.7723612556013518E-5</v>
      </c>
      <c r="BN114" s="134">
        <f>SUMPRODUCT(-('Gastos Gerais'!$B$4:$B$3632=Analítico!$B114),-(Analítico!BN$3&gt;='Gastos Gerais'!$D$4:$D$3632),-(Analítico!BN$3&lt;='Gastos Gerais'!$E$4:$E$3632),-('Gastos Gerais'!$C$4:$C$3632))</f>
        <v>100</v>
      </c>
    </row>
    <row r="115" spans="1:66" s="160" customFormat="1" ht="23.25" customHeight="1">
      <c r="A115" s="229" t="s">
        <v>307</v>
      </c>
      <c r="B115" s="232" t="s">
        <v>308</v>
      </c>
      <c r="C115" s="188">
        <f t="shared" si="36"/>
        <v>0</v>
      </c>
      <c r="D115" s="134">
        <f>SUMPRODUCT(-('Gastos Gerais'!$B$4:$B$3632=Analítico!$B115),-(Analítico!D$3&gt;='Gastos Gerais'!$D$4:$D$3632),-(Analítico!D$3&lt;='Gastos Gerais'!$E$4:$E$3632),-('Gastos Gerais'!$C$4:$C$3632))</f>
        <v>104</v>
      </c>
      <c r="E115" s="134">
        <f>SUMPRODUCT(-('Gastos Gerais'!$B$4:$B$3632=Analítico!$B115),-(Analítico!E$3&gt;='Gastos Gerais'!$D$4:$D$3632),-(Analítico!E$3&lt;='Gastos Gerais'!$E$4:$E$3632),-('Gastos Gerais'!$C$4:$C$3632))</f>
        <v>104</v>
      </c>
      <c r="F115" s="134">
        <f>SUMPRODUCT(-('Gastos Gerais'!$B$4:$B$3632=Analítico!$B115),-(Analítico!F$3&gt;='Gastos Gerais'!$D$4:$D$3632),-(Analítico!F$3&lt;='Gastos Gerais'!$E$4:$E$3632),-('Gastos Gerais'!$C$4:$C$3632))</f>
        <v>104</v>
      </c>
      <c r="G115" s="134">
        <f>SUMPRODUCT(-('Gastos Gerais'!$B$4:$B$3632=Analítico!$B115),-(Analítico!G$3&gt;='Gastos Gerais'!$D$4:$D$3632),-(Analítico!G$3&lt;='Gastos Gerais'!$E$4:$E$3632),-('Gastos Gerais'!$C$4:$C$3632))</f>
        <v>104</v>
      </c>
      <c r="H115" s="134">
        <f>SUMPRODUCT(-('Gastos Gerais'!$B$4:$B$3632=Analítico!$B115),-(Analítico!H$3&gt;='Gastos Gerais'!$D$4:$D$3632),-(Analítico!H$3&lt;='Gastos Gerais'!$E$4:$E$3632),-('Gastos Gerais'!$C$4:$C$3632))</f>
        <v>104</v>
      </c>
      <c r="I115" s="134">
        <f>SUMPRODUCT(-('Gastos Gerais'!$B$4:$B$3632=Analítico!$B115),-(Analítico!I$3&gt;='Gastos Gerais'!$D$4:$D$3632),-(Analítico!I$3&lt;='Gastos Gerais'!$E$4:$E$3632),-('Gastos Gerais'!$C$4:$C$3632))</f>
        <v>26</v>
      </c>
      <c r="J115" s="134">
        <f>SUMPRODUCT(-('Gastos Gerais'!$B$4:$B$3632=Analítico!$B115),-(Analítico!J$3&gt;='Gastos Gerais'!$D$4:$D$3632),-(Analítico!J$3&lt;='Gastos Gerais'!$E$4:$E$3632),-('Gastos Gerais'!$C$4:$C$3632))</f>
        <v>26</v>
      </c>
      <c r="K115" s="134">
        <f>SUMPRODUCT(-('Gastos Gerais'!$B$4:$B$3632=Analítico!$B115),-(Analítico!K$3&gt;='Gastos Gerais'!$D$4:$D$3632),-(Analítico!K$3&lt;='Gastos Gerais'!$E$4:$E$3632),-('Gastos Gerais'!$C$4:$C$3632))</f>
        <v>26</v>
      </c>
      <c r="L115" s="134">
        <f>SUMPRODUCT(-('Gastos Gerais'!$B$4:$B$3632=Analítico!$B115),-(Analítico!L$3&gt;='Gastos Gerais'!$D$4:$D$3632),-(Analítico!L$3&lt;='Gastos Gerais'!$E$4:$E$3632),-('Gastos Gerais'!$C$4:$C$3632))</f>
        <v>26</v>
      </c>
      <c r="M115" s="134">
        <f>SUMPRODUCT(-('Gastos Gerais'!$B$4:$B$3632=Analítico!$B115),-(Analítico!M$3&gt;='Gastos Gerais'!$D$4:$D$3632),-(Analítico!M$3&lt;='Gastos Gerais'!$E$4:$E$3632),-('Gastos Gerais'!$C$4:$C$3632))</f>
        <v>26</v>
      </c>
      <c r="N115" s="134">
        <f>SUMPRODUCT(-('Gastos Gerais'!$B$4:$B$3632=Analítico!$B115),-(Analítico!N$3&gt;='Gastos Gerais'!$D$4:$D$3632),-(Analítico!N$3&lt;='Gastos Gerais'!$E$4:$E$3632),-('Gastos Gerais'!$C$4:$C$3632))</f>
        <v>26</v>
      </c>
      <c r="O115" s="134">
        <f>SUMPRODUCT(-('Gastos Gerais'!$B$4:$B$3632=Analítico!$B115),-(Analítico!O$3&gt;='Gastos Gerais'!$D$4:$D$3632),-(Analítico!O$3&lt;='Gastos Gerais'!$E$4:$E$3632),-('Gastos Gerais'!$C$4:$C$3632))</f>
        <v>26</v>
      </c>
      <c r="P115" s="134">
        <f>SUMPRODUCT(-('Gastos Gerais'!$B$4:$B$3632=Analítico!$B115),-(Analítico!P$3&gt;='Gastos Gerais'!$D$4:$D$3632),-(Analítico!P$3&lt;='Gastos Gerais'!$E$4:$E$3632),-('Gastos Gerais'!$C$4:$C$3632))</f>
        <v>104</v>
      </c>
      <c r="Q115" s="134">
        <f>SUMPRODUCT(-('Gastos Gerais'!$B$4:$B$3632=Analítico!$B115),-(Analítico!Q$3&gt;='Gastos Gerais'!$D$4:$D$3632),-(Analítico!Q$3&lt;='Gastos Gerais'!$E$4:$E$3632),-('Gastos Gerais'!$C$4:$C$3632))</f>
        <v>104</v>
      </c>
      <c r="R115" s="134">
        <f>SUMPRODUCT(-('Gastos Gerais'!$B$4:$B$3632=Analítico!$B115),-(Analítico!R$3&gt;='Gastos Gerais'!$D$4:$D$3632),-(Analítico!R$3&lt;='Gastos Gerais'!$E$4:$E$3632),-('Gastos Gerais'!$C$4:$C$3632))</f>
        <v>104</v>
      </c>
      <c r="S115" s="134">
        <f>SUMPRODUCT(-('Gastos Gerais'!$B$4:$B$3632=Analítico!$B115),-(Analítico!S$3&gt;='Gastos Gerais'!$D$4:$D$3632),-(Analítico!S$3&lt;='Gastos Gerais'!$E$4:$E$3632),-('Gastos Gerais'!$C$4:$C$3632))</f>
        <v>104</v>
      </c>
      <c r="T115" s="134">
        <f>SUMPRODUCT(-('Gastos Gerais'!$B$4:$B$3632=Analítico!$B115),-(Analítico!T$3&gt;='Gastos Gerais'!$D$4:$D$3632),-(Analítico!T$3&lt;='Gastos Gerais'!$E$4:$E$3632),-('Gastos Gerais'!$C$4:$C$3632))</f>
        <v>104</v>
      </c>
      <c r="U115" s="134">
        <f>SUMPRODUCT(-('Gastos Gerais'!$B$4:$B$3632=Analítico!$B115),-(Analítico!U$3&gt;='Gastos Gerais'!$D$4:$D$3632),-(Analítico!U$3&lt;='Gastos Gerais'!$E$4:$E$3632),-('Gastos Gerais'!$C$4:$C$3632))</f>
        <v>26</v>
      </c>
      <c r="V115" s="134">
        <f>SUMPRODUCT(-('Gastos Gerais'!$B$4:$B$3632=Analítico!$B115),-(Analítico!V$3&gt;='Gastos Gerais'!$D$4:$D$3632),-(Analítico!V$3&lt;='Gastos Gerais'!$E$4:$E$3632),-('Gastos Gerais'!$C$4:$C$3632))</f>
        <v>26</v>
      </c>
      <c r="W115" s="134">
        <f>SUMPRODUCT(-('Gastos Gerais'!$B$4:$B$3632=Analítico!$B115),-(Analítico!W$3&gt;='Gastos Gerais'!$D$4:$D$3632),-(Analítico!W$3&lt;='Gastos Gerais'!$E$4:$E$3632),-('Gastos Gerais'!$C$4:$C$3632))</f>
        <v>26</v>
      </c>
      <c r="X115" s="134">
        <f>SUMPRODUCT(-('Gastos Gerais'!$B$4:$B$3632=Analítico!$B115),-(Analítico!X$3&gt;='Gastos Gerais'!$D$4:$D$3632),-(Analítico!X$3&lt;='Gastos Gerais'!$E$4:$E$3632),-('Gastos Gerais'!$C$4:$C$3632))</f>
        <v>26</v>
      </c>
      <c r="Y115" s="134">
        <f>SUMPRODUCT(-('Gastos Gerais'!$B$4:$B$3632=Analítico!$B115),-(Analítico!Y$3&gt;='Gastos Gerais'!$D$4:$D$3632),-(Analítico!Y$3&lt;='Gastos Gerais'!$E$4:$E$3632),-('Gastos Gerais'!$C$4:$C$3632))</f>
        <v>26</v>
      </c>
      <c r="Z115" s="134">
        <f>SUMPRODUCT(-('Gastos Gerais'!$B$4:$B$3632=Analítico!$B115),-(Analítico!Z$3&gt;='Gastos Gerais'!$D$4:$D$3632),-(Analítico!Z$3&lt;='Gastos Gerais'!$E$4:$E$3632),-('Gastos Gerais'!$C$4:$C$3632))</f>
        <v>26</v>
      </c>
      <c r="AA115" s="134">
        <f>SUMPRODUCT(-('Gastos Gerais'!$B$4:$B$3632=Analítico!$B115),-(Analítico!AA$3&gt;='Gastos Gerais'!$D$4:$D$3632),-(Analítico!AA$3&lt;='Gastos Gerais'!$E$4:$E$3632),-('Gastos Gerais'!$C$4:$C$3632))</f>
        <v>26</v>
      </c>
      <c r="AB115" s="134">
        <f>SUMPRODUCT(-('Gastos Gerais'!$B$4:$B$3632=Analítico!$B115),-(Analítico!AB$3&gt;='Gastos Gerais'!$D$4:$D$3632),-(Analítico!AB$3&lt;='Gastos Gerais'!$E$4:$E$3632),-('Gastos Gerais'!$C$4:$C$3632))</f>
        <v>104</v>
      </c>
      <c r="AC115" s="134">
        <f>SUMPRODUCT(-('Gastos Gerais'!$B$4:$B$3632=Analítico!$B115),-(Analítico!AC$3&gt;='Gastos Gerais'!$D$4:$D$3632),-(Analítico!AC$3&lt;='Gastos Gerais'!$E$4:$E$3632),-('Gastos Gerais'!$C$4:$C$3632))</f>
        <v>104</v>
      </c>
      <c r="AD115" s="134">
        <f>SUMPRODUCT(-('Gastos Gerais'!$B$4:$B$3632=Analítico!$B115),-(Analítico!AD$3&gt;='Gastos Gerais'!$D$4:$D$3632),-(Analítico!AD$3&lt;='Gastos Gerais'!$E$4:$E$3632),-('Gastos Gerais'!$C$4:$C$3632))</f>
        <v>104</v>
      </c>
      <c r="AE115" s="134">
        <f>SUMPRODUCT(-('Gastos Gerais'!$B$4:$B$3632=Analítico!$B115),-(Analítico!AE$3&gt;='Gastos Gerais'!$D$4:$D$3632),-(Analítico!AE$3&lt;='Gastos Gerais'!$E$4:$E$3632),-('Gastos Gerais'!$C$4:$C$3632))</f>
        <v>104</v>
      </c>
      <c r="AF115" s="134">
        <f>SUMPRODUCT(-('Gastos Gerais'!$B$4:$B$3632=Analítico!$B115),-(Analítico!AF$3&gt;='Gastos Gerais'!$D$4:$D$3632),-(Analítico!AF$3&lt;='Gastos Gerais'!$E$4:$E$3632),-('Gastos Gerais'!$C$4:$C$3632))</f>
        <v>104</v>
      </c>
      <c r="AG115" s="134">
        <f>SUMPRODUCT(-('Gastos Gerais'!$B$4:$B$3632=Analítico!$B115),-(Analítico!AG$3&gt;='Gastos Gerais'!$D$4:$D$3632),-(Analítico!AG$3&lt;='Gastos Gerais'!$E$4:$E$3632),-('Gastos Gerais'!$C$4:$C$3632))</f>
        <v>26</v>
      </c>
      <c r="AH115" s="134">
        <f>SUMPRODUCT(-('Gastos Gerais'!$B$4:$B$3632=Analítico!$B115),-(Analítico!AH$3&gt;='Gastos Gerais'!$D$4:$D$3632),-(Analítico!AH$3&lt;='Gastos Gerais'!$E$4:$E$3632),-('Gastos Gerais'!$C$4:$C$3632))</f>
        <v>26</v>
      </c>
      <c r="AI115" s="134">
        <f>SUMPRODUCT(-('Gastos Gerais'!$B$4:$B$3632=Analítico!$B115),-(Analítico!AI$3&gt;='Gastos Gerais'!$D$4:$D$3632),-(Analítico!AI$3&lt;='Gastos Gerais'!$E$4:$E$3632),-('Gastos Gerais'!$C$4:$C$3632))</f>
        <v>26</v>
      </c>
      <c r="AJ115" s="134">
        <f>SUMPRODUCT(-('Gastos Gerais'!$B$4:$B$3632=Analítico!$B115),-(Analítico!AJ$3&gt;='Gastos Gerais'!$D$4:$D$3632),-(Analítico!AJ$3&lt;='Gastos Gerais'!$E$4:$E$3632),-('Gastos Gerais'!$C$4:$C$3632))</f>
        <v>26</v>
      </c>
      <c r="AK115" s="134">
        <f>SUMPRODUCT(-('Gastos Gerais'!$B$4:$B$3632=Analítico!$B115),-(Analítico!AK$3&gt;='Gastos Gerais'!$D$4:$D$3632),-(Analítico!AK$3&lt;='Gastos Gerais'!$E$4:$E$3632),-('Gastos Gerais'!$C$4:$C$3632))</f>
        <v>26</v>
      </c>
      <c r="AL115" s="134">
        <f>SUMPRODUCT(-('Gastos Gerais'!$B$4:$B$3632=Analítico!$B115),-(Analítico!AL$3&gt;='Gastos Gerais'!$D$4:$D$3632),-(Analítico!AL$3&lt;='Gastos Gerais'!$E$4:$E$3632),-('Gastos Gerais'!$C$4:$C$3632))</f>
        <v>26</v>
      </c>
      <c r="AM115" s="134">
        <f>SUMPRODUCT(-('Gastos Gerais'!$B$4:$B$3632=Analítico!$B115),-(Analítico!AM$3&gt;='Gastos Gerais'!$D$4:$D$3632),-(Analítico!AM$3&lt;='Gastos Gerais'!$E$4:$E$3632),-('Gastos Gerais'!$C$4:$C$3632))</f>
        <v>26</v>
      </c>
      <c r="AN115" s="134">
        <f>SUMPRODUCT(-('Gastos Gerais'!$B$4:$B$3632=Analítico!$B115),-(Analítico!AN$3&gt;='Gastos Gerais'!$D$4:$D$3632),-(Analítico!AN$3&lt;='Gastos Gerais'!$E$4:$E$3632),-('Gastos Gerais'!$C$4:$C$3632))</f>
        <v>104</v>
      </c>
      <c r="AO115" s="134">
        <f>SUMPRODUCT(-('Gastos Gerais'!$B$4:$B$3632=Analítico!$B115),-(Analítico!AO$3&gt;='Gastos Gerais'!$D$4:$D$3632),-(Analítico!AO$3&lt;='Gastos Gerais'!$E$4:$E$3632),-('Gastos Gerais'!$C$4:$C$3632))</f>
        <v>104</v>
      </c>
      <c r="AP115" s="134">
        <f>SUMPRODUCT(-('Gastos Gerais'!$B$4:$B$3632=Analítico!$B115),-(Analítico!AP$3&gt;='Gastos Gerais'!$D$4:$D$3632),-(Analítico!AP$3&lt;='Gastos Gerais'!$E$4:$E$3632),-('Gastos Gerais'!$C$4:$C$3632))</f>
        <v>104</v>
      </c>
      <c r="AQ115" s="134">
        <f>SUMPRODUCT(-('Gastos Gerais'!$B$4:$B$3632=Analítico!$B115),-(Analítico!AQ$3&gt;='Gastos Gerais'!$D$4:$D$3632),-(Analítico!AQ$3&lt;='Gastos Gerais'!$E$4:$E$3632),-('Gastos Gerais'!$C$4:$C$3632))</f>
        <v>104</v>
      </c>
      <c r="AR115" s="134">
        <f>SUMPRODUCT(-('Gastos Gerais'!$B$4:$B$3632=Analítico!$B115),-(Analítico!AR$3&gt;='Gastos Gerais'!$D$4:$D$3632),-(Analítico!AR$3&lt;='Gastos Gerais'!$E$4:$E$3632),-('Gastos Gerais'!$C$4:$C$3632))</f>
        <v>104</v>
      </c>
      <c r="AS115" s="134">
        <f>SUMPRODUCT(-('Gastos Gerais'!$B$4:$B$3632=Analítico!$B115),-(Analítico!AS$3&gt;='Gastos Gerais'!$D$4:$D$3632),-(Analítico!AS$3&lt;='Gastos Gerais'!$E$4:$E$3632),-('Gastos Gerais'!$C$4:$C$3632))</f>
        <v>26</v>
      </c>
      <c r="AT115" s="134">
        <f>SUMPRODUCT(-('Gastos Gerais'!$B$4:$B$3632=Analítico!$B115),-(Analítico!AT$3&gt;='Gastos Gerais'!$D$4:$D$3632),-(Analítico!AT$3&lt;='Gastos Gerais'!$E$4:$E$3632),-('Gastos Gerais'!$C$4:$C$3632))</f>
        <v>26</v>
      </c>
      <c r="AU115" s="134">
        <f>SUMPRODUCT(-('Gastos Gerais'!$B$4:$B$3632=Analítico!$B115),-(Analítico!AU$3&gt;='Gastos Gerais'!$D$4:$D$3632),-(Analítico!AU$3&lt;='Gastos Gerais'!$E$4:$E$3632),-('Gastos Gerais'!$C$4:$C$3632))</f>
        <v>26</v>
      </c>
      <c r="AV115" s="134">
        <f>SUMPRODUCT(-('Gastos Gerais'!$B$4:$B$3632=Analítico!$B115),-(Analítico!AV$3&gt;='Gastos Gerais'!$D$4:$D$3632),-(Analítico!AV$3&lt;='Gastos Gerais'!$E$4:$E$3632),-('Gastos Gerais'!$C$4:$C$3632))</f>
        <v>26</v>
      </c>
      <c r="AW115" s="134">
        <f>SUMPRODUCT(-('Gastos Gerais'!$B$4:$B$3632=Analítico!$B115),-(Analítico!AW$3&gt;='Gastos Gerais'!$D$4:$D$3632),-(Analítico!AW$3&lt;='Gastos Gerais'!$E$4:$E$3632),-('Gastos Gerais'!$C$4:$C$3632))</f>
        <v>26</v>
      </c>
      <c r="AX115" s="134">
        <f>SUMPRODUCT(-('Gastos Gerais'!$B$4:$B$3632=Analítico!$B115),-(Analítico!AX$3&gt;='Gastos Gerais'!$D$4:$D$3632),-(Analítico!AX$3&lt;='Gastos Gerais'!$E$4:$E$3632),-('Gastos Gerais'!$C$4:$C$3632))</f>
        <v>26</v>
      </c>
      <c r="AY115" s="134">
        <f>SUMPRODUCT(-('Gastos Gerais'!$B$4:$B$3632=Analítico!$B115),-(Analítico!AY$3&gt;='Gastos Gerais'!$D$4:$D$3632),-(Analítico!AY$3&lt;='Gastos Gerais'!$E$4:$E$3632),-('Gastos Gerais'!$C$4:$C$3632))</f>
        <v>26</v>
      </c>
      <c r="AZ115" s="134">
        <f>SUMPRODUCT(-('Gastos Gerais'!$B$4:$B$3632=Analítico!$B115),-(Analítico!AZ$3&gt;='Gastos Gerais'!$D$4:$D$3632),-(Analítico!AZ$3&lt;='Gastos Gerais'!$E$4:$E$3632),-('Gastos Gerais'!$C$4:$C$3632))</f>
        <v>104</v>
      </c>
      <c r="BA115" s="134">
        <f>SUMPRODUCT(-('Gastos Gerais'!$B$4:$B$3632=Analítico!$B115),-(Analítico!BA$3&gt;='Gastos Gerais'!$D$4:$D$3632),-(Analítico!BA$3&lt;='Gastos Gerais'!$E$4:$E$3632),-('Gastos Gerais'!$C$4:$C$3632))</f>
        <v>104</v>
      </c>
      <c r="BB115" s="134">
        <f>SUMPRODUCT(-('Gastos Gerais'!$B$4:$B$3632=Analítico!$B115),-(Analítico!BB$3&gt;='Gastos Gerais'!$D$4:$D$3632),-(Analítico!BB$3&lt;='Gastos Gerais'!$E$4:$E$3632),-('Gastos Gerais'!$C$4:$C$3632))</f>
        <v>104</v>
      </c>
      <c r="BC115" s="134">
        <f>SUMPRODUCT(-('Gastos Gerais'!$B$4:$B$3632=Analítico!$B115),-(Analítico!BC$3&gt;='Gastos Gerais'!$D$4:$D$3632),-(Analítico!BC$3&lt;='Gastos Gerais'!$E$4:$E$3632),-('Gastos Gerais'!$C$4:$C$3632))</f>
        <v>104</v>
      </c>
      <c r="BD115" s="134">
        <f>SUMPRODUCT(-('Gastos Gerais'!$B$4:$B$3632=Analítico!$B115),-(Analítico!BD$3&gt;='Gastos Gerais'!$D$4:$D$3632),-(Analítico!BD$3&lt;='Gastos Gerais'!$E$4:$E$3632),-('Gastos Gerais'!$C$4:$C$3632))</f>
        <v>104</v>
      </c>
      <c r="BE115" s="134">
        <f>SUMPRODUCT(-('Gastos Gerais'!$B$4:$B$3632=Analítico!$B115),-(Analítico!BE$3&gt;='Gastos Gerais'!$D$4:$D$3632),-(Analítico!BE$3&lt;='Gastos Gerais'!$E$4:$E$3632),-('Gastos Gerais'!$C$4:$C$3632))</f>
        <v>26</v>
      </c>
      <c r="BF115" s="134">
        <f>SUMPRODUCT(-('Gastos Gerais'!$B$4:$B$3632=Analítico!$B115),-(Analítico!BF$3&gt;='Gastos Gerais'!$D$4:$D$3632),-(Analítico!BF$3&lt;='Gastos Gerais'!$E$4:$E$3632),-('Gastos Gerais'!$C$4:$C$3632))</f>
        <v>26</v>
      </c>
      <c r="BG115" s="134">
        <f>SUMPRODUCT(-('Gastos Gerais'!$B$4:$B$3632=Analítico!$B115),-(Analítico!BG$3&gt;='Gastos Gerais'!$D$4:$D$3632),-(Analítico!BG$3&lt;='Gastos Gerais'!$E$4:$E$3632),-('Gastos Gerais'!$C$4:$C$3632))</f>
        <v>26</v>
      </c>
      <c r="BH115" s="134">
        <f>SUMPRODUCT(-('Gastos Gerais'!$B$4:$B$3632=Analítico!$B115),-(Analítico!BH$3&gt;='Gastos Gerais'!$D$4:$D$3632),-(Analítico!BH$3&lt;='Gastos Gerais'!$E$4:$E$3632),-('Gastos Gerais'!$C$4:$C$3632))</f>
        <v>26</v>
      </c>
      <c r="BI115" s="134">
        <f>SUMPRODUCT(-('Gastos Gerais'!$B$4:$B$3632=Analítico!$B115),-(Analítico!BI$3&gt;='Gastos Gerais'!$D$4:$D$3632),-(Analítico!BI$3&lt;='Gastos Gerais'!$E$4:$E$3632),-('Gastos Gerais'!$C$4:$C$3632))</f>
        <v>26</v>
      </c>
      <c r="BJ115" s="134">
        <f>SUMPRODUCT(-('Gastos Gerais'!$B$4:$B$3632=Analítico!$B115),-(Analítico!BJ$3&gt;='Gastos Gerais'!$D$4:$D$3632),-(Analítico!BJ$3&lt;='Gastos Gerais'!$E$4:$E$3632),-('Gastos Gerais'!$C$4:$C$3632))</f>
        <v>26</v>
      </c>
      <c r="BK115" s="189">
        <f t="shared" si="39"/>
        <v>3484</v>
      </c>
      <c r="BL115" s="136">
        <f t="shared" ca="1" si="40"/>
        <v>1.041299597725988E-5</v>
      </c>
      <c r="BN115" s="134">
        <f>SUMPRODUCT(-('Gastos Gerais'!$B$4:$B$3632=Analítico!$B115),-(Analítico!BN$3&gt;='Gastos Gerais'!$D$4:$D$3632),-(Analítico!BN$3&lt;='Gastos Gerais'!$E$4:$E$3632),-('Gastos Gerais'!$C$4:$C$3632))</f>
        <v>0</v>
      </c>
    </row>
    <row r="116" spans="1:66" s="160" customFormat="1" ht="23.25" customHeight="1">
      <c r="A116" s="229" t="s">
        <v>309</v>
      </c>
      <c r="B116" s="232" t="s">
        <v>310</v>
      </c>
      <c r="C116" s="188">
        <f t="shared" si="36"/>
        <v>0</v>
      </c>
      <c r="D116" s="134">
        <f>SUMPRODUCT(-('Gastos Gerais'!$B$4:$B$3632=Analítico!$B116),-(Analítico!D$3&gt;='Gastos Gerais'!$D$4:$D$3632),-(Analítico!D$3&lt;='Gastos Gerais'!$E$4:$E$3632),-('Gastos Gerais'!$C$4:$C$3632))</f>
        <v>2475</v>
      </c>
      <c r="E116" s="134">
        <f>SUMPRODUCT(-('Gastos Gerais'!$B$4:$B$3632=Analítico!$B116),-(Analítico!E$3&gt;='Gastos Gerais'!$D$4:$D$3632),-(Analítico!E$3&lt;='Gastos Gerais'!$E$4:$E$3632),-('Gastos Gerais'!$C$4:$C$3632))</f>
        <v>2475</v>
      </c>
      <c r="F116" s="134">
        <f>SUMPRODUCT(-('Gastos Gerais'!$B$4:$B$3632=Analítico!$B116),-(Analítico!F$3&gt;='Gastos Gerais'!$D$4:$D$3632),-(Analítico!F$3&lt;='Gastos Gerais'!$E$4:$E$3632),-('Gastos Gerais'!$C$4:$C$3632))</f>
        <v>2475</v>
      </c>
      <c r="G116" s="134">
        <f>SUMPRODUCT(-('Gastos Gerais'!$B$4:$B$3632=Analítico!$B116),-(Analítico!G$3&gt;='Gastos Gerais'!$D$4:$D$3632),-(Analítico!G$3&lt;='Gastos Gerais'!$E$4:$E$3632),-('Gastos Gerais'!$C$4:$C$3632))</f>
        <v>2475</v>
      </c>
      <c r="H116" s="134">
        <f>SUMPRODUCT(-('Gastos Gerais'!$B$4:$B$3632=Analítico!$B116),-(Analítico!H$3&gt;='Gastos Gerais'!$D$4:$D$3632),-(Analítico!H$3&lt;='Gastos Gerais'!$E$4:$E$3632),-('Gastos Gerais'!$C$4:$C$3632))</f>
        <v>0</v>
      </c>
      <c r="I116" s="134">
        <f>SUMPRODUCT(-('Gastos Gerais'!$B$4:$B$3632=Analítico!$B116),-(Analítico!I$3&gt;='Gastos Gerais'!$D$4:$D$3632),-(Analítico!I$3&lt;='Gastos Gerais'!$E$4:$E$3632),-('Gastos Gerais'!$C$4:$C$3632))</f>
        <v>0</v>
      </c>
      <c r="J116" s="134">
        <f>SUMPRODUCT(-('Gastos Gerais'!$B$4:$B$3632=Analítico!$B116),-(Analítico!J$3&gt;='Gastos Gerais'!$D$4:$D$3632),-(Analítico!J$3&lt;='Gastos Gerais'!$E$4:$E$3632),-('Gastos Gerais'!$C$4:$C$3632))</f>
        <v>0</v>
      </c>
      <c r="K116" s="134">
        <f>SUMPRODUCT(-('Gastos Gerais'!$B$4:$B$3632=Analítico!$B116),-(Analítico!K$3&gt;='Gastos Gerais'!$D$4:$D$3632),-(Analítico!K$3&lt;='Gastos Gerais'!$E$4:$E$3632),-('Gastos Gerais'!$C$4:$C$3632))</f>
        <v>0</v>
      </c>
      <c r="L116" s="134">
        <f>SUMPRODUCT(-('Gastos Gerais'!$B$4:$B$3632=Analítico!$B116),-(Analítico!L$3&gt;='Gastos Gerais'!$D$4:$D$3632),-(Analítico!L$3&lt;='Gastos Gerais'!$E$4:$E$3632),-('Gastos Gerais'!$C$4:$C$3632))</f>
        <v>0</v>
      </c>
      <c r="M116" s="134">
        <f>SUMPRODUCT(-('Gastos Gerais'!$B$4:$B$3632=Analítico!$B116),-(Analítico!M$3&gt;='Gastos Gerais'!$D$4:$D$3632),-(Analítico!M$3&lt;='Gastos Gerais'!$E$4:$E$3632),-('Gastos Gerais'!$C$4:$C$3632))</f>
        <v>0</v>
      </c>
      <c r="N116" s="134">
        <f>SUMPRODUCT(-('Gastos Gerais'!$B$4:$B$3632=Analítico!$B116),-(Analítico!N$3&gt;='Gastos Gerais'!$D$4:$D$3632),-(Analítico!N$3&lt;='Gastos Gerais'!$E$4:$E$3632),-('Gastos Gerais'!$C$4:$C$3632))</f>
        <v>0</v>
      </c>
      <c r="O116" s="134">
        <f>SUMPRODUCT(-('Gastos Gerais'!$B$4:$B$3632=Analítico!$B116),-(Analítico!O$3&gt;='Gastos Gerais'!$D$4:$D$3632),-(Analítico!O$3&lt;='Gastos Gerais'!$E$4:$E$3632),-('Gastos Gerais'!$C$4:$C$3632))</f>
        <v>0</v>
      </c>
      <c r="P116" s="134">
        <f>SUMPRODUCT(-('Gastos Gerais'!$B$4:$B$3632=Analítico!$B116),-(Analítico!P$3&gt;='Gastos Gerais'!$D$4:$D$3632),-(Analítico!P$3&lt;='Gastos Gerais'!$E$4:$E$3632),-('Gastos Gerais'!$C$4:$C$3632))</f>
        <v>2619.54</v>
      </c>
      <c r="Q116" s="134">
        <f>SUMPRODUCT(-('Gastos Gerais'!$B$4:$B$3632=Analítico!$B116),-(Analítico!Q$3&gt;='Gastos Gerais'!$D$4:$D$3632),-(Analítico!Q$3&lt;='Gastos Gerais'!$E$4:$E$3632),-('Gastos Gerais'!$C$4:$C$3632))</f>
        <v>2619.54</v>
      </c>
      <c r="R116" s="134">
        <f>SUMPRODUCT(-('Gastos Gerais'!$B$4:$B$3632=Analítico!$B116),-(Analítico!R$3&gt;='Gastos Gerais'!$D$4:$D$3632),-(Analítico!R$3&lt;='Gastos Gerais'!$E$4:$E$3632),-('Gastos Gerais'!$C$4:$C$3632))</f>
        <v>2619.54</v>
      </c>
      <c r="S116" s="134">
        <f>SUMPRODUCT(-('Gastos Gerais'!$B$4:$B$3632=Analítico!$B116),-(Analítico!S$3&gt;='Gastos Gerais'!$D$4:$D$3632),-(Analítico!S$3&lt;='Gastos Gerais'!$E$4:$E$3632),-('Gastos Gerais'!$C$4:$C$3632))</f>
        <v>2619.54</v>
      </c>
      <c r="T116" s="134">
        <f>SUMPRODUCT(-('Gastos Gerais'!$B$4:$B$3632=Analítico!$B116),-(Analítico!T$3&gt;='Gastos Gerais'!$D$4:$D$3632),-(Analítico!T$3&lt;='Gastos Gerais'!$E$4:$E$3632),-('Gastos Gerais'!$C$4:$C$3632))</f>
        <v>0</v>
      </c>
      <c r="U116" s="134">
        <f>SUMPRODUCT(-('Gastos Gerais'!$B$4:$B$3632=Analítico!$B116),-(Analítico!U$3&gt;='Gastos Gerais'!$D$4:$D$3632),-(Analítico!U$3&lt;='Gastos Gerais'!$E$4:$E$3632),-('Gastos Gerais'!$C$4:$C$3632))</f>
        <v>0</v>
      </c>
      <c r="V116" s="134">
        <f>SUMPRODUCT(-('Gastos Gerais'!$B$4:$B$3632=Analítico!$B116),-(Analítico!V$3&gt;='Gastos Gerais'!$D$4:$D$3632),-(Analítico!V$3&lt;='Gastos Gerais'!$E$4:$E$3632),-('Gastos Gerais'!$C$4:$C$3632))</f>
        <v>0</v>
      </c>
      <c r="W116" s="134">
        <f>SUMPRODUCT(-('Gastos Gerais'!$B$4:$B$3632=Analítico!$B116),-(Analítico!W$3&gt;='Gastos Gerais'!$D$4:$D$3632),-(Analítico!W$3&lt;='Gastos Gerais'!$E$4:$E$3632),-('Gastos Gerais'!$C$4:$C$3632))</f>
        <v>0</v>
      </c>
      <c r="X116" s="134">
        <f>SUMPRODUCT(-('Gastos Gerais'!$B$4:$B$3632=Analítico!$B116),-(Analítico!X$3&gt;='Gastos Gerais'!$D$4:$D$3632),-(Analítico!X$3&lt;='Gastos Gerais'!$E$4:$E$3632),-('Gastos Gerais'!$C$4:$C$3632))</f>
        <v>0</v>
      </c>
      <c r="Y116" s="134">
        <f>SUMPRODUCT(-('Gastos Gerais'!$B$4:$B$3632=Analítico!$B116),-(Analítico!Y$3&gt;='Gastos Gerais'!$D$4:$D$3632),-(Analítico!Y$3&lt;='Gastos Gerais'!$E$4:$E$3632),-('Gastos Gerais'!$C$4:$C$3632))</f>
        <v>0</v>
      </c>
      <c r="Z116" s="134">
        <f>SUMPRODUCT(-('Gastos Gerais'!$B$4:$B$3632=Analítico!$B116),-(Analítico!Z$3&gt;='Gastos Gerais'!$D$4:$D$3632),-(Analítico!Z$3&lt;='Gastos Gerais'!$E$4:$E$3632),-('Gastos Gerais'!$C$4:$C$3632))</f>
        <v>0</v>
      </c>
      <c r="AA116" s="134">
        <f>SUMPRODUCT(-('Gastos Gerais'!$B$4:$B$3632=Analítico!$B116),-(Analítico!AA$3&gt;='Gastos Gerais'!$D$4:$D$3632),-(Analítico!AA$3&lt;='Gastos Gerais'!$E$4:$E$3632),-('Gastos Gerais'!$C$4:$C$3632))</f>
        <v>0</v>
      </c>
      <c r="AB116" s="134">
        <f>SUMPRODUCT(-('Gastos Gerais'!$B$4:$B$3632=Analítico!$B116),-(Analítico!AB$3&gt;='Gastos Gerais'!$D$4:$D$3632),-(Analítico!AB$3&lt;='Gastos Gerais'!$E$4:$E$3632),-('Gastos Gerais'!$C$4:$C$3632))</f>
        <v>2772.52</v>
      </c>
      <c r="AC116" s="134">
        <f>SUMPRODUCT(-('Gastos Gerais'!$B$4:$B$3632=Analítico!$B116),-(Analítico!AC$3&gt;='Gastos Gerais'!$D$4:$D$3632),-(Analítico!AC$3&lt;='Gastos Gerais'!$E$4:$E$3632),-('Gastos Gerais'!$C$4:$C$3632))</f>
        <v>2772.52</v>
      </c>
      <c r="AD116" s="134">
        <f>SUMPRODUCT(-('Gastos Gerais'!$B$4:$B$3632=Analítico!$B116),-(Analítico!AD$3&gt;='Gastos Gerais'!$D$4:$D$3632),-(Analítico!AD$3&lt;='Gastos Gerais'!$E$4:$E$3632),-('Gastos Gerais'!$C$4:$C$3632))</f>
        <v>2772.52</v>
      </c>
      <c r="AE116" s="134">
        <f>SUMPRODUCT(-('Gastos Gerais'!$B$4:$B$3632=Analítico!$B116),-(Analítico!AE$3&gt;='Gastos Gerais'!$D$4:$D$3632),-(Analítico!AE$3&lt;='Gastos Gerais'!$E$4:$E$3632),-('Gastos Gerais'!$C$4:$C$3632))</f>
        <v>2772.52</v>
      </c>
      <c r="AF116" s="134">
        <f>SUMPRODUCT(-('Gastos Gerais'!$B$4:$B$3632=Analítico!$B116),-(Analítico!AF$3&gt;='Gastos Gerais'!$D$4:$D$3632),-(Analítico!AF$3&lt;='Gastos Gerais'!$E$4:$E$3632),-('Gastos Gerais'!$C$4:$C$3632))</f>
        <v>0</v>
      </c>
      <c r="AG116" s="134">
        <f>SUMPRODUCT(-('Gastos Gerais'!$B$4:$B$3632=Analítico!$B116),-(Analítico!AG$3&gt;='Gastos Gerais'!$D$4:$D$3632),-(Analítico!AG$3&lt;='Gastos Gerais'!$E$4:$E$3632),-('Gastos Gerais'!$C$4:$C$3632))</f>
        <v>0</v>
      </c>
      <c r="AH116" s="134">
        <f>SUMPRODUCT(-('Gastos Gerais'!$B$4:$B$3632=Analítico!$B116),-(Analítico!AH$3&gt;='Gastos Gerais'!$D$4:$D$3632),-(Analítico!AH$3&lt;='Gastos Gerais'!$E$4:$E$3632),-('Gastos Gerais'!$C$4:$C$3632))</f>
        <v>0</v>
      </c>
      <c r="AI116" s="134">
        <f>SUMPRODUCT(-('Gastos Gerais'!$B$4:$B$3632=Analítico!$B116),-(Analítico!AI$3&gt;='Gastos Gerais'!$D$4:$D$3632),-(Analítico!AI$3&lt;='Gastos Gerais'!$E$4:$E$3632),-('Gastos Gerais'!$C$4:$C$3632))</f>
        <v>0</v>
      </c>
      <c r="AJ116" s="134">
        <f>SUMPRODUCT(-('Gastos Gerais'!$B$4:$B$3632=Analítico!$B116),-(Analítico!AJ$3&gt;='Gastos Gerais'!$D$4:$D$3632),-(Analítico!AJ$3&lt;='Gastos Gerais'!$E$4:$E$3632),-('Gastos Gerais'!$C$4:$C$3632))</f>
        <v>0</v>
      </c>
      <c r="AK116" s="134">
        <f>SUMPRODUCT(-('Gastos Gerais'!$B$4:$B$3632=Analítico!$B116),-(Analítico!AK$3&gt;='Gastos Gerais'!$D$4:$D$3632),-(Analítico!AK$3&lt;='Gastos Gerais'!$E$4:$E$3632),-('Gastos Gerais'!$C$4:$C$3632))</f>
        <v>0</v>
      </c>
      <c r="AL116" s="134">
        <f>SUMPRODUCT(-('Gastos Gerais'!$B$4:$B$3632=Analítico!$B116),-(Analítico!AL$3&gt;='Gastos Gerais'!$D$4:$D$3632),-(Analítico!AL$3&lt;='Gastos Gerais'!$E$4:$E$3632),-('Gastos Gerais'!$C$4:$C$3632))</f>
        <v>0</v>
      </c>
      <c r="AM116" s="134">
        <f>SUMPRODUCT(-('Gastos Gerais'!$B$4:$B$3632=Analítico!$B116),-(Analítico!AM$3&gt;='Gastos Gerais'!$D$4:$D$3632),-(Analítico!AM$3&lt;='Gastos Gerais'!$E$4:$E$3632),-('Gastos Gerais'!$C$4:$C$3632))</f>
        <v>0</v>
      </c>
      <c r="AN116" s="134">
        <f>SUMPRODUCT(-('Gastos Gerais'!$B$4:$B$3632=Analítico!$B116),-(Analítico!AN$3&gt;='Gastos Gerais'!$D$4:$D$3632),-(Analítico!AN$3&lt;='Gastos Gerais'!$E$4:$E$3632),-('Gastos Gerais'!$C$4:$C$3632))</f>
        <v>2934.43</v>
      </c>
      <c r="AO116" s="134">
        <f>SUMPRODUCT(-('Gastos Gerais'!$B$4:$B$3632=Analítico!$B116),-(Analítico!AO$3&gt;='Gastos Gerais'!$D$4:$D$3632),-(Analítico!AO$3&lt;='Gastos Gerais'!$E$4:$E$3632),-('Gastos Gerais'!$C$4:$C$3632))</f>
        <v>2934.43</v>
      </c>
      <c r="AP116" s="134">
        <f>SUMPRODUCT(-('Gastos Gerais'!$B$4:$B$3632=Analítico!$B116),-(Analítico!AP$3&gt;='Gastos Gerais'!$D$4:$D$3632),-(Analítico!AP$3&lt;='Gastos Gerais'!$E$4:$E$3632),-('Gastos Gerais'!$C$4:$C$3632))</f>
        <v>2934.43</v>
      </c>
      <c r="AQ116" s="134">
        <f>SUMPRODUCT(-('Gastos Gerais'!$B$4:$B$3632=Analítico!$B116),-(Analítico!AQ$3&gt;='Gastos Gerais'!$D$4:$D$3632),-(Analítico!AQ$3&lt;='Gastos Gerais'!$E$4:$E$3632),-('Gastos Gerais'!$C$4:$C$3632))</f>
        <v>2934.43</v>
      </c>
      <c r="AR116" s="134">
        <f>SUMPRODUCT(-('Gastos Gerais'!$B$4:$B$3632=Analítico!$B116),-(Analítico!AR$3&gt;='Gastos Gerais'!$D$4:$D$3632),-(Analítico!AR$3&lt;='Gastos Gerais'!$E$4:$E$3632),-('Gastos Gerais'!$C$4:$C$3632))</f>
        <v>0</v>
      </c>
      <c r="AS116" s="134">
        <f>SUMPRODUCT(-('Gastos Gerais'!$B$4:$B$3632=Analítico!$B116),-(Analítico!AS$3&gt;='Gastos Gerais'!$D$4:$D$3632),-(Analítico!AS$3&lt;='Gastos Gerais'!$E$4:$E$3632),-('Gastos Gerais'!$C$4:$C$3632))</f>
        <v>0</v>
      </c>
      <c r="AT116" s="134">
        <f>SUMPRODUCT(-('Gastos Gerais'!$B$4:$B$3632=Analítico!$B116),-(Analítico!AT$3&gt;='Gastos Gerais'!$D$4:$D$3632),-(Analítico!AT$3&lt;='Gastos Gerais'!$E$4:$E$3632),-('Gastos Gerais'!$C$4:$C$3632))</f>
        <v>0</v>
      </c>
      <c r="AU116" s="134">
        <f>SUMPRODUCT(-('Gastos Gerais'!$B$4:$B$3632=Analítico!$B116),-(Analítico!AU$3&gt;='Gastos Gerais'!$D$4:$D$3632),-(Analítico!AU$3&lt;='Gastos Gerais'!$E$4:$E$3632),-('Gastos Gerais'!$C$4:$C$3632))</f>
        <v>0</v>
      </c>
      <c r="AV116" s="134">
        <f>SUMPRODUCT(-('Gastos Gerais'!$B$4:$B$3632=Analítico!$B116),-(Analítico!AV$3&gt;='Gastos Gerais'!$D$4:$D$3632),-(Analítico!AV$3&lt;='Gastos Gerais'!$E$4:$E$3632),-('Gastos Gerais'!$C$4:$C$3632))</f>
        <v>0</v>
      </c>
      <c r="AW116" s="134">
        <f>SUMPRODUCT(-('Gastos Gerais'!$B$4:$B$3632=Analítico!$B116),-(Analítico!AW$3&gt;='Gastos Gerais'!$D$4:$D$3632),-(Analítico!AW$3&lt;='Gastos Gerais'!$E$4:$E$3632),-('Gastos Gerais'!$C$4:$C$3632))</f>
        <v>0</v>
      </c>
      <c r="AX116" s="134">
        <f>SUMPRODUCT(-('Gastos Gerais'!$B$4:$B$3632=Analítico!$B116),-(Analítico!AX$3&gt;='Gastos Gerais'!$D$4:$D$3632),-(Analítico!AX$3&lt;='Gastos Gerais'!$E$4:$E$3632),-('Gastos Gerais'!$C$4:$C$3632))</f>
        <v>0</v>
      </c>
      <c r="AY116" s="134">
        <f>SUMPRODUCT(-('Gastos Gerais'!$B$4:$B$3632=Analítico!$B116),-(Analítico!AY$3&gt;='Gastos Gerais'!$D$4:$D$3632),-(Analítico!AY$3&lt;='Gastos Gerais'!$E$4:$E$3632),-('Gastos Gerais'!$C$4:$C$3632))</f>
        <v>0</v>
      </c>
      <c r="AZ116" s="134">
        <f>SUMPRODUCT(-('Gastos Gerais'!$B$4:$B$3632=Analítico!$B116),-(Analítico!AZ$3&gt;='Gastos Gerais'!$D$4:$D$3632),-(Analítico!AZ$3&lt;='Gastos Gerais'!$E$4:$E$3632),-('Gastos Gerais'!$C$4:$C$3632))</f>
        <v>3105.8</v>
      </c>
      <c r="BA116" s="134">
        <f>SUMPRODUCT(-('Gastos Gerais'!$B$4:$B$3632=Analítico!$B116),-(Analítico!BA$3&gt;='Gastos Gerais'!$D$4:$D$3632),-(Analítico!BA$3&lt;='Gastos Gerais'!$E$4:$E$3632),-('Gastos Gerais'!$C$4:$C$3632))</f>
        <v>3105.8</v>
      </c>
      <c r="BB116" s="134">
        <f>SUMPRODUCT(-('Gastos Gerais'!$B$4:$B$3632=Analítico!$B116),-(Analítico!BB$3&gt;='Gastos Gerais'!$D$4:$D$3632),-(Analítico!BB$3&lt;='Gastos Gerais'!$E$4:$E$3632),-('Gastos Gerais'!$C$4:$C$3632))</f>
        <v>3105.8</v>
      </c>
      <c r="BC116" s="134">
        <f>SUMPRODUCT(-('Gastos Gerais'!$B$4:$B$3632=Analítico!$B116),-(Analítico!BC$3&gt;='Gastos Gerais'!$D$4:$D$3632),-(Analítico!BC$3&lt;='Gastos Gerais'!$E$4:$E$3632),-('Gastos Gerais'!$C$4:$C$3632))</f>
        <v>3105.8</v>
      </c>
      <c r="BD116" s="134">
        <f>SUMPRODUCT(-('Gastos Gerais'!$B$4:$B$3632=Analítico!$B116),-(Analítico!BD$3&gt;='Gastos Gerais'!$D$4:$D$3632),-(Analítico!BD$3&lt;='Gastos Gerais'!$E$4:$E$3632),-('Gastos Gerais'!$C$4:$C$3632))</f>
        <v>0</v>
      </c>
      <c r="BE116" s="134">
        <f>SUMPRODUCT(-('Gastos Gerais'!$B$4:$B$3632=Analítico!$B116),-(Analítico!BE$3&gt;='Gastos Gerais'!$D$4:$D$3632),-(Analítico!BE$3&lt;='Gastos Gerais'!$E$4:$E$3632),-('Gastos Gerais'!$C$4:$C$3632))</f>
        <v>0</v>
      </c>
      <c r="BF116" s="134">
        <f>SUMPRODUCT(-('Gastos Gerais'!$B$4:$B$3632=Analítico!$B116),-(Analítico!BF$3&gt;='Gastos Gerais'!$D$4:$D$3632),-(Analítico!BF$3&lt;='Gastos Gerais'!$E$4:$E$3632),-('Gastos Gerais'!$C$4:$C$3632))</f>
        <v>0</v>
      </c>
      <c r="BG116" s="134">
        <f>SUMPRODUCT(-('Gastos Gerais'!$B$4:$B$3632=Analítico!$B116),-(Analítico!BG$3&gt;='Gastos Gerais'!$D$4:$D$3632),-(Analítico!BG$3&lt;='Gastos Gerais'!$E$4:$E$3632),-('Gastos Gerais'!$C$4:$C$3632))</f>
        <v>0</v>
      </c>
      <c r="BH116" s="134">
        <f>SUMPRODUCT(-('Gastos Gerais'!$B$4:$B$3632=Analítico!$B116),-(Analítico!BH$3&gt;='Gastos Gerais'!$D$4:$D$3632),-(Analítico!BH$3&lt;='Gastos Gerais'!$E$4:$E$3632),-('Gastos Gerais'!$C$4:$C$3632))</f>
        <v>0</v>
      </c>
      <c r="BI116" s="134">
        <f>SUMPRODUCT(-('Gastos Gerais'!$B$4:$B$3632=Analítico!$B116),-(Analítico!BI$3&gt;='Gastos Gerais'!$D$4:$D$3632),-(Analítico!BI$3&lt;='Gastos Gerais'!$E$4:$E$3632),-('Gastos Gerais'!$C$4:$C$3632))</f>
        <v>0</v>
      </c>
      <c r="BJ116" s="134">
        <f>SUMPRODUCT(-('Gastos Gerais'!$B$4:$B$3632=Analítico!$B116),-(Analítico!BJ$3&gt;='Gastos Gerais'!$D$4:$D$3632),-(Analítico!BJ$3&lt;='Gastos Gerais'!$E$4:$E$3632),-('Gastos Gerais'!$C$4:$C$3632))</f>
        <v>0</v>
      </c>
      <c r="BK116" s="189">
        <f t="shared" si="39"/>
        <v>55629.160000000018</v>
      </c>
      <c r="BL116" s="136">
        <f t="shared" ca="1" si="40"/>
        <v>1.6626470129114422E-4</v>
      </c>
      <c r="BN116" s="134">
        <f>SUMPRODUCT(-('Gastos Gerais'!$B$4:$B$3632=Analítico!$B116),-(Analítico!BN$3&gt;='Gastos Gerais'!$D$4:$D$3632),-(Analítico!BN$3&lt;='Gastos Gerais'!$E$4:$E$3632),-('Gastos Gerais'!$C$4:$C$3632))</f>
        <v>0</v>
      </c>
    </row>
    <row r="117" spans="1:66" s="160" customFormat="1" ht="23.25" customHeight="1">
      <c r="A117" s="229" t="s">
        <v>311</v>
      </c>
      <c r="B117" s="232" t="s">
        <v>312</v>
      </c>
      <c r="C117" s="188">
        <f t="shared" si="36"/>
        <v>216</v>
      </c>
      <c r="D117" s="134">
        <f>SUMPRODUCT(-('Gastos Gerais'!$B$4:$B$3632=Analítico!$B117),-(Analítico!D$3&gt;='Gastos Gerais'!$D$4:$D$3632),-(Analítico!D$3&lt;='Gastos Gerais'!$E$4:$E$3632),-('Gastos Gerais'!$C$4:$C$3632))</f>
        <v>720</v>
      </c>
      <c r="E117" s="134">
        <f>SUMPRODUCT(-('Gastos Gerais'!$B$4:$B$3632=Analítico!$B117),-(Analítico!E$3&gt;='Gastos Gerais'!$D$4:$D$3632),-(Analítico!E$3&lt;='Gastos Gerais'!$E$4:$E$3632),-('Gastos Gerais'!$C$4:$C$3632))</f>
        <v>720</v>
      </c>
      <c r="F117" s="134">
        <f>SUMPRODUCT(-('Gastos Gerais'!$B$4:$B$3632=Analítico!$B117),-(Analítico!F$3&gt;='Gastos Gerais'!$D$4:$D$3632),-(Analítico!F$3&lt;='Gastos Gerais'!$E$4:$E$3632),-('Gastos Gerais'!$C$4:$C$3632))</f>
        <v>720</v>
      </c>
      <c r="G117" s="134">
        <f>SUMPRODUCT(-('Gastos Gerais'!$B$4:$B$3632=Analítico!$B117),-(Analítico!G$3&gt;='Gastos Gerais'!$D$4:$D$3632),-(Analítico!G$3&lt;='Gastos Gerais'!$E$4:$E$3632),-('Gastos Gerais'!$C$4:$C$3632))</f>
        <v>720</v>
      </c>
      <c r="H117" s="134">
        <f>SUMPRODUCT(-('Gastos Gerais'!$B$4:$B$3632=Analítico!$B117),-(Analítico!H$3&gt;='Gastos Gerais'!$D$4:$D$3632),-(Analítico!H$3&lt;='Gastos Gerais'!$E$4:$E$3632),-('Gastos Gerais'!$C$4:$C$3632))</f>
        <v>720</v>
      </c>
      <c r="I117" s="134">
        <f>SUMPRODUCT(-('Gastos Gerais'!$B$4:$B$3632=Analítico!$B117),-(Analítico!I$3&gt;='Gastos Gerais'!$D$4:$D$3632),-(Analítico!I$3&lt;='Gastos Gerais'!$E$4:$E$3632),-('Gastos Gerais'!$C$4:$C$3632))</f>
        <v>720</v>
      </c>
      <c r="J117" s="134">
        <f>SUMPRODUCT(-('Gastos Gerais'!$B$4:$B$3632=Analítico!$B117),-(Analítico!J$3&gt;='Gastos Gerais'!$D$4:$D$3632),-(Analítico!J$3&lt;='Gastos Gerais'!$E$4:$E$3632),-('Gastos Gerais'!$C$4:$C$3632))</f>
        <v>720</v>
      </c>
      <c r="K117" s="134">
        <f>SUMPRODUCT(-('Gastos Gerais'!$B$4:$B$3632=Analítico!$B117),-(Analítico!K$3&gt;='Gastos Gerais'!$D$4:$D$3632),-(Analítico!K$3&lt;='Gastos Gerais'!$E$4:$E$3632),-('Gastos Gerais'!$C$4:$C$3632))</f>
        <v>720</v>
      </c>
      <c r="L117" s="134">
        <f>SUMPRODUCT(-('Gastos Gerais'!$B$4:$B$3632=Analítico!$B117),-(Analítico!L$3&gt;='Gastos Gerais'!$D$4:$D$3632),-(Analítico!L$3&lt;='Gastos Gerais'!$E$4:$E$3632),-('Gastos Gerais'!$C$4:$C$3632))</f>
        <v>720</v>
      </c>
      <c r="M117" s="134">
        <f>SUMPRODUCT(-('Gastos Gerais'!$B$4:$B$3632=Analítico!$B117),-(Analítico!M$3&gt;='Gastos Gerais'!$D$4:$D$3632),-(Analítico!M$3&lt;='Gastos Gerais'!$E$4:$E$3632),-('Gastos Gerais'!$C$4:$C$3632))</f>
        <v>720</v>
      </c>
      <c r="N117" s="134">
        <f>SUMPRODUCT(-('Gastos Gerais'!$B$4:$B$3632=Analítico!$B117),-(Analítico!N$3&gt;='Gastos Gerais'!$D$4:$D$3632),-(Analítico!N$3&lt;='Gastos Gerais'!$E$4:$E$3632),-('Gastos Gerais'!$C$4:$C$3632))</f>
        <v>720</v>
      </c>
      <c r="O117" s="134">
        <f>SUMPRODUCT(-('Gastos Gerais'!$B$4:$B$3632=Analítico!$B117),-(Analítico!O$3&gt;='Gastos Gerais'!$D$4:$D$3632),-(Analítico!O$3&lt;='Gastos Gerais'!$E$4:$E$3632),-('Gastos Gerais'!$C$4:$C$3632))</f>
        <v>1000</v>
      </c>
      <c r="P117" s="134">
        <f>SUMPRODUCT(-('Gastos Gerais'!$B$4:$B$3632=Analítico!$B117),-(Analítico!P$3&gt;='Gastos Gerais'!$D$4:$D$3632),-(Analítico!P$3&lt;='Gastos Gerais'!$E$4:$E$3632),-('Gastos Gerais'!$C$4:$C$3632))</f>
        <v>6040</v>
      </c>
      <c r="Q117" s="134">
        <f>SUMPRODUCT(-('Gastos Gerais'!$B$4:$B$3632=Analítico!$B117),-(Analítico!Q$3&gt;='Gastos Gerais'!$D$4:$D$3632),-(Analítico!Q$3&lt;='Gastos Gerais'!$E$4:$E$3632),-('Gastos Gerais'!$C$4:$C$3632))</f>
        <v>6040</v>
      </c>
      <c r="R117" s="134">
        <f>SUMPRODUCT(-('Gastos Gerais'!$B$4:$B$3632=Analítico!$B117),-(Analítico!R$3&gt;='Gastos Gerais'!$D$4:$D$3632),-(Analítico!R$3&lt;='Gastos Gerais'!$E$4:$E$3632),-('Gastos Gerais'!$C$4:$C$3632))</f>
        <v>6040</v>
      </c>
      <c r="S117" s="134">
        <f>SUMPRODUCT(-('Gastos Gerais'!$B$4:$B$3632=Analítico!$B117),-(Analítico!S$3&gt;='Gastos Gerais'!$D$4:$D$3632),-(Analítico!S$3&lt;='Gastos Gerais'!$E$4:$E$3632),-('Gastos Gerais'!$C$4:$C$3632))</f>
        <v>6040</v>
      </c>
      <c r="T117" s="134">
        <f>SUMPRODUCT(-('Gastos Gerais'!$B$4:$B$3632=Analítico!$B117),-(Analítico!T$3&gt;='Gastos Gerais'!$D$4:$D$3632),-(Analítico!T$3&lt;='Gastos Gerais'!$E$4:$E$3632),-('Gastos Gerais'!$C$4:$C$3632))</f>
        <v>6040</v>
      </c>
      <c r="U117" s="134">
        <f>SUMPRODUCT(-('Gastos Gerais'!$B$4:$B$3632=Analítico!$B117),-(Analítico!U$3&gt;='Gastos Gerais'!$D$4:$D$3632),-(Analítico!U$3&lt;='Gastos Gerais'!$E$4:$E$3632),-('Gastos Gerais'!$C$4:$C$3632))</f>
        <v>6040</v>
      </c>
      <c r="V117" s="134">
        <f>SUMPRODUCT(-('Gastos Gerais'!$B$4:$B$3632=Analítico!$B117),-(Analítico!V$3&gt;='Gastos Gerais'!$D$4:$D$3632),-(Analítico!V$3&lt;='Gastos Gerais'!$E$4:$E$3632),-('Gastos Gerais'!$C$4:$C$3632))</f>
        <v>6040</v>
      </c>
      <c r="W117" s="134">
        <f>SUMPRODUCT(-('Gastos Gerais'!$B$4:$B$3632=Analítico!$B117),-(Analítico!W$3&gt;='Gastos Gerais'!$D$4:$D$3632),-(Analítico!W$3&lt;='Gastos Gerais'!$E$4:$E$3632),-('Gastos Gerais'!$C$4:$C$3632))</f>
        <v>6040</v>
      </c>
      <c r="X117" s="134">
        <f>SUMPRODUCT(-('Gastos Gerais'!$B$4:$B$3632=Analítico!$B117),-(Analítico!X$3&gt;='Gastos Gerais'!$D$4:$D$3632),-(Analítico!X$3&lt;='Gastos Gerais'!$E$4:$E$3632),-('Gastos Gerais'!$C$4:$C$3632))</f>
        <v>6040</v>
      </c>
      <c r="Y117" s="134">
        <f>SUMPRODUCT(-('Gastos Gerais'!$B$4:$B$3632=Analítico!$B117),-(Analítico!Y$3&gt;='Gastos Gerais'!$D$4:$D$3632),-(Analítico!Y$3&lt;='Gastos Gerais'!$E$4:$E$3632),-('Gastos Gerais'!$C$4:$C$3632))</f>
        <v>6040</v>
      </c>
      <c r="Z117" s="134">
        <f>SUMPRODUCT(-('Gastos Gerais'!$B$4:$B$3632=Analítico!$B117),-(Analítico!Z$3&gt;='Gastos Gerais'!$D$4:$D$3632),-(Analítico!Z$3&lt;='Gastos Gerais'!$E$4:$E$3632),-('Gastos Gerais'!$C$4:$C$3632))</f>
        <v>6040</v>
      </c>
      <c r="AA117" s="134">
        <f>SUMPRODUCT(-('Gastos Gerais'!$B$4:$B$3632=Analítico!$B117),-(Analítico!AA$3&gt;='Gastos Gerais'!$D$4:$D$3632),-(Analítico!AA$3&lt;='Gastos Gerais'!$E$4:$E$3632),-('Gastos Gerais'!$C$4:$C$3632))</f>
        <v>6040</v>
      </c>
      <c r="AB117" s="134">
        <f>SUMPRODUCT(-('Gastos Gerais'!$B$4:$B$3632=Analítico!$B117),-(Analítico!AB$3&gt;='Gastos Gerais'!$D$4:$D$3632),-(Analítico!AB$3&lt;='Gastos Gerais'!$E$4:$E$3632),-('Gastos Gerais'!$C$4:$C$3632))</f>
        <v>6040</v>
      </c>
      <c r="AC117" s="134">
        <f>SUMPRODUCT(-('Gastos Gerais'!$B$4:$B$3632=Analítico!$B117),-(Analítico!AC$3&gt;='Gastos Gerais'!$D$4:$D$3632),-(Analítico!AC$3&lt;='Gastos Gerais'!$E$4:$E$3632),-('Gastos Gerais'!$C$4:$C$3632))</f>
        <v>6040</v>
      </c>
      <c r="AD117" s="134">
        <f>SUMPRODUCT(-('Gastos Gerais'!$B$4:$B$3632=Analítico!$B117),-(Analítico!AD$3&gt;='Gastos Gerais'!$D$4:$D$3632),-(Analítico!AD$3&lt;='Gastos Gerais'!$E$4:$E$3632),-('Gastos Gerais'!$C$4:$C$3632))</f>
        <v>6040</v>
      </c>
      <c r="AE117" s="134">
        <f>SUMPRODUCT(-('Gastos Gerais'!$B$4:$B$3632=Analítico!$B117),-(Analítico!AE$3&gt;='Gastos Gerais'!$D$4:$D$3632),-(Analítico!AE$3&lt;='Gastos Gerais'!$E$4:$E$3632),-('Gastos Gerais'!$C$4:$C$3632))</f>
        <v>6040</v>
      </c>
      <c r="AF117" s="134">
        <f>SUMPRODUCT(-('Gastos Gerais'!$B$4:$B$3632=Analítico!$B117),-(Analítico!AF$3&gt;='Gastos Gerais'!$D$4:$D$3632),-(Analítico!AF$3&lt;='Gastos Gerais'!$E$4:$E$3632),-('Gastos Gerais'!$C$4:$C$3632))</f>
        <v>6040</v>
      </c>
      <c r="AG117" s="134">
        <f>SUMPRODUCT(-('Gastos Gerais'!$B$4:$B$3632=Analítico!$B117),-(Analítico!AG$3&gt;='Gastos Gerais'!$D$4:$D$3632),-(Analítico!AG$3&lt;='Gastos Gerais'!$E$4:$E$3632),-('Gastos Gerais'!$C$4:$C$3632))</f>
        <v>6040</v>
      </c>
      <c r="AH117" s="134">
        <f>SUMPRODUCT(-('Gastos Gerais'!$B$4:$B$3632=Analítico!$B117),-(Analítico!AH$3&gt;='Gastos Gerais'!$D$4:$D$3632),-(Analítico!AH$3&lt;='Gastos Gerais'!$E$4:$E$3632),-('Gastos Gerais'!$C$4:$C$3632))</f>
        <v>6040</v>
      </c>
      <c r="AI117" s="134">
        <f>SUMPRODUCT(-('Gastos Gerais'!$B$4:$B$3632=Analítico!$B117),-(Analítico!AI$3&gt;='Gastos Gerais'!$D$4:$D$3632),-(Analítico!AI$3&lt;='Gastos Gerais'!$E$4:$E$3632),-('Gastos Gerais'!$C$4:$C$3632))</f>
        <v>6040</v>
      </c>
      <c r="AJ117" s="134">
        <f>SUMPRODUCT(-('Gastos Gerais'!$B$4:$B$3632=Analítico!$B117),-(Analítico!AJ$3&gt;='Gastos Gerais'!$D$4:$D$3632),-(Analítico!AJ$3&lt;='Gastos Gerais'!$E$4:$E$3632),-('Gastos Gerais'!$C$4:$C$3632))</f>
        <v>6040</v>
      </c>
      <c r="AK117" s="134">
        <f>SUMPRODUCT(-('Gastos Gerais'!$B$4:$B$3632=Analítico!$B117),-(Analítico!AK$3&gt;='Gastos Gerais'!$D$4:$D$3632),-(Analítico!AK$3&lt;='Gastos Gerais'!$E$4:$E$3632),-('Gastos Gerais'!$C$4:$C$3632))</f>
        <v>6040</v>
      </c>
      <c r="AL117" s="134">
        <f>SUMPRODUCT(-('Gastos Gerais'!$B$4:$B$3632=Analítico!$B117),-(Analítico!AL$3&gt;='Gastos Gerais'!$D$4:$D$3632),-(Analítico!AL$3&lt;='Gastos Gerais'!$E$4:$E$3632),-('Gastos Gerais'!$C$4:$C$3632))</f>
        <v>6040</v>
      </c>
      <c r="AM117" s="134">
        <f>SUMPRODUCT(-('Gastos Gerais'!$B$4:$B$3632=Analítico!$B117),-(Analítico!AM$3&gt;='Gastos Gerais'!$D$4:$D$3632),-(Analítico!AM$3&lt;='Gastos Gerais'!$E$4:$E$3632),-('Gastos Gerais'!$C$4:$C$3632))</f>
        <v>6040</v>
      </c>
      <c r="AN117" s="134">
        <f>SUMPRODUCT(-('Gastos Gerais'!$B$4:$B$3632=Analítico!$B117),-(Analítico!AN$3&gt;='Gastos Gerais'!$D$4:$D$3632),-(Analítico!AN$3&lt;='Gastos Gerais'!$E$4:$E$3632),-('Gastos Gerais'!$C$4:$C$3632))</f>
        <v>6320</v>
      </c>
      <c r="AO117" s="134">
        <f>SUMPRODUCT(-('Gastos Gerais'!$B$4:$B$3632=Analítico!$B117),-(Analítico!AO$3&gt;='Gastos Gerais'!$D$4:$D$3632),-(Analítico!AO$3&lt;='Gastos Gerais'!$E$4:$E$3632),-('Gastos Gerais'!$C$4:$C$3632))</f>
        <v>6320</v>
      </c>
      <c r="AP117" s="134">
        <f>SUMPRODUCT(-('Gastos Gerais'!$B$4:$B$3632=Analítico!$B117),-(Analítico!AP$3&gt;='Gastos Gerais'!$D$4:$D$3632),-(Analítico!AP$3&lt;='Gastos Gerais'!$E$4:$E$3632),-('Gastos Gerais'!$C$4:$C$3632))</f>
        <v>6320</v>
      </c>
      <c r="AQ117" s="134">
        <f>SUMPRODUCT(-('Gastos Gerais'!$B$4:$B$3632=Analítico!$B117),-(Analítico!AQ$3&gt;='Gastos Gerais'!$D$4:$D$3632),-(Analítico!AQ$3&lt;='Gastos Gerais'!$E$4:$E$3632),-('Gastos Gerais'!$C$4:$C$3632))</f>
        <v>6320</v>
      </c>
      <c r="AR117" s="134">
        <f>SUMPRODUCT(-('Gastos Gerais'!$B$4:$B$3632=Analítico!$B117),-(Analítico!AR$3&gt;='Gastos Gerais'!$D$4:$D$3632),-(Analítico!AR$3&lt;='Gastos Gerais'!$E$4:$E$3632),-('Gastos Gerais'!$C$4:$C$3632))</f>
        <v>6320</v>
      </c>
      <c r="AS117" s="134">
        <f>SUMPRODUCT(-('Gastos Gerais'!$B$4:$B$3632=Analítico!$B117),-(Analítico!AS$3&gt;='Gastos Gerais'!$D$4:$D$3632),-(Analítico!AS$3&lt;='Gastos Gerais'!$E$4:$E$3632),-('Gastos Gerais'!$C$4:$C$3632))</f>
        <v>6320</v>
      </c>
      <c r="AT117" s="134">
        <f>SUMPRODUCT(-('Gastos Gerais'!$B$4:$B$3632=Analítico!$B117),-(Analítico!AT$3&gt;='Gastos Gerais'!$D$4:$D$3632),-(Analítico!AT$3&lt;='Gastos Gerais'!$E$4:$E$3632),-('Gastos Gerais'!$C$4:$C$3632))</f>
        <v>6320</v>
      </c>
      <c r="AU117" s="134">
        <f>SUMPRODUCT(-('Gastos Gerais'!$B$4:$B$3632=Analítico!$B117),-(Analítico!AU$3&gt;='Gastos Gerais'!$D$4:$D$3632),-(Analítico!AU$3&lt;='Gastos Gerais'!$E$4:$E$3632),-('Gastos Gerais'!$C$4:$C$3632))</f>
        <v>6320</v>
      </c>
      <c r="AV117" s="134">
        <f>SUMPRODUCT(-('Gastos Gerais'!$B$4:$B$3632=Analítico!$B117),-(Analítico!AV$3&gt;='Gastos Gerais'!$D$4:$D$3632),-(Analítico!AV$3&lt;='Gastos Gerais'!$E$4:$E$3632),-('Gastos Gerais'!$C$4:$C$3632))</f>
        <v>6320</v>
      </c>
      <c r="AW117" s="134">
        <f>SUMPRODUCT(-('Gastos Gerais'!$B$4:$B$3632=Analítico!$B117),-(Analítico!AW$3&gt;='Gastos Gerais'!$D$4:$D$3632),-(Analítico!AW$3&lt;='Gastos Gerais'!$E$4:$E$3632),-('Gastos Gerais'!$C$4:$C$3632))</f>
        <v>6320</v>
      </c>
      <c r="AX117" s="134">
        <f>SUMPRODUCT(-('Gastos Gerais'!$B$4:$B$3632=Analítico!$B117),-(Analítico!AX$3&gt;='Gastos Gerais'!$D$4:$D$3632),-(Analítico!AX$3&lt;='Gastos Gerais'!$E$4:$E$3632),-('Gastos Gerais'!$C$4:$C$3632))</f>
        <v>6320</v>
      </c>
      <c r="AY117" s="134">
        <f>SUMPRODUCT(-('Gastos Gerais'!$B$4:$B$3632=Analítico!$B117),-(Analítico!AY$3&gt;='Gastos Gerais'!$D$4:$D$3632),-(Analítico!AY$3&lt;='Gastos Gerais'!$E$4:$E$3632),-('Gastos Gerais'!$C$4:$C$3632))</f>
        <v>6320</v>
      </c>
      <c r="AZ117" s="134">
        <f>SUMPRODUCT(-('Gastos Gerais'!$B$4:$B$3632=Analítico!$B117),-(Analítico!AZ$3&gt;='Gastos Gerais'!$D$4:$D$3632),-(Analítico!AZ$3&lt;='Gastos Gerais'!$E$4:$E$3632),-('Gastos Gerais'!$C$4:$C$3632))</f>
        <v>6040</v>
      </c>
      <c r="BA117" s="134">
        <f>SUMPRODUCT(-('Gastos Gerais'!$B$4:$B$3632=Analítico!$B117),-(Analítico!BA$3&gt;='Gastos Gerais'!$D$4:$D$3632),-(Analítico!BA$3&lt;='Gastos Gerais'!$E$4:$E$3632),-('Gastos Gerais'!$C$4:$C$3632))</f>
        <v>6040</v>
      </c>
      <c r="BB117" s="134">
        <f>SUMPRODUCT(-('Gastos Gerais'!$B$4:$B$3632=Analítico!$B117),-(Analítico!BB$3&gt;='Gastos Gerais'!$D$4:$D$3632),-(Analítico!BB$3&lt;='Gastos Gerais'!$E$4:$E$3632),-('Gastos Gerais'!$C$4:$C$3632))</f>
        <v>6040</v>
      </c>
      <c r="BC117" s="134">
        <f>SUMPRODUCT(-('Gastos Gerais'!$B$4:$B$3632=Analítico!$B117),-(Analítico!BC$3&gt;='Gastos Gerais'!$D$4:$D$3632),-(Analítico!BC$3&lt;='Gastos Gerais'!$E$4:$E$3632),-('Gastos Gerais'!$C$4:$C$3632))</f>
        <v>6040</v>
      </c>
      <c r="BD117" s="134">
        <f>SUMPRODUCT(-('Gastos Gerais'!$B$4:$B$3632=Analítico!$B117),-(Analítico!BD$3&gt;='Gastos Gerais'!$D$4:$D$3632),-(Analítico!BD$3&lt;='Gastos Gerais'!$E$4:$E$3632),-('Gastos Gerais'!$C$4:$C$3632))</f>
        <v>6040</v>
      </c>
      <c r="BE117" s="134">
        <f>SUMPRODUCT(-('Gastos Gerais'!$B$4:$B$3632=Analítico!$B117),-(Analítico!BE$3&gt;='Gastos Gerais'!$D$4:$D$3632),-(Analítico!BE$3&lt;='Gastos Gerais'!$E$4:$E$3632),-('Gastos Gerais'!$C$4:$C$3632))</f>
        <v>6040</v>
      </c>
      <c r="BF117" s="134">
        <f>SUMPRODUCT(-('Gastos Gerais'!$B$4:$B$3632=Analítico!$B117),-(Analítico!BF$3&gt;='Gastos Gerais'!$D$4:$D$3632),-(Analítico!BF$3&lt;='Gastos Gerais'!$E$4:$E$3632),-('Gastos Gerais'!$C$4:$C$3632))</f>
        <v>6040</v>
      </c>
      <c r="BG117" s="134">
        <f>SUMPRODUCT(-('Gastos Gerais'!$B$4:$B$3632=Analítico!$B117),-(Analítico!BG$3&gt;='Gastos Gerais'!$D$4:$D$3632),-(Analítico!BG$3&lt;='Gastos Gerais'!$E$4:$E$3632),-('Gastos Gerais'!$C$4:$C$3632))</f>
        <v>6040</v>
      </c>
      <c r="BH117" s="134">
        <f>SUMPRODUCT(-('Gastos Gerais'!$B$4:$B$3632=Analítico!$B117),-(Analítico!BH$3&gt;='Gastos Gerais'!$D$4:$D$3632),-(Analítico!BH$3&lt;='Gastos Gerais'!$E$4:$E$3632),-('Gastos Gerais'!$C$4:$C$3632))</f>
        <v>6040</v>
      </c>
      <c r="BI117" s="134">
        <f>SUMPRODUCT(-('Gastos Gerais'!$B$4:$B$3632=Analítico!$B117),-(Analítico!BI$3&gt;='Gastos Gerais'!$D$4:$D$3632),-(Analítico!BI$3&lt;='Gastos Gerais'!$E$4:$E$3632),-('Gastos Gerais'!$C$4:$C$3632))</f>
        <v>6040</v>
      </c>
      <c r="BJ117" s="134">
        <f>SUMPRODUCT(-('Gastos Gerais'!$B$4:$B$3632=Analítico!$B117),-(Analítico!BJ$3&gt;='Gastos Gerais'!$D$4:$D$3632),-(Analítico!BJ$3&lt;='Gastos Gerais'!$E$4:$E$3632),-('Gastos Gerais'!$C$4:$C$3632))</f>
        <v>6040</v>
      </c>
      <c r="BK117" s="189">
        <f t="shared" si="39"/>
        <v>296376</v>
      </c>
      <c r="BL117" s="136">
        <f t="shared" ca="1" si="40"/>
        <v>8.8581001600355179E-4</v>
      </c>
      <c r="BN117" s="134">
        <f>SUMPRODUCT(-('Gastos Gerais'!$B$4:$B$3632=Analítico!$B117),-(Analítico!BN$3&gt;='Gastos Gerais'!$D$4:$D$3632),-(Analítico!BN$3&lt;='Gastos Gerais'!$E$4:$E$3632),-('Gastos Gerais'!$C$4:$C$3632))</f>
        <v>720</v>
      </c>
    </row>
    <row r="118" spans="1:66" s="160" customFormat="1" ht="23.25" customHeight="1">
      <c r="A118" s="229" t="s">
        <v>313</v>
      </c>
      <c r="B118" s="232" t="s">
        <v>314</v>
      </c>
      <c r="C118" s="188">
        <f t="shared" si="36"/>
        <v>300</v>
      </c>
      <c r="D118" s="134">
        <f>SUMPRODUCT(-('Gastos Gerais'!$B$4:$B$3632=Analítico!$B118),-(Analítico!D$3&gt;='Gastos Gerais'!$D$4:$D$3632),-(Analítico!D$3&lt;='Gastos Gerais'!$E$4:$E$3632),-('Gastos Gerais'!$C$4:$C$3632))</f>
        <v>1000</v>
      </c>
      <c r="E118" s="134">
        <f>SUMPRODUCT(-('Gastos Gerais'!$B$4:$B$3632=Analítico!$B118),-(Analítico!E$3&gt;='Gastos Gerais'!$D$4:$D$3632),-(Analítico!E$3&lt;='Gastos Gerais'!$E$4:$E$3632),-('Gastos Gerais'!$C$4:$C$3632))</f>
        <v>1000</v>
      </c>
      <c r="F118" s="134">
        <f>SUMPRODUCT(-('Gastos Gerais'!$B$4:$B$3632=Analítico!$B118),-(Analítico!F$3&gt;='Gastos Gerais'!$D$4:$D$3632),-(Analítico!F$3&lt;='Gastos Gerais'!$E$4:$E$3632),-('Gastos Gerais'!$C$4:$C$3632))</f>
        <v>1000</v>
      </c>
      <c r="G118" s="134">
        <f>SUMPRODUCT(-('Gastos Gerais'!$B$4:$B$3632=Analítico!$B118),-(Analítico!G$3&gt;='Gastos Gerais'!$D$4:$D$3632),-(Analítico!G$3&lt;='Gastos Gerais'!$E$4:$E$3632),-('Gastos Gerais'!$C$4:$C$3632))</f>
        <v>1000</v>
      </c>
      <c r="H118" s="134">
        <f>SUMPRODUCT(-('Gastos Gerais'!$B$4:$B$3632=Analítico!$B118),-(Analítico!H$3&gt;='Gastos Gerais'!$D$4:$D$3632),-(Analítico!H$3&lt;='Gastos Gerais'!$E$4:$E$3632),-('Gastos Gerais'!$C$4:$C$3632))</f>
        <v>1000</v>
      </c>
      <c r="I118" s="134">
        <f>SUMPRODUCT(-('Gastos Gerais'!$B$4:$B$3632=Analítico!$B118),-(Analítico!I$3&gt;='Gastos Gerais'!$D$4:$D$3632),-(Analítico!I$3&lt;='Gastos Gerais'!$E$4:$E$3632),-('Gastos Gerais'!$C$4:$C$3632))</f>
        <v>1000</v>
      </c>
      <c r="J118" s="134">
        <f>SUMPRODUCT(-('Gastos Gerais'!$B$4:$B$3632=Analítico!$B118),-(Analítico!J$3&gt;='Gastos Gerais'!$D$4:$D$3632),-(Analítico!J$3&lt;='Gastos Gerais'!$E$4:$E$3632),-('Gastos Gerais'!$C$4:$C$3632))</f>
        <v>1000</v>
      </c>
      <c r="K118" s="134">
        <f>SUMPRODUCT(-('Gastos Gerais'!$B$4:$B$3632=Analítico!$B118),-(Analítico!K$3&gt;='Gastos Gerais'!$D$4:$D$3632),-(Analítico!K$3&lt;='Gastos Gerais'!$E$4:$E$3632),-('Gastos Gerais'!$C$4:$C$3632))</f>
        <v>1000</v>
      </c>
      <c r="L118" s="134">
        <f>SUMPRODUCT(-('Gastos Gerais'!$B$4:$B$3632=Analítico!$B118),-(Analítico!L$3&gt;='Gastos Gerais'!$D$4:$D$3632),-(Analítico!L$3&lt;='Gastos Gerais'!$E$4:$E$3632),-('Gastos Gerais'!$C$4:$C$3632))</f>
        <v>1000</v>
      </c>
      <c r="M118" s="134">
        <f>SUMPRODUCT(-('Gastos Gerais'!$B$4:$B$3632=Analítico!$B118),-(Analítico!M$3&gt;='Gastos Gerais'!$D$4:$D$3632),-(Analítico!M$3&lt;='Gastos Gerais'!$E$4:$E$3632),-('Gastos Gerais'!$C$4:$C$3632))</f>
        <v>1000</v>
      </c>
      <c r="N118" s="134">
        <f>SUMPRODUCT(-('Gastos Gerais'!$B$4:$B$3632=Analítico!$B118),-(Analítico!N$3&gt;='Gastos Gerais'!$D$4:$D$3632),-(Analítico!N$3&lt;='Gastos Gerais'!$E$4:$E$3632),-('Gastos Gerais'!$C$4:$C$3632))</f>
        <v>1000</v>
      </c>
      <c r="O118" s="134">
        <f>SUMPRODUCT(-('Gastos Gerais'!$B$4:$B$3632=Analítico!$B118),-(Analítico!O$3&gt;='Gastos Gerais'!$D$4:$D$3632),-(Analítico!O$3&lt;='Gastos Gerais'!$E$4:$E$3632),-('Gastos Gerais'!$C$4:$C$3632))</f>
        <v>1000</v>
      </c>
      <c r="P118" s="134">
        <f>SUMPRODUCT(-('Gastos Gerais'!$B$4:$B$3632=Analítico!$B118),-(Analítico!P$3&gt;='Gastos Gerais'!$D$4:$D$3632),-(Analítico!P$3&lt;='Gastos Gerais'!$E$4:$E$3632),-('Gastos Gerais'!$C$4:$C$3632))</f>
        <v>1000</v>
      </c>
      <c r="Q118" s="134">
        <f>SUMPRODUCT(-('Gastos Gerais'!$B$4:$B$3632=Analítico!$B118),-(Analítico!Q$3&gt;='Gastos Gerais'!$D$4:$D$3632),-(Analítico!Q$3&lt;='Gastos Gerais'!$E$4:$E$3632),-('Gastos Gerais'!$C$4:$C$3632))</f>
        <v>1000</v>
      </c>
      <c r="R118" s="134">
        <f>SUMPRODUCT(-('Gastos Gerais'!$B$4:$B$3632=Analítico!$B118),-(Analítico!R$3&gt;='Gastos Gerais'!$D$4:$D$3632),-(Analítico!R$3&lt;='Gastos Gerais'!$E$4:$E$3632),-('Gastos Gerais'!$C$4:$C$3632))</f>
        <v>1000</v>
      </c>
      <c r="S118" s="134">
        <f>SUMPRODUCT(-('Gastos Gerais'!$B$4:$B$3632=Analítico!$B118),-(Analítico!S$3&gt;='Gastos Gerais'!$D$4:$D$3632),-(Analítico!S$3&lt;='Gastos Gerais'!$E$4:$E$3632),-('Gastos Gerais'!$C$4:$C$3632))</f>
        <v>1000</v>
      </c>
      <c r="T118" s="134">
        <f>SUMPRODUCT(-('Gastos Gerais'!$B$4:$B$3632=Analítico!$B118),-(Analítico!T$3&gt;='Gastos Gerais'!$D$4:$D$3632),-(Analítico!T$3&lt;='Gastos Gerais'!$E$4:$E$3632),-('Gastos Gerais'!$C$4:$C$3632))</f>
        <v>1000</v>
      </c>
      <c r="U118" s="134">
        <f>SUMPRODUCT(-('Gastos Gerais'!$B$4:$B$3632=Analítico!$B118),-(Analítico!U$3&gt;='Gastos Gerais'!$D$4:$D$3632),-(Analítico!U$3&lt;='Gastos Gerais'!$E$4:$E$3632),-('Gastos Gerais'!$C$4:$C$3632))</f>
        <v>1000</v>
      </c>
      <c r="V118" s="134">
        <f>SUMPRODUCT(-('Gastos Gerais'!$B$4:$B$3632=Analítico!$B118),-(Analítico!V$3&gt;='Gastos Gerais'!$D$4:$D$3632),-(Analítico!V$3&lt;='Gastos Gerais'!$E$4:$E$3632),-('Gastos Gerais'!$C$4:$C$3632))</f>
        <v>1000</v>
      </c>
      <c r="W118" s="134">
        <f>SUMPRODUCT(-('Gastos Gerais'!$B$4:$B$3632=Analítico!$B118),-(Analítico!W$3&gt;='Gastos Gerais'!$D$4:$D$3632),-(Analítico!W$3&lt;='Gastos Gerais'!$E$4:$E$3632),-('Gastos Gerais'!$C$4:$C$3632))</f>
        <v>1000</v>
      </c>
      <c r="X118" s="134">
        <f>SUMPRODUCT(-('Gastos Gerais'!$B$4:$B$3632=Analítico!$B118),-(Analítico!X$3&gt;='Gastos Gerais'!$D$4:$D$3632),-(Analítico!X$3&lt;='Gastos Gerais'!$E$4:$E$3632),-('Gastos Gerais'!$C$4:$C$3632))</f>
        <v>1000</v>
      </c>
      <c r="Y118" s="134">
        <f>SUMPRODUCT(-('Gastos Gerais'!$B$4:$B$3632=Analítico!$B118),-(Analítico!Y$3&gt;='Gastos Gerais'!$D$4:$D$3632),-(Analítico!Y$3&lt;='Gastos Gerais'!$E$4:$E$3632),-('Gastos Gerais'!$C$4:$C$3632))</f>
        <v>1000</v>
      </c>
      <c r="Z118" s="134">
        <f>SUMPRODUCT(-('Gastos Gerais'!$B$4:$B$3632=Analítico!$B118),-(Analítico!Z$3&gt;='Gastos Gerais'!$D$4:$D$3632),-(Analítico!Z$3&lt;='Gastos Gerais'!$E$4:$E$3632),-('Gastos Gerais'!$C$4:$C$3632))</f>
        <v>1000</v>
      </c>
      <c r="AA118" s="134">
        <f>SUMPRODUCT(-('Gastos Gerais'!$B$4:$B$3632=Analítico!$B118),-(Analítico!AA$3&gt;='Gastos Gerais'!$D$4:$D$3632),-(Analítico!AA$3&lt;='Gastos Gerais'!$E$4:$E$3632),-('Gastos Gerais'!$C$4:$C$3632))</f>
        <v>1000</v>
      </c>
      <c r="AB118" s="134">
        <f>SUMPRODUCT(-('Gastos Gerais'!$B$4:$B$3632=Analítico!$B118),-(Analítico!AB$3&gt;='Gastos Gerais'!$D$4:$D$3632),-(Analítico!AB$3&lt;='Gastos Gerais'!$E$4:$E$3632),-('Gastos Gerais'!$C$4:$C$3632))</f>
        <v>1000</v>
      </c>
      <c r="AC118" s="134">
        <f>SUMPRODUCT(-('Gastos Gerais'!$B$4:$B$3632=Analítico!$B118),-(Analítico!AC$3&gt;='Gastos Gerais'!$D$4:$D$3632),-(Analítico!AC$3&lt;='Gastos Gerais'!$E$4:$E$3632),-('Gastos Gerais'!$C$4:$C$3632))</f>
        <v>1000</v>
      </c>
      <c r="AD118" s="134">
        <f>SUMPRODUCT(-('Gastos Gerais'!$B$4:$B$3632=Analítico!$B118),-(Analítico!AD$3&gt;='Gastos Gerais'!$D$4:$D$3632),-(Analítico!AD$3&lt;='Gastos Gerais'!$E$4:$E$3632),-('Gastos Gerais'!$C$4:$C$3632))</f>
        <v>1000</v>
      </c>
      <c r="AE118" s="134">
        <f>SUMPRODUCT(-('Gastos Gerais'!$B$4:$B$3632=Analítico!$B118),-(Analítico!AE$3&gt;='Gastos Gerais'!$D$4:$D$3632),-(Analítico!AE$3&lt;='Gastos Gerais'!$E$4:$E$3632),-('Gastos Gerais'!$C$4:$C$3632))</f>
        <v>1000</v>
      </c>
      <c r="AF118" s="134">
        <f>SUMPRODUCT(-('Gastos Gerais'!$B$4:$B$3632=Analítico!$B118),-(Analítico!AF$3&gt;='Gastos Gerais'!$D$4:$D$3632),-(Analítico!AF$3&lt;='Gastos Gerais'!$E$4:$E$3632),-('Gastos Gerais'!$C$4:$C$3632))</f>
        <v>1000</v>
      </c>
      <c r="AG118" s="134">
        <f>SUMPRODUCT(-('Gastos Gerais'!$B$4:$B$3632=Analítico!$B118),-(Analítico!AG$3&gt;='Gastos Gerais'!$D$4:$D$3632),-(Analítico!AG$3&lt;='Gastos Gerais'!$E$4:$E$3632),-('Gastos Gerais'!$C$4:$C$3632))</f>
        <v>1000</v>
      </c>
      <c r="AH118" s="134">
        <f>SUMPRODUCT(-('Gastos Gerais'!$B$4:$B$3632=Analítico!$B118),-(Analítico!AH$3&gt;='Gastos Gerais'!$D$4:$D$3632),-(Analítico!AH$3&lt;='Gastos Gerais'!$E$4:$E$3632),-('Gastos Gerais'!$C$4:$C$3632))</f>
        <v>1000</v>
      </c>
      <c r="AI118" s="134">
        <f>SUMPRODUCT(-('Gastos Gerais'!$B$4:$B$3632=Analítico!$B118),-(Analítico!AI$3&gt;='Gastos Gerais'!$D$4:$D$3632),-(Analítico!AI$3&lt;='Gastos Gerais'!$E$4:$E$3632),-('Gastos Gerais'!$C$4:$C$3632))</f>
        <v>1000</v>
      </c>
      <c r="AJ118" s="134">
        <f>SUMPRODUCT(-('Gastos Gerais'!$B$4:$B$3632=Analítico!$B118),-(Analítico!AJ$3&gt;='Gastos Gerais'!$D$4:$D$3632),-(Analítico!AJ$3&lt;='Gastos Gerais'!$E$4:$E$3632),-('Gastos Gerais'!$C$4:$C$3632))</f>
        <v>1000</v>
      </c>
      <c r="AK118" s="134">
        <f>SUMPRODUCT(-('Gastos Gerais'!$B$4:$B$3632=Analítico!$B118),-(Analítico!AK$3&gt;='Gastos Gerais'!$D$4:$D$3632),-(Analítico!AK$3&lt;='Gastos Gerais'!$E$4:$E$3632),-('Gastos Gerais'!$C$4:$C$3632))</f>
        <v>1000</v>
      </c>
      <c r="AL118" s="134">
        <f>SUMPRODUCT(-('Gastos Gerais'!$B$4:$B$3632=Analítico!$B118),-(Analítico!AL$3&gt;='Gastos Gerais'!$D$4:$D$3632),-(Analítico!AL$3&lt;='Gastos Gerais'!$E$4:$E$3632),-('Gastos Gerais'!$C$4:$C$3632))</f>
        <v>1000</v>
      </c>
      <c r="AM118" s="134">
        <f>SUMPRODUCT(-('Gastos Gerais'!$B$4:$B$3632=Analítico!$B118),-(Analítico!AM$3&gt;='Gastos Gerais'!$D$4:$D$3632),-(Analítico!AM$3&lt;='Gastos Gerais'!$E$4:$E$3632),-('Gastos Gerais'!$C$4:$C$3632))</f>
        <v>1000</v>
      </c>
      <c r="AN118" s="134">
        <f>SUMPRODUCT(-('Gastos Gerais'!$B$4:$B$3632=Analítico!$B118),-(Analítico!AN$3&gt;='Gastos Gerais'!$D$4:$D$3632),-(Analítico!AN$3&lt;='Gastos Gerais'!$E$4:$E$3632),-('Gastos Gerais'!$C$4:$C$3632))</f>
        <v>1000</v>
      </c>
      <c r="AO118" s="134">
        <f>SUMPRODUCT(-('Gastos Gerais'!$B$4:$B$3632=Analítico!$B118),-(Analítico!AO$3&gt;='Gastos Gerais'!$D$4:$D$3632),-(Analítico!AO$3&lt;='Gastos Gerais'!$E$4:$E$3632),-('Gastos Gerais'!$C$4:$C$3632))</f>
        <v>1000</v>
      </c>
      <c r="AP118" s="134">
        <f>SUMPRODUCT(-('Gastos Gerais'!$B$4:$B$3632=Analítico!$B118),-(Analítico!AP$3&gt;='Gastos Gerais'!$D$4:$D$3632),-(Analítico!AP$3&lt;='Gastos Gerais'!$E$4:$E$3632),-('Gastos Gerais'!$C$4:$C$3632))</f>
        <v>1000</v>
      </c>
      <c r="AQ118" s="134">
        <f>SUMPRODUCT(-('Gastos Gerais'!$B$4:$B$3632=Analítico!$B118),-(Analítico!AQ$3&gt;='Gastos Gerais'!$D$4:$D$3632),-(Analítico!AQ$3&lt;='Gastos Gerais'!$E$4:$E$3632),-('Gastos Gerais'!$C$4:$C$3632))</f>
        <v>1000</v>
      </c>
      <c r="AR118" s="134">
        <f>SUMPRODUCT(-('Gastos Gerais'!$B$4:$B$3632=Analítico!$B118),-(Analítico!AR$3&gt;='Gastos Gerais'!$D$4:$D$3632),-(Analítico!AR$3&lt;='Gastos Gerais'!$E$4:$E$3632),-('Gastos Gerais'!$C$4:$C$3632))</f>
        <v>1000</v>
      </c>
      <c r="AS118" s="134">
        <f>SUMPRODUCT(-('Gastos Gerais'!$B$4:$B$3632=Analítico!$B118),-(Analítico!AS$3&gt;='Gastos Gerais'!$D$4:$D$3632),-(Analítico!AS$3&lt;='Gastos Gerais'!$E$4:$E$3632),-('Gastos Gerais'!$C$4:$C$3632))</f>
        <v>1000</v>
      </c>
      <c r="AT118" s="134">
        <f>SUMPRODUCT(-('Gastos Gerais'!$B$4:$B$3632=Analítico!$B118),-(Analítico!AT$3&gt;='Gastos Gerais'!$D$4:$D$3632),-(Analítico!AT$3&lt;='Gastos Gerais'!$E$4:$E$3632),-('Gastos Gerais'!$C$4:$C$3632))</f>
        <v>1000</v>
      </c>
      <c r="AU118" s="134">
        <f>SUMPRODUCT(-('Gastos Gerais'!$B$4:$B$3632=Analítico!$B118),-(Analítico!AU$3&gt;='Gastos Gerais'!$D$4:$D$3632),-(Analítico!AU$3&lt;='Gastos Gerais'!$E$4:$E$3632),-('Gastos Gerais'!$C$4:$C$3632))</f>
        <v>1000</v>
      </c>
      <c r="AV118" s="134">
        <f>SUMPRODUCT(-('Gastos Gerais'!$B$4:$B$3632=Analítico!$B118),-(Analítico!AV$3&gt;='Gastos Gerais'!$D$4:$D$3632),-(Analítico!AV$3&lt;='Gastos Gerais'!$E$4:$E$3632),-('Gastos Gerais'!$C$4:$C$3632))</f>
        <v>1000</v>
      </c>
      <c r="AW118" s="134">
        <f>SUMPRODUCT(-('Gastos Gerais'!$B$4:$B$3632=Analítico!$B118),-(Analítico!AW$3&gt;='Gastos Gerais'!$D$4:$D$3632),-(Analítico!AW$3&lt;='Gastos Gerais'!$E$4:$E$3632),-('Gastos Gerais'!$C$4:$C$3632))</f>
        <v>1000</v>
      </c>
      <c r="AX118" s="134">
        <f>SUMPRODUCT(-('Gastos Gerais'!$B$4:$B$3632=Analítico!$B118),-(Analítico!AX$3&gt;='Gastos Gerais'!$D$4:$D$3632),-(Analítico!AX$3&lt;='Gastos Gerais'!$E$4:$E$3632),-('Gastos Gerais'!$C$4:$C$3632))</f>
        <v>1000</v>
      </c>
      <c r="AY118" s="134">
        <f>SUMPRODUCT(-('Gastos Gerais'!$B$4:$B$3632=Analítico!$B118),-(Analítico!AY$3&gt;='Gastos Gerais'!$D$4:$D$3632),-(Analítico!AY$3&lt;='Gastos Gerais'!$E$4:$E$3632),-('Gastos Gerais'!$C$4:$C$3632))</f>
        <v>1000</v>
      </c>
      <c r="AZ118" s="134">
        <f>SUMPRODUCT(-('Gastos Gerais'!$B$4:$B$3632=Analítico!$B118),-(Analítico!AZ$3&gt;='Gastos Gerais'!$D$4:$D$3632),-(Analítico!AZ$3&lt;='Gastos Gerais'!$E$4:$E$3632),-('Gastos Gerais'!$C$4:$C$3632))</f>
        <v>1000</v>
      </c>
      <c r="BA118" s="134">
        <f>SUMPRODUCT(-('Gastos Gerais'!$B$4:$B$3632=Analítico!$B118),-(Analítico!BA$3&gt;='Gastos Gerais'!$D$4:$D$3632),-(Analítico!BA$3&lt;='Gastos Gerais'!$E$4:$E$3632),-('Gastos Gerais'!$C$4:$C$3632))</f>
        <v>1000</v>
      </c>
      <c r="BB118" s="134">
        <f>SUMPRODUCT(-('Gastos Gerais'!$B$4:$B$3632=Analítico!$B118),-(Analítico!BB$3&gt;='Gastos Gerais'!$D$4:$D$3632),-(Analítico!BB$3&lt;='Gastos Gerais'!$E$4:$E$3632),-('Gastos Gerais'!$C$4:$C$3632))</f>
        <v>1000</v>
      </c>
      <c r="BC118" s="134">
        <f>SUMPRODUCT(-('Gastos Gerais'!$B$4:$B$3632=Analítico!$B118),-(Analítico!BC$3&gt;='Gastos Gerais'!$D$4:$D$3632),-(Analítico!BC$3&lt;='Gastos Gerais'!$E$4:$E$3632),-('Gastos Gerais'!$C$4:$C$3632))</f>
        <v>1000</v>
      </c>
      <c r="BD118" s="134">
        <f>SUMPRODUCT(-('Gastos Gerais'!$B$4:$B$3632=Analítico!$B118),-(Analítico!BD$3&gt;='Gastos Gerais'!$D$4:$D$3632),-(Analítico!BD$3&lt;='Gastos Gerais'!$E$4:$E$3632),-('Gastos Gerais'!$C$4:$C$3632))</f>
        <v>1000</v>
      </c>
      <c r="BE118" s="134">
        <f>SUMPRODUCT(-('Gastos Gerais'!$B$4:$B$3632=Analítico!$B118),-(Analítico!BE$3&gt;='Gastos Gerais'!$D$4:$D$3632),-(Analítico!BE$3&lt;='Gastos Gerais'!$E$4:$E$3632),-('Gastos Gerais'!$C$4:$C$3632))</f>
        <v>1000</v>
      </c>
      <c r="BF118" s="134">
        <f>SUMPRODUCT(-('Gastos Gerais'!$B$4:$B$3632=Analítico!$B118),-(Analítico!BF$3&gt;='Gastos Gerais'!$D$4:$D$3632),-(Analítico!BF$3&lt;='Gastos Gerais'!$E$4:$E$3632),-('Gastos Gerais'!$C$4:$C$3632))</f>
        <v>1000</v>
      </c>
      <c r="BG118" s="134">
        <f>SUMPRODUCT(-('Gastos Gerais'!$B$4:$B$3632=Analítico!$B118),-(Analítico!BG$3&gt;='Gastos Gerais'!$D$4:$D$3632),-(Analítico!BG$3&lt;='Gastos Gerais'!$E$4:$E$3632),-('Gastos Gerais'!$C$4:$C$3632))</f>
        <v>1000</v>
      </c>
      <c r="BH118" s="134">
        <f>SUMPRODUCT(-('Gastos Gerais'!$B$4:$B$3632=Analítico!$B118),-(Analítico!BH$3&gt;='Gastos Gerais'!$D$4:$D$3632),-(Analítico!BH$3&lt;='Gastos Gerais'!$E$4:$E$3632),-('Gastos Gerais'!$C$4:$C$3632))</f>
        <v>1000</v>
      </c>
      <c r="BI118" s="134">
        <f>SUMPRODUCT(-('Gastos Gerais'!$B$4:$B$3632=Analítico!$B118),-(Analítico!BI$3&gt;='Gastos Gerais'!$D$4:$D$3632),-(Analítico!BI$3&lt;='Gastos Gerais'!$E$4:$E$3632),-('Gastos Gerais'!$C$4:$C$3632))</f>
        <v>1000</v>
      </c>
      <c r="BJ118" s="134">
        <f>SUMPRODUCT(-('Gastos Gerais'!$B$4:$B$3632=Analítico!$B118),-(Analítico!BJ$3&gt;='Gastos Gerais'!$D$4:$D$3632),-(Analítico!BJ$3&lt;='Gastos Gerais'!$E$4:$E$3632),-('Gastos Gerais'!$C$4:$C$3632))</f>
        <v>1000</v>
      </c>
      <c r="BK118" s="189">
        <f t="shared" si="39"/>
        <v>59300</v>
      </c>
      <c r="BL118" s="136">
        <f t="shared" ca="1" si="40"/>
        <v>1.7723612556013517E-4</v>
      </c>
      <c r="BN118" s="134">
        <f>SUMPRODUCT(-('Gastos Gerais'!$B$4:$B$3632=Analítico!$B118),-(Analítico!BN$3&gt;='Gastos Gerais'!$D$4:$D$3632),-(Analítico!BN$3&lt;='Gastos Gerais'!$E$4:$E$3632),-('Gastos Gerais'!$C$4:$C$3632))</f>
        <v>1000</v>
      </c>
    </row>
    <row r="119" spans="1:66" s="160" customFormat="1" ht="23.25" customHeight="1">
      <c r="A119" s="229" t="s">
        <v>315</v>
      </c>
      <c r="B119" s="232" t="s">
        <v>316</v>
      </c>
      <c r="C119" s="188">
        <f t="shared" si="36"/>
        <v>6360</v>
      </c>
      <c r="D119" s="134">
        <f>SUMPRODUCT(-('Gastos Gerais'!$B$4:$B$3632=Analítico!$B119),-(Analítico!D$3&gt;='Gastos Gerais'!$D$4:$D$3632),-(Analítico!D$3&lt;='Gastos Gerais'!$E$4:$E$3632),-('Gastos Gerais'!$C$4:$C$3632))</f>
        <v>23700</v>
      </c>
      <c r="E119" s="134">
        <f>SUMPRODUCT(-('Gastos Gerais'!$B$4:$B$3632=Analítico!$B119),-(Analítico!E$3&gt;='Gastos Gerais'!$D$4:$D$3632),-(Analítico!E$3&lt;='Gastos Gerais'!$E$4:$E$3632),-('Gastos Gerais'!$C$4:$C$3632))</f>
        <v>25700</v>
      </c>
      <c r="F119" s="134">
        <f>SUMPRODUCT(-('Gastos Gerais'!$B$4:$B$3632=Analítico!$B119),-(Analítico!F$3&gt;='Gastos Gerais'!$D$4:$D$3632),-(Analítico!F$3&lt;='Gastos Gerais'!$E$4:$E$3632),-('Gastos Gerais'!$C$4:$C$3632))</f>
        <v>25700</v>
      </c>
      <c r="G119" s="134">
        <f>SUMPRODUCT(-('Gastos Gerais'!$B$4:$B$3632=Analítico!$B119),-(Analítico!G$3&gt;='Gastos Gerais'!$D$4:$D$3632),-(Analítico!G$3&lt;='Gastos Gerais'!$E$4:$E$3632),-('Gastos Gerais'!$C$4:$C$3632))</f>
        <v>25700</v>
      </c>
      <c r="H119" s="134">
        <f>SUMPRODUCT(-('Gastos Gerais'!$B$4:$B$3632=Analítico!$B119),-(Analítico!H$3&gt;='Gastos Gerais'!$D$4:$D$3632),-(Analítico!H$3&lt;='Gastos Gerais'!$E$4:$E$3632),-('Gastos Gerais'!$C$4:$C$3632))</f>
        <v>25700</v>
      </c>
      <c r="I119" s="134">
        <f>SUMPRODUCT(-('Gastos Gerais'!$B$4:$B$3632=Analítico!$B119),-(Analítico!I$3&gt;='Gastos Gerais'!$D$4:$D$3632),-(Analítico!I$3&lt;='Gastos Gerais'!$E$4:$E$3632),-('Gastos Gerais'!$C$4:$C$3632))</f>
        <v>25700</v>
      </c>
      <c r="J119" s="134">
        <f>SUMPRODUCT(-('Gastos Gerais'!$B$4:$B$3632=Analítico!$B119),-(Analítico!J$3&gt;='Gastos Gerais'!$D$4:$D$3632),-(Analítico!J$3&lt;='Gastos Gerais'!$E$4:$E$3632),-('Gastos Gerais'!$C$4:$C$3632))</f>
        <v>25700</v>
      </c>
      <c r="K119" s="134">
        <f>SUMPRODUCT(-('Gastos Gerais'!$B$4:$B$3632=Analítico!$B119),-(Analítico!K$3&gt;='Gastos Gerais'!$D$4:$D$3632),-(Analítico!K$3&lt;='Gastos Gerais'!$E$4:$E$3632),-('Gastos Gerais'!$C$4:$C$3632))</f>
        <v>25700</v>
      </c>
      <c r="L119" s="134">
        <f>SUMPRODUCT(-('Gastos Gerais'!$B$4:$B$3632=Analítico!$B119),-(Analítico!L$3&gt;='Gastos Gerais'!$D$4:$D$3632),-(Analítico!L$3&lt;='Gastos Gerais'!$E$4:$E$3632),-('Gastos Gerais'!$C$4:$C$3632))</f>
        <v>25700</v>
      </c>
      <c r="M119" s="134">
        <f>SUMPRODUCT(-('Gastos Gerais'!$B$4:$B$3632=Analítico!$B119),-(Analítico!M$3&gt;='Gastos Gerais'!$D$4:$D$3632),-(Analítico!M$3&lt;='Gastos Gerais'!$E$4:$E$3632),-('Gastos Gerais'!$C$4:$C$3632))</f>
        <v>25700</v>
      </c>
      <c r="N119" s="134">
        <f>SUMPRODUCT(-('Gastos Gerais'!$B$4:$B$3632=Analítico!$B119),-(Analítico!N$3&gt;='Gastos Gerais'!$D$4:$D$3632),-(Analítico!N$3&lt;='Gastos Gerais'!$E$4:$E$3632),-('Gastos Gerais'!$C$4:$C$3632))</f>
        <v>25700</v>
      </c>
      <c r="O119" s="134">
        <f>SUMPRODUCT(-('Gastos Gerais'!$B$4:$B$3632=Analítico!$B119),-(Analítico!O$3&gt;='Gastos Gerais'!$D$4:$D$3632),-(Analítico!O$3&lt;='Gastos Gerais'!$E$4:$E$3632),-('Gastos Gerais'!$C$4:$C$3632))</f>
        <v>26700</v>
      </c>
      <c r="P119" s="134">
        <f>SUMPRODUCT(-('Gastos Gerais'!$B$4:$B$3632=Analítico!$B119),-(Analítico!P$3&gt;='Gastos Gerais'!$D$4:$D$3632),-(Analítico!P$3&lt;='Gastos Gerais'!$E$4:$E$3632),-('Gastos Gerais'!$C$4:$C$3632))</f>
        <v>26700</v>
      </c>
      <c r="Q119" s="134">
        <f>SUMPRODUCT(-('Gastos Gerais'!$B$4:$B$3632=Analítico!$B119),-(Analítico!Q$3&gt;='Gastos Gerais'!$D$4:$D$3632),-(Analítico!Q$3&lt;='Gastos Gerais'!$E$4:$E$3632),-('Gastos Gerais'!$C$4:$C$3632))</f>
        <v>27700</v>
      </c>
      <c r="R119" s="134">
        <f>SUMPRODUCT(-('Gastos Gerais'!$B$4:$B$3632=Analítico!$B119),-(Analítico!R$3&gt;='Gastos Gerais'!$D$4:$D$3632),-(Analítico!R$3&lt;='Gastos Gerais'!$E$4:$E$3632),-('Gastos Gerais'!$C$4:$C$3632))</f>
        <v>27700</v>
      </c>
      <c r="S119" s="134">
        <f>SUMPRODUCT(-('Gastos Gerais'!$B$4:$B$3632=Analítico!$B119),-(Analítico!S$3&gt;='Gastos Gerais'!$D$4:$D$3632),-(Analítico!S$3&lt;='Gastos Gerais'!$E$4:$E$3632),-('Gastos Gerais'!$C$4:$C$3632))</f>
        <v>27700</v>
      </c>
      <c r="T119" s="134">
        <f>SUMPRODUCT(-('Gastos Gerais'!$B$4:$B$3632=Analítico!$B119),-(Analítico!T$3&gt;='Gastos Gerais'!$D$4:$D$3632),-(Analítico!T$3&lt;='Gastos Gerais'!$E$4:$E$3632),-('Gastos Gerais'!$C$4:$C$3632))</f>
        <v>27700</v>
      </c>
      <c r="U119" s="134">
        <f>SUMPRODUCT(-('Gastos Gerais'!$B$4:$B$3632=Analítico!$B119),-(Analítico!U$3&gt;='Gastos Gerais'!$D$4:$D$3632),-(Analítico!U$3&lt;='Gastos Gerais'!$E$4:$E$3632),-('Gastos Gerais'!$C$4:$C$3632))</f>
        <v>27700</v>
      </c>
      <c r="V119" s="134">
        <f>SUMPRODUCT(-('Gastos Gerais'!$B$4:$B$3632=Analítico!$B119),-(Analítico!V$3&gt;='Gastos Gerais'!$D$4:$D$3632),-(Analítico!V$3&lt;='Gastos Gerais'!$E$4:$E$3632),-('Gastos Gerais'!$C$4:$C$3632))</f>
        <v>27700</v>
      </c>
      <c r="W119" s="134">
        <f>SUMPRODUCT(-('Gastos Gerais'!$B$4:$B$3632=Analítico!$B119),-(Analítico!W$3&gt;='Gastos Gerais'!$D$4:$D$3632),-(Analítico!W$3&lt;='Gastos Gerais'!$E$4:$E$3632),-('Gastos Gerais'!$C$4:$C$3632))</f>
        <v>27700</v>
      </c>
      <c r="X119" s="134">
        <f>SUMPRODUCT(-('Gastos Gerais'!$B$4:$B$3632=Analítico!$B119),-(Analítico!X$3&gt;='Gastos Gerais'!$D$4:$D$3632),-(Analítico!X$3&lt;='Gastos Gerais'!$E$4:$E$3632),-('Gastos Gerais'!$C$4:$C$3632))</f>
        <v>27700</v>
      </c>
      <c r="Y119" s="134">
        <f>SUMPRODUCT(-('Gastos Gerais'!$B$4:$B$3632=Analítico!$B119),-(Analítico!Y$3&gt;='Gastos Gerais'!$D$4:$D$3632),-(Analítico!Y$3&lt;='Gastos Gerais'!$E$4:$E$3632),-('Gastos Gerais'!$C$4:$C$3632))</f>
        <v>27700</v>
      </c>
      <c r="Z119" s="134">
        <f>SUMPRODUCT(-('Gastos Gerais'!$B$4:$B$3632=Analítico!$B119),-(Analítico!Z$3&gt;='Gastos Gerais'!$D$4:$D$3632),-(Analítico!Z$3&lt;='Gastos Gerais'!$E$4:$E$3632),-('Gastos Gerais'!$C$4:$C$3632))</f>
        <v>27700</v>
      </c>
      <c r="AA119" s="134">
        <f>SUMPRODUCT(-('Gastos Gerais'!$B$4:$B$3632=Analítico!$B119),-(Analítico!AA$3&gt;='Gastos Gerais'!$D$4:$D$3632),-(Analítico!AA$3&lt;='Gastos Gerais'!$E$4:$E$3632),-('Gastos Gerais'!$C$4:$C$3632))</f>
        <v>27700</v>
      </c>
      <c r="AB119" s="134">
        <f>SUMPRODUCT(-('Gastos Gerais'!$B$4:$B$3632=Analítico!$B119),-(Analítico!AB$3&gt;='Gastos Gerais'!$D$4:$D$3632),-(Analítico!AB$3&lt;='Gastos Gerais'!$E$4:$E$3632),-('Gastos Gerais'!$C$4:$C$3632))</f>
        <v>27700</v>
      </c>
      <c r="AC119" s="134">
        <f>SUMPRODUCT(-('Gastos Gerais'!$B$4:$B$3632=Analítico!$B119),-(Analítico!AC$3&gt;='Gastos Gerais'!$D$4:$D$3632),-(Analítico!AC$3&lt;='Gastos Gerais'!$E$4:$E$3632),-('Gastos Gerais'!$C$4:$C$3632))</f>
        <v>27700</v>
      </c>
      <c r="AD119" s="134">
        <f>SUMPRODUCT(-('Gastos Gerais'!$B$4:$B$3632=Analítico!$B119),-(Analítico!AD$3&gt;='Gastos Gerais'!$D$4:$D$3632),-(Analítico!AD$3&lt;='Gastos Gerais'!$E$4:$E$3632),-('Gastos Gerais'!$C$4:$C$3632))</f>
        <v>27700</v>
      </c>
      <c r="AE119" s="134">
        <f>SUMPRODUCT(-('Gastos Gerais'!$B$4:$B$3632=Analítico!$B119),-(Analítico!AE$3&gt;='Gastos Gerais'!$D$4:$D$3632),-(Analítico!AE$3&lt;='Gastos Gerais'!$E$4:$E$3632),-('Gastos Gerais'!$C$4:$C$3632))</f>
        <v>27700</v>
      </c>
      <c r="AF119" s="134">
        <f>SUMPRODUCT(-('Gastos Gerais'!$B$4:$B$3632=Analítico!$B119),-(Analítico!AF$3&gt;='Gastos Gerais'!$D$4:$D$3632),-(Analítico!AF$3&lt;='Gastos Gerais'!$E$4:$E$3632),-('Gastos Gerais'!$C$4:$C$3632))</f>
        <v>27700</v>
      </c>
      <c r="AG119" s="134">
        <f>SUMPRODUCT(-('Gastos Gerais'!$B$4:$B$3632=Analítico!$B119),-(Analítico!AG$3&gt;='Gastos Gerais'!$D$4:$D$3632),-(Analítico!AG$3&lt;='Gastos Gerais'!$E$4:$E$3632),-('Gastos Gerais'!$C$4:$C$3632))</f>
        <v>27700</v>
      </c>
      <c r="AH119" s="134">
        <f>SUMPRODUCT(-('Gastos Gerais'!$B$4:$B$3632=Analítico!$B119),-(Analítico!AH$3&gt;='Gastos Gerais'!$D$4:$D$3632),-(Analítico!AH$3&lt;='Gastos Gerais'!$E$4:$E$3632),-('Gastos Gerais'!$C$4:$C$3632))</f>
        <v>27700</v>
      </c>
      <c r="AI119" s="134">
        <f>SUMPRODUCT(-('Gastos Gerais'!$B$4:$B$3632=Analítico!$B119),-(Analítico!AI$3&gt;='Gastos Gerais'!$D$4:$D$3632),-(Analítico!AI$3&lt;='Gastos Gerais'!$E$4:$E$3632),-('Gastos Gerais'!$C$4:$C$3632))</f>
        <v>27700</v>
      </c>
      <c r="AJ119" s="134">
        <f>SUMPRODUCT(-('Gastos Gerais'!$B$4:$B$3632=Analítico!$B119),-(Analítico!AJ$3&gt;='Gastos Gerais'!$D$4:$D$3632),-(Analítico!AJ$3&lt;='Gastos Gerais'!$E$4:$E$3632),-('Gastos Gerais'!$C$4:$C$3632))</f>
        <v>27700</v>
      </c>
      <c r="AK119" s="134">
        <f>SUMPRODUCT(-('Gastos Gerais'!$B$4:$B$3632=Analítico!$B119),-(Analítico!AK$3&gt;='Gastos Gerais'!$D$4:$D$3632),-(Analítico!AK$3&lt;='Gastos Gerais'!$E$4:$E$3632),-('Gastos Gerais'!$C$4:$C$3632))</f>
        <v>27700</v>
      </c>
      <c r="AL119" s="134">
        <f>SUMPRODUCT(-('Gastos Gerais'!$B$4:$B$3632=Analítico!$B119),-(Analítico!AL$3&gt;='Gastos Gerais'!$D$4:$D$3632),-(Analítico!AL$3&lt;='Gastos Gerais'!$E$4:$E$3632),-('Gastos Gerais'!$C$4:$C$3632))</f>
        <v>27700</v>
      </c>
      <c r="AM119" s="134">
        <f>SUMPRODUCT(-('Gastos Gerais'!$B$4:$B$3632=Analítico!$B119),-(Analítico!AM$3&gt;='Gastos Gerais'!$D$4:$D$3632),-(Analítico!AM$3&lt;='Gastos Gerais'!$E$4:$E$3632),-('Gastos Gerais'!$C$4:$C$3632))</f>
        <v>27700</v>
      </c>
      <c r="AN119" s="134">
        <f>SUMPRODUCT(-('Gastos Gerais'!$B$4:$B$3632=Analítico!$B119),-(Analítico!AN$3&gt;='Gastos Gerais'!$D$4:$D$3632),-(Analítico!AN$3&lt;='Gastos Gerais'!$E$4:$E$3632),-('Gastos Gerais'!$C$4:$C$3632))</f>
        <v>28700</v>
      </c>
      <c r="AO119" s="134">
        <f>SUMPRODUCT(-('Gastos Gerais'!$B$4:$B$3632=Analítico!$B119),-(Analítico!AO$3&gt;='Gastos Gerais'!$D$4:$D$3632),-(Analítico!AO$3&lt;='Gastos Gerais'!$E$4:$E$3632),-('Gastos Gerais'!$C$4:$C$3632))</f>
        <v>28700</v>
      </c>
      <c r="AP119" s="134">
        <f>SUMPRODUCT(-('Gastos Gerais'!$B$4:$B$3632=Analítico!$B119),-(Analítico!AP$3&gt;='Gastos Gerais'!$D$4:$D$3632),-(Analítico!AP$3&lt;='Gastos Gerais'!$E$4:$E$3632),-('Gastos Gerais'!$C$4:$C$3632))</f>
        <v>28700</v>
      </c>
      <c r="AQ119" s="134">
        <f>SUMPRODUCT(-('Gastos Gerais'!$B$4:$B$3632=Analítico!$B119),-(Analítico!AQ$3&gt;='Gastos Gerais'!$D$4:$D$3632),-(Analítico!AQ$3&lt;='Gastos Gerais'!$E$4:$E$3632),-('Gastos Gerais'!$C$4:$C$3632))</f>
        <v>28700</v>
      </c>
      <c r="AR119" s="134">
        <f>SUMPRODUCT(-('Gastos Gerais'!$B$4:$B$3632=Analítico!$B119),-(Analítico!AR$3&gt;='Gastos Gerais'!$D$4:$D$3632),-(Analítico!AR$3&lt;='Gastos Gerais'!$E$4:$E$3632),-('Gastos Gerais'!$C$4:$C$3632))</f>
        <v>28700</v>
      </c>
      <c r="AS119" s="134">
        <f>SUMPRODUCT(-('Gastos Gerais'!$B$4:$B$3632=Analítico!$B119),-(Analítico!AS$3&gt;='Gastos Gerais'!$D$4:$D$3632),-(Analítico!AS$3&lt;='Gastos Gerais'!$E$4:$E$3632),-('Gastos Gerais'!$C$4:$C$3632))</f>
        <v>28700</v>
      </c>
      <c r="AT119" s="134">
        <f>SUMPRODUCT(-('Gastos Gerais'!$B$4:$B$3632=Analítico!$B119),-(Analítico!AT$3&gt;='Gastos Gerais'!$D$4:$D$3632),-(Analítico!AT$3&lt;='Gastos Gerais'!$E$4:$E$3632),-('Gastos Gerais'!$C$4:$C$3632))</f>
        <v>28700</v>
      </c>
      <c r="AU119" s="134">
        <f>SUMPRODUCT(-('Gastos Gerais'!$B$4:$B$3632=Analítico!$B119),-(Analítico!AU$3&gt;='Gastos Gerais'!$D$4:$D$3632),-(Analítico!AU$3&lt;='Gastos Gerais'!$E$4:$E$3632),-('Gastos Gerais'!$C$4:$C$3632))</f>
        <v>28700</v>
      </c>
      <c r="AV119" s="134">
        <f>SUMPRODUCT(-('Gastos Gerais'!$B$4:$B$3632=Analítico!$B119),-(Analítico!AV$3&gt;='Gastos Gerais'!$D$4:$D$3632),-(Analítico!AV$3&lt;='Gastos Gerais'!$E$4:$E$3632),-('Gastos Gerais'!$C$4:$C$3632))</f>
        <v>28700</v>
      </c>
      <c r="AW119" s="134">
        <f>SUMPRODUCT(-('Gastos Gerais'!$B$4:$B$3632=Analítico!$B119),-(Analítico!AW$3&gt;='Gastos Gerais'!$D$4:$D$3632),-(Analítico!AW$3&lt;='Gastos Gerais'!$E$4:$E$3632),-('Gastos Gerais'!$C$4:$C$3632))</f>
        <v>28700</v>
      </c>
      <c r="AX119" s="134">
        <f>SUMPRODUCT(-('Gastos Gerais'!$B$4:$B$3632=Analítico!$B119),-(Analítico!AX$3&gt;='Gastos Gerais'!$D$4:$D$3632),-(Analítico!AX$3&lt;='Gastos Gerais'!$E$4:$E$3632),-('Gastos Gerais'!$C$4:$C$3632))</f>
        <v>28700</v>
      </c>
      <c r="AY119" s="134">
        <f>SUMPRODUCT(-('Gastos Gerais'!$B$4:$B$3632=Analítico!$B119),-(Analítico!AY$3&gt;='Gastos Gerais'!$D$4:$D$3632),-(Analítico!AY$3&lt;='Gastos Gerais'!$E$4:$E$3632),-('Gastos Gerais'!$C$4:$C$3632))</f>
        <v>28700</v>
      </c>
      <c r="AZ119" s="134">
        <f>SUMPRODUCT(-('Gastos Gerais'!$B$4:$B$3632=Analítico!$B119),-(Analítico!AZ$3&gt;='Gastos Gerais'!$D$4:$D$3632),-(Analítico!AZ$3&lt;='Gastos Gerais'!$E$4:$E$3632),-('Gastos Gerais'!$C$4:$C$3632))</f>
        <v>27700</v>
      </c>
      <c r="BA119" s="134">
        <f>SUMPRODUCT(-('Gastos Gerais'!$B$4:$B$3632=Analítico!$B119),-(Analítico!BA$3&gt;='Gastos Gerais'!$D$4:$D$3632),-(Analítico!BA$3&lt;='Gastos Gerais'!$E$4:$E$3632),-('Gastos Gerais'!$C$4:$C$3632))</f>
        <v>27700</v>
      </c>
      <c r="BB119" s="134">
        <f>SUMPRODUCT(-('Gastos Gerais'!$B$4:$B$3632=Analítico!$B119),-(Analítico!BB$3&gt;='Gastos Gerais'!$D$4:$D$3632),-(Analítico!BB$3&lt;='Gastos Gerais'!$E$4:$E$3632),-('Gastos Gerais'!$C$4:$C$3632))</f>
        <v>27700</v>
      </c>
      <c r="BC119" s="134">
        <f>SUMPRODUCT(-('Gastos Gerais'!$B$4:$B$3632=Analítico!$B119),-(Analítico!BC$3&gt;='Gastos Gerais'!$D$4:$D$3632),-(Analítico!BC$3&lt;='Gastos Gerais'!$E$4:$E$3632),-('Gastos Gerais'!$C$4:$C$3632))</f>
        <v>27700</v>
      </c>
      <c r="BD119" s="134">
        <f>SUMPRODUCT(-('Gastos Gerais'!$B$4:$B$3632=Analítico!$B119),-(Analítico!BD$3&gt;='Gastos Gerais'!$D$4:$D$3632),-(Analítico!BD$3&lt;='Gastos Gerais'!$E$4:$E$3632),-('Gastos Gerais'!$C$4:$C$3632))</f>
        <v>27700</v>
      </c>
      <c r="BE119" s="134">
        <f>SUMPRODUCT(-('Gastos Gerais'!$B$4:$B$3632=Analítico!$B119),-(Analítico!BE$3&gt;='Gastos Gerais'!$D$4:$D$3632),-(Analítico!BE$3&lt;='Gastos Gerais'!$E$4:$E$3632),-('Gastos Gerais'!$C$4:$C$3632))</f>
        <v>27700</v>
      </c>
      <c r="BF119" s="134">
        <f>SUMPRODUCT(-('Gastos Gerais'!$B$4:$B$3632=Analítico!$B119),-(Analítico!BF$3&gt;='Gastos Gerais'!$D$4:$D$3632),-(Analítico!BF$3&lt;='Gastos Gerais'!$E$4:$E$3632),-('Gastos Gerais'!$C$4:$C$3632))</f>
        <v>27700</v>
      </c>
      <c r="BG119" s="134">
        <f>SUMPRODUCT(-('Gastos Gerais'!$B$4:$B$3632=Analítico!$B119),-(Analítico!BG$3&gt;='Gastos Gerais'!$D$4:$D$3632),-(Analítico!BG$3&lt;='Gastos Gerais'!$E$4:$E$3632),-('Gastos Gerais'!$C$4:$C$3632))</f>
        <v>27700</v>
      </c>
      <c r="BH119" s="134">
        <f>SUMPRODUCT(-('Gastos Gerais'!$B$4:$B$3632=Analítico!$B119),-(Analítico!BH$3&gt;='Gastos Gerais'!$D$4:$D$3632),-(Analítico!BH$3&lt;='Gastos Gerais'!$E$4:$E$3632),-('Gastos Gerais'!$C$4:$C$3632))</f>
        <v>27700</v>
      </c>
      <c r="BI119" s="134">
        <f>SUMPRODUCT(-('Gastos Gerais'!$B$4:$B$3632=Analítico!$B119),-(Analítico!BI$3&gt;='Gastos Gerais'!$D$4:$D$3632),-(Analítico!BI$3&lt;='Gastos Gerais'!$E$4:$E$3632),-('Gastos Gerais'!$C$4:$C$3632))</f>
        <v>27700</v>
      </c>
      <c r="BJ119" s="134">
        <f>SUMPRODUCT(-('Gastos Gerais'!$B$4:$B$3632=Analítico!$B119),-(Analítico!BJ$3&gt;='Gastos Gerais'!$D$4:$D$3632),-(Analítico!BJ$3&lt;='Gastos Gerais'!$E$4:$E$3632),-('Gastos Gerais'!$C$4:$C$3632))</f>
        <v>27700</v>
      </c>
      <c r="BK119" s="189">
        <f t="shared" si="39"/>
        <v>1626660</v>
      </c>
      <c r="BL119" s="136">
        <f t="shared" ca="1" si="40"/>
        <v>4.8617692412082541E-3</v>
      </c>
      <c r="BN119" s="134">
        <f>SUMPRODUCT(-('Gastos Gerais'!$B$4:$B$3632=Analítico!$B119),-(Analítico!BN$3&gt;='Gastos Gerais'!$D$4:$D$3632),-(Analítico!BN$3&lt;='Gastos Gerais'!$E$4:$E$3632),-('Gastos Gerais'!$C$4:$C$3632))</f>
        <v>21200</v>
      </c>
    </row>
    <row r="120" spans="1:66" s="160" customFormat="1" ht="23.25" customHeight="1">
      <c r="A120" s="229" t="s">
        <v>317</v>
      </c>
      <c r="B120" s="232" t="s">
        <v>318</v>
      </c>
      <c r="C120" s="188">
        <f t="shared" si="36"/>
        <v>17460</v>
      </c>
      <c r="D120" s="134">
        <f>SUMPRODUCT(-('Gastos Gerais'!$B$4:$B$3632=Analítico!$B120),-(Analítico!D$3&gt;='Gastos Gerais'!$D$4:$D$3632),-(Analítico!D$3&lt;='Gastos Gerais'!$E$4:$E$3632),-('Gastos Gerais'!$C$4:$C$3632))</f>
        <v>58200</v>
      </c>
      <c r="E120" s="134">
        <f>SUMPRODUCT(-('Gastos Gerais'!$B$4:$B$3632=Analítico!$B120),-(Analítico!E$3&gt;='Gastos Gerais'!$D$4:$D$3632),-(Analítico!E$3&lt;='Gastos Gerais'!$E$4:$E$3632),-('Gastos Gerais'!$C$4:$C$3632))</f>
        <v>65400</v>
      </c>
      <c r="F120" s="134">
        <f>SUMPRODUCT(-('Gastos Gerais'!$B$4:$B$3632=Analítico!$B120),-(Analítico!F$3&gt;='Gastos Gerais'!$D$4:$D$3632),-(Analítico!F$3&lt;='Gastos Gerais'!$E$4:$E$3632),-('Gastos Gerais'!$C$4:$C$3632))</f>
        <v>65400</v>
      </c>
      <c r="G120" s="134">
        <f>SUMPRODUCT(-('Gastos Gerais'!$B$4:$B$3632=Analítico!$B120),-(Analítico!G$3&gt;='Gastos Gerais'!$D$4:$D$3632),-(Analítico!G$3&lt;='Gastos Gerais'!$E$4:$E$3632),-('Gastos Gerais'!$C$4:$C$3632))</f>
        <v>65400</v>
      </c>
      <c r="H120" s="134">
        <f>SUMPRODUCT(-('Gastos Gerais'!$B$4:$B$3632=Analítico!$B120),-(Analítico!H$3&gt;='Gastos Gerais'!$D$4:$D$3632),-(Analítico!H$3&lt;='Gastos Gerais'!$E$4:$E$3632),-('Gastos Gerais'!$C$4:$C$3632))</f>
        <v>65400</v>
      </c>
      <c r="I120" s="134">
        <f>SUMPRODUCT(-('Gastos Gerais'!$B$4:$B$3632=Analítico!$B120),-(Analítico!I$3&gt;='Gastos Gerais'!$D$4:$D$3632),-(Analítico!I$3&lt;='Gastos Gerais'!$E$4:$E$3632),-('Gastos Gerais'!$C$4:$C$3632))</f>
        <v>65400</v>
      </c>
      <c r="J120" s="134">
        <f>SUMPRODUCT(-('Gastos Gerais'!$B$4:$B$3632=Analítico!$B120),-(Analítico!J$3&gt;='Gastos Gerais'!$D$4:$D$3632),-(Analítico!J$3&lt;='Gastos Gerais'!$E$4:$E$3632),-('Gastos Gerais'!$C$4:$C$3632))</f>
        <v>65400</v>
      </c>
      <c r="K120" s="134">
        <f>SUMPRODUCT(-('Gastos Gerais'!$B$4:$B$3632=Analítico!$B120),-(Analítico!K$3&gt;='Gastos Gerais'!$D$4:$D$3632),-(Analítico!K$3&lt;='Gastos Gerais'!$E$4:$E$3632),-('Gastos Gerais'!$C$4:$C$3632))</f>
        <v>65400</v>
      </c>
      <c r="L120" s="134">
        <f>SUMPRODUCT(-('Gastos Gerais'!$B$4:$B$3632=Analítico!$B120),-(Analítico!L$3&gt;='Gastos Gerais'!$D$4:$D$3632),-(Analítico!L$3&lt;='Gastos Gerais'!$E$4:$E$3632),-('Gastos Gerais'!$C$4:$C$3632))</f>
        <v>65400</v>
      </c>
      <c r="M120" s="134">
        <f>SUMPRODUCT(-('Gastos Gerais'!$B$4:$B$3632=Analítico!$B120),-(Analítico!M$3&gt;='Gastos Gerais'!$D$4:$D$3632),-(Analítico!M$3&lt;='Gastos Gerais'!$E$4:$E$3632),-('Gastos Gerais'!$C$4:$C$3632))</f>
        <v>65400</v>
      </c>
      <c r="N120" s="134">
        <f>SUMPRODUCT(-('Gastos Gerais'!$B$4:$B$3632=Analítico!$B120),-(Analítico!N$3&gt;='Gastos Gerais'!$D$4:$D$3632),-(Analítico!N$3&lt;='Gastos Gerais'!$E$4:$E$3632),-('Gastos Gerais'!$C$4:$C$3632))</f>
        <v>65645.279999999999</v>
      </c>
      <c r="O120" s="134">
        <f>SUMPRODUCT(-('Gastos Gerais'!$B$4:$B$3632=Analítico!$B120),-(Analítico!O$3&gt;='Gastos Gerais'!$D$4:$D$3632),-(Analítico!O$3&lt;='Gastos Gerais'!$E$4:$E$3632),-('Gastos Gerais'!$C$4:$C$3632))</f>
        <v>69245.279999999999</v>
      </c>
      <c r="P120" s="134">
        <f>SUMPRODUCT(-('Gastos Gerais'!$B$4:$B$3632=Analítico!$B120),-(Analítico!P$3&gt;='Gastos Gerais'!$D$4:$D$3632),-(Analítico!P$3&lt;='Gastos Gerais'!$E$4:$E$3632),-('Gastos Gerais'!$C$4:$C$3632))</f>
        <v>63245.279999999999</v>
      </c>
      <c r="Q120" s="134">
        <f>SUMPRODUCT(-('Gastos Gerais'!$B$4:$B$3632=Analítico!$B120),-(Analítico!Q$3&gt;='Gastos Gerais'!$D$4:$D$3632),-(Analítico!Q$3&lt;='Gastos Gerais'!$E$4:$E$3632),-('Gastos Gerais'!$C$4:$C$3632))</f>
        <v>66245.279999999999</v>
      </c>
      <c r="R120" s="134">
        <f>SUMPRODUCT(-('Gastos Gerais'!$B$4:$B$3632=Analítico!$B120),-(Analítico!R$3&gt;='Gastos Gerais'!$D$4:$D$3632),-(Analítico!R$3&lt;='Gastos Gerais'!$E$4:$E$3632),-('Gastos Gerais'!$C$4:$C$3632))</f>
        <v>66245.279999999999</v>
      </c>
      <c r="S120" s="134">
        <f>SUMPRODUCT(-('Gastos Gerais'!$B$4:$B$3632=Analítico!$B120),-(Analítico!S$3&gt;='Gastos Gerais'!$D$4:$D$3632),-(Analítico!S$3&lt;='Gastos Gerais'!$E$4:$E$3632),-('Gastos Gerais'!$C$4:$C$3632))</f>
        <v>66245.279999999999</v>
      </c>
      <c r="T120" s="134">
        <f>SUMPRODUCT(-('Gastos Gerais'!$B$4:$B$3632=Analítico!$B120),-(Analítico!T$3&gt;='Gastos Gerais'!$D$4:$D$3632),-(Analítico!T$3&lt;='Gastos Gerais'!$E$4:$E$3632),-('Gastos Gerais'!$C$4:$C$3632))</f>
        <v>66245.279999999999</v>
      </c>
      <c r="U120" s="134">
        <f>SUMPRODUCT(-('Gastos Gerais'!$B$4:$B$3632=Analítico!$B120),-(Analítico!U$3&gt;='Gastos Gerais'!$D$4:$D$3632),-(Analítico!U$3&lt;='Gastos Gerais'!$E$4:$E$3632),-('Gastos Gerais'!$C$4:$C$3632))</f>
        <v>66245.279999999999</v>
      </c>
      <c r="V120" s="134">
        <f>SUMPRODUCT(-('Gastos Gerais'!$B$4:$B$3632=Analítico!$B120),-(Analítico!V$3&gt;='Gastos Gerais'!$D$4:$D$3632),-(Analítico!V$3&lt;='Gastos Gerais'!$E$4:$E$3632),-('Gastos Gerais'!$C$4:$C$3632))</f>
        <v>66245.279999999999</v>
      </c>
      <c r="W120" s="134">
        <f>SUMPRODUCT(-('Gastos Gerais'!$B$4:$B$3632=Analítico!$B120),-(Analítico!W$3&gt;='Gastos Gerais'!$D$4:$D$3632),-(Analítico!W$3&lt;='Gastos Gerais'!$E$4:$E$3632),-('Gastos Gerais'!$C$4:$C$3632))</f>
        <v>66245.279999999999</v>
      </c>
      <c r="X120" s="134">
        <f>SUMPRODUCT(-('Gastos Gerais'!$B$4:$B$3632=Analítico!$B120),-(Analítico!X$3&gt;='Gastos Gerais'!$D$4:$D$3632),-(Analítico!X$3&lt;='Gastos Gerais'!$E$4:$E$3632),-('Gastos Gerais'!$C$4:$C$3632))</f>
        <v>66245.279999999999</v>
      </c>
      <c r="Y120" s="134">
        <f>SUMPRODUCT(-('Gastos Gerais'!$B$4:$B$3632=Analítico!$B120),-(Analítico!Y$3&gt;='Gastos Gerais'!$D$4:$D$3632),-(Analítico!Y$3&lt;='Gastos Gerais'!$E$4:$E$3632),-('Gastos Gerais'!$C$4:$C$3632))</f>
        <v>66245.279999999999</v>
      </c>
      <c r="Z120" s="134">
        <f>SUMPRODUCT(-('Gastos Gerais'!$B$4:$B$3632=Analítico!$B120),-(Analítico!Z$3&gt;='Gastos Gerais'!$D$4:$D$3632),-(Analítico!Z$3&lt;='Gastos Gerais'!$E$4:$E$3632),-('Gastos Gerais'!$C$4:$C$3632))</f>
        <v>66504.88</v>
      </c>
      <c r="AA120" s="134">
        <f>SUMPRODUCT(-('Gastos Gerais'!$B$4:$B$3632=Analítico!$B120),-(Analítico!AA$3&gt;='Gastos Gerais'!$D$4:$D$3632),-(Analítico!AA$3&lt;='Gastos Gerais'!$E$4:$E$3632),-('Gastos Gerais'!$C$4:$C$3632))</f>
        <v>66504.88</v>
      </c>
      <c r="AB120" s="134">
        <f>SUMPRODUCT(-('Gastos Gerais'!$B$4:$B$3632=Analítico!$B120),-(Analítico!AB$3&gt;='Gastos Gerais'!$D$4:$D$3632),-(Analítico!AB$3&lt;='Gastos Gerais'!$E$4:$E$3632),-('Gastos Gerais'!$C$4:$C$3632))</f>
        <v>66504.88</v>
      </c>
      <c r="AC120" s="134">
        <f>SUMPRODUCT(-('Gastos Gerais'!$B$4:$B$3632=Analítico!$B120),-(Analítico!AC$3&gt;='Gastos Gerais'!$D$4:$D$3632),-(Analítico!AC$3&lt;='Gastos Gerais'!$E$4:$E$3632),-('Gastos Gerais'!$C$4:$C$3632))</f>
        <v>66504.88</v>
      </c>
      <c r="AD120" s="134">
        <f>SUMPRODUCT(-('Gastos Gerais'!$B$4:$B$3632=Analítico!$B120),-(Analítico!AD$3&gt;='Gastos Gerais'!$D$4:$D$3632),-(Analítico!AD$3&lt;='Gastos Gerais'!$E$4:$E$3632),-('Gastos Gerais'!$C$4:$C$3632))</f>
        <v>66504.88</v>
      </c>
      <c r="AE120" s="134">
        <f>SUMPRODUCT(-('Gastos Gerais'!$B$4:$B$3632=Analítico!$B120),-(Analítico!AE$3&gt;='Gastos Gerais'!$D$4:$D$3632),-(Analítico!AE$3&lt;='Gastos Gerais'!$E$4:$E$3632),-('Gastos Gerais'!$C$4:$C$3632))</f>
        <v>66504.88</v>
      </c>
      <c r="AF120" s="134">
        <f>SUMPRODUCT(-('Gastos Gerais'!$B$4:$B$3632=Analítico!$B120),-(Analítico!AF$3&gt;='Gastos Gerais'!$D$4:$D$3632),-(Analítico!AF$3&lt;='Gastos Gerais'!$E$4:$E$3632),-('Gastos Gerais'!$C$4:$C$3632))</f>
        <v>66504.88</v>
      </c>
      <c r="AG120" s="134">
        <f>SUMPRODUCT(-('Gastos Gerais'!$B$4:$B$3632=Analítico!$B120),-(Analítico!AG$3&gt;='Gastos Gerais'!$D$4:$D$3632),-(Analítico!AG$3&lt;='Gastos Gerais'!$E$4:$E$3632),-('Gastos Gerais'!$C$4:$C$3632))</f>
        <v>66504.88</v>
      </c>
      <c r="AH120" s="134">
        <f>SUMPRODUCT(-('Gastos Gerais'!$B$4:$B$3632=Analítico!$B120),-(Analítico!AH$3&gt;='Gastos Gerais'!$D$4:$D$3632),-(Analítico!AH$3&lt;='Gastos Gerais'!$E$4:$E$3632),-('Gastos Gerais'!$C$4:$C$3632))</f>
        <v>66504.88</v>
      </c>
      <c r="AI120" s="134">
        <f>SUMPRODUCT(-('Gastos Gerais'!$B$4:$B$3632=Analítico!$B120),-(Analítico!AI$3&gt;='Gastos Gerais'!$D$4:$D$3632),-(Analítico!AI$3&lt;='Gastos Gerais'!$E$4:$E$3632),-('Gastos Gerais'!$C$4:$C$3632))</f>
        <v>66504.88</v>
      </c>
      <c r="AJ120" s="134">
        <f>SUMPRODUCT(-('Gastos Gerais'!$B$4:$B$3632=Analítico!$B120),-(Analítico!AJ$3&gt;='Gastos Gerais'!$D$4:$D$3632),-(Analítico!AJ$3&lt;='Gastos Gerais'!$E$4:$E$3632),-('Gastos Gerais'!$C$4:$C$3632))</f>
        <v>66504.88</v>
      </c>
      <c r="AK120" s="134">
        <f>SUMPRODUCT(-('Gastos Gerais'!$B$4:$B$3632=Analítico!$B120),-(Analítico!AK$3&gt;='Gastos Gerais'!$D$4:$D$3632),-(Analítico!AK$3&lt;='Gastos Gerais'!$E$4:$E$3632),-('Gastos Gerais'!$C$4:$C$3632))</f>
        <v>66504.88</v>
      </c>
      <c r="AL120" s="134">
        <f>SUMPRODUCT(-('Gastos Gerais'!$B$4:$B$3632=Analítico!$B120),-(Analítico!AL$3&gt;='Gastos Gerais'!$D$4:$D$3632),-(Analítico!AL$3&lt;='Gastos Gerais'!$E$4:$E$3632),-('Gastos Gerais'!$C$4:$C$3632))</f>
        <v>66779.64</v>
      </c>
      <c r="AM120" s="134">
        <f>SUMPRODUCT(-('Gastos Gerais'!$B$4:$B$3632=Analítico!$B120),-(Analítico!AM$3&gt;='Gastos Gerais'!$D$4:$D$3632),-(Analítico!AM$3&lt;='Gastos Gerais'!$E$4:$E$3632),-('Gastos Gerais'!$C$4:$C$3632))</f>
        <v>66779.64</v>
      </c>
      <c r="AN120" s="134">
        <f>SUMPRODUCT(-('Gastos Gerais'!$B$4:$B$3632=Analítico!$B120),-(Analítico!AN$3&gt;='Gastos Gerais'!$D$4:$D$3632),-(Analítico!AN$3&lt;='Gastos Gerais'!$E$4:$E$3632),-('Gastos Gerais'!$C$4:$C$3632))</f>
        <v>69779.64</v>
      </c>
      <c r="AO120" s="134">
        <f>SUMPRODUCT(-('Gastos Gerais'!$B$4:$B$3632=Analítico!$B120),-(Analítico!AO$3&gt;='Gastos Gerais'!$D$4:$D$3632),-(Analítico!AO$3&lt;='Gastos Gerais'!$E$4:$E$3632),-('Gastos Gerais'!$C$4:$C$3632))</f>
        <v>69779.64</v>
      </c>
      <c r="AP120" s="134">
        <f>SUMPRODUCT(-('Gastos Gerais'!$B$4:$B$3632=Analítico!$B120),-(Analítico!AP$3&gt;='Gastos Gerais'!$D$4:$D$3632),-(Analítico!AP$3&lt;='Gastos Gerais'!$E$4:$E$3632),-('Gastos Gerais'!$C$4:$C$3632))</f>
        <v>69779.64</v>
      </c>
      <c r="AQ120" s="134">
        <f>SUMPRODUCT(-('Gastos Gerais'!$B$4:$B$3632=Analítico!$B120),-(Analítico!AQ$3&gt;='Gastos Gerais'!$D$4:$D$3632),-(Analítico!AQ$3&lt;='Gastos Gerais'!$E$4:$E$3632),-('Gastos Gerais'!$C$4:$C$3632))</f>
        <v>69779.64</v>
      </c>
      <c r="AR120" s="134">
        <f>SUMPRODUCT(-('Gastos Gerais'!$B$4:$B$3632=Analítico!$B120),-(Analítico!AR$3&gt;='Gastos Gerais'!$D$4:$D$3632),-(Analítico!AR$3&lt;='Gastos Gerais'!$E$4:$E$3632),-('Gastos Gerais'!$C$4:$C$3632))</f>
        <v>69779.64</v>
      </c>
      <c r="AS120" s="134">
        <f>SUMPRODUCT(-('Gastos Gerais'!$B$4:$B$3632=Analítico!$B120),-(Analítico!AS$3&gt;='Gastos Gerais'!$D$4:$D$3632),-(Analítico!AS$3&lt;='Gastos Gerais'!$E$4:$E$3632),-('Gastos Gerais'!$C$4:$C$3632))</f>
        <v>69779.64</v>
      </c>
      <c r="AT120" s="134">
        <f>SUMPRODUCT(-('Gastos Gerais'!$B$4:$B$3632=Analítico!$B120),-(Analítico!AT$3&gt;='Gastos Gerais'!$D$4:$D$3632),-(Analítico!AT$3&lt;='Gastos Gerais'!$E$4:$E$3632),-('Gastos Gerais'!$C$4:$C$3632))</f>
        <v>69779.64</v>
      </c>
      <c r="AU120" s="134">
        <f>SUMPRODUCT(-('Gastos Gerais'!$B$4:$B$3632=Analítico!$B120),-(Analítico!AU$3&gt;='Gastos Gerais'!$D$4:$D$3632),-(Analítico!AU$3&lt;='Gastos Gerais'!$E$4:$E$3632),-('Gastos Gerais'!$C$4:$C$3632))</f>
        <v>69779.64</v>
      </c>
      <c r="AV120" s="134">
        <f>SUMPRODUCT(-('Gastos Gerais'!$B$4:$B$3632=Analítico!$B120),-(Analítico!AV$3&gt;='Gastos Gerais'!$D$4:$D$3632),-(Analítico!AV$3&lt;='Gastos Gerais'!$E$4:$E$3632),-('Gastos Gerais'!$C$4:$C$3632))</f>
        <v>69779.64</v>
      </c>
      <c r="AW120" s="134">
        <f>SUMPRODUCT(-('Gastos Gerais'!$B$4:$B$3632=Analítico!$B120),-(Analítico!AW$3&gt;='Gastos Gerais'!$D$4:$D$3632),-(Analítico!AW$3&lt;='Gastos Gerais'!$E$4:$E$3632),-('Gastos Gerais'!$C$4:$C$3632))</f>
        <v>69779.64</v>
      </c>
      <c r="AX120" s="134">
        <f>SUMPRODUCT(-('Gastos Gerais'!$B$4:$B$3632=Analítico!$B120),-(Analítico!AX$3&gt;='Gastos Gerais'!$D$4:$D$3632),-(Analítico!AX$3&lt;='Gastos Gerais'!$E$4:$E$3632),-('Gastos Gerais'!$C$4:$C$3632))</f>
        <v>70070.460000000006</v>
      </c>
      <c r="AY120" s="134">
        <f>SUMPRODUCT(-('Gastos Gerais'!$B$4:$B$3632=Analítico!$B120),-(Analítico!AY$3&gt;='Gastos Gerais'!$D$4:$D$3632),-(Analítico!AY$3&lt;='Gastos Gerais'!$E$4:$E$3632),-('Gastos Gerais'!$C$4:$C$3632))</f>
        <v>70070.460000000006</v>
      </c>
      <c r="AZ120" s="134">
        <f>SUMPRODUCT(-('Gastos Gerais'!$B$4:$B$3632=Analítico!$B120),-(Analítico!AZ$3&gt;='Gastos Gerais'!$D$4:$D$3632),-(Analítico!AZ$3&lt;='Gastos Gerais'!$E$4:$E$3632),-('Gastos Gerais'!$C$4:$C$3632))</f>
        <v>67070.460000000006</v>
      </c>
      <c r="BA120" s="134">
        <f>SUMPRODUCT(-('Gastos Gerais'!$B$4:$B$3632=Analítico!$B120),-(Analítico!BA$3&gt;='Gastos Gerais'!$D$4:$D$3632),-(Analítico!BA$3&lt;='Gastos Gerais'!$E$4:$E$3632),-('Gastos Gerais'!$C$4:$C$3632))</f>
        <v>67070.460000000006</v>
      </c>
      <c r="BB120" s="134">
        <f>SUMPRODUCT(-('Gastos Gerais'!$B$4:$B$3632=Analítico!$B120),-(Analítico!BB$3&gt;='Gastos Gerais'!$D$4:$D$3632),-(Analítico!BB$3&lt;='Gastos Gerais'!$E$4:$E$3632),-('Gastos Gerais'!$C$4:$C$3632))</f>
        <v>67070.460000000006</v>
      </c>
      <c r="BC120" s="134">
        <f>SUMPRODUCT(-('Gastos Gerais'!$B$4:$B$3632=Analítico!$B120),-(Analítico!BC$3&gt;='Gastos Gerais'!$D$4:$D$3632),-(Analítico!BC$3&lt;='Gastos Gerais'!$E$4:$E$3632),-('Gastos Gerais'!$C$4:$C$3632))</f>
        <v>67070.460000000006</v>
      </c>
      <c r="BD120" s="134">
        <f>SUMPRODUCT(-('Gastos Gerais'!$B$4:$B$3632=Analítico!$B120),-(Analítico!BD$3&gt;='Gastos Gerais'!$D$4:$D$3632),-(Analítico!BD$3&lt;='Gastos Gerais'!$E$4:$E$3632),-('Gastos Gerais'!$C$4:$C$3632))</f>
        <v>67070.460000000006</v>
      </c>
      <c r="BE120" s="134">
        <f>SUMPRODUCT(-('Gastos Gerais'!$B$4:$B$3632=Analítico!$B120),-(Analítico!BE$3&gt;='Gastos Gerais'!$D$4:$D$3632),-(Analítico!BE$3&lt;='Gastos Gerais'!$E$4:$E$3632),-('Gastos Gerais'!$C$4:$C$3632))</f>
        <v>67070.460000000006</v>
      </c>
      <c r="BF120" s="134">
        <f>SUMPRODUCT(-('Gastos Gerais'!$B$4:$B$3632=Analítico!$B120),-(Analítico!BF$3&gt;='Gastos Gerais'!$D$4:$D$3632),-(Analítico!BF$3&lt;='Gastos Gerais'!$E$4:$E$3632),-('Gastos Gerais'!$C$4:$C$3632))</f>
        <v>67070.460000000006</v>
      </c>
      <c r="BG120" s="134">
        <f>SUMPRODUCT(-('Gastos Gerais'!$B$4:$B$3632=Analítico!$B120),-(Analítico!BG$3&gt;='Gastos Gerais'!$D$4:$D$3632),-(Analítico!BG$3&lt;='Gastos Gerais'!$E$4:$E$3632),-('Gastos Gerais'!$C$4:$C$3632))</f>
        <v>67070.460000000006</v>
      </c>
      <c r="BH120" s="134">
        <f>SUMPRODUCT(-('Gastos Gerais'!$B$4:$B$3632=Analítico!$B120),-(Analítico!BH$3&gt;='Gastos Gerais'!$D$4:$D$3632),-(Analítico!BH$3&lt;='Gastos Gerais'!$E$4:$E$3632),-('Gastos Gerais'!$C$4:$C$3632))</f>
        <v>67070.460000000006</v>
      </c>
      <c r="BI120" s="134">
        <f>SUMPRODUCT(-('Gastos Gerais'!$B$4:$B$3632=Analítico!$B120),-(Analítico!BI$3&gt;='Gastos Gerais'!$D$4:$D$3632),-(Analítico!BI$3&lt;='Gastos Gerais'!$E$4:$E$3632),-('Gastos Gerais'!$C$4:$C$3632))</f>
        <v>67070.460000000006</v>
      </c>
      <c r="BJ120" s="134">
        <f>SUMPRODUCT(-('Gastos Gerais'!$B$4:$B$3632=Analítico!$B120),-(Analítico!BJ$3&gt;='Gastos Gerais'!$D$4:$D$3632),-(Analítico!BJ$3&lt;='Gastos Gerais'!$E$4:$E$3632),-('Gastos Gerais'!$C$4:$C$3632))</f>
        <v>67070.460000000006</v>
      </c>
      <c r="BK120" s="189">
        <f t="shared" si="39"/>
        <v>3965933.58</v>
      </c>
      <c r="BL120" s="136">
        <f t="shared" ca="1" si="40"/>
        <v>1.1853401381923041E-2</v>
      </c>
      <c r="BN120" s="134">
        <f>SUMPRODUCT(-('Gastos Gerais'!$B$4:$B$3632=Analítico!$B120),-(Analítico!BN$3&gt;='Gastos Gerais'!$D$4:$D$3632),-(Analítico!BN$3&lt;='Gastos Gerais'!$E$4:$E$3632),-('Gastos Gerais'!$C$4:$C$3632))</f>
        <v>58200</v>
      </c>
    </row>
    <row r="121" spans="1:66" s="160" customFormat="1" ht="23.25" customHeight="1">
      <c r="A121" s="229" t="s">
        <v>319</v>
      </c>
      <c r="B121" s="232" t="s">
        <v>320</v>
      </c>
      <c r="C121" s="188">
        <f t="shared" si="36"/>
        <v>49615.055999999997</v>
      </c>
      <c r="D121" s="134">
        <f>SUMPRODUCT(-('Gastos Gerais'!$B$4:$B$3632=Analítico!$B121),-(Analítico!D$3&gt;='Gastos Gerais'!$D$4:$D$3632),-(Analítico!D$3&lt;='Gastos Gerais'!$E$4:$E$3632),-('Gastos Gerais'!$C$4:$C$3632))</f>
        <v>431883.52000000002</v>
      </c>
      <c r="E121" s="134">
        <f>SUMPRODUCT(-('Gastos Gerais'!$B$4:$B$3632=Analítico!$B121),-(Analítico!E$3&gt;='Gastos Gerais'!$D$4:$D$3632),-(Analítico!E$3&lt;='Gastos Gerais'!$E$4:$E$3632),-('Gastos Gerais'!$C$4:$C$3632))</f>
        <v>325419.12</v>
      </c>
      <c r="F121" s="134">
        <f>SUMPRODUCT(-('Gastos Gerais'!$B$4:$B$3632=Analítico!$B121),-(Analítico!F$3&gt;='Gastos Gerais'!$D$4:$D$3632),-(Analítico!F$3&lt;='Gastos Gerais'!$E$4:$E$3632),-('Gastos Gerais'!$C$4:$C$3632))</f>
        <v>313919.12</v>
      </c>
      <c r="G121" s="134">
        <f>SUMPRODUCT(-('Gastos Gerais'!$B$4:$B$3632=Analítico!$B121),-(Analítico!G$3&gt;='Gastos Gerais'!$D$4:$D$3632),-(Analítico!G$3&lt;='Gastos Gerais'!$E$4:$E$3632),-('Gastos Gerais'!$C$4:$C$3632))</f>
        <v>46500</v>
      </c>
      <c r="H121" s="134">
        <f>SUMPRODUCT(-('Gastos Gerais'!$B$4:$B$3632=Analítico!$B121),-(Analítico!H$3&gt;='Gastos Gerais'!$D$4:$D$3632),-(Analítico!H$3&lt;='Gastos Gerais'!$E$4:$E$3632),-('Gastos Gerais'!$C$4:$C$3632))</f>
        <v>90155.64</v>
      </c>
      <c r="I121" s="134">
        <f>SUMPRODUCT(-('Gastos Gerais'!$B$4:$B$3632=Analítico!$B121),-(Analítico!I$3&gt;='Gastos Gerais'!$D$4:$D$3632),-(Analítico!I$3&lt;='Gastos Gerais'!$E$4:$E$3632),-('Gastos Gerais'!$C$4:$C$3632))</f>
        <v>90155.64</v>
      </c>
      <c r="J121" s="134">
        <f>SUMPRODUCT(-('Gastos Gerais'!$B$4:$B$3632=Analítico!$B121),-(Analítico!J$3&gt;='Gastos Gerais'!$D$4:$D$3632),-(Analítico!J$3&lt;='Gastos Gerais'!$E$4:$E$3632),-('Gastos Gerais'!$C$4:$C$3632))</f>
        <v>90155.64</v>
      </c>
      <c r="K121" s="134">
        <f>SUMPRODUCT(-('Gastos Gerais'!$B$4:$B$3632=Analítico!$B121),-(Analítico!K$3&gt;='Gastos Gerais'!$D$4:$D$3632),-(Analítico!K$3&lt;='Gastos Gerais'!$E$4:$E$3632),-('Gastos Gerais'!$C$4:$C$3632))</f>
        <v>90155.64</v>
      </c>
      <c r="L121" s="134">
        <f>SUMPRODUCT(-('Gastos Gerais'!$B$4:$B$3632=Analítico!$B121),-(Analítico!L$3&gt;='Gastos Gerais'!$D$4:$D$3632),-(Analítico!L$3&lt;='Gastos Gerais'!$E$4:$E$3632),-('Gastos Gerais'!$C$4:$C$3632))</f>
        <v>90155.64</v>
      </c>
      <c r="M121" s="134">
        <f>SUMPRODUCT(-('Gastos Gerais'!$B$4:$B$3632=Analítico!$B121),-(Analítico!M$3&gt;='Gastos Gerais'!$D$4:$D$3632),-(Analítico!M$3&lt;='Gastos Gerais'!$E$4:$E$3632),-('Gastos Gerais'!$C$4:$C$3632))</f>
        <v>220155.64</v>
      </c>
      <c r="N121" s="134">
        <f>SUMPRODUCT(-('Gastos Gerais'!$B$4:$B$3632=Analítico!$B121),-(Analítico!N$3&gt;='Gastos Gerais'!$D$4:$D$3632),-(Analítico!N$3&lt;='Gastos Gerais'!$E$4:$E$3632),-('Gastos Gerais'!$C$4:$C$3632))</f>
        <v>92258.04</v>
      </c>
      <c r="O121" s="134">
        <f>SUMPRODUCT(-('Gastos Gerais'!$B$4:$B$3632=Analítico!$B121),-(Analítico!O$3&gt;='Gastos Gerais'!$D$4:$D$3632),-(Analítico!O$3&lt;='Gastos Gerais'!$E$4:$E$3632),-('Gastos Gerais'!$C$4:$C$3632))</f>
        <v>222258.03999999998</v>
      </c>
      <c r="P121" s="134">
        <f>SUMPRODUCT(-('Gastos Gerais'!$B$4:$B$3632=Analítico!$B121),-(Analítico!P$3&gt;='Gastos Gerais'!$D$4:$D$3632),-(Analítico!P$3&lt;='Gastos Gerais'!$E$4:$E$3632),-('Gastos Gerais'!$C$4:$C$3632))</f>
        <v>95692.114666666705</v>
      </c>
      <c r="Q121" s="134">
        <f>SUMPRODUCT(-('Gastos Gerais'!$B$4:$B$3632=Analítico!$B121),-(Analítico!Q$3&gt;='Gastos Gerais'!$D$4:$D$3632),-(Analítico!Q$3&lt;='Gastos Gerais'!$E$4:$E$3632),-('Gastos Gerais'!$C$4:$C$3632))</f>
        <v>95692.114666666705</v>
      </c>
      <c r="R121" s="134">
        <f>SUMPRODUCT(-('Gastos Gerais'!$B$4:$B$3632=Analítico!$B121),-(Analítico!R$3&gt;='Gastos Gerais'!$D$4:$D$3632),-(Analítico!R$3&lt;='Gastos Gerais'!$E$4:$E$3632),-('Gastos Gerais'!$C$4:$C$3632))</f>
        <v>102302.8246666667</v>
      </c>
      <c r="S121" s="134">
        <f>SUMPRODUCT(-('Gastos Gerais'!$B$4:$B$3632=Analítico!$B121),-(Analítico!S$3&gt;='Gastos Gerais'!$D$4:$D$3632),-(Analítico!S$3&lt;='Gastos Gerais'!$E$4:$E$3632),-('Gastos Gerais'!$C$4:$C$3632))</f>
        <v>106552.8246666667</v>
      </c>
      <c r="T121" s="134">
        <f>SUMPRODUCT(-('Gastos Gerais'!$B$4:$B$3632=Analítico!$B121),-(Analítico!T$3&gt;='Gastos Gerais'!$D$4:$D$3632),-(Analítico!T$3&lt;='Gastos Gerais'!$E$4:$E$3632),-('Gastos Gerais'!$C$4:$C$3632))</f>
        <v>193610.02591666672</v>
      </c>
      <c r="U121" s="134">
        <f>SUMPRODUCT(-('Gastos Gerais'!$B$4:$B$3632=Analítico!$B121),-(Analítico!U$3&gt;='Gastos Gerais'!$D$4:$D$3632),-(Analítico!U$3&lt;='Gastos Gerais'!$E$4:$E$3632),-('Gastos Gerais'!$C$4:$C$3632))</f>
        <v>193610.02591666672</v>
      </c>
      <c r="V121" s="134">
        <f>SUMPRODUCT(-('Gastos Gerais'!$B$4:$B$3632=Analítico!$B121),-(Analítico!V$3&gt;='Gastos Gerais'!$D$4:$D$3632),-(Analítico!V$3&lt;='Gastos Gerais'!$E$4:$E$3632),-('Gastos Gerais'!$C$4:$C$3632))</f>
        <v>193610.02591666672</v>
      </c>
      <c r="W121" s="134">
        <f>SUMPRODUCT(-('Gastos Gerais'!$B$4:$B$3632=Analítico!$B121),-(Analítico!W$3&gt;='Gastos Gerais'!$D$4:$D$3632),-(Analítico!W$3&lt;='Gastos Gerais'!$E$4:$E$3632),-('Gastos Gerais'!$C$4:$C$3632))</f>
        <v>193610.02591666672</v>
      </c>
      <c r="X121" s="134">
        <f>SUMPRODUCT(-('Gastos Gerais'!$B$4:$B$3632=Analítico!$B121),-(Analítico!X$3&gt;='Gastos Gerais'!$D$4:$D$3632),-(Analítico!X$3&lt;='Gastos Gerais'!$E$4:$E$3632),-('Gastos Gerais'!$C$4:$C$3632))</f>
        <v>193610.02591666672</v>
      </c>
      <c r="Y121" s="134">
        <f>SUMPRODUCT(-('Gastos Gerais'!$B$4:$B$3632=Analítico!$B121),-(Analítico!Y$3&gt;='Gastos Gerais'!$D$4:$D$3632),-(Analítico!Y$3&lt;='Gastos Gerais'!$E$4:$E$3632),-('Gastos Gerais'!$C$4:$C$3632))</f>
        <v>193610.02591666672</v>
      </c>
      <c r="Z121" s="134">
        <f>SUMPRODUCT(-('Gastos Gerais'!$B$4:$B$3632=Analítico!$B121),-(Analítico!Z$3&gt;='Gastos Gerais'!$D$4:$D$3632),-(Analítico!Z$3&lt;='Gastos Gerais'!$E$4:$E$3632),-('Gastos Gerais'!$C$4:$C$3632))</f>
        <v>195834.35591666668</v>
      </c>
      <c r="AA121" s="134">
        <f>SUMPRODUCT(-('Gastos Gerais'!$B$4:$B$3632=Analítico!$B121),-(Analítico!AA$3&gt;='Gastos Gerais'!$D$4:$D$3632),-(Analítico!AA$3&lt;='Gastos Gerais'!$E$4:$E$3632),-('Gastos Gerais'!$C$4:$C$3632))</f>
        <v>195834.35591666668</v>
      </c>
      <c r="AB121" s="134">
        <f>SUMPRODUCT(-('Gastos Gerais'!$B$4:$B$3632=Analítico!$B121),-(Analítico!AB$3&gt;='Gastos Gerais'!$D$4:$D$3632),-(Analítico!AB$3&lt;='Gastos Gerais'!$E$4:$E$3632),-('Gastos Gerais'!$C$4:$C$3632))</f>
        <v>56540.4846666667</v>
      </c>
      <c r="AC121" s="134">
        <f>SUMPRODUCT(-('Gastos Gerais'!$B$4:$B$3632=Analítico!$B121),-(Analítico!AC$3&gt;='Gastos Gerais'!$D$4:$D$3632),-(Analítico!AC$3&lt;='Gastos Gerais'!$E$4:$E$3632),-('Gastos Gerais'!$C$4:$C$3632))</f>
        <v>56540.4846666667</v>
      </c>
      <c r="AD121" s="134">
        <f>SUMPRODUCT(-('Gastos Gerais'!$B$4:$B$3632=Analítico!$B121),-(Analítico!AD$3&gt;='Gastos Gerais'!$D$4:$D$3632),-(Analítico!AD$3&lt;='Gastos Gerais'!$E$4:$E$3632),-('Gastos Gerais'!$C$4:$C$3632))</f>
        <v>112599.3146666667</v>
      </c>
      <c r="AE121" s="134">
        <f>SUMPRODUCT(-('Gastos Gerais'!$B$4:$B$3632=Analítico!$B121),-(Analítico!AE$3&gt;='Gastos Gerais'!$D$4:$D$3632),-(Analítico!AE$3&lt;='Gastos Gerais'!$E$4:$E$3632),-('Gastos Gerais'!$C$4:$C$3632))</f>
        <v>112599.3146666667</v>
      </c>
      <c r="AF121" s="134">
        <f>SUMPRODUCT(-('Gastos Gerais'!$B$4:$B$3632=Analítico!$B121),-(Analítico!AF$3&gt;='Gastos Gerais'!$D$4:$D$3632),-(Analítico!AF$3&lt;='Gastos Gerais'!$E$4:$E$3632),-('Gastos Gerais'!$C$4:$C$3632))</f>
        <v>112599.3146666667</v>
      </c>
      <c r="AG121" s="134">
        <f>SUMPRODUCT(-('Gastos Gerais'!$B$4:$B$3632=Analítico!$B121),-(Analítico!AG$3&gt;='Gastos Gerais'!$D$4:$D$3632),-(Analítico!AG$3&lt;='Gastos Gerais'!$E$4:$E$3632),-('Gastos Gerais'!$C$4:$C$3632))</f>
        <v>112599.3146666667</v>
      </c>
      <c r="AH121" s="134">
        <f>SUMPRODUCT(-('Gastos Gerais'!$B$4:$B$3632=Analítico!$B121),-(Analítico!AH$3&gt;='Gastos Gerais'!$D$4:$D$3632),-(Analítico!AH$3&lt;='Gastos Gerais'!$E$4:$E$3632),-('Gastos Gerais'!$C$4:$C$3632))</f>
        <v>112599.3146666667</v>
      </c>
      <c r="AI121" s="134">
        <f>SUMPRODUCT(-('Gastos Gerais'!$B$4:$B$3632=Analítico!$B121),-(Analítico!AI$3&gt;='Gastos Gerais'!$D$4:$D$3632),-(Analítico!AI$3&lt;='Gastos Gerais'!$E$4:$E$3632),-('Gastos Gerais'!$C$4:$C$3632))</f>
        <v>112599.3146666667</v>
      </c>
      <c r="AJ121" s="134">
        <f>SUMPRODUCT(-('Gastos Gerais'!$B$4:$B$3632=Analítico!$B121),-(Analítico!AJ$3&gt;='Gastos Gerais'!$D$4:$D$3632),-(Analítico!AJ$3&lt;='Gastos Gerais'!$E$4:$E$3632),-('Gastos Gerais'!$C$4:$C$3632))</f>
        <v>112599.3146666667</v>
      </c>
      <c r="AK121" s="134">
        <f>SUMPRODUCT(-('Gastos Gerais'!$B$4:$B$3632=Analítico!$B121),-(Analítico!AK$3&gt;='Gastos Gerais'!$D$4:$D$3632),-(Analítico!AK$3&lt;='Gastos Gerais'!$E$4:$E$3632),-('Gastos Gerais'!$C$4:$C$3632))</f>
        <v>112599.3146666667</v>
      </c>
      <c r="AL121" s="134">
        <f>SUMPRODUCT(-('Gastos Gerais'!$B$4:$B$3632=Analítico!$B121),-(Analítico!AL$3&gt;='Gastos Gerais'!$D$4:$D$3632),-(Analítico!AL$3&lt;='Gastos Gerais'!$E$4:$E$3632),-('Gastos Gerais'!$C$4:$C$3632))</f>
        <v>114944.3946666667</v>
      </c>
      <c r="AM121" s="134">
        <f>SUMPRODUCT(-('Gastos Gerais'!$B$4:$B$3632=Analítico!$B121),-(Analítico!AM$3&gt;='Gastos Gerais'!$D$4:$D$3632),-(Analítico!AM$3&lt;='Gastos Gerais'!$E$4:$E$3632),-('Gastos Gerais'!$C$4:$C$3632))</f>
        <v>114944.3946666667</v>
      </c>
      <c r="AN121" s="134">
        <f>SUMPRODUCT(-('Gastos Gerais'!$B$4:$B$3632=Analítico!$B121),-(Analítico!AN$3&gt;='Gastos Gerais'!$D$4:$D$3632),-(Analítico!AN$3&lt;='Gastos Gerais'!$E$4:$E$3632),-('Gastos Gerais'!$C$4:$C$3632))</f>
        <v>59572.474666666698</v>
      </c>
      <c r="AO121" s="134">
        <f>SUMPRODUCT(-('Gastos Gerais'!$B$4:$B$3632=Analítico!$B121),-(Analítico!AO$3&gt;='Gastos Gerais'!$D$4:$D$3632),-(Analítico!AO$3&lt;='Gastos Gerais'!$E$4:$E$3632),-('Gastos Gerais'!$C$4:$C$3632))</f>
        <v>59572.474666666698</v>
      </c>
      <c r="AP121" s="134">
        <f>SUMPRODUCT(-('Gastos Gerais'!$B$4:$B$3632=Analítico!$B121),-(Analítico!AP$3&gt;='Gastos Gerais'!$D$4:$D$3632),-(Analítico!AP$3&lt;='Gastos Gerais'!$E$4:$E$3632),-('Gastos Gerais'!$C$4:$C$3632))</f>
        <v>118994.83466666671</v>
      </c>
      <c r="AQ121" s="134">
        <f>SUMPRODUCT(-('Gastos Gerais'!$B$4:$B$3632=Analítico!$B121),-(Analítico!AQ$3&gt;='Gastos Gerais'!$D$4:$D$3632),-(Analítico!AQ$3&lt;='Gastos Gerais'!$E$4:$E$3632),-('Gastos Gerais'!$C$4:$C$3632))</f>
        <v>118994.83466666671</v>
      </c>
      <c r="AR121" s="134">
        <f>SUMPRODUCT(-('Gastos Gerais'!$B$4:$B$3632=Analítico!$B121),-(Analítico!AR$3&gt;='Gastos Gerais'!$D$4:$D$3632),-(Analítico!AR$3&lt;='Gastos Gerais'!$E$4:$E$3632),-('Gastos Gerais'!$C$4:$C$3632))</f>
        <v>118994.83466666671</v>
      </c>
      <c r="AS121" s="134">
        <f>SUMPRODUCT(-('Gastos Gerais'!$B$4:$B$3632=Analítico!$B121),-(Analítico!AS$3&gt;='Gastos Gerais'!$D$4:$D$3632),-(Analítico!AS$3&lt;='Gastos Gerais'!$E$4:$E$3632),-('Gastos Gerais'!$C$4:$C$3632))</f>
        <v>118994.83466666671</v>
      </c>
      <c r="AT121" s="134">
        <f>SUMPRODUCT(-('Gastos Gerais'!$B$4:$B$3632=Analítico!$B121),-(Analítico!AT$3&gt;='Gastos Gerais'!$D$4:$D$3632),-(Analítico!AT$3&lt;='Gastos Gerais'!$E$4:$E$3632),-('Gastos Gerais'!$C$4:$C$3632))</f>
        <v>118994.83466666671</v>
      </c>
      <c r="AU121" s="134">
        <f>SUMPRODUCT(-('Gastos Gerais'!$B$4:$B$3632=Analítico!$B121),-(Analítico!AU$3&gt;='Gastos Gerais'!$D$4:$D$3632),-(Analítico!AU$3&lt;='Gastos Gerais'!$E$4:$E$3632),-('Gastos Gerais'!$C$4:$C$3632))</f>
        <v>118994.83466666671</v>
      </c>
      <c r="AV121" s="134">
        <f>SUMPRODUCT(-('Gastos Gerais'!$B$4:$B$3632=Analítico!$B121),-(Analítico!AV$3&gt;='Gastos Gerais'!$D$4:$D$3632),-(Analítico!AV$3&lt;='Gastos Gerais'!$E$4:$E$3632),-('Gastos Gerais'!$C$4:$C$3632))</f>
        <v>118994.83466666671</v>
      </c>
      <c r="AW121" s="134">
        <f>SUMPRODUCT(-('Gastos Gerais'!$B$4:$B$3632=Analítico!$B121),-(Analítico!AW$3&gt;='Gastos Gerais'!$D$4:$D$3632),-(Analítico!AW$3&lt;='Gastos Gerais'!$E$4:$E$3632),-('Gastos Gerais'!$C$4:$C$3632))</f>
        <v>118994.83466666671</v>
      </c>
      <c r="AX121" s="134">
        <f>SUMPRODUCT(-('Gastos Gerais'!$B$4:$B$3632=Analítico!$B121),-(Analítico!AX$3&gt;='Gastos Gerais'!$D$4:$D$3632),-(Analítico!AX$3&lt;='Gastos Gerais'!$E$4:$E$3632),-('Gastos Gerais'!$C$4:$C$3632))</f>
        <v>120672.4546666667</v>
      </c>
      <c r="AY121" s="134">
        <f>SUMPRODUCT(-('Gastos Gerais'!$B$4:$B$3632=Analítico!$B121),-(Analítico!AY$3&gt;='Gastos Gerais'!$D$4:$D$3632),-(Analítico!AY$3&lt;='Gastos Gerais'!$E$4:$E$3632),-('Gastos Gerais'!$C$4:$C$3632))</f>
        <v>120672.4546666667</v>
      </c>
      <c r="AZ121" s="134">
        <f>SUMPRODUCT(-('Gastos Gerais'!$B$4:$B$3632=Analítico!$B121),-(Analítico!AZ$3&gt;='Gastos Gerais'!$D$4:$D$3632),-(Analítico!AZ$3&lt;='Gastos Gerais'!$E$4:$E$3632),-('Gastos Gerais'!$C$4:$C$3632))</f>
        <v>61977.124666666699</v>
      </c>
      <c r="BA121" s="134">
        <f>SUMPRODUCT(-('Gastos Gerais'!$B$4:$B$3632=Analítico!$B121),-(Analítico!BA$3&gt;='Gastos Gerais'!$D$4:$D$3632),-(Analítico!BA$3&lt;='Gastos Gerais'!$E$4:$E$3632),-('Gastos Gerais'!$C$4:$C$3632))</f>
        <v>61977.124666666699</v>
      </c>
      <c r="BB121" s="134">
        <f>SUMPRODUCT(-('Gastos Gerais'!$B$4:$B$3632=Analítico!$B121),-(Analítico!BB$3&gt;='Gastos Gerais'!$D$4:$D$3632),-(Analítico!BB$3&lt;='Gastos Gerais'!$E$4:$E$3632),-('Gastos Gerais'!$C$4:$C$3632))</f>
        <v>124964.8246666667</v>
      </c>
      <c r="BC121" s="134">
        <f>SUMPRODUCT(-('Gastos Gerais'!$B$4:$B$3632=Analítico!$B121),-(Analítico!BC$3&gt;='Gastos Gerais'!$D$4:$D$3632),-(Analítico!BC$3&lt;='Gastos Gerais'!$E$4:$E$3632),-('Gastos Gerais'!$C$4:$C$3632))</f>
        <v>124964.8246666667</v>
      </c>
      <c r="BD121" s="134">
        <f>SUMPRODUCT(-('Gastos Gerais'!$B$4:$B$3632=Analítico!$B121),-(Analítico!BD$3&gt;='Gastos Gerais'!$D$4:$D$3632),-(Analítico!BD$3&lt;='Gastos Gerais'!$E$4:$E$3632),-('Gastos Gerais'!$C$4:$C$3632))</f>
        <v>124964.8246666667</v>
      </c>
      <c r="BE121" s="134">
        <f>SUMPRODUCT(-('Gastos Gerais'!$B$4:$B$3632=Analítico!$B121),-(Analítico!BE$3&gt;='Gastos Gerais'!$D$4:$D$3632),-(Analítico!BE$3&lt;='Gastos Gerais'!$E$4:$E$3632),-('Gastos Gerais'!$C$4:$C$3632))</f>
        <v>124964.8246666667</v>
      </c>
      <c r="BF121" s="134">
        <f>SUMPRODUCT(-('Gastos Gerais'!$B$4:$B$3632=Analítico!$B121),-(Analítico!BF$3&gt;='Gastos Gerais'!$D$4:$D$3632),-(Analítico!BF$3&lt;='Gastos Gerais'!$E$4:$E$3632),-('Gastos Gerais'!$C$4:$C$3632))</f>
        <v>124964.8246666667</v>
      </c>
      <c r="BG121" s="134">
        <f>SUMPRODUCT(-('Gastos Gerais'!$B$4:$B$3632=Analítico!$B121),-(Analítico!BG$3&gt;='Gastos Gerais'!$D$4:$D$3632),-(Analítico!BG$3&lt;='Gastos Gerais'!$E$4:$E$3632),-('Gastos Gerais'!$C$4:$C$3632))</f>
        <v>124964.8246666667</v>
      </c>
      <c r="BH121" s="134">
        <f>SUMPRODUCT(-('Gastos Gerais'!$B$4:$B$3632=Analítico!$B121),-(Analítico!BH$3&gt;='Gastos Gerais'!$D$4:$D$3632),-(Analítico!BH$3&lt;='Gastos Gerais'!$E$4:$E$3632),-('Gastos Gerais'!$C$4:$C$3632))</f>
        <v>124964.8246666667</v>
      </c>
      <c r="BI121" s="134">
        <f>SUMPRODUCT(-('Gastos Gerais'!$B$4:$B$3632=Analítico!$B121),-(Analítico!BI$3&gt;='Gastos Gerais'!$D$4:$D$3632),-(Analítico!BI$3&lt;='Gastos Gerais'!$E$4:$E$3632),-('Gastos Gerais'!$C$4:$C$3632))</f>
        <v>124964.8246666667</v>
      </c>
      <c r="BJ121" s="134">
        <f>SUMPRODUCT(-('Gastos Gerais'!$B$4:$B$3632=Analítico!$B121),-(Analítico!BJ$3&gt;='Gastos Gerais'!$D$4:$D$3632),-(Analítico!BJ$3&lt;='Gastos Gerais'!$E$4:$E$3632),-('Gastos Gerais'!$C$4:$C$3632))</f>
        <v>124964.8246666667</v>
      </c>
      <c r="BK121" s="189">
        <f t="shared" ref="BK121:BK132" si="41">SUM(C121:BJ121)</f>
        <v>7911205.965333337</v>
      </c>
      <c r="BL121" s="136">
        <f t="shared" ca="1" si="40"/>
        <v>2.3645050485732035E-2</v>
      </c>
      <c r="BN121" s="134">
        <f>SUMPRODUCT(-('Gastos Gerais'!$B$4:$B$3632=Analítico!$B121),-(Analítico!BN$3&gt;='Gastos Gerais'!$D$4:$D$3632),-(Analítico!BN$3&lt;='Gastos Gerais'!$E$4:$E$3632),-('Gastos Gerais'!$C$4:$C$3632))</f>
        <v>165383.51999999999</v>
      </c>
    </row>
    <row r="122" spans="1:66" s="160" customFormat="1" ht="33.75">
      <c r="A122" s="229" t="s">
        <v>659</v>
      </c>
      <c r="B122" s="232" t="s">
        <v>648</v>
      </c>
      <c r="C122" s="188">
        <f t="shared" si="36"/>
        <v>0</v>
      </c>
      <c r="D122" s="134">
        <f>SUMPRODUCT(-('Gastos Gerais'!$B$4:$B$3632=Analítico!$B122),-(Analítico!D$3&gt;='Gastos Gerais'!$D$4:$D$3632),-(Analítico!D$3&lt;='Gastos Gerais'!$E$4:$E$3632),-('Gastos Gerais'!$C$4:$C$3632))</f>
        <v>28141.599999999999</v>
      </c>
      <c r="E122" s="134">
        <f>SUMPRODUCT(-('Gastos Gerais'!$B$4:$B$3632=Analítico!$B122),-(Analítico!E$3&gt;='Gastos Gerais'!$D$4:$D$3632),-(Analítico!E$3&lt;='Gastos Gerais'!$E$4:$E$3632),-('Gastos Gerais'!$C$4:$C$3632))</f>
        <v>20168</v>
      </c>
      <c r="F122" s="134">
        <f>SUMPRODUCT(-('Gastos Gerais'!$B$4:$B$3632=Analítico!$B122),-(Analítico!F$3&gt;='Gastos Gerais'!$D$4:$D$3632),-(Analítico!F$3&lt;='Gastos Gerais'!$E$4:$E$3632),-('Gastos Gerais'!$C$4:$C$3632))</f>
        <v>0</v>
      </c>
      <c r="G122" s="134">
        <f>SUMPRODUCT(-('Gastos Gerais'!$B$4:$B$3632=Analítico!$B122),-(Analítico!G$3&gt;='Gastos Gerais'!$D$4:$D$3632),-(Analítico!G$3&lt;='Gastos Gerais'!$E$4:$E$3632),-('Gastos Gerais'!$C$4:$C$3632))</f>
        <v>0</v>
      </c>
      <c r="H122" s="134">
        <f>SUMPRODUCT(-('Gastos Gerais'!$B$4:$B$3632=Analítico!$B122),-(Analítico!H$3&gt;='Gastos Gerais'!$D$4:$D$3632),-(Analítico!H$3&lt;='Gastos Gerais'!$E$4:$E$3632),-('Gastos Gerais'!$C$4:$C$3632))</f>
        <v>0</v>
      </c>
      <c r="I122" s="134">
        <f>SUMPRODUCT(-('Gastos Gerais'!$B$4:$B$3632=Analítico!$B122),-(Analítico!I$3&gt;='Gastos Gerais'!$D$4:$D$3632),-(Analítico!I$3&lt;='Gastos Gerais'!$E$4:$E$3632),-('Gastos Gerais'!$C$4:$C$3632))</f>
        <v>0</v>
      </c>
      <c r="J122" s="134">
        <f>SUMPRODUCT(-('Gastos Gerais'!$B$4:$B$3632=Analítico!$B122),-(Analítico!J$3&gt;='Gastos Gerais'!$D$4:$D$3632),-(Analítico!J$3&lt;='Gastos Gerais'!$E$4:$E$3632),-('Gastos Gerais'!$C$4:$C$3632))</f>
        <v>0</v>
      </c>
      <c r="K122" s="134">
        <f>SUMPRODUCT(-('Gastos Gerais'!$B$4:$B$3632=Analítico!$B122),-(Analítico!K$3&gt;='Gastos Gerais'!$D$4:$D$3632),-(Analítico!K$3&lt;='Gastos Gerais'!$E$4:$E$3632),-('Gastos Gerais'!$C$4:$C$3632))</f>
        <v>0</v>
      </c>
      <c r="L122" s="134">
        <f>SUMPRODUCT(-('Gastos Gerais'!$B$4:$B$3632=Analítico!$B122),-(Analítico!L$3&gt;='Gastos Gerais'!$D$4:$D$3632),-(Analítico!L$3&lt;='Gastos Gerais'!$E$4:$E$3632),-('Gastos Gerais'!$C$4:$C$3632))</f>
        <v>0</v>
      </c>
      <c r="M122" s="134">
        <f>SUMPRODUCT(-('Gastos Gerais'!$B$4:$B$3632=Analítico!$B122),-(Analítico!M$3&gt;='Gastos Gerais'!$D$4:$D$3632),-(Analítico!M$3&lt;='Gastos Gerais'!$E$4:$E$3632),-('Gastos Gerais'!$C$4:$C$3632))</f>
        <v>0</v>
      </c>
      <c r="N122" s="134">
        <f>SUMPRODUCT(-('Gastos Gerais'!$B$4:$B$3632=Analítico!$B122),-(Analítico!N$3&gt;='Gastos Gerais'!$D$4:$D$3632),-(Analítico!N$3&lt;='Gastos Gerais'!$E$4:$E$3632),-('Gastos Gerais'!$C$4:$C$3632))</f>
        <v>3604</v>
      </c>
      <c r="O122" s="134">
        <f>SUMPRODUCT(-('Gastos Gerais'!$B$4:$B$3632=Analítico!$B122),-(Analítico!O$3&gt;='Gastos Gerais'!$D$4:$D$3632),-(Analítico!O$3&lt;='Gastos Gerais'!$E$4:$E$3632),-('Gastos Gerais'!$C$4:$C$3632))</f>
        <v>0</v>
      </c>
      <c r="P122" s="134">
        <f>SUMPRODUCT(-('Gastos Gerais'!$B$4:$B$3632=Analítico!$B122),-(Analítico!P$3&gt;='Gastos Gerais'!$D$4:$D$3632),-(Analítico!P$3&lt;='Gastos Gerais'!$E$4:$E$3632),-('Gastos Gerais'!$C$4:$C$3632))</f>
        <v>54133.070000000014</v>
      </c>
      <c r="Q122" s="134">
        <f>SUMPRODUCT(-('Gastos Gerais'!$B$4:$B$3632=Analítico!$B122),-(Analítico!Q$3&gt;='Gastos Gerais'!$D$4:$D$3632),-(Analítico!Q$3&lt;='Gastos Gerais'!$E$4:$E$3632),-('Gastos Gerais'!$C$4:$C$3632))</f>
        <v>3604</v>
      </c>
      <c r="R122" s="134">
        <f>SUMPRODUCT(-('Gastos Gerais'!$B$4:$B$3632=Analítico!$B122),-(Analítico!R$3&gt;='Gastos Gerais'!$D$4:$D$3632),-(Analítico!R$3&lt;='Gastos Gerais'!$E$4:$E$3632),-('Gastos Gerais'!$C$4:$C$3632))</f>
        <v>0</v>
      </c>
      <c r="S122" s="134">
        <f>SUMPRODUCT(-('Gastos Gerais'!$B$4:$B$3632=Analítico!$B122),-(Analítico!S$3&gt;='Gastos Gerais'!$D$4:$D$3632),-(Analítico!S$3&lt;='Gastos Gerais'!$E$4:$E$3632),-('Gastos Gerais'!$C$4:$C$3632))</f>
        <v>0</v>
      </c>
      <c r="T122" s="134">
        <f>SUMPRODUCT(-('Gastos Gerais'!$B$4:$B$3632=Analítico!$B122),-(Analítico!T$3&gt;='Gastos Gerais'!$D$4:$D$3632),-(Analítico!T$3&lt;='Gastos Gerais'!$E$4:$E$3632),-('Gastos Gerais'!$C$4:$C$3632))</f>
        <v>0</v>
      </c>
      <c r="U122" s="134">
        <f>SUMPRODUCT(-('Gastos Gerais'!$B$4:$B$3632=Analítico!$B122),-(Analítico!U$3&gt;='Gastos Gerais'!$D$4:$D$3632),-(Analítico!U$3&lt;='Gastos Gerais'!$E$4:$E$3632),-('Gastos Gerais'!$C$4:$C$3632))</f>
        <v>0</v>
      </c>
      <c r="V122" s="134">
        <f>SUMPRODUCT(-('Gastos Gerais'!$B$4:$B$3632=Analítico!$B122),-(Analítico!V$3&gt;='Gastos Gerais'!$D$4:$D$3632),-(Analítico!V$3&lt;='Gastos Gerais'!$E$4:$E$3632),-('Gastos Gerais'!$C$4:$C$3632))</f>
        <v>0</v>
      </c>
      <c r="W122" s="134">
        <f>SUMPRODUCT(-('Gastos Gerais'!$B$4:$B$3632=Analítico!$B122),-(Analítico!W$3&gt;='Gastos Gerais'!$D$4:$D$3632),-(Analítico!W$3&lt;='Gastos Gerais'!$E$4:$E$3632),-('Gastos Gerais'!$C$4:$C$3632))</f>
        <v>0</v>
      </c>
      <c r="X122" s="134">
        <f>SUMPRODUCT(-('Gastos Gerais'!$B$4:$B$3632=Analítico!$B122),-(Analítico!X$3&gt;='Gastos Gerais'!$D$4:$D$3632),-(Analítico!X$3&lt;='Gastos Gerais'!$E$4:$E$3632),-('Gastos Gerais'!$C$4:$C$3632))</f>
        <v>0</v>
      </c>
      <c r="Y122" s="134">
        <f>SUMPRODUCT(-('Gastos Gerais'!$B$4:$B$3632=Analítico!$B122),-(Analítico!Y$3&gt;='Gastos Gerais'!$D$4:$D$3632),-(Analítico!Y$3&lt;='Gastos Gerais'!$E$4:$E$3632),-('Gastos Gerais'!$C$4:$C$3632))</f>
        <v>0</v>
      </c>
      <c r="Z122" s="134">
        <f>SUMPRODUCT(-('Gastos Gerais'!$B$4:$B$3632=Analítico!$B122),-(Analítico!Z$3&gt;='Gastos Gerais'!$D$4:$D$3632),-(Analítico!Z$3&lt;='Gastos Gerais'!$E$4:$E$3632),-('Gastos Gerais'!$C$4:$C$3632))</f>
        <v>0</v>
      </c>
      <c r="AA122" s="134">
        <f>SUMPRODUCT(-('Gastos Gerais'!$B$4:$B$3632=Analítico!$B122),-(Analítico!AA$3&gt;='Gastos Gerais'!$D$4:$D$3632),-(Analítico!AA$3&lt;='Gastos Gerais'!$E$4:$E$3632),-('Gastos Gerais'!$C$4:$C$3632))</f>
        <v>0</v>
      </c>
      <c r="AB122" s="134">
        <f>SUMPRODUCT(-('Gastos Gerais'!$B$4:$B$3632=Analítico!$B122),-(Analítico!AB$3&gt;='Gastos Gerais'!$D$4:$D$3632),-(Analítico!AB$3&lt;='Gastos Gerais'!$E$4:$E$3632),-('Gastos Gerais'!$C$4:$C$3632))</f>
        <v>61141.31</v>
      </c>
      <c r="AC122" s="134">
        <f>SUMPRODUCT(-('Gastos Gerais'!$B$4:$B$3632=Analítico!$B122),-(Analítico!AC$3&gt;='Gastos Gerais'!$D$4:$D$3632),-(Analítico!AC$3&lt;='Gastos Gerais'!$E$4:$E$3632),-('Gastos Gerais'!$C$4:$C$3632))</f>
        <v>0</v>
      </c>
      <c r="AD122" s="134">
        <f>SUMPRODUCT(-('Gastos Gerais'!$B$4:$B$3632=Analítico!$B122),-(Analítico!AD$3&gt;='Gastos Gerais'!$D$4:$D$3632),-(Analítico!AD$3&lt;='Gastos Gerais'!$E$4:$E$3632),-('Gastos Gerais'!$C$4:$C$3632))</f>
        <v>0</v>
      </c>
      <c r="AE122" s="134">
        <f>SUMPRODUCT(-('Gastos Gerais'!$B$4:$B$3632=Analítico!$B122),-(Analítico!AE$3&gt;='Gastos Gerais'!$D$4:$D$3632),-(Analítico!AE$3&lt;='Gastos Gerais'!$E$4:$E$3632),-('Gastos Gerais'!$C$4:$C$3632))</f>
        <v>0</v>
      </c>
      <c r="AF122" s="134">
        <f>SUMPRODUCT(-('Gastos Gerais'!$B$4:$B$3632=Analítico!$B122),-(Analítico!AF$3&gt;='Gastos Gerais'!$D$4:$D$3632),-(Analítico!AF$3&lt;='Gastos Gerais'!$E$4:$E$3632),-('Gastos Gerais'!$C$4:$C$3632))</f>
        <v>0</v>
      </c>
      <c r="AG122" s="134">
        <f>SUMPRODUCT(-('Gastos Gerais'!$B$4:$B$3632=Analítico!$B122),-(Analítico!AG$3&gt;='Gastos Gerais'!$D$4:$D$3632),-(Analítico!AG$3&lt;='Gastos Gerais'!$E$4:$E$3632),-('Gastos Gerais'!$C$4:$C$3632))</f>
        <v>0</v>
      </c>
      <c r="AH122" s="134">
        <f>SUMPRODUCT(-('Gastos Gerais'!$B$4:$B$3632=Analítico!$B122),-(Analítico!AH$3&gt;='Gastos Gerais'!$D$4:$D$3632),-(Analítico!AH$3&lt;='Gastos Gerais'!$E$4:$E$3632),-('Gastos Gerais'!$C$4:$C$3632))</f>
        <v>0</v>
      </c>
      <c r="AI122" s="134">
        <f>SUMPRODUCT(-('Gastos Gerais'!$B$4:$B$3632=Analítico!$B122),-(Analítico!AI$3&gt;='Gastos Gerais'!$D$4:$D$3632),-(Analítico!AI$3&lt;='Gastos Gerais'!$E$4:$E$3632),-('Gastos Gerais'!$C$4:$C$3632))</f>
        <v>0</v>
      </c>
      <c r="AJ122" s="134">
        <f>SUMPRODUCT(-('Gastos Gerais'!$B$4:$B$3632=Analítico!$B122),-(Analítico!AJ$3&gt;='Gastos Gerais'!$D$4:$D$3632),-(Analítico!AJ$3&lt;='Gastos Gerais'!$E$4:$E$3632),-('Gastos Gerais'!$C$4:$C$3632))</f>
        <v>0</v>
      </c>
      <c r="AK122" s="134">
        <f>SUMPRODUCT(-('Gastos Gerais'!$B$4:$B$3632=Analítico!$B122),-(Analítico!AK$3&gt;='Gastos Gerais'!$D$4:$D$3632),-(Analítico!AK$3&lt;='Gastos Gerais'!$E$4:$E$3632),-('Gastos Gerais'!$C$4:$C$3632))</f>
        <v>0</v>
      </c>
      <c r="AL122" s="134">
        <f>SUMPRODUCT(-('Gastos Gerais'!$B$4:$B$3632=Analítico!$B122),-(Analítico!AL$3&gt;='Gastos Gerais'!$D$4:$D$3632),-(Analítico!AL$3&lt;='Gastos Gerais'!$E$4:$E$3632),-('Gastos Gerais'!$C$4:$C$3632))</f>
        <v>0</v>
      </c>
      <c r="AM122" s="134">
        <f>SUMPRODUCT(-('Gastos Gerais'!$B$4:$B$3632=Analítico!$B122),-(Analítico!AM$3&gt;='Gastos Gerais'!$D$4:$D$3632),-(Analítico!AM$3&lt;='Gastos Gerais'!$E$4:$E$3632),-('Gastos Gerais'!$C$4:$C$3632))</f>
        <v>0</v>
      </c>
      <c r="AN122" s="134">
        <f>SUMPRODUCT(-('Gastos Gerais'!$B$4:$B$3632=Analítico!$B122),-(Analítico!AN$3&gt;='Gastos Gerais'!$D$4:$D$3632),-(Analítico!AN$3&lt;='Gastos Gerais'!$E$4:$E$3632),-('Gastos Gerais'!$C$4:$C$3632))</f>
        <v>64748.039999999994</v>
      </c>
      <c r="AO122" s="134">
        <f>SUMPRODUCT(-('Gastos Gerais'!$B$4:$B$3632=Analítico!$B122),-(Analítico!AO$3&gt;='Gastos Gerais'!$D$4:$D$3632),-(Analítico!AO$3&lt;='Gastos Gerais'!$E$4:$E$3632),-('Gastos Gerais'!$C$4:$C$3632))</f>
        <v>0</v>
      </c>
      <c r="AP122" s="134">
        <f>SUMPRODUCT(-('Gastos Gerais'!$B$4:$B$3632=Analítico!$B122),-(Analítico!AP$3&gt;='Gastos Gerais'!$D$4:$D$3632),-(Analítico!AP$3&lt;='Gastos Gerais'!$E$4:$E$3632),-('Gastos Gerais'!$C$4:$C$3632))</f>
        <v>0</v>
      </c>
      <c r="AQ122" s="134">
        <f>SUMPRODUCT(-('Gastos Gerais'!$B$4:$B$3632=Analítico!$B122),-(Analítico!AQ$3&gt;='Gastos Gerais'!$D$4:$D$3632),-(Analítico!AQ$3&lt;='Gastos Gerais'!$E$4:$E$3632),-('Gastos Gerais'!$C$4:$C$3632))</f>
        <v>0</v>
      </c>
      <c r="AR122" s="134">
        <f>SUMPRODUCT(-('Gastos Gerais'!$B$4:$B$3632=Analítico!$B122),-(Analítico!AR$3&gt;='Gastos Gerais'!$D$4:$D$3632),-(Analítico!AR$3&lt;='Gastos Gerais'!$E$4:$E$3632),-('Gastos Gerais'!$C$4:$C$3632))</f>
        <v>0</v>
      </c>
      <c r="AS122" s="134">
        <f>SUMPRODUCT(-('Gastos Gerais'!$B$4:$B$3632=Analítico!$B122),-(Analítico!AS$3&gt;='Gastos Gerais'!$D$4:$D$3632),-(Analítico!AS$3&lt;='Gastos Gerais'!$E$4:$E$3632),-('Gastos Gerais'!$C$4:$C$3632))</f>
        <v>0</v>
      </c>
      <c r="AT122" s="134">
        <f>SUMPRODUCT(-('Gastos Gerais'!$B$4:$B$3632=Analítico!$B122),-(Analítico!AT$3&gt;='Gastos Gerais'!$D$4:$D$3632),-(Analítico!AT$3&lt;='Gastos Gerais'!$E$4:$E$3632),-('Gastos Gerais'!$C$4:$C$3632))</f>
        <v>0</v>
      </c>
      <c r="AU122" s="134">
        <f>SUMPRODUCT(-('Gastos Gerais'!$B$4:$B$3632=Analítico!$B122),-(Analítico!AU$3&gt;='Gastos Gerais'!$D$4:$D$3632),-(Analítico!AU$3&lt;='Gastos Gerais'!$E$4:$E$3632),-('Gastos Gerais'!$C$4:$C$3632))</f>
        <v>0</v>
      </c>
      <c r="AV122" s="134">
        <f>SUMPRODUCT(-('Gastos Gerais'!$B$4:$B$3632=Analítico!$B122),-(Analítico!AV$3&gt;='Gastos Gerais'!$D$4:$D$3632),-(Analítico!AV$3&lt;='Gastos Gerais'!$E$4:$E$3632),-('Gastos Gerais'!$C$4:$C$3632))</f>
        <v>0</v>
      </c>
      <c r="AW122" s="134">
        <f>SUMPRODUCT(-('Gastos Gerais'!$B$4:$B$3632=Analítico!$B122),-(Analítico!AW$3&gt;='Gastos Gerais'!$D$4:$D$3632),-(Analítico!AW$3&lt;='Gastos Gerais'!$E$4:$E$3632),-('Gastos Gerais'!$C$4:$C$3632))</f>
        <v>0</v>
      </c>
      <c r="AX122" s="134">
        <f>SUMPRODUCT(-('Gastos Gerais'!$B$4:$B$3632=Analítico!$B122),-(Analítico!AX$3&gt;='Gastos Gerais'!$D$4:$D$3632),-(Analítico!AX$3&lt;='Gastos Gerais'!$E$4:$E$3632),-('Gastos Gerais'!$C$4:$C$3632))</f>
        <v>0</v>
      </c>
      <c r="AY122" s="134">
        <f>SUMPRODUCT(-('Gastos Gerais'!$B$4:$B$3632=Analítico!$B122),-(Analítico!AY$3&gt;='Gastos Gerais'!$D$4:$D$3632),-(Analítico!AY$3&lt;='Gastos Gerais'!$E$4:$E$3632),-('Gastos Gerais'!$C$4:$C$3632))</f>
        <v>0</v>
      </c>
      <c r="AZ122" s="134">
        <f>SUMPRODUCT(-('Gastos Gerais'!$B$4:$B$3632=Analítico!$B122),-(Analítico!AZ$3&gt;='Gastos Gerais'!$D$4:$D$3632),-(Analítico!AZ$3&lt;='Gastos Gerais'!$E$4:$E$3632),-('Gastos Gerais'!$C$4:$C$3632))</f>
        <v>69678.720000000001</v>
      </c>
      <c r="BA122" s="134">
        <f>SUMPRODUCT(-('Gastos Gerais'!$B$4:$B$3632=Analítico!$B122),-(Analítico!BA$3&gt;='Gastos Gerais'!$D$4:$D$3632),-(Analítico!BA$3&lt;='Gastos Gerais'!$E$4:$E$3632),-('Gastos Gerais'!$C$4:$C$3632))</f>
        <v>0</v>
      </c>
      <c r="BB122" s="134">
        <f>SUMPRODUCT(-('Gastos Gerais'!$B$4:$B$3632=Analítico!$B122),-(Analítico!BB$3&gt;='Gastos Gerais'!$D$4:$D$3632),-(Analítico!BB$3&lt;='Gastos Gerais'!$E$4:$E$3632),-('Gastos Gerais'!$C$4:$C$3632))</f>
        <v>0</v>
      </c>
      <c r="BC122" s="134">
        <f>SUMPRODUCT(-('Gastos Gerais'!$B$4:$B$3632=Analítico!$B122),-(Analítico!BC$3&gt;='Gastos Gerais'!$D$4:$D$3632),-(Analítico!BC$3&lt;='Gastos Gerais'!$E$4:$E$3632),-('Gastos Gerais'!$C$4:$C$3632))</f>
        <v>0</v>
      </c>
      <c r="BD122" s="134">
        <f>SUMPRODUCT(-('Gastos Gerais'!$B$4:$B$3632=Analítico!$B122),-(Analítico!BD$3&gt;='Gastos Gerais'!$D$4:$D$3632),-(Analítico!BD$3&lt;='Gastos Gerais'!$E$4:$E$3632),-('Gastos Gerais'!$C$4:$C$3632))</f>
        <v>0</v>
      </c>
      <c r="BE122" s="134">
        <f>SUMPRODUCT(-('Gastos Gerais'!$B$4:$B$3632=Analítico!$B122),-(Analítico!BE$3&gt;='Gastos Gerais'!$D$4:$D$3632),-(Analítico!BE$3&lt;='Gastos Gerais'!$E$4:$E$3632),-('Gastos Gerais'!$C$4:$C$3632))</f>
        <v>0</v>
      </c>
      <c r="BF122" s="134">
        <f>SUMPRODUCT(-('Gastos Gerais'!$B$4:$B$3632=Analítico!$B122),-(Analítico!BF$3&gt;='Gastos Gerais'!$D$4:$D$3632),-(Analítico!BF$3&lt;='Gastos Gerais'!$E$4:$E$3632),-('Gastos Gerais'!$C$4:$C$3632))</f>
        <v>0</v>
      </c>
      <c r="BG122" s="134">
        <f>SUMPRODUCT(-('Gastos Gerais'!$B$4:$B$3632=Analítico!$B122),-(Analítico!BG$3&gt;='Gastos Gerais'!$D$4:$D$3632),-(Analítico!BG$3&lt;='Gastos Gerais'!$E$4:$E$3632),-('Gastos Gerais'!$C$4:$C$3632))</f>
        <v>0</v>
      </c>
      <c r="BH122" s="134">
        <f>SUMPRODUCT(-('Gastos Gerais'!$B$4:$B$3632=Analítico!$B122),-(Analítico!BH$3&gt;='Gastos Gerais'!$D$4:$D$3632),-(Analítico!BH$3&lt;='Gastos Gerais'!$E$4:$E$3632),-('Gastos Gerais'!$C$4:$C$3632))</f>
        <v>0</v>
      </c>
      <c r="BI122" s="134">
        <f>SUMPRODUCT(-('Gastos Gerais'!$B$4:$B$3632=Analítico!$B122),-(Analítico!BI$3&gt;='Gastos Gerais'!$D$4:$D$3632),-(Analítico!BI$3&lt;='Gastos Gerais'!$E$4:$E$3632),-('Gastos Gerais'!$C$4:$C$3632))</f>
        <v>0</v>
      </c>
      <c r="BJ122" s="134">
        <f>SUMPRODUCT(-('Gastos Gerais'!$B$4:$B$3632=Analítico!$B122),-(Analítico!BJ$3&gt;='Gastos Gerais'!$D$4:$D$3632),-(Analítico!BJ$3&lt;='Gastos Gerais'!$E$4:$E$3632),-('Gastos Gerais'!$C$4:$C$3632))</f>
        <v>0</v>
      </c>
      <c r="BK122" s="189">
        <f t="shared" si="41"/>
        <v>305218.74</v>
      </c>
      <c r="BL122" s="136">
        <f t="shared" ca="1" si="40"/>
        <v>9.1223923989791319E-4</v>
      </c>
      <c r="BN122" s="134">
        <f>SUMPRODUCT(-('Gastos Gerais'!$B$4:$B$3632=Analítico!$B122),-(Analítico!BN$3&gt;='Gastos Gerais'!$D$4:$D$3632),-(Analítico!BN$3&lt;='Gastos Gerais'!$E$4:$E$3632),-('Gastos Gerais'!$C$4:$C$3632))</f>
        <v>0</v>
      </c>
    </row>
    <row r="123" spans="1:66" s="160" customFormat="1" ht="23.25" customHeight="1">
      <c r="A123" s="229" t="s">
        <v>660</v>
      </c>
      <c r="B123" s="232" t="s">
        <v>649</v>
      </c>
      <c r="C123" s="188">
        <f t="shared" si="36"/>
        <v>0</v>
      </c>
      <c r="D123" s="134">
        <f>SUMPRODUCT(-('Gastos Gerais'!$B$4:$B$3632=Analítico!$B123),-(Analítico!D$3&gt;='Gastos Gerais'!$D$4:$D$3632),-(Analítico!D$3&lt;='Gastos Gerais'!$E$4:$E$3632),-('Gastos Gerais'!$C$4:$C$3632))</f>
        <v>127931</v>
      </c>
      <c r="E123" s="134">
        <f>SUMPRODUCT(-('Gastos Gerais'!$B$4:$B$3632=Analítico!$B123),-(Analítico!E$3&gt;='Gastos Gerais'!$D$4:$D$3632),-(Analítico!E$3&lt;='Gastos Gerais'!$E$4:$E$3632),-('Gastos Gerais'!$C$4:$C$3632))</f>
        <v>27931</v>
      </c>
      <c r="F123" s="134">
        <f>SUMPRODUCT(-('Gastos Gerais'!$B$4:$B$3632=Analítico!$B123),-(Analítico!F$3&gt;='Gastos Gerais'!$D$4:$D$3632),-(Analítico!F$3&lt;='Gastos Gerais'!$E$4:$E$3632),-('Gastos Gerais'!$C$4:$C$3632))</f>
        <v>27931</v>
      </c>
      <c r="G123" s="134">
        <f>SUMPRODUCT(-('Gastos Gerais'!$B$4:$B$3632=Analítico!$B123),-(Analítico!G$3&gt;='Gastos Gerais'!$D$4:$D$3632),-(Analítico!G$3&lt;='Gastos Gerais'!$E$4:$E$3632),-('Gastos Gerais'!$C$4:$C$3632))</f>
        <v>27931</v>
      </c>
      <c r="H123" s="134">
        <f>SUMPRODUCT(-('Gastos Gerais'!$B$4:$B$3632=Analítico!$B123),-(Analítico!H$3&gt;='Gastos Gerais'!$D$4:$D$3632),-(Analítico!H$3&lt;='Gastos Gerais'!$E$4:$E$3632),-('Gastos Gerais'!$C$4:$C$3632))</f>
        <v>27931</v>
      </c>
      <c r="I123" s="134">
        <f>SUMPRODUCT(-('Gastos Gerais'!$B$4:$B$3632=Analítico!$B123),-(Analítico!I$3&gt;='Gastos Gerais'!$D$4:$D$3632),-(Analítico!I$3&lt;='Gastos Gerais'!$E$4:$E$3632),-('Gastos Gerais'!$C$4:$C$3632))</f>
        <v>27931</v>
      </c>
      <c r="J123" s="134">
        <f>SUMPRODUCT(-('Gastos Gerais'!$B$4:$B$3632=Analítico!$B123),-(Analítico!J$3&gt;='Gastos Gerais'!$D$4:$D$3632),-(Analítico!J$3&lt;='Gastos Gerais'!$E$4:$E$3632),-('Gastos Gerais'!$C$4:$C$3632))</f>
        <v>27931</v>
      </c>
      <c r="K123" s="134">
        <f>SUMPRODUCT(-('Gastos Gerais'!$B$4:$B$3632=Analítico!$B123),-(Analítico!K$3&gt;='Gastos Gerais'!$D$4:$D$3632),-(Analítico!K$3&lt;='Gastos Gerais'!$E$4:$E$3632),-('Gastos Gerais'!$C$4:$C$3632))</f>
        <v>27931</v>
      </c>
      <c r="L123" s="134">
        <f>SUMPRODUCT(-('Gastos Gerais'!$B$4:$B$3632=Analítico!$B123),-(Analítico!L$3&gt;='Gastos Gerais'!$D$4:$D$3632),-(Analítico!L$3&lt;='Gastos Gerais'!$E$4:$E$3632),-('Gastos Gerais'!$C$4:$C$3632))</f>
        <v>27931</v>
      </c>
      <c r="M123" s="134">
        <f>SUMPRODUCT(-('Gastos Gerais'!$B$4:$B$3632=Analítico!$B123),-(Analítico!M$3&gt;='Gastos Gerais'!$D$4:$D$3632),-(Analítico!M$3&lt;='Gastos Gerais'!$E$4:$E$3632),-('Gastos Gerais'!$C$4:$C$3632))</f>
        <v>27931</v>
      </c>
      <c r="N123" s="134">
        <f>SUMPRODUCT(-('Gastos Gerais'!$B$4:$B$3632=Analítico!$B123),-(Analítico!N$3&gt;='Gastos Gerais'!$D$4:$D$3632),-(Analítico!N$3&lt;='Gastos Gerais'!$E$4:$E$3632),-('Gastos Gerais'!$C$4:$C$3632))</f>
        <v>27931</v>
      </c>
      <c r="O123" s="134">
        <f>SUMPRODUCT(-('Gastos Gerais'!$B$4:$B$3632=Analítico!$B123),-(Analítico!O$3&gt;='Gastos Gerais'!$D$4:$D$3632),-(Analítico!O$3&lt;='Gastos Gerais'!$E$4:$E$3632),-('Gastos Gerais'!$C$4:$C$3632))</f>
        <v>27931</v>
      </c>
      <c r="P123" s="134">
        <f>SUMPRODUCT(-('Gastos Gerais'!$B$4:$B$3632=Analítico!$B123),-(Analítico!P$3&gt;='Gastos Gerais'!$D$4:$D$3632),-(Analítico!P$3&lt;='Gastos Gerais'!$E$4:$E$3632),-('Gastos Gerais'!$C$4:$C$3632))</f>
        <v>29574</v>
      </c>
      <c r="Q123" s="134">
        <f>SUMPRODUCT(-('Gastos Gerais'!$B$4:$B$3632=Analítico!$B123),-(Analítico!Q$3&gt;='Gastos Gerais'!$D$4:$D$3632),-(Analítico!Q$3&lt;='Gastos Gerais'!$E$4:$E$3632),-('Gastos Gerais'!$C$4:$C$3632))</f>
        <v>31217</v>
      </c>
      <c r="R123" s="134">
        <f>SUMPRODUCT(-('Gastos Gerais'!$B$4:$B$3632=Analítico!$B123),-(Analítico!R$3&gt;='Gastos Gerais'!$D$4:$D$3632),-(Analítico!R$3&lt;='Gastos Gerais'!$E$4:$E$3632),-('Gastos Gerais'!$C$4:$C$3632))</f>
        <v>31217</v>
      </c>
      <c r="S123" s="134">
        <f>SUMPRODUCT(-('Gastos Gerais'!$B$4:$B$3632=Analítico!$B123),-(Analítico!S$3&gt;='Gastos Gerais'!$D$4:$D$3632),-(Analítico!S$3&lt;='Gastos Gerais'!$E$4:$E$3632),-('Gastos Gerais'!$C$4:$C$3632))</f>
        <v>941217</v>
      </c>
      <c r="T123" s="134">
        <f>SUMPRODUCT(-('Gastos Gerais'!$B$4:$B$3632=Analítico!$B123),-(Analítico!T$3&gt;='Gastos Gerais'!$D$4:$D$3632),-(Analítico!T$3&lt;='Gastos Gerais'!$E$4:$E$3632),-('Gastos Gerais'!$C$4:$C$3632))</f>
        <v>31217</v>
      </c>
      <c r="U123" s="134">
        <f>SUMPRODUCT(-('Gastos Gerais'!$B$4:$B$3632=Analítico!$B123),-(Analítico!U$3&gt;='Gastos Gerais'!$D$4:$D$3632),-(Analítico!U$3&lt;='Gastos Gerais'!$E$4:$E$3632),-('Gastos Gerais'!$C$4:$C$3632))</f>
        <v>31217</v>
      </c>
      <c r="V123" s="134">
        <f>SUMPRODUCT(-('Gastos Gerais'!$B$4:$B$3632=Analítico!$B123),-(Analítico!V$3&gt;='Gastos Gerais'!$D$4:$D$3632),-(Analítico!V$3&lt;='Gastos Gerais'!$E$4:$E$3632),-('Gastos Gerais'!$C$4:$C$3632))</f>
        <v>31217</v>
      </c>
      <c r="W123" s="134">
        <f>SUMPRODUCT(-('Gastos Gerais'!$B$4:$B$3632=Analítico!$B123),-(Analítico!W$3&gt;='Gastos Gerais'!$D$4:$D$3632),-(Analítico!W$3&lt;='Gastos Gerais'!$E$4:$E$3632),-('Gastos Gerais'!$C$4:$C$3632))</f>
        <v>31217</v>
      </c>
      <c r="X123" s="134">
        <f>SUMPRODUCT(-('Gastos Gerais'!$B$4:$B$3632=Analítico!$B123),-(Analítico!X$3&gt;='Gastos Gerais'!$D$4:$D$3632),-(Analítico!X$3&lt;='Gastos Gerais'!$E$4:$E$3632),-('Gastos Gerais'!$C$4:$C$3632))</f>
        <v>31217</v>
      </c>
      <c r="Y123" s="134">
        <f>SUMPRODUCT(-('Gastos Gerais'!$B$4:$B$3632=Analítico!$B123),-(Analítico!Y$3&gt;='Gastos Gerais'!$D$4:$D$3632),-(Analítico!Y$3&lt;='Gastos Gerais'!$E$4:$E$3632),-('Gastos Gerais'!$C$4:$C$3632))</f>
        <v>31217</v>
      </c>
      <c r="Z123" s="134">
        <f>SUMPRODUCT(-('Gastos Gerais'!$B$4:$B$3632=Analítico!$B123),-(Analítico!Z$3&gt;='Gastos Gerais'!$D$4:$D$3632),-(Analítico!Z$3&lt;='Gastos Gerais'!$E$4:$E$3632),-('Gastos Gerais'!$C$4:$C$3632))</f>
        <v>31217</v>
      </c>
      <c r="AA123" s="134">
        <f>SUMPRODUCT(-('Gastos Gerais'!$B$4:$B$3632=Analítico!$B123),-(Analítico!AA$3&gt;='Gastos Gerais'!$D$4:$D$3632),-(Analítico!AA$3&lt;='Gastos Gerais'!$E$4:$E$3632),-('Gastos Gerais'!$C$4:$C$3632))</f>
        <v>31217</v>
      </c>
      <c r="AB123" s="134">
        <f>SUMPRODUCT(-('Gastos Gerais'!$B$4:$B$3632=Analítico!$B123),-(Analítico!AB$3&gt;='Gastos Gerais'!$D$4:$D$3632),-(Analítico!AB$3&lt;='Gastos Gerais'!$E$4:$E$3632),-('Gastos Gerais'!$C$4:$C$3632))</f>
        <v>31217</v>
      </c>
      <c r="AC123" s="134">
        <f>SUMPRODUCT(-('Gastos Gerais'!$B$4:$B$3632=Analítico!$B123),-(Analítico!AC$3&gt;='Gastos Gerais'!$D$4:$D$3632),-(Analítico!AC$3&lt;='Gastos Gerais'!$E$4:$E$3632),-('Gastos Gerais'!$C$4:$C$3632))</f>
        <v>31217</v>
      </c>
      <c r="AD123" s="134">
        <f>SUMPRODUCT(-('Gastos Gerais'!$B$4:$B$3632=Analítico!$B123),-(Analítico!AD$3&gt;='Gastos Gerais'!$D$4:$D$3632),-(Analítico!AD$3&lt;='Gastos Gerais'!$E$4:$E$3632),-('Gastos Gerais'!$C$4:$C$3632))</f>
        <v>31217</v>
      </c>
      <c r="AE123" s="134">
        <f>SUMPRODUCT(-('Gastos Gerais'!$B$4:$B$3632=Analítico!$B123),-(Analítico!AE$3&gt;='Gastos Gerais'!$D$4:$D$3632),-(Analítico!AE$3&lt;='Gastos Gerais'!$E$4:$E$3632),-('Gastos Gerais'!$C$4:$C$3632))</f>
        <v>31217</v>
      </c>
      <c r="AF123" s="134">
        <f>SUMPRODUCT(-('Gastos Gerais'!$B$4:$B$3632=Analítico!$B123),-(Analítico!AF$3&gt;='Gastos Gerais'!$D$4:$D$3632),-(Analítico!AF$3&lt;='Gastos Gerais'!$E$4:$E$3632),-('Gastos Gerais'!$C$4:$C$3632))</f>
        <v>31217</v>
      </c>
      <c r="AG123" s="134">
        <f>SUMPRODUCT(-('Gastos Gerais'!$B$4:$B$3632=Analítico!$B123),-(Analítico!AG$3&gt;='Gastos Gerais'!$D$4:$D$3632),-(Analítico!AG$3&lt;='Gastos Gerais'!$E$4:$E$3632),-('Gastos Gerais'!$C$4:$C$3632))</f>
        <v>31217</v>
      </c>
      <c r="AH123" s="134">
        <f>SUMPRODUCT(-('Gastos Gerais'!$B$4:$B$3632=Analítico!$B123),-(Analítico!AH$3&gt;='Gastos Gerais'!$D$4:$D$3632),-(Analítico!AH$3&lt;='Gastos Gerais'!$E$4:$E$3632),-('Gastos Gerais'!$C$4:$C$3632))</f>
        <v>31217</v>
      </c>
      <c r="AI123" s="134">
        <f>SUMPRODUCT(-('Gastos Gerais'!$B$4:$B$3632=Analítico!$B123),-(Analítico!AI$3&gt;='Gastos Gerais'!$D$4:$D$3632),-(Analítico!AI$3&lt;='Gastos Gerais'!$E$4:$E$3632),-('Gastos Gerais'!$C$4:$C$3632))</f>
        <v>31217</v>
      </c>
      <c r="AJ123" s="134">
        <f>SUMPRODUCT(-('Gastos Gerais'!$B$4:$B$3632=Analítico!$B123),-(Analítico!AJ$3&gt;='Gastos Gerais'!$D$4:$D$3632),-(Analítico!AJ$3&lt;='Gastos Gerais'!$E$4:$E$3632),-('Gastos Gerais'!$C$4:$C$3632))</f>
        <v>31217</v>
      </c>
      <c r="AK123" s="134">
        <f>SUMPRODUCT(-('Gastos Gerais'!$B$4:$B$3632=Analítico!$B123),-(Analítico!AK$3&gt;='Gastos Gerais'!$D$4:$D$3632),-(Analítico!AK$3&lt;='Gastos Gerais'!$E$4:$E$3632),-('Gastos Gerais'!$C$4:$C$3632))</f>
        <v>31217</v>
      </c>
      <c r="AL123" s="134">
        <f>SUMPRODUCT(-('Gastos Gerais'!$B$4:$B$3632=Analítico!$B123),-(Analítico!AL$3&gt;='Gastos Gerais'!$D$4:$D$3632),-(Analítico!AL$3&lt;='Gastos Gerais'!$E$4:$E$3632),-('Gastos Gerais'!$C$4:$C$3632))</f>
        <v>31217</v>
      </c>
      <c r="AM123" s="134">
        <f>SUMPRODUCT(-('Gastos Gerais'!$B$4:$B$3632=Analítico!$B123),-(Analítico!AM$3&gt;='Gastos Gerais'!$D$4:$D$3632),-(Analítico!AM$3&lt;='Gastos Gerais'!$E$4:$E$3632),-('Gastos Gerais'!$C$4:$C$3632))</f>
        <v>31217</v>
      </c>
      <c r="AN123" s="134">
        <f>SUMPRODUCT(-('Gastos Gerais'!$B$4:$B$3632=Analítico!$B123),-(Analítico!AN$3&gt;='Gastos Gerais'!$D$4:$D$3632),-(Analítico!AN$3&lt;='Gastos Gerais'!$E$4:$E$3632),-('Gastos Gerais'!$C$4:$C$3632))</f>
        <v>31217</v>
      </c>
      <c r="AO123" s="134">
        <f>SUMPRODUCT(-('Gastos Gerais'!$B$4:$B$3632=Analítico!$B123),-(Analítico!AO$3&gt;='Gastos Gerais'!$D$4:$D$3632),-(Analítico!AO$3&lt;='Gastos Gerais'!$E$4:$E$3632),-('Gastos Gerais'!$C$4:$C$3632))</f>
        <v>31217</v>
      </c>
      <c r="AP123" s="134">
        <f>SUMPRODUCT(-('Gastos Gerais'!$B$4:$B$3632=Analítico!$B123),-(Analítico!AP$3&gt;='Gastos Gerais'!$D$4:$D$3632),-(Analítico!AP$3&lt;='Gastos Gerais'!$E$4:$E$3632),-('Gastos Gerais'!$C$4:$C$3632))</f>
        <v>31217</v>
      </c>
      <c r="AQ123" s="134">
        <f>SUMPRODUCT(-('Gastos Gerais'!$B$4:$B$3632=Analítico!$B123),-(Analítico!AQ$3&gt;='Gastos Gerais'!$D$4:$D$3632),-(Analítico!AQ$3&lt;='Gastos Gerais'!$E$4:$E$3632),-('Gastos Gerais'!$C$4:$C$3632))</f>
        <v>31217</v>
      </c>
      <c r="AR123" s="134">
        <f>SUMPRODUCT(-('Gastos Gerais'!$B$4:$B$3632=Analítico!$B123),-(Analítico!AR$3&gt;='Gastos Gerais'!$D$4:$D$3632),-(Analítico!AR$3&lt;='Gastos Gerais'!$E$4:$E$3632),-('Gastos Gerais'!$C$4:$C$3632))</f>
        <v>31217</v>
      </c>
      <c r="AS123" s="134">
        <f>SUMPRODUCT(-('Gastos Gerais'!$B$4:$B$3632=Analítico!$B123),-(Analítico!AS$3&gt;='Gastos Gerais'!$D$4:$D$3632),-(Analítico!AS$3&lt;='Gastos Gerais'!$E$4:$E$3632),-('Gastos Gerais'!$C$4:$C$3632))</f>
        <v>31217</v>
      </c>
      <c r="AT123" s="134">
        <f>SUMPRODUCT(-('Gastos Gerais'!$B$4:$B$3632=Analítico!$B123),-(Analítico!AT$3&gt;='Gastos Gerais'!$D$4:$D$3632),-(Analítico!AT$3&lt;='Gastos Gerais'!$E$4:$E$3632),-('Gastos Gerais'!$C$4:$C$3632))</f>
        <v>31217</v>
      </c>
      <c r="AU123" s="134">
        <f>SUMPRODUCT(-('Gastos Gerais'!$B$4:$B$3632=Analítico!$B123),-(Analítico!AU$3&gt;='Gastos Gerais'!$D$4:$D$3632),-(Analítico!AU$3&lt;='Gastos Gerais'!$E$4:$E$3632),-('Gastos Gerais'!$C$4:$C$3632))</f>
        <v>31217</v>
      </c>
      <c r="AV123" s="134">
        <f>SUMPRODUCT(-('Gastos Gerais'!$B$4:$B$3632=Analítico!$B123),-(Analítico!AV$3&gt;='Gastos Gerais'!$D$4:$D$3632),-(Analítico!AV$3&lt;='Gastos Gerais'!$E$4:$E$3632),-('Gastos Gerais'!$C$4:$C$3632))</f>
        <v>31217</v>
      </c>
      <c r="AW123" s="134">
        <f>SUMPRODUCT(-('Gastos Gerais'!$B$4:$B$3632=Analítico!$B123),-(Analítico!AW$3&gt;='Gastos Gerais'!$D$4:$D$3632),-(Analítico!AW$3&lt;='Gastos Gerais'!$E$4:$E$3632),-('Gastos Gerais'!$C$4:$C$3632))</f>
        <v>31217</v>
      </c>
      <c r="AX123" s="134">
        <f>SUMPRODUCT(-('Gastos Gerais'!$B$4:$B$3632=Analítico!$B123),-(Analítico!AX$3&gt;='Gastos Gerais'!$D$4:$D$3632),-(Analítico!AX$3&lt;='Gastos Gerais'!$E$4:$E$3632),-('Gastos Gerais'!$C$4:$C$3632))</f>
        <v>31217</v>
      </c>
      <c r="AY123" s="134">
        <f>SUMPRODUCT(-('Gastos Gerais'!$B$4:$B$3632=Analítico!$B123),-(Analítico!AY$3&gt;='Gastos Gerais'!$D$4:$D$3632),-(Analítico!AY$3&lt;='Gastos Gerais'!$E$4:$E$3632),-('Gastos Gerais'!$C$4:$C$3632))</f>
        <v>31217</v>
      </c>
      <c r="AZ123" s="134">
        <f>SUMPRODUCT(-('Gastos Gerais'!$B$4:$B$3632=Analítico!$B123),-(Analítico!AZ$3&gt;='Gastos Gerais'!$D$4:$D$3632),-(Analítico!AZ$3&lt;='Gastos Gerais'!$E$4:$E$3632),-('Gastos Gerais'!$C$4:$C$3632))</f>
        <v>31217</v>
      </c>
      <c r="BA123" s="134">
        <f>SUMPRODUCT(-('Gastos Gerais'!$B$4:$B$3632=Analítico!$B123),-(Analítico!BA$3&gt;='Gastos Gerais'!$D$4:$D$3632),-(Analítico!BA$3&lt;='Gastos Gerais'!$E$4:$E$3632),-('Gastos Gerais'!$C$4:$C$3632))</f>
        <v>31217</v>
      </c>
      <c r="BB123" s="134">
        <f>SUMPRODUCT(-('Gastos Gerais'!$B$4:$B$3632=Analítico!$B123),-(Analítico!BB$3&gt;='Gastos Gerais'!$D$4:$D$3632),-(Analítico!BB$3&lt;='Gastos Gerais'!$E$4:$E$3632),-('Gastos Gerais'!$C$4:$C$3632))</f>
        <v>31217</v>
      </c>
      <c r="BC123" s="134">
        <f>SUMPRODUCT(-('Gastos Gerais'!$B$4:$B$3632=Analítico!$B123),-(Analítico!BC$3&gt;='Gastos Gerais'!$D$4:$D$3632),-(Analítico!BC$3&lt;='Gastos Gerais'!$E$4:$E$3632),-('Gastos Gerais'!$C$4:$C$3632))</f>
        <v>31217</v>
      </c>
      <c r="BD123" s="134">
        <f>SUMPRODUCT(-('Gastos Gerais'!$B$4:$B$3632=Analítico!$B123),-(Analítico!BD$3&gt;='Gastos Gerais'!$D$4:$D$3632),-(Analítico!BD$3&lt;='Gastos Gerais'!$E$4:$E$3632),-('Gastos Gerais'!$C$4:$C$3632))</f>
        <v>31217</v>
      </c>
      <c r="BE123" s="134">
        <f>SUMPRODUCT(-('Gastos Gerais'!$B$4:$B$3632=Analítico!$B123),-(Analítico!BE$3&gt;='Gastos Gerais'!$D$4:$D$3632),-(Analítico!BE$3&lt;='Gastos Gerais'!$E$4:$E$3632),-('Gastos Gerais'!$C$4:$C$3632))</f>
        <v>31217</v>
      </c>
      <c r="BF123" s="134">
        <f>SUMPRODUCT(-('Gastos Gerais'!$B$4:$B$3632=Analítico!$B123),-(Analítico!BF$3&gt;='Gastos Gerais'!$D$4:$D$3632),-(Analítico!BF$3&lt;='Gastos Gerais'!$E$4:$E$3632),-('Gastos Gerais'!$C$4:$C$3632))</f>
        <v>31217</v>
      </c>
      <c r="BG123" s="134">
        <f>SUMPRODUCT(-('Gastos Gerais'!$B$4:$B$3632=Analítico!$B123),-(Analítico!BG$3&gt;='Gastos Gerais'!$D$4:$D$3632),-(Analítico!BG$3&lt;='Gastos Gerais'!$E$4:$E$3632),-('Gastos Gerais'!$C$4:$C$3632))</f>
        <v>31217</v>
      </c>
      <c r="BH123" s="134">
        <f>SUMPRODUCT(-('Gastos Gerais'!$B$4:$B$3632=Analítico!$B123),-(Analítico!BH$3&gt;='Gastos Gerais'!$D$4:$D$3632),-(Analítico!BH$3&lt;='Gastos Gerais'!$E$4:$E$3632),-('Gastos Gerais'!$C$4:$C$3632))</f>
        <v>31217</v>
      </c>
      <c r="BI123" s="134">
        <f>SUMPRODUCT(-('Gastos Gerais'!$B$4:$B$3632=Analítico!$B123),-(Analítico!BI$3&gt;='Gastos Gerais'!$D$4:$D$3632),-(Analítico!BI$3&lt;='Gastos Gerais'!$E$4:$E$3632),-('Gastos Gerais'!$C$4:$C$3632))</f>
        <v>31217</v>
      </c>
      <c r="BJ123" s="134">
        <f>SUMPRODUCT(-('Gastos Gerais'!$B$4:$B$3632=Analítico!$B123),-(Analítico!BJ$3&gt;='Gastos Gerais'!$D$4:$D$3632),-(Analítico!BJ$3&lt;='Gastos Gerais'!$E$4:$E$3632),-('Gastos Gerais'!$C$4:$C$3632))</f>
        <v>31217</v>
      </c>
      <c r="BK123" s="189">
        <f t="shared" si="41"/>
        <v>2810728</v>
      </c>
      <c r="BL123" s="136">
        <f t="shared" ca="1" si="40"/>
        <v>8.4007173815073798E-3</v>
      </c>
      <c r="BN123" s="134">
        <f>SUMPRODUCT(-('Gastos Gerais'!$B$4:$B$3632=Analítico!$B123),-(Analítico!BN$3&gt;='Gastos Gerais'!$D$4:$D$3632),-(Analítico!BN$3&lt;='Gastos Gerais'!$E$4:$E$3632),-('Gastos Gerais'!$C$4:$C$3632))</f>
        <v>0</v>
      </c>
    </row>
    <row r="124" spans="1:66" s="160" customFormat="1" ht="23.25" customHeight="1">
      <c r="A124" s="229" t="s">
        <v>661</v>
      </c>
      <c r="B124" s="232" t="s">
        <v>650</v>
      </c>
      <c r="C124" s="188">
        <f t="shared" ref="C124:C132" si="42">BN124*9/30</f>
        <v>294</v>
      </c>
      <c r="D124" s="134">
        <f>SUMPRODUCT(-('Gastos Gerais'!$B$4:$B$3632=Analítico!$B124),-(Analítico!D$3&gt;='Gastos Gerais'!$D$4:$D$3632),-(Analítico!D$3&lt;='Gastos Gerais'!$E$4:$E$3632),-('Gastos Gerais'!$C$4:$C$3632))</f>
        <v>980</v>
      </c>
      <c r="E124" s="134">
        <f>SUMPRODUCT(-('Gastos Gerais'!$B$4:$B$3632=Analítico!$B124),-(Analítico!E$3&gt;='Gastos Gerais'!$D$4:$D$3632),-(Analítico!E$3&lt;='Gastos Gerais'!$E$4:$E$3632),-('Gastos Gerais'!$C$4:$C$3632))</f>
        <v>980</v>
      </c>
      <c r="F124" s="134">
        <f>SUMPRODUCT(-('Gastos Gerais'!$B$4:$B$3632=Analítico!$B124),-(Analítico!F$3&gt;='Gastos Gerais'!$D$4:$D$3632),-(Analítico!F$3&lt;='Gastos Gerais'!$E$4:$E$3632),-('Gastos Gerais'!$C$4:$C$3632))</f>
        <v>1190</v>
      </c>
      <c r="G124" s="134">
        <f>SUMPRODUCT(-('Gastos Gerais'!$B$4:$B$3632=Analítico!$B124),-(Analítico!G$3&gt;='Gastos Gerais'!$D$4:$D$3632),-(Analítico!G$3&lt;='Gastos Gerais'!$E$4:$E$3632),-('Gastos Gerais'!$C$4:$C$3632))</f>
        <v>1190</v>
      </c>
      <c r="H124" s="134">
        <f>SUMPRODUCT(-('Gastos Gerais'!$B$4:$B$3632=Analítico!$B124),-(Analítico!H$3&gt;='Gastos Gerais'!$D$4:$D$3632),-(Analítico!H$3&lt;='Gastos Gerais'!$E$4:$E$3632),-('Gastos Gerais'!$C$4:$C$3632))</f>
        <v>1190</v>
      </c>
      <c r="I124" s="134">
        <f>SUMPRODUCT(-('Gastos Gerais'!$B$4:$B$3632=Analítico!$B124),-(Analítico!I$3&gt;='Gastos Gerais'!$D$4:$D$3632),-(Analítico!I$3&lt;='Gastos Gerais'!$E$4:$E$3632),-('Gastos Gerais'!$C$4:$C$3632))</f>
        <v>1190</v>
      </c>
      <c r="J124" s="134">
        <f>SUMPRODUCT(-('Gastos Gerais'!$B$4:$B$3632=Analítico!$B124),-(Analítico!J$3&gt;='Gastos Gerais'!$D$4:$D$3632),-(Analítico!J$3&lt;='Gastos Gerais'!$E$4:$E$3632),-('Gastos Gerais'!$C$4:$C$3632))</f>
        <v>1190</v>
      </c>
      <c r="K124" s="134">
        <f>SUMPRODUCT(-('Gastos Gerais'!$B$4:$B$3632=Analítico!$B124),-(Analítico!K$3&gt;='Gastos Gerais'!$D$4:$D$3632),-(Analítico!K$3&lt;='Gastos Gerais'!$E$4:$E$3632),-('Gastos Gerais'!$C$4:$C$3632))</f>
        <v>1190</v>
      </c>
      <c r="L124" s="134">
        <f>SUMPRODUCT(-('Gastos Gerais'!$B$4:$B$3632=Analítico!$B124),-(Analítico!L$3&gt;='Gastos Gerais'!$D$4:$D$3632),-(Analítico!L$3&lt;='Gastos Gerais'!$E$4:$E$3632),-('Gastos Gerais'!$C$4:$C$3632))</f>
        <v>1190</v>
      </c>
      <c r="M124" s="134">
        <f>SUMPRODUCT(-('Gastos Gerais'!$B$4:$B$3632=Analítico!$B124),-(Analítico!M$3&gt;='Gastos Gerais'!$D$4:$D$3632),-(Analítico!M$3&lt;='Gastos Gerais'!$E$4:$E$3632),-('Gastos Gerais'!$C$4:$C$3632))</f>
        <v>1190</v>
      </c>
      <c r="N124" s="134">
        <f>SUMPRODUCT(-('Gastos Gerais'!$B$4:$B$3632=Analítico!$B124),-(Analítico!N$3&gt;='Gastos Gerais'!$D$4:$D$3632),-(Analítico!N$3&lt;='Gastos Gerais'!$E$4:$E$3632),-('Gastos Gerais'!$C$4:$C$3632))</f>
        <v>1190</v>
      </c>
      <c r="O124" s="134">
        <f>SUMPRODUCT(-('Gastos Gerais'!$B$4:$B$3632=Analítico!$B124),-(Analítico!O$3&gt;='Gastos Gerais'!$D$4:$D$3632),-(Analítico!O$3&lt;='Gastos Gerais'!$E$4:$E$3632),-('Gastos Gerais'!$C$4:$C$3632))</f>
        <v>1260</v>
      </c>
      <c r="P124" s="134">
        <f>SUMPRODUCT(-('Gastos Gerais'!$B$4:$B$3632=Analítico!$B124),-(Analítico!P$3&gt;='Gastos Gerais'!$D$4:$D$3632),-(Analítico!P$3&lt;='Gastos Gerais'!$E$4:$E$3632),-('Gastos Gerais'!$C$4:$C$3632))</f>
        <v>1330</v>
      </c>
      <c r="Q124" s="134">
        <f>SUMPRODUCT(-('Gastos Gerais'!$B$4:$B$3632=Analítico!$B124),-(Analítico!Q$3&gt;='Gastos Gerais'!$D$4:$D$3632),-(Analítico!Q$3&lt;='Gastos Gerais'!$E$4:$E$3632),-('Gastos Gerais'!$C$4:$C$3632))</f>
        <v>1330</v>
      </c>
      <c r="R124" s="134">
        <f>SUMPRODUCT(-('Gastos Gerais'!$B$4:$B$3632=Analítico!$B124),-(Analítico!R$3&gt;='Gastos Gerais'!$D$4:$D$3632),-(Analítico!R$3&lt;='Gastos Gerais'!$E$4:$E$3632),-('Gastos Gerais'!$C$4:$C$3632))</f>
        <v>1330</v>
      </c>
      <c r="S124" s="134">
        <f>SUMPRODUCT(-('Gastos Gerais'!$B$4:$B$3632=Analítico!$B124),-(Analítico!S$3&gt;='Gastos Gerais'!$D$4:$D$3632),-(Analítico!S$3&lt;='Gastos Gerais'!$E$4:$E$3632),-('Gastos Gerais'!$C$4:$C$3632))</f>
        <v>1330</v>
      </c>
      <c r="T124" s="134">
        <f>SUMPRODUCT(-('Gastos Gerais'!$B$4:$B$3632=Analítico!$B124),-(Analítico!T$3&gt;='Gastos Gerais'!$D$4:$D$3632),-(Analítico!T$3&lt;='Gastos Gerais'!$E$4:$E$3632),-('Gastos Gerais'!$C$4:$C$3632))</f>
        <v>1330</v>
      </c>
      <c r="U124" s="134">
        <f>SUMPRODUCT(-('Gastos Gerais'!$B$4:$B$3632=Analítico!$B124),-(Analítico!U$3&gt;='Gastos Gerais'!$D$4:$D$3632),-(Analítico!U$3&lt;='Gastos Gerais'!$E$4:$E$3632),-('Gastos Gerais'!$C$4:$C$3632))</f>
        <v>1330</v>
      </c>
      <c r="V124" s="134">
        <f>SUMPRODUCT(-('Gastos Gerais'!$B$4:$B$3632=Analítico!$B124),-(Analítico!V$3&gt;='Gastos Gerais'!$D$4:$D$3632),-(Analítico!V$3&lt;='Gastos Gerais'!$E$4:$E$3632),-('Gastos Gerais'!$C$4:$C$3632))</f>
        <v>1330</v>
      </c>
      <c r="W124" s="134">
        <f>SUMPRODUCT(-('Gastos Gerais'!$B$4:$B$3632=Analítico!$B124),-(Analítico!W$3&gt;='Gastos Gerais'!$D$4:$D$3632),-(Analítico!W$3&lt;='Gastos Gerais'!$E$4:$E$3632),-('Gastos Gerais'!$C$4:$C$3632))</f>
        <v>1330</v>
      </c>
      <c r="X124" s="134">
        <f>SUMPRODUCT(-('Gastos Gerais'!$B$4:$B$3632=Analítico!$B124),-(Analítico!X$3&gt;='Gastos Gerais'!$D$4:$D$3632),-(Analítico!X$3&lt;='Gastos Gerais'!$E$4:$E$3632),-('Gastos Gerais'!$C$4:$C$3632))</f>
        <v>1330</v>
      </c>
      <c r="Y124" s="134">
        <f>SUMPRODUCT(-('Gastos Gerais'!$B$4:$B$3632=Analítico!$B124),-(Analítico!Y$3&gt;='Gastos Gerais'!$D$4:$D$3632),-(Analítico!Y$3&lt;='Gastos Gerais'!$E$4:$E$3632),-('Gastos Gerais'!$C$4:$C$3632))</f>
        <v>1330</v>
      </c>
      <c r="Z124" s="134">
        <f>SUMPRODUCT(-('Gastos Gerais'!$B$4:$B$3632=Analítico!$B124),-(Analítico!Z$3&gt;='Gastos Gerais'!$D$4:$D$3632),-(Analítico!Z$3&lt;='Gastos Gerais'!$E$4:$E$3632),-('Gastos Gerais'!$C$4:$C$3632))</f>
        <v>1330</v>
      </c>
      <c r="AA124" s="134">
        <f>SUMPRODUCT(-('Gastos Gerais'!$B$4:$B$3632=Analítico!$B124),-(Analítico!AA$3&gt;='Gastos Gerais'!$D$4:$D$3632),-(Analítico!AA$3&lt;='Gastos Gerais'!$E$4:$E$3632),-('Gastos Gerais'!$C$4:$C$3632))</f>
        <v>1330</v>
      </c>
      <c r="AB124" s="134">
        <f>SUMPRODUCT(-('Gastos Gerais'!$B$4:$B$3632=Analítico!$B124),-(Analítico!AB$3&gt;='Gastos Gerais'!$D$4:$D$3632),-(Analítico!AB$3&lt;='Gastos Gerais'!$E$4:$E$3632),-('Gastos Gerais'!$C$4:$C$3632))</f>
        <v>1330</v>
      </c>
      <c r="AC124" s="134">
        <f>SUMPRODUCT(-('Gastos Gerais'!$B$4:$B$3632=Analítico!$B124),-(Analítico!AC$3&gt;='Gastos Gerais'!$D$4:$D$3632),-(Analítico!AC$3&lt;='Gastos Gerais'!$E$4:$E$3632),-('Gastos Gerais'!$C$4:$C$3632))</f>
        <v>1330</v>
      </c>
      <c r="AD124" s="134">
        <f>SUMPRODUCT(-('Gastos Gerais'!$B$4:$B$3632=Analítico!$B124),-(Analítico!AD$3&gt;='Gastos Gerais'!$D$4:$D$3632),-(Analítico!AD$3&lt;='Gastos Gerais'!$E$4:$E$3632),-('Gastos Gerais'!$C$4:$C$3632))</f>
        <v>1330</v>
      </c>
      <c r="AE124" s="134">
        <f>SUMPRODUCT(-('Gastos Gerais'!$B$4:$B$3632=Analítico!$B124),-(Analítico!AE$3&gt;='Gastos Gerais'!$D$4:$D$3632),-(Analítico!AE$3&lt;='Gastos Gerais'!$E$4:$E$3632),-('Gastos Gerais'!$C$4:$C$3632))</f>
        <v>1330</v>
      </c>
      <c r="AF124" s="134">
        <f>SUMPRODUCT(-('Gastos Gerais'!$B$4:$B$3632=Analítico!$B124),-(Analítico!AF$3&gt;='Gastos Gerais'!$D$4:$D$3632),-(Analítico!AF$3&lt;='Gastos Gerais'!$E$4:$E$3632),-('Gastos Gerais'!$C$4:$C$3632))</f>
        <v>1330</v>
      </c>
      <c r="AG124" s="134">
        <f>SUMPRODUCT(-('Gastos Gerais'!$B$4:$B$3632=Analítico!$B124),-(Analítico!AG$3&gt;='Gastos Gerais'!$D$4:$D$3632),-(Analítico!AG$3&lt;='Gastos Gerais'!$E$4:$E$3632),-('Gastos Gerais'!$C$4:$C$3632))</f>
        <v>1330</v>
      </c>
      <c r="AH124" s="134">
        <f>SUMPRODUCT(-('Gastos Gerais'!$B$4:$B$3632=Analítico!$B124),-(Analítico!AH$3&gt;='Gastos Gerais'!$D$4:$D$3632),-(Analítico!AH$3&lt;='Gastos Gerais'!$E$4:$E$3632),-('Gastos Gerais'!$C$4:$C$3632))</f>
        <v>1330</v>
      </c>
      <c r="AI124" s="134">
        <f>SUMPRODUCT(-('Gastos Gerais'!$B$4:$B$3632=Analítico!$B124),-(Analítico!AI$3&gt;='Gastos Gerais'!$D$4:$D$3632),-(Analítico!AI$3&lt;='Gastos Gerais'!$E$4:$E$3632),-('Gastos Gerais'!$C$4:$C$3632))</f>
        <v>1330</v>
      </c>
      <c r="AJ124" s="134">
        <f>SUMPRODUCT(-('Gastos Gerais'!$B$4:$B$3632=Analítico!$B124),-(Analítico!AJ$3&gt;='Gastos Gerais'!$D$4:$D$3632),-(Analítico!AJ$3&lt;='Gastos Gerais'!$E$4:$E$3632),-('Gastos Gerais'!$C$4:$C$3632))</f>
        <v>1330</v>
      </c>
      <c r="AK124" s="134">
        <f>SUMPRODUCT(-('Gastos Gerais'!$B$4:$B$3632=Analítico!$B124),-(Analítico!AK$3&gt;='Gastos Gerais'!$D$4:$D$3632),-(Analítico!AK$3&lt;='Gastos Gerais'!$E$4:$E$3632),-('Gastos Gerais'!$C$4:$C$3632))</f>
        <v>1330</v>
      </c>
      <c r="AL124" s="134">
        <f>SUMPRODUCT(-('Gastos Gerais'!$B$4:$B$3632=Analítico!$B124),-(Analítico!AL$3&gt;='Gastos Gerais'!$D$4:$D$3632),-(Analítico!AL$3&lt;='Gastos Gerais'!$E$4:$E$3632),-('Gastos Gerais'!$C$4:$C$3632))</f>
        <v>1330</v>
      </c>
      <c r="AM124" s="134">
        <f>SUMPRODUCT(-('Gastos Gerais'!$B$4:$B$3632=Analítico!$B124),-(Analítico!AM$3&gt;='Gastos Gerais'!$D$4:$D$3632),-(Analítico!AM$3&lt;='Gastos Gerais'!$E$4:$E$3632),-('Gastos Gerais'!$C$4:$C$3632))</f>
        <v>1330</v>
      </c>
      <c r="AN124" s="134">
        <f>SUMPRODUCT(-('Gastos Gerais'!$B$4:$B$3632=Analítico!$B124),-(Analítico!AN$3&gt;='Gastos Gerais'!$D$4:$D$3632),-(Analítico!AN$3&lt;='Gastos Gerais'!$E$4:$E$3632),-('Gastos Gerais'!$C$4:$C$3632))</f>
        <v>1330</v>
      </c>
      <c r="AO124" s="134">
        <f>SUMPRODUCT(-('Gastos Gerais'!$B$4:$B$3632=Analítico!$B124),-(Analítico!AO$3&gt;='Gastos Gerais'!$D$4:$D$3632),-(Analítico!AO$3&lt;='Gastos Gerais'!$E$4:$E$3632),-('Gastos Gerais'!$C$4:$C$3632))</f>
        <v>1330</v>
      </c>
      <c r="AP124" s="134">
        <f>SUMPRODUCT(-('Gastos Gerais'!$B$4:$B$3632=Analítico!$B124),-(Analítico!AP$3&gt;='Gastos Gerais'!$D$4:$D$3632),-(Analítico!AP$3&lt;='Gastos Gerais'!$E$4:$E$3632),-('Gastos Gerais'!$C$4:$C$3632))</f>
        <v>1330</v>
      </c>
      <c r="AQ124" s="134">
        <f>SUMPRODUCT(-('Gastos Gerais'!$B$4:$B$3632=Analítico!$B124),-(Analítico!AQ$3&gt;='Gastos Gerais'!$D$4:$D$3632),-(Analítico!AQ$3&lt;='Gastos Gerais'!$E$4:$E$3632),-('Gastos Gerais'!$C$4:$C$3632))</f>
        <v>1330</v>
      </c>
      <c r="AR124" s="134">
        <f>SUMPRODUCT(-('Gastos Gerais'!$B$4:$B$3632=Analítico!$B124),-(Analítico!AR$3&gt;='Gastos Gerais'!$D$4:$D$3632),-(Analítico!AR$3&lt;='Gastos Gerais'!$E$4:$E$3632),-('Gastos Gerais'!$C$4:$C$3632))</f>
        <v>1330</v>
      </c>
      <c r="AS124" s="134">
        <f>SUMPRODUCT(-('Gastos Gerais'!$B$4:$B$3632=Analítico!$B124),-(Analítico!AS$3&gt;='Gastos Gerais'!$D$4:$D$3632),-(Analítico!AS$3&lt;='Gastos Gerais'!$E$4:$E$3632),-('Gastos Gerais'!$C$4:$C$3632))</f>
        <v>1330</v>
      </c>
      <c r="AT124" s="134">
        <f>SUMPRODUCT(-('Gastos Gerais'!$B$4:$B$3632=Analítico!$B124),-(Analítico!AT$3&gt;='Gastos Gerais'!$D$4:$D$3632),-(Analítico!AT$3&lt;='Gastos Gerais'!$E$4:$E$3632),-('Gastos Gerais'!$C$4:$C$3632))</f>
        <v>1330</v>
      </c>
      <c r="AU124" s="134">
        <f>SUMPRODUCT(-('Gastos Gerais'!$B$4:$B$3632=Analítico!$B124),-(Analítico!AU$3&gt;='Gastos Gerais'!$D$4:$D$3632),-(Analítico!AU$3&lt;='Gastos Gerais'!$E$4:$E$3632),-('Gastos Gerais'!$C$4:$C$3632))</f>
        <v>1330</v>
      </c>
      <c r="AV124" s="134">
        <f>SUMPRODUCT(-('Gastos Gerais'!$B$4:$B$3632=Analítico!$B124),-(Analítico!AV$3&gt;='Gastos Gerais'!$D$4:$D$3632),-(Analítico!AV$3&lt;='Gastos Gerais'!$E$4:$E$3632),-('Gastos Gerais'!$C$4:$C$3632))</f>
        <v>1330</v>
      </c>
      <c r="AW124" s="134">
        <f>SUMPRODUCT(-('Gastos Gerais'!$B$4:$B$3632=Analítico!$B124),-(Analítico!AW$3&gt;='Gastos Gerais'!$D$4:$D$3632),-(Analítico!AW$3&lt;='Gastos Gerais'!$E$4:$E$3632),-('Gastos Gerais'!$C$4:$C$3632))</f>
        <v>1330</v>
      </c>
      <c r="AX124" s="134">
        <f>SUMPRODUCT(-('Gastos Gerais'!$B$4:$B$3632=Analítico!$B124),-(Analítico!AX$3&gt;='Gastos Gerais'!$D$4:$D$3632),-(Analítico!AX$3&lt;='Gastos Gerais'!$E$4:$E$3632),-('Gastos Gerais'!$C$4:$C$3632))</f>
        <v>1330</v>
      </c>
      <c r="AY124" s="134">
        <f>SUMPRODUCT(-('Gastos Gerais'!$B$4:$B$3632=Analítico!$B124),-(Analítico!AY$3&gt;='Gastos Gerais'!$D$4:$D$3632),-(Analítico!AY$3&lt;='Gastos Gerais'!$E$4:$E$3632),-('Gastos Gerais'!$C$4:$C$3632))</f>
        <v>1330</v>
      </c>
      <c r="AZ124" s="134">
        <f>SUMPRODUCT(-('Gastos Gerais'!$B$4:$B$3632=Analítico!$B124),-(Analítico!AZ$3&gt;='Gastos Gerais'!$D$4:$D$3632),-(Analítico!AZ$3&lt;='Gastos Gerais'!$E$4:$E$3632),-('Gastos Gerais'!$C$4:$C$3632))</f>
        <v>1330</v>
      </c>
      <c r="BA124" s="134">
        <f>SUMPRODUCT(-('Gastos Gerais'!$B$4:$B$3632=Analítico!$B124),-(Analítico!BA$3&gt;='Gastos Gerais'!$D$4:$D$3632),-(Analítico!BA$3&lt;='Gastos Gerais'!$E$4:$E$3632),-('Gastos Gerais'!$C$4:$C$3632))</f>
        <v>1330</v>
      </c>
      <c r="BB124" s="134">
        <f>SUMPRODUCT(-('Gastos Gerais'!$B$4:$B$3632=Analítico!$B124),-(Analítico!BB$3&gt;='Gastos Gerais'!$D$4:$D$3632),-(Analítico!BB$3&lt;='Gastos Gerais'!$E$4:$E$3632),-('Gastos Gerais'!$C$4:$C$3632))</f>
        <v>1330</v>
      </c>
      <c r="BC124" s="134">
        <f>SUMPRODUCT(-('Gastos Gerais'!$B$4:$B$3632=Analítico!$B124),-(Analítico!BC$3&gt;='Gastos Gerais'!$D$4:$D$3632),-(Analítico!BC$3&lt;='Gastos Gerais'!$E$4:$E$3632),-('Gastos Gerais'!$C$4:$C$3632))</f>
        <v>1330</v>
      </c>
      <c r="BD124" s="134">
        <f>SUMPRODUCT(-('Gastos Gerais'!$B$4:$B$3632=Analítico!$B124),-(Analítico!BD$3&gt;='Gastos Gerais'!$D$4:$D$3632),-(Analítico!BD$3&lt;='Gastos Gerais'!$E$4:$E$3632),-('Gastos Gerais'!$C$4:$C$3632))</f>
        <v>1330</v>
      </c>
      <c r="BE124" s="134">
        <f>SUMPRODUCT(-('Gastos Gerais'!$B$4:$B$3632=Analítico!$B124),-(Analítico!BE$3&gt;='Gastos Gerais'!$D$4:$D$3632),-(Analítico!BE$3&lt;='Gastos Gerais'!$E$4:$E$3632),-('Gastos Gerais'!$C$4:$C$3632))</f>
        <v>1330</v>
      </c>
      <c r="BF124" s="134">
        <f>SUMPRODUCT(-('Gastos Gerais'!$B$4:$B$3632=Analítico!$B124),-(Analítico!BF$3&gt;='Gastos Gerais'!$D$4:$D$3632),-(Analítico!BF$3&lt;='Gastos Gerais'!$E$4:$E$3632),-('Gastos Gerais'!$C$4:$C$3632))</f>
        <v>1330</v>
      </c>
      <c r="BG124" s="134">
        <f>SUMPRODUCT(-('Gastos Gerais'!$B$4:$B$3632=Analítico!$B124),-(Analítico!BG$3&gt;='Gastos Gerais'!$D$4:$D$3632),-(Analítico!BG$3&lt;='Gastos Gerais'!$E$4:$E$3632),-('Gastos Gerais'!$C$4:$C$3632))</f>
        <v>1330</v>
      </c>
      <c r="BH124" s="134">
        <f>SUMPRODUCT(-('Gastos Gerais'!$B$4:$B$3632=Analítico!$B124),-(Analítico!BH$3&gt;='Gastos Gerais'!$D$4:$D$3632),-(Analítico!BH$3&lt;='Gastos Gerais'!$E$4:$E$3632),-('Gastos Gerais'!$C$4:$C$3632))</f>
        <v>1330</v>
      </c>
      <c r="BI124" s="134">
        <f>SUMPRODUCT(-('Gastos Gerais'!$B$4:$B$3632=Analítico!$B124),-(Analítico!BI$3&gt;='Gastos Gerais'!$D$4:$D$3632),-(Analítico!BI$3&lt;='Gastos Gerais'!$E$4:$E$3632),-('Gastos Gerais'!$C$4:$C$3632))</f>
        <v>1330</v>
      </c>
      <c r="BJ124" s="134">
        <f>SUMPRODUCT(-('Gastos Gerais'!$B$4:$B$3632=Analítico!$B124),-(Analítico!BJ$3&gt;='Gastos Gerais'!$D$4:$D$3632),-(Analítico!BJ$3&lt;='Gastos Gerais'!$E$4:$E$3632),-('Gastos Gerais'!$C$4:$C$3632))</f>
        <v>1330</v>
      </c>
      <c r="BK124" s="189">
        <f t="shared" si="41"/>
        <v>76734</v>
      </c>
      <c r="BL124" s="136">
        <f t="shared" ref="BL124:BL133" ca="1" si="43">IF($BK$152=0,0,BK124/$BK$152)</f>
        <v>2.2934294871385181E-4</v>
      </c>
      <c r="BN124" s="134">
        <f>SUMPRODUCT(-('Gastos Gerais'!$B$4:$B$3632=Analítico!$B124),-(Analítico!BN$3&gt;='Gastos Gerais'!$D$4:$D$3632),-(Analítico!BN$3&lt;='Gastos Gerais'!$E$4:$E$3632),-('Gastos Gerais'!$C$4:$C$3632))</f>
        <v>980</v>
      </c>
    </row>
    <row r="125" spans="1:66" s="160" customFormat="1" ht="23.25" customHeight="1">
      <c r="A125" s="229" t="s">
        <v>662</v>
      </c>
      <c r="B125" s="232" t="s">
        <v>651</v>
      </c>
      <c r="C125" s="188">
        <f t="shared" si="42"/>
        <v>810</v>
      </c>
      <c r="D125" s="134">
        <f>SUMPRODUCT(-('Gastos Gerais'!$B$4:$B$3632=Analítico!$B125),-(Analítico!D$3&gt;='Gastos Gerais'!$D$4:$D$3632),-(Analítico!D$3&lt;='Gastos Gerais'!$E$4:$E$3632),-('Gastos Gerais'!$C$4:$C$3632))</f>
        <v>2700</v>
      </c>
      <c r="E125" s="134">
        <f>SUMPRODUCT(-('Gastos Gerais'!$B$4:$B$3632=Analítico!$B125),-(Analítico!E$3&gt;='Gastos Gerais'!$D$4:$D$3632),-(Analítico!E$3&lt;='Gastos Gerais'!$E$4:$E$3632),-('Gastos Gerais'!$C$4:$C$3632))</f>
        <v>3060</v>
      </c>
      <c r="F125" s="134">
        <f>SUMPRODUCT(-('Gastos Gerais'!$B$4:$B$3632=Analítico!$B125),-(Analítico!F$3&gt;='Gastos Gerais'!$D$4:$D$3632),-(Analítico!F$3&lt;='Gastos Gerais'!$E$4:$E$3632),-('Gastos Gerais'!$C$4:$C$3632))</f>
        <v>3060</v>
      </c>
      <c r="G125" s="134">
        <f>SUMPRODUCT(-('Gastos Gerais'!$B$4:$B$3632=Analítico!$B125),-(Analítico!G$3&gt;='Gastos Gerais'!$D$4:$D$3632),-(Analítico!G$3&lt;='Gastos Gerais'!$E$4:$E$3632),-('Gastos Gerais'!$C$4:$C$3632))</f>
        <v>3060</v>
      </c>
      <c r="H125" s="134">
        <f>SUMPRODUCT(-('Gastos Gerais'!$B$4:$B$3632=Analítico!$B125),-(Analítico!H$3&gt;='Gastos Gerais'!$D$4:$D$3632),-(Analítico!H$3&lt;='Gastos Gerais'!$E$4:$E$3632),-('Gastos Gerais'!$C$4:$C$3632))</f>
        <v>3060</v>
      </c>
      <c r="I125" s="134">
        <f>SUMPRODUCT(-('Gastos Gerais'!$B$4:$B$3632=Analítico!$B125),-(Analítico!I$3&gt;='Gastos Gerais'!$D$4:$D$3632),-(Analítico!I$3&lt;='Gastos Gerais'!$E$4:$E$3632),-('Gastos Gerais'!$C$4:$C$3632))</f>
        <v>3060</v>
      </c>
      <c r="J125" s="134">
        <f>SUMPRODUCT(-('Gastos Gerais'!$B$4:$B$3632=Analítico!$B125),-(Analítico!J$3&gt;='Gastos Gerais'!$D$4:$D$3632),-(Analítico!J$3&lt;='Gastos Gerais'!$E$4:$E$3632),-('Gastos Gerais'!$C$4:$C$3632))</f>
        <v>3060</v>
      </c>
      <c r="K125" s="134">
        <f>SUMPRODUCT(-('Gastos Gerais'!$B$4:$B$3632=Analítico!$B125),-(Analítico!K$3&gt;='Gastos Gerais'!$D$4:$D$3632),-(Analítico!K$3&lt;='Gastos Gerais'!$E$4:$E$3632),-('Gastos Gerais'!$C$4:$C$3632))</f>
        <v>3060</v>
      </c>
      <c r="L125" s="134">
        <f>SUMPRODUCT(-('Gastos Gerais'!$B$4:$B$3632=Analítico!$B125),-(Analítico!L$3&gt;='Gastos Gerais'!$D$4:$D$3632),-(Analítico!L$3&lt;='Gastos Gerais'!$E$4:$E$3632),-('Gastos Gerais'!$C$4:$C$3632))</f>
        <v>3060</v>
      </c>
      <c r="M125" s="134">
        <f>SUMPRODUCT(-('Gastos Gerais'!$B$4:$B$3632=Analítico!$B125),-(Analítico!M$3&gt;='Gastos Gerais'!$D$4:$D$3632),-(Analítico!M$3&lt;='Gastos Gerais'!$E$4:$E$3632),-('Gastos Gerais'!$C$4:$C$3632))</f>
        <v>3060</v>
      </c>
      <c r="N125" s="134">
        <f>SUMPRODUCT(-('Gastos Gerais'!$B$4:$B$3632=Analítico!$B125),-(Analítico!N$3&gt;='Gastos Gerais'!$D$4:$D$3632),-(Analítico!N$3&lt;='Gastos Gerais'!$E$4:$E$3632),-('Gastos Gerais'!$C$4:$C$3632))</f>
        <v>3240</v>
      </c>
      <c r="O125" s="134">
        <f>SUMPRODUCT(-('Gastos Gerais'!$B$4:$B$3632=Analítico!$B125),-(Analítico!O$3&gt;='Gastos Gerais'!$D$4:$D$3632),-(Analítico!O$3&lt;='Gastos Gerais'!$E$4:$E$3632),-('Gastos Gerais'!$C$4:$C$3632))</f>
        <v>3420</v>
      </c>
      <c r="P125" s="134">
        <f>SUMPRODUCT(-('Gastos Gerais'!$B$4:$B$3632=Analítico!$B125),-(Analítico!P$3&gt;='Gastos Gerais'!$D$4:$D$3632),-(Analítico!P$3&lt;='Gastos Gerais'!$E$4:$E$3632),-('Gastos Gerais'!$C$4:$C$3632))</f>
        <v>3420</v>
      </c>
      <c r="Q125" s="134">
        <f>SUMPRODUCT(-('Gastos Gerais'!$B$4:$B$3632=Analítico!$B125),-(Analítico!Q$3&gt;='Gastos Gerais'!$D$4:$D$3632),-(Analítico!Q$3&lt;='Gastos Gerais'!$E$4:$E$3632),-('Gastos Gerais'!$C$4:$C$3632))</f>
        <v>3420</v>
      </c>
      <c r="R125" s="134">
        <f>SUMPRODUCT(-('Gastos Gerais'!$B$4:$B$3632=Analítico!$B125),-(Analítico!R$3&gt;='Gastos Gerais'!$D$4:$D$3632),-(Analítico!R$3&lt;='Gastos Gerais'!$E$4:$E$3632),-('Gastos Gerais'!$C$4:$C$3632))</f>
        <v>3420</v>
      </c>
      <c r="S125" s="134">
        <f>SUMPRODUCT(-('Gastos Gerais'!$B$4:$B$3632=Analítico!$B125),-(Analítico!S$3&gt;='Gastos Gerais'!$D$4:$D$3632),-(Analítico!S$3&lt;='Gastos Gerais'!$E$4:$E$3632),-('Gastos Gerais'!$C$4:$C$3632))</f>
        <v>3420</v>
      </c>
      <c r="T125" s="134">
        <f>SUMPRODUCT(-('Gastos Gerais'!$B$4:$B$3632=Analítico!$B125),-(Analítico!T$3&gt;='Gastos Gerais'!$D$4:$D$3632),-(Analítico!T$3&lt;='Gastos Gerais'!$E$4:$E$3632),-('Gastos Gerais'!$C$4:$C$3632))</f>
        <v>3420</v>
      </c>
      <c r="U125" s="134">
        <f>SUMPRODUCT(-('Gastos Gerais'!$B$4:$B$3632=Analítico!$B125),-(Analítico!U$3&gt;='Gastos Gerais'!$D$4:$D$3632),-(Analítico!U$3&lt;='Gastos Gerais'!$E$4:$E$3632),-('Gastos Gerais'!$C$4:$C$3632))</f>
        <v>3420</v>
      </c>
      <c r="V125" s="134">
        <f>SUMPRODUCT(-('Gastos Gerais'!$B$4:$B$3632=Analítico!$B125),-(Analítico!V$3&gt;='Gastos Gerais'!$D$4:$D$3632),-(Analítico!V$3&lt;='Gastos Gerais'!$E$4:$E$3632),-('Gastos Gerais'!$C$4:$C$3632))</f>
        <v>3420</v>
      </c>
      <c r="W125" s="134">
        <f>SUMPRODUCT(-('Gastos Gerais'!$B$4:$B$3632=Analítico!$B125),-(Analítico!W$3&gt;='Gastos Gerais'!$D$4:$D$3632),-(Analítico!W$3&lt;='Gastos Gerais'!$E$4:$E$3632),-('Gastos Gerais'!$C$4:$C$3632))</f>
        <v>3420</v>
      </c>
      <c r="X125" s="134">
        <f>SUMPRODUCT(-('Gastos Gerais'!$B$4:$B$3632=Analítico!$B125),-(Analítico!X$3&gt;='Gastos Gerais'!$D$4:$D$3632),-(Analítico!X$3&lt;='Gastos Gerais'!$E$4:$E$3632),-('Gastos Gerais'!$C$4:$C$3632))</f>
        <v>3420</v>
      </c>
      <c r="Y125" s="134">
        <f>SUMPRODUCT(-('Gastos Gerais'!$B$4:$B$3632=Analítico!$B125),-(Analítico!Y$3&gt;='Gastos Gerais'!$D$4:$D$3632),-(Analítico!Y$3&lt;='Gastos Gerais'!$E$4:$E$3632),-('Gastos Gerais'!$C$4:$C$3632))</f>
        <v>3420</v>
      </c>
      <c r="Z125" s="134">
        <f>SUMPRODUCT(-('Gastos Gerais'!$B$4:$B$3632=Analítico!$B125),-(Analítico!Z$3&gt;='Gastos Gerais'!$D$4:$D$3632),-(Analítico!Z$3&lt;='Gastos Gerais'!$E$4:$E$3632),-('Gastos Gerais'!$C$4:$C$3632))</f>
        <v>3420</v>
      </c>
      <c r="AA125" s="134">
        <f>SUMPRODUCT(-('Gastos Gerais'!$B$4:$B$3632=Analítico!$B125),-(Analítico!AA$3&gt;='Gastos Gerais'!$D$4:$D$3632),-(Analítico!AA$3&lt;='Gastos Gerais'!$E$4:$E$3632),-('Gastos Gerais'!$C$4:$C$3632))</f>
        <v>3420</v>
      </c>
      <c r="AB125" s="134">
        <f>SUMPRODUCT(-('Gastos Gerais'!$B$4:$B$3632=Analítico!$B125),-(Analítico!AB$3&gt;='Gastos Gerais'!$D$4:$D$3632),-(Analítico!AB$3&lt;='Gastos Gerais'!$E$4:$E$3632),-('Gastos Gerais'!$C$4:$C$3632))</f>
        <v>3420</v>
      </c>
      <c r="AC125" s="134">
        <f>SUMPRODUCT(-('Gastos Gerais'!$B$4:$B$3632=Analítico!$B125),-(Analítico!AC$3&gt;='Gastos Gerais'!$D$4:$D$3632),-(Analítico!AC$3&lt;='Gastos Gerais'!$E$4:$E$3632),-('Gastos Gerais'!$C$4:$C$3632))</f>
        <v>3420</v>
      </c>
      <c r="AD125" s="134">
        <f>SUMPRODUCT(-('Gastos Gerais'!$B$4:$B$3632=Analítico!$B125),-(Analítico!AD$3&gt;='Gastos Gerais'!$D$4:$D$3632),-(Analítico!AD$3&lt;='Gastos Gerais'!$E$4:$E$3632),-('Gastos Gerais'!$C$4:$C$3632))</f>
        <v>3420</v>
      </c>
      <c r="AE125" s="134">
        <f>SUMPRODUCT(-('Gastos Gerais'!$B$4:$B$3632=Analítico!$B125),-(Analítico!AE$3&gt;='Gastos Gerais'!$D$4:$D$3632),-(Analítico!AE$3&lt;='Gastos Gerais'!$E$4:$E$3632),-('Gastos Gerais'!$C$4:$C$3632))</f>
        <v>3420</v>
      </c>
      <c r="AF125" s="134">
        <f>SUMPRODUCT(-('Gastos Gerais'!$B$4:$B$3632=Analítico!$B125),-(Analítico!AF$3&gt;='Gastos Gerais'!$D$4:$D$3632),-(Analítico!AF$3&lt;='Gastos Gerais'!$E$4:$E$3632),-('Gastos Gerais'!$C$4:$C$3632))</f>
        <v>3420</v>
      </c>
      <c r="AG125" s="134">
        <f>SUMPRODUCT(-('Gastos Gerais'!$B$4:$B$3632=Analítico!$B125),-(Analítico!AG$3&gt;='Gastos Gerais'!$D$4:$D$3632),-(Analítico!AG$3&lt;='Gastos Gerais'!$E$4:$E$3632),-('Gastos Gerais'!$C$4:$C$3632))</f>
        <v>3420</v>
      </c>
      <c r="AH125" s="134">
        <f>SUMPRODUCT(-('Gastos Gerais'!$B$4:$B$3632=Analítico!$B125),-(Analítico!AH$3&gt;='Gastos Gerais'!$D$4:$D$3632),-(Analítico!AH$3&lt;='Gastos Gerais'!$E$4:$E$3632),-('Gastos Gerais'!$C$4:$C$3632))</f>
        <v>3420</v>
      </c>
      <c r="AI125" s="134">
        <f>SUMPRODUCT(-('Gastos Gerais'!$B$4:$B$3632=Analítico!$B125),-(Analítico!AI$3&gt;='Gastos Gerais'!$D$4:$D$3632),-(Analítico!AI$3&lt;='Gastos Gerais'!$E$4:$E$3632),-('Gastos Gerais'!$C$4:$C$3632))</f>
        <v>3420</v>
      </c>
      <c r="AJ125" s="134">
        <f>SUMPRODUCT(-('Gastos Gerais'!$B$4:$B$3632=Analítico!$B125),-(Analítico!AJ$3&gt;='Gastos Gerais'!$D$4:$D$3632),-(Analítico!AJ$3&lt;='Gastos Gerais'!$E$4:$E$3632),-('Gastos Gerais'!$C$4:$C$3632))</f>
        <v>3420</v>
      </c>
      <c r="AK125" s="134">
        <f>SUMPRODUCT(-('Gastos Gerais'!$B$4:$B$3632=Analítico!$B125),-(Analítico!AK$3&gt;='Gastos Gerais'!$D$4:$D$3632),-(Analítico!AK$3&lt;='Gastos Gerais'!$E$4:$E$3632),-('Gastos Gerais'!$C$4:$C$3632))</f>
        <v>3420</v>
      </c>
      <c r="AL125" s="134">
        <f>SUMPRODUCT(-('Gastos Gerais'!$B$4:$B$3632=Analítico!$B125),-(Analítico!AL$3&gt;='Gastos Gerais'!$D$4:$D$3632),-(Analítico!AL$3&lt;='Gastos Gerais'!$E$4:$E$3632),-('Gastos Gerais'!$C$4:$C$3632))</f>
        <v>3420</v>
      </c>
      <c r="AM125" s="134">
        <f>SUMPRODUCT(-('Gastos Gerais'!$B$4:$B$3632=Analítico!$B125),-(Analítico!AM$3&gt;='Gastos Gerais'!$D$4:$D$3632),-(Analítico!AM$3&lt;='Gastos Gerais'!$E$4:$E$3632),-('Gastos Gerais'!$C$4:$C$3632))</f>
        <v>3420</v>
      </c>
      <c r="AN125" s="134">
        <f>SUMPRODUCT(-('Gastos Gerais'!$B$4:$B$3632=Analítico!$B125),-(Analítico!AN$3&gt;='Gastos Gerais'!$D$4:$D$3632),-(Analítico!AN$3&lt;='Gastos Gerais'!$E$4:$E$3632),-('Gastos Gerais'!$C$4:$C$3632))</f>
        <v>3420</v>
      </c>
      <c r="AO125" s="134">
        <f>SUMPRODUCT(-('Gastos Gerais'!$B$4:$B$3632=Analítico!$B125),-(Analítico!AO$3&gt;='Gastos Gerais'!$D$4:$D$3632),-(Analítico!AO$3&lt;='Gastos Gerais'!$E$4:$E$3632),-('Gastos Gerais'!$C$4:$C$3632))</f>
        <v>3420</v>
      </c>
      <c r="AP125" s="134">
        <f>SUMPRODUCT(-('Gastos Gerais'!$B$4:$B$3632=Analítico!$B125),-(Analítico!AP$3&gt;='Gastos Gerais'!$D$4:$D$3632),-(Analítico!AP$3&lt;='Gastos Gerais'!$E$4:$E$3632),-('Gastos Gerais'!$C$4:$C$3632))</f>
        <v>3420</v>
      </c>
      <c r="AQ125" s="134">
        <f>SUMPRODUCT(-('Gastos Gerais'!$B$4:$B$3632=Analítico!$B125),-(Analítico!AQ$3&gt;='Gastos Gerais'!$D$4:$D$3632),-(Analítico!AQ$3&lt;='Gastos Gerais'!$E$4:$E$3632),-('Gastos Gerais'!$C$4:$C$3632))</f>
        <v>3420</v>
      </c>
      <c r="AR125" s="134">
        <f>SUMPRODUCT(-('Gastos Gerais'!$B$4:$B$3632=Analítico!$B125),-(Analítico!AR$3&gt;='Gastos Gerais'!$D$4:$D$3632),-(Analítico!AR$3&lt;='Gastos Gerais'!$E$4:$E$3632),-('Gastos Gerais'!$C$4:$C$3632))</f>
        <v>3420</v>
      </c>
      <c r="AS125" s="134">
        <f>SUMPRODUCT(-('Gastos Gerais'!$B$4:$B$3632=Analítico!$B125),-(Analítico!AS$3&gt;='Gastos Gerais'!$D$4:$D$3632),-(Analítico!AS$3&lt;='Gastos Gerais'!$E$4:$E$3632),-('Gastos Gerais'!$C$4:$C$3632))</f>
        <v>3420</v>
      </c>
      <c r="AT125" s="134">
        <f>SUMPRODUCT(-('Gastos Gerais'!$B$4:$B$3632=Analítico!$B125),-(Analítico!AT$3&gt;='Gastos Gerais'!$D$4:$D$3632),-(Analítico!AT$3&lt;='Gastos Gerais'!$E$4:$E$3632),-('Gastos Gerais'!$C$4:$C$3632))</f>
        <v>3420</v>
      </c>
      <c r="AU125" s="134">
        <f>SUMPRODUCT(-('Gastos Gerais'!$B$4:$B$3632=Analítico!$B125),-(Analítico!AU$3&gt;='Gastos Gerais'!$D$4:$D$3632),-(Analítico!AU$3&lt;='Gastos Gerais'!$E$4:$E$3632),-('Gastos Gerais'!$C$4:$C$3632))</f>
        <v>3420</v>
      </c>
      <c r="AV125" s="134">
        <f>SUMPRODUCT(-('Gastos Gerais'!$B$4:$B$3632=Analítico!$B125),-(Analítico!AV$3&gt;='Gastos Gerais'!$D$4:$D$3632),-(Analítico!AV$3&lt;='Gastos Gerais'!$E$4:$E$3632),-('Gastos Gerais'!$C$4:$C$3632))</f>
        <v>3420</v>
      </c>
      <c r="AW125" s="134">
        <f>SUMPRODUCT(-('Gastos Gerais'!$B$4:$B$3632=Analítico!$B125),-(Analítico!AW$3&gt;='Gastos Gerais'!$D$4:$D$3632),-(Analítico!AW$3&lt;='Gastos Gerais'!$E$4:$E$3632),-('Gastos Gerais'!$C$4:$C$3632))</f>
        <v>3420</v>
      </c>
      <c r="AX125" s="134">
        <f>SUMPRODUCT(-('Gastos Gerais'!$B$4:$B$3632=Analítico!$B125),-(Analítico!AX$3&gt;='Gastos Gerais'!$D$4:$D$3632),-(Analítico!AX$3&lt;='Gastos Gerais'!$E$4:$E$3632),-('Gastos Gerais'!$C$4:$C$3632))</f>
        <v>3420</v>
      </c>
      <c r="AY125" s="134">
        <f>SUMPRODUCT(-('Gastos Gerais'!$B$4:$B$3632=Analítico!$B125),-(Analítico!AY$3&gt;='Gastos Gerais'!$D$4:$D$3632),-(Analítico!AY$3&lt;='Gastos Gerais'!$E$4:$E$3632),-('Gastos Gerais'!$C$4:$C$3632))</f>
        <v>3420</v>
      </c>
      <c r="AZ125" s="134">
        <f>SUMPRODUCT(-('Gastos Gerais'!$B$4:$B$3632=Analítico!$B125),-(Analítico!AZ$3&gt;='Gastos Gerais'!$D$4:$D$3632),-(Analítico!AZ$3&lt;='Gastos Gerais'!$E$4:$E$3632),-('Gastos Gerais'!$C$4:$C$3632))</f>
        <v>3420</v>
      </c>
      <c r="BA125" s="134">
        <f>SUMPRODUCT(-('Gastos Gerais'!$B$4:$B$3632=Analítico!$B125),-(Analítico!BA$3&gt;='Gastos Gerais'!$D$4:$D$3632),-(Analítico!BA$3&lt;='Gastos Gerais'!$E$4:$E$3632),-('Gastos Gerais'!$C$4:$C$3632))</f>
        <v>3420</v>
      </c>
      <c r="BB125" s="134">
        <f>SUMPRODUCT(-('Gastos Gerais'!$B$4:$B$3632=Analítico!$B125),-(Analítico!BB$3&gt;='Gastos Gerais'!$D$4:$D$3632),-(Analítico!BB$3&lt;='Gastos Gerais'!$E$4:$E$3632),-('Gastos Gerais'!$C$4:$C$3632))</f>
        <v>3420</v>
      </c>
      <c r="BC125" s="134">
        <f>SUMPRODUCT(-('Gastos Gerais'!$B$4:$B$3632=Analítico!$B125),-(Analítico!BC$3&gt;='Gastos Gerais'!$D$4:$D$3632),-(Analítico!BC$3&lt;='Gastos Gerais'!$E$4:$E$3632),-('Gastos Gerais'!$C$4:$C$3632))</f>
        <v>3420</v>
      </c>
      <c r="BD125" s="134">
        <f>SUMPRODUCT(-('Gastos Gerais'!$B$4:$B$3632=Analítico!$B125),-(Analítico!BD$3&gt;='Gastos Gerais'!$D$4:$D$3632),-(Analítico!BD$3&lt;='Gastos Gerais'!$E$4:$E$3632),-('Gastos Gerais'!$C$4:$C$3632))</f>
        <v>3420</v>
      </c>
      <c r="BE125" s="134">
        <f>SUMPRODUCT(-('Gastos Gerais'!$B$4:$B$3632=Analítico!$B125),-(Analítico!BE$3&gt;='Gastos Gerais'!$D$4:$D$3632),-(Analítico!BE$3&lt;='Gastos Gerais'!$E$4:$E$3632),-('Gastos Gerais'!$C$4:$C$3632))</f>
        <v>3420</v>
      </c>
      <c r="BF125" s="134">
        <f>SUMPRODUCT(-('Gastos Gerais'!$B$4:$B$3632=Analítico!$B125),-(Analítico!BF$3&gt;='Gastos Gerais'!$D$4:$D$3632),-(Analítico!BF$3&lt;='Gastos Gerais'!$E$4:$E$3632),-('Gastos Gerais'!$C$4:$C$3632))</f>
        <v>3420</v>
      </c>
      <c r="BG125" s="134">
        <f>SUMPRODUCT(-('Gastos Gerais'!$B$4:$B$3632=Analítico!$B125),-(Analítico!BG$3&gt;='Gastos Gerais'!$D$4:$D$3632),-(Analítico!BG$3&lt;='Gastos Gerais'!$E$4:$E$3632),-('Gastos Gerais'!$C$4:$C$3632))</f>
        <v>3420</v>
      </c>
      <c r="BH125" s="134">
        <f>SUMPRODUCT(-('Gastos Gerais'!$B$4:$B$3632=Analítico!$B125),-(Analítico!BH$3&gt;='Gastos Gerais'!$D$4:$D$3632),-(Analítico!BH$3&lt;='Gastos Gerais'!$E$4:$E$3632),-('Gastos Gerais'!$C$4:$C$3632))</f>
        <v>3420</v>
      </c>
      <c r="BI125" s="134">
        <f>SUMPRODUCT(-('Gastos Gerais'!$B$4:$B$3632=Analítico!$B125),-(Analítico!BI$3&gt;='Gastos Gerais'!$D$4:$D$3632),-(Analítico!BI$3&lt;='Gastos Gerais'!$E$4:$E$3632),-('Gastos Gerais'!$C$4:$C$3632))</f>
        <v>3420</v>
      </c>
      <c r="BJ125" s="134">
        <f>SUMPRODUCT(-('Gastos Gerais'!$B$4:$B$3632=Analítico!$B125),-(Analítico!BJ$3&gt;='Gastos Gerais'!$D$4:$D$3632),-(Analítico!BJ$3&lt;='Gastos Gerais'!$E$4:$E$3632),-('Gastos Gerais'!$C$4:$C$3632))</f>
        <v>3420</v>
      </c>
      <c r="BK125" s="189">
        <f t="shared" si="41"/>
        <v>198450</v>
      </c>
      <c r="BL125" s="136">
        <f t="shared" ca="1" si="43"/>
        <v>5.9312831563927194E-4</v>
      </c>
      <c r="BN125" s="134">
        <f>SUMPRODUCT(-('Gastos Gerais'!$B$4:$B$3632=Analítico!$B125),-(Analítico!BN$3&gt;='Gastos Gerais'!$D$4:$D$3632),-(Analítico!BN$3&lt;='Gastos Gerais'!$E$4:$E$3632),-('Gastos Gerais'!$C$4:$C$3632))</f>
        <v>2700</v>
      </c>
    </row>
    <row r="126" spans="1:66" s="160" customFormat="1" ht="23.25" customHeight="1">
      <c r="A126" s="229" t="s">
        <v>663</v>
      </c>
      <c r="B126" s="232" t="s">
        <v>652</v>
      </c>
      <c r="C126" s="188">
        <f t="shared" si="42"/>
        <v>0</v>
      </c>
      <c r="D126" s="134">
        <f>SUMPRODUCT(-('Gastos Gerais'!$B$4:$B$3632=Analítico!$B126),-(Analítico!D$3&gt;='Gastos Gerais'!$D$4:$D$3632),-(Analítico!D$3&lt;='Gastos Gerais'!$E$4:$E$3632),-('Gastos Gerais'!$C$4:$C$3632))</f>
        <v>0</v>
      </c>
      <c r="E126" s="134">
        <f>SUMPRODUCT(-('Gastos Gerais'!$B$4:$B$3632=Analítico!$B126),-(Analítico!E$3&gt;='Gastos Gerais'!$D$4:$D$3632),-(Analítico!E$3&lt;='Gastos Gerais'!$E$4:$E$3632),-('Gastos Gerais'!$C$4:$C$3632))</f>
        <v>120000</v>
      </c>
      <c r="F126" s="134">
        <f>SUMPRODUCT(-('Gastos Gerais'!$B$4:$B$3632=Analítico!$B126),-(Analítico!F$3&gt;='Gastos Gerais'!$D$4:$D$3632),-(Analítico!F$3&lt;='Gastos Gerais'!$E$4:$E$3632),-('Gastos Gerais'!$C$4:$C$3632))</f>
        <v>0</v>
      </c>
      <c r="G126" s="134">
        <f>SUMPRODUCT(-('Gastos Gerais'!$B$4:$B$3632=Analítico!$B126),-(Analítico!G$3&gt;='Gastos Gerais'!$D$4:$D$3632),-(Analítico!G$3&lt;='Gastos Gerais'!$E$4:$E$3632),-('Gastos Gerais'!$C$4:$C$3632))</f>
        <v>0</v>
      </c>
      <c r="H126" s="134">
        <f>SUMPRODUCT(-('Gastos Gerais'!$B$4:$B$3632=Analítico!$B126),-(Analítico!H$3&gt;='Gastos Gerais'!$D$4:$D$3632),-(Analítico!H$3&lt;='Gastos Gerais'!$E$4:$E$3632),-('Gastos Gerais'!$C$4:$C$3632))</f>
        <v>10000</v>
      </c>
      <c r="I126" s="134">
        <f>SUMPRODUCT(-('Gastos Gerais'!$B$4:$B$3632=Analítico!$B126),-(Analítico!I$3&gt;='Gastos Gerais'!$D$4:$D$3632),-(Analítico!I$3&lt;='Gastos Gerais'!$E$4:$E$3632),-('Gastos Gerais'!$C$4:$C$3632))</f>
        <v>0</v>
      </c>
      <c r="J126" s="134">
        <f>SUMPRODUCT(-('Gastos Gerais'!$B$4:$B$3632=Analítico!$B126),-(Analítico!J$3&gt;='Gastos Gerais'!$D$4:$D$3632),-(Analítico!J$3&lt;='Gastos Gerais'!$E$4:$E$3632),-('Gastos Gerais'!$C$4:$C$3632))</f>
        <v>0</v>
      </c>
      <c r="K126" s="134">
        <f>SUMPRODUCT(-('Gastos Gerais'!$B$4:$B$3632=Analítico!$B126),-(Analítico!K$3&gt;='Gastos Gerais'!$D$4:$D$3632),-(Analítico!K$3&lt;='Gastos Gerais'!$E$4:$E$3632),-('Gastos Gerais'!$C$4:$C$3632))</f>
        <v>0</v>
      </c>
      <c r="L126" s="134">
        <f>SUMPRODUCT(-('Gastos Gerais'!$B$4:$B$3632=Analítico!$B126),-(Analítico!L$3&gt;='Gastos Gerais'!$D$4:$D$3632),-(Analítico!L$3&lt;='Gastos Gerais'!$E$4:$E$3632),-('Gastos Gerais'!$C$4:$C$3632))</f>
        <v>0</v>
      </c>
      <c r="M126" s="134">
        <f>SUMPRODUCT(-('Gastos Gerais'!$B$4:$B$3632=Analítico!$B126),-(Analítico!M$3&gt;='Gastos Gerais'!$D$4:$D$3632),-(Analítico!M$3&lt;='Gastos Gerais'!$E$4:$E$3632),-('Gastos Gerais'!$C$4:$C$3632))</f>
        <v>0</v>
      </c>
      <c r="N126" s="134">
        <f>SUMPRODUCT(-('Gastos Gerais'!$B$4:$B$3632=Analítico!$B126),-(Analítico!N$3&gt;='Gastos Gerais'!$D$4:$D$3632),-(Analítico!N$3&lt;='Gastos Gerais'!$E$4:$E$3632),-('Gastos Gerais'!$C$4:$C$3632))</f>
        <v>15000</v>
      </c>
      <c r="O126" s="134">
        <f>SUMPRODUCT(-('Gastos Gerais'!$B$4:$B$3632=Analítico!$B126),-(Analítico!O$3&gt;='Gastos Gerais'!$D$4:$D$3632),-(Analítico!O$3&lt;='Gastos Gerais'!$E$4:$E$3632),-('Gastos Gerais'!$C$4:$C$3632))</f>
        <v>0</v>
      </c>
      <c r="P126" s="134">
        <f>SUMPRODUCT(-('Gastos Gerais'!$B$4:$B$3632=Analítico!$B126),-(Analítico!P$3&gt;='Gastos Gerais'!$D$4:$D$3632),-(Analítico!P$3&lt;='Gastos Gerais'!$E$4:$E$3632),-('Gastos Gerais'!$C$4:$C$3632))</f>
        <v>0</v>
      </c>
      <c r="Q126" s="134">
        <f>SUMPRODUCT(-('Gastos Gerais'!$B$4:$B$3632=Analítico!$B126),-(Analítico!Q$3&gt;='Gastos Gerais'!$D$4:$D$3632),-(Analítico!Q$3&lt;='Gastos Gerais'!$E$4:$E$3632),-('Gastos Gerais'!$C$4:$C$3632))</f>
        <v>75000</v>
      </c>
      <c r="R126" s="134">
        <f>SUMPRODUCT(-('Gastos Gerais'!$B$4:$B$3632=Analítico!$B126),-(Analítico!R$3&gt;='Gastos Gerais'!$D$4:$D$3632),-(Analítico!R$3&lt;='Gastos Gerais'!$E$4:$E$3632),-('Gastos Gerais'!$C$4:$C$3632))</f>
        <v>0</v>
      </c>
      <c r="S126" s="134">
        <f>SUMPRODUCT(-('Gastos Gerais'!$B$4:$B$3632=Analítico!$B126),-(Analítico!S$3&gt;='Gastos Gerais'!$D$4:$D$3632),-(Analítico!S$3&lt;='Gastos Gerais'!$E$4:$E$3632),-('Gastos Gerais'!$C$4:$C$3632))</f>
        <v>20000</v>
      </c>
      <c r="T126" s="134">
        <f>SUMPRODUCT(-('Gastos Gerais'!$B$4:$B$3632=Analítico!$B126),-(Analítico!T$3&gt;='Gastos Gerais'!$D$4:$D$3632),-(Analítico!T$3&lt;='Gastos Gerais'!$E$4:$E$3632),-('Gastos Gerais'!$C$4:$C$3632))</f>
        <v>0</v>
      </c>
      <c r="U126" s="134">
        <f>SUMPRODUCT(-('Gastos Gerais'!$B$4:$B$3632=Analítico!$B126),-(Analítico!U$3&gt;='Gastos Gerais'!$D$4:$D$3632),-(Analítico!U$3&lt;='Gastos Gerais'!$E$4:$E$3632),-('Gastos Gerais'!$C$4:$C$3632))</f>
        <v>0</v>
      </c>
      <c r="V126" s="134">
        <f>SUMPRODUCT(-('Gastos Gerais'!$B$4:$B$3632=Analítico!$B126),-(Analítico!V$3&gt;='Gastos Gerais'!$D$4:$D$3632),-(Analítico!V$3&lt;='Gastos Gerais'!$E$4:$E$3632),-('Gastos Gerais'!$C$4:$C$3632))</f>
        <v>0</v>
      </c>
      <c r="W126" s="134">
        <f>SUMPRODUCT(-('Gastos Gerais'!$B$4:$B$3632=Analítico!$B126),-(Analítico!W$3&gt;='Gastos Gerais'!$D$4:$D$3632),-(Analítico!W$3&lt;='Gastos Gerais'!$E$4:$E$3632),-('Gastos Gerais'!$C$4:$C$3632))</f>
        <v>0</v>
      </c>
      <c r="X126" s="134">
        <f>SUMPRODUCT(-('Gastos Gerais'!$B$4:$B$3632=Analítico!$B126),-(Analítico!X$3&gt;='Gastos Gerais'!$D$4:$D$3632),-(Analítico!X$3&lt;='Gastos Gerais'!$E$4:$E$3632),-('Gastos Gerais'!$C$4:$C$3632))</f>
        <v>0</v>
      </c>
      <c r="Y126" s="134">
        <f>SUMPRODUCT(-('Gastos Gerais'!$B$4:$B$3632=Analítico!$B126),-(Analítico!Y$3&gt;='Gastos Gerais'!$D$4:$D$3632),-(Analítico!Y$3&lt;='Gastos Gerais'!$E$4:$E$3632),-('Gastos Gerais'!$C$4:$C$3632))</f>
        <v>0</v>
      </c>
      <c r="Z126" s="134">
        <f>SUMPRODUCT(-('Gastos Gerais'!$B$4:$B$3632=Analítico!$B126),-(Analítico!Z$3&gt;='Gastos Gerais'!$D$4:$D$3632),-(Analítico!Z$3&lt;='Gastos Gerais'!$E$4:$E$3632),-('Gastos Gerais'!$C$4:$C$3632))</f>
        <v>0</v>
      </c>
      <c r="AA126" s="134">
        <f>SUMPRODUCT(-('Gastos Gerais'!$B$4:$B$3632=Analítico!$B126),-(Analítico!AA$3&gt;='Gastos Gerais'!$D$4:$D$3632),-(Analítico!AA$3&lt;='Gastos Gerais'!$E$4:$E$3632),-('Gastos Gerais'!$C$4:$C$3632))</f>
        <v>0</v>
      </c>
      <c r="AB126" s="134">
        <f>SUMPRODUCT(-('Gastos Gerais'!$B$4:$B$3632=Analítico!$B126),-(Analítico!AB$3&gt;='Gastos Gerais'!$D$4:$D$3632),-(Analítico!AB$3&lt;='Gastos Gerais'!$E$4:$E$3632),-('Gastos Gerais'!$C$4:$C$3632))</f>
        <v>50000</v>
      </c>
      <c r="AC126" s="134">
        <f>SUMPRODUCT(-('Gastos Gerais'!$B$4:$B$3632=Analítico!$B126),-(Analítico!AC$3&gt;='Gastos Gerais'!$D$4:$D$3632),-(Analítico!AC$3&lt;='Gastos Gerais'!$E$4:$E$3632),-('Gastos Gerais'!$C$4:$C$3632))</f>
        <v>10000</v>
      </c>
      <c r="AD126" s="134">
        <f>SUMPRODUCT(-('Gastos Gerais'!$B$4:$B$3632=Analítico!$B126),-(Analítico!AD$3&gt;='Gastos Gerais'!$D$4:$D$3632),-(Analítico!AD$3&lt;='Gastos Gerais'!$E$4:$E$3632),-('Gastos Gerais'!$C$4:$C$3632))</f>
        <v>0</v>
      </c>
      <c r="AE126" s="134">
        <f>SUMPRODUCT(-('Gastos Gerais'!$B$4:$B$3632=Analítico!$B126),-(Analítico!AE$3&gt;='Gastos Gerais'!$D$4:$D$3632),-(Analítico!AE$3&lt;='Gastos Gerais'!$E$4:$E$3632),-('Gastos Gerais'!$C$4:$C$3632))</f>
        <v>0</v>
      </c>
      <c r="AF126" s="134">
        <f>SUMPRODUCT(-('Gastos Gerais'!$B$4:$B$3632=Analítico!$B126),-(Analítico!AF$3&gt;='Gastos Gerais'!$D$4:$D$3632),-(Analítico!AF$3&lt;='Gastos Gerais'!$E$4:$E$3632),-('Gastos Gerais'!$C$4:$C$3632))</f>
        <v>0</v>
      </c>
      <c r="AG126" s="134">
        <f>SUMPRODUCT(-('Gastos Gerais'!$B$4:$B$3632=Analítico!$B126),-(Analítico!AG$3&gt;='Gastos Gerais'!$D$4:$D$3632),-(Analítico!AG$3&lt;='Gastos Gerais'!$E$4:$E$3632),-('Gastos Gerais'!$C$4:$C$3632))</f>
        <v>0</v>
      </c>
      <c r="AH126" s="134">
        <f>SUMPRODUCT(-('Gastos Gerais'!$B$4:$B$3632=Analítico!$B126),-(Analítico!AH$3&gt;='Gastos Gerais'!$D$4:$D$3632),-(Analítico!AH$3&lt;='Gastos Gerais'!$E$4:$E$3632),-('Gastos Gerais'!$C$4:$C$3632))</f>
        <v>0</v>
      </c>
      <c r="AI126" s="134">
        <f>SUMPRODUCT(-('Gastos Gerais'!$B$4:$B$3632=Analítico!$B126),-(Analítico!AI$3&gt;='Gastos Gerais'!$D$4:$D$3632),-(Analítico!AI$3&lt;='Gastos Gerais'!$E$4:$E$3632),-('Gastos Gerais'!$C$4:$C$3632))</f>
        <v>0</v>
      </c>
      <c r="AJ126" s="134">
        <f>SUMPRODUCT(-('Gastos Gerais'!$B$4:$B$3632=Analítico!$B126),-(Analítico!AJ$3&gt;='Gastos Gerais'!$D$4:$D$3632),-(Analítico!AJ$3&lt;='Gastos Gerais'!$E$4:$E$3632),-('Gastos Gerais'!$C$4:$C$3632))</f>
        <v>0</v>
      </c>
      <c r="AK126" s="134">
        <f>SUMPRODUCT(-('Gastos Gerais'!$B$4:$B$3632=Analítico!$B126),-(Analítico!AK$3&gt;='Gastos Gerais'!$D$4:$D$3632),-(Analítico!AK$3&lt;='Gastos Gerais'!$E$4:$E$3632),-('Gastos Gerais'!$C$4:$C$3632))</f>
        <v>0</v>
      </c>
      <c r="AL126" s="134">
        <f>SUMPRODUCT(-('Gastos Gerais'!$B$4:$B$3632=Analítico!$B126),-(Analítico!AL$3&gt;='Gastos Gerais'!$D$4:$D$3632),-(Analítico!AL$3&lt;='Gastos Gerais'!$E$4:$E$3632),-('Gastos Gerais'!$C$4:$C$3632))</f>
        <v>0</v>
      </c>
      <c r="AM126" s="134">
        <f>SUMPRODUCT(-('Gastos Gerais'!$B$4:$B$3632=Analítico!$B126),-(Analítico!AM$3&gt;='Gastos Gerais'!$D$4:$D$3632),-(Analítico!AM$3&lt;='Gastos Gerais'!$E$4:$E$3632),-('Gastos Gerais'!$C$4:$C$3632))</f>
        <v>0</v>
      </c>
      <c r="AN126" s="134">
        <f>SUMPRODUCT(-('Gastos Gerais'!$B$4:$B$3632=Analítico!$B126),-(Analítico!AN$3&gt;='Gastos Gerais'!$D$4:$D$3632),-(Analítico!AN$3&lt;='Gastos Gerais'!$E$4:$E$3632),-('Gastos Gerais'!$C$4:$C$3632))</f>
        <v>0</v>
      </c>
      <c r="AO126" s="134">
        <f>SUMPRODUCT(-('Gastos Gerais'!$B$4:$B$3632=Analítico!$B126),-(Analítico!AO$3&gt;='Gastos Gerais'!$D$4:$D$3632),-(Analítico!AO$3&lt;='Gastos Gerais'!$E$4:$E$3632),-('Gastos Gerais'!$C$4:$C$3632))</f>
        <v>155000</v>
      </c>
      <c r="AP126" s="134">
        <f>SUMPRODUCT(-('Gastos Gerais'!$B$4:$B$3632=Analítico!$B126),-(Analítico!AP$3&gt;='Gastos Gerais'!$D$4:$D$3632),-(Analítico!AP$3&lt;='Gastos Gerais'!$E$4:$E$3632),-('Gastos Gerais'!$C$4:$C$3632))</f>
        <v>0</v>
      </c>
      <c r="AQ126" s="134">
        <f>SUMPRODUCT(-('Gastos Gerais'!$B$4:$B$3632=Analítico!$B126),-(Analítico!AQ$3&gt;='Gastos Gerais'!$D$4:$D$3632),-(Analítico!AQ$3&lt;='Gastos Gerais'!$E$4:$E$3632),-('Gastos Gerais'!$C$4:$C$3632))</f>
        <v>0</v>
      </c>
      <c r="AR126" s="134">
        <f>SUMPRODUCT(-('Gastos Gerais'!$B$4:$B$3632=Analítico!$B126),-(Analítico!AR$3&gt;='Gastos Gerais'!$D$4:$D$3632),-(Analítico!AR$3&lt;='Gastos Gerais'!$E$4:$E$3632),-('Gastos Gerais'!$C$4:$C$3632))</f>
        <v>0</v>
      </c>
      <c r="AS126" s="134">
        <f>SUMPRODUCT(-('Gastos Gerais'!$B$4:$B$3632=Analítico!$B126),-(Analítico!AS$3&gt;='Gastos Gerais'!$D$4:$D$3632),-(Analítico!AS$3&lt;='Gastos Gerais'!$E$4:$E$3632),-('Gastos Gerais'!$C$4:$C$3632))</f>
        <v>0</v>
      </c>
      <c r="AT126" s="134">
        <f>SUMPRODUCT(-('Gastos Gerais'!$B$4:$B$3632=Analítico!$B126),-(Analítico!AT$3&gt;='Gastos Gerais'!$D$4:$D$3632),-(Analítico!AT$3&lt;='Gastos Gerais'!$E$4:$E$3632),-('Gastos Gerais'!$C$4:$C$3632))</f>
        <v>0</v>
      </c>
      <c r="AU126" s="134">
        <f>SUMPRODUCT(-('Gastos Gerais'!$B$4:$B$3632=Analítico!$B126),-(Analítico!AU$3&gt;='Gastos Gerais'!$D$4:$D$3632),-(Analítico!AU$3&lt;='Gastos Gerais'!$E$4:$E$3632),-('Gastos Gerais'!$C$4:$C$3632))</f>
        <v>0</v>
      </c>
      <c r="AV126" s="134">
        <f>SUMPRODUCT(-('Gastos Gerais'!$B$4:$B$3632=Analítico!$B126),-(Analítico!AV$3&gt;='Gastos Gerais'!$D$4:$D$3632),-(Analítico!AV$3&lt;='Gastos Gerais'!$E$4:$E$3632),-('Gastos Gerais'!$C$4:$C$3632))</f>
        <v>0</v>
      </c>
      <c r="AW126" s="134">
        <f>SUMPRODUCT(-('Gastos Gerais'!$B$4:$B$3632=Analítico!$B126),-(Analítico!AW$3&gt;='Gastos Gerais'!$D$4:$D$3632),-(Analítico!AW$3&lt;='Gastos Gerais'!$E$4:$E$3632),-('Gastos Gerais'!$C$4:$C$3632))</f>
        <v>0</v>
      </c>
      <c r="AX126" s="134">
        <f>SUMPRODUCT(-('Gastos Gerais'!$B$4:$B$3632=Analítico!$B126),-(Analítico!AX$3&gt;='Gastos Gerais'!$D$4:$D$3632),-(Analítico!AX$3&lt;='Gastos Gerais'!$E$4:$E$3632),-('Gastos Gerais'!$C$4:$C$3632))</f>
        <v>0</v>
      </c>
      <c r="AY126" s="134">
        <f>SUMPRODUCT(-('Gastos Gerais'!$B$4:$B$3632=Analítico!$B126),-(Analítico!AY$3&gt;='Gastos Gerais'!$D$4:$D$3632),-(Analítico!AY$3&lt;='Gastos Gerais'!$E$4:$E$3632),-('Gastos Gerais'!$C$4:$C$3632))</f>
        <v>0</v>
      </c>
      <c r="AZ126" s="134">
        <f>SUMPRODUCT(-('Gastos Gerais'!$B$4:$B$3632=Analítico!$B126),-(Analítico!AZ$3&gt;='Gastos Gerais'!$D$4:$D$3632),-(Analítico!AZ$3&lt;='Gastos Gerais'!$E$4:$E$3632),-('Gastos Gerais'!$C$4:$C$3632))</f>
        <v>45000</v>
      </c>
      <c r="BA126" s="134">
        <f>SUMPRODUCT(-('Gastos Gerais'!$B$4:$B$3632=Analítico!$B126),-(Analítico!BA$3&gt;='Gastos Gerais'!$D$4:$D$3632),-(Analítico!BA$3&lt;='Gastos Gerais'!$E$4:$E$3632),-('Gastos Gerais'!$C$4:$C$3632))</f>
        <v>0</v>
      </c>
      <c r="BB126" s="134">
        <f>SUMPRODUCT(-('Gastos Gerais'!$B$4:$B$3632=Analítico!$B126),-(Analítico!BB$3&gt;='Gastos Gerais'!$D$4:$D$3632),-(Analítico!BB$3&lt;='Gastos Gerais'!$E$4:$E$3632),-('Gastos Gerais'!$C$4:$C$3632))</f>
        <v>0</v>
      </c>
      <c r="BC126" s="134">
        <f>SUMPRODUCT(-('Gastos Gerais'!$B$4:$B$3632=Analítico!$B126),-(Analítico!BC$3&gt;='Gastos Gerais'!$D$4:$D$3632),-(Analítico!BC$3&lt;='Gastos Gerais'!$E$4:$E$3632),-('Gastos Gerais'!$C$4:$C$3632))</f>
        <v>0</v>
      </c>
      <c r="BD126" s="134">
        <f>SUMPRODUCT(-('Gastos Gerais'!$B$4:$B$3632=Analítico!$B126),-(Analítico!BD$3&gt;='Gastos Gerais'!$D$4:$D$3632),-(Analítico!BD$3&lt;='Gastos Gerais'!$E$4:$E$3632),-('Gastos Gerais'!$C$4:$C$3632))</f>
        <v>0</v>
      </c>
      <c r="BE126" s="134">
        <f>SUMPRODUCT(-('Gastos Gerais'!$B$4:$B$3632=Analítico!$B126),-(Analítico!BE$3&gt;='Gastos Gerais'!$D$4:$D$3632),-(Analítico!BE$3&lt;='Gastos Gerais'!$E$4:$E$3632),-('Gastos Gerais'!$C$4:$C$3632))</f>
        <v>0</v>
      </c>
      <c r="BF126" s="134">
        <f>SUMPRODUCT(-('Gastos Gerais'!$B$4:$B$3632=Analítico!$B126),-(Analítico!BF$3&gt;='Gastos Gerais'!$D$4:$D$3632),-(Analítico!BF$3&lt;='Gastos Gerais'!$E$4:$E$3632),-('Gastos Gerais'!$C$4:$C$3632))</f>
        <v>0</v>
      </c>
      <c r="BG126" s="134">
        <f>SUMPRODUCT(-('Gastos Gerais'!$B$4:$B$3632=Analítico!$B126),-(Analítico!BG$3&gt;='Gastos Gerais'!$D$4:$D$3632),-(Analítico!BG$3&lt;='Gastos Gerais'!$E$4:$E$3632),-('Gastos Gerais'!$C$4:$C$3632))</f>
        <v>0</v>
      </c>
      <c r="BH126" s="134">
        <f>SUMPRODUCT(-('Gastos Gerais'!$B$4:$B$3632=Analítico!$B126),-(Analítico!BH$3&gt;='Gastos Gerais'!$D$4:$D$3632),-(Analítico!BH$3&lt;='Gastos Gerais'!$E$4:$E$3632),-('Gastos Gerais'!$C$4:$C$3632))</f>
        <v>0</v>
      </c>
      <c r="BI126" s="134">
        <f>SUMPRODUCT(-('Gastos Gerais'!$B$4:$B$3632=Analítico!$B126),-(Analítico!BI$3&gt;='Gastos Gerais'!$D$4:$D$3632),-(Analítico!BI$3&lt;='Gastos Gerais'!$E$4:$E$3632),-('Gastos Gerais'!$C$4:$C$3632))</f>
        <v>0</v>
      </c>
      <c r="BJ126" s="134">
        <f>SUMPRODUCT(-('Gastos Gerais'!$B$4:$B$3632=Analítico!$B126),-(Analítico!BJ$3&gt;='Gastos Gerais'!$D$4:$D$3632),-(Analítico!BJ$3&lt;='Gastos Gerais'!$E$4:$E$3632),-('Gastos Gerais'!$C$4:$C$3632))</f>
        <v>0</v>
      </c>
      <c r="BK126" s="189">
        <f t="shared" si="41"/>
        <v>500000</v>
      </c>
      <c r="BL126" s="136">
        <f t="shared" ca="1" si="43"/>
        <v>1.4944024077583066E-3</v>
      </c>
      <c r="BN126" s="134">
        <f>SUMPRODUCT(-('Gastos Gerais'!$B$4:$B$3632=Analítico!$B126),-(Analítico!BN$3&gt;='Gastos Gerais'!$D$4:$D$3632),-(Analítico!BN$3&lt;='Gastos Gerais'!$E$4:$E$3632),-('Gastos Gerais'!$C$4:$C$3632))</f>
        <v>0</v>
      </c>
    </row>
    <row r="127" spans="1:66" s="160" customFormat="1" ht="23.25" customHeight="1">
      <c r="A127" s="229" t="s">
        <v>664</v>
      </c>
      <c r="B127" s="232" t="s">
        <v>653</v>
      </c>
      <c r="C127" s="188">
        <f t="shared" si="42"/>
        <v>0</v>
      </c>
      <c r="D127" s="134">
        <f>SUMPRODUCT(-('Gastos Gerais'!$B$4:$B$3632=Analítico!$B127),-(Analítico!D$3&gt;='Gastos Gerais'!$D$4:$D$3632),-(Analítico!D$3&lt;='Gastos Gerais'!$E$4:$E$3632),-('Gastos Gerais'!$C$4:$C$3632))</f>
        <v>32810</v>
      </c>
      <c r="E127" s="134">
        <f>SUMPRODUCT(-('Gastos Gerais'!$B$4:$B$3632=Analítico!$B127),-(Analítico!E$3&gt;='Gastos Gerais'!$D$4:$D$3632),-(Analítico!E$3&lt;='Gastos Gerais'!$E$4:$E$3632),-('Gastos Gerais'!$C$4:$C$3632))</f>
        <v>32810</v>
      </c>
      <c r="F127" s="134">
        <f>SUMPRODUCT(-('Gastos Gerais'!$B$4:$B$3632=Analítico!$B127),-(Analítico!F$3&gt;='Gastos Gerais'!$D$4:$D$3632),-(Analítico!F$3&lt;='Gastos Gerais'!$E$4:$E$3632),-('Gastos Gerais'!$C$4:$C$3632))</f>
        <v>32810</v>
      </c>
      <c r="G127" s="134">
        <f>SUMPRODUCT(-('Gastos Gerais'!$B$4:$B$3632=Analítico!$B127),-(Analítico!G$3&gt;='Gastos Gerais'!$D$4:$D$3632),-(Analítico!G$3&lt;='Gastos Gerais'!$E$4:$E$3632),-('Gastos Gerais'!$C$4:$C$3632))</f>
        <v>32810</v>
      </c>
      <c r="H127" s="134">
        <f>SUMPRODUCT(-('Gastos Gerais'!$B$4:$B$3632=Analítico!$B127),-(Analítico!H$3&gt;='Gastos Gerais'!$D$4:$D$3632),-(Analítico!H$3&lt;='Gastos Gerais'!$E$4:$E$3632),-('Gastos Gerais'!$C$4:$C$3632))</f>
        <v>32810</v>
      </c>
      <c r="I127" s="134">
        <f>SUMPRODUCT(-('Gastos Gerais'!$B$4:$B$3632=Analítico!$B127),-(Analítico!I$3&gt;='Gastos Gerais'!$D$4:$D$3632),-(Analítico!I$3&lt;='Gastos Gerais'!$E$4:$E$3632),-('Gastos Gerais'!$C$4:$C$3632))</f>
        <v>32810</v>
      </c>
      <c r="J127" s="134">
        <f>SUMPRODUCT(-('Gastos Gerais'!$B$4:$B$3632=Analítico!$B127),-(Analítico!J$3&gt;='Gastos Gerais'!$D$4:$D$3632),-(Analítico!J$3&lt;='Gastos Gerais'!$E$4:$E$3632),-('Gastos Gerais'!$C$4:$C$3632))</f>
        <v>32810</v>
      </c>
      <c r="K127" s="134">
        <f>SUMPRODUCT(-('Gastos Gerais'!$B$4:$B$3632=Analítico!$B127),-(Analítico!K$3&gt;='Gastos Gerais'!$D$4:$D$3632),-(Analítico!K$3&lt;='Gastos Gerais'!$E$4:$E$3632),-('Gastos Gerais'!$C$4:$C$3632))</f>
        <v>32810</v>
      </c>
      <c r="L127" s="134">
        <f>SUMPRODUCT(-('Gastos Gerais'!$B$4:$B$3632=Analítico!$B127),-(Analítico!L$3&gt;='Gastos Gerais'!$D$4:$D$3632),-(Analítico!L$3&lt;='Gastos Gerais'!$E$4:$E$3632),-('Gastos Gerais'!$C$4:$C$3632))</f>
        <v>32810</v>
      </c>
      <c r="M127" s="134">
        <f>SUMPRODUCT(-('Gastos Gerais'!$B$4:$B$3632=Analítico!$B127),-(Analítico!M$3&gt;='Gastos Gerais'!$D$4:$D$3632),-(Analítico!M$3&lt;='Gastos Gerais'!$E$4:$E$3632),-('Gastos Gerais'!$C$4:$C$3632))</f>
        <v>32810</v>
      </c>
      <c r="N127" s="134">
        <f>SUMPRODUCT(-('Gastos Gerais'!$B$4:$B$3632=Analítico!$B127),-(Analítico!N$3&gt;='Gastos Gerais'!$D$4:$D$3632),-(Analítico!N$3&lt;='Gastos Gerais'!$E$4:$E$3632),-('Gastos Gerais'!$C$4:$C$3632))</f>
        <v>32810</v>
      </c>
      <c r="O127" s="134">
        <f>SUMPRODUCT(-('Gastos Gerais'!$B$4:$B$3632=Analítico!$B127),-(Analítico!O$3&gt;='Gastos Gerais'!$D$4:$D$3632),-(Analítico!O$3&lt;='Gastos Gerais'!$E$4:$E$3632),-('Gastos Gerais'!$C$4:$C$3632))</f>
        <v>32810</v>
      </c>
      <c r="P127" s="134">
        <f>SUMPRODUCT(-('Gastos Gerais'!$B$4:$B$3632=Analítico!$B127),-(Analítico!P$3&gt;='Gastos Gerais'!$D$4:$D$3632),-(Analítico!P$3&lt;='Gastos Gerais'!$E$4:$E$3632),-('Gastos Gerais'!$C$4:$C$3632))</f>
        <v>36670</v>
      </c>
      <c r="Q127" s="134">
        <f>SUMPRODUCT(-('Gastos Gerais'!$B$4:$B$3632=Analítico!$B127),-(Analítico!Q$3&gt;='Gastos Gerais'!$D$4:$D$3632),-(Analítico!Q$3&lt;='Gastos Gerais'!$E$4:$E$3632),-('Gastos Gerais'!$C$4:$C$3632))</f>
        <v>36670</v>
      </c>
      <c r="R127" s="134">
        <f>SUMPRODUCT(-('Gastos Gerais'!$B$4:$B$3632=Analítico!$B127),-(Analítico!R$3&gt;='Gastos Gerais'!$D$4:$D$3632),-(Analítico!R$3&lt;='Gastos Gerais'!$E$4:$E$3632),-('Gastos Gerais'!$C$4:$C$3632))</f>
        <v>36670</v>
      </c>
      <c r="S127" s="134">
        <f>SUMPRODUCT(-('Gastos Gerais'!$B$4:$B$3632=Analítico!$B127),-(Analítico!S$3&gt;='Gastos Gerais'!$D$4:$D$3632),-(Analítico!S$3&lt;='Gastos Gerais'!$E$4:$E$3632),-('Gastos Gerais'!$C$4:$C$3632))</f>
        <v>36670</v>
      </c>
      <c r="T127" s="134">
        <f>SUMPRODUCT(-('Gastos Gerais'!$B$4:$B$3632=Analítico!$B127),-(Analítico!T$3&gt;='Gastos Gerais'!$D$4:$D$3632),-(Analítico!T$3&lt;='Gastos Gerais'!$E$4:$E$3632),-('Gastos Gerais'!$C$4:$C$3632))</f>
        <v>36670</v>
      </c>
      <c r="U127" s="134">
        <f>SUMPRODUCT(-('Gastos Gerais'!$B$4:$B$3632=Analítico!$B127),-(Analítico!U$3&gt;='Gastos Gerais'!$D$4:$D$3632),-(Analítico!U$3&lt;='Gastos Gerais'!$E$4:$E$3632),-('Gastos Gerais'!$C$4:$C$3632))</f>
        <v>36670</v>
      </c>
      <c r="V127" s="134">
        <f>SUMPRODUCT(-('Gastos Gerais'!$B$4:$B$3632=Analítico!$B127),-(Analítico!V$3&gt;='Gastos Gerais'!$D$4:$D$3632),-(Analítico!V$3&lt;='Gastos Gerais'!$E$4:$E$3632),-('Gastos Gerais'!$C$4:$C$3632))</f>
        <v>36670</v>
      </c>
      <c r="W127" s="134">
        <f>SUMPRODUCT(-('Gastos Gerais'!$B$4:$B$3632=Analítico!$B127),-(Analítico!W$3&gt;='Gastos Gerais'!$D$4:$D$3632),-(Analítico!W$3&lt;='Gastos Gerais'!$E$4:$E$3632),-('Gastos Gerais'!$C$4:$C$3632))</f>
        <v>36670</v>
      </c>
      <c r="X127" s="134">
        <f>SUMPRODUCT(-('Gastos Gerais'!$B$4:$B$3632=Analítico!$B127),-(Analítico!X$3&gt;='Gastos Gerais'!$D$4:$D$3632),-(Analítico!X$3&lt;='Gastos Gerais'!$E$4:$E$3632),-('Gastos Gerais'!$C$4:$C$3632))</f>
        <v>36670</v>
      </c>
      <c r="Y127" s="134">
        <f>SUMPRODUCT(-('Gastos Gerais'!$B$4:$B$3632=Analítico!$B127),-(Analítico!Y$3&gt;='Gastos Gerais'!$D$4:$D$3632),-(Analítico!Y$3&lt;='Gastos Gerais'!$E$4:$E$3632),-('Gastos Gerais'!$C$4:$C$3632))</f>
        <v>36670</v>
      </c>
      <c r="Z127" s="134">
        <f>SUMPRODUCT(-('Gastos Gerais'!$B$4:$B$3632=Analítico!$B127),-(Analítico!Z$3&gt;='Gastos Gerais'!$D$4:$D$3632),-(Analítico!Z$3&lt;='Gastos Gerais'!$E$4:$E$3632),-('Gastos Gerais'!$C$4:$C$3632))</f>
        <v>36670</v>
      </c>
      <c r="AA127" s="134">
        <f>SUMPRODUCT(-('Gastos Gerais'!$B$4:$B$3632=Analítico!$B127),-(Analítico!AA$3&gt;='Gastos Gerais'!$D$4:$D$3632),-(Analítico!AA$3&lt;='Gastos Gerais'!$E$4:$E$3632),-('Gastos Gerais'!$C$4:$C$3632))</f>
        <v>36670</v>
      </c>
      <c r="AB127" s="134">
        <f>SUMPRODUCT(-('Gastos Gerais'!$B$4:$B$3632=Analítico!$B127),-(Analítico!AB$3&gt;='Gastos Gerais'!$D$4:$D$3632),-(Analítico!AB$3&lt;='Gastos Gerais'!$E$4:$E$3632),-('Gastos Gerais'!$C$4:$C$3632))</f>
        <v>36670</v>
      </c>
      <c r="AC127" s="134">
        <f>SUMPRODUCT(-('Gastos Gerais'!$B$4:$B$3632=Analítico!$B127),-(Analítico!AC$3&gt;='Gastos Gerais'!$D$4:$D$3632),-(Analítico!AC$3&lt;='Gastos Gerais'!$E$4:$E$3632),-('Gastos Gerais'!$C$4:$C$3632))</f>
        <v>36670</v>
      </c>
      <c r="AD127" s="134">
        <f>SUMPRODUCT(-('Gastos Gerais'!$B$4:$B$3632=Analítico!$B127),-(Analítico!AD$3&gt;='Gastos Gerais'!$D$4:$D$3632),-(Analítico!AD$3&lt;='Gastos Gerais'!$E$4:$E$3632),-('Gastos Gerais'!$C$4:$C$3632))</f>
        <v>36670</v>
      </c>
      <c r="AE127" s="134">
        <f>SUMPRODUCT(-('Gastos Gerais'!$B$4:$B$3632=Analítico!$B127),-(Analítico!AE$3&gt;='Gastos Gerais'!$D$4:$D$3632),-(Analítico!AE$3&lt;='Gastos Gerais'!$E$4:$E$3632),-('Gastos Gerais'!$C$4:$C$3632))</f>
        <v>36670</v>
      </c>
      <c r="AF127" s="134">
        <f>SUMPRODUCT(-('Gastos Gerais'!$B$4:$B$3632=Analítico!$B127),-(Analítico!AF$3&gt;='Gastos Gerais'!$D$4:$D$3632),-(Analítico!AF$3&lt;='Gastos Gerais'!$E$4:$E$3632),-('Gastos Gerais'!$C$4:$C$3632))</f>
        <v>36670</v>
      </c>
      <c r="AG127" s="134">
        <f>SUMPRODUCT(-('Gastos Gerais'!$B$4:$B$3632=Analítico!$B127),-(Analítico!AG$3&gt;='Gastos Gerais'!$D$4:$D$3632),-(Analítico!AG$3&lt;='Gastos Gerais'!$E$4:$E$3632),-('Gastos Gerais'!$C$4:$C$3632))</f>
        <v>36670</v>
      </c>
      <c r="AH127" s="134">
        <f>SUMPRODUCT(-('Gastos Gerais'!$B$4:$B$3632=Analítico!$B127),-(Analítico!AH$3&gt;='Gastos Gerais'!$D$4:$D$3632),-(Analítico!AH$3&lt;='Gastos Gerais'!$E$4:$E$3632),-('Gastos Gerais'!$C$4:$C$3632))</f>
        <v>36670</v>
      </c>
      <c r="AI127" s="134">
        <f>SUMPRODUCT(-('Gastos Gerais'!$B$4:$B$3632=Analítico!$B127),-(Analítico!AI$3&gt;='Gastos Gerais'!$D$4:$D$3632),-(Analítico!AI$3&lt;='Gastos Gerais'!$E$4:$E$3632),-('Gastos Gerais'!$C$4:$C$3632))</f>
        <v>36670</v>
      </c>
      <c r="AJ127" s="134">
        <f>SUMPRODUCT(-('Gastos Gerais'!$B$4:$B$3632=Analítico!$B127),-(Analítico!AJ$3&gt;='Gastos Gerais'!$D$4:$D$3632),-(Analítico!AJ$3&lt;='Gastos Gerais'!$E$4:$E$3632),-('Gastos Gerais'!$C$4:$C$3632))</f>
        <v>36670</v>
      </c>
      <c r="AK127" s="134">
        <f>SUMPRODUCT(-('Gastos Gerais'!$B$4:$B$3632=Analítico!$B127),-(Analítico!AK$3&gt;='Gastos Gerais'!$D$4:$D$3632),-(Analítico!AK$3&lt;='Gastos Gerais'!$E$4:$E$3632),-('Gastos Gerais'!$C$4:$C$3632))</f>
        <v>36670</v>
      </c>
      <c r="AL127" s="134">
        <f>SUMPRODUCT(-('Gastos Gerais'!$B$4:$B$3632=Analítico!$B127),-(Analítico!AL$3&gt;='Gastos Gerais'!$D$4:$D$3632),-(Analítico!AL$3&lt;='Gastos Gerais'!$E$4:$E$3632),-('Gastos Gerais'!$C$4:$C$3632))</f>
        <v>36670</v>
      </c>
      <c r="AM127" s="134">
        <f>SUMPRODUCT(-('Gastos Gerais'!$B$4:$B$3632=Analítico!$B127),-(Analítico!AM$3&gt;='Gastos Gerais'!$D$4:$D$3632),-(Analítico!AM$3&lt;='Gastos Gerais'!$E$4:$E$3632),-('Gastos Gerais'!$C$4:$C$3632))</f>
        <v>36670</v>
      </c>
      <c r="AN127" s="134">
        <f>SUMPRODUCT(-('Gastos Gerais'!$B$4:$B$3632=Analítico!$B127),-(Analítico!AN$3&gt;='Gastos Gerais'!$D$4:$D$3632),-(Analítico!AN$3&lt;='Gastos Gerais'!$E$4:$E$3632),-('Gastos Gerais'!$C$4:$C$3632))</f>
        <v>36670</v>
      </c>
      <c r="AO127" s="134">
        <f>SUMPRODUCT(-('Gastos Gerais'!$B$4:$B$3632=Analítico!$B127),-(Analítico!AO$3&gt;='Gastos Gerais'!$D$4:$D$3632),-(Analítico!AO$3&lt;='Gastos Gerais'!$E$4:$E$3632),-('Gastos Gerais'!$C$4:$C$3632))</f>
        <v>36670</v>
      </c>
      <c r="AP127" s="134">
        <f>SUMPRODUCT(-('Gastos Gerais'!$B$4:$B$3632=Analítico!$B127),-(Analítico!AP$3&gt;='Gastos Gerais'!$D$4:$D$3632),-(Analítico!AP$3&lt;='Gastos Gerais'!$E$4:$E$3632),-('Gastos Gerais'!$C$4:$C$3632))</f>
        <v>36670</v>
      </c>
      <c r="AQ127" s="134">
        <f>SUMPRODUCT(-('Gastos Gerais'!$B$4:$B$3632=Analítico!$B127),-(Analítico!AQ$3&gt;='Gastos Gerais'!$D$4:$D$3632),-(Analítico!AQ$3&lt;='Gastos Gerais'!$E$4:$E$3632),-('Gastos Gerais'!$C$4:$C$3632))</f>
        <v>36670</v>
      </c>
      <c r="AR127" s="134">
        <f>SUMPRODUCT(-('Gastos Gerais'!$B$4:$B$3632=Analítico!$B127),-(Analítico!AR$3&gt;='Gastos Gerais'!$D$4:$D$3632),-(Analítico!AR$3&lt;='Gastos Gerais'!$E$4:$E$3632),-('Gastos Gerais'!$C$4:$C$3632))</f>
        <v>36670</v>
      </c>
      <c r="AS127" s="134">
        <f>SUMPRODUCT(-('Gastos Gerais'!$B$4:$B$3632=Analítico!$B127),-(Analítico!AS$3&gt;='Gastos Gerais'!$D$4:$D$3632),-(Analítico!AS$3&lt;='Gastos Gerais'!$E$4:$E$3632),-('Gastos Gerais'!$C$4:$C$3632))</f>
        <v>36670</v>
      </c>
      <c r="AT127" s="134">
        <f>SUMPRODUCT(-('Gastos Gerais'!$B$4:$B$3632=Analítico!$B127),-(Analítico!AT$3&gt;='Gastos Gerais'!$D$4:$D$3632),-(Analítico!AT$3&lt;='Gastos Gerais'!$E$4:$E$3632),-('Gastos Gerais'!$C$4:$C$3632))</f>
        <v>36670</v>
      </c>
      <c r="AU127" s="134">
        <f>SUMPRODUCT(-('Gastos Gerais'!$B$4:$B$3632=Analítico!$B127),-(Analítico!AU$3&gt;='Gastos Gerais'!$D$4:$D$3632),-(Analítico!AU$3&lt;='Gastos Gerais'!$E$4:$E$3632),-('Gastos Gerais'!$C$4:$C$3632))</f>
        <v>36670</v>
      </c>
      <c r="AV127" s="134">
        <f>SUMPRODUCT(-('Gastos Gerais'!$B$4:$B$3632=Analítico!$B127),-(Analítico!AV$3&gt;='Gastos Gerais'!$D$4:$D$3632),-(Analítico!AV$3&lt;='Gastos Gerais'!$E$4:$E$3632),-('Gastos Gerais'!$C$4:$C$3632))</f>
        <v>36670</v>
      </c>
      <c r="AW127" s="134">
        <f>SUMPRODUCT(-('Gastos Gerais'!$B$4:$B$3632=Analítico!$B127),-(Analítico!AW$3&gt;='Gastos Gerais'!$D$4:$D$3632),-(Analítico!AW$3&lt;='Gastos Gerais'!$E$4:$E$3632),-('Gastos Gerais'!$C$4:$C$3632))</f>
        <v>36670</v>
      </c>
      <c r="AX127" s="134">
        <f>SUMPRODUCT(-('Gastos Gerais'!$B$4:$B$3632=Analítico!$B127),-(Analítico!AX$3&gt;='Gastos Gerais'!$D$4:$D$3632),-(Analítico!AX$3&lt;='Gastos Gerais'!$E$4:$E$3632),-('Gastos Gerais'!$C$4:$C$3632))</f>
        <v>36670</v>
      </c>
      <c r="AY127" s="134">
        <f>SUMPRODUCT(-('Gastos Gerais'!$B$4:$B$3632=Analítico!$B127),-(Analítico!AY$3&gt;='Gastos Gerais'!$D$4:$D$3632),-(Analítico!AY$3&lt;='Gastos Gerais'!$E$4:$E$3632),-('Gastos Gerais'!$C$4:$C$3632))</f>
        <v>36670</v>
      </c>
      <c r="AZ127" s="134">
        <f>SUMPRODUCT(-('Gastos Gerais'!$B$4:$B$3632=Analítico!$B127),-(Analítico!AZ$3&gt;='Gastos Gerais'!$D$4:$D$3632),-(Analítico!AZ$3&lt;='Gastos Gerais'!$E$4:$E$3632),-('Gastos Gerais'!$C$4:$C$3632))</f>
        <v>36670</v>
      </c>
      <c r="BA127" s="134">
        <f>SUMPRODUCT(-('Gastos Gerais'!$B$4:$B$3632=Analítico!$B127),-(Analítico!BA$3&gt;='Gastos Gerais'!$D$4:$D$3632),-(Analítico!BA$3&lt;='Gastos Gerais'!$E$4:$E$3632),-('Gastos Gerais'!$C$4:$C$3632))</f>
        <v>36670</v>
      </c>
      <c r="BB127" s="134">
        <f>SUMPRODUCT(-('Gastos Gerais'!$B$4:$B$3632=Analítico!$B127),-(Analítico!BB$3&gt;='Gastos Gerais'!$D$4:$D$3632),-(Analítico!BB$3&lt;='Gastos Gerais'!$E$4:$E$3632),-('Gastos Gerais'!$C$4:$C$3632))</f>
        <v>36670</v>
      </c>
      <c r="BC127" s="134">
        <f>SUMPRODUCT(-('Gastos Gerais'!$B$4:$B$3632=Analítico!$B127),-(Analítico!BC$3&gt;='Gastos Gerais'!$D$4:$D$3632),-(Analítico!BC$3&lt;='Gastos Gerais'!$E$4:$E$3632),-('Gastos Gerais'!$C$4:$C$3632))</f>
        <v>36670</v>
      </c>
      <c r="BD127" s="134">
        <f>SUMPRODUCT(-('Gastos Gerais'!$B$4:$B$3632=Analítico!$B127),-(Analítico!BD$3&gt;='Gastos Gerais'!$D$4:$D$3632),-(Analítico!BD$3&lt;='Gastos Gerais'!$E$4:$E$3632),-('Gastos Gerais'!$C$4:$C$3632))</f>
        <v>36670</v>
      </c>
      <c r="BE127" s="134">
        <f>SUMPRODUCT(-('Gastos Gerais'!$B$4:$B$3632=Analítico!$B127),-(Analítico!BE$3&gt;='Gastos Gerais'!$D$4:$D$3632),-(Analítico!BE$3&lt;='Gastos Gerais'!$E$4:$E$3632),-('Gastos Gerais'!$C$4:$C$3632))</f>
        <v>36670</v>
      </c>
      <c r="BF127" s="134">
        <f>SUMPRODUCT(-('Gastos Gerais'!$B$4:$B$3632=Analítico!$B127),-(Analítico!BF$3&gt;='Gastos Gerais'!$D$4:$D$3632),-(Analítico!BF$3&lt;='Gastos Gerais'!$E$4:$E$3632),-('Gastos Gerais'!$C$4:$C$3632))</f>
        <v>36670</v>
      </c>
      <c r="BG127" s="134">
        <f>SUMPRODUCT(-('Gastos Gerais'!$B$4:$B$3632=Analítico!$B127),-(Analítico!BG$3&gt;='Gastos Gerais'!$D$4:$D$3632),-(Analítico!BG$3&lt;='Gastos Gerais'!$E$4:$E$3632),-('Gastos Gerais'!$C$4:$C$3632))</f>
        <v>36670</v>
      </c>
      <c r="BH127" s="134">
        <f>SUMPRODUCT(-('Gastos Gerais'!$B$4:$B$3632=Analítico!$B127),-(Analítico!BH$3&gt;='Gastos Gerais'!$D$4:$D$3632),-(Analítico!BH$3&lt;='Gastos Gerais'!$E$4:$E$3632),-('Gastos Gerais'!$C$4:$C$3632))</f>
        <v>36670</v>
      </c>
      <c r="BI127" s="134">
        <f>SUMPRODUCT(-('Gastos Gerais'!$B$4:$B$3632=Analítico!$B127),-(Analítico!BI$3&gt;='Gastos Gerais'!$D$4:$D$3632),-(Analítico!BI$3&lt;='Gastos Gerais'!$E$4:$E$3632),-('Gastos Gerais'!$C$4:$C$3632))</f>
        <v>36670</v>
      </c>
      <c r="BJ127" s="134">
        <f>SUMPRODUCT(-('Gastos Gerais'!$B$4:$B$3632=Analítico!$B127),-(Analítico!BJ$3&gt;='Gastos Gerais'!$D$4:$D$3632),-(Analítico!BJ$3&lt;='Gastos Gerais'!$E$4:$E$3632),-('Gastos Gerais'!$C$4:$C$3632))</f>
        <v>36670</v>
      </c>
      <c r="BK127" s="189">
        <f t="shared" si="41"/>
        <v>2117210</v>
      </c>
      <c r="BL127" s="136">
        <f t="shared" ca="1" si="43"/>
        <v>6.3279274434599291E-3</v>
      </c>
      <c r="BN127" s="134">
        <f>SUMPRODUCT(-('Gastos Gerais'!$B$4:$B$3632=Analítico!$B127),-(Analítico!BN$3&gt;='Gastos Gerais'!$D$4:$D$3632),-(Analítico!BN$3&lt;='Gastos Gerais'!$E$4:$E$3632),-('Gastos Gerais'!$C$4:$C$3632))</f>
        <v>0</v>
      </c>
    </row>
    <row r="128" spans="1:66" s="160" customFormat="1" ht="23.25" customHeight="1">
      <c r="A128" s="229" t="s">
        <v>665</v>
      </c>
      <c r="B128" s="232" t="s">
        <v>654</v>
      </c>
      <c r="C128" s="188">
        <f t="shared" si="42"/>
        <v>2775</v>
      </c>
      <c r="D128" s="134">
        <f>SUMPRODUCT(-('Gastos Gerais'!$B$4:$B$3632=Analítico!$B128),-(Analítico!D$3&gt;='Gastos Gerais'!$D$4:$D$3632),-(Analítico!D$3&lt;='Gastos Gerais'!$E$4:$E$3632),-('Gastos Gerais'!$C$4:$C$3632))</f>
        <v>9250</v>
      </c>
      <c r="E128" s="134">
        <f>SUMPRODUCT(-('Gastos Gerais'!$B$4:$B$3632=Analítico!$B128),-(Analítico!E$3&gt;='Gastos Gerais'!$D$4:$D$3632),-(Analítico!E$3&lt;='Gastos Gerais'!$E$4:$E$3632),-('Gastos Gerais'!$C$4:$C$3632))</f>
        <v>9850</v>
      </c>
      <c r="F128" s="134">
        <f>SUMPRODUCT(-('Gastos Gerais'!$B$4:$B$3632=Analítico!$B128),-(Analítico!F$3&gt;='Gastos Gerais'!$D$4:$D$3632),-(Analítico!F$3&lt;='Gastos Gerais'!$E$4:$E$3632),-('Gastos Gerais'!$C$4:$C$3632))</f>
        <v>10450</v>
      </c>
      <c r="G128" s="134">
        <f>SUMPRODUCT(-('Gastos Gerais'!$B$4:$B$3632=Analítico!$B128),-(Analítico!G$3&gt;='Gastos Gerais'!$D$4:$D$3632),-(Analítico!G$3&lt;='Gastos Gerais'!$E$4:$E$3632),-('Gastos Gerais'!$C$4:$C$3632))</f>
        <v>10450</v>
      </c>
      <c r="H128" s="134">
        <f>SUMPRODUCT(-('Gastos Gerais'!$B$4:$B$3632=Analítico!$B128),-(Analítico!H$3&gt;='Gastos Gerais'!$D$4:$D$3632),-(Analítico!H$3&lt;='Gastos Gerais'!$E$4:$E$3632),-('Gastos Gerais'!$C$4:$C$3632))</f>
        <v>10450</v>
      </c>
      <c r="I128" s="134">
        <f>SUMPRODUCT(-('Gastos Gerais'!$B$4:$B$3632=Analítico!$B128),-(Analítico!I$3&gt;='Gastos Gerais'!$D$4:$D$3632),-(Analítico!I$3&lt;='Gastos Gerais'!$E$4:$E$3632),-('Gastos Gerais'!$C$4:$C$3632))</f>
        <v>10450</v>
      </c>
      <c r="J128" s="134">
        <f>SUMPRODUCT(-('Gastos Gerais'!$B$4:$B$3632=Analítico!$B128),-(Analítico!J$3&gt;='Gastos Gerais'!$D$4:$D$3632),-(Analítico!J$3&lt;='Gastos Gerais'!$E$4:$E$3632),-('Gastos Gerais'!$C$4:$C$3632))</f>
        <v>10450</v>
      </c>
      <c r="K128" s="134">
        <f>SUMPRODUCT(-('Gastos Gerais'!$B$4:$B$3632=Analítico!$B128),-(Analítico!K$3&gt;='Gastos Gerais'!$D$4:$D$3632),-(Analítico!K$3&lt;='Gastos Gerais'!$E$4:$E$3632),-('Gastos Gerais'!$C$4:$C$3632))</f>
        <v>10450</v>
      </c>
      <c r="L128" s="134">
        <f>SUMPRODUCT(-('Gastos Gerais'!$B$4:$B$3632=Analítico!$B128),-(Analítico!L$3&gt;='Gastos Gerais'!$D$4:$D$3632),-(Analítico!L$3&lt;='Gastos Gerais'!$E$4:$E$3632),-('Gastos Gerais'!$C$4:$C$3632))</f>
        <v>10450</v>
      </c>
      <c r="M128" s="134">
        <f>SUMPRODUCT(-('Gastos Gerais'!$B$4:$B$3632=Analítico!$B128),-(Analítico!M$3&gt;='Gastos Gerais'!$D$4:$D$3632),-(Analítico!M$3&lt;='Gastos Gerais'!$E$4:$E$3632),-('Gastos Gerais'!$C$4:$C$3632))</f>
        <v>10450</v>
      </c>
      <c r="N128" s="134">
        <f>SUMPRODUCT(-('Gastos Gerais'!$B$4:$B$3632=Analítico!$B128),-(Analítico!N$3&gt;='Gastos Gerais'!$D$4:$D$3632),-(Analítico!N$3&lt;='Gastos Gerais'!$E$4:$E$3632),-('Gastos Gerais'!$C$4:$C$3632))</f>
        <v>10450</v>
      </c>
      <c r="O128" s="134">
        <f>SUMPRODUCT(-('Gastos Gerais'!$B$4:$B$3632=Analítico!$B128),-(Analítico!O$3&gt;='Gastos Gerais'!$D$4:$D$3632),-(Analítico!O$3&lt;='Gastos Gerais'!$E$4:$E$3632),-('Gastos Gerais'!$C$4:$C$3632))</f>
        <v>10450</v>
      </c>
      <c r="P128" s="134">
        <f>SUMPRODUCT(-('Gastos Gerais'!$B$4:$B$3632=Analítico!$B128),-(Analítico!P$3&gt;='Gastos Gerais'!$D$4:$D$3632),-(Analítico!P$3&lt;='Gastos Gerais'!$E$4:$E$3632),-('Gastos Gerais'!$C$4:$C$3632))</f>
        <v>18850</v>
      </c>
      <c r="Q128" s="134">
        <f>SUMPRODUCT(-('Gastos Gerais'!$B$4:$B$3632=Analítico!$B128),-(Analítico!Q$3&gt;='Gastos Gerais'!$D$4:$D$3632),-(Analítico!Q$3&lt;='Gastos Gerais'!$E$4:$E$3632),-('Gastos Gerais'!$C$4:$C$3632))</f>
        <v>19950</v>
      </c>
      <c r="R128" s="134">
        <f>SUMPRODUCT(-('Gastos Gerais'!$B$4:$B$3632=Analítico!$B128),-(Analítico!R$3&gt;='Gastos Gerais'!$D$4:$D$3632),-(Analítico!R$3&lt;='Gastos Gerais'!$E$4:$E$3632),-('Gastos Gerais'!$C$4:$C$3632))</f>
        <v>19950</v>
      </c>
      <c r="S128" s="134">
        <f>SUMPRODUCT(-('Gastos Gerais'!$B$4:$B$3632=Analítico!$B128),-(Analítico!S$3&gt;='Gastos Gerais'!$D$4:$D$3632),-(Analítico!S$3&lt;='Gastos Gerais'!$E$4:$E$3632),-('Gastos Gerais'!$C$4:$C$3632))</f>
        <v>19950</v>
      </c>
      <c r="T128" s="134">
        <f>SUMPRODUCT(-('Gastos Gerais'!$B$4:$B$3632=Analítico!$B128),-(Analítico!T$3&gt;='Gastos Gerais'!$D$4:$D$3632),-(Analítico!T$3&lt;='Gastos Gerais'!$E$4:$E$3632),-('Gastos Gerais'!$C$4:$C$3632))</f>
        <v>19950</v>
      </c>
      <c r="U128" s="134">
        <f>SUMPRODUCT(-('Gastos Gerais'!$B$4:$B$3632=Analítico!$B128),-(Analítico!U$3&gt;='Gastos Gerais'!$D$4:$D$3632),-(Analítico!U$3&lt;='Gastos Gerais'!$E$4:$E$3632),-('Gastos Gerais'!$C$4:$C$3632))</f>
        <v>19950</v>
      </c>
      <c r="V128" s="134">
        <f>SUMPRODUCT(-('Gastos Gerais'!$B$4:$B$3632=Analítico!$B128),-(Analítico!V$3&gt;='Gastos Gerais'!$D$4:$D$3632),-(Analítico!V$3&lt;='Gastos Gerais'!$E$4:$E$3632),-('Gastos Gerais'!$C$4:$C$3632))</f>
        <v>19950</v>
      </c>
      <c r="W128" s="134">
        <f>SUMPRODUCT(-('Gastos Gerais'!$B$4:$B$3632=Analítico!$B128),-(Analítico!W$3&gt;='Gastos Gerais'!$D$4:$D$3632),-(Analítico!W$3&lt;='Gastos Gerais'!$E$4:$E$3632),-('Gastos Gerais'!$C$4:$C$3632))</f>
        <v>19950</v>
      </c>
      <c r="X128" s="134">
        <f>SUMPRODUCT(-('Gastos Gerais'!$B$4:$B$3632=Analítico!$B128),-(Analítico!X$3&gt;='Gastos Gerais'!$D$4:$D$3632),-(Analítico!X$3&lt;='Gastos Gerais'!$E$4:$E$3632),-('Gastos Gerais'!$C$4:$C$3632))</f>
        <v>19950</v>
      </c>
      <c r="Y128" s="134">
        <f>SUMPRODUCT(-('Gastos Gerais'!$B$4:$B$3632=Analítico!$B128),-(Analítico!Y$3&gt;='Gastos Gerais'!$D$4:$D$3632),-(Analítico!Y$3&lt;='Gastos Gerais'!$E$4:$E$3632),-('Gastos Gerais'!$C$4:$C$3632))</f>
        <v>19950</v>
      </c>
      <c r="Z128" s="134">
        <f>SUMPRODUCT(-('Gastos Gerais'!$B$4:$B$3632=Analítico!$B128),-(Analítico!Z$3&gt;='Gastos Gerais'!$D$4:$D$3632),-(Analítico!Z$3&lt;='Gastos Gerais'!$E$4:$E$3632),-('Gastos Gerais'!$C$4:$C$3632))</f>
        <v>19950</v>
      </c>
      <c r="AA128" s="134">
        <f>SUMPRODUCT(-('Gastos Gerais'!$B$4:$B$3632=Analítico!$B128),-(Analítico!AA$3&gt;='Gastos Gerais'!$D$4:$D$3632),-(Analítico!AA$3&lt;='Gastos Gerais'!$E$4:$E$3632),-('Gastos Gerais'!$C$4:$C$3632))</f>
        <v>21050</v>
      </c>
      <c r="AB128" s="134">
        <f>SUMPRODUCT(-('Gastos Gerais'!$B$4:$B$3632=Analítico!$B128),-(Analítico!AB$3&gt;='Gastos Gerais'!$D$4:$D$3632),-(Analítico!AB$3&lt;='Gastos Gerais'!$E$4:$E$3632),-('Gastos Gerais'!$C$4:$C$3632))</f>
        <v>21050</v>
      </c>
      <c r="AC128" s="134">
        <f>SUMPRODUCT(-('Gastos Gerais'!$B$4:$B$3632=Analítico!$B128),-(Analítico!AC$3&gt;='Gastos Gerais'!$D$4:$D$3632),-(Analítico!AC$3&lt;='Gastos Gerais'!$E$4:$E$3632),-('Gastos Gerais'!$C$4:$C$3632))</f>
        <v>21050</v>
      </c>
      <c r="AD128" s="134">
        <f>SUMPRODUCT(-('Gastos Gerais'!$B$4:$B$3632=Analítico!$B128),-(Analítico!AD$3&gt;='Gastos Gerais'!$D$4:$D$3632),-(Analítico!AD$3&lt;='Gastos Gerais'!$E$4:$E$3632),-('Gastos Gerais'!$C$4:$C$3632))</f>
        <v>21050</v>
      </c>
      <c r="AE128" s="134">
        <f>SUMPRODUCT(-('Gastos Gerais'!$B$4:$B$3632=Analítico!$B128),-(Analítico!AE$3&gt;='Gastos Gerais'!$D$4:$D$3632),-(Analítico!AE$3&lt;='Gastos Gerais'!$E$4:$E$3632),-('Gastos Gerais'!$C$4:$C$3632))</f>
        <v>21050</v>
      </c>
      <c r="AF128" s="134">
        <f>SUMPRODUCT(-('Gastos Gerais'!$B$4:$B$3632=Analítico!$B128),-(Analítico!AF$3&gt;='Gastos Gerais'!$D$4:$D$3632),-(Analítico!AF$3&lt;='Gastos Gerais'!$E$4:$E$3632),-('Gastos Gerais'!$C$4:$C$3632))</f>
        <v>21050</v>
      </c>
      <c r="AG128" s="134">
        <f>SUMPRODUCT(-('Gastos Gerais'!$B$4:$B$3632=Analítico!$B128),-(Analítico!AG$3&gt;='Gastos Gerais'!$D$4:$D$3632),-(Analítico!AG$3&lt;='Gastos Gerais'!$E$4:$E$3632),-('Gastos Gerais'!$C$4:$C$3632))</f>
        <v>21050</v>
      </c>
      <c r="AH128" s="134">
        <f>SUMPRODUCT(-('Gastos Gerais'!$B$4:$B$3632=Analítico!$B128),-(Analítico!AH$3&gt;='Gastos Gerais'!$D$4:$D$3632),-(Analítico!AH$3&lt;='Gastos Gerais'!$E$4:$E$3632),-('Gastos Gerais'!$C$4:$C$3632))</f>
        <v>21050</v>
      </c>
      <c r="AI128" s="134">
        <f>SUMPRODUCT(-('Gastos Gerais'!$B$4:$B$3632=Analítico!$B128),-(Analítico!AI$3&gt;='Gastos Gerais'!$D$4:$D$3632),-(Analítico!AI$3&lt;='Gastos Gerais'!$E$4:$E$3632),-('Gastos Gerais'!$C$4:$C$3632))</f>
        <v>21050</v>
      </c>
      <c r="AJ128" s="134">
        <f>SUMPRODUCT(-('Gastos Gerais'!$B$4:$B$3632=Analítico!$B128),-(Analítico!AJ$3&gt;='Gastos Gerais'!$D$4:$D$3632),-(Analítico!AJ$3&lt;='Gastos Gerais'!$E$4:$E$3632),-('Gastos Gerais'!$C$4:$C$3632))</f>
        <v>21050</v>
      </c>
      <c r="AK128" s="134">
        <f>SUMPRODUCT(-('Gastos Gerais'!$B$4:$B$3632=Analítico!$B128),-(Analítico!AK$3&gt;='Gastos Gerais'!$D$4:$D$3632),-(Analítico!AK$3&lt;='Gastos Gerais'!$E$4:$E$3632),-('Gastos Gerais'!$C$4:$C$3632))</f>
        <v>21050</v>
      </c>
      <c r="AL128" s="134">
        <f>SUMPRODUCT(-('Gastos Gerais'!$B$4:$B$3632=Analítico!$B128),-(Analítico!AL$3&gt;='Gastos Gerais'!$D$4:$D$3632),-(Analítico!AL$3&lt;='Gastos Gerais'!$E$4:$E$3632),-('Gastos Gerais'!$C$4:$C$3632))</f>
        <v>21050</v>
      </c>
      <c r="AM128" s="134">
        <f>SUMPRODUCT(-('Gastos Gerais'!$B$4:$B$3632=Analítico!$B128),-(Analítico!AM$3&gt;='Gastos Gerais'!$D$4:$D$3632),-(Analítico!AM$3&lt;='Gastos Gerais'!$E$4:$E$3632),-('Gastos Gerais'!$C$4:$C$3632))</f>
        <v>21050</v>
      </c>
      <c r="AN128" s="134">
        <f>SUMPRODUCT(-('Gastos Gerais'!$B$4:$B$3632=Analítico!$B128),-(Analítico!AN$3&gt;='Gastos Gerais'!$D$4:$D$3632),-(Analítico!AN$3&lt;='Gastos Gerais'!$E$4:$E$3632),-('Gastos Gerais'!$C$4:$C$3632))</f>
        <v>21050</v>
      </c>
      <c r="AO128" s="134">
        <f>SUMPRODUCT(-('Gastos Gerais'!$B$4:$B$3632=Analítico!$B128),-(Analítico!AO$3&gt;='Gastos Gerais'!$D$4:$D$3632),-(Analítico!AO$3&lt;='Gastos Gerais'!$E$4:$E$3632),-('Gastos Gerais'!$C$4:$C$3632))</f>
        <v>21050</v>
      </c>
      <c r="AP128" s="134">
        <f>SUMPRODUCT(-('Gastos Gerais'!$B$4:$B$3632=Analítico!$B128),-(Analítico!AP$3&gt;='Gastos Gerais'!$D$4:$D$3632),-(Analítico!AP$3&lt;='Gastos Gerais'!$E$4:$E$3632),-('Gastos Gerais'!$C$4:$C$3632))</f>
        <v>21050</v>
      </c>
      <c r="AQ128" s="134">
        <f>SUMPRODUCT(-('Gastos Gerais'!$B$4:$B$3632=Analítico!$B128),-(Analítico!AQ$3&gt;='Gastos Gerais'!$D$4:$D$3632),-(Analítico!AQ$3&lt;='Gastos Gerais'!$E$4:$E$3632),-('Gastos Gerais'!$C$4:$C$3632))</f>
        <v>21050</v>
      </c>
      <c r="AR128" s="134">
        <f>SUMPRODUCT(-('Gastos Gerais'!$B$4:$B$3632=Analítico!$B128),-(Analítico!AR$3&gt;='Gastos Gerais'!$D$4:$D$3632),-(Analítico!AR$3&lt;='Gastos Gerais'!$E$4:$E$3632),-('Gastos Gerais'!$C$4:$C$3632))</f>
        <v>21050</v>
      </c>
      <c r="AS128" s="134">
        <f>SUMPRODUCT(-('Gastos Gerais'!$B$4:$B$3632=Analítico!$B128),-(Analítico!AS$3&gt;='Gastos Gerais'!$D$4:$D$3632),-(Analítico!AS$3&lt;='Gastos Gerais'!$E$4:$E$3632),-('Gastos Gerais'!$C$4:$C$3632))</f>
        <v>21050</v>
      </c>
      <c r="AT128" s="134">
        <f>SUMPRODUCT(-('Gastos Gerais'!$B$4:$B$3632=Analítico!$B128),-(Analítico!AT$3&gt;='Gastos Gerais'!$D$4:$D$3632),-(Analítico!AT$3&lt;='Gastos Gerais'!$E$4:$E$3632),-('Gastos Gerais'!$C$4:$C$3632))</f>
        <v>21050</v>
      </c>
      <c r="AU128" s="134">
        <f>SUMPRODUCT(-('Gastos Gerais'!$B$4:$B$3632=Analítico!$B128),-(Analítico!AU$3&gt;='Gastos Gerais'!$D$4:$D$3632),-(Analítico!AU$3&lt;='Gastos Gerais'!$E$4:$E$3632),-('Gastos Gerais'!$C$4:$C$3632))</f>
        <v>21050</v>
      </c>
      <c r="AV128" s="134">
        <f>SUMPRODUCT(-('Gastos Gerais'!$B$4:$B$3632=Analítico!$B128),-(Analítico!AV$3&gt;='Gastos Gerais'!$D$4:$D$3632),-(Analítico!AV$3&lt;='Gastos Gerais'!$E$4:$E$3632),-('Gastos Gerais'!$C$4:$C$3632))</f>
        <v>21050</v>
      </c>
      <c r="AW128" s="134">
        <f>SUMPRODUCT(-('Gastos Gerais'!$B$4:$B$3632=Analítico!$B128),-(Analítico!AW$3&gt;='Gastos Gerais'!$D$4:$D$3632),-(Analítico!AW$3&lt;='Gastos Gerais'!$E$4:$E$3632),-('Gastos Gerais'!$C$4:$C$3632))</f>
        <v>21050</v>
      </c>
      <c r="AX128" s="134">
        <f>SUMPRODUCT(-('Gastos Gerais'!$B$4:$B$3632=Analítico!$B128),-(Analítico!AX$3&gt;='Gastos Gerais'!$D$4:$D$3632),-(Analítico!AX$3&lt;='Gastos Gerais'!$E$4:$E$3632),-('Gastos Gerais'!$C$4:$C$3632))</f>
        <v>21050</v>
      </c>
      <c r="AY128" s="134">
        <f>SUMPRODUCT(-('Gastos Gerais'!$B$4:$B$3632=Analítico!$B128),-(Analítico!AY$3&gt;='Gastos Gerais'!$D$4:$D$3632),-(Analítico!AY$3&lt;='Gastos Gerais'!$E$4:$E$3632),-('Gastos Gerais'!$C$4:$C$3632))</f>
        <v>21050</v>
      </c>
      <c r="AZ128" s="134">
        <f>SUMPRODUCT(-('Gastos Gerais'!$B$4:$B$3632=Analítico!$B128),-(Analítico!AZ$3&gt;='Gastos Gerais'!$D$4:$D$3632),-(Analítico!AZ$3&lt;='Gastos Gerais'!$E$4:$E$3632),-('Gastos Gerais'!$C$4:$C$3632))</f>
        <v>21050</v>
      </c>
      <c r="BA128" s="134">
        <f>SUMPRODUCT(-('Gastos Gerais'!$B$4:$B$3632=Analítico!$B128),-(Analítico!BA$3&gt;='Gastos Gerais'!$D$4:$D$3632),-(Analítico!BA$3&lt;='Gastos Gerais'!$E$4:$E$3632),-('Gastos Gerais'!$C$4:$C$3632))</f>
        <v>21050</v>
      </c>
      <c r="BB128" s="134">
        <f>SUMPRODUCT(-('Gastos Gerais'!$B$4:$B$3632=Analítico!$B128),-(Analítico!BB$3&gt;='Gastos Gerais'!$D$4:$D$3632),-(Analítico!BB$3&lt;='Gastos Gerais'!$E$4:$E$3632),-('Gastos Gerais'!$C$4:$C$3632))</f>
        <v>21050</v>
      </c>
      <c r="BC128" s="134">
        <f>SUMPRODUCT(-('Gastos Gerais'!$B$4:$B$3632=Analítico!$B128),-(Analítico!BC$3&gt;='Gastos Gerais'!$D$4:$D$3632),-(Analítico!BC$3&lt;='Gastos Gerais'!$E$4:$E$3632),-('Gastos Gerais'!$C$4:$C$3632))</f>
        <v>21050</v>
      </c>
      <c r="BD128" s="134">
        <f>SUMPRODUCT(-('Gastos Gerais'!$B$4:$B$3632=Analítico!$B128),-(Analítico!BD$3&gt;='Gastos Gerais'!$D$4:$D$3632),-(Analítico!BD$3&lt;='Gastos Gerais'!$E$4:$E$3632),-('Gastos Gerais'!$C$4:$C$3632))</f>
        <v>21050</v>
      </c>
      <c r="BE128" s="134">
        <f>SUMPRODUCT(-('Gastos Gerais'!$B$4:$B$3632=Analítico!$B128),-(Analítico!BE$3&gt;='Gastos Gerais'!$D$4:$D$3632),-(Analítico!BE$3&lt;='Gastos Gerais'!$E$4:$E$3632),-('Gastos Gerais'!$C$4:$C$3632))</f>
        <v>21050</v>
      </c>
      <c r="BF128" s="134">
        <f>SUMPRODUCT(-('Gastos Gerais'!$B$4:$B$3632=Analítico!$B128),-(Analítico!BF$3&gt;='Gastos Gerais'!$D$4:$D$3632),-(Analítico!BF$3&lt;='Gastos Gerais'!$E$4:$E$3632),-('Gastos Gerais'!$C$4:$C$3632))</f>
        <v>21050</v>
      </c>
      <c r="BG128" s="134">
        <f>SUMPRODUCT(-('Gastos Gerais'!$B$4:$B$3632=Analítico!$B128),-(Analítico!BG$3&gt;='Gastos Gerais'!$D$4:$D$3632),-(Analítico!BG$3&lt;='Gastos Gerais'!$E$4:$E$3632),-('Gastos Gerais'!$C$4:$C$3632))</f>
        <v>21050</v>
      </c>
      <c r="BH128" s="134">
        <f>SUMPRODUCT(-('Gastos Gerais'!$B$4:$B$3632=Analítico!$B128),-(Analítico!BH$3&gt;='Gastos Gerais'!$D$4:$D$3632),-(Analítico!BH$3&lt;='Gastos Gerais'!$E$4:$E$3632),-('Gastos Gerais'!$C$4:$C$3632))</f>
        <v>21050</v>
      </c>
      <c r="BI128" s="134">
        <f>SUMPRODUCT(-('Gastos Gerais'!$B$4:$B$3632=Analítico!$B128),-(Analítico!BI$3&gt;='Gastos Gerais'!$D$4:$D$3632),-(Analítico!BI$3&lt;='Gastos Gerais'!$E$4:$E$3632),-('Gastos Gerais'!$C$4:$C$3632))</f>
        <v>21050</v>
      </c>
      <c r="BJ128" s="134">
        <f>SUMPRODUCT(-('Gastos Gerais'!$B$4:$B$3632=Analítico!$B128),-(Analítico!BJ$3&gt;='Gastos Gerais'!$D$4:$D$3632),-(Analítico!BJ$3&lt;='Gastos Gerais'!$E$4:$E$3632),-('Gastos Gerais'!$C$4:$C$3632))</f>
        <v>19950</v>
      </c>
      <c r="BK128" s="189">
        <f t="shared" si="41"/>
        <v>1101425</v>
      </c>
      <c r="BL128" s="136">
        <f t="shared" ca="1" si="43"/>
        <v>3.2919443439303857E-3</v>
      </c>
      <c r="BN128" s="134">
        <f>SUMPRODUCT(-('Gastos Gerais'!$B$4:$B$3632=Analítico!$B128),-(Analítico!BN$3&gt;='Gastos Gerais'!$D$4:$D$3632),-(Analítico!BN$3&lt;='Gastos Gerais'!$E$4:$E$3632),-('Gastos Gerais'!$C$4:$C$3632))</f>
        <v>9250</v>
      </c>
    </row>
    <row r="129" spans="1:66" s="160" customFormat="1" ht="23.25" customHeight="1">
      <c r="A129" s="229" t="s">
        <v>666</v>
      </c>
      <c r="B129" s="232" t="s">
        <v>655</v>
      </c>
      <c r="C129" s="188">
        <f t="shared" si="42"/>
        <v>0</v>
      </c>
      <c r="D129" s="134">
        <f>SUMPRODUCT(-('Gastos Gerais'!$B$4:$B$3632=Analítico!$B129),-(Analítico!D$3&gt;='Gastos Gerais'!$D$4:$D$3632),-(Analítico!D$3&lt;='Gastos Gerais'!$E$4:$E$3632),-('Gastos Gerais'!$C$4:$C$3632))</f>
        <v>0</v>
      </c>
      <c r="E129" s="134">
        <f>SUMPRODUCT(-('Gastos Gerais'!$B$4:$B$3632=Analítico!$B129),-(Analítico!E$3&gt;='Gastos Gerais'!$D$4:$D$3632),-(Analítico!E$3&lt;='Gastos Gerais'!$E$4:$E$3632),-('Gastos Gerais'!$C$4:$C$3632))</f>
        <v>0</v>
      </c>
      <c r="F129" s="134">
        <f>SUMPRODUCT(-('Gastos Gerais'!$B$4:$B$3632=Analítico!$B129),-(Analítico!F$3&gt;='Gastos Gerais'!$D$4:$D$3632),-(Analítico!F$3&lt;='Gastos Gerais'!$E$4:$E$3632),-('Gastos Gerais'!$C$4:$C$3632))</f>
        <v>0</v>
      </c>
      <c r="G129" s="134">
        <f>SUMPRODUCT(-('Gastos Gerais'!$B$4:$B$3632=Analítico!$B129),-(Analítico!G$3&gt;='Gastos Gerais'!$D$4:$D$3632),-(Analítico!G$3&lt;='Gastos Gerais'!$E$4:$E$3632),-('Gastos Gerais'!$C$4:$C$3632))</f>
        <v>0</v>
      </c>
      <c r="H129" s="134">
        <f>SUMPRODUCT(-('Gastos Gerais'!$B$4:$B$3632=Analítico!$B129),-(Analítico!H$3&gt;='Gastos Gerais'!$D$4:$D$3632),-(Analítico!H$3&lt;='Gastos Gerais'!$E$4:$E$3632),-('Gastos Gerais'!$C$4:$C$3632))</f>
        <v>0</v>
      </c>
      <c r="I129" s="134">
        <f>SUMPRODUCT(-('Gastos Gerais'!$B$4:$B$3632=Analítico!$B129),-(Analítico!I$3&gt;='Gastos Gerais'!$D$4:$D$3632),-(Analítico!I$3&lt;='Gastos Gerais'!$E$4:$E$3632),-('Gastos Gerais'!$C$4:$C$3632))</f>
        <v>0</v>
      </c>
      <c r="J129" s="134">
        <f>SUMPRODUCT(-('Gastos Gerais'!$B$4:$B$3632=Analítico!$B129),-(Analítico!J$3&gt;='Gastos Gerais'!$D$4:$D$3632),-(Analítico!J$3&lt;='Gastos Gerais'!$E$4:$E$3632),-('Gastos Gerais'!$C$4:$C$3632))</f>
        <v>0</v>
      </c>
      <c r="K129" s="134">
        <f>SUMPRODUCT(-('Gastos Gerais'!$B$4:$B$3632=Analítico!$B129),-(Analítico!K$3&gt;='Gastos Gerais'!$D$4:$D$3632),-(Analítico!K$3&lt;='Gastos Gerais'!$E$4:$E$3632),-('Gastos Gerais'!$C$4:$C$3632))</f>
        <v>0</v>
      </c>
      <c r="L129" s="134">
        <f>SUMPRODUCT(-('Gastos Gerais'!$B$4:$B$3632=Analítico!$B129),-(Analítico!L$3&gt;='Gastos Gerais'!$D$4:$D$3632),-(Analítico!L$3&lt;='Gastos Gerais'!$E$4:$E$3632),-('Gastos Gerais'!$C$4:$C$3632))</f>
        <v>0</v>
      </c>
      <c r="M129" s="134">
        <f>SUMPRODUCT(-('Gastos Gerais'!$B$4:$B$3632=Analítico!$B129),-(Analítico!M$3&gt;='Gastos Gerais'!$D$4:$D$3632),-(Analítico!M$3&lt;='Gastos Gerais'!$E$4:$E$3632),-('Gastos Gerais'!$C$4:$C$3632))</f>
        <v>0</v>
      </c>
      <c r="N129" s="134">
        <f>SUMPRODUCT(-('Gastos Gerais'!$B$4:$B$3632=Analítico!$B129),-(Analítico!N$3&gt;='Gastos Gerais'!$D$4:$D$3632),-(Analítico!N$3&lt;='Gastos Gerais'!$E$4:$E$3632),-('Gastos Gerais'!$C$4:$C$3632))</f>
        <v>0</v>
      </c>
      <c r="O129" s="134">
        <f>SUMPRODUCT(-('Gastos Gerais'!$B$4:$B$3632=Analítico!$B129),-(Analítico!O$3&gt;='Gastos Gerais'!$D$4:$D$3632),-(Analítico!O$3&lt;='Gastos Gerais'!$E$4:$E$3632),-('Gastos Gerais'!$C$4:$C$3632))</f>
        <v>0</v>
      </c>
      <c r="P129" s="134">
        <f>SUMPRODUCT(-('Gastos Gerais'!$B$4:$B$3632=Analítico!$B129),-(Analítico!P$3&gt;='Gastos Gerais'!$D$4:$D$3632),-(Analítico!P$3&lt;='Gastos Gerais'!$E$4:$E$3632),-('Gastos Gerais'!$C$4:$C$3632))</f>
        <v>0</v>
      </c>
      <c r="Q129" s="134">
        <f>SUMPRODUCT(-('Gastos Gerais'!$B$4:$B$3632=Analítico!$B129),-(Analítico!Q$3&gt;='Gastos Gerais'!$D$4:$D$3632),-(Analítico!Q$3&lt;='Gastos Gerais'!$E$4:$E$3632),-('Gastos Gerais'!$C$4:$C$3632))</f>
        <v>0</v>
      </c>
      <c r="R129" s="134">
        <f>SUMPRODUCT(-('Gastos Gerais'!$B$4:$B$3632=Analítico!$B129),-(Analítico!R$3&gt;='Gastos Gerais'!$D$4:$D$3632),-(Analítico!R$3&lt;='Gastos Gerais'!$E$4:$E$3632),-('Gastos Gerais'!$C$4:$C$3632))</f>
        <v>0</v>
      </c>
      <c r="S129" s="134">
        <f>SUMPRODUCT(-('Gastos Gerais'!$B$4:$B$3632=Analítico!$B129),-(Analítico!S$3&gt;='Gastos Gerais'!$D$4:$D$3632),-(Analítico!S$3&lt;='Gastos Gerais'!$E$4:$E$3632),-('Gastos Gerais'!$C$4:$C$3632))</f>
        <v>0</v>
      </c>
      <c r="T129" s="134">
        <f>SUMPRODUCT(-('Gastos Gerais'!$B$4:$B$3632=Analítico!$B129),-(Analítico!T$3&gt;='Gastos Gerais'!$D$4:$D$3632),-(Analítico!T$3&lt;='Gastos Gerais'!$E$4:$E$3632),-('Gastos Gerais'!$C$4:$C$3632))</f>
        <v>0</v>
      </c>
      <c r="U129" s="134">
        <f>SUMPRODUCT(-('Gastos Gerais'!$B$4:$B$3632=Analítico!$B129),-(Analítico!U$3&gt;='Gastos Gerais'!$D$4:$D$3632),-(Analítico!U$3&lt;='Gastos Gerais'!$E$4:$E$3632),-('Gastos Gerais'!$C$4:$C$3632))</f>
        <v>0</v>
      </c>
      <c r="V129" s="134">
        <f>SUMPRODUCT(-('Gastos Gerais'!$B$4:$B$3632=Analítico!$B129),-(Analítico!V$3&gt;='Gastos Gerais'!$D$4:$D$3632),-(Analítico!V$3&lt;='Gastos Gerais'!$E$4:$E$3632),-('Gastos Gerais'!$C$4:$C$3632))</f>
        <v>0</v>
      </c>
      <c r="W129" s="134">
        <f>SUMPRODUCT(-('Gastos Gerais'!$B$4:$B$3632=Analítico!$B129),-(Analítico!W$3&gt;='Gastos Gerais'!$D$4:$D$3632),-(Analítico!W$3&lt;='Gastos Gerais'!$E$4:$E$3632),-('Gastos Gerais'!$C$4:$C$3632))</f>
        <v>0</v>
      </c>
      <c r="X129" s="134">
        <f>SUMPRODUCT(-('Gastos Gerais'!$B$4:$B$3632=Analítico!$B129),-(Analítico!X$3&gt;='Gastos Gerais'!$D$4:$D$3632),-(Analítico!X$3&lt;='Gastos Gerais'!$E$4:$E$3632),-('Gastos Gerais'!$C$4:$C$3632))</f>
        <v>0</v>
      </c>
      <c r="Y129" s="134">
        <f>SUMPRODUCT(-('Gastos Gerais'!$B$4:$B$3632=Analítico!$B129),-(Analítico!Y$3&gt;='Gastos Gerais'!$D$4:$D$3632),-(Analítico!Y$3&lt;='Gastos Gerais'!$E$4:$E$3632),-('Gastos Gerais'!$C$4:$C$3632))</f>
        <v>0</v>
      </c>
      <c r="Z129" s="134">
        <f>SUMPRODUCT(-('Gastos Gerais'!$B$4:$B$3632=Analítico!$B129),-(Analítico!Z$3&gt;='Gastos Gerais'!$D$4:$D$3632),-(Analítico!Z$3&lt;='Gastos Gerais'!$E$4:$E$3632),-('Gastos Gerais'!$C$4:$C$3632))</f>
        <v>0</v>
      </c>
      <c r="AA129" s="134">
        <f>SUMPRODUCT(-('Gastos Gerais'!$B$4:$B$3632=Analítico!$B129),-(Analítico!AA$3&gt;='Gastos Gerais'!$D$4:$D$3632),-(Analítico!AA$3&lt;='Gastos Gerais'!$E$4:$E$3632),-('Gastos Gerais'!$C$4:$C$3632))</f>
        <v>0</v>
      </c>
      <c r="AB129" s="134">
        <f>SUMPRODUCT(-('Gastos Gerais'!$B$4:$B$3632=Analítico!$B129),-(Analítico!AB$3&gt;='Gastos Gerais'!$D$4:$D$3632),-(Analítico!AB$3&lt;='Gastos Gerais'!$E$4:$E$3632),-('Gastos Gerais'!$C$4:$C$3632))</f>
        <v>0</v>
      </c>
      <c r="AC129" s="134">
        <f>SUMPRODUCT(-('Gastos Gerais'!$B$4:$B$3632=Analítico!$B129),-(Analítico!AC$3&gt;='Gastos Gerais'!$D$4:$D$3632),-(Analítico!AC$3&lt;='Gastos Gerais'!$E$4:$E$3632),-('Gastos Gerais'!$C$4:$C$3632))</f>
        <v>0</v>
      </c>
      <c r="AD129" s="134">
        <f>SUMPRODUCT(-('Gastos Gerais'!$B$4:$B$3632=Analítico!$B129),-(Analítico!AD$3&gt;='Gastos Gerais'!$D$4:$D$3632),-(Analítico!AD$3&lt;='Gastos Gerais'!$E$4:$E$3632),-('Gastos Gerais'!$C$4:$C$3632))</f>
        <v>0</v>
      </c>
      <c r="AE129" s="134">
        <f>SUMPRODUCT(-('Gastos Gerais'!$B$4:$B$3632=Analítico!$B129),-(Analítico!AE$3&gt;='Gastos Gerais'!$D$4:$D$3632),-(Analítico!AE$3&lt;='Gastos Gerais'!$E$4:$E$3632),-('Gastos Gerais'!$C$4:$C$3632))</f>
        <v>0</v>
      </c>
      <c r="AF129" s="134">
        <f>SUMPRODUCT(-('Gastos Gerais'!$B$4:$B$3632=Analítico!$B129),-(Analítico!AF$3&gt;='Gastos Gerais'!$D$4:$D$3632),-(Analítico!AF$3&lt;='Gastos Gerais'!$E$4:$E$3632),-('Gastos Gerais'!$C$4:$C$3632))</f>
        <v>0</v>
      </c>
      <c r="AG129" s="134">
        <f>SUMPRODUCT(-('Gastos Gerais'!$B$4:$B$3632=Analítico!$B129),-(Analítico!AG$3&gt;='Gastos Gerais'!$D$4:$D$3632),-(Analítico!AG$3&lt;='Gastos Gerais'!$E$4:$E$3632),-('Gastos Gerais'!$C$4:$C$3632))</f>
        <v>0</v>
      </c>
      <c r="AH129" s="134">
        <f>SUMPRODUCT(-('Gastos Gerais'!$B$4:$B$3632=Analítico!$B129),-(Analítico!AH$3&gt;='Gastos Gerais'!$D$4:$D$3632),-(Analítico!AH$3&lt;='Gastos Gerais'!$E$4:$E$3632),-('Gastos Gerais'!$C$4:$C$3632))</f>
        <v>0</v>
      </c>
      <c r="AI129" s="134">
        <f>SUMPRODUCT(-('Gastos Gerais'!$B$4:$B$3632=Analítico!$B129),-(Analítico!AI$3&gt;='Gastos Gerais'!$D$4:$D$3632),-(Analítico!AI$3&lt;='Gastos Gerais'!$E$4:$E$3632),-('Gastos Gerais'!$C$4:$C$3632))</f>
        <v>0</v>
      </c>
      <c r="AJ129" s="134">
        <f>SUMPRODUCT(-('Gastos Gerais'!$B$4:$B$3632=Analítico!$B129),-(Analítico!AJ$3&gt;='Gastos Gerais'!$D$4:$D$3632),-(Analítico!AJ$3&lt;='Gastos Gerais'!$E$4:$E$3632),-('Gastos Gerais'!$C$4:$C$3632))</f>
        <v>0</v>
      </c>
      <c r="AK129" s="134">
        <f>SUMPRODUCT(-('Gastos Gerais'!$B$4:$B$3632=Analítico!$B129),-(Analítico!AK$3&gt;='Gastos Gerais'!$D$4:$D$3632),-(Analítico!AK$3&lt;='Gastos Gerais'!$E$4:$E$3632),-('Gastos Gerais'!$C$4:$C$3632))</f>
        <v>0</v>
      </c>
      <c r="AL129" s="134">
        <f>SUMPRODUCT(-('Gastos Gerais'!$B$4:$B$3632=Analítico!$B129),-(Analítico!AL$3&gt;='Gastos Gerais'!$D$4:$D$3632),-(Analítico!AL$3&lt;='Gastos Gerais'!$E$4:$E$3632),-('Gastos Gerais'!$C$4:$C$3632))</f>
        <v>0</v>
      </c>
      <c r="AM129" s="134">
        <f>SUMPRODUCT(-('Gastos Gerais'!$B$4:$B$3632=Analítico!$B129),-(Analítico!AM$3&gt;='Gastos Gerais'!$D$4:$D$3632),-(Analítico!AM$3&lt;='Gastos Gerais'!$E$4:$E$3632),-('Gastos Gerais'!$C$4:$C$3632))</f>
        <v>0</v>
      </c>
      <c r="AN129" s="134">
        <f>SUMPRODUCT(-('Gastos Gerais'!$B$4:$B$3632=Analítico!$B129),-(Analítico!AN$3&gt;='Gastos Gerais'!$D$4:$D$3632),-(Analítico!AN$3&lt;='Gastos Gerais'!$E$4:$E$3632),-('Gastos Gerais'!$C$4:$C$3632))</f>
        <v>0</v>
      </c>
      <c r="AO129" s="134">
        <f>SUMPRODUCT(-('Gastos Gerais'!$B$4:$B$3632=Analítico!$B129),-(Analítico!AO$3&gt;='Gastos Gerais'!$D$4:$D$3632),-(Analítico!AO$3&lt;='Gastos Gerais'!$E$4:$E$3632),-('Gastos Gerais'!$C$4:$C$3632))</f>
        <v>0</v>
      </c>
      <c r="AP129" s="134">
        <f>SUMPRODUCT(-('Gastos Gerais'!$B$4:$B$3632=Analítico!$B129),-(Analítico!AP$3&gt;='Gastos Gerais'!$D$4:$D$3632),-(Analítico!AP$3&lt;='Gastos Gerais'!$E$4:$E$3632),-('Gastos Gerais'!$C$4:$C$3632))</f>
        <v>0</v>
      </c>
      <c r="AQ129" s="134">
        <f>SUMPRODUCT(-('Gastos Gerais'!$B$4:$B$3632=Analítico!$B129),-(Analítico!AQ$3&gt;='Gastos Gerais'!$D$4:$D$3632),-(Analítico!AQ$3&lt;='Gastos Gerais'!$E$4:$E$3632),-('Gastos Gerais'!$C$4:$C$3632))</f>
        <v>0</v>
      </c>
      <c r="AR129" s="134">
        <f>SUMPRODUCT(-('Gastos Gerais'!$B$4:$B$3632=Analítico!$B129),-(Analítico!AR$3&gt;='Gastos Gerais'!$D$4:$D$3632),-(Analítico!AR$3&lt;='Gastos Gerais'!$E$4:$E$3632),-('Gastos Gerais'!$C$4:$C$3632))</f>
        <v>0</v>
      </c>
      <c r="AS129" s="134">
        <f>SUMPRODUCT(-('Gastos Gerais'!$B$4:$B$3632=Analítico!$B129),-(Analítico!AS$3&gt;='Gastos Gerais'!$D$4:$D$3632),-(Analítico!AS$3&lt;='Gastos Gerais'!$E$4:$E$3632),-('Gastos Gerais'!$C$4:$C$3632))</f>
        <v>0</v>
      </c>
      <c r="AT129" s="134">
        <f>SUMPRODUCT(-('Gastos Gerais'!$B$4:$B$3632=Analítico!$B129),-(Analítico!AT$3&gt;='Gastos Gerais'!$D$4:$D$3632),-(Analítico!AT$3&lt;='Gastos Gerais'!$E$4:$E$3632),-('Gastos Gerais'!$C$4:$C$3632))</f>
        <v>0</v>
      </c>
      <c r="AU129" s="134">
        <f>SUMPRODUCT(-('Gastos Gerais'!$B$4:$B$3632=Analítico!$B129),-(Analítico!AU$3&gt;='Gastos Gerais'!$D$4:$D$3632),-(Analítico!AU$3&lt;='Gastos Gerais'!$E$4:$E$3632),-('Gastos Gerais'!$C$4:$C$3632))</f>
        <v>0</v>
      </c>
      <c r="AV129" s="134">
        <f>SUMPRODUCT(-('Gastos Gerais'!$B$4:$B$3632=Analítico!$B129),-(Analítico!AV$3&gt;='Gastos Gerais'!$D$4:$D$3632),-(Analítico!AV$3&lt;='Gastos Gerais'!$E$4:$E$3632),-('Gastos Gerais'!$C$4:$C$3632))</f>
        <v>0</v>
      </c>
      <c r="AW129" s="134">
        <f>SUMPRODUCT(-('Gastos Gerais'!$B$4:$B$3632=Analítico!$B129),-(Analítico!AW$3&gt;='Gastos Gerais'!$D$4:$D$3632),-(Analítico!AW$3&lt;='Gastos Gerais'!$E$4:$E$3632),-('Gastos Gerais'!$C$4:$C$3632))</f>
        <v>0</v>
      </c>
      <c r="AX129" s="134">
        <f>SUMPRODUCT(-('Gastos Gerais'!$B$4:$B$3632=Analítico!$B129),-(Analítico!AX$3&gt;='Gastos Gerais'!$D$4:$D$3632),-(Analítico!AX$3&lt;='Gastos Gerais'!$E$4:$E$3632),-('Gastos Gerais'!$C$4:$C$3632))</f>
        <v>0</v>
      </c>
      <c r="AY129" s="134">
        <f>SUMPRODUCT(-('Gastos Gerais'!$B$4:$B$3632=Analítico!$B129),-(Analítico!AY$3&gt;='Gastos Gerais'!$D$4:$D$3632),-(Analítico!AY$3&lt;='Gastos Gerais'!$E$4:$E$3632),-('Gastos Gerais'!$C$4:$C$3632))</f>
        <v>0</v>
      </c>
      <c r="AZ129" s="134">
        <f>SUMPRODUCT(-('Gastos Gerais'!$B$4:$B$3632=Analítico!$B129),-(Analítico!AZ$3&gt;='Gastos Gerais'!$D$4:$D$3632),-(Analítico!AZ$3&lt;='Gastos Gerais'!$E$4:$E$3632),-('Gastos Gerais'!$C$4:$C$3632))</f>
        <v>0</v>
      </c>
      <c r="BA129" s="134">
        <f>SUMPRODUCT(-('Gastos Gerais'!$B$4:$B$3632=Analítico!$B129),-(Analítico!BA$3&gt;='Gastos Gerais'!$D$4:$D$3632),-(Analítico!BA$3&lt;='Gastos Gerais'!$E$4:$E$3632),-('Gastos Gerais'!$C$4:$C$3632))</f>
        <v>0</v>
      </c>
      <c r="BB129" s="134">
        <f>SUMPRODUCT(-('Gastos Gerais'!$B$4:$B$3632=Analítico!$B129),-(Analítico!BB$3&gt;='Gastos Gerais'!$D$4:$D$3632),-(Analítico!BB$3&lt;='Gastos Gerais'!$E$4:$E$3632),-('Gastos Gerais'!$C$4:$C$3632))</f>
        <v>0</v>
      </c>
      <c r="BC129" s="134">
        <f>SUMPRODUCT(-('Gastos Gerais'!$B$4:$B$3632=Analítico!$B129),-(Analítico!BC$3&gt;='Gastos Gerais'!$D$4:$D$3632),-(Analítico!BC$3&lt;='Gastos Gerais'!$E$4:$E$3632),-('Gastos Gerais'!$C$4:$C$3632))</f>
        <v>0</v>
      </c>
      <c r="BD129" s="134">
        <f>SUMPRODUCT(-('Gastos Gerais'!$B$4:$B$3632=Analítico!$B129),-(Analítico!BD$3&gt;='Gastos Gerais'!$D$4:$D$3632),-(Analítico!BD$3&lt;='Gastos Gerais'!$E$4:$E$3632),-('Gastos Gerais'!$C$4:$C$3632))</f>
        <v>0</v>
      </c>
      <c r="BE129" s="134">
        <f>SUMPRODUCT(-('Gastos Gerais'!$B$4:$B$3632=Analítico!$B129),-(Analítico!BE$3&gt;='Gastos Gerais'!$D$4:$D$3632),-(Analítico!BE$3&lt;='Gastos Gerais'!$E$4:$E$3632),-('Gastos Gerais'!$C$4:$C$3632))</f>
        <v>0</v>
      </c>
      <c r="BF129" s="134">
        <f>SUMPRODUCT(-('Gastos Gerais'!$B$4:$B$3632=Analítico!$B129),-(Analítico!BF$3&gt;='Gastos Gerais'!$D$4:$D$3632),-(Analítico!BF$3&lt;='Gastos Gerais'!$E$4:$E$3632),-('Gastos Gerais'!$C$4:$C$3632))</f>
        <v>0</v>
      </c>
      <c r="BG129" s="134">
        <f>SUMPRODUCT(-('Gastos Gerais'!$B$4:$B$3632=Analítico!$B129),-(Analítico!BG$3&gt;='Gastos Gerais'!$D$4:$D$3632),-(Analítico!BG$3&lt;='Gastos Gerais'!$E$4:$E$3632),-('Gastos Gerais'!$C$4:$C$3632))</f>
        <v>0</v>
      </c>
      <c r="BH129" s="134">
        <f>SUMPRODUCT(-('Gastos Gerais'!$B$4:$B$3632=Analítico!$B129),-(Analítico!BH$3&gt;='Gastos Gerais'!$D$4:$D$3632),-(Analítico!BH$3&lt;='Gastos Gerais'!$E$4:$E$3632),-('Gastos Gerais'!$C$4:$C$3632))</f>
        <v>0</v>
      </c>
      <c r="BI129" s="134">
        <f>SUMPRODUCT(-('Gastos Gerais'!$B$4:$B$3632=Analítico!$B129),-(Analítico!BI$3&gt;='Gastos Gerais'!$D$4:$D$3632),-(Analítico!BI$3&lt;='Gastos Gerais'!$E$4:$E$3632),-('Gastos Gerais'!$C$4:$C$3632))</f>
        <v>0</v>
      </c>
      <c r="BJ129" s="134">
        <f>SUMPRODUCT(-('Gastos Gerais'!$B$4:$B$3632=Analítico!$B129),-(Analítico!BJ$3&gt;='Gastos Gerais'!$D$4:$D$3632),-(Analítico!BJ$3&lt;='Gastos Gerais'!$E$4:$E$3632),-('Gastos Gerais'!$C$4:$C$3632))</f>
        <v>0</v>
      </c>
      <c r="BK129" s="189">
        <f t="shared" si="41"/>
        <v>0</v>
      </c>
      <c r="BL129" s="136">
        <f t="shared" ca="1" si="43"/>
        <v>0</v>
      </c>
      <c r="BN129" s="134">
        <f>SUMPRODUCT(-('Gastos Gerais'!$B$4:$B$3632=Analítico!$B129),-(Analítico!BN$3&gt;='Gastos Gerais'!$D$4:$D$3632),-(Analítico!BN$3&lt;='Gastos Gerais'!$E$4:$E$3632),-('Gastos Gerais'!$C$4:$C$3632))</f>
        <v>0</v>
      </c>
    </row>
    <row r="130" spans="1:66" s="160" customFormat="1" ht="23.25" customHeight="1">
      <c r="A130" s="229" t="s">
        <v>667</v>
      </c>
      <c r="B130" s="232" t="s">
        <v>656</v>
      </c>
      <c r="C130" s="188">
        <f t="shared" si="42"/>
        <v>900</v>
      </c>
      <c r="D130" s="134">
        <f>SUMPRODUCT(-('Gastos Gerais'!$B$4:$B$3632=Analítico!$B130),-(Analítico!D$3&gt;='Gastos Gerais'!$D$4:$D$3632),-(Analítico!D$3&lt;='Gastos Gerais'!$E$4:$E$3632),-('Gastos Gerais'!$C$4:$C$3632))</f>
        <v>3000</v>
      </c>
      <c r="E130" s="134">
        <f>SUMPRODUCT(-('Gastos Gerais'!$B$4:$B$3632=Analítico!$B130),-(Analítico!E$3&gt;='Gastos Gerais'!$D$4:$D$3632),-(Analítico!E$3&lt;='Gastos Gerais'!$E$4:$E$3632),-('Gastos Gerais'!$C$4:$C$3632))</f>
        <v>3400</v>
      </c>
      <c r="F130" s="134">
        <f>SUMPRODUCT(-('Gastos Gerais'!$B$4:$B$3632=Analítico!$B130),-(Analítico!F$3&gt;='Gastos Gerais'!$D$4:$D$3632),-(Analítico!F$3&lt;='Gastos Gerais'!$E$4:$E$3632),-('Gastos Gerais'!$C$4:$C$3632))</f>
        <v>3400</v>
      </c>
      <c r="G130" s="134">
        <f>SUMPRODUCT(-('Gastos Gerais'!$B$4:$B$3632=Analítico!$B130),-(Analítico!G$3&gt;='Gastos Gerais'!$D$4:$D$3632),-(Analítico!G$3&lt;='Gastos Gerais'!$E$4:$E$3632),-('Gastos Gerais'!$C$4:$C$3632))</f>
        <v>3400</v>
      </c>
      <c r="H130" s="134">
        <f>SUMPRODUCT(-('Gastos Gerais'!$B$4:$B$3632=Analítico!$B130),-(Analítico!H$3&gt;='Gastos Gerais'!$D$4:$D$3632),-(Analítico!H$3&lt;='Gastos Gerais'!$E$4:$E$3632),-('Gastos Gerais'!$C$4:$C$3632))</f>
        <v>3400</v>
      </c>
      <c r="I130" s="134">
        <f>SUMPRODUCT(-('Gastos Gerais'!$B$4:$B$3632=Analítico!$B130),-(Analítico!I$3&gt;='Gastos Gerais'!$D$4:$D$3632),-(Analítico!I$3&lt;='Gastos Gerais'!$E$4:$E$3632),-('Gastos Gerais'!$C$4:$C$3632))</f>
        <v>3400</v>
      </c>
      <c r="J130" s="134">
        <f>SUMPRODUCT(-('Gastos Gerais'!$B$4:$B$3632=Analítico!$B130),-(Analítico!J$3&gt;='Gastos Gerais'!$D$4:$D$3632),-(Analítico!J$3&lt;='Gastos Gerais'!$E$4:$E$3632),-('Gastos Gerais'!$C$4:$C$3632))</f>
        <v>3400</v>
      </c>
      <c r="K130" s="134">
        <f>SUMPRODUCT(-('Gastos Gerais'!$B$4:$B$3632=Analítico!$B130),-(Analítico!K$3&gt;='Gastos Gerais'!$D$4:$D$3632),-(Analítico!K$3&lt;='Gastos Gerais'!$E$4:$E$3632),-('Gastos Gerais'!$C$4:$C$3632))</f>
        <v>3400</v>
      </c>
      <c r="L130" s="134">
        <f>SUMPRODUCT(-('Gastos Gerais'!$B$4:$B$3632=Analítico!$B130),-(Analítico!L$3&gt;='Gastos Gerais'!$D$4:$D$3632),-(Analítico!L$3&lt;='Gastos Gerais'!$E$4:$E$3632),-('Gastos Gerais'!$C$4:$C$3632))</f>
        <v>3400</v>
      </c>
      <c r="M130" s="134">
        <f>SUMPRODUCT(-('Gastos Gerais'!$B$4:$B$3632=Analítico!$B130),-(Analítico!M$3&gt;='Gastos Gerais'!$D$4:$D$3632),-(Analítico!M$3&lt;='Gastos Gerais'!$E$4:$E$3632),-('Gastos Gerais'!$C$4:$C$3632))</f>
        <v>3400</v>
      </c>
      <c r="N130" s="134">
        <f>SUMPRODUCT(-('Gastos Gerais'!$B$4:$B$3632=Analítico!$B130),-(Analítico!N$3&gt;='Gastos Gerais'!$D$4:$D$3632),-(Analítico!N$3&lt;='Gastos Gerais'!$E$4:$E$3632),-('Gastos Gerais'!$C$4:$C$3632))</f>
        <v>3400</v>
      </c>
      <c r="O130" s="134">
        <f>SUMPRODUCT(-('Gastos Gerais'!$B$4:$B$3632=Analítico!$B130),-(Analítico!O$3&gt;='Gastos Gerais'!$D$4:$D$3632),-(Analítico!O$3&lt;='Gastos Gerais'!$E$4:$E$3632),-('Gastos Gerais'!$C$4:$C$3632))</f>
        <v>3400</v>
      </c>
      <c r="P130" s="134">
        <f>SUMPRODUCT(-('Gastos Gerais'!$B$4:$B$3632=Analítico!$B130),-(Analítico!P$3&gt;='Gastos Gerais'!$D$4:$D$3632),-(Analítico!P$3&lt;='Gastos Gerais'!$E$4:$E$3632),-('Gastos Gerais'!$C$4:$C$3632))</f>
        <v>3600</v>
      </c>
      <c r="Q130" s="134">
        <f>SUMPRODUCT(-('Gastos Gerais'!$B$4:$B$3632=Analítico!$B130),-(Analítico!Q$3&gt;='Gastos Gerais'!$D$4:$D$3632),-(Analítico!Q$3&lt;='Gastos Gerais'!$E$4:$E$3632),-('Gastos Gerais'!$C$4:$C$3632))</f>
        <v>3800</v>
      </c>
      <c r="R130" s="134">
        <f>SUMPRODUCT(-('Gastos Gerais'!$B$4:$B$3632=Analítico!$B130),-(Analítico!R$3&gt;='Gastos Gerais'!$D$4:$D$3632),-(Analítico!R$3&lt;='Gastos Gerais'!$E$4:$E$3632),-('Gastos Gerais'!$C$4:$C$3632))</f>
        <v>3800</v>
      </c>
      <c r="S130" s="134">
        <f>SUMPRODUCT(-('Gastos Gerais'!$B$4:$B$3632=Analítico!$B130),-(Analítico!S$3&gt;='Gastos Gerais'!$D$4:$D$3632),-(Analítico!S$3&lt;='Gastos Gerais'!$E$4:$E$3632),-('Gastos Gerais'!$C$4:$C$3632))</f>
        <v>3800</v>
      </c>
      <c r="T130" s="134">
        <f>SUMPRODUCT(-('Gastos Gerais'!$B$4:$B$3632=Analítico!$B130),-(Analítico!T$3&gt;='Gastos Gerais'!$D$4:$D$3632),-(Analítico!T$3&lt;='Gastos Gerais'!$E$4:$E$3632),-('Gastos Gerais'!$C$4:$C$3632))</f>
        <v>3800</v>
      </c>
      <c r="U130" s="134">
        <f>SUMPRODUCT(-('Gastos Gerais'!$B$4:$B$3632=Analítico!$B130),-(Analítico!U$3&gt;='Gastos Gerais'!$D$4:$D$3632),-(Analítico!U$3&lt;='Gastos Gerais'!$E$4:$E$3632),-('Gastos Gerais'!$C$4:$C$3632))</f>
        <v>3800</v>
      </c>
      <c r="V130" s="134">
        <f>SUMPRODUCT(-('Gastos Gerais'!$B$4:$B$3632=Analítico!$B130),-(Analítico!V$3&gt;='Gastos Gerais'!$D$4:$D$3632),-(Analítico!V$3&lt;='Gastos Gerais'!$E$4:$E$3632),-('Gastos Gerais'!$C$4:$C$3632))</f>
        <v>3800</v>
      </c>
      <c r="W130" s="134">
        <f>SUMPRODUCT(-('Gastos Gerais'!$B$4:$B$3632=Analítico!$B130),-(Analítico!W$3&gt;='Gastos Gerais'!$D$4:$D$3632),-(Analítico!W$3&lt;='Gastos Gerais'!$E$4:$E$3632),-('Gastos Gerais'!$C$4:$C$3632))</f>
        <v>3800</v>
      </c>
      <c r="X130" s="134">
        <f>SUMPRODUCT(-('Gastos Gerais'!$B$4:$B$3632=Analítico!$B130),-(Analítico!X$3&gt;='Gastos Gerais'!$D$4:$D$3632),-(Analítico!X$3&lt;='Gastos Gerais'!$E$4:$E$3632),-('Gastos Gerais'!$C$4:$C$3632))</f>
        <v>3800</v>
      </c>
      <c r="Y130" s="134">
        <f>SUMPRODUCT(-('Gastos Gerais'!$B$4:$B$3632=Analítico!$B130),-(Analítico!Y$3&gt;='Gastos Gerais'!$D$4:$D$3632),-(Analítico!Y$3&lt;='Gastos Gerais'!$E$4:$E$3632),-('Gastos Gerais'!$C$4:$C$3632))</f>
        <v>3800</v>
      </c>
      <c r="Z130" s="134">
        <f>SUMPRODUCT(-('Gastos Gerais'!$B$4:$B$3632=Analítico!$B130),-(Analítico!Z$3&gt;='Gastos Gerais'!$D$4:$D$3632),-(Analítico!Z$3&lt;='Gastos Gerais'!$E$4:$E$3632),-('Gastos Gerais'!$C$4:$C$3632))</f>
        <v>3800</v>
      </c>
      <c r="AA130" s="134">
        <f>SUMPRODUCT(-('Gastos Gerais'!$B$4:$B$3632=Analítico!$B130),-(Analítico!AA$3&gt;='Gastos Gerais'!$D$4:$D$3632),-(Analítico!AA$3&lt;='Gastos Gerais'!$E$4:$E$3632),-('Gastos Gerais'!$C$4:$C$3632))</f>
        <v>3800</v>
      </c>
      <c r="AB130" s="134">
        <f>SUMPRODUCT(-('Gastos Gerais'!$B$4:$B$3632=Analítico!$B130),-(Analítico!AB$3&gt;='Gastos Gerais'!$D$4:$D$3632),-(Analítico!AB$3&lt;='Gastos Gerais'!$E$4:$E$3632),-('Gastos Gerais'!$C$4:$C$3632))</f>
        <v>3800</v>
      </c>
      <c r="AC130" s="134">
        <f>SUMPRODUCT(-('Gastos Gerais'!$B$4:$B$3632=Analítico!$B130),-(Analítico!AC$3&gt;='Gastos Gerais'!$D$4:$D$3632),-(Analítico!AC$3&lt;='Gastos Gerais'!$E$4:$E$3632),-('Gastos Gerais'!$C$4:$C$3632))</f>
        <v>3800</v>
      </c>
      <c r="AD130" s="134">
        <f>SUMPRODUCT(-('Gastos Gerais'!$B$4:$B$3632=Analítico!$B130),-(Analítico!AD$3&gt;='Gastos Gerais'!$D$4:$D$3632),-(Analítico!AD$3&lt;='Gastos Gerais'!$E$4:$E$3632),-('Gastos Gerais'!$C$4:$C$3632))</f>
        <v>3800</v>
      </c>
      <c r="AE130" s="134">
        <f>SUMPRODUCT(-('Gastos Gerais'!$B$4:$B$3632=Analítico!$B130),-(Analítico!AE$3&gt;='Gastos Gerais'!$D$4:$D$3632),-(Analítico!AE$3&lt;='Gastos Gerais'!$E$4:$E$3632),-('Gastos Gerais'!$C$4:$C$3632))</f>
        <v>3800</v>
      </c>
      <c r="AF130" s="134">
        <f>SUMPRODUCT(-('Gastos Gerais'!$B$4:$B$3632=Analítico!$B130),-(Analítico!AF$3&gt;='Gastos Gerais'!$D$4:$D$3632),-(Analítico!AF$3&lt;='Gastos Gerais'!$E$4:$E$3632),-('Gastos Gerais'!$C$4:$C$3632))</f>
        <v>3800</v>
      </c>
      <c r="AG130" s="134">
        <f>SUMPRODUCT(-('Gastos Gerais'!$B$4:$B$3632=Analítico!$B130),-(Analítico!AG$3&gt;='Gastos Gerais'!$D$4:$D$3632),-(Analítico!AG$3&lt;='Gastos Gerais'!$E$4:$E$3632),-('Gastos Gerais'!$C$4:$C$3632))</f>
        <v>3800</v>
      </c>
      <c r="AH130" s="134">
        <f>SUMPRODUCT(-('Gastos Gerais'!$B$4:$B$3632=Analítico!$B130),-(Analítico!AH$3&gt;='Gastos Gerais'!$D$4:$D$3632),-(Analítico!AH$3&lt;='Gastos Gerais'!$E$4:$E$3632),-('Gastos Gerais'!$C$4:$C$3632))</f>
        <v>3800</v>
      </c>
      <c r="AI130" s="134">
        <f>SUMPRODUCT(-('Gastos Gerais'!$B$4:$B$3632=Analítico!$B130),-(Analítico!AI$3&gt;='Gastos Gerais'!$D$4:$D$3632),-(Analítico!AI$3&lt;='Gastos Gerais'!$E$4:$E$3632),-('Gastos Gerais'!$C$4:$C$3632))</f>
        <v>3800</v>
      </c>
      <c r="AJ130" s="134">
        <f>SUMPRODUCT(-('Gastos Gerais'!$B$4:$B$3632=Analítico!$B130),-(Analítico!AJ$3&gt;='Gastos Gerais'!$D$4:$D$3632),-(Analítico!AJ$3&lt;='Gastos Gerais'!$E$4:$E$3632),-('Gastos Gerais'!$C$4:$C$3632))</f>
        <v>3800</v>
      </c>
      <c r="AK130" s="134">
        <f>SUMPRODUCT(-('Gastos Gerais'!$B$4:$B$3632=Analítico!$B130),-(Analítico!AK$3&gt;='Gastos Gerais'!$D$4:$D$3632),-(Analítico!AK$3&lt;='Gastos Gerais'!$E$4:$E$3632),-('Gastos Gerais'!$C$4:$C$3632))</f>
        <v>3800</v>
      </c>
      <c r="AL130" s="134">
        <f>SUMPRODUCT(-('Gastos Gerais'!$B$4:$B$3632=Analítico!$B130),-(Analítico!AL$3&gt;='Gastos Gerais'!$D$4:$D$3632),-(Analítico!AL$3&lt;='Gastos Gerais'!$E$4:$E$3632),-('Gastos Gerais'!$C$4:$C$3632))</f>
        <v>3800</v>
      </c>
      <c r="AM130" s="134">
        <f>SUMPRODUCT(-('Gastos Gerais'!$B$4:$B$3632=Analítico!$B130),-(Analítico!AM$3&gt;='Gastos Gerais'!$D$4:$D$3632),-(Analítico!AM$3&lt;='Gastos Gerais'!$E$4:$E$3632),-('Gastos Gerais'!$C$4:$C$3632))</f>
        <v>3800</v>
      </c>
      <c r="AN130" s="134">
        <f>SUMPRODUCT(-('Gastos Gerais'!$B$4:$B$3632=Analítico!$B130),-(Analítico!AN$3&gt;='Gastos Gerais'!$D$4:$D$3632),-(Analítico!AN$3&lt;='Gastos Gerais'!$E$4:$E$3632),-('Gastos Gerais'!$C$4:$C$3632))</f>
        <v>3800</v>
      </c>
      <c r="AO130" s="134">
        <f>SUMPRODUCT(-('Gastos Gerais'!$B$4:$B$3632=Analítico!$B130),-(Analítico!AO$3&gt;='Gastos Gerais'!$D$4:$D$3632),-(Analítico!AO$3&lt;='Gastos Gerais'!$E$4:$E$3632),-('Gastos Gerais'!$C$4:$C$3632))</f>
        <v>3800</v>
      </c>
      <c r="AP130" s="134">
        <f>SUMPRODUCT(-('Gastos Gerais'!$B$4:$B$3632=Analítico!$B130),-(Analítico!AP$3&gt;='Gastos Gerais'!$D$4:$D$3632),-(Analítico!AP$3&lt;='Gastos Gerais'!$E$4:$E$3632),-('Gastos Gerais'!$C$4:$C$3632))</f>
        <v>3800</v>
      </c>
      <c r="AQ130" s="134">
        <f>SUMPRODUCT(-('Gastos Gerais'!$B$4:$B$3632=Analítico!$B130),-(Analítico!AQ$3&gt;='Gastos Gerais'!$D$4:$D$3632),-(Analítico!AQ$3&lt;='Gastos Gerais'!$E$4:$E$3632),-('Gastos Gerais'!$C$4:$C$3632))</f>
        <v>3800</v>
      </c>
      <c r="AR130" s="134">
        <f>SUMPRODUCT(-('Gastos Gerais'!$B$4:$B$3632=Analítico!$B130),-(Analítico!AR$3&gt;='Gastos Gerais'!$D$4:$D$3632),-(Analítico!AR$3&lt;='Gastos Gerais'!$E$4:$E$3632),-('Gastos Gerais'!$C$4:$C$3632))</f>
        <v>3800</v>
      </c>
      <c r="AS130" s="134">
        <f>SUMPRODUCT(-('Gastos Gerais'!$B$4:$B$3632=Analítico!$B130),-(Analítico!AS$3&gt;='Gastos Gerais'!$D$4:$D$3632),-(Analítico!AS$3&lt;='Gastos Gerais'!$E$4:$E$3632),-('Gastos Gerais'!$C$4:$C$3632))</f>
        <v>3800</v>
      </c>
      <c r="AT130" s="134">
        <f>SUMPRODUCT(-('Gastos Gerais'!$B$4:$B$3632=Analítico!$B130),-(Analítico!AT$3&gt;='Gastos Gerais'!$D$4:$D$3632),-(Analítico!AT$3&lt;='Gastos Gerais'!$E$4:$E$3632),-('Gastos Gerais'!$C$4:$C$3632))</f>
        <v>3800</v>
      </c>
      <c r="AU130" s="134">
        <f>SUMPRODUCT(-('Gastos Gerais'!$B$4:$B$3632=Analítico!$B130),-(Analítico!AU$3&gt;='Gastos Gerais'!$D$4:$D$3632),-(Analítico!AU$3&lt;='Gastos Gerais'!$E$4:$E$3632),-('Gastos Gerais'!$C$4:$C$3632))</f>
        <v>3800</v>
      </c>
      <c r="AV130" s="134">
        <f>SUMPRODUCT(-('Gastos Gerais'!$B$4:$B$3632=Analítico!$B130),-(Analítico!AV$3&gt;='Gastos Gerais'!$D$4:$D$3632),-(Analítico!AV$3&lt;='Gastos Gerais'!$E$4:$E$3632),-('Gastos Gerais'!$C$4:$C$3632))</f>
        <v>3800</v>
      </c>
      <c r="AW130" s="134">
        <f>SUMPRODUCT(-('Gastos Gerais'!$B$4:$B$3632=Analítico!$B130),-(Analítico!AW$3&gt;='Gastos Gerais'!$D$4:$D$3632),-(Analítico!AW$3&lt;='Gastos Gerais'!$E$4:$E$3632),-('Gastos Gerais'!$C$4:$C$3632))</f>
        <v>3800</v>
      </c>
      <c r="AX130" s="134">
        <f>SUMPRODUCT(-('Gastos Gerais'!$B$4:$B$3632=Analítico!$B130),-(Analítico!AX$3&gt;='Gastos Gerais'!$D$4:$D$3632),-(Analítico!AX$3&lt;='Gastos Gerais'!$E$4:$E$3632),-('Gastos Gerais'!$C$4:$C$3632))</f>
        <v>3800</v>
      </c>
      <c r="AY130" s="134">
        <f>SUMPRODUCT(-('Gastos Gerais'!$B$4:$B$3632=Analítico!$B130),-(Analítico!AY$3&gt;='Gastos Gerais'!$D$4:$D$3632),-(Analítico!AY$3&lt;='Gastos Gerais'!$E$4:$E$3632),-('Gastos Gerais'!$C$4:$C$3632))</f>
        <v>3800</v>
      </c>
      <c r="AZ130" s="134">
        <f>SUMPRODUCT(-('Gastos Gerais'!$B$4:$B$3632=Analítico!$B130),-(Analítico!AZ$3&gt;='Gastos Gerais'!$D$4:$D$3632),-(Analítico!AZ$3&lt;='Gastos Gerais'!$E$4:$E$3632),-('Gastos Gerais'!$C$4:$C$3632))</f>
        <v>3800</v>
      </c>
      <c r="BA130" s="134">
        <f>SUMPRODUCT(-('Gastos Gerais'!$B$4:$B$3632=Analítico!$B130),-(Analítico!BA$3&gt;='Gastos Gerais'!$D$4:$D$3632),-(Analítico!BA$3&lt;='Gastos Gerais'!$E$4:$E$3632),-('Gastos Gerais'!$C$4:$C$3632))</f>
        <v>3800</v>
      </c>
      <c r="BB130" s="134">
        <f>SUMPRODUCT(-('Gastos Gerais'!$B$4:$B$3632=Analítico!$B130),-(Analítico!BB$3&gt;='Gastos Gerais'!$D$4:$D$3632),-(Analítico!BB$3&lt;='Gastos Gerais'!$E$4:$E$3632),-('Gastos Gerais'!$C$4:$C$3632))</f>
        <v>3800</v>
      </c>
      <c r="BC130" s="134">
        <f>SUMPRODUCT(-('Gastos Gerais'!$B$4:$B$3632=Analítico!$B130),-(Analítico!BC$3&gt;='Gastos Gerais'!$D$4:$D$3632),-(Analítico!BC$3&lt;='Gastos Gerais'!$E$4:$E$3632),-('Gastos Gerais'!$C$4:$C$3632))</f>
        <v>3800</v>
      </c>
      <c r="BD130" s="134">
        <f>SUMPRODUCT(-('Gastos Gerais'!$B$4:$B$3632=Analítico!$B130),-(Analítico!BD$3&gt;='Gastos Gerais'!$D$4:$D$3632),-(Analítico!BD$3&lt;='Gastos Gerais'!$E$4:$E$3632),-('Gastos Gerais'!$C$4:$C$3632))</f>
        <v>3800</v>
      </c>
      <c r="BE130" s="134">
        <f>SUMPRODUCT(-('Gastos Gerais'!$B$4:$B$3632=Analítico!$B130),-(Analítico!BE$3&gt;='Gastos Gerais'!$D$4:$D$3632),-(Analítico!BE$3&lt;='Gastos Gerais'!$E$4:$E$3632),-('Gastos Gerais'!$C$4:$C$3632))</f>
        <v>3800</v>
      </c>
      <c r="BF130" s="134">
        <f>SUMPRODUCT(-('Gastos Gerais'!$B$4:$B$3632=Analítico!$B130),-(Analítico!BF$3&gt;='Gastos Gerais'!$D$4:$D$3632),-(Analítico!BF$3&lt;='Gastos Gerais'!$E$4:$E$3632),-('Gastos Gerais'!$C$4:$C$3632))</f>
        <v>3800</v>
      </c>
      <c r="BG130" s="134">
        <f>SUMPRODUCT(-('Gastos Gerais'!$B$4:$B$3632=Analítico!$B130),-(Analítico!BG$3&gt;='Gastos Gerais'!$D$4:$D$3632),-(Analítico!BG$3&lt;='Gastos Gerais'!$E$4:$E$3632),-('Gastos Gerais'!$C$4:$C$3632))</f>
        <v>3800</v>
      </c>
      <c r="BH130" s="134">
        <f>SUMPRODUCT(-('Gastos Gerais'!$B$4:$B$3632=Analítico!$B130),-(Analítico!BH$3&gt;='Gastos Gerais'!$D$4:$D$3632),-(Analítico!BH$3&lt;='Gastos Gerais'!$E$4:$E$3632),-('Gastos Gerais'!$C$4:$C$3632))</f>
        <v>3800</v>
      </c>
      <c r="BI130" s="134">
        <f>SUMPRODUCT(-('Gastos Gerais'!$B$4:$B$3632=Analítico!$B130),-(Analítico!BI$3&gt;='Gastos Gerais'!$D$4:$D$3632),-(Analítico!BI$3&lt;='Gastos Gerais'!$E$4:$E$3632),-('Gastos Gerais'!$C$4:$C$3632))</f>
        <v>3800</v>
      </c>
      <c r="BJ130" s="134">
        <f>SUMPRODUCT(-('Gastos Gerais'!$B$4:$B$3632=Analítico!$B130),-(Analítico!BJ$3&gt;='Gastos Gerais'!$D$4:$D$3632),-(Analítico!BJ$3&lt;='Gastos Gerais'!$E$4:$E$3632),-('Gastos Gerais'!$C$4:$C$3632))</f>
        <v>3800</v>
      </c>
      <c r="BK130" s="189">
        <f t="shared" si="41"/>
        <v>219700</v>
      </c>
      <c r="BL130" s="136">
        <f t="shared" ca="1" si="43"/>
        <v>6.5664041796899991E-4</v>
      </c>
      <c r="BN130" s="134">
        <f>SUMPRODUCT(-('Gastos Gerais'!$B$4:$B$3632=Analítico!$B130),-(Analítico!BN$3&gt;='Gastos Gerais'!$D$4:$D$3632),-(Analítico!BN$3&lt;='Gastos Gerais'!$E$4:$E$3632),-('Gastos Gerais'!$C$4:$C$3632))</f>
        <v>3000</v>
      </c>
    </row>
    <row r="131" spans="1:66" s="160" customFormat="1" ht="23.25" customHeight="1">
      <c r="A131" s="229" t="s">
        <v>668</v>
      </c>
      <c r="B131" s="232" t="s">
        <v>657</v>
      </c>
      <c r="C131" s="188">
        <f t="shared" si="42"/>
        <v>0</v>
      </c>
      <c r="D131" s="134">
        <f>SUMPRODUCT(-('Gastos Gerais'!$B$4:$B$3632=Analítico!$B131),-(Analítico!D$3&gt;='Gastos Gerais'!$D$4:$D$3632),-(Analítico!D$3&lt;='Gastos Gerais'!$E$4:$E$3632),-('Gastos Gerais'!$C$4:$C$3632))</f>
        <v>0</v>
      </c>
      <c r="E131" s="134">
        <f>SUMPRODUCT(-('Gastos Gerais'!$B$4:$B$3632=Analítico!$B131),-(Analítico!E$3&gt;='Gastos Gerais'!$D$4:$D$3632),-(Analítico!E$3&lt;='Gastos Gerais'!$E$4:$E$3632),-('Gastos Gerais'!$C$4:$C$3632))</f>
        <v>0</v>
      </c>
      <c r="F131" s="134">
        <f>SUMPRODUCT(-('Gastos Gerais'!$B$4:$B$3632=Analítico!$B131),-(Analítico!F$3&gt;='Gastos Gerais'!$D$4:$D$3632),-(Analítico!F$3&lt;='Gastos Gerais'!$E$4:$E$3632),-('Gastos Gerais'!$C$4:$C$3632))</f>
        <v>0</v>
      </c>
      <c r="G131" s="134">
        <f>SUMPRODUCT(-('Gastos Gerais'!$B$4:$B$3632=Analítico!$B131),-(Analítico!G$3&gt;='Gastos Gerais'!$D$4:$D$3632),-(Analítico!G$3&lt;='Gastos Gerais'!$E$4:$E$3632),-('Gastos Gerais'!$C$4:$C$3632))</f>
        <v>0</v>
      </c>
      <c r="H131" s="134">
        <f>SUMPRODUCT(-('Gastos Gerais'!$B$4:$B$3632=Analítico!$B131),-(Analítico!H$3&gt;='Gastos Gerais'!$D$4:$D$3632),-(Analítico!H$3&lt;='Gastos Gerais'!$E$4:$E$3632),-('Gastos Gerais'!$C$4:$C$3632))</f>
        <v>0</v>
      </c>
      <c r="I131" s="134">
        <f>SUMPRODUCT(-('Gastos Gerais'!$B$4:$B$3632=Analítico!$B131),-(Analítico!I$3&gt;='Gastos Gerais'!$D$4:$D$3632),-(Analítico!I$3&lt;='Gastos Gerais'!$E$4:$E$3632),-('Gastos Gerais'!$C$4:$C$3632))</f>
        <v>0</v>
      </c>
      <c r="J131" s="134">
        <f>SUMPRODUCT(-('Gastos Gerais'!$B$4:$B$3632=Analítico!$B131),-(Analítico!J$3&gt;='Gastos Gerais'!$D$4:$D$3632),-(Analítico!J$3&lt;='Gastos Gerais'!$E$4:$E$3632),-('Gastos Gerais'!$C$4:$C$3632))</f>
        <v>0</v>
      </c>
      <c r="K131" s="134">
        <f>SUMPRODUCT(-('Gastos Gerais'!$B$4:$B$3632=Analítico!$B131),-(Analítico!K$3&gt;='Gastos Gerais'!$D$4:$D$3632),-(Analítico!K$3&lt;='Gastos Gerais'!$E$4:$E$3632),-('Gastos Gerais'!$C$4:$C$3632))</f>
        <v>0</v>
      </c>
      <c r="L131" s="134">
        <f>SUMPRODUCT(-('Gastos Gerais'!$B$4:$B$3632=Analítico!$B131),-(Analítico!L$3&gt;='Gastos Gerais'!$D$4:$D$3632),-(Analítico!L$3&lt;='Gastos Gerais'!$E$4:$E$3632),-('Gastos Gerais'!$C$4:$C$3632))</f>
        <v>0</v>
      </c>
      <c r="M131" s="134">
        <f>SUMPRODUCT(-('Gastos Gerais'!$B$4:$B$3632=Analítico!$B131),-(Analítico!M$3&gt;='Gastos Gerais'!$D$4:$D$3632),-(Analítico!M$3&lt;='Gastos Gerais'!$E$4:$E$3632),-('Gastos Gerais'!$C$4:$C$3632))</f>
        <v>0</v>
      </c>
      <c r="N131" s="134">
        <f>SUMPRODUCT(-('Gastos Gerais'!$B$4:$B$3632=Analítico!$B131),-(Analítico!N$3&gt;='Gastos Gerais'!$D$4:$D$3632),-(Analítico!N$3&lt;='Gastos Gerais'!$E$4:$E$3632),-('Gastos Gerais'!$C$4:$C$3632))</f>
        <v>0</v>
      </c>
      <c r="O131" s="134">
        <f>SUMPRODUCT(-('Gastos Gerais'!$B$4:$B$3632=Analítico!$B131),-(Analítico!O$3&gt;='Gastos Gerais'!$D$4:$D$3632),-(Analítico!O$3&lt;='Gastos Gerais'!$E$4:$E$3632),-('Gastos Gerais'!$C$4:$C$3632))</f>
        <v>0</v>
      </c>
      <c r="P131" s="134">
        <f>SUMPRODUCT(-('Gastos Gerais'!$B$4:$B$3632=Analítico!$B131),-(Analítico!P$3&gt;='Gastos Gerais'!$D$4:$D$3632),-(Analítico!P$3&lt;='Gastos Gerais'!$E$4:$E$3632),-('Gastos Gerais'!$C$4:$C$3632))</f>
        <v>6350</v>
      </c>
      <c r="Q131" s="134">
        <f>SUMPRODUCT(-('Gastos Gerais'!$B$4:$B$3632=Analítico!$B131),-(Analítico!Q$3&gt;='Gastos Gerais'!$D$4:$D$3632),-(Analítico!Q$3&lt;='Gastos Gerais'!$E$4:$E$3632),-('Gastos Gerais'!$C$4:$C$3632))</f>
        <v>6700</v>
      </c>
      <c r="R131" s="134">
        <f>SUMPRODUCT(-('Gastos Gerais'!$B$4:$B$3632=Analítico!$B131),-(Analítico!R$3&gt;='Gastos Gerais'!$D$4:$D$3632),-(Analítico!R$3&lt;='Gastos Gerais'!$E$4:$E$3632),-('Gastos Gerais'!$C$4:$C$3632))</f>
        <v>6700</v>
      </c>
      <c r="S131" s="134">
        <f>SUMPRODUCT(-('Gastos Gerais'!$B$4:$B$3632=Analítico!$B131),-(Analítico!S$3&gt;='Gastos Gerais'!$D$4:$D$3632),-(Analítico!S$3&lt;='Gastos Gerais'!$E$4:$E$3632),-('Gastos Gerais'!$C$4:$C$3632))</f>
        <v>6700</v>
      </c>
      <c r="T131" s="134">
        <f>SUMPRODUCT(-('Gastos Gerais'!$B$4:$B$3632=Analítico!$B131),-(Analítico!T$3&gt;='Gastos Gerais'!$D$4:$D$3632),-(Analítico!T$3&lt;='Gastos Gerais'!$E$4:$E$3632),-('Gastos Gerais'!$C$4:$C$3632))</f>
        <v>6700</v>
      </c>
      <c r="U131" s="134">
        <f>SUMPRODUCT(-('Gastos Gerais'!$B$4:$B$3632=Analítico!$B131),-(Analítico!U$3&gt;='Gastos Gerais'!$D$4:$D$3632),-(Analítico!U$3&lt;='Gastos Gerais'!$E$4:$E$3632),-('Gastos Gerais'!$C$4:$C$3632))</f>
        <v>6700</v>
      </c>
      <c r="V131" s="134">
        <f>SUMPRODUCT(-('Gastos Gerais'!$B$4:$B$3632=Analítico!$B131),-(Analítico!V$3&gt;='Gastos Gerais'!$D$4:$D$3632),-(Analítico!V$3&lt;='Gastos Gerais'!$E$4:$E$3632),-('Gastos Gerais'!$C$4:$C$3632))</f>
        <v>6700</v>
      </c>
      <c r="W131" s="134">
        <f>SUMPRODUCT(-('Gastos Gerais'!$B$4:$B$3632=Analítico!$B131),-(Analítico!W$3&gt;='Gastos Gerais'!$D$4:$D$3632),-(Analítico!W$3&lt;='Gastos Gerais'!$E$4:$E$3632),-('Gastos Gerais'!$C$4:$C$3632))</f>
        <v>6700</v>
      </c>
      <c r="X131" s="134">
        <f>SUMPRODUCT(-('Gastos Gerais'!$B$4:$B$3632=Analítico!$B131),-(Analítico!X$3&gt;='Gastos Gerais'!$D$4:$D$3632),-(Analítico!X$3&lt;='Gastos Gerais'!$E$4:$E$3632),-('Gastos Gerais'!$C$4:$C$3632))</f>
        <v>6700</v>
      </c>
      <c r="Y131" s="134">
        <f>SUMPRODUCT(-('Gastos Gerais'!$B$4:$B$3632=Analítico!$B131),-(Analítico!Y$3&gt;='Gastos Gerais'!$D$4:$D$3632),-(Analítico!Y$3&lt;='Gastos Gerais'!$E$4:$E$3632),-('Gastos Gerais'!$C$4:$C$3632))</f>
        <v>6700</v>
      </c>
      <c r="Z131" s="134">
        <f>SUMPRODUCT(-('Gastos Gerais'!$B$4:$B$3632=Analítico!$B131),-(Analítico!Z$3&gt;='Gastos Gerais'!$D$4:$D$3632),-(Analítico!Z$3&lt;='Gastos Gerais'!$E$4:$E$3632),-('Gastos Gerais'!$C$4:$C$3632))</f>
        <v>6700</v>
      </c>
      <c r="AA131" s="134">
        <f>SUMPRODUCT(-('Gastos Gerais'!$B$4:$B$3632=Analítico!$B131),-(Analítico!AA$3&gt;='Gastos Gerais'!$D$4:$D$3632),-(Analítico!AA$3&lt;='Gastos Gerais'!$E$4:$E$3632),-('Gastos Gerais'!$C$4:$C$3632))</f>
        <v>6700</v>
      </c>
      <c r="AB131" s="134">
        <f>SUMPRODUCT(-('Gastos Gerais'!$B$4:$B$3632=Analítico!$B131),-(Analítico!AB$3&gt;='Gastos Gerais'!$D$4:$D$3632),-(Analítico!AB$3&lt;='Gastos Gerais'!$E$4:$E$3632),-('Gastos Gerais'!$C$4:$C$3632))</f>
        <v>6700</v>
      </c>
      <c r="AC131" s="134">
        <f>SUMPRODUCT(-('Gastos Gerais'!$B$4:$B$3632=Analítico!$B131),-(Analítico!AC$3&gt;='Gastos Gerais'!$D$4:$D$3632),-(Analítico!AC$3&lt;='Gastos Gerais'!$E$4:$E$3632),-('Gastos Gerais'!$C$4:$C$3632))</f>
        <v>6700</v>
      </c>
      <c r="AD131" s="134">
        <f>SUMPRODUCT(-('Gastos Gerais'!$B$4:$B$3632=Analítico!$B131),-(Analítico!AD$3&gt;='Gastos Gerais'!$D$4:$D$3632),-(Analítico!AD$3&lt;='Gastos Gerais'!$E$4:$E$3632),-('Gastos Gerais'!$C$4:$C$3632))</f>
        <v>6700</v>
      </c>
      <c r="AE131" s="134">
        <f>SUMPRODUCT(-('Gastos Gerais'!$B$4:$B$3632=Analítico!$B131),-(Analítico!AE$3&gt;='Gastos Gerais'!$D$4:$D$3632),-(Analítico!AE$3&lt;='Gastos Gerais'!$E$4:$E$3632),-('Gastos Gerais'!$C$4:$C$3632))</f>
        <v>6700</v>
      </c>
      <c r="AF131" s="134">
        <f>SUMPRODUCT(-('Gastos Gerais'!$B$4:$B$3632=Analítico!$B131),-(Analítico!AF$3&gt;='Gastos Gerais'!$D$4:$D$3632),-(Analítico!AF$3&lt;='Gastos Gerais'!$E$4:$E$3632),-('Gastos Gerais'!$C$4:$C$3632))</f>
        <v>6700</v>
      </c>
      <c r="AG131" s="134">
        <f>SUMPRODUCT(-('Gastos Gerais'!$B$4:$B$3632=Analítico!$B131),-(Analítico!AG$3&gt;='Gastos Gerais'!$D$4:$D$3632),-(Analítico!AG$3&lt;='Gastos Gerais'!$E$4:$E$3632),-('Gastos Gerais'!$C$4:$C$3632))</f>
        <v>6700</v>
      </c>
      <c r="AH131" s="134">
        <f>SUMPRODUCT(-('Gastos Gerais'!$B$4:$B$3632=Analítico!$B131),-(Analítico!AH$3&gt;='Gastos Gerais'!$D$4:$D$3632),-(Analítico!AH$3&lt;='Gastos Gerais'!$E$4:$E$3632),-('Gastos Gerais'!$C$4:$C$3632))</f>
        <v>6700</v>
      </c>
      <c r="AI131" s="134">
        <f>SUMPRODUCT(-('Gastos Gerais'!$B$4:$B$3632=Analítico!$B131),-(Analítico!AI$3&gt;='Gastos Gerais'!$D$4:$D$3632),-(Analítico!AI$3&lt;='Gastos Gerais'!$E$4:$E$3632),-('Gastos Gerais'!$C$4:$C$3632))</f>
        <v>6700</v>
      </c>
      <c r="AJ131" s="134">
        <f>SUMPRODUCT(-('Gastos Gerais'!$B$4:$B$3632=Analítico!$B131),-(Analítico!AJ$3&gt;='Gastos Gerais'!$D$4:$D$3632),-(Analítico!AJ$3&lt;='Gastos Gerais'!$E$4:$E$3632),-('Gastos Gerais'!$C$4:$C$3632))</f>
        <v>6700</v>
      </c>
      <c r="AK131" s="134">
        <f>SUMPRODUCT(-('Gastos Gerais'!$B$4:$B$3632=Analítico!$B131),-(Analítico!AK$3&gt;='Gastos Gerais'!$D$4:$D$3632),-(Analítico!AK$3&lt;='Gastos Gerais'!$E$4:$E$3632),-('Gastos Gerais'!$C$4:$C$3632))</f>
        <v>6700</v>
      </c>
      <c r="AL131" s="134">
        <f>SUMPRODUCT(-('Gastos Gerais'!$B$4:$B$3632=Analítico!$B131),-(Analítico!AL$3&gt;='Gastos Gerais'!$D$4:$D$3632),-(Analítico!AL$3&lt;='Gastos Gerais'!$E$4:$E$3632),-('Gastos Gerais'!$C$4:$C$3632))</f>
        <v>6700</v>
      </c>
      <c r="AM131" s="134">
        <f>SUMPRODUCT(-('Gastos Gerais'!$B$4:$B$3632=Analítico!$B131),-(Analítico!AM$3&gt;='Gastos Gerais'!$D$4:$D$3632),-(Analítico!AM$3&lt;='Gastos Gerais'!$E$4:$E$3632),-('Gastos Gerais'!$C$4:$C$3632))</f>
        <v>6700</v>
      </c>
      <c r="AN131" s="134">
        <f>SUMPRODUCT(-('Gastos Gerais'!$B$4:$B$3632=Analítico!$B131),-(Analítico!AN$3&gt;='Gastos Gerais'!$D$4:$D$3632),-(Analítico!AN$3&lt;='Gastos Gerais'!$E$4:$E$3632),-('Gastos Gerais'!$C$4:$C$3632))</f>
        <v>6700</v>
      </c>
      <c r="AO131" s="134">
        <f>SUMPRODUCT(-('Gastos Gerais'!$B$4:$B$3632=Analítico!$B131),-(Analítico!AO$3&gt;='Gastos Gerais'!$D$4:$D$3632),-(Analítico!AO$3&lt;='Gastos Gerais'!$E$4:$E$3632),-('Gastos Gerais'!$C$4:$C$3632))</f>
        <v>6700</v>
      </c>
      <c r="AP131" s="134">
        <f>SUMPRODUCT(-('Gastos Gerais'!$B$4:$B$3632=Analítico!$B131),-(Analítico!AP$3&gt;='Gastos Gerais'!$D$4:$D$3632),-(Analítico!AP$3&lt;='Gastos Gerais'!$E$4:$E$3632),-('Gastos Gerais'!$C$4:$C$3632))</f>
        <v>6700</v>
      </c>
      <c r="AQ131" s="134">
        <f>SUMPRODUCT(-('Gastos Gerais'!$B$4:$B$3632=Analítico!$B131),-(Analítico!AQ$3&gt;='Gastos Gerais'!$D$4:$D$3632),-(Analítico!AQ$3&lt;='Gastos Gerais'!$E$4:$E$3632),-('Gastos Gerais'!$C$4:$C$3632))</f>
        <v>6700</v>
      </c>
      <c r="AR131" s="134">
        <f>SUMPRODUCT(-('Gastos Gerais'!$B$4:$B$3632=Analítico!$B131),-(Analítico!AR$3&gt;='Gastos Gerais'!$D$4:$D$3632),-(Analítico!AR$3&lt;='Gastos Gerais'!$E$4:$E$3632),-('Gastos Gerais'!$C$4:$C$3632))</f>
        <v>6700</v>
      </c>
      <c r="AS131" s="134">
        <f>SUMPRODUCT(-('Gastos Gerais'!$B$4:$B$3632=Analítico!$B131),-(Analítico!AS$3&gt;='Gastos Gerais'!$D$4:$D$3632),-(Analítico!AS$3&lt;='Gastos Gerais'!$E$4:$E$3632),-('Gastos Gerais'!$C$4:$C$3632))</f>
        <v>6700</v>
      </c>
      <c r="AT131" s="134">
        <f>SUMPRODUCT(-('Gastos Gerais'!$B$4:$B$3632=Analítico!$B131),-(Analítico!AT$3&gt;='Gastos Gerais'!$D$4:$D$3632),-(Analítico!AT$3&lt;='Gastos Gerais'!$E$4:$E$3632),-('Gastos Gerais'!$C$4:$C$3632))</f>
        <v>6700</v>
      </c>
      <c r="AU131" s="134">
        <f>SUMPRODUCT(-('Gastos Gerais'!$B$4:$B$3632=Analítico!$B131),-(Analítico!AU$3&gt;='Gastos Gerais'!$D$4:$D$3632),-(Analítico!AU$3&lt;='Gastos Gerais'!$E$4:$E$3632),-('Gastos Gerais'!$C$4:$C$3632))</f>
        <v>6700</v>
      </c>
      <c r="AV131" s="134">
        <f>SUMPRODUCT(-('Gastos Gerais'!$B$4:$B$3632=Analítico!$B131),-(Analítico!AV$3&gt;='Gastos Gerais'!$D$4:$D$3632),-(Analítico!AV$3&lt;='Gastos Gerais'!$E$4:$E$3632),-('Gastos Gerais'!$C$4:$C$3632))</f>
        <v>6700</v>
      </c>
      <c r="AW131" s="134">
        <f>SUMPRODUCT(-('Gastos Gerais'!$B$4:$B$3632=Analítico!$B131),-(Analítico!AW$3&gt;='Gastos Gerais'!$D$4:$D$3632),-(Analítico!AW$3&lt;='Gastos Gerais'!$E$4:$E$3632),-('Gastos Gerais'!$C$4:$C$3632))</f>
        <v>6700</v>
      </c>
      <c r="AX131" s="134">
        <f>SUMPRODUCT(-('Gastos Gerais'!$B$4:$B$3632=Analítico!$B131),-(Analítico!AX$3&gt;='Gastos Gerais'!$D$4:$D$3632),-(Analítico!AX$3&lt;='Gastos Gerais'!$E$4:$E$3632),-('Gastos Gerais'!$C$4:$C$3632))</f>
        <v>6700</v>
      </c>
      <c r="AY131" s="134">
        <f>SUMPRODUCT(-('Gastos Gerais'!$B$4:$B$3632=Analítico!$B131),-(Analítico!AY$3&gt;='Gastos Gerais'!$D$4:$D$3632),-(Analítico!AY$3&lt;='Gastos Gerais'!$E$4:$E$3632),-('Gastos Gerais'!$C$4:$C$3632))</f>
        <v>6700</v>
      </c>
      <c r="AZ131" s="134">
        <f>SUMPRODUCT(-('Gastos Gerais'!$B$4:$B$3632=Analítico!$B131),-(Analítico!AZ$3&gt;='Gastos Gerais'!$D$4:$D$3632),-(Analítico!AZ$3&lt;='Gastos Gerais'!$E$4:$E$3632),-('Gastos Gerais'!$C$4:$C$3632))</f>
        <v>6700</v>
      </c>
      <c r="BA131" s="134">
        <f>SUMPRODUCT(-('Gastos Gerais'!$B$4:$B$3632=Analítico!$B131),-(Analítico!BA$3&gt;='Gastos Gerais'!$D$4:$D$3632),-(Analítico!BA$3&lt;='Gastos Gerais'!$E$4:$E$3632),-('Gastos Gerais'!$C$4:$C$3632))</f>
        <v>6700</v>
      </c>
      <c r="BB131" s="134">
        <f>SUMPRODUCT(-('Gastos Gerais'!$B$4:$B$3632=Analítico!$B131),-(Analítico!BB$3&gt;='Gastos Gerais'!$D$4:$D$3632),-(Analítico!BB$3&lt;='Gastos Gerais'!$E$4:$E$3632),-('Gastos Gerais'!$C$4:$C$3632))</f>
        <v>6700</v>
      </c>
      <c r="BC131" s="134">
        <f>SUMPRODUCT(-('Gastos Gerais'!$B$4:$B$3632=Analítico!$B131),-(Analítico!BC$3&gt;='Gastos Gerais'!$D$4:$D$3632),-(Analítico!BC$3&lt;='Gastos Gerais'!$E$4:$E$3632),-('Gastos Gerais'!$C$4:$C$3632))</f>
        <v>6700</v>
      </c>
      <c r="BD131" s="134">
        <f>SUMPRODUCT(-('Gastos Gerais'!$B$4:$B$3632=Analítico!$B131),-(Analítico!BD$3&gt;='Gastos Gerais'!$D$4:$D$3632),-(Analítico!BD$3&lt;='Gastos Gerais'!$E$4:$E$3632),-('Gastos Gerais'!$C$4:$C$3632))</f>
        <v>6700</v>
      </c>
      <c r="BE131" s="134">
        <f>SUMPRODUCT(-('Gastos Gerais'!$B$4:$B$3632=Analítico!$B131),-(Analítico!BE$3&gt;='Gastos Gerais'!$D$4:$D$3632),-(Analítico!BE$3&lt;='Gastos Gerais'!$E$4:$E$3632),-('Gastos Gerais'!$C$4:$C$3632))</f>
        <v>6700</v>
      </c>
      <c r="BF131" s="134">
        <f>SUMPRODUCT(-('Gastos Gerais'!$B$4:$B$3632=Analítico!$B131),-(Analítico!BF$3&gt;='Gastos Gerais'!$D$4:$D$3632),-(Analítico!BF$3&lt;='Gastos Gerais'!$E$4:$E$3632),-('Gastos Gerais'!$C$4:$C$3632))</f>
        <v>6700</v>
      </c>
      <c r="BG131" s="134">
        <f>SUMPRODUCT(-('Gastos Gerais'!$B$4:$B$3632=Analítico!$B131),-(Analítico!BG$3&gt;='Gastos Gerais'!$D$4:$D$3632),-(Analítico!BG$3&lt;='Gastos Gerais'!$E$4:$E$3632),-('Gastos Gerais'!$C$4:$C$3632))</f>
        <v>6700</v>
      </c>
      <c r="BH131" s="134">
        <f>SUMPRODUCT(-('Gastos Gerais'!$B$4:$B$3632=Analítico!$B131),-(Analítico!BH$3&gt;='Gastos Gerais'!$D$4:$D$3632),-(Analítico!BH$3&lt;='Gastos Gerais'!$E$4:$E$3632),-('Gastos Gerais'!$C$4:$C$3632))</f>
        <v>6700</v>
      </c>
      <c r="BI131" s="134">
        <f>SUMPRODUCT(-('Gastos Gerais'!$B$4:$B$3632=Analítico!$B131),-(Analítico!BI$3&gt;='Gastos Gerais'!$D$4:$D$3632),-(Analítico!BI$3&lt;='Gastos Gerais'!$E$4:$E$3632),-('Gastos Gerais'!$C$4:$C$3632))</f>
        <v>6700</v>
      </c>
      <c r="BJ131" s="134">
        <f>SUMPRODUCT(-('Gastos Gerais'!$B$4:$B$3632=Analítico!$B131),-(Analítico!BJ$3&gt;='Gastos Gerais'!$D$4:$D$3632),-(Analítico!BJ$3&lt;='Gastos Gerais'!$E$4:$E$3632),-('Gastos Gerais'!$C$4:$C$3632))</f>
        <v>6700</v>
      </c>
      <c r="BK131" s="189">
        <f t="shared" si="41"/>
        <v>314550</v>
      </c>
      <c r="BL131" s="136">
        <f t="shared" ca="1" si="43"/>
        <v>9.4012855472075071E-4</v>
      </c>
      <c r="BN131" s="134">
        <f>SUMPRODUCT(-('Gastos Gerais'!$B$4:$B$3632=Analítico!$B131),-(Analítico!BN$3&gt;='Gastos Gerais'!$D$4:$D$3632),-(Analítico!BN$3&lt;='Gastos Gerais'!$E$4:$E$3632),-('Gastos Gerais'!$C$4:$C$3632))</f>
        <v>0</v>
      </c>
    </row>
    <row r="132" spans="1:66" s="160" customFormat="1" ht="23.25" customHeight="1">
      <c r="A132" s="229" t="s">
        <v>669</v>
      </c>
      <c r="B132" s="232" t="s">
        <v>658</v>
      </c>
      <c r="C132" s="188">
        <f t="shared" si="42"/>
        <v>225</v>
      </c>
      <c r="D132" s="134">
        <f>SUMPRODUCT(-('Gastos Gerais'!$B$4:$B$3632=Analítico!$B132),-(Analítico!D$3&gt;='Gastos Gerais'!$D$4:$D$3632),-(Analítico!D$3&lt;='Gastos Gerais'!$E$4:$E$3632),-('Gastos Gerais'!$C$4:$C$3632))</f>
        <v>750</v>
      </c>
      <c r="E132" s="134">
        <f>SUMPRODUCT(-('Gastos Gerais'!$B$4:$B$3632=Analítico!$B132),-(Analítico!E$3&gt;='Gastos Gerais'!$D$4:$D$3632),-(Analítico!E$3&lt;='Gastos Gerais'!$E$4:$E$3632),-('Gastos Gerais'!$C$4:$C$3632))</f>
        <v>850</v>
      </c>
      <c r="F132" s="134">
        <f>SUMPRODUCT(-('Gastos Gerais'!$B$4:$B$3632=Analítico!$B132),-(Analítico!F$3&gt;='Gastos Gerais'!$D$4:$D$3632),-(Analítico!F$3&lt;='Gastos Gerais'!$E$4:$E$3632),-('Gastos Gerais'!$C$4:$C$3632))</f>
        <v>850</v>
      </c>
      <c r="G132" s="134">
        <f>SUMPRODUCT(-('Gastos Gerais'!$B$4:$B$3632=Analítico!$B132),-(Analítico!G$3&gt;='Gastos Gerais'!$D$4:$D$3632),-(Analítico!G$3&lt;='Gastos Gerais'!$E$4:$E$3632),-('Gastos Gerais'!$C$4:$C$3632))</f>
        <v>850</v>
      </c>
      <c r="H132" s="134">
        <f>SUMPRODUCT(-('Gastos Gerais'!$B$4:$B$3632=Analítico!$B132),-(Analítico!H$3&gt;='Gastos Gerais'!$D$4:$D$3632),-(Analítico!H$3&lt;='Gastos Gerais'!$E$4:$E$3632),-('Gastos Gerais'!$C$4:$C$3632))</f>
        <v>850</v>
      </c>
      <c r="I132" s="134">
        <f>SUMPRODUCT(-('Gastos Gerais'!$B$4:$B$3632=Analítico!$B132),-(Analítico!I$3&gt;='Gastos Gerais'!$D$4:$D$3632),-(Analítico!I$3&lt;='Gastos Gerais'!$E$4:$E$3632),-('Gastos Gerais'!$C$4:$C$3632))</f>
        <v>850</v>
      </c>
      <c r="J132" s="134">
        <f>SUMPRODUCT(-('Gastos Gerais'!$B$4:$B$3632=Analítico!$B132),-(Analítico!J$3&gt;='Gastos Gerais'!$D$4:$D$3632),-(Analítico!J$3&lt;='Gastos Gerais'!$E$4:$E$3632),-('Gastos Gerais'!$C$4:$C$3632))</f>
        <v>850</v>
      </c>
      <c r="K132" s="134">
        <f>SUMPRODUCT(-('Gastos Gerais'!$B$4:$B$3632=Analítico!$B132),-(Analítico!K$3&gt;='Gastos Gerais'!$D$4:$D$3632),-(Analítico!K$3&lt;='Gastos Gerais'!$E$4:$E$3632),-('Gastos Gerais'!$C$4:$C$3632))</f>
        <v>850</v>
      </c>
      <c r="L132" s="134">
        <f>SUMPRODUCT(-('Gastos Gerais'!$B$4:$B$3632=Analítico!$B132),-(Analítico!L$3&gt;='Gastos Gerais'!$D$4:$D$3632),-(Analítico!L$3&lt;='Gastos Gerais'!$E$4:$E$3632),-('Gastos Gerais'!$C$4:$C$3632))</f>
        <v>850</v>
      </c>
      <c r="M132" s="134">
        <f>SUMPRODUCT(-('Gastos Gerais'!$B$4:$B$3632=Analítico!$B132),-(Analítico!M$3&gt;='Gastos Gerais'!$D$4:$D$3632),-(Analítico!M$3&lt;='Gastos Gerais'!$E$4:$E$3632),-('Gastos Gerais'!$C$4:$C$3632))</f>
        <v>850</v>
      </c>
      <c r="N132" s="134">
        <f>SUMPRODUCT(-('Gastos Gerais'!$B$4:$B$3632=Analítico!$B132),-(Analítico!N$3&gt;='Gastos Gerais'!$D$4:$D$3632),-(Analítico!N$3&lt;='Gastos Gerais'!$E$4:$E$3632),-('Gastos Gerais'!$C$4:$C$3632))</f>
        <v>850</v>
      </c>
      <c r="O132" s="134">
        <f>SUMPRODUCT(-('Gastos Gerais'!$B$4:$B$3632=Analítico!$B132),-(Analítico!O$3&gt;='Gastos Gerais'!$D$4:$D$3632),-(Analítico!O$3&lt;='Gastos Gerais'!$E$4:$E$3632),-('Gastos Gerais'!$C$4:$C$3632))</f>
        <v>900</v>
      </c>
      <c r="P132" s="134">
        <f>SUMPRODUCT(-('Gastos Gerais'!$B$4:$B$3632=Analítico!$B132),-(Analítico!P$3&gt;='Gastos Gerais'!$D$4:$D$3632),-(Analítico!P$3&lt;='Gastos Gerais'!$E$4:$E$3632),-('Gastos Gerais'!$C$4:$C$3632))</f>
        <v>900</v>
      </c>
      <c r="Q132" s="134">
        <f>SUMPRODUCT(-('Gastos Gerais'!$B$4:$B$3632=Analítico!$B132),-(Analítico!Q$3&gt;='Gastos Gerais'!$D$4:$D$3632),-(Analítico!Q$3&lt;='Gastos Gerais'!$E$4:$E$3632),-('Gastos Gerais'!$C$4:$C$3632))</f>
        <v>950</v>
      </c>
      <c r="R132" s="134">
        <f>SUMPRODUCT(-('Gastos Gerais'!$B$4:$B$3632=Analítico!$B132),-(Analítico!R$3&gt;='Gastos Gerais'!$D$4:$D$3632),-(Analítico!R$3&lt;='Gastos Gerais'!$E$4:$E$3632),-('Gastos Gerais'!$C$4:$C$3632))</f>
        <v>950</v>
      </c>
      <c r="S132" s="134">
        <f>SUMPRODUCT(-('Gastos Gerais'!$B$4:$B$3632=Analítico!$B132),-(Analítico!S$3&gt;='Gastos Gerais'!$D$4:$D$3632),-(Analítico!S$3&lt;='Gastos Gerais'!$E$4:$E$3632),-('Gastos Gerais'!$C$4:$C$3632))</f>
        <v>950</v>
      </c>
      <c r="T132" s="134">
        <f>SUMPRODUCT(-('Gastos Gerais'!$B$4:$B$3632=Analítico!$B132),-(Analítico!T$3&gt;='Gastos Gerais'!$D$4:$D$3632),-(Analítico!T$3&lt;='Gastos Gerais'!$E$4:$E$3632),-('Gastos Gerais'!$C$4:$C$3632))</f>
        <v>950</v>
      </c>
      <c r="U132" s="134">
        <f>SUMPRODUCT(-('Gastos Gerais'!$B$4:$B$3632=Analítico!$B132),-(Analítico!U$3&gt;='Gastos Gerais'!$D$4:$D$3632),-(Analítico!U$3&lt;='Gastos Gerais'!$E$4:$E$3632),-('Gastos Gerais'!$C$4:$C$3632))</f>
        <v>950</v>
      </c>
      <c r="V132" s="134">
        <f>SUMPRODUCT(-('Gastos Gerais'!$B$4:$B$3632=Analítico!$B132),-(Analítico!V$3&gt;='Gastos Gerais'!$D$4:$D$3632),-(Analítico!V$3&lt;='Gastos Gerais'!$E$4:$E$3632),-('Gastos Gerais'!$C$4:$C$3632))</f>
        <v>950</v>
      </c>
      <c r="W132" s="134">
        <f>SUMPRODUCT(-('Gastos Gerais'!$B$4:$B$3632=Analítico!$B132),-(Analítico!W$3&gt;='Gastos Gerais'!$D$4:$D$3632),-(Analítico!W$3&lt;='Gastos Gerais'!$E$4:$E$3632),-('Gastos Gerais'!$C$4:$C$3632))</f>
        <v>950</v>
      </c>
      <c r="X132" s="134">
        <f>SUMPRODUCT(-('Gastos Gerais'!$B$4:$B$3632=Analítico!$B132),-(Analítico!X$3&gt;='Gastos Gerais'!$D$4:$D$3632),-(Analítico!X$3&lt;='Gastos Gerais'!$E$4:$E$3632),-('Gastos Gerais'!$C$4:$C$3632))</f>
        <v>950</v>
      </c>
      <c r="Y132" s="134">
        <f>SUMPRODUCT(-('Gastos Gerais'!$B$4:$B$3632=Analítico!$B132),-(Analítico!Y$3&gt;='Gastos Gerais'!$D$4:$D$3632),-(Analítico!Y$3&lt;='Gastos Gerais'!$E$4:$E$3632),-('Gastos Gerais'!$C$4:$C$3632))</f>
        <v>950</v>
      </c>
      <c r="Z132" s="134">
        <f>SUMPRODUCT(-('Gastos Gerais'!$B$4:$B$3632=Analítico!$B132),-(Analítico!Z$3&gt;='Gastos Gerais'!$D$4:$D$3632),-(Analítico!Z$3&lt;='Gastos Gerais'!$E$4:$E$3632),-('Gastos Gerais'!$C$4:$C$3632))</f>
        <v>950</v>
      </c>
      <c r="AA132" s="134">
        <f>SUMPRODUCT(-('Gastos Gerais'!$B$4:$B$3632=Analítico!$B132),-(Analítico!AA$3&gt;='Gastos Gerais'!$D$4:$D$3632),-(Analítico!AA$3&lt;='Gastos Gerais'!$E$4:$E$3632),-('Gastos Gerais'!$C$4:$C$3632))</f>
        <v>950</v>
      </c>
      <c r="AB132" s="134">
        <f>SUMPRODUCT(-('Gastos Gerais'!$B$4:$B$3632=Analítico!$B132),-(Analítico!AB$3&gt;='Gastos Gerais'!$D$4:$D$3632),-(Analítico!AB$3&lt;='Gastos Gerais'!$E$4:$E$3632),-('Gastos Gerais'!$C$4:$C$3632))</f>
        <v>950</v>
      </c>
      <c r="AC132" s="134">
        <f>SUMPRODUCT(-('Gastos Gerais'!$B$4:$B$3632=Analítico!$B132),-(Analítico!AC$3&gt;='Gastos Gerais'!$D$4:$D$3632),-(Analítico!AC$3&lt;='Gastos Gerais'!$E$4:$E$3632),-('Gastos Gerais'!$C$4:$C$3632))</f>
        <v>950</v>
      </c>
      <c r="AD132" s="134">
        <f>SUMPRODUCT(-('Gastos Gerais'!$B$4:$B$3632=Analítico!$B132),-(Analítico!AD$3&gt;='Gastos Gerais'!$D$4:$D$3632),-(Analítico!AD$3&lt;='Gastos Gerais'!$E$4:$E$3632),-('Gastos Gerais'!$C$4:$C$3632))</f>
        <v>950</v>
      </c>
      <c r="AE132" s="134">
        <f>SUMPRODUCT(-('Gastos Gerais'!$B$4:$B$3632=Analítico!$B132),-(Analítico!AE$3&gt;='Gastos Gerais'!$D$4:$D$3632),-(Analítico!AE$3&lt;='Gastos Gerais'!$E$4:$E$3632),-('Gastos Gerais'!$C$4:$C$3632))</f>
        <v>950</v>
      </c>
      <c r="AF132" s="134">
        <f>SUMPRODUCT(-('Gastos Gerais'!$B$4:$B$3632=Analítico!$B132),-(Analítico!AF$3&gt;='Gastos Gerais'!$D$4:$D$3632),-(Analítico!AF$3&lt;='Gastos Gerais'!$E$4:$E$3632),-('Gastos Gerais'!$C$4:$C$3632))</f>
        <v>950</v>
      </c>
      <c r="AG132" s="134">
        <f>SUMPRODUCT(-('Gastos Gerais'!$B$4:$B$3632=Analítico!$B132),-(Analítico!AG$3&gt;='Gastos Gerais'!$D$4:$D$3632),-(Analítico!AG$3&lt;='Gastos Gerais'!$E$4:$E$3632),-('Gastos Gerais'!$C$4:$C$3632))</f>
        <v>950</v>
      </c>
      <c r="AH132" s="134">
        <f>SUMPRODUCT(-('Gastos Gerais'!$B$4:$B$3632=Analítico!$B132),-(Analítico!AH$3&gt;='Gastos Gerais'!$D$4:$D$3632),-(Analítico!AH$3&lt;='Gastos Gerais'!$E$4:$E$3632),-('Gastos Gerais'!$C$4:$C$3632))</f>
        <v>950</v>
      </c>
      <c r="AI132" s="134">
        <f>SUMPRODUCT(-('Gastos Gerais'!$B$4:$B$3632=Analítico!$B132),-(Analítico!AI$3&gt;='Gastos Gerais'!$D$4:$D$3632),-(Analítico!AI$3&lt;='Gastos Gerais'!$E$4:$E$3632),-('Gastos Gerais'!$C$4:$C$3632))</f>
        <v>950</v>
      </c>
      <c r="AJ132" s="134">
        <f>SUMPRODUCT(-('Gastos Gerais'!$B$4:$B$3632=Analítico!$B132),-(Analítico!AJ$3&gt;='Gastos Gerais'!$D$4:$D$3632),-(Analítico!AJ$3&lt;='Gastos Gerais'!$E$4:$E$3632),-('Gastos Gerais'!$C$4:$C$3632))</f>
        <v>950</v>
      </c>
      <c r="AK132" s="134">
        <f>SUMPRODUCT(-('Gastos Gerais'!$B$4:$B$3632=Analítico!$B132),-(Analítico!AK$3&gt;='Gastos Gerais'!$D$4:$D$3632),-(Analítico!AK$3&lt;='Gastos Gerais'!$E$4:$E$3632),-('Gastos Gerais'!$C$4:$C$3632))</f>
        <v>950</v>
      </c>
      <c r="AL132" s="134">
        <f>SUMPRODUCT(-('Gastos Gerais'!$B$4:$B$3632=Analítico!$B132),-(Analítico!AL$3&gt;='Gastos Gerais'!$D$4:$D$3632),-(Analítico!AL$3&lt;='Gastos Gerais'!$E$4:$E$3632),-('Gastos Gerais'!$C$4:$C$3632))</f>
        <v>950</v>
      </c>
      <c r="AM132" s="134">
        <f>SUMPRODUCT(-('Gastos Gerais'!$B$4:$B$3632=Analítico!$B132),-(Analítico!AM$3&gt;='Gastos Gerais'!$D$4:$D$3632),-(Analítico!AM$3&lt;='Gastos Gerais'!$E$4:$E$3632),-('Gastos Gerais'!$C$4:$C$3632))</f>
        <v>950</v>
      </c>
      <c r="AN132" s="134">
        <f>SUMPRODUCT(-('Gastos Gerais'!$B$4:$B$3632=Analítico!$B132),-(Analítico!AN$3&gt;='Gastos Gerais'!$D$4:$D$3632),-(Analítico!AN$3&lt;='Gastos Gerais'!$E$4:$E$3632),-('Gastos Gerais'!$C$4:$C$3632))</f>
        <v>950</v>
      </c>
      <c r="AO132" s="134">
        <f>SUMPRODUCT(-('Gastos Gerais'!$B$4:$B$3632=Analítico!$B132),-(Analítico!AO$3&gt;='Gastos Gerais'!$D$4:$D$3632),-(Analítico!AO$3&lt;='Gastos Gerais'!$E$4:$E$3632),-('Gastos Gerais'!$C$4:$C$3632))</f>
        <v>950</v>
      </c>
      <c r="AP132" s="134">
        <f>SUMPRODUCT(-('Gastos Gerais'!$B$4:$B$3632=Analítico!$B132),-(Analítico!AP$3&gt;='Gastos Gerais'!$D$4:$D$3632),-(Analítico!AP$3&lt;='Gastos Gerais'!$E$4:$E$3632),-('Gastos Gerais'!$C$4:$C$3632))</f>
        <v>950</v>
      </c>
      <c r="AQ132" s="134">
        <f>SUMPRODUCT(-('Gastos Gerais'!$B$4:$B$3632=Analítico!$B132),-(Analítico!AQ$3&gt;='Gastos Gerais'!$D$4:$D$3632),-(Analítico!AQ$3&lt;='Gastos Gerais'!$E$4:$E$3632),-('Gastos Gerais'!$C$4:$C$3632))</f>
        <v>950</v>
      </c>
      <c r="AR132" s="134">
        <f>SUMPRODUCT(-('Gastos Gerais'!$B$4:$B$3632=Analítico!$B132),-(Analítico!AR$3&gt;='Gastos Gerais'!$D$4:$D$3632),-(Analítico!AR$3&lt;='Gastos Gerais'!$E$4:$E$3632),-('Gastos Gerais'!$C$4:$C$3632))</f>
        <v>950</v>
      </c>
      <c r="AS132" s="134">
        <f>SUMPRODUCT(-('Gastos Gerais'!$B$4:$B$3632=Analítico!$B132),-(Analítico!AS$3&gt;='Gastos Gerais'!$D$4:$D$3632),-(Analítico!AS$3&lt;='Gastos Gerais'!$E$4:$E$3632),-('Gastos Gerais'!$C$4:$C$3632))</f>
        <v>950</v>
      </c>
      <c r="AT132" s="134">
        <f>SUMPRODUCT(-('Gastos Gerais'!$B$4:$B$3632=Analítico!$B132),-(Analítico!AT$3&gt;='Gastos Gerais'!$D$4:$D$3632),-(Analítico!AT$3&lt;='Gastos Gerais'!$E$4:$E$3632),-('Gastos Gerais'!$C$4:$C$3632))</f>
        <v>950</v>
      </c>
      <c r="AU132" s="134">
        <f>SUMPRODUCT(-('Gastos Gerais'!$B$4:$B$3632=Analítico!$B132),-(Analítico!AU$3&gt;='Gastos Gerais'!$D$4:$D$3632),-(Analítico!AU$3&lt;='Gastos Gerais'!$E$4:$E$3632),-('Gastos Gerais'!$C$4:$C$3632))</f>
        <v>950</v>
      </c>
      <c r="AV132" s="134">
        <f>SUMPRODUCT(-('Gastos Gerais'!$B$4:$B$3632=Analítico!$B132),-(Analítico!AV$3&gt;='Gastos Gerais'!$D$4:$D$3632),-(Analítico!AV$3&lt;='Gastos Gerais'!$E$4:$E$3632),-('Gastos Gerais'!$C$4:$C$3632))</f>
        <v>950</v>
      </c>
      <c r="AW132" s="134">
        <f>SUMPRODUCT(-('Gastos Gerais'!$B$4:$B$3632=Analítico!$B132),-(Analítico!AW$3&gt;='Gastos Gerais'!$D$4:$D$3632),-(Analítico!AW$3&lt;='Gastos Gerais'!$E$4:$E$3632),-('Gastos Gerais'!$C$4:$C$3632))</f>
        <v>950</v>
      </c>
      <c r="AX132" s="134">
        <f>SUMPRODUCT(-('Gastos Gerais'!$B$4:$B$3632=Analítico!$B132),-(Analítico!AX$3&gt;='Gastos Gerais'!$D$4:$D$3632),-(Analítico!AX$3&lt;='Gastos Gerais'!$E$4:$E$3632),-('Gastos Gerais'!$C$4:$C$3632))</f>
        <v>950</v>
      </c>
      <c r="AY132" s="134">
        <f>SUMPRODUCT(-('Gastos Gerais'!$B$4:$B$3632=Analítico!$B132),-(Analítico!AY$3&gt;='Gastos Gerais'!$D$4:$D$3632),-(Analítico!AY$3&lt;='Gastos Gerais'!$E$4:$E$3632),-('Gastos Gerais'!$C$4:$C$3632))</f>
        <v>950</v>
      </c>
      <c r="AZ132" s="134">
        <f>SUMPRODUCT(-('Gastos Gerais'!$B$4:$B$3632=Analítico!$B132),-(Analítico!AZ$3&gt;='Gastos Gerais'!$D$4:$D$3632),-(Analítico!AZ$3&lt;='Gastos Gerais'!$E$4:$E$3632),-('Gastos Gerais'!$C$4:$C$3632))</f>
        <v>950</v>
      </c>
      <c r="BA132" s="134">
        <f>SUMPRODUCT(-('Gastos Gerais'!$B$4:$B$3632=Analítico!$B132),-(Analítico!BA$3&gt;='Gastos Gerais'!$D$4:$D$3632),-(Analítico!BA$3&lt;='Gastos Gerais'!$E$4:$E$3632),-('Gastos Gerais'!$C$4:$C$3632))</f>
        <v>950</v>
      </c>
      <c r="BB132" s="134">
        <f>SUMPRODUCT(-('Gastos Gerais'!$B$4:$B$3632=Analítico!$B132),-(Analítico!BB$3&gt;='Gastos Gerais'!$D$4:$D$3632),-(Analítico!BB$3&lt;='Gastos Gerais'!$E$4:$E$3632),-('Gastos Gerais'!$C$4:$C$3632))</f>
        <v>950</v>
      </c>
      <c r="BC132" s="134">
        <f>SUMPRODUCT(-('Gastos Gerais'!$B$4:$B$3632=Analítico!$B132),-(Analítico!BC$3&gt;='Gastos Gerais'!$D$4:$D$3632),-(Analítico!BC$3&lt;='Gastos Gerais'!$E$4:$E$3632),-('Gastos Gerais'!$C$4:$C$3632))</f>
        <v>950</v>
      </c>
      <c r="BD132" s="134">
        <f>SUMPRODUCT(-('Gastos Gerais'!$B$4:$B$3632=Analítico!$B132),-(Analítico!BD$3&gt;='Gastos Gerais'!$D$4:$D$3632),-(Analítico!BD$3&lt;='Gastos Gerais'!$E$4:$E$3632),-('Gastos Gerais'!$C$4:$C$3632))</f>
        <v>950</v>
      </c>
      <c r="BE132" s="134">
        <f>SUMPRODUCT(-('Gastos Gerais'!$B$4:$B$3632=Analítico!$B132),-(Analítico!BE$3&gt;='Gastos Gerais'!$D$4:$D$3632),-(Analítico!BE$3&lt;='Gastos Gerais'!$E$4:$E$3632),-('Gastos Gerais'!$C$4:$C$3632))</f>
        <v>950</v>
      </c>
      <c r="BF132" s="134">
        <f>SUMPRODUCT(-('Gastos Gerais'!$B$4:$B$3632=Analítico!$B132),-(Analítico!BF$3&gt;='Gastos Gerais'!$D$4:$D$3632),-(Analítico!BF$3&lt;='Gastos Gerais'!$E$4:$E$3632),-('Gastos Gerais'!$C$4:$C$3632))</f>
        <v>950</v>
      </c>
      <c r="BG132" s="134">
        <f>SUMPRODUCT(-('Gastos Gerais'!$B$4:$B$3632=Analítico!$B132),-(Analítico!BG$3&gt;='Gastos Gerais'!$D$4:$D$3632),-(Analítico!BG$3&lt;='Gastos Gerais'!$E$4:$E$3632),-('Gastos Gerais'!$C$4:$C$3632))</f>
        <v>950</v>
      </c>
      <c r="BH132" s="134">
        <f>SUMPRODUCT(-('Gastos Gerais'!$B$4:$B$3632=Analítico!$B132),-(Analítico!BH$3&gt;='Gastos Gerais'!$D$4:$D$3632),-(Analítico!BH$3&lt;='Gastos Gerais'!$E$4:$E$3632),-('Gastos Gerais'!$C$4:$C$3632))</f>
        <v>950</v>
      </c>
      <c r="BI132" s="134">
        <f>SUMPRODUCT(-('Gastos Gerais'!$B$4:$B$3632=Analítico!$B132),-(Analítico!BI$3&gt;='Gastos Gerais'!$D$4:$D$3632),-(Analítico!BI$3&lt;='Gastos Gerais'!$E$4:$E$3632),-('Gastos Gerais'!$C$4:$C$3632))</f>
        <v>950</v>
      </c>
      <c r="BJ132" s="134">
        <f>SUMPRODUCT(-('Gastos Gerais'!$B$4:$B$3632=Analítico!$B132),-(Analítico!BJ$3&gt;='Gastos Gerais'!$D$4:$D$3632),-(Analítico!BJ$3&lt;='Gastos Gerais'!$E$4:$E$3632),-('Gastos Gerais'!$C$4:$C$3632))</f>
        <v>950</v>
      </c>
      <c r="BK132" s="189">
        <f t="shared" si="41"/>
        <v>54975</v>
      </c>
      <c r="BL132" s="136">
        <f t="shared" ca="1" si="43"/>
        <v>1.6430954473302582E-4</v>
      </c>
      <c r="BN132" s="134">
        <f>SUMPRODUCT(-('Gastos Gerais'!$B$4:$B$3632=Analítico!$B132),-(Analítico!BN$3&gt;='Gastos Gerais'!$D$4:$D$3632),-(Analítico!BN$3&lt;='Gastos Gerais'!$E$4:$E$3632),-('Gastos Gerais'!$C$4:$C$3632))</f>
        <v>750</v>
      </c>
    </row>
    <row r="133" spans="1:66" s="160" customFormat="1" ht="23.25" customHeight="1" thickBot="1">
      <c r="A133" s="234"/>
      <c r="B133" s="222" t="s">
        <v>321</v>
      </c>
      <c r="C133" s="235">
        <f t="shared" ref="C133:AH133" si="44">SUBTOTAL(109,C60:C132)</f>
        <v>339681.24609999894</v>
      </c>
      <c r="D133" s="235">
        <f t="shared" si="44"/>
        <v>2026247.6203333298</v>
      </c>
      <c r="E133" s="235">
        <f t="shared" si="44"/>
        <v>2058466.3003333299</v>
      </c>
      <c r="F133" s="235">
        <f t="shared" si="44"/>
        <v>1907608.3003333299</v>
      </c>
      <c r="G133" s="235">
        <f t="shared" si="44"/>
        <v>1628714.4303333298</v>
      </c>
      <c r="H133" s="235">
        <f t="shared" si="44"/>
        <v>1658078.8603333298</v>
      </c>
      <c r="I133" s="235">
        <f t="shared" si="44"/>
        <v>1647700.8603333298</v>
      </c>
      <c r="J133" s="235">
        <f t="shared" si="44"/>
        <v>1620436.2603333297</v>
      </c>
      <c r="K133" s="235">
        <f t="shared" si="44"/>
        <v>1616093.06033333</v>
      </c>
      <c r="L133" s="235">
        <f t="shared" si="44"/>
        <v>1616093.06033333</v>
      </c>
      <c r="M133" s="235">
        <f t="shared" si="44"/>
        <v>1763860.6703333301</v>
      </c>
      <c r="N133" s="235">
        <f t="shared" si="44"/>
        <v>1664124.1303333298</v>
      </c>
      <c r="O133" s="235">
        <f t="shared" si="44"/>
        <v>1864268.4203333303</v>
      </c>
      <c r="P133" s="235">
        <f t="shared" si="44"/>
        <v>1973372.7349999968</v>
      </c>
      <c r="Q133" s="235">
        <f t="shared" si="44"/>
        <v>2132072.1549999965</v>
      </c>
      <c r="R133" s="235">
        <f t="shared" si="44"/>
        <v>2060078.864999997</v>
      </c>
      <c r="S133" s="235">
        <f t="shared" si="44"/>
        <v>2973340.904999997</v>
      </c>
      <c r="T133" s="235">
        <f t="shared" si="44"/>
        <v>2103879.7562499968</v>
      </c>
      <c r="U133" s="235">
        <f t="shared" si="44"/>
        <v>2102830.4762499966</v>
      </c>
      <c r="V133" s="235">
        <f t="shared" si="44"/>
        <v>2088370.0362499969</v>
      </c>
      <c r="W133" s="235">
        <f t="shared" si="44"/>
        <v>2081335.906249997</v>
      </c>
      <c r="X133" s="235">
        <f t="shared" si="44"/>
        <v>2080489.906249997</v>
      </c>
      <c r="Y133" s="235">
        <f t="shared" si="44"/>
        <v>2079643.906249997</v>
      </c>
      <c r="Z133" s="235">
        <f t="shared" si="44"/>
        <v>2087220.5262499969</v>
      </c>
      <c r="AA133" s="235">
        <f t="shared" si="44"/>
        <v>2088656.5862499969</v>
      </c>
      <c r="AB133" s="235">
        <f t="shared" si="44"/>
        <v>2153857.7249999968</v>
      </c>
      <c r="AC133" s="235">
        <f t="shared" si="44"/>
        <v>2035782.414999997</v>
      </c>
      <c r="AD133" s="235">
        <f t="shared" si="44"/>
        <v>2075499.3349999969</v>
      </c>
      <c r="AE133" s="235">
        <f t="shared" si="44"/>
        <v>2055843.204999997</v>
      </c>
      <c r="AF133" s="235">
        <f t="shared" si="44"/>
        <v>2027084.5249999969</v>
      </c>
      <c r="AG133" s="235">
        <f t="shared" si="44"/>
        <v>2027306.5249999969</v>
      </c>
      <c r="AH133" s="235">
        <f t="shared" si="44"/>
        <v>2012824.454999997</v>
      </c>
      <c r="AI133" s="235">
        <f t="shared" ref="AI133:BK133" si="45">SUBTOTAL(109,AI60:AI132)</f>
        <v>2005414.5749999967</v>
      </c>
      <c r="AJ133" s="235">
        <f t="shared" si="45"/>
        <v>2005764.5749999967</v>
      </c>
      <c r="AK133" s="235">
        <f t="shared" si="45"/>
        <v>2005764.5749999967</v>
      </c>
      <c r="AL133" s="235">
        <f t="shared" si="45"/>
        <v>2014437.1349999965</v>
      </c>
      <c r="AM133" s="235">
        <f t="shared" si="45"/>
        <v>2014792.8249999965</v>
      </c>
      <c r="AN133" s="235">
        <f t="shared" si="45"/>
        <v>2243205.7949999967</v>
      </c>
      <c r="AO133" s="235">
        <f t="shared" si="45"/>
        <v>2329125.2349999966</v>
      </c>
      <c r="AP133" s="235">
        <f t="shared" si="45"/>
        <v>2227780.1249999967</v>
      </c>
      <c r="AQ133" s="235">
        <f t="shared" si="45"/>
        <v>2207127.5549999964</v>
      </c>
      <c r="AR133" s="235">
        <f t="shared" si="45"/>
        <v>2176893.4149999968</v>
      </c>
      <c r="AS133" s="235">
        <f t="shared" si="45"/>
        <v>2177115.4149999968</v>
      </c>
      <c r="AT133" s="235">
        <f t="shared" si="45"/>
        <v>2162610.444999997</v>
      </c>
      <c r="AU133" s="235">
        <f t="shared" si="45"/>
        <v>2154802.864999997</v>
      </c>
      <c r="AV133" s="235">
        <f t="shared" si="45"/>
        <v>2154802.864999997</v>
      </c>
      <c r="AW133" s="235">
        <f t="shared" si="45"/>
        <v>2154802.864999997</v>
      </c>
      <c r="AX133" s="235">
        <f t="shared" si="45"/>
        <v>2161233.2849999964</v>
      </c>
      <c r="AY133" s="235">
        <f t="shared" si="45"/>
        <v>2161609.7449999969</v>
      </c>
      <c r="AZ133" s="235">
        <f t="shared" si="45"/>
        <v>2369532.1149999974</v>
      </c>
      <c r="BA133" s="235">
        <f t="shared" si="45"/>
        <v>2250745.0849999976</v>
      </c>
      <c r="BB133" s="235">
        <f t="shared" si="45"/>
        <v>2307677.904999997</v>
      </c>
      <c r="BC133" s="235">
        <f t="shared" si="45"/>
        <v>2285973.634999997</v>
      </c>
      <c r="BD133" s="235">
        <f t="shared" si="45"/>
        <v>2254178.3649999974</v>
      </c>
      <c r="BE133" s="235">
        <f t="shared" si="45"/>
        <v>2254400.3649999974</v>
      </c>
      <c r="BF133" s="235">
        <f t="shared" si="45"/>
        <v>2239861.1549999975</v>
      </c>
      <c r="BG133" s="235">
        <f t="shared" si="45"/>
        <v>2232632.6549999975</v>
      </c>
      <c r="BH133" s="235">
        <f t="shared" si="45"/>
        <v>2232632.6549999975</v>
      </c>
      <c r="BI133" s="235">
        <f t="shared" si="45"/>
        <v>2233031.0949999974</v>
      </c>
      <c r="BJ133" s="235">
        <f t="shared" si="45"/>
        <v>2229225.6449999972</v>
      </c>
      <c r="BK133" s="235">
        <f t="shared" si="45"/>
        <v>122898037.1350998</v>
      </c>
      <c r="BL133" s="236">
        <f t="shared" ca="1" si="43"/>
        <v>0.36731824520692585</v>
      </c>
      <c r="BN133" s="235">
        <f t="shared" ref="BN133" si="46">SUBTOTAL(109,BN60:BN132)</f>
        <v>1132270.82033333</v>
      </c>
    </row>
    <row r="134" spans="1:66" s="160" customFormat="1" ht="23.25" customHeight="1" thickBot="1">
      <c r="A134" s="225" t="s">
        <v>92</v>
      </c>
      <c r="B134" s="226" t="s">
        <v>93</v>
      </c>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8"/>
      <c r="BN134" s="227"/>
    </row>
    <row r="135" spans="1:66" s="160" customFormat="1" ht="23.25" customHeight="1">
      <c r="A135" s="198" t="s">
        <v>322</v>
      </c>
      <c r="B135" s="209" t="s">
        <v>323</v>
      </c>
      <c r="C135" s="188">
        <f>BN135</f>
        <v>0</v>
      </c>
      <c r="D135" s="134">
        <f>SUMPRODUCT(-(Bens!$B$4:$B$325=Analítico!$B135),-(Bens!$D$4:$D$325=Analítico!D$3),(Bens!$G$4:$G$325))</f>
        <v>0</v>
      </c>
      <c r="E135" s="134">
        <f>SUMPRODUCT(-(Bens!$B$4:$B$325=Analítico!$B135),-(Bens!$D$4:$D$325=Analítico!E$3),(Bens!$G$4:$G$325))</f>
        <v>0</v>
      </c>
      <c r="F135" s="134">
        <f>SUMPRODUCT(-(Bens!$B$4:$B$325=Analítico!$B135),-(Bens!$D$4:$D$325=Analítico!F$3),(Bens!$G$4:$G$325))</f>
        <v>0</v>
      </c>
      <c r="G135" s="134">
        <f>SUMPRODUCT(-(Bens!$B$4:$B$325=Analítico!$B135),-(Bens!$D$4:$D$325=Analítico!G$3),(Bens!$G$4:$G$325))</f>
        <v>613254.88</v>
      </c>
      <c r="H135" s="134">
        <f>SUMPRODUCT(-(Bens!$B$4:$B$325=Analítico!$B135),-(Bens!$D$4:$D$325=Analítico!H$3),(Bens!$G$4:$G$325))</f>
        <v>0</v>
      </c>
      <c r="I135" s="134">
        <f>SUMPRODUCT(-(Bens!$B$4:$B$325=Analítico!$B135),-(Bens!$D$4:$D$325=Analítico!I$3),(Bens!$G$4:$G$325))</f>
        <v>0</v>
      </c>
      <c r="J135" s="134">
        <f>SUMPRODUCT(-(Bens!$B$4:$B$325=Analítico!$B135),-(Bens!$D$4:$D$325=Analítico!J$3),(Bens!$G$4:$G$325))</f>
        <v>0</v>
      </c>
      <c r="K135" s="134">
        <f>SUMPRODUCT(-(Bens!$B$4:$B$325=Analítico!$B135),-(Bens!$D$4:$D$325=Analítico!K$3),(Bens!$G$4:$G$325))</f>
        <v>0</v>
      </c>
      <c r="L135" s="134">
        <f>SUMPRODUCT(-(Bens!$B$4:$B$325=Analítico!$B135),-(Bens!$D$4:$D$325=Analítico!L$3),(Bens!$G$4:$G$325))</f>
        <v>0</v>
      </c>
      <c r="M135" s="134">
        <f>SUMPRODUCT(-(Bens!$B$4:$B$325=Analítico!$B135),-(Bens!$D$4:$D$325=Analítico!M$3),(Bens!$G$4:$G$325))</f>
        <v>0</v>
      </c>
      <c r="N135" s="134">
        <f>SUMPRODUCT(-(Bens!$B$4:$B$325=Analítico!$B135),-(Bens!$D$4:$D$325=Analítico!N$3),(Bens!$G$4:$G$325))</f>
        <v>0</v>
      </c>
      <c r="O135" s="134">
        <f>SUMPRODUCT(-(Bens!$B$4:$B$325=Analítico!$B135),-(Bens!$D$4:$D$325=Analítico!O$3),(Bens!$G$4:$G$325))</f>
        <v>0</v>
      </c>
      <c r="P135" s="134">
        <f>SUMPRODUCT(-(Bens!$B$4:$B$325=Analítico!$B135),-(Bens!$D$4:$D$325=Analítico!P$3),(Bens!$G$4:$G$325))</f>
        <v>0</v>
      </c>
      <c r="Q135" s="134">
        <f>SUMPRODUCT(-(Bens!$B$4:$B$325=Analítico!$B135),-(Bens!$D$4:$D$325=Analítico!Q$3),(Bens!$G$4:$G$325))</f>
        <v>0</v>
      </c>
      <c r="R135" s="134">
        <f>SUMPRODUCT(-(Bens!$B$4:$B$325=Analítico!$B135),-(Bens!$D$4:$D$325=Analítico!R$3),(Bens!$G$4:$G$325))</f>
        <v>0</v>
      </c>
      <c r="S135" s="134">
        <f>SUMPRODUCT(-(Bens!$B$4:$B$325=Analítico!$B135),-(Bens!$D$4:$D$325=Analítico!S$3),(Bens!$G$4:$G$325))</f>
        <v>0</v>
      </c>
      <c r="T135" s="134">
        <f>SUMPRODUCT(-(Bens!$B$4:$B$325=Analítico!$B135),-(Bens!$D$4:$D$325=Analítico!T$3),(Bens!$G$4:$G$325))</f>
        <v>0</v>
      </c>
      <c r="U135" s="134">
        <f>SUMPRODUCT(-(Bens!$B$4:$B$325=Analítico!$B135),-(Bens!$D$4:$D$325=Analítico!U$3),(Bens!$G$4:$G$325))</f>
        <v>0</v>
      </c>
      <c r="V135" s="134">
        <f>SUMPRODUCT(-(Bens!$B$4:$B$325=Analítico!$B135),-(Bens!$D$4:$D$325=Analítico!V$3),(Bens!$G$4:$G$325))</f>
        <v>0</v>
      </c>
      <c r="W135" s="134">
        <f>SUMPRODUCT(-(Bens!$B$4:$B$325=Analítico!$B135),-(Bens!$D$4:$D$325=Analítico!W$3),(Bens!$G$4:$G$325))</f>
        <v>0</v>
      </c>
      <c r="X135" s="134">
        <f>SUMPRODUCT(-(Bens!$B$4:$B$325=Analítico!$B135),-(Bens!$D$4:$D$325=Analítico!X$3),(Bens!$G$4:$G$325))</f>
        <v>0</v>
      </c>
      <c r="Y135" s="134">
        <f>SUMPRODUCT(-(Bens!$B$4:$B$325=Analítico!$B135),-(Bens!$D$4:$D$325=Analítico!Y$3),(Bens!$G$4:$G$325))</f>
        <v>0</v>
      </c>
      <c r="Z135" s="134">
        <f>SUMPRODUCT(-(Bens!$B$4:$B$325=Analítico!$B135),-(Bens!$D$4:$D$325=Analítico!Z$3),(Bens!$G$4:$G$325))</f>
        <v>0</v>
      </c>
      <c r="AA135" s="134">
        <f>SUMPRODUCT(-(Bens!$B$4:$B$325=Analítico!$B135),-(Bens!$D$4:$D$325=Analítico!AA$3),(Bens!$G$4:$G$325))</f>
        <v>0</v>
      </c>
      <c r="AB135" s="134">
        <f>SUMPRODUCT(-(Bens!$B$4:$B$325=Analítico!$B135),-(Bens!$D$4:$D$325=Analítico!AB$3),(Bens!$G$4:$G$325))</f>
        <v>0</v>
      </c>
      <c r="AC135" s="134">
        <f>SUMPRODUCT(-(Bens!$B$4:$B$325=Analítico!$B135),-(Bens!$D$4:$D$325=Analítico!AC$3),(Bens!$G$4:$G$325))</f>
        <v>0</v>
      </c>
      <c r="AD135" s="134">
        <f>SUMPRODUCT(-(Bens!$B$4:$B$325=Analítico!$B135),-(Bens!$D$4:$D$325=Analítico!AD$3),(Bens!$G$4:$G$325))</f>
        <v>0</v>
      </c>
      <c r="AE135" s="134">
        <f>SUMPRODUCT(-(Bens!$B$4:$B$325=Analítico!$B135),-(Bens!$D$4:$D$325=Analítico!AE$3),(Bens!$G$4:$G$325))</f>
        <v>0</v>
      </c>
      <c r="AF135" s="134">
        <f>SUMPRODUCT(-(Bens!$B$4:$B$325=Analítico!$B135),-(Bens!$D$4:$D$325=Analítico!AF$3),(Bens!$G$4:$G$325))</f>
        <v>0</v>
      </c>
      <c r="AG135" s="134">
        <f>SUMPRODUCT(-(Bens!$B$4:$B$325=Analítico!$B135),-(Bens!$D$4:$D$325=Analítico!AG$3),(Bens!$G$4:$G$325))</f>
        <v>0</v>
      </c>
      <c r="AH135" s="134">
        <f>SUMPRODUCT(-(Bens!$B$4:$B$325=Analítico!$B135),-(Bens!$D$4:$D$325=Analítico!AH$3),(Bens!$G$4:$G$325))</f>
        <v>0</v>
      </c>
      <c r="AI135" s="134">
        <f>SUMPRODUCT(-(Bens!$B$4:$B$325=Analítico!$B135),-(Bens!$D$4:$D$325=Analítico!AI$3),(Bens!$G$4:$G$325))</f>
        <v>0</v>
      </c>
      <c r="AJ135" s="134">
        <f>SUMPRODUCT(-(Bens!$B$4:$B$325=Analítico!$B135),-(Bens!$D$4:$D$325=Analítico!AJ$3),(Bens!$G$4:$G$325))</f>
        <v>0</v>
      </c>
      <c r="AK135" s="134">
        <f>SUMPRODUCT(-(Bens!$B$4:$B$325=Analítico!$B135),-(Bens!$D$4:$D$325=Analítico!AK$3),(Bens!$G$4:$G$325))</f>
        <v>0</v>
      </c>
      <c r="AL135" s="134">
        <f>SUMPRODUCT(-(Bens!$B$4:$B$325=Analítico!$B135),-(Bens!$D$4:$D$325=Analítico!AL$3),(Bens!$G$4:$G$325))</f>
        <v>0</v>
      </c>
      <c r="AM135" s="134">
        <f>SUMPRODUCT(-(Bens!$B$4:$B$325=Analítico!$B135),-(Bens!$D$4:$D$325=Analítico!AM$3),(Bens!$G$4:$G$325))</f>
        <v>0</v>
      </c>
      <c r="AN135" s="134">
        <f>SUMPRODUCT(-(Bens!$B$4:$B$325=Analítico!$B135),-(Bens!$D$4:$D$325=Analítico!AN$3),(Bens!$G$4:$G$325))</f>
        <v>0</v>
      </c>
      <c r="AO135" s="134">
        <f>SUMPRODUCT(-(Bens!$B$4:$B$325=Analítico!$B135),-(Bens!$D$4:$D$325=Analítico!AO$3),(Bens!$G$4:$G$325))</f>
        <v>0</v>
      </c>
      <c r="AP135" s="134">
        <f>SUMPRODUCT(-(Bens!$B$4:$B$325=Analítico!$B135),-(Bens!$D$4:$D$325=Analítico!AP$3),(Bens!$G$4:$G$325))</f>
        <v>0</v>
      </c>
      <c r="AQ135" s="134">
        <f>SUMPRODUCT(-(Bens!$B$4:$B$325=Analítico!$B135),-(Bens!$D$4:$D$325=Analítico!AQ$3),(Bens!$G$4:$G$325))</f>
        <v>0</v>
      </c>
      <c r="AR135" s="134">
        <f>SUMPRODUCT(-(Bens!$B$4:$B$325=Analítico!$B135),-(Bens!$D$4:$D$325=Analítico!AR$3),(Bens!$G$4:$G$325))</f>
        <v>0</v>
      </c>
      <c r="AS135" s="134">
        <f>SUMPRODUCT(-(Bens!$B$4:$B$325=Analítico!$B135),-(Bens!$D$4:$D$325=Analítico!AS$3),(Bens!$G$4:$G$325))</f>
        <v>0</v>
      </c>
      <c r="AT135" s="134">
        <f>SUMPRODUCT(-(Bens!$B$4:$B$325=Analítico!$B135),-(Bens!$D$4:$D$325=Analítico!AT$3),(Bens!$G$4:$G$325))</f>
        <v>0</v>
      </c>
      <c r="AU135" s="134">
        <f>SUMPRODUCT(-(Bens!$B$4:$B$325=Analítico!$B135),-(Bens!$D$4:$D$325=Analítico!AU$3),(Bens!$G$4:$G$325))</f>
        <v>0</v>
      </c>
      <c r="AV135" s="134">
        <f>SUMPRODUCT(-(Bens!$B$4:$B$325=Analítico!$B135),-(Bens!$D$4:$D$325=Analítico!AV$3),(Bens!$G$4:$G$325))</f>
        <v>0</v>
      </c>
      <c r="AW135" s="134">
        <f>SUMPRODUCT(-(Bens!$B$4:$B$325=Analítico!$B135),-(Bens!$D$4:$D$325=Analítico!AW$3),(Bens!$G$4:$G$325))</f>
        <v>0</v>
      </c>
      <c r="AX135" s="134">
        <f>SUMPRODUCT(-(Bens!$B$4:$B$325=Analítico!$B135),-(Bens!$D$4:$D$325=Analítico!AX$3),(Bens!$G$4:$G$325))</f>
        <v>0</v>
      </c>
      <c r="AY135" s="134">
        <f>SUMPRODUCT(-(Bens!$B$4:$B$325=Analítico!$B135),-(Bens!$D$4:$D$325=Analítico!AY$3),(Bens!$G$4:$G$325))</f>
        <v>0</v>
      </c>
      <c r="AZ135" s="134">
        <f>SUMPRODUCT(-(Bens!$B$4:$B$325=Analítico!$B135),-(Bens!$D$4:$D$325=Analítico!AZ$3),(Bens!$G$4:$G$325))</f>
        <v>0</v>
      </c>
      <c r="BA135" s="134">
        <f>SUMPRODUCT(-(Bens!$B$4:$B$325=Analítico!$B135),-(Bens!$D$4:$D$325=Analítico!BA$3),(Bens!$G$4:$G$325))</f>
        <v>0</v>
      </c>
      <c r="BB135" s="134">
        <f>SUMPRODUCT(-(Bens!$B$4:$B$325=Analítico!$B135),-(Bens!$D$4:$D$325=Analítico!BB$3),(Bens!$G$4:$G$325))</f>
        <v>0</v>
      </c>
      <c r="BC135" s="134">
        <f>SUMPRODUCT(-(Bens!$B$4:$B$325=Analítico!$B135),-(Bens!$D$4:$D$325=Analítico!BC$3),(Bens!$G$4:$G$325))</f>
        <v>0</v>
      </c>
      <c r="BD135" s="134">
        <f>SUMPRODUCT(-(Bens!$B$4:$B$325=Analítico!$B135),-(Bens!$D$4:$D$325=Analítico!BD$3),(Bens!$G$4:$G$325))</f>
        <v>0</v>
      </c>
      <c r="BE135" s="134">
        <f>SUMPRODUCT(-(Bens!$B$4:$B$325=Analítico!$B135),-(Bens!$D$4:$D$325=Analítico!BE$3),(Bens!$G$4:$G$325))</f>
        <v>0</v>
      </c>
      <c r="BF135" s="134">
        <f>SUMPRODUCT(-(Bens!$B$4:$B$325=Analítico!$B135),-(Bens!$D$4:$D$325=Analítico!BF$3),(Bens!$G$4:$G$325))</f>
        <v>0</v>
      </c>
      <c r="BG135" s="134">
        <f>SUMPRODUCT(-(Bens!$B$4:$B$325=Analítico!$B135),-(Bens!$D$4:$D$325=Analítico!BG$3),(Bens!$G$4:$G$325))</f>
        <v>0</v>
      </c>
      <c r="BH135" s="134">
        <f>SUMPRODUCT(-(Bens!$B$4:$B$325=Analítico!$B135),-(Bens!$D$4:$D$325=Analítico!BH$3),(Bens!$G$4:$G$325))</f>
        <v>0</v>
      </c>
      <c r="BI135" s="134">
        <f>SUMPRODUCT(-(Bens!$B$4:$B$325=Analítico!$B135),-(Bens!$D$4:$D$325=Analítico!BI$3),(Bens!$G$4:$G$325))</f>
        <v>0</v>
      </c>
      <c r="BJ135" s="134">
        <f>SUMPRODUCT(-(Bens!$B$4:$B$325=Analítico!$B135),-(Bens!$D$4:$D$325=Analítico!BJ$3),(Bens!$G$4:$G$325))</f>
        <v>0</v>
      </c>
      <c r="BK135" s="189">
        <f t="shared" ref="BK135:BK146" si="47">SUM(C135:BJ135)</f>
        <v>613254.88</v>
      </c>
      <c r="BL135" s="136">
        <f t="shared" ref="BL135:BL146" ca="1" si="48">IF($BK$152=0,0,BK135/$BK$152)</f>
        <v>1.8328991384830629E-3</v>
      </c>
      <c r="BN135" s="134">
        <f>SUMPRODUCT(-(Bens!$B$4:$B$325=Analítico!$B135),-(Bens!$D$4:$D$325=Analítico!BN$3),(Bens!$G$4:$G$325))</f>
        <v>0</v>
      </c>
    </row>
    <row r="136" spans="1:66" s="160" customFormat="1" ht="23.25" customHeight="1">
      <c r="A136" s="198" t="s">
        <v>324</v>
      </c>
      <c r="B136" s="209" t="s">
        <v>325</v>
      </c>
      <c r="C136" s="188">
        <f t="shared" ref="C136:C148" si="49">BN136</f>
        <v>30800</v>
      </c>
      <c r="D136" s="134">
        <f>SUMPRODUCT(-(Bens!$B$4:$B$325=Analítico!$B136),-(Bens!$D$4:$D$325=Analítico!D$3),(Bens!$G$4:$G$325))</f>
        <v>0</v>
      </c>
      <c r="E136" s="134">
        <f>SUMPRODUCT(-(Bens!$B$4:$B$325=Analítico!$B136),-(Bens!$D$4:$D$325=Analítico!E$3),(Bens!$G$4:$G$325))</f>
        <v>0</v>
      </c>
      <c r="F136" s="134">
        <f>SUMPRODUCT(-(Bens!$B$4:$B$325=Analítico!$B136),-(Bens!$D$4:$D$325=Analítico!F$3),(Bens!$G$4:$G$325))</f>
        <v>0</v>
      </c>
      <c r="G136" s="134">
        <f>SUMPRODUCT(-(Bens!$B$4:$B$325=Analítico!$B136),-(Bens!$D$4:$D$325=Analítico!G$3),(Bens!$G$4:$G$325))</f>
        <v>0</v>
      </c>
      <c r="H136" s="134">
        <f>SUMPRODUCT(-(Bens!$B$4:$B$325=Analítico!$B136),-(Bens!$D$4:$D$325=Analítico!H$3),(Bens!$G$4:$G$325))</f>
        <v>0</v>
      </c>
      <c r="I136" s="134">
        <f>SUMPRODUCT(-(Bens!$B$4:$B$325=Analítico!$B136),-(Bens!$D$4:$D$325=Analítico!I$3),(Bens!$G$4:$G$325))</f>
        <v>0</v>
      </c>
      <c r="J136" s="134">
        <f>SUMPRODUCT(-(Bens!$B$4:$B$325=Analítico!$B136),-(Bens!$D$4:$D$325=Analítico!J$3),(Bens!$G$4:$G$325))</f>
        <v>0</v>
      </c>
      <c r="K136" s="134">
        <f>SUMPRODUCT(-(Bens!$B$4:$B$325=Analítico!$B136),-(Bens!$D$4:$D$325=Analítico!K$3),(Bens!$G$4:$G$325))</f>
        <v>0</v>
      </c>
      <c r="L136" s="134">
        <f>SUMPRODUCT(-(Bens!$B$4:$B$325=Analítico!$B136),-(Bens!$D$4:$D$325=Analítico!L$3),(Bens!$G$4:$G$325))</f>
        <v>0</v>
      </c>
      <c r="M136" s="134">
        <f>SUMPRODUCT(-(Bens!$B$4:$B$325=Analítico!$B136),-(Bens!$D$4:$D$325=Analítico!M$3),(Bens!$G$4:$G$325))</f>
        <v>7700</v>
      </c>
      <c r="N136" s="134">
        <f>SUMPRODUCT(-(Bens!$B$4:$B$325=Analítico!$B136),-(Bens!$D$4:$D$325=Analítico!N$3),(Bens!$G$4:$G$325))</f>
        <v>0</v>
      </c>
      <c r="O136" s="134">
        <f>SUMPRODUCT(-(Bens!$B$4:$B$325=Analítico!$B136),-(Bens!$D$4:$D$325=Analítico!O$3),(Bens!$G$4:$G$325))</f>
        <v>7700</v>
      </c>
      <c r="P136" s="134">
        <f>SUMPRODUCT(-(Bens!$B$4:$B$325=Analítico!$B136),-(Bens!$D$4:$D$325=Analítico!P$3),(Bens!$G$4:$G$325))</f>
        <v>0</v>
      </c>
      <c r="Q136" s="134">
        <f>SUMPRODUCT(-(Bens!$B$4:$B$325=Analítico!$B136),-(Bens!$D$4:$D$325=Analítico!Q$3),(Bens!$G$4:$G$325))</f>
        <v>7500</v>
      </c>
      <c r="R136" s="134">
        <f>SUMPRODUCT(-(Bens!$B$4:$B$325=Analítico!$B136),-(Bens!$D$4:$D$325=Analítico!R$3),(Bens!$G$4:$G$325))</f>
        <v>0</v>
      </c>
      <c r="S136" s="134">
        <f>SUMPRODUCT(-(Bens!$B$4:$B$325=Analítico!$B136),-(Bens!$D$4:$D$325=Analítico!S$3),(Bens!$G$4:$G$325))</f>
        <v>30800</v>
      </c>
      <c r="T136" s="134">
        <f>SUMPRODUCT(-(Bens!$B$4:$B$325=Analítico!$B136),-(Bens!$D$4:$D$325=Analítico!T$3),(Bens!$G$4:$G$325))</f>
        <v>0</v>
      </c>
      <c r="U136" s="134">
        <f>SUMPRODUCT(-(Bens!$B$4:$B$325=Analítico!$B136),-(Bens!$D$4:$D$325=Analítico!U$3),(Bens!$G$4:$G$325))</f>
        <v>0</v>
      </c>
      <c r="V136" s="134">
        <f>SUMPRODUCT(-(Bens!$B$4:$B$325=Analítico!$B136),-(Bens!$D$4:$D$325=Analítico!V$3),(Bens!$G$4:$G$325))</f>
        <v>7500</v>
      </c>
      <c r="W136" s="134">
        <f>SUMPRODUCT(-(Bens!$B$4:$B$325=Analítico!$B136),-(Bens!$D$4:$D$325=Analítico!W$3),(Bens!$G$4:$G$325))</f>
        <v>0</v>
      </c>
      <c r="X136" s="134">
        <f>SUMPRODUCT(-(Bens!$B$4:$B$325=Analítico!$B136),-(Bens!$D$4:$D$325=Analítico!X$3),(Bens!$G$4:$G$325))</f>
        <v>0</v>
      </c>
      <c r="Y136" s="134">
        <f>SUMPRODUCT(-(Bens!$B$4:$B$325=Analítico!$B136),-(Bens!$D$4:$D$325=Analítico!Y$3),(Bens!$G$4:$G$325))</f>
        <v>0</v>
      </c>
      <c r="Z136" s="134">
        <f>SUMPRODUCT(-(Bens!$B$4:$B$325=Analítico!$B136),-(Bens!$D$4:$D$325=Analítico!Z$3),(Bens!$G$4:$G$325))</f>
        <v>0</v>
      </c>
      <c r="AA136" s="134">
        <f>SUMPRODUCT(-(Bens!$B$4:$B$325=Analítico!$B136),-(Bens!$D$4:$D$325=Analítico!AA$3),(Bens!$G$4:$G$325))</f>
        <v>7500</v>
      </c>
      <c r="AB136" s="134">
        <f>SUMPRODUCT(-(Bens!$B$4:$B$325=Analítico!$B136),-(Bens!$D$4:$D$325=Analítico!AB$3),(Bens!$G$4:$G$325))</f>
        <v>0</v>
      </c>
      <c r="AC136" s="134">
        <f>SUMPRODUCT(-(Bens!$B$4:$B$325=Analítico!$B136),-(Bens!$D$4:$D$325=Analítico!AC$3),(Bens!$G$4:$G$325))</f>
        <v>0</v>
      </c>
      <c r="AD136" s="134">
        <f>SUMPRODUCT(-(Bens!$B$4:$B$325=Analítico!$B136),-(Bens!$D$4:$D$325=Analítico!AD$3),(Bens!$G$4:$G$325))</f>
        <v>7500</v>
      </c>
      <c r="AE136" s="134">
        <f>SUMPRODUCT(-(Bens!$B$4:$B$325=Analítico!$B136),-(Bens!$D$4:$D$325=Analítico!AE$3),(Bens!$G$4:$G$325))</f>
        <v>0</v>
      </c>
      <c r="AF136" s="134">
        <f>SUMPRODUCT(-(Bens!$B$4:$B$325=Analítico!$B136),-(Bens!$D$4:$D$325=Analítico!AF$3),(Bens!$G$4:$G$325))</f>
        <v>0</v>
      </c>
      <c r="AG136" s="134">
        <f>SUMPRODUCT(-(Bens!$B$4:$B$325=Analítico!$B136),-(Bens!$D$4:$D$325=Analítico!AG$3),(Bens!$G$4:$G$325))</f>
        <v>0</v>
      </c>
      <c r="AH136" s="134">
        <f>SUMPRODUCT(-(Bens!$B$4:$B$325=Analítico!$B136),-(Bens!$D$4:$D$325=Analítico!AH$3),(Bens!$G$4:$G$325))</f>
        <v>0</v>
      </c>
      <c r="AI136" s="134">
        <f>SUMPRODUCT(-(Bens!$B$4:$B$325=Analítico!$B136),-(Bens!$D$4:$D$325=Analítico!AI$3),(Bens!$G$4:$G$325))</f>
        <v>0</v>
      </c>
      <c r="AJ136" s="134">
        <f>SUMPRODUCT(-(Bens!$B$4:$B$325=Analítico!$B136),-(Bens!$D$4:$D$325=Analítico!AJ$3),(Bens!$G$4:$G$325))</f>
        <v>0</v>
      </c>
      <c r="AK136" s="134">
        <f>SUMPRODUCT(-(Bens!$B$4:$B$325=Analítico!$B136),-(Bens!$D$4:$D$325=Analítico!AK$3),(Bens!$G$4:$G$325))</f>
        <v>0</v>
      </c>
      <c r="AL136" s="134">
        <f>SUMPRODUCT(-(Bens!$B$4:$B$325=Analítico!$B136),-(Bens!$D$4:$D$325=Analítico!AL$3),(Bens!$G$4:$G$325))</f>
        <v>7500</v>
      </c>
      <c r="AM136" s="134">
        <f>SUMPRODUCT(-(Bens!$B$4:$B$325=Analítico!$B136),-(Bens!$D$4:$D$325=Analítico!AM$3),(Bens!$G$4:$G$325))</f>
        <v>0</v>
      </c>
      <c r="AN136" s="134">
        <f>SUMPRODUCT(-(Bens!$B$4:$B$325=Analítico!$B136),-(Bens!$D$4:$D$325=Analítico!AN$3),(Bens!$G$4:$G$325))</f>
        <v>0</v>
      </c>
      <c r="AO136" s="134">
        <f>SUMPRODUCT(-(Bens!$B$4:$B$325=Analítico!$B136),-(Bens!$D$4:$D$325=Analítico!AO$3),(Bens!$G$4:$G$325))</f>
        <v>7500</v>
      </c>
      <c r="AP136" s="134">
        <f>SUMPRODUCT(-(Bens!$B$4:$B$325=Analítico!$B136),-(Bens!$D$4:$D$325=Analítico!AP$3),(Bens!$G$4:$G$325))</f>
        <v>42750</v>
      </c>
      <c r="AQ136" s="134">
        <f>SUMPRODUCT(-(Bens!$B$4:$B$325=Analítico!$B136),-(Bens!$D$4:$D$325=Analítico!AQ$3),(Bens!$G$4:$G$325))</f>
        <v>0</v>
      </c>
      <c r="AR136" s="134">
        <f>SUMPRODUCT(-(Bens!$B$4:$B$325=Analítico!$B136),-(Bens!$D$4:$D$325=Analítico!AR$3),(Bens!$G$4:$G$325))</f>
        <v>0</v>
      </c>
      <c r="AS136" s="134">
        <f>SUMPRODUCT(-(Bens!$B$4:$B$325=Analítico!$B136),-(Bens!$D$4:$D$325=Analítico!AS$3),(Bens!$G$4:$G$325))</f>
        <v>0</v>
      </c>
      <c r="AT136" s="134">
        <f>SUMPRODUCT(-(Bens!$B$4:$B$325=Analítico!$B136),-(Bens!$D$4:$D$325=Analítico!AT$3),(Bens!$G$4:$G$325))</f>
        <v>0</v>
      </c>
      <c r="AU136" s="134">
        <f>SUMPRODUCT(-(Bens!$B$4:$B$325=Analítico!$B136),-(Bens!$D$4:$D$325=Analítico!AU$3),(Bens!$G$4:$G$325))</f>
        <v>7500</v>
      </c>
      <c r="AV136" s="134">
        <f>SUMPRODUCT(-(Bens!$B$4:$B$325=Analítico!$B136),-(Bens!$D$4:$D$325=Analítico!AV$3),(Bens!$G$4:$G$325))</f>
        <v>0</v>
      </c>
      <c r="AW136" s="134">
        <f>SUMPRODUCT(-(Bens!$B$4:$B$325=Analítico!$B136),-(Bens!$D$4:$D$325=Analítico!AW$3),(Bens!$G$4:$G$325))</f>
        <v>0</v>
      </c>
      <c r="AX136" s="134">
        <f>SUMPRODUCT(-(Bens!$B$4:$B$325=Analítico!$B136),-(Bens!$D$4:$D$325=Analítico!AX$3),(Bens!$G$4:$G$325))</f>
        <v>0</v>
      </c>
      <c r="AY136" s="134">
        <f>SUMPRODUCT(-(Bens!$B$4:$B$325=Analítico!$B136),-(Bens!$D$4:$D$325=Analítico!AY$3),(Bens!$G$4:$G$325))</f>
        <v>7500</v>
      </c>
      <c r="AZ136" s="134">
        <f>SUMPRODUCT(-(Bens!$B$4:$B$325=Analítico!$B136),-(Bens!$D$4:$D$325=Analítico!AZ$3),(Bens!$G$4:$G$325))</f>
        <v>0</v>
      </c>
      <c r="BA136" s="134">
        <f>SUMPRODUCT(-(Bens!$B$4:$B$325=Analítico!$B136),-(Bens!$D$4:$D$325=Analítico!BA$3),(Bens!$G$4:$G$325))</f>
        <v>0</v>
      </c>
      <c r="BB136" s="134">
        <f>SUMPRODUCT(-(Bens!$B$4:$B$325=Analítico!$B136),-(Bens!$D$4:$D$325=Analítico!BB$3),(Bens!$G$4:$G$325))</f>
        <v>7500</v>
      </c>
      <c r="BC136" s="134">
        <f>SUMPRODUCT(-(Bens!$B$4:$B$325=Analítico!$B136),-(Bens!$D$4:$D$325=Analítico!BC$3),(Bens!$G$4:$G$325))</f>
        <v>24000</v>
      </c>
      <c r="BD136" s="134">
        <f>SUMPRODUCT(-(Bens!$B$4:$B$325=Analítico!$B136),-(Bens!$D$4:$D$325=Analítico!BD$3),(Bens!$G$4:$G$325))</f>
        <v>0</v>
      </c>
      <c r="BE136" s="134">
        <f>SUMPRODUCT(-(Bens!$B$4:$B$325=Analítico!$B136),-(Bens!$D$4:$D$325=Analítico!BE$3),(Bens!$G$4:$G$325))</f>
        <v>0</v>
      </c>
      <c r="BF136" s="134">
        <f>SUMPRODUCT(-(Bens!$B$4:$B$325=Analítico!$B136),-(Bens!$D$4:$D$325=Analítico!BF$3),(Bens!$G$4:$G$325))</f>
        <v>0</v>
      </c>
      <c r="BG136" s="134">
        <f>SUMPRODUCT(-(Bens!$B$4:$B$325=Analítico!$B136),-(Bens!$D$4:$D$325=Analítico!BG$3),(Bens!$G$4:$G$325))</f>
        <v>0</v>
      </c>
      <c r="BH136" s="134">
        <f>SUMPRODUCT(-(Bens!$B$4:$B$325=Analítico!$B136),-(Bens!$D$4:$D$325=Analítico!BH$3),(Bens!$G$4:$G$325))</f>
        <v>0</v>
      </c>
      <c r="BI136" s="134">
        <f>SUMPRODUCT(-(Bens!$B$4:$B$325=Analítico!$B136),-(Bens!$D$4:$D$325=Analítico!BI$3),(Bens!$G$4:$G$325))</f>
        <v>0</v>
      </c>
      <c r="BJ136" s="134">
        <f>SUMPRODUCT(-(Bens!$B$4:$B$325=Analítico!$B136),-(Bens!$D$4:$D$325=Analítico!BJ$3),(Bens!$G$4:$G$325))</f>
        <v>0</v>
      </c>
      <c r="BK136" s="189">
        <f t="shared" si="47"/>
        <v>211250</v>
      </c>
      <c r="BL136" s="136">
        <f t="shared" ca="1" si="48"/>
        <v>6.3138501727788457E-4</v>
      </c>
      <c r="BN136" s="134">
        <f>SUMPRODUCT(-(Bens!$B$4:$B$325=Analítico!$B136),-(Bens!$D$4:$D$325=Analítico!BN$3),(Bens!$G$4:$G$325))</f>
        <v>30800</v>
      </c>
    </row>
    <row r="137" spans="1:66" s="160" customFormat="1" ht="23.25" customHeight="1">
      <c r="A137" s="198" t="s">
        <v>326</v>
      </c>
      <c r="B137" s="209" t="s">
        <v>327</v>
      </c>
      <c r="C137" s="188">
        <f t="shared" si="49"/>
        <v>140716</v>
      </c>
      <c r="D137" s="134">
        <f>SUMPRODUCT(-(Bens!$B$4:$B$325=Analítico!$B137),-(Bens!$D$4:$D$325=Analítico!D$3),(Bens!$G$4:$G$325))</f>
        <v>36000</v>
      </c>
      <c r="E137" s="134">
        <f>SUMPRODUCT(-(Bens!$B$4:$B$325=Analítico!$B137),-(Bens!$D$4:$D$325=Analítico!E$3),(Bens!$G$4:$G$325))</f>
        <v>0</v>
      </c>
      <c r="F137" s="134">
        <f>SUMPRODUCT(-(Bens!$B$4:$B$325=Analítico!$B137),-(Bens!$D$4:$D$325=Analítico!F$3),(Bens!$G$4:$G$325))</f>
        <v>0</v>
      </c>
      <c r="G137" s="134">
        <f>SUMPRODUCT(-(Bens!$B$4:$B$325=Analítico!$B137),-(Bens!$D$4:$D$325=Analítico!G$3),(Bens!$G$4:$G$325))</f>
        <v>0</v>
      </c>
      <c r="H137" s="134">
        <f>SUMPRODUCT(-(Bens!$B$4:$B$325=Analítico!$B137),-(Bens!$D$4:$D$325=Analítico!H$3),(Bens!$G$4:$G$325))</f>
        <v>0</v>
      </c>
      <c r="I137" s="134">
        <f>SUMPRODUCT(-(Bens!$B$4:$B$325=Analítico!$B137),-(Bens!$D$4:$D$325=Analítico!I$3),(Bens!$G$4:$G$325))</f>
        <v>0</v>
      </c>
      <c r="J137" s="134">
        <f>SUMPRODUCT(-(Bens!$B$4:$B$325=Analítico!$B137),-(Bens!$D$4:$D$325=Analítico!J$3),(Bens!$G$4:$G$325))</f>
        <v>0</v>
      </c>
      <c r="K137" s="134">
        <f>SUMPRODUCT(-(Bens!$B$4:$B$325=Analítico!$B137),-(Bens!$D$4:$D$325=Analítico!K$3),(Bens!$G$4:$G$325))</f>
        <v>0</v>
      </c>
      <c r="L137" s="134">
        <f>SUMPRODUCT(-(Bens!$B$4:$B$325=Analítico!$B137),-(Bens!$D$4:$D$325=Analítico!L$3),(Bens!$G$4:$G$325))</f>
        <v>0</v>
      </c>
      <c r="M137" s="134">
        <f>SUMPRODUCT(-(Bens!$B$4:$B$325=Analítico!$B137),-(Bens!$D$4:$D$325=Analítico!M$3),(Bens!$G$4:$G$325))</f>
        <v>86578</v>
      </c>
      <c r="N137" s="134">
        <f>SUMPRODUCT(-(Bens!$B$4:$B$325=Analítico!$B137),-(Bens!$D$4:$D$325=Analítico!N$3),(Bens!$G$4:$G$325))</f>
        <v>0</v>
      </c>
      <c r="O137" s="134">
        <f>SUMPRODUCT(-(Bens!$B$4:$B$325=Analítico!$B137),-(Bens!$D$4:$D$325=Analítico!O$3),(Bens!$G$4:$G$325))</f>
        <v>0</v>
      </c>
      <c r="P137" s="134">
        <f>SUMPRODUCT(-(Bens!$B$4:$B$325=Analítico!$B137),-(Bens!$D$4:$D$325=Analítico!P$3),(Bens!$G$4:$G$325))</f>
        <v>0</v>
      </c>
      <c r="Q137" s="134">
        <f>SUMPRODUCT(-(Bens!$B$4:$B$325=Analítico!$B137),-(Bens!$D$4:$D$325=Analítico!Q$3),(Bens!$G$4:$G$325))</f>
        <v>53600</v>
      </c>
      <c r="R137" s="134">
        <f>SUMPRODUCT(-(Bens!$B$4:$B$325=Analítico!$B137),-(Bens!$D$4:$D$325=Analítico!R$3),(Bens!$G$4:$G$325))</f>
        <v>7500</v>
      </c>
      <c r="S137" s="134">
        <f>SUMPRODUCT(-(Bens!$B$4:$B$325=Analítico!$B137),-(Bens!$D$4:$D$325=Analítico!S$3),(Bens!$G$4:$G$325))</f>
        <v>132420</v>
      </c>
      <c r="T137" s="134">
        <f>SUMPRODUCT(-(Bens!$B$4:$B$325=Analítico!$B137),-(Bens!$D$4:$D$325=Analítico!T$3),(Bens!$G$4:$G$325))</f>
        <v>0</v>
      </c>
      <c r="U137" s="134">
        <f>SUMPRODUCT(-(Bens!$B$4:$B$325=Analítico!$B137),-(Bens!$D$4:$D$325=Analítico!U$3),(Bens!$G$4:$G$325))</f>
        <v>7500</v>
      </c>
      <c r="V137" s="134">
        <f>SUMPRODUCT(-(Bens!$B$4:$B$325=Analítico!$B137),-(Bens!$D$4:$D$325=Analítico!V$3),(Bens!$G$4:$G$325))</f>
        <v>0</v>
      </c>
      <c r="W137" s="134">
        <f>SUMPRODUCT(-(Bens!$B$4:$B$325=Analítico!$B137),-(Bens!$D$4:$D$325=Analítico!W$3),(Bens!$G$4:$G$325))</f>
        <v>0</v>
      </c>
      <c r="X137" s="134">
        <f>SUMPRODUCT(-(Bens!$B$4:$B$325=Analítico!$B137),-(Bens!$D$4:$D$325=Analítico!X$3),(Bens!$G$4:$G$325))</f>
        <v>7500</v>
      </c>
      <c r="Y137" s="134">
        <f>SUMPRODUCT(-(Bens!$B$4:$B$325=Analítico!$B137),-(Bens!$D$4:$D$325=Analítico!Y$3),(Bens!$G$4:$G$325))</f>
        <v>0</v>
      </c>
      <c r="Z137" s="134">
        <f>SUMPRODUCT(-(Bens!$B$4:$B$325=Analítico!$B137),-(Bens!$D$4:$D$325=Analítico!Z$3),(Bens!$G$4:$G$325))</f>
        <v>0</v>
      </c>
      <c r="AA137" s="134">
        <f>SUMPRODUCT(-(Bens!$B$4:$B$325=Analítico!$B137),-(Bens!$D$4:$D$325=Analítico!AA$3),(Bens!$G$4:$G$325))</f>
        <v>7500</v>
      </c>
      <c r="AB137" s="134">
        <f>SUMPRODUCT(-(Bens!$B$4:$B$325=Analítico!$B137),-(Bens!$D$4:$D$325=Analítico!AB$3),(Bens!$G$4:$G$325))</f>
        <v>0</v>
      </c>
      <c r="AC137" s="134">
        <f>SUMPRODUCT(-(Bens!$B$4:$B$325=Analítico!$B137),-(Bens!$D$4:$D$325=Analítico!AC$3),(Bens!$G$4:$G$325))</f>
        <v>0</v>
      </c>
      <c r="AD137" s="134">
        <f>SUMPRODUCT(-(Bens!$B$4:$B$325=Analítico!$B137),-(Bens!$D$4:$D$325=Analítico!AD$3),(Bens!$G$4:$G$325))</f>
        <v>7500</v>
      </c>
      <c r="AE137" s="134">
        <f>SUMPRODUCT(-(Bens!$B$4:$B$325=Analítico!$B137),-(Bens!$D$4:$D$325=Analítico!AE$3),(Bens!$G$4:$G$325))</f>
        <v>0</v>
      </c>
      <c r="AF137" s="134">
        <f>SUMPRODUCT(-(Bens!$B$4:$B$325=Analítico!$B137),-(Bens!$D$4:$D$325=Analítico!AF$3),(Bens!$G$4:$G$325))</f>
        <v>0</v>
      </c>
      <c r="AG137" s="134">
        <f>SUMPRODUCT(-(Bens!$B$4:$B$325=Analítico!$B137),-(Bens!$D$4:$D$325=Analítico!AG$3),(Bens!$G$4:$G$325))</f>
        <v>7500</v>
      </c>
      <c r="AH137" s="134">
        <f>SUMPRODUCT(-(Bens!$B$4:$B$325=Analítico!$B137),-(Bens!$D$4:$D$325=Analítico!AH$3),(Bens!$G$4:$G$325))</f>
        <v>0</v>
      </c>
      <c r="AI137" s="134">
        <f>SUMPRODUCT(-(Bens!$B$4:$B$325=Analítico!$B137),-(Bens!$D$4:$D$325=Analítico!AI$3),(Bens!$G$4:$G$325))</f>
        <v>0</v>
      </c>
      <c r="AJ137" s="134">
        <f>SUMPRODUCT(-(Bens!$B$4:$B$325=Analítico!$B137),-(Bens!$D$4:$D$325=Analítico!AJ$3),(Bens!$G$4:$G$325))</f>
        <v>7500</v>
      </c>
      <c r="AK137" s="134">
        <f>SUMPRODUCT(-(Bens!$B$4:$B$325=Analítico!$B137),-(Bens!$D$4:$D$325=Analítico!AK$3),(Bens!$G$4:$G$325))</f>
        <v>0</v>
      </c>
      <c r="AL137" s="134">
        <f>SUMPRODUCT(-(Bens!$B$4:$B$325=Analítico!$B137),-(Bens!$D$4:$D$325=Analítico!AL$3),(Bens!$G$4:$G$325))</f>
        <v>0</v>
      </c>
      <c r="AM137" s="134">
        <f>SUMPRODUCT(-(Bens!$B$4:$B$325=Analítico!$B137),-(Bens!$D$4:$D$325=Analítico!AM$3),(Bens!$G$4:$G$325))</f>
        <v>7500</v>
      </c>
      <c r="AN137" s="134">
        <f>SUMPRODUCT(-(Bens!$B$4:$B$325=Analítico!$B137),-(Bens!$D$4:$D$325=Analítico!AN$3),(Bens!$G$4:$G$325))</f>
        <v>0</v>
      </c>
      <c r="AO137" s="134">
        <f>SUMPRODUCT(-(Bens!$B$4:$B$325=Analítico!$B137),-(Bens!$D$4:$D$325=Analítico!AO$3),(Bens!$G$4:$G$325))</f>
        <v>0</v>
      </c>
      <c r="AP137" s="134">
        <f>SUMPRODUCT(-(Bens!$B$4:$B$325=Analítico!$B137),-(Bens!$D$4:$D$325=Analítico!AP$3),(Bens!$G$4:$G$325))</f>
        <v>7500</v>
      </c>
      <c r="AQ137" s="134">
        <f>SUMPRODUCT(-(Bens!$B$4:$B$325=Analítico!$B137),-(Bens!$D$4:$D$325=Analítico!AQ$3),(Bens!$G$4:$G$325))</f>
        <v>0</v>
      </c>
      <c r="AR137" s="134">
        <f>SUMPRODUCT(-(Bens!$B$4:$B$325=Analítico!$B137),-(Bens!$D$4:$D$325=Analítico!AR$3),(Bens!$G$4:$G$325))</f>
        <v>0</v>
      </c>
      <c r="AS137" s="134">
        <f>SUMPRODUCT(-(Bens!$B$4:$B$325=Analítico!$B137),-(Bens!$D$4:$D$325=Analítico!AS$3),(Bens!$G$4:$G$325))</f>
        <v>7500</v>
      </c>
      <c r="AT137" s="134">
        <f>SUMPRODUCT(-(Bens!$B$4:$B$325=Analítico!$B137),-(Bens!$D$4:$D$325=Analítico!AT$3),(Bens!$G$4:$G$325))</f>
        <v>0</v>
      </c>
      <c r="AU137" s="134">
        <f>SUMPRODUCT(-(Bens!$B$4:$B$325=Analítico!$B137),-(Bens!$D$4:$D$325=Analítico!AU$3),(Bens!$G$4:$G$325))</f>
        <v>0</v>
      </c>
      <c r="AV137" s="134">
        <f>SUMPRODUCT(-(Bens!$B$4:$B$325=Analítico!$B137),-(Bens!$D$4:$D$325=Analítico!AV$3),(Bens!$G$4:$G$325))</f>
        <v>7500</v>
      </c>
      <c r="AW137" s="134">
        <f>SUMPRODUCT(-(Bens!$B$4:$B$325=Analítico!$B137),-(Bens!$D$4:$D$325=Analítico!AW$3),(Bens!$G$4:$G$325))</f>
        <v>0</v>
      </c>
      <c r="AX137" s="134">
        <f>SUMPRODUCT(-(Bens!$B$4:$B$325=Analítico!$B137),-(Bens!$D$4:$D$325=Analítico!AX$3),(Bens!$G$4:$G$325))</f>
        <v>0</v>
      </c>
      <c r="AY137" s="134">
        <f>SUMPRODUCT(-(Bens!$B$4:$B$325=Analítico!$B137),-(Bens!$D$4:$D$325=Analítico!AY$3),(Bens!$G$4:$G$325))</f>
        <v>7500</v>
      </c>
      <c r="AZ137" s="134">
        <f>SUMPRODUCT(-(Bens!$B$4:$B$325=Analítico!$B137),-(Bens!$D$4:$D$325=Analítico!AZ$3),(Bens!$G$4:$G$325))</f>
        <v>0</v>
      </c>
      <c r="BA137" s="134">
        <f>SUMPRODUCT(-(Bens!$B$4:$B$325=Analítico!$B137),-(Bens!$D$4:$D$325=Analítico!BA$3),(Bens!$G$4:$G$325))</f>
        <v>0</v>
      </c>
      <c r="BB137" s="134">
        <f>SUMPRODUCT(-(Bens!$B$4:$B$325=Analítico!$B137),-(Bens!$D$4:$D$325=Analítico!BB$3),(Bens!$G$4:$G$325))</f>
        <v>7500</v>
      </c>
      <c r="BC137" s="134">
        <f>SUMPRODUCT(-(Bens!$B$4:$B$325=Analítico!$B137),-(Bens!$D$4:$D$325=Analítico!BC$3),(Bens!$G$4:$G$325))</f>
        <v>0</v>
      </c>
      <c r="BD137" s="134">
        <f>SUMPRODUCT(-(Bens!$B$4:$B$325=Analítico!$B137),-(Bens!$D$4:$D$325=Analítico!BD$3),(Bens!$G$4:$G$325))</f>
        <v>0</v>
      </c>
      <c r="BE137" s="134">
        <f>SUMPRODUCT(-(Bens!$B$4:$B$325=Analítico!$B137),-(Bens!$D$4:$D$325=Analítico!BE$3),(Bens!$G$4:$G$325))</f>
        <v>7500</v>
      </c>
      <c r="BF137" s="134">
        <f>SUMPRODUCT(-(Bens!$B$4:$B$325=Analítico!$B137),-(Bens!$D$4:$D$325=Analítico!BF$3),(Bens!$G$4:$G$325))</f>
        <v>0</v>
      </c>
      <c r="BG137" s="134">
        <f>SUMPRODUCT(-(Bens!$B$4:$B$325=Analítico!$B137),-(Bens!$D$4:$D$325=Analítico!BG$3),(Bens!$G$4:$G$325))</f>
        <v>0</v>
      </c>
      <c r="BH137" s="134">
        <f>SUMPRODUCT(-(Bens!$B$4:$B$325=Analítico!$B137),-(Bens!$D$4:$D$325=Analítico!BH$3),(Bens!$G$4:$G$325))</f>
        <v>7500</v>
      </c>
      <c r="BI137" s="134">
        <f>SUMPRODUCT(-(Bens!$B$4:$B$325=Analítico!$B137),-(Bens!$D$4:$D$325=Analítico!BI$3),(Bens!$G$4:$G$325))</f>
        <v>0</v>
      </c>
      <c r="BJ137" s="134">
        <f>SUMPRODUCT(-(Bens!$B$4:$B$325=Analítico!$B137),-(Bens!$D$4:$D$325=Analítico!BJ$3),(Bens!$G$4:$G$325))</f>
        <v>0</v>
      </c>
      <c r="BK137" s="189">
        <f t="shared" si="47"/>
        <v>561814</v>
      </c>
      <c r="BL137" s="136">
        <f t="shared" ca="1" si="48"/>
        <v>1.6791523886246506E-3</v>
      </c>
      <c r="BN137" s="134">
        <f>SUMPRODUCT(-(Bens!$B$4:$B$325=Analítico!$B137),-(Bens!$D$4:$D$325=Analítico!BN$3),(Bens!$G$4:$G$325))</f>
        <v>140716</v>
      </c>
    </row>
    <row r="138" spans="1:66" s="160" customFormat="1" ht="23.25" customHeight="1">
      <c r="A138" s="198" t="s">
        <v>328</v>
      </c>
      <c r="B138" s="209" t="s">
        <v>329</v>
      </c>
      <c r="C138" s="188">
        <f t="shared" si="49"/>
        <v>2600</v>
      </c>
      <c r="D138" s="134">
        <f>SUMPRODUCT(-(Bens!$B$4:$B$325=Analítico!$B138),-(Bens!$D$4:$D$325=Analítico!D$3),(Bens!$G$4:$G$325))</f>
        <v>0</v>
      </c>
      <c r="E138" s="134">
        <f>SUMPRODUCT(-(Bens!$B$4:$B$325=Analítico!$B138),-(Bens!$D$4:$D$325=Analítico!E$3),(Bens!$G$4:$G$325))</f>
        <v>0</v>
      </c>
      <c r="F138" s="134">
        <f>SUMPRODUCT(-(Bens!$B$4:$B$325=Analítico!$B138),-(Bens!$D$4:$D$325=Analítico!F$3),(Bens!$G$4:$G$325))</f>
        <v>0</v>
      </c>
      <c r="G138" s="134">
        <f>SUMPRODUCT(-(Bens!$B$4:$B$325=Analítico!$B138),-(Bens!$D$4:$D$325=Analítico!G$3),(Bens!$G$4:$G$325))</f>
        <v>0</v>
      </c>
      <c r="H138" s="134">
        <f>SUMPRODUCT(-(Bens!$B$4:$B$325=Analítico!$B138),-(Bens!$D$4:$D$325=Analítico!H$3),(Bens!$G$4:$G$325))</f>
        <v>0</v>
      </c>
      <c r="I138" s="134">
        <f>SUMPRODUCT(-(Bens!$B$4:$B$325=Analítico!$B138),-(Bens!$D$4:$D$325=Analítico!I$3),(Bens!$G$4:$G$325))</f>
        <v>0</v>
      </c>
      <c r="J138" s="134">
        <f>SUMPRODUCT(-(Bens!$B$4:$B$325=Analítico!$B138),-(Bens!$D$4:$D$325=Analítico!J$3),(Bens!$G$4:$G$325))</f>
        <v>0</v>
      </c>
      <c r="K138" s="134">
        <f>SUMPRODUCT(-(Bens!$B$4:$B$325=Analítico!$B138),-(Bens!$D$4:$D$325=Analítico!K$3),(Bens!$G$4:$G$325))</f>
        <v>0</v>
      </c>
      <c r="L138" s="134">
        <f>SUMPRODUCT(-(Bens!$B$4:$B$325=Analítico!$B138),-(Bens!$D$4:$D$325=Analítico!L$3),(Bens!$G$4:$G$325))</f>
        <v>0</v>
      </c>
      <c r="M138" s="134">
        <f>SUMPRODUCT(-(Bens!$B$4:$B$325=Analítico!$B138),-(Bens!$D$4:$D$325=Analítico!M$3),(Bens!$G$4:$G$325))</f>
        <v>1300</v>
      </c>
      <c r="N138" s="134">
        <f>SUMPRODUCT(-(Bens!$B$4:$B$325=Analítico!$B138),-(Bens!$D$4:$D$325=Analítico!N$3),(Bens!$G$4:$G$325))</f>
        <v>0</v>
      </c>
      <c r="O138" s="134">
        <f>SUMPRODUCT(-(Bens!$B$4:$B$325=Analítico!$B138),-(Bens!$D$4:$D$325=Analítico!O$3),(Bens!$G$4:$G$325))</f>
        <v>0</v>
      </c>
      <c r="P138" s="134">
        <f>SUMPRODUCT(-(Bens!$B$4:$B$325=Analítico!$B138),-(Bens!$D$4:$D$325=Analítico!P$3),(Bens!$G$4:$G$325))</f>
        <v>0</v>
      </c>
      <c r="Q138" s="134">
        <f>SUMPRODUCT(-(Bens!$B$4:$B$325=Analítico!$B138),-(Bens!$D$4:$D$325=Analítico!Q$3),(Bens!$G$4:$G$325))</f>
        <v>0</v>
      </c>
      <c r="R138" s="134">
        <f>SUMPRODUCT(-(Bens!$B$4:$B$325=Analítico!$B138),-(Bens!$D$4:$D$325=Analítico!R$3),(Bens!$G$4:$G$325))</f>
        <v>6000</v>
      </c>
      <c r="S138" s="134">
        <f>SUMPRODUCT(-(Bens!$B$4:$B$325=Analítico!$B138),-(Bens!$D$4:$D$325=Analítico!S$3),(Bens!$G$4:$G$325))</f>
        <v>0</v>
      </c>
      <c r="T138" s="134">
        <f>SUMPRODUCT(-(Bens!$B$4:$B$325=Analítico!$B138),-(Bens!$D$4:$D$325=Analítico!T$3),(Bens!$G$4:$G$325))</f>
        <v>0</v>
      </c>
      <c r="U138" s="134">
        <f>SUMPRODUCT(-(Bens!$B$4:$B$325=Analítico!$B138),-(Bens!$D$4:$D$325=Analítico!U$3),(Bens!$G$4:$G$325))</f>
        <v>6000</v>
      </c>
      <c r="V138" s="134">
        <f>SUMPRODUCT(-(Bens!$B$4:$B$325=Analítico!$B138),-(Bens!$D$4:$D$325=Analítico!V$3),(Bens!$G$4:$G$325))</f>
        <v>0</v>
      </c>
      <c r="W138" s="134">
        <f>SUMPRODUCT(-(Bens!$B$4:$B$325=Analítico!$B138),-(Bens!$D$4:$D$325=Analítico!W$3),(Bens!$G$4:$G$325))</f>
        <v>0</v>
      </c>
      <c r="X138" s="134">
        <f>SUMPRODUCT(-(Bens!$B$4:$B$325=Analítico!$B138),-(Bens!$D$4:$D$325=Analítico!X$3),(Bens!$G$4:$G$325))</f>
        <v>6000</v>
      </c>
      <c r="Y138" s="134">
        <f>SUMPRODUCT(-(Bens!$B$4:$B$325=Analítico!$B138),-(Bens!$D$4:$D$325=Analítico!Y$3),(Bens!$G$4:$G$325))</f>
        <v>0</v>
      </c>
      <c r="Z138" s="134">
        <f>SUMPRODUCT(-(Bens!$B$4:$B$325=Analítico!$B138),-(Bens!$D$4:$D$325=Analítico!Z$3),(Bens!$G$4:$G$325))</f>
        <v>0</v>
      </c>
      <c r="AA138" s="134">
        <f>SUMPRODUCT(-(Bens!$B$4:$B$325=Analítico!$B138),-(Bens!$D$4:$D$325=Analítico!AA$3),(Bens!$G$4:$G$325))</f>
        <v>6000</v>
      </c>
      <c r="AB138" s="134">
        <f>SUMPRODUCT(-(Bens!$B$4:$B$325=Analítico!$B138),-(Bens!$D$4:$D$325=Analítico!AB$3),(Bens!$G$4:$G$325))</f>
        <v>0</v>
      </c>
      <c r="AC138" s="134">
        <f>SUMPRODUCT(-(Bens!$B$4:$B$325=Analítico!$B138),-(Bens!$D$4:$D$325=Analítico!AC$3),(Bens!$G$4:$G$325))</f>
        <v>0</v>
      </c>
      <c r="AD138" s="134">
        <f>SUMPRODUCT(-(Bens!$B$4:$B$325=Analítico!$B138),-(Bens!$D$4:$D$325=Analítico!AD$3),(Bens!$G$4:$G$325))</f>
        <v>6000</v>
      </c>
      <c r="AE138" s="134">
        <f>SUMPRODUCT(-(Bens!$B$4:$B$325=Analítico!$B138),-(Bens!$D$4:$D$325=Analítico!AE$3),(Bens!$G$4:$G$325))</f>
        <v>0</v>
      </c>
      <c r="AF138" s="134">
        <f>SUMPRODUCT(-(Bens!$B$4:$B$325=Analítico!$B138),-(Bens!$D$4:$D$325=Analítico!AF$3),(Bens!$G$4:$G$325))</f>
        <v>0</v>
      </c>
      <c r="AG138" s="134">
        <f>SUMPRODUCT(-(Bens!$B$4:$B$325=Analítico!$B138),-(Bens!$D$4:$D$325=Analítico!AG$3),(Bens!$G$4:$G$325))</f>
        <v>6000</v>
      </c>
      <c r="AH138" s="134">
        <f>SUMPRODUCT(-(Bens!$B$4:$B$325=Analítico!$B138),-(Bens!$D$4:$D$325=Analítico!AH$3),(Bens!$G$4:$G$325))</f>
        <v>0</v>
      </c>
      <c r="AI138" s="134">
        <f>SUMPRODUCT(-(Bens!$B$4:$B$325=Analítico!$B138),-(Bens!$D$4:$D$325=Analítico!AI$3),(Bens!$G$4:$G$325))</f>
        <v>0</v>
      </c>
      <c r="AJ138" s="134">
        <f>SUMPRODUCT(-(Bens!$B$4:$B$325=Analítico!$B138),-(Bens!$D$4:$D$325=Analítico!AJ$3),(Bens!$G$4:$G$325))</f>
        <v>6000</v>
      </c>
      <c r="AK138" s="134">
        <f>SUMPRODUCT(-(Bens!$B$4:$B$325=Analítico!$B138),-(Bens!$D$4:$D$325=Analítico!AK$3),(Bens!$G$4:$G$325))</f>
        <v>0</v>
      </c>
      <c r="AL138" s="134">
        <f>SUMPRODUCT(-(Bens!$B$4:$B$325=Analítico!$B138),-(Bens!$D$4:$D$325=Analítico!AL$3),(Bens!$G$4:$G$325))</f>
        <v>0</v>
      </c>
      <c r="AM138" s="134">
        <f>SUMPRODUCT(-(Bens!$B$4:$B$325=Analítico!$B138),-(Bens!$D$4:$D$325=Analítico!AM$3),(Bens!$G$4:$G$325))</f>
        <v>6000</v>
      </c>
      <c r="AN138" s="134">
        <f>SUMPRODUCT(-(Bens!$B$4:$B$325=Analítico!$B138),-(Bens!$D$4:$D$325=Analítico!AN$3),(Bens!$G$4:$G$325))</f>
        <v>0</v>
      </c>
      <c r="AO138" s="134">
        <f>SUMPRODUCT(-(Bens!$B$4:$B$325=Analítico!$B138),-(Bens!$D$4:$D$325=Analítico!AO$3),(Bens!$G$4:$G$325))</f>
        <v>0</v>
      </c>
      <c r="AP138" s="134">
        <f>SUMPRODUCT(-(Bens!$B$4:$B$325=Analítico!$B138),-(Bens!$D$4:$D$325=Analítico!AP$3),(Bens!$G$4:$G$325))</f>
        <v>6000</v>
      </c>
      <c r="AQ138" s="134">
        <f>SUMPRODUCT(-(Bens!$B$4:$B$325=Analítico!$B138),-(Bens!$D$4:$D$325=Analítico!AQ$3),(Bens!$G$4:$G$325))</f>
        <v>0</v>
      </c>
      <c r="AR138" s="134">
        <f>SUMPRODUCT(-(Bens!$B$4:$B$325=Analítico!$B138),-(Bens!$D$4:$D$325=Analítico!AR$3),(Bens!$G$4:$G$325))</f>
        <v>0</v>
      </c>
      <c r="AS138" s="134">
        <f>SUMPRODUCT(-(Bens!$B$4:$B$325=Analítico!$B138),-(Bens!$D$4:$D$325=Analítico!AS$3),(Bens!$G$4:$G$325))</f>
        <v>6000</v>
      </c>
      <c r="AT138" s="134">
        <f>SUMPRODUCT(-(Bens!$B$4:$B$325=Analítico!$B138),-(Bens!$D$4:$D$325=Analítico!AT$3),(Bens!$G$4:$G$325))</f>
        <v>0</v>
      </c>
      <c r="AU138" s="134">
        <f>SUMPRODUCT(-(Bens!$B$4:$B$325=Analítico!$B138),-(Bens!$D$4:$D$325=Analítico!AU$3),(Bens!$G$4:$G$325))</f>
        <v>0</v>
      </c>
      <c r="AV138" s="134">
        <f>SUMPRODUCT(-(Bens!$B$4:$B$325=Analítico!$B138),-(Bens!$D$4:$D$325=Analítico!AV$3),(Bens!$G$4:$G$325))</f>
        <v>6000</v>
      </c>
      <c r="AW138" s="134">
        <f>SUMPRODUCT(-(Bens!$B$4:$B$325=Analítico!$B138),-(Bens!$D$4:$D$325=Analítico!AW$3),(Bens!$G$4:$G$325))</f>
        <v>0</v>
      </c>
      <c r="AX138" s="134">
        <f>SUMPRODUCT(-(Bens!$B$4:$B$325=Analítico!$B138),-(Bens!$D$4:$D$325=Analítico!AX$3),(Bens!$G$4:$G$325))</f>
        <v>0</v>
      </c>
      <c r="AY138" s="134">
        <f>SUMPRODUCT(-(Bens!$B$4:$B$325=Analítico!$B138),-(Bens!$D$4:$D$325=Analítico!AY$3),(Bens!$G$4:$G$325))</f>
        <v>6000</v>
      </c>
      <c r="AZ138" s="134">
        <f>SUMPRODUCT(-(Bens!$B$4:$B$325=Analítico!$B138),-(Bens!$D$4:$D$325=Analítico!AZ$3),(Bens!$G$4:$G$325))</f>
        <v>0</v>
      </c>
      <c r="BA138" s="134">
        <f>SUMPRODUCT(-(Bens!$B$4:$B$325=Analítico!$B138),-(Bens!$D$4:$D$325=Analítico!BA$3),(Bens!$G$4:$G$325))</f>
        <v>0</v>
      </c>
      <c r="BB138" s="134">
        <f>SUMPRODUCT(-(Bens!$B$4:$B$325=Analítico!$B138),-(Bens!$D$4:$D$325=Analítico!BB$3),(Bens!$G$4:$G$325))</f>
        <v>6000</v>
      </c>
      <c r="BC138" s="134">
        <f>SUMPRODUCT(-(Bens!$B$4:$B$325=Analítico!$B138),-(Bens!$D$4:$D$325=Analítico!BC$3),(Bens!$G$4:$G$325))</f>
        <v>0</v>
      </c>
      <c r="BD138" s="134">
        <f>SUMPRODUCT(-(Bens!$B$4:$B$325=Analítico!$B138),-(Bens!$D$4:$D$325=Analítico!BD$3),(Bens!$G$4:$G$325))</f>
        <v>0</v>
      </c>
      <c r="BE138" s="134">
        <f>SUMPRODUCT(-(Bens!$B$4:$B$325=Analítico!$B138),-(Bens!$D$4:$D$325=Analítico!BE$3),(Bens!$G$4:$G$325))</f>
        <v>6000</v>
      </c>
      <c r="BF138" s="134">
        <f>SUMPRODUCT(-(Bens!$B$4:$B$325=Analítico!$B138),-(Bens!$D$4:$D$325=Analítico!BF$3),(Bens!$G$4:$G$325))</f>
        <v>0</v>
      </c>
      <c r="BG138" s="134">
        <f>SUMPRODUCT(-(Bens!$B$4:$B$325=Analítico!$B138),-(Bens!$D$4:$D$325=Analítico!BG$3),(Bens!$G$4:$G$325))</f>
        <v>0</v>
      </c>
      <c r="BH138" s="134">
        <f>SUMPRODUCT(-(Bens!$B$4:$B$325=Analítico!$B138),-(Bens!$D$4:$D$325=Analítico!BH$3),(Bens!$G$4:$G$325))</f>
        <v>6000</v>
      </c>
      <c r="BI138" s="134">
        <f>SUMPRODUCT(-(Bens!$B$4:$B$325=Analítico!$B138),-(Bens!$D$4:$D$325=Analítico!BI$3),(Bens!$G$4:$G$325))</f>
        <v>0</v>
      </c>
      <c r="BJ138" s="134">
        <f>SUMPRODUCT(-(Bens!$B$4:$B$325=Analítico!$B138),-(Bens!$D$4:$D$325=Analítico!BJ$3),(Bens!$G$4:$G$325))</f>
        <v>0</v>
      </c>
      <c r="BK138" s="189">
        <f t="shared" si="47"/>
        <v>93900</v>
      </c>
      <c r="BL138" s="136">
        <f t="shared" ca="1" si="48"/>
        <v>2.8064877217700998E-4</v>
      </c>
      <c r="BN138" s="134">
        <f>SUMPRODUCT(-(Bens!$B$4:$B$325=Analítico!$B138),-(Bens!$D$4:$D$325=Analítico!BN$3),(Bens!$G$4:$G$325))</f>
        <v>2600</v>
      </c>
    </row>
    <row r="139" spans="1:66" s="160" customFormat="1" ht="23.25" customHeight="1">
      <c r="A139" s="198" t="s">
        <v>330</v>
      </c>
      <c r="B139" s="209" t="s">
        <v>331</v>
      </c>
      <c r="C139" s="188">
        <f t="shared" si="49"/>
        <v>2407</v>
      </c>
      <c r="D139" s="134">
        <f>SUMPRODUCT(-(Bens!$B$4:$B$325=Analítico!$B139),-(Bens!$D$4:$D$325=Analítico!D$3),(Bens!$G$4:$G$325))</f>
        <v>8400</v>
      </c>
      <c r="E139" s="134">
        <f>SUMPRODUCT(-(Bens!$B$4:$B$325=Analítico!$B139),-(Bens!$D$4:$D$325=Analítico!E$3),(Bens!$G$4:$G$325))</f>
        <v>0</v>
      </c>
      <c r="F139" s="134">
        <f>SUMPRODUCT(-(Bens!$B$4:$B$325=Analítico!$B139),-(Bens!$D$4:$D$325=Analítico!F$3),(Bens!$G$4:$G$325))</f>
        <v>6000</v>
      </c>
      <c r="G139" s="134">
        <f>SUMPRODUCT(-(Bens!$B$4:$B$325=Analítico!$B139),-(Bens!$D$4:$D$325=Analítico!G$3),(Bens!$G$4:$G$325))</f>
        <v>0</v>
      </c>
      <c r="H139" s="134">
        <f>SUMPRODUCT(-(Bens!$B$4:$B$325=Analítico!$B139),-(Bens!$D$4:$D$325=Analítico!H$3),(Bens!$G$4:$G$325))</f>
        <v>0</v>
      </c>
      <c r="I139" s="134">
        <f>SUMPRODUCT(-(Bens!$B$4:$B$325=Analítico!$B139),-(Bens!$D$4:$D$325=Analítico!I$3),(Bens!$G$4:$G$325))</f>
        <v>6000</v>
      </c>
      <c r="J139" s="134">
        <f>SUMPRODUCT(-(Bens!$B$4:$B$325=Analítico!$B139),-(Bens!$D$4:$D$325=Analítico!J$3),(Bens!$G$4:$G$325))</f>
        <v>0</v>
      </c>
      <c r="K139" s="134">
        <f>SUMPRODUCT(-(Bens!$B$4:$B$325=Analítico!$B139),-(Bens!$D$4:$D$325=Analítico!K$3),(Bens!$G$4:$G$325))</f>
        <v>0</v>
      </c>
      <c r="L139" s="134">
        <f>SUMPRODUCT(-(Bens!$B$4:$B$325=Analítico!$B139),-(Bens!$D$4:$D$325=Analítico!L$3),(Bens!$G$4:$G$325))</f>
        <v>6000</v>
      </c>
      <c r="M139" s="134">
        <f>SUMPRODUCT(-(Bens!$B$4:$B$325=Analítico!$B139),-(Bens!$D$4:$D$325=Analítico!M$3),(Bens!$G$4:$G$325))</f>
        <v>0</v>
      </c>
      <c r="N139" s="134">
        <f>SUMPRODUCT(-(Bens!$B$4:$B$325=Analítico!$B139),-(Bens!$D$4:$D$325=Analítico!N$3),(Bens!$G$4:$G$325))</f>
        <v>0</v>
      </c>
      <c r="O139" s="134">
        <f>SUMPRODUCT(-(Bens!$B$4:$B$325=Analítico!$B139),-(Bens!$D$4:$D$325=Analítico!O$3),(Bens!$G$4:$G$325))</f>
        <v>0</v>
      </c>
      <c r="P139" s="134">
        <f>SUMPRODUCT(-(Bens!$B$4:$B$325=Analítico!$B139),-(Bens!$D$4:$D$325=Analítico!P$3),(Bens!$G$4:$G$325))</f>
        <v>0</v>
      </c>
      <c r="Q139" s="134">
        <f>SUMPRODUCT(-(Bens!$B$4:$B$325=Analítico!$B139),-(Bens!$D$4:$D$325=Analítico!Q$3),(Bens!$G$4:$G$325))</f>
        <v>6000</v>
      </c>
      <c r="R139" s="134">
        <f>SUMPRODUCT(-(Bens!$B$4:$B$325=Analítico!$B139),-(Bens!$D$4:$D$325=Analítico!R$3),(Bens!$G$4:$G$325))</f>
        <v>6000</v>
      </c>
      <c r="S139" s="134">
        <f>SUMPRODUCT(-(Bens!$B$4:$B$325=Analítico!$B139),-(Bens!$D$4:$D$325=Analítico!S$3),(Bens!$G$4:$G$325))</f>
        <v>0</v>
      </c>
      <c r="T139" s="134">
        <f>SUMPRODUCT(-(Bens!$B$4:$B$325=Analítico!$B139),-(Bens!$D$4:$D$325=Analítico!T$3),(Bens!$G$4:$G$325))</f>
        <v>0</v>
      </c>
      <c r="U139" s="134">
        <f>SUMPRODUCT(-(Bens!$B$4:$B$325=Analítico!$B139),-(Bens!$D$4:$D$325=Analítico!U$3),(Bens!$G$4:$G$325))</f>
        <v>6000</v>
      </c>
      <c r="V139" s="134">
        <f>SUMPRODUCT(-(Bens!$B$4:$B$325=Analítico!$B139),-(Bens!$D$4:$D$325=Analítico!V$3),(Bens!$G$4:$G$325))</f>
        <v>0</v>
      </c>
      <c r="W139" s="134">
        <f>SUMPRODUCT(-(Bens!$B$4:$B$325=Analítico!$B139),-(Bens!$D$4:$D$325=Analítico!W$3),(Bens!$G$4:$G$325))</f>
        <v>0</v>
      </c>
      <c r="X139" s="134">
        <f>SUMPRODUCT(-(Bens!$B$4:$B$325=Analítico!$B139),-(Bens!$D$4:$D$325=Analítico!X$3),(Bens!$G$4:$G$325))</f>
        <v>6000</v>
      </c>
      <c r="Y139" s="134">
        <f>SUMPRODUCT(-(Bens!$B$4:$B$325=Analítico!$B139),-(Bens!$D$4:$D$325=Analítico!Y$3),(Bens!$G$4:$G$325))</f>
        <v>0</v>
      </c>
      <c r="Z139" s="134">
        <f>SUMPRODUCT(-(Bens!$B$4:$B$325=Analítico!$B139),-(Bens!$D$4:$D$325=Analítico!Z$3),(Bens!$G$4:$G$325))</f>
        <v>0</v>
      </c>
      <c r="AA139" s="134">
        <f>SUMPRODUCT(-(Bens!$B$4:$B$325=Analítico!$B139),-(Bens!$D$4:$D$325=Analítico!AA$3),(Bens!$G$4:$G$325))</f>
        <v>6000</v>
      </c>
      <c r="AB139" s="134">
        <f>SUMPRODUCT(-(Bens!$B$4:$B$325=Analítico!$B139),-(Bens!$D$4:$D$325=Analítico!AB$3),(Bens!$G$4:$G$325))</f>
        <v>0</v>
      </c>
      <c r="AC139" s="134">
        <f>SUMPRODUCT(-(Bens!$B$4:$B$325=Analítico!$B139),-(Bens!$D$4:$D$325=Analítico!AC$3),(Bens!$G$4:$G$325))</f>
        <v>0</v>
      </c>
      <c r="AD139" s="134">
        <f>SUMPRODUCT(-(Bens!$B$4:$B$325=Analítico!$B139),-(Bens!$D$4:$D$325=Analítico!AD$3),(Bens!$G$4:$G$325))</f>
        <v>6000</v>
      </c>
      <c r="AE139" s="134">
        <f>SUMPRODUCT(-(Bens!$B$4:$B$325=Analítico!$B139),-(Bens!$D$4:$D$325=Analítico!AE$3),(Bens!$G$4:$G$325))</f>
        <v>0</v>
      </c>
      <c r="AF139" s="134">
        <f>SUMPRODUCT(-(Bens!$B$4:$B$325=Analítico!$B139),-(Bens!$D$4:$D$325=Analítico!AF$3),(Bens!$G$4:$G$325))</f>
        <v>0</v>
      </c>
      <c r="AG139" s="134">
        <f>SUMPRODUCT(-(Bens!$B$4:$B$325=Analítico!$B139),-(Bens!$D$4:$D$325=Analítico!AG$3),(Bens!$G$4:$G$325))</f>
        <v>6000</v>
      </c>
      <c r="AH139" s="134">
        <f>SUMPRODUCT(-(Bens!$B$4:$B$325=Analítico!$B139),-(Bens!$D$4:$D$325=Analítico!AH$3),(Bens!$G$4:$G$325))</f>
        <v>0</v>
      </c>
      <c r="AI139" s="134">
        <f>SUMPRODUCT(-(Bens!$B$4:$B$325=Analítico!$B139),-(Bens!$D$4:$D$325=Analítico!AI$3),(Bens!$G$4:$G$325))</f>
        <v>0</v>
      </c>
      <c r="AJ139" s="134">
        <f>SUMPRODUCT(-(Bens!$B$4:$B$325=Analítico!$B139),-(Bens!$D$4:$D$325=Analítico!AJ$3),(Bens!$G$4:$G$325))</f>
        <v>6000</v>
      </c>
      <c r="AK139" s="134">
        <f>SUMPRODUCT(-(Bens!$B$4:$B$325=Analítico!$B139),-(Bens!$D$4:$D$325=Analítico!AK$3),(Bens!$G$4:$G$325))</f>
        <v>0</v>
      </c>
      <c r="AL139" s="134">
        <f>SUMPRODUCT(-(Bens!$B$4:$B$325=Analítico!$B139),-(Bens!$D$4:$D$325=Analítico!AL$3),(Bens!$G$4:$G$325))</f>
        <v>0</v>
      </c>
      <c r="AM139" s="134">
        <f>SUMPRODUCT(-(Bens!$B$4:$B$325=Analítico!$B139),-(Bens!$D$4:$D$325=Analítico!AM$3),(Bens!$G$4:$G$325))</f>
        <v>6000</v>
      </c>
      <c r="AN139" s="134">
        <f>SUMPRODUCT(-(Bens!$B$4:$B$325=Analítico!$B139),-(Bens!$D$4:$D$325=Analítico!AN$3),(Bens!$G$4:$G$325))</f>
        <v>0</v>
      </c>
      <c r="AO139" s="134">
        <f>SUMPRODUCT(-(Bens!$B$4:$B$325=Analítico!$B139),-(Bens!$D$4:$D$325=Analítico!AO$3),(Bens!$G$4:$G$325))</f>
        <v>0</v>
      </c>
      <c r="AP139" s="134">
        <f>SUMPRODUCT(-(Bens!$B$4:$B$325=Analítico!$B139),-(Bens!$D$4:$D$325=Analítico!AP$3),(Bens!$G$4:$G$325))</f>
        <v>6000</v>
      </c>
      <c r="AQ139" s="134">
        <f>SUMPRODUCT(-(Bens!$B$4:$B$325=Analítico!$B139),-(Bens!$D$4:$D$325=Analítico!AQ$3),(Bens!$G$4:$G$325))</f>
        <v>0</v>
      </c>
      <c r="AR139" s="134">
        <f>SUMPRODUCT(-(Bens!$B$4:$B$325=Analítico!$B139),-(Bens!$D$4:$D$325=Analítico!AR$3),(Bens!$G$4:$G$325))</f>
        <v>0</v>
      </c>
      <c r="AS139" s="134">
        <f>SUMPRODUCT(-(Bens!$B$4:$B$325=Analítico!$B139),-(Bens!$D$4:$D$325=Analítico!AS$3),(Bens!$G$4:$G$325))</f>
        <v>6000</v>
      </c>
      <c r="AT139" s="134">
        <f>SUMPRODUCT(-(Bens!$B$4:$B$325=Analítico!$B139),-(Bens!$D$4:$D$325=Analítico!AT$3),(Bens!$G$4:$G$325))</f>
        <v>0</v>
      </c>
      <c r="AU139" s="134">
        <f>SUMPRODUCT(-(Bens!$B$4:$B$325=Analítico!$B139),-(Bens!$D$4:$D$325=Analítico!AU$3),(Bens!$G$4:$G$325))</f>
        <v>0</v>
      </c>
      <c r="AV139" s="134">
        <f>SUMPRODUCT(-(Bens!$B$4:$B$325=Analítico!$B139),-(Bens!$D$4:$D$325=Analítico!AV$3),(Bens!$G$4:$G$325))</f>
        <v>6000</v>
      </c>
      <c r="AW139" s="134">
        <f>SUMPRODUCT(-(Bens!$B$4:$B$325=Analítico!$B139),-(Bens!$D$4:$D$325=Analítico!AW$3),(Bens!$G$4:$G$325))</f>
        <v>0</v>
      </c>
      <c r="AX139" s="134">
        <f>SUMPRODUCT(-(Bens!$B$4:$B$325=Analítico!$B139),-(Bens!$D$4:$D$325=Analítico!AX$3),(Bens!$G$4:$G$325))</f>
        <v>0</v>
      </c>
      <c r="AY139" s="134">
        <f>SUMPRODUCT(-(Bens!$B$4:$B$325=Analítico!$B139),-(Bens!$D$4:$D$325=Analítico!AY$3),(Bens!$G$4:$G$325))</f>
        <v>6000</v>
      </c>
      <c r="AZ139" s="134">
        <f>SUMPRODUCT(-(Bens!$B$4:$B$325=Analítico!$B139),-(Bens!$D$4:$D$325=Analítico!AZ$3),(Bens!$G$4:$G$325))</f>
        <v>0</v>
      </c>
      <c r="BA139" s="134">
        <f>SUMPRODUCT(-(Bens!$B$4:$B$325=Analítico!$B139),-(Bens!$D$4:$D$325=Analítico!BA$3),(Bens!$G$4:$G$325))</f>
        <v>0</v>
      </c>
      <c r="BB139" s="134">
        <f>SUMPRODUCT(-(Bens!$B$4:$B$325=Analítico!$B139),-(Bens!$D$4:$D$325=Analítico!BB$3),(Bens!$G$4:$G$325))</f>
        <v>6000</v>
      </c>
      <c r="BC139" s="134">
        <f>SUMPRODUCT(-(Bens!$B$4:$B$325=Analítico!$B139),-(Bens!$D$4:$D$325=Analítico!BC$3),(Bens!$G$4:$G$325))</f>
        <v>0</v>
      </c>
      <c r="BD139" s="134">
        <f>SUMPRODUCT(-(Bens!$B$4:$B$325=Analítico!$B139),-(Bens!$D$4:$D$325=Analítico!BD$3),(Bens!$G$4:$G$325))</f>
        <v>0</v>
      </c>
      <c r="BE139" s="134">
        <f>SUMPRODUCT(-(Bens!$B$4:$B$325=Analítico!$B139),-(Bens!$D$4:$D$325=Analítico!BE$3),(Bens!$G$4:$G$325))</f>
        <v>6000</v>
      </c>
      <c r="BF139" s="134">
        <f>SUMPRODUCT(-(Bens!$B$4:$B$325=Analítico!$B139),-(Bens!$D$4:$D$325=Analítico!BF$3),(Bens!$G$4:$G$325))</f>
        <v>0</v>
      </c>
      <c r="BG139" s="134">
        <f>SUMPRODUCT(-(Bens!$B$4:$B$325=Analítico!$B139),-(Bens!$D$4:$D$325=Analítico!BG$3),(Bens!$G$4:$G$325))</f>
        <v>0</v>
      </c>
      <c r="BH139" s="134">
        <f>SUMPRODUCT(-(Bens!$B$4:$B$325=Analítico!$B139),-(Bens!$D$4:$D$325=Analítico!BH$3),(Bens!$G$4:$G$325))</f>
        <v>6000</v>
      </c>
      <c r="BI139" s="134">
        <f>SUMPRODUCT(-(Bens!$B$4:$B$325=Analítico!$B139),-(Bens!$D$4:$D$325=Analítico!BI$3),(Bens!$G$4:$G$325))</f>
        <v>0</v>
      </c>
      <c r="BJ139" s="134">
        <f>SUMPRODUCT(-(Bens!$B$4:$B$325=Analítico!$B139),-(Bens!$D$4:$D$325=Analítico!BJ$3),(Bens!$G$4:$G$325))</f>
        <v>0</v>
      </c>
      <c r="BK139" s="189">
        <f t="shared" si="47"/>
        <v>124807</v>
      </c>
      <c r="BL139" s="136">
        <f t="shared" ca="1" si="48"/>
        <v>3.7302376261018198E-4</v>
      </c>
      <c r="BN139" s="134">
        <f>SUMPRODUCT(-(Bens!$B$4:$B$325=Analítico!$B139),-(Bens!$D$4:$D$325=Analítico!BN$3),(Bens!$G$4:$G$325))</f>
        <v>2407</v>
      </c>
    </row>
    <row r="140" spans="1:66" s="160" customFormat="1" ht="23.25" customHeight="1">
      <c r="A140" s="198" t="s">
        <v>332</v>
      </c>
      <c r="B140" s="209" t="s">
        <v>333</v>
      </c>
      <c r="C140" s="188">
        <f t="shared" si="49"/>
        <v>19200</v>
      </c>
      <c r="D140" s="134">
        <f>SUMPRODUCT(-(Bens!$B$4:$B$325=Analítico!$B140),-(Bens!$D$4:$D$325=Analítico!D$3),(Bens!$G$4:$G$325))</f>
        <v>0</v>
      </c>
      <c r="E140" s="134">
        <f>SUMPRODUCT(-(Bens!$B$4:$B$325=Analítico!$B140),-(Bens!$D$4:$D$325=Analítico!E$3),(Bens!$G$4:$G$325))</f>
        <v>0</v>
      </c>
      <c r="F140" s="134">
        <f>SUMPRODUCT(-(Bens!$B$4:$B$325=Analítico!$B140),-(Bens!$D$4:$D$325=Analítico!F$3),(Bens!$G$4:$G$325))</f>
        <v>10500</v>
      </c>
      <c r="G140" s="134">
        <f>SUMPRODUCT(-(Bens!$B$4:$B$325=Analítico!$B140),-(Bens!$D$4:$D$325=Analítico!G$3),(Bens!$G$4:$G$325))</f>
        <v>0</v>
      </c>
      <c r="H140" s="134">
        <f>SUMPRODUCT(-(Bens!$B$4:$B$325=Analítico!$B140),-(Bens!$D$4:$D$325=Analítico!H$3),(Bens!$G$4:$G$325))</f>
        <v>0</v>
      </c>
      <c r="I140" s="134">
        <f>SUMPRODUCT(-(Bens!$B$4:$B$325=Analítico!$B140),-(Bens!$D$4:$D$325=Analítico!I$3),(Bens!$G$4:$G$325))</f>
        <v>0</v>
      </c>
      <c r="J140" s="134">
        <f>SUMPRODUCT(-(Bens!$B$4:$B$325=Analítico!$B140),-(Bens!$D$4:$D$325=Analítico!J$3),(Bens!$G$4:$G$325))</f>
        <v>0</v>
      </c>
      <c r="K140" s="134">
        <f>SUMPRODUCT(-(Bens!$B$4:$B$325=Analítico!$B140),-(Bens!$D$4:$D$325=Analítico!K$3),(Bens!$G$4:$G$325))</f>
        <v>0</v>
      </c>
      <c r="L140" s="134">
        <f>SUMPRODUCT(-(Bens!$B$4:$B$325=Analítico!$B140),-(Bens!$D$4:$D$325=Analítico!L$3),(Bens!$G$4:$G$325))</f>
        <v>0</v>
      </c>
      <c r="M140" s="134">
        <f>SUMPRODUCT(-(Bens!$B$4:$B$325=Analítico!$B140),-(Bens!$D$4:$D$325=Analítico!M$3),(Bens!$G$4:$G$325))</f>
        <v>6400</v>
      </c>
      <c r="N140" s="134">
        <f>SUMPRODUCT(-(Bens!$B$4:$B$325=Analítico!$B140),-(Bens!$D$4:$D$325=Analítico!N$3),(Bens!$G$4:$G$325))</f>
        <v>0</v>
      </c>
      <c r="O140" s="134">
        <f>SUMPRODUCT(-(Bens!$B$4:$B$325=Analítico!$B140),-(Bens!$D$4:$D$325=Analítico!O$3),(Bens!$G$4:$G$325))</f>
        <v>0</v>
      </c>
      <c r="P140" s="134">
        <f>SUMPRODUCT(-(Bens!$B$4:$B$325=Analítico!$B140),-(Bens!$D$4:$D$325=Analítico!P$3),(Bens!$G$4:$G$325))</f>
        <v>0</v>
      </c>
      <c r="Q140" s="134">
        <f>SUMPRODUCT(-(Bens!$B$4:$B$325=Analítico!$B140),-(Bens!$D$4:$D$325=Analítico!Q$3),(Bens!$G$4:$G$325))</f>
        <v>218255</v>
      </c>
      <c r="R140" s="134">
        <f>SUMPRODUCT(-(Bens!$B$4:$B$325=Analítico!$B140),-(Bens!$D$4:$D$325=Analítico!R$3),(Bens!$G$4:$G$325))</f>
        <v>10500</v>
      </c>
      <c r="S140" s="134">
        <f>SUMPRODUCT(-(Bens!$B$4:$B$325=Analítico!$B140),-(Bens!$D$4:$D$325=Analítico!S$3),(Bens!$G$4:$G$325))</f>
        <v>72200</v>
      </c>
      <c r="T140" s="134">
        <f>SUMPRODUCT(-(Bens!$B$4:$B$325=Analítico!$B140),-(Bens!$D$4:$D$325=Analítico!T$3),(Bens!$G$4:$G$325))</f>
        <v>0</v>
      </c>
      <c r="U140" s="134">
        <f>SUMPRODUCT(-(Bens!$B$4:$B$325=Analítico!$B140),-(Bens!$D$4:$D$325=Analítico!U$3),(Bens!$G$4:$G$325))</f>
        <v>10500</v>
      </c>
      <c r="V140" s="134">
        <f>SUMPRODUCT(-(Bens!$B$4:$B$325=Analítico!$B140),-(Bens!$D$4:$D$325=Analítico!V$3),(Bens!$G$4:$G$325))</f>
        <v>0</v>
      </c>
      <c r="W140" s="134">
        <f>SUMPRODUCT(-(Bens!$B$4:$B$325=Analítico!$B140),-(Bens!$D$4:$D$325=Analítico!W$3),(Bens!$G$4:$G$325))</f>
        <v>0</v>
      </c>
      <c r="X140" s="134">
        <f>SUMPRODUCT(-(Bens!$B$4:$B$325=Analítico!$B140),-(Bens!$D$4:$D$325=Analítico!X$3),(Bens!$G$4:$G$325))</f>
        <v>10500</v>
      </c>
      <c r="Y140" s="134">
        <f>SUMPRODUCT(-(Bens!$B$4:$B$325=Analítico!$B140),-(Bens!$D$4:$D$325=Analítico!Y$3),(Bens!$G$4:$G$325))</f>
        <v>0</v>
      </c>
      <c r="Z140" s="134">
        <f>SUMPRODUCT(-(Bens!$B$4:$B$325=Analítico!$B140),-(Bens!$D$4:$D$325=Analítico!Z$3),(Bens!$G$4:$G$325))</f>
        <v>0</v>
      </c>
      <c r="AA140" s="134">
        <f>SUMPRODUCT(-(Bens!$B$4:$B$325=Analítico!$B140),-(Bens!$D$4:$D$325=Analítico!AA$3),(Bens!$G$4:$G$325))</f>
        <v>10500</v>
      </c>
      <c r="AB140" s="134">
        <f>SUMPRODUCT(-(Bens!$B$4:$B$325=Analítico!$B140),-(Bens!$D$4:$D$325=Analítico!AB$3),(Bens!$G$4:$G$325))</f>
        <v>0</v>
      </c>
      <c r="AC140" s="134">
        <f>SUMPRODUCT(-(Bens!$B$4:$B$325=Analítico!$B140),-(Bens!$D$4:$D$325=Analítico!AC$3),(Bens!$G$4:$G$325))</f>
        <v>0</v>
      </c>
      <c r="AD140" s="134">
        <f>SUMPRODUCT(-(Bens!$B$4:$B$325=Analítico!$B140),-(Bens!$D$4:$D$325=Analítico!AD$3),(Bens!$G$4:$G$325))</f>
        <v>10500</v>
      </c>
      <c r="AE140" s="134">
        <f>SUMPRODUCT(-(Bens!$B$4:$B$325=Analítico!$B140),-(Bens!$D$4:$D$325=Analítico!AE$3),(Bens!$G$4:$G$325))</f>
        <v>0</v>
      </c>
      <c r="AF140" s="134">
        <f>SUMPRODUCT(-(Bens!$B$4:$B$325=Analítico!$B140),-(Bens!$D$4:$D$325=Analítico!AF$3),(Bens!$G$4:$G$325))</f>
        <v>0</v>
      </c>
      <c r="AG140" s="134">
        <f>SUMPRODUCT(-(Bens!$B$4:$B$325=Analítico!$B140),-(Bens!$D$4:$D$325=Analítico!AG$3),(Bens!$G$4:$G$325))</f>
        <v>107164</v>
      </c>
      <c r="AH140" s="134">
        <f>SUMPRODUCT(-(Bens!$B$4:$B$325=Analítico!$B140),-(Bens!$D$4:$D$325=Analítico!AH$3),(Bens!$G$4:$G$325))</f>
        <v>0</v>
      </c>
      <c r="AI140" s="134">
        <f>SUMPRODUCT(-(Bens!$B$4:$B$325=Analítico!$B140),-(Bens!$D$4:$D$325=Analítico!AI$3),(Bens!$G$4:$G$325))</f>
        <v>0</v>
      </c>
      <c r="AJ140" s="134">
        <f>SUMPRODUCT(-(Bens!$B$4:$B$325=Analítico!$B140),-(Bens!$D$4:$D$325=Analítico!AJ$3),(Bens!$G$4:$G$325))</f>
        <v>10500</v>
      </c>
      <c r="AK140" s="134">
        <f>SUMPRODUCT(-(Bens!$B$4:$B$325=Analítico!$B140),-(Bens!$D$4:$D$325=Analítico!AK$3),(Bens!$G$4:$G$325))</f>
        <v>0</v>
      </c>
      <c r="AL140" s="134">
        <f>SUMPRODUCT(-(Bens!$B$4:$B$325=Analítico!$B140),-(Bens!$D$4:$D$325=Analítico!AL$3),(Bens!$G$4:$G$325))</f>
        <v>0</v>
      </c>
      <c r="AM140" s="134">
        <f>SUMPRODUCT(-(Bens!$B$4:$B$325=Analítico!$B140),-(Bens!$D$4:$D$325=Analítico!AM$3),(Bens!$G$4:$G$325))</f>
        <v>10500</v>
      </c>
      <c r="AN140" s="134">
        <f>SUMPRODUCT(-(Bens!$B$4:$B$325=Analítico!$B140),-(Bens!$D$4:$D$325=Analítico!AN$3),(Bens!$G$4:$G$325))</f>
        <v>0</v>
      </c>
      <c r="AO140" s="134">
        <f>SUMPRODUCT(-(Bens!$B$4:$B$325=Analítico!$B140),-(Bens!$D$4:$D$325=Analítico!AO$3),(Bens!$G$4:$G$325))</f>
        <v>0</v>
      </c>
      <c r="AP140" s="134">
        <f>SUMPRODUCT(-(Bens!$B$4:$B$325=Analítico!$B140),-(Bens!$D$4:$D$325=Analítico!AP$3),(Bens!$G$4:$G$325))</f>
        <v>10500</v>
      </c>
      <c r="AQ140" s="134">
        <f>SUMPRODUCT(-(Bens!$B$4:$B$325=Analítico!$B140),-(Bens!$D$4:$D$325=Analítico!AQ$3),(Bens!$G$4:$G$325))</f>
        <v>0</v>
      </c>
      <c r="AR140" s="134">
        <f>SUMPRODUCT(-(Bens!$B$4:$B$325=Analítico!$B140),-(Bens!$D$4:$D$325=Analítico!AR$3),(Bens!$G$4:$G$325))</f>
        <v>0</v>
      </c>
      <c r="AS140" s="134">
        <f>SUMPRODUCT(-(Bens!$B$4:$B$325=Analítico!$B140),-(Bens!$D$4:$D$325=Analítico!AS$3),(Bens!$G$4:$G$325))</f>
        <v>10500</v>
      </c>
      <c r="AT140" s="134">
        <f>SUMPRODUCT(-(Bens!$B$4:$B$325=Analítico!$B140),-(Bens!$D$4:$D$325=Analítico!AT$3),(Bens!$G$4:$G$325))</f>
        <v>0</v>
      </c>
      <c r="AU140" s="134">
        <f>SUMPRODUCT(-(Bens!$B$4:$B$325=Analítico!$B140),-(Bens!$D$4:$D$325=Analítico!AU$3),(Bens!$G$4:$G$325))</f>
        <v>0</v>
      </c>
      <c r="AV140" s="134">
        <f>SUMPRODUCT(-(Bens!$B$4:$B$325=Analítico!$B140),-(Bens!$D$4:$D$325=Analítico!AV$3),(Bens!$G$4:$G$325))</f>
        <v>10500</v>
      </c>
      <c r="AW140" s="134">
        <f>SUMPRODUCT(-(Bens!$B$4:$B$325=Analítico!$B140),-(Bens!$D$4:$D$325=Analítico!AW$3),(Bens!$G$4:$G$325))</f>
        <v>0</v>
      </c>
      <c r="AX140" s="134">
        <f>SUMPRODUCT(-(Bens!$B$4:$B$325=Analítico!$B140),-(Bens!$D$4:$D$325=Analítico!AX$3),(Bens!$G$4:$G$325))</f>
        <v>0</v>
      </c>
      <c r="AY140" s="134">
        <f>SUMPRODUCT(-(Bens!$B$4:$B$325=Analítico!$B140),-(Bens!$D$4:$D$325=Analítico!AY$3),(Bens!$G$4:$G$325))</f>
        <v>10500</v>
      </c>
      <c r="AZ140" s="134">
        <f>SUMPRODUCT(-(Bens!$B$4:$B$325=Analítico!$B140),-(Bens!$D$4:$D$325=Analítico!AZ$3),(Bens!$G$4:$G$325))</f>
        <v>0</v>
      </c>
      <c r="BA140" s="134">
        <f>SUMPRODUCT(-(Bens!$B$4:$B$325=Analítico!$B140),-(Bens!$D$4:$D$325=Analítico!BA$3),(Bens!$G$4:$G$325))</f>
        <v>0</v>
      </c>
      <c r="BB140" s="134">
        <f>SUMPRODUCT(-(Bens!$B$4:$B$325=Analítico!$B140),-(Bens!$D$4:$D$325=Analítico!BB$3),(Bens!$G$4:$G$325))</f>
        <v>10500</v>
      </c>
      <c r="BC140" s="134">
        <f>SUMPRODUCT(-(Bens!$B$4:$B$325=Analítico!$B140),-(Bens!$D$4:$D$325=Analítico!BC$3),(Bens!$G$4:$G$325))</f>
        <v>0</v>
      </c>
      <c r="BD140" s="134">
        <f>SUMPRODUCT(-(Bens!$B$4:$B$325=Analítico!$B140),-(Bens!$D$4:$D$325=Analítico!BD$3),(Bens!$G$4:$G$325))</f>
        <v>0</v>
      </c>
      <c r="BE140" s="134">
        <f>SUMPRODUCT(-(Bens!$B$4:$B$325=Analítico!$B140),-(Bens!$D$4:$D$325=Analítico!BE$3),(Bens!$G$4:$G$325))</f>
        <v>10500</v>
      </c>
      <c r="BF140" s="134">
        <f>SUMPRODUCT(-(Bens!$B$4:$B$325=Analítico!$B140),-(Bens!$D$4:$D$325=Analítico!BF$3),(Bens!$G$4:$G$325))</f>
        <v>0</v>
      </c>
      <c r="BG140" s="134">
        <f>SUMPRODUCT(-(Bens!$B$4:$B$325=Analítico!$B140),-(Bens!$D$4:$D$325=Analítico!BG$3),(Bens!$G$4:$G$325))</f>
        <v>0</v>
      </c>
      <c r="BH140" s="134">
        <f>SUMPRODUCT(-(Bens!$B$4:$B$325=Analítico!$B140),-(Bens!$D$4:$D$325=Analítico!BH$3),(Bens!$G$4:$G$325))</f>
        <v>10500</v>
      </c>
      <c r="BI140" s="134">
        <f>SUMPRODUCT(-(Bens!$B$4:$B$325=Analítico!$B140),-(Bens!$D$4:$D$325=Analítico!BI$3),(Bens!$G$4:$G$325))</f>
        <v>0</v>
      </c>
      <c r="BJ140" s="134">
        <f>SUMPRODUCT(-(Bens!$B$4:$B$325=Analítico!$B140),-(Bens!$D$4:$D$325=Analítico!BJ$3),(Bens!$G$4:$G$325))</f>
        <v>0</v>
      </c>
      <c r="BK140" s="189">
        <f t="shared" si="47"/>
        <v>580719</v>
      </c>
      <c r="BL140" s="136">
        <f t="shared" ca="1" si="48"/>
        <v>1.7356557436619922E-3</v>
      </c>
      <c r="BN140" s="134">
        <f>SUMPRODUCT(-(Bens!$B$4:$B$325=Analítico!$B140),-(Bens!$D$4:$D$325=Analítico!BN$3),(Bens!$G$4:$G$325))</f>
        <v>19200</v>
      </c>
    </row>
    <row r="141" spans="1:66" s="160" customFormat="1" ht="23.25" customHeight="1">
      <c r="A141" s="198" t="s">
        <v>334</v>
      </c>
      <c r="B141" s="209" t="s">
        <v>335</v>
      </c>
      <c r="C141" s="188">
        <f t="shared" si="49"/>
        <v>283810</v>
      </c>
      <c r="D141" s="134">
        <f>SUMPRODUCT(-(Bens!$B$4:$B$325=Analítico!$B141),-(Bens!$D$4:$D$325=Analítico!D$3),(Bens!$G$4:$G$325))</f>
        <v>0</v>
      </c>
      <c r="E141" s="134">
        <f>SUMPRODUCT(-(Bens!$B$4:$B$325=Analítico!$B141),-(Bens!$D$4:$D$325=Analítico!E$3),(Bens!$G$4:$G$325))</f>
        <v>0</v>
      </c>
      <c r="F141" s="134">
        <f>SUMPRODUCT(-(Bens!$B$4:$B$325=Analítico!$B141),-(Bens!$D$4:$D$325=Analítico!F$3),(Bens!$G$4:$G$325))</f>
        <v>0</v>
      </c>
      <c r="G141" s="134">
        <f>SUMPRODUCT(-(Bens!$B$4:$B$325=Analítico!$B141),-(Bens!$D$4:$D$325=Analítico!G$3),(Bens!$G$4:$G$325))</f>
        <v>0</v>
      </c>
      <c r="H141" s="134">
        <f>SUMPRODUCT(-(Bens!$B$4:$B$325=Analítico!$B141),-(Bens!$D$4:$D$325=Analítico!H$3),(Bens!$G$4:$G$325))</f>
        <v>0</v>
      </c>
      <c r="I141" s="134">
        <f>SUMPRODUCT(-(Bens!$B$4:$B$325=Analítico!$B141),-(Bens!$D$4:$D$325=Analítico!I$3),(Bens!$G$4:$G$325))</f>
        <v>0</v>
      </c>
      <c r="J141" s="134">
        <f>SUMPRODUCT(-(Bens!$B$4:$B$325=Analítico!$B141),-(Bens!$D$4:$D$325=Analítico!J$3),(Bens!$G$4:$G$325))</f>
        <v>0</v>
      </c>
      <c r="K141" s="134">
        <f>SUMPRODUCT(-(Bens!$B$4:$B$325=Analítico!$B141),-(Bens!$D$4:$D$325=Analítico!K$3),(Bens!$G$4:$G$325))</f>
        <v>0</v>
      </c>
      <c r="L141" s="134">
        <f>SUMPRODUCT(-(Bens!$B$4:$B$325=Analítico!$B141),-(Bens!$D$4:$D$325=Analítico!L$3),(Bens!$G$4:$G$325))</f>
        <v>0</v>
      </c>
      <c r="M141" s="134">
        <f>SUMPRODUCT(-(Bens!$B$4:$B$325=Analítico!$B141),-(Bens!$D$4:$D$325=Analítico!M$3),(Bens!$G$4:$G$325))</f>
        <v>129782</v>
      </c>
      <c r="N141" s="134">
        <f>SUMPRODUCT(-(Bens!$B$4:$B$325=Analítico!$B141),-(Bens!$D$4:$D$325=Analítico!N$3),(Bens!$G$4:$G$325))</f>
        <v>0</v>
      </c>
      <c r="O141" s="134">
        <f>SUMPRODUCT(-(Bens!$B$4:$B$325=Analítico!$B141),-(Bens!$D$4:$D$325=Analítico!O$3),(Bens!$G$4:$G$325))</f>
        <v>0</v>
      </c>
      <c r="P141" s="134">
        <f>SUMPRODUCT(-(Bens!$B$4:$B$325=Analítico!$B141),-(Bens!$D$4:$D$325=Analítico!P$3),(Bens!$G$4:$G$325))</f>
        <v>3500</v>
      </c>
      <c r="Q141" s="134">
        <f>SUMPRODUCT(-(Bens!$B$4:$B$325=Analítico!$B141),-(Bens!$D$4:$D$325=Analítico!Q$3),(Bens!$G$4:$G$325))</f>
        <v>8800</v>
      </c>
      <c r="R141" s="134">
        <f>SUMPRODUCT(-(Bens!$B$4:$B$325=Analítico!$B141),-(Bens!$D$4:$D$325=Analítico!R$3),(Bens!$G$4:$G$325))</f>
        <v>0</v>
      </c>
      <c r="S141" s="134">
        <f>SUMPRODUCT(-(Bens!$B$4:$B$325=Analítico!$B141),-(Bens!$D$4:$D$325=Analítico!S$3),(Bens!$G$4:$G$325))</f>
        <v>49549.68</v>
      </c>
      <c r="T141" s="134">
        <f>SUMPRODUCT(-(Bens!$B$4:$B$325=Analítico!$B141),-(Bens!$D$4:$D$325=Analítico!T$3),(Bens!$G$4:$G$325))</f>
        <v>0</v>
      </c>
      <c r="U141" s="134">
        <f>SUMPRODUCT(-(Bens!$B$4:$B$325=Analítico!$B141),-(Bens!$D$4:$D$325=Analítico!U$3),(Bens!$G$4:$G$325))</f>
        <v>121483.2</v>
      </c>
      <c r="V141" s="134">
        <f>SUMPRODUCT(-(Bens!$B$4:$B$325=Analítico!$B141),-(Bens!$D$4:$D$325=Analítico!V$3),(Bens!$G$4:$G$325))</f>
        <v>0</v>
      </c>
      <c r="W141" s="134">
        <f>SUMPRODUCT(-(Bens!$B$4:$B$325=Analítico!$B141),-(Bens!$D$4:$D$325=Analítico!W$3),(Bens!$G$4:$G$325))</f>
        <v>0</v>
      </c>
      <c r="X141" s="134">
        <f>SUMPRODUCT(-(Bens!$B$4:$B$325=Analítico!$B141),-(Bens!$D$4:$D$325=Analítico!X$3),(Bens!$G$4:$G$325))</f>
        <v>0</v>
      </c>
      <c r="Y141" s="134">
        <f>SUMPRODUCT(-(Bens!$B$4:$B$325=Analítico!$B141),-(Bens!$D$4:$D$325=Analítico!Y$3),(Bens!$G$4:$G$325))</f>
        <v>0</v>
      </c>
      <c r="Z141" s="134">
        <f>SUMPRODUCT(-(Bens!$B$4:$B$325=Analítico!$B141),-(Bens!$D$4:$D$325=Analítico!Z$3),(Bens!$G$4:$G$325))</f>
        <v>0</v>
      </c>
      <c r="AA141" s="134">
        <f>SUMPRODUCT(-(Bens!$B$4:$B$325=Analítico!$B141),-(Bens!$D$4:$D$325=Analítico!AA$3),(Bens!$G$4:$G$325))</f>
        <v>7500</v>
      </c>
      <c r="AB141" s="134">
        <f>SUMPRODUCT(-(Bens!$B$4:$B$325=Analítico!$B141),-(Bens!$D$4:$D$325=Analítico!AB$3),(Bens!$G$4:$G$325))</f>
        <v>3500</v>
      </c>
      <c r="AC141" s="134">
        <f>SUMPRODUCT(-(Bens!$B$4:$B$325=Analítico!$B141),-(Bens!$D$4:$D$325=Analítico!AC$3),(Bens!$G$4:$G$325))</f>
        <v>0</v>
      </c>
      <c r="AD141" s="134">
        <f>SUMPRODUCT(-(Bens!$B$4:$B$325=Analítico!$B141),-(Bens!$D$4:$D$325=Analítico!AD$3),(Bens!$G$4:$G$325))</f>
        <v>8800</v>
      </c>
      <c r="AE141" s="134">
        <f>SUMPRODUCT(-(Bens!$B$4:$B$325=Analítico!$B141),-(Bens!$D$4:$D$325=Analítico!AE$3),(Bens!$G$4:$G$325))</f>
        <v>0</v>
      </c>
      <c r="AF141" s="134">
        <f>SUMPRODUCT(-(Bens!$B$4:$B$325=Analítico!$B141),-(Bens!$D$4:$D$325=Analítico!AF$3),(Bens!$G$4:$G$325))</f>
        <v>0</v>
      </c>
      <c r="AG141" s="134">
        <f>SUMPRODUCT(-(Bens!$B$4:$B$325=Analítico!$B141),-(Bens!$D$4:$D$325=Analítico!AG$3),(Bens!$G$4:$G$325))</f>
        <v>10646.08</v>
      </c>
      <c r="AH141" s="134">
        <f>SUMPRODUCT(-(Bens!$B$4:$B$325=Analítico!$B141),-(Bens!$D$4:$D$325=Analítico!AH$3),(Bens!$G$4:$G$325))</f>
        <v>0</v>
      </c>
      <c r="AI141" s="134">
        <f>SUMPRODUCT(-(Bens!$B$4:$B$325=Analítico!$B141),-(Bens!$D$4:$D$325=Analítico!AI$3),(Bens!$G$4:$G$325))</f>
        <v>4080</v>
      </c>
      <c r="AJ141" s="134">
        <f>SUMPRODUCT(-(Bens!$B$4:$B$325=Analítico!$B141),-(Bens!$D$4:$D$325=Analítico!AJ$3),(Bens!$G$4:$G$325))</f>
        <v>0</v>
      </c>
      <c r="AK141" s="134">
        <f>SUMPRODUCT(-(Bens!$B$4:$B$325=Analítico!$B141),-(Bens!$D$4:$D$325=Analítico!AK$3),(Bens!$G$4:$G$325))</f>
        <v>0</v>
      </c>
      <c r="AL141" s="134">
        <f>SUMPRODUCT(-(Bens!$B$4:$B$325=Analítico!$B141),-(Bens!$D$4:$D$325=Analítico!AL$3),(Bens!$G$4:$G$325))</f>
        <v>0</v>
      </c>
      <c r="AM141" s="134">
        <f>SUMPRODUCT(-(Bens!$B$4:$B$325=Analítico!$B141),-(Bens!$D$4:$D$325=Analítico!AM$3),(Bens!$G$4:$G$325))</f>
        <v>0</v>
      </c>
      <c r="AN141" s="134">
        <f>SUMPRODUCT(-(Bens!$B$4:$B$325=Analítico!$B141),-(Bens!$D$4:$D$325=Analítico!AN$3),(Bens!$G$4:$G$325))</f>
        <v>3500</v>
      </c>
      <c r="AO141" s="134">
        <f>SUMPRODUCT(-(Bens!$B$4:$B$325=Analítico!$B141),-(Bens!$D$4:$D$325=Analítico!AO$3),(Bens!$G$4:$G$325))</f>
        <v>0</v>
      </c>
      <c r="AP141" s="134">
        <f>SUMPRODUCT(-(Bens!$B$4:$B$325=Analítico!$B141),-(Bens!$D$4:$D$325=Analítico!AP$3),(Bens!$G$4:$G$325))</f>
        <v>0</v>
      </c>
      <c r="AQ141" s="134">
        <f>SUMPRODUCT(-(Bens!$B$4:$B$325=Analítico!$B141),-(Bens!$D$4:$D$325=Analítico!AQ$3),(Bens!$G$4:$G$325))</f>
        <v>8800</v>
      </c>
      <c r="AR141" s="134">
        <f>SUMPRODUCT(-(Bens!$B$4:$B$325=Analítico!$B141),-(Bens!$D$4:$D$325=Analítico!AR$3),(Bens!$G$4:$G$325))</f>
        <v>0</v>
      </c>
      <c r="AS141" s="134">
        <f>SUMPRODUCT(-(Bens!$B$4:$B$325=Analítico!$B141),-(Bens!$D$4:$D$325=Analítico!AS$3),(Bens!$G$4:$G$325))</f>
        <v>88620</v>
      </c>
      <c r="AT141" s="134">
        <f>SUMPRODUCT(-(Bens!$B$4:$B$325=Analítico!$B141),-(Bens!$D$4:$D$325=Analítico!AT$3),(Bens!$G$4:$G$325))</f>
        <v>0</v>
      </c>
      <c r="AU141" s="134">
        <f>SUMPRODUCT(-(Bens!$B$4:$B$325=Analítico!$B141),-(Bens!$D$4:$D$325=Analítico!AU$3),(Bens!$G$4:$G$325))</f>
        <v>0</v>
      </c>
      <c r="AV141" s="134">
        <f>SUMPRODUCT(-(Bens!$B$4:$B$325=Analítico!$B141),-(Bens!$D$4:$D$325=Analítico!AV$3),(Bens!$G$4:$G$325))</f>
        <v>0</v>
      </c>
      <c r="AW141" s="134">
        <f>SUMPRODUCT(-(Bens!$B$4:$B$325=Analítico!$B141),-(Bens!$D$4:$D$325=Analítico!AW$3),(Bens!$G$4:$G$325))</f>
        <v>0</v>
      </c>
      <c r="AX141" s="134">
        <f>SUMPRODUCT(-(Bens!$B$4:$B$325=Analítico!$B141),-(Bens!$D$4:$D$325=Analítico!AX$3),(Bens!$G$4:$G$325))</f>
        <v>0</v>
      </c>
      <c r="AY141" s="134">
        <f>SUMPRODUCT(-(Bens!$B$4:$B$325=Analítico!$B141),-(Bens!$D$4:$D$325=Analítico!AY$3),(Bens!$G$4:$G$325))</f>
        <v>0</v>
      </c>
      <c r="AZ141" s="134">
        <f>SUMPRODUCT(-(Bens!$B$4:$B$325=Analítico!$B141),-(Bens!$D$4:$D$325=Analítico!AZ$3),(Bens!$G$4:$G$325))</f>
        <v>3500</v>
      </c>
      <c r="BA141" s="134">
        <f>SUMPRODUCT(-(Bens!$B$4:$B$325=Analítico!$B141),-(Bens!$D$4:$D$325=Analítico!BA$3),(Bens!$G$4:$G$325))</f>
        <v>0</v>
      </c>
      <c r="BB141" s="134">
        <f>SUMPRODUCT(-(Bens!$B$4:$B$325=Analítico!$B141),-(Bens!$D$4:$D$325=Analítico!BB$3),(Bens!$G$4:$G$325))</f>
        <v>0</v>
      </c>
      <c r="BC141" s="134">
        <f>SUMPRODUCT(-(Bens!$B$4:$B$325=Analítico!$B141),-(Bens!$D$4:$D$325=Analítico!BC$3),(Bens!$G$4:$G$325))</f>
        <v>0</v>
      </c>
      <c r="BD141" s="134">
        <f>SUMPRODUCT(-(Bens!$B$4:$B$325=Analítico!$B141),-(Bens!$D$4:$D$325=Analítico!BD$3),(Bens!$G$4:$G$325))</f>
        <v>8800</v>
      </c>
      <c r="BE141" s="134">
        <f>SUMPRODUCT(-(Bens!$B$4:$B$325=Analítico!$B141),-(Bens!$D$4:$D$325=Analítico!BE$3),(Bens!$G$4:$G$325))</f>
        <v>15609.32</v>
      </c>
      <c r="BF141" s="134">
        <f>SUMPRODUCT(-(Bens!$B$4:$B$325=Analítico!$B141),-(Bens!$D$4:$D$325=Analítico!BF$3),(Bens!$G$4:$G$325))</f>
        <v>0</v>
      </c>
      <c r="BG141" s="134">
        <f>SUMPRODUCT(-(Bens!$B$4:$B$325=Analítico!$B141),-(Bens!$D$4:$D$325=Analítico!BG$3),(Bens!$G$4:$G$325))</f>
        <v>0</v>
      </c>
      <c r="BH141" s="134">
        <f>SUMPRODUCT(-(Bens!$B$4:$B$325=Analítico!$B141),-(Bens!$D$4:$D$325=Analítico!BH$3),(Bens!$G$4:$G$325))</f>
        <v>0</v>
      </c>
      <c r="BI141" s="134">
        <f>SUMPRODUCT(-(Bens!$B$4:$B$325=Analítico!$B141),-(Bens!$D$4:$D$325=Analítico!BI$3),(Bens!$G$4:$G$325))</f>
        <v>0</v>
      </c>
      <c r="BJ141" s="134">
        <f>SUMPRODUCT(-(Bens!$B$4:$B$325=Analítico!$B141),-(Bens!$D$4:$D$325=Analítico!BJ$3),(Bens!$G$4:$G$325))</f>
        <v>0</v>
      </c>
      <c r="BK141" s="189">
        <f t="shared" si="47"/>
        <v>760280.27999999991</v>
      </c>
      <c r="BL141" s="136">
        <f t="shared" ca="1" si="48"/>
        <v>2.272329362006319E-3</v>
      </c>
      <c r="BN141" s="134">
        <f>SUMPRODUCT(-(Bens!$B$4:$B$325=Analítico!$B141),-(Bens!$D$4:$D$325=Analítico!BN$3),(Bens!$G$4:$G$325))</f>
        <v>283810</v>
      </c>
    </row>
    <row r="142" spans="1:66" s="160" customFormat="1" ht="23.25" customHeight="1">
      <c r="A142" s="198" t="s">
        <v>336</v>
      </c>
      <c r="B142" s="209" t="s">
        <v>337</v>
      </c>
      <c r="C142" s="188">
        <f t="shared" si="49"/>
        <v>0</v>
      </c>
      <c r="D142" s="134">
        <f>SUMPRODUCT(-(Bens!$B$4:$B$325=Analítico!$B142),-(Bens!$D$4:$D$325=Analítico!D$3),(Bens!$G$4:$G$325))</f>
        <v>0</v>
      </c>
      <c r="E142" s="134">
        <f>SUMPRODUCT(-(Bens!$B$4:$B$325=Analítico!$B142),-(Bens!$D$4:$D$325=Analítico!E$3),(Bens!$G$4:$G$325))</f>
        <v>0</v>
      </c>
      <c r="F142" s="134">
        <f>SUMPRODUCT(-(Bens!$B$4:$B$325=Analítico!$B142),-(Bens!$D$4:$D$325=Analítico!F$3),(Bens!$G$4:$G$325))</f>
        <v>0</v>
      </c>
      <c r="G142" s="134">
        <f>SUMPRODUCT(-(Bens!$B$4:$B$325=Analítico!$B142),-(Bens!$D$4:$D$325=Analítico!G$3),(Bens!$G$4:$G$325))</f>
        <v>0</v>
      </c>
      <c r="H142" s="134">
        <f>SUMPRODUCT(-(Bens!$B$4:$B$325=Analítico!$B142),-(Bens!$D$4:$D$325=Analítico!H$3),(Bens!$G$4:$G$325))</f>
        <v>0</v>
      </c>
      <c r="I142" s="134">
        <f>SUMPRODUCT(-(Bens!$B$4:$B$325=Analítico!$B142),-(Bens!$D$4:$D$325=Analítico!I$3),(Bens!$G$4:$G$325))</f>
        <v>0</v>
      </c>
      <c r="J142" s="134">
        <f>SUMPRODUCT(-(Bens!$B$4:$B$325=Analítico!$B142),-(Bens!$D$4:$D$325=Analítico!J$3),(Bens!$G$4:$G$325))</f>
        <v>0</v>
      </c>
      <c r="K142" s="134">
        <f>SUMPRODUCT(-(Bens!$B$4:$B$325=Analítico!$B142),-(Bens!$D$4:$D$325=Analítico!K$3),(Bens!$G$4:$G$325))</f>
        <v>0</v>
      </c>
      <c r="L142" s="134">
        <f>SUMPRODUCT(-(Bens!$B$4:$B$325=Analítico!$B142),-(Bens!$D$4:$D$325=Analítico!L$3),(Bens!$G$4:$G$325))</f>
        <v>0</v>
      </c>
      <c r="M142" s="134">
        <f>SUMPRODUCT(-(Bens!$B$4:$B$325=Analítico!$B142),-(Bens!$D$4:$D$325=Analítico!M$3),(Bens!$G$4:$G$325))</f>
        <v>0</v>
      </c>
      <c r="N142" s="134">
        <f>SUMPRODUCT(-(Bens!$B$4:$B$325=Analítico!$B142),-(Bens!$D$4:$D$325=Analítico!N$3),(Bens!$G$4:$G$325))</f>
        <v>0</v>
      </c>
      <c r="O142" s="134">
        <f>SUMPRODUCT(-(Bens!$B$4:$B$325=Analítico!$B142),-(Bens!$D$4:$D$325=Analítico!O$3),(Bens!$G$4:$G$325))</f>
        <v>0</v>
      </c>
      <c r="P142" s="134">
        <f>SUMPRODUCT(-(Bens!$B$4:$B$325=Analítico!$B142),-(Bens!$D$4:$D$325=Analítico!P$3),(Bens!$G$4:$G$325))</f>
        <v>0</v>
      </c>
      <c r="Q142" s="134">
        <f>SUMPRODUCT(-(Bens!$B$4:$B$325=Analítico!$B142),-(Bens!$D$4:$D$325=Analítico!Q$3),(Bens!$G$4:$G$325))</f>
        <v>0</v>
      </c>
      <c r="R142" s="134">
        <f>SUMPRODUCT(-(Bens!$B$4:$B$325=Analítico!$B142),-(Bens!$D$4:$D$325=Analítico!R$3),(Bens!$G$4:$G$325))</f>
        <v>0</v>
      </c>
      <c r="S142" s="134">
        <f>SUMPRODUCT(-(Bens!$B$4:$B$325=Analítico!$B142),-(Bens!$D$4:$D$325=Analítico!S$3),(Bens!$G$4:$G$325))</f>
        <v>0</v>
      </c>
      <c r="T142" s="134">
        <f>SUMPRODUCT(-(Bens!$B$4:$B$325=Analítico!$B142),-(Bens!$D$4:$D$325=Analítico!T$3),(Bens!$G$4:$G$325))</f>
        <v>0</v>
      </c>
      <c r="U142" s="134">
        <f>SUMPRODUCT(-(Bens!$B$4:$B$325=Analítico!$B142),-(Bens!$D$4:$D$325=Analítico!U$3),(Bens!$G$4:$G$325))</f>
        <v>0</v>
      </c>
      <c r="V142" s="134">
        <f>SUMPRODUCT(-(Bens!$B$4:$B$325=Analítico!$B142),-(Bens!$D$4:$D$325=Analítico!V$3),(Bens!$G$4:$G$325))</f>
        <v>0</v>
      </c>
      <c r="W142" s="134">
        <f>SUMPRODUCT(-(Bens!$B$4:$B$325=Analítico!$B142),-(Bens!$D$4:$D$325=Analítico!W$3),(Bens!$G$4:$G$325))</f>
        <v>0</v>
      </c>
      <c r="X142" s="134">
        <f>SUMPRODUCT(-(Bens!$B$4:$B$325=Analítico!$B142),-(Bens!$D$4:$D$325=Analítico!X$3),(Bens!$G$4:$G$325))</f>
        <v>0</v>
      </c>
      <c r="Y142" s="134">
        <f>SUMPRODUCT(-(Bens!$B$4:$B$325=Analítico!$B142),-(Bens!$D$4:$D$325=Analítico!Y$3),(Bens!$G$4:$G$325))</f>
        <v>0</v>
      </c>
      <c r="Z142" s="134">
        <f>SUMPRODUCT(-(Bens!$B$4:$B$325=Analítico!$B142),-(Bens!$D$4:$D$325=Analítico!Z$3),(Bens!$G$4:$G$325))</f>
        <v>0</v>
      </c>
      <c r="AA142" s="134">
        <f>SUMPRODUCT(-(Bens!$B$4:$B$325=Analítico!$B142),-(Bens!$D$4:$D$325=Analítico!AA$3),(Bens!$G$4:$G$325))</f>
        <v>0</v>
      </c>
      <c r="AB142" s="134">
        <f>SUMPRODUCT(-(Bens!$B$4:$B$325=Analítico!$B142),-(Bens!$D$4:$D$325=Analítico!AB$3),(Bens!$G$4:$G$325))</f>
        <v>0</v>
      </c>
      <c r="AC142" s="134">
        <f>SUMPRODUCT(-(Bens!$B$4:$B$325=Analítico!$B142),-(Bens!$D$4:$D$325=Analítico!AC$3),(Bens!$G$4:$G$325))</f>
        <v>0</v>
      </c>
      <c r="AD142" s="134">
        <f>SUMPRODUCT(-(Bens!$B$4:$B$325=Analítico!$B142),-(Bens!$D$4:$D$325=Analítico!AD$3),(Bens!$G$4:$G$325))</f>
        <v>0</v>
      </c>
      <c r="AE142" s="134">
        <f>SUMPRODUCT(-(Bens!$B$4:$B$325=Analítico!$B142),-(Bens!$D$4:$D$325=Analítico!AE$3),(Bens!$G$4:$G$325))</f>
        <v>0</v>
      </c>
      <c r="AF142" s="134">
        <f>SUMPRODUCT(-(Bens!$B$4:$B$325=Analítico!$B142),-(Bens!$D$4:$D$325=Analítico!AF$3),(Bens!$G$4:$G$325))</f>
        <v>0</v>
      </c>
      <c r="AG142" s="134">
        <f>SUMPRODUCT(-(Bens!$B$4:$B$325=Analítico!$B142),-(Bens!$D$4:$D$325=Analítico!AG$3),(Bens!$G$4:$G$325))</f>
        <v>0</v>
      </c>
      <c r="AH142" s="134">
        <f>SUMPRODUCT(-(Bens!$B$4:$B$325=Analítico!$B142),-(Bens!$D$4:$D$325=Analítico!AH$3),(Bens!$G$4:$G$325))</f>
        <v>0</v>
      </c>
      <c r="AI142" s="134">
        <f>SUMPRODUCT(-(Bens!$B$4:$B$325=Analítico!$B142),-(Bens!$D$4:$D$325=Analítico!AI$3),(Bens!$G$4:$G$325))</f>
        <v>0</v>
      </c>
      <c r="AJ142" s="134">
        <f>SUMPRODUCT(-(Bens!$B$4:$B$325=Analítico!$B142),-(Bens!$D$4:$D$325=Analítico!AJ$3),(Bens!$G$4:$G$325))</f>
        <v>0</v>
      </c>
      <c r="AK142" s="134">
        <f>SUMPRODUCT(-(Bens!$B$4:$B$325=Analítico!$B142),-(Bens!$D$4:$D$325=Analítico!AK$3),(Bens!$G$4:$G$325))</f>
        <v>0</v>
      </c>
      <c r="AL142" s="134">
        <f>SUMPRODUCT(-(Bens!$B$4:$B$325=Analítico!$B142),-(Bens!$D$4:$D$325=Analítico!AL$3),(Bens!$G$4:$G$325))</f>
        <v>0</v>
      </c>
      <c r="AM142" s="134">
        <f>SUMPRODUCT(-(Bens!$B$4:$B$325=Analítico!$B142),-(Bens!$D$4:$D$325=Analítico!AM$3),(Bens!$G$4:$G$325))</f>
        <v>0</v>
      </c>
      <c r="AN142" s="134">
        <f>SUMPRODUCT(-(Bens!$B$4:$B$325=Analítico!$B142),-(Bens!$D$4:$D$325=Analítico!AN$3),(Bens!$G$4:$G$325))</f>
        <v>0</v>
      </c>
      <c r="AO142" s="134">
        <f>SUMPRODUCT(-(Bens!$B$4:$B$325=Analítico!$B142),-(Bens!$D$4:$D$325=Analítico!AO$3),(Bens!$G$4:$G$325))</f>
        <v>0</v>
      </c>
      <c r="AP142" s="134">
        <f>SUMPRODUCT(-(Bens!$B$4:$B$325=Analítico!$B142),-(Bens!$D$4:$D$325=Analítico!AP$3),(Bens!$G$4:$G$325))</f>
        <v>0</v>
      </c>
      <c r="AQ142" s="134">
        <f>SUMPRODUCT(-(Bens!$B$4:$B$325=Analítico!$B142),-(Bens!$D$4:$D$325=Analítico!AQ$3),(Bens!$G$4:$G$325))</f>
        <v>0</v>
      </c>
      <c r="AR142" s="134">
        <f>SUMPRODUCT(-(Bens!$B$4:$B$325=Analítico!$B142),-(Bens!$D$4:$D$325=Analítico!AR$3),(Bens!$G$4:$G$325))</f>
        <v>0</v>
      </c>
      <c r="AS142" s="134">
        <f>SUMPRODUCT(-(Bens!$B$4:$B$325=Analítico!$B142),-(Bens!$D$4:$D$325=Analítico!AS$3),(Bens!$G$4:$G$325))</f>
        <v>0</v>
      </c>
      <c r="AT142" s="134">
        <f>SUMPRODUCT(-(Bens!$B$4:$B$325=Analítico!$B142),-(Bens!$D$4:$D$325=Analítico!AT$3),(Bens!$G$4:$G$325))</f>
        <v>0</v>
      </c>
      <c r="AU142" s="134">
        <f>SUMPRODUCT(-(Bens!$B$4:$B$325=Analítico!$B142),-(Bens!$D$4:$D$325=Analítico!AU$3),(Bens!$G$4:$G$325))</f>
        <v>0</v>
      </c>
      <c r="AV142" s="134">
        <f>SUMPRODUCT(-(Bens!$B$4:$B$325=Analítico!$B142),-(Bens!$D$4:$D$325=Analítico!AV$3),(Bens!$G$4:$G$325))</f>
        <v>0</v>
      </c>
      <c r="AW142" s="134">
        <f>SUMPRODUCT(-(Bens!$B$4:$B$325=Analítico!$B142),-(Bens!$D$4:$D$325=Analítico!AW$3),(Bens!$G$4:$G$325))</f>
        <v>0</v>
      </c>
      <c r="AX142" s="134">
        <f>SUMPRODUCT(-(Bens!$B$4:$B$325=Analítico!$B142),-(Bens!$D$4:$D$325=Analítico!AX$3),(Bens!$G$4:$G$325))</f>
        <v>0</v>
      </c>
      <c r="AY142" s="134">
        <f>SUMPRODUCT(-(Bens!$B$4:$B$325=Analítico!$B142),-(Bens!$D$4:$D$325=Analítico!AY$3),(Bens!$G$4:$G$325))</f>
        <v>0</v>
      </c>
      <c r="AZ142" s="134">
        <f>SUMPRODUCT(-(Bens!$B$4:$B$325=Analítico!$B142),-(Bens!$D$4:$D$325=Analítico!AZ$3),(Bens!$G$4:$G$325))</f>
        <v>0</v>
      </c>
      <c r="BA142" s="134">
        <f>SUMPRODUCT(-(Bens!$B$4:$B$325=Analítico!$B142),-(Bens!$D$4:$D$325=Analítico!BA$3),(Bens!$G$4:$G$325))</f>
        <v>0</v>
      </c>
      <c r="BB142" s="134">
        <f>SUMPRODUCT(-(Bens!$B$4:$B$325=Analítico!$B142),-(Bens!$D$4:$D$325=Analítico!BB$3),(Bens!$G$4:$G$325))</f>
        <v>0</v>
      </c>
      <c r="BC142" s="134">
        <f>SUMPRODUCT(-(Bens!$B$4:$B$325=Analítico!$B142),-(Bens!$D$4:$D$325=Analítico!BC$3),(Bens!$G$4:$G$325))</f>
        <v>0</v>
      </c>
      <c r="BD142" s="134">
        <f>SUMPRODUCT(-(Bens!$B$4:$B$325=Analítico!$B142),-(Bens!$D$4:$D$325=Analítico!BD$3),(Bens!$G$4:$G$325))</f>
        <v>0</v>
      </c>
      <c r="BE142" s="134">
        <f>SUMPRODUCT(-(Bens!$B$4:$B$325=Analítico!$B142),-(Bens!$D$4:$D$325=Analítico!BE$3),(Bens!$G$4:$G$325))</f>
        <v>0</v>
      </c>
      <c r="BF142" s="134">
        <f>SUMPRODUCT(-(Bens!$B$4:$B$325=Analítico!$B142),-(Bens!$D$4:$D$325=Analítico!BF$3),(Bens!$G$4:$G$325))</f>
        <v>0</v>
      </c>
      <c r="BG142" s="134">
        <f>SUMPRODUCT(-(Bens!$B$4:$B$325=Analítico!$B142),-(Bens!$D$4:$D$325=Analítico!BG$3),(Bens!$G$4:$G$325))</f>
        <v>0</v>
      </c>
      <c r="BH142" s="134">
        <f>SUMPRODUCT(-(Bens!$B$4:$B$325=Analítico!$B142),-(Bens!$D$4:$D$325=Analítico!BH$3),(Bens!$G$4:$G$325))</f>
        <v>0</v>
      </c>
      <c r="BI142" s="134">
        <f>SUMPRODUCT(-(Bens!$B$4:$B$325=Analítico!$B142),-(Bens!$D$4:$D$325=Analítico!BI$3),(Bens!$G$4:$G$325))</f>
        <v>0</v>
      </c>
      <c r="BJ142" s="134">
        <f>SUMPRODUCT(-(Bens!$B$4:$B$325=Analítico!$B142),-(Bens!$D$4:$D$325=Analítico!BJ$3),(Bens!$G$4:$G$325))</f>
        <v>0</v>
      </c>
      <c r="BK142" s="189">
        <f t="shared" si="47"/>
        <v>0</v>
      </c>
      <c r="BL142" s="136">
        <f t="shared" ca="1" si="48"/>
        <v>0</v>
      </c>
      <c r="BN142" s="134">
        <f>SUMPRODUCT(-(Bens!$B$4:$B$325=Analítico!$B142),-(Bens!$D$4:$D$325=Analítico!BN$3),(Bens!$G$4:$G$325))</f>
        <v>0</v>
      </c>
    </row>
    <row r="143" spans="1:66" s="160" customFormat="1" ht="23.25" customHeight="1">
      <c r="A143" s="198" t="s">
        <v>338</v>
      </c>
      <c r="B143" s="209" t="s">
        <v>339</v>
      </c>
      <c r="C143" s="188">
        <f t="shared" si="49"/>
        <v>0</v>
      </c>
      <c r="D143" s="134">
        <f>SUMPRODUCT(-(Bens!$B$4:$B$325=Analítico!$B143),-(Bens!$D$4:$D$325=Analítico!D$3),(Bens!$G$4:$G$325))</f>
        <v>0</v>
      </c>
      <c r="E143" s="134">
        <f>SUMPRODUCT(-(Bens!$B$4:$B$325=Analítico!$B143),-(Bens!$D$4:$D$325=Analítico!E$3),(Bens!$G$4:$G$325))</f>
        <v>0</v>
      </c>
      <c r="F143" s="134">
        <f>SUMPRODUCT(-(Bens!$B$4:$B$325=Analítico!$B143),-(Bens!$D$4:$D$325=Analítico!F$3),(Bens!$G$4:$G$325))</f>
        <v>0</v>
      </c>
      <c r="G143" s="134">
        <f>SUMPRODUCT(-(Bens!$B$4:$B$325=Analítico!$B143),-(Bens!$D$4:$D$325=Analítico!G$3),(Bens!$G$4:$G$325))</f>
        <v>0</v>
      </c>
      <c r="H143" s="134">
        <f>SUMPRODUCT(-(Bens!$B$4:$B$325=Analítico!$B143),-(Bens!$D$4:$D$325=Analítico!H$3),(Bens!$G$4:$G$325))</f>
        <v>0</v>
      </c>
      <c r="I143" s="134">
        <f>SUMPRODUCT(-(Bens!$B$4:$B$325=Analítico!$B143),-(Bens!$D$4:$D$325=Analítico!I$3),(Bens!$G$4:$G$325))</f>
        <v>0</v>
      </c>
      <c r="J143" s="134">
        <f>SUMPRODUCT(-(Bens!$B$4:$B$325=Analítico!$B143),-(Bens!$D$4:$D$325=Analítico!J$3),(Bens!$G$4:$G$325))</f>
        <v>0</v>
      </c>
      <c r="K143" s="134">
        <f>SUMPRODUCT(-(Bens!$B$4:$B$325=Analítico!$B143),-(Bens!$D$4:$D$325=Analítico!K$3),(Bens!$G$4:$G$325))</f>
        <v>0</v>
      </c>
      <c r="L143" s="134">
        <f>SUMPRODUCT(-(Bens!$B$4:$B$325=Analítico!$B143),-(Bens!$D$4:$D$325=Analítico!L$3),(Bens!$G$4:$G$325))</f>
        <v>0</v>
      </c>
      <c r="M143" s="134">
        <f>SUMPRODUCT(-(Bens!$B$4:$B$325=Analítico!$B143),-(Bens!$D$4:$D$325=Analítico!M$3),(Bens!$G$4:$G$325))</f>
        <v>0</v>
      </c>
      <c r="N143" s="134">
        <f>SUMPRODUCT(-(Bens!$B$4:$B$325=Analítico!$B143),-(Bens!$D$4:$D$325=Analítico!N$3),(Bens!$G$4:$G$325))</f>
        <v>0</v>
      </c>
      <c r="O143" s="134">
        <f>SUMPRODUCT(-(Bens!$B$4:$B$325=Analítico!$B143),-(Bens!$D$4:$D$325=Analítico!O$3),(Bens!$G$4:$G$325))</f>
        <v>0</v>
      </c>
      <c r="P143" s="134">
        <f>SUMPRODUCT(-(Bens!$B$4:$B$325=Analítico!$B143),-(Bens!$D$4:$D$325=Analítico!P$3),(Bens!$G$4:$G$325))</f>
        <v>0</v>
      </c>
      <c r="Q143" s="134">
        <f>SUMPRODUCT(-(Bens!$B$4:$B$325=Analítico!$B143),-(Bens!$D$4:$D$325=Analítico!Q$3),(Bens!$G$4:$G$325))</f>
        <v>0</v>
      </c>
      <c r="R143" s="134">
        <f>SUMPRODUCT(-(Bens!$B$4:$B$325=Analítico!$B143),-(Bens!$D$4:$D$325=Analítico!R$3),(Bens!$G$4:$G$325))</f>
        <v>0</v>
      </c>
      <c r="S143" s="134">
        <f>SUMPRODUCT(-(Bens!$B$4:$B$325=Analítico!$B143),-(Bens!$D$4:$D$325=Analítico!S$3),(Bens!$G$4:$G$325))</f>
        <v>0</v>
      </c>
      <c r="T143" s="134">
        <f>SUMPRODUCT(-(Bens!$B$4:$B$325=Analítico!$B143),-(Bens!$D$4:$D$325=Analítico!T$3),(Bens!$G$4:$G$325))</f>
        <v>0</v>
      </c>
      <c r="U143" s="134">
        <f>SUMPRODUCT(-(Bens!$B$4:$B$325=Analítico!$B143),-(Bens!$D$4:$D$325=Analítico!U$3),(Bens!$G$4:$G$325))</f>
        <v>0</v>
      </c>
      <c r="V143" s="134">
        <f>SUMPRODUCT(-(Bens!$B$4:$B$325=Analítico!$B143),-(Bens!$D$4:$D$325=Analítico!V$3),(Bens!$G$4:$G$325))</f>
        <v>0</v>
      </c>
      <c r="W143" s="134">
        <f>SUMPRODUCT(-(Bens!$B$4:$B$325=Analítico!$B143),-(Bens!$D$4:$D$325=Analítico!W$3),(Bens!$G$4:$G$325))</f>
        <v>0</v>
      </c>
      <c r="X143" s="134">
        <f>SUMPRODUCT(-(Bens!$B$4:$B$325=Analítico!$B143),-(Bens!$D$4:$D$325=Analítico!X$3),(Bens!$G$4:$G$325))</f>
        <v>0</v>
      </c>
      <c r="Y143" s="134">
        <f>SUMPRODUCT(-(Bens!$B$4:$B$325=Analítico!$B143),-(Bens!$D$4:$D$325=Analítico!Y$3),(Bens!$G$4:$G$325))</f>
        <v>0</v>
      </c>
      <c r="Z143" s="134">
        <f>SUMPRODUCT(-(Bens!$B$4:$B$325=Analítico!$B143),-(Bens!$D$4:$D$325=Analítico!Z$3),(Bens!$G$4:$G$325))</f>
        <v>0</v>
      </c>
      <c r="AA143" s="134">
        <f>SUMPRODUCT(-(Bens!$B$4:$B$325=Analítico!$B143),-(Bens!$D$4:$D$325=Analítico!AA$3),(Bens!$G$4:$G$325))</f>
        <v>0</v>
      </c>
      <c r="AB143" s="134">
        <f>SUMPRODUCT(-(Bens!$B$4:$B$325=Analítico!$B143),-(Bens!$D$4:$D$325=Analítico!AB$3),(Bens!$G$4:$G$325))</f>
        <v>0</v>
      </c>
      <c r="AC143" s="134">
        <f>SUMPRODUCT(-(Bens!$B$4:$B$325=Analítico!$B143),-(Bens!$D$4:$D$325=Analítico!AC$3),(Bens!$G$4:$G$325))</f>
        <v>0</v>
      </c>
      <c r="AD143" s="134">
        <f>SUMPRODUCT(-(Bens!$B$4:$B$325=Analítico!$B143),-(Bens!$D$4:$D$325=Analítico!AD$3),(Bens!$G$4:$G$325))</f>
        <v>0</v>
      </c>
      <c r="AE143" s="134">
        <f>SUMPRODUCT(-(Bens!$B$4:$B$325=Analítico!$B143),-(Bens!$D$4:$D$325=Analítico!AE$3),(Bens!$G$4:$G$325))</f>
        <v>0</v>
      </c>
      <c r="AF143" s="134">
        <f>SUMPRODUCT(-(Bens!$B$4:$B$325=Analítico!$B143),-(Bens!$D$4:$D$325=Analítico!AF$3),(Bens!$G$4:$G$325))</f>
        <v>0</v>
      </c>
      <c r="AG143" s="134">
        <f>SUMPRODUCT(-(Bens!$B$4:$B$325=Analítico!$B143),-(Bens!$D$4:$D$325=Analítico!AG$3),(Bens!$G$4:$G$325))</f>
        <v>0</v>
      </c>
      <c r="AH143" s="134">
        <f>SUMPRODUCT(-(Bens!$B$4:$B$325=Analítico!$B143),-(Bens!$D$4:$D$325=Analítico!AH$3),(Bens!$G$4:$G$325))</f>
        <v>0</v>
      </c>
      <c r="AI143" s="134">
        <f>SUMPRODUCT(-(Bens!$B$4:$B$325=Analítico!$B143),-(Bens!$D$4:$D$325=Analítico!AI$3),(Bens!$G$4:$G$325))</f>
        <v>0</v>
      </c>
      <c r="AJ143" s="134">
        <f>SUMPRODUCT(-(Bens!$B$4:$B$325=Analítico!$B143),-(Bens!$D$4:$D$325=Analítico!AJ$3),(Bens!$G$4:$G$325))</f>
        <v>0</v>
      </c>
      <c r="AK143" s="134">
        <f>SUMPRODUCT(-(Bens!$B$4:$B$325=Analítico!$B143),-(Bens!$D$4:$D$325=Analítico!AK$3),(Bens!$G$4:$G$325))</f>
        <v>0</v>
      </c>
      <c r="AL143" s="134">
        <f>SUMPRODUCT(-(Bens!$B$4:$B$325=Analítico!$B143),-(Bens!$D$4:$D$325=Analítico!AL$3),(Bens!$G$4:$G$325))</f>
        <v>0</v>
      </c>
      <c r="AM143" s="134">
        <f>SUMPRODUCT(-(Bens!$B$4:$B$325=Analítico!$B143),-(Bens!$D$4:$D$325=Analítico!AM$3),(Bens!$G$4:$G$325))</f>
        <v>0</v>
      </c>
      <c r="AN143" s="134">
        <f>SUMPRODUCT(-(Bens!$B$4:$B$325=Analítico!$B143),-(Bens!$D$4:$D$325=Analítico!AN$3),(Bens!$G$4:$G$325))</f>
        <v>0</v>
      </c>
      <c r="AO143" s="134">
        <f>SUMPRODUCT(-(Bens!$B$4:$B$325=Analítico!$B143),-(Bens!$D$4:$D$325=Analítico!AO$3),(Bens!$G$4:$G$325))</f>
        <v>0</v>
      </c>
      <c r="AP143" s="134">
        <f>SUMPRODUCT(-(Bens!$B$4:$B$325=Analítico!$B143),-(Bens!$D$4:$D$325=Analítico!AP$3),(Bens!$G$4:$G$325))</f>
        <v>0</v>
      </c>
      <c r="AQ143" s="134">
        <f>SUMPRODUCT(-(Bens!$B$4:$B$325=Analítico!$B143),-(Bens!$D$4:$D$325=Analítico!AQ$3),(Bens!$G$4:$G$325))</f>
        <v>0</v>
      </c>
      <c r="AR143" s="134">
        <f>SUMPRODUCT(-(Bens!$B$4:$B$325=Analítico!$B143),-(Bens!$D$4:$D$325=Analítico!AR$3),(Bens!$G$4:$G$325))</f>
        <v>0</v>
      </c>
      <c r="AS143" s="134">
        <f>SUMPRODUCT(-(Bens!$B$4:$B$325=Analítico!$B143),-(Bens!$D$4:$D$325=Analítico!AS$3),(Bens!$G$4:$G$325))</f>
        <v>0</v>
      </c>
      <c r="AT143" s="134">
        <f>SUMPRODUCT(-(Bens!$B$4:$B$325=Analítico!$B143),-(Bens!$D$4:$D$325=Analítico!AT$3),(Bens!$G$4:$G$325))</f>
        <v>0</v>
      </c>
      <c r="AU143" s="134">
        <f>SUMPRODUCT(-(Bens!$B$4:$B$325=Analítico!$B143),-(Bens!$D$4:$D$325=Analítico!AU$3),(Bens!$G$4:$G$325))</f>
        <v>0</v>
      </c>
      <c r="AV143" s="134">
        <f>SUMPRODUCT(-(Bens!$B$4:$B$325=Analítico!$B143),-(Bens!$D$4:$D$325=Analítico!AV$3),(Bens!$G$4:$G$325))</f>
        <v>0</v>
      </c>
      <c r="AW143" s="134">
        <f>SUMPRODUCT(-(Bens!$B$4:$B$325=Analítico!$B143),-(Bens!$D$4:$D$325=Analítico!AW$3),(Bens!$G$4:$G$325))</f>
        <v>0</v>
      </c>
      <c r="AX143" s="134">
        <f>SUMPRODUCT(-(Bens!$B$4:$B$325=Analítico!$B143),-(Bens!$D$4:$D$325=Analítico!AX$3),(Bens!$G$4:$G$325))</f>
        <v>0</v>
      </c>
      <c r="AY143" s="134">
        <f>SUMPRODUCT(-(Bens!$B$4:$B$325=Analítico!$B143),-(Bens!$D$4:$D$325=Analítico!AY$3),(Bens!$G$4:$G$325))</f>
        <v>0</v>
      </c>
      <c r="AZ143" s="134">
        <f>SUMPRODUCT(-(Bens!$B$4:$B$325=Analítico!$B143),-(Bens!$D$4:$D$325=Analítico!AZ$3),(Bens!$G$4:$G$325))</f>
        <v>0</v>
      </c>
      <c r="BA143" s="134">
        <f>SUMPRODUCT(-(Bens!$B$4:$B$325=Analítico!$B143),-(Bens!$D$4:$D$325=Analítico!BA$3),(Bens!$G$4:$G$325))</f>
        <v>0</v>
      </c>
      <c r="BB143" s="134">
        <f>SUMPRODUCT(-(Bens!$B$4:$B$325=Analítico!$B143),-(Bens!$D$4:$D$325=Analítico!BB$3),(Bens!$G$4:$G$325))</f>
        <v>0</v>
      </c>
      <c r="BC143" s="134">
        <f>SUMPRODUCT(-(Bens!$B$4:$B$325=Analítico!$B143),-(Bens!$D$4:$D$325=Analítico!BC$3),(Bens!$G$4:$G$325))</f>
        <v>0</v>
      </c>
      <c r="BD143" s="134">
        <f>SUMPRODUCT(-(Bens!$B$4:$B$325=Analítico!$B143),-(Bens!$D$4:$D$325=Analítico!BD$3),(Bens!$G$4:$G$325))</f>
        <v>0</v>
      </c>
      <c r="BE143" s="134">
        <f>SUMPRODUCT(-(Bens!$B$4:$B$325=Analítico!$B143),-(Bens!$D$4:$D$325=Analítico!BE$3),(Bens!$G$4:$G$325))</f>
        <v>0</v>
      </c>
      <c r="BF143" s="134">
        <f>SUMPRODUCT(-(Bens!$B$4:$B$325=Analítico!$B143),-(Bens!$D$4:$D$325=Analítico!BF$3),(Bens!$G$4:$G$325))</f>
        <v>0</v>
      </c>
      <c r="BG143" s="134">
        <f>SUMPRODUCT(-(Bens!$B$4:$B$325=Analítico!$B143),-(Bens!$D$4:$D$325=Analítico!BG$3),(Bens!$G$4:$G$325))</f>
        <v>0</v>
      </c>
      <c r="BH143" s="134">
        <f>SUMPRODUCT(-(Bens!$B$4:$B$325=Analítico!$B143),-(Bens!$D$4:$D$325=Analítico!BH$3),(Bens!$G$4:$G$325))</f>
        <v>0</v>
      </c>
      <c r="BI143" s="134">
        <f>SUMPRODUCT(-(Bens!$B$4:$B$325=Analítico!$B143),-(Bens!$D$4:$D$325=Analítico!BI$3),(Bens!$G$4:$G$325))</f>
        <v>0</v>
      </c>
      <c r="BJ143" s="134">
        <f>SUMPRODUCT(-(Bens!$B$4:$B$325=Analítico!$B143),-(Bens!$D$4:$D$325=Analítico!BJ$3),(Bens!$G$4:$G$325))</f>
        <v>0</v>
      </c>
      <c r="BK143" s="189">
        <f t="shared" si="47"/>
        <v>0</v>
      </c>
      <c r="BL143" s="136">
        <f t="shared" ca="1" si="48"/>
        <v>0</v>
      </c>
      <c r="BN143" s="134">
        <f>SUMPRODUCT(-(Bens!$B$4:$B$325=Analítico!$B143),-(Bens!$D$4:$D$325=Analítico!BN$3),(Bens!$G$4:$G$325))</f>
        <v>0</v>
      </c>
    </row>
    <row r="144" spans="1:66" s="160" customFormat="1" ht="23.25" customHeight="1">
      <c r="A144" s="198" t="s">
        <v>340</v>
      </c>
      <c r="B144" s="209" t="s">
        <v>341</v>
      </c>
      <c r="C144" s="188">
        <f t="shared" si="49"/>
        <v>0</v>
      </c>
      <c r="D144" s="134">
        <f>SUMPRODUCT(-(Bens!$B$4:$B$325=Analítico!$B144),-(Bens!$D$4:$D$325=Analítico!D$3),(Bens!$G$4:$G$325))</f>
        <v>0</v>
      </c>
      <c r="E144" s="134">
        <f>SUMPRODUCT(-(Bens!$B$4:$B$325=Analítico!$B144),-(Bens!$D$4:$D$325=Analítico!E$3),(Bens!$G$4:$G$325))</f>
        <v>0</v>
      </c>
      <c r="F144" s="134">
        <f>SUMPRODUCT(-(Bens!$B$4:$B$325=Analítico!$B144),-(Bens!$D$4:$D$325=Analítico!F$3),(Bens!$G$4:$G$325))</f>
        <v>0</v>
      </c>
      <c r="G144" s="134">
        <f>SUMPRODUCT(-(Bens!$B$4:$B$325=Analítico!$B144),-(Bens!$D$4:$D$325=Analítico!G$3),(Bens!$G$4:$G$325))</f>
        <v>0</v>
      </c>
      <c r="H144" s="134">
        <f>SUMPRODUCT(-(Bens!$B$4:$B$325=Analítico!$B144),-(Bens!$D$4:$D$325=Analítico!H$3),(Bens!$G$4:$G$325))</f>
        <v>0</v>
      </c>
      <c r="I144" s="134">
        <f>SUMPRODUCT(-(Bens!$B$4:$B$325=Analítico!$B144),-(Bens!$D$4:$D$325=Analítico!I$3),(Bens!$G$4:$G$325))</f>
        <v>0</v>
      </c>
      <c r="J144" s="134">
        <f>SUMPRODUCT(-(Bens!$B$4:$B$325=Analítico!$B144),-(Bens!$D$4:$D$325=Analítico!J$3),(Bens!$G$4:$G$325))</f>
        <v>0</v>
      </c>
      <c r="K144" s="134">
        <f>SUMPRODUCT(-(Bens!$B$4:$B$325=Analítico!$B144),-(Bens!$D$4:$D$325=Analítico!K$3),(Bens!$G$4:$G$325))</f>
        <v>0</v>
      </c>
      <c r="L144" s="134">
        <f>SUMPRODUCT(-(Bens!$B$4:$B$325=Analítico!$B144),-(Bens!$D$4:$D$325=Analítico!L$3),(Bens!$G$4:$G$325))</f>
        <v>0</v>
      </c>
      <c r="M144" s="134">
        <f>SUMPRODUCT(-(Bens!$B$4:$B$325=Analítico!$B144),-(Bens!$D$4:$D$325=Analítico!M$3),(Bens!$G$4:$G$325))</f>
        <v>0</v>
      </c>
      <c r="N144" s="134">
        <f>SUMPRODUCT(-(Bens!$B$4:$B$325=Analítico!$B144),-(Bens!$D$4:$D$325=Analítico!N$3),(Bens!$G$4:$G$325))</f>
        <v>0</v>
      </c>
      <c r="O144" s="134">
        <f>SUMPRODUCT(-(Bens!$B$4:$B$325=Analítico!$B144),-(Bens!$D$4:$D$325=Analítico!O$3),(Bens!$G$4:$G$325))</f>
        <v>0</v>
      </c>
      <c r="P144" s="134">
        <f>SUMPRODUCT(-(Bens!$B$4:$B$325=Analítico!$B144),-(Bens!$D$4:$D$325=Analítico!P$3),(Bens!$G$4:$G$325))</f>
        <v>0</v>
      </c>
      <c r="Q144" s="134">
        <f>SUMPRODUCT(-(Bens!$B$4:$B$325=Analítico!$B144),-(Bens!$D$4:$D$325=Analítico!Q$3),(Bens!$G$4:$G$325))</f>
        <v>204804</v>
      </c>
      <c r="R144" s="134">
        <f>SUMPRODUCT(-(Bens!$B$4:$B$325=Analítico!$B144),-(Bens!$D$4:$D$325=Analítico!R$3),(Bens!$G$4:$G$325))</f>
        <v>0</v>
      </c>
      <c r="S144" s="134">
        <f>SUMPRODUCT(-(Bens!$B$4:$B$325=Analítico!$B144),-(Bens!$D$4:$D$325=Analítico!S$3),(Bens!$G$4:$G$325))</f>
        <v>0</v>
      </c>
      <c r="T144" s="134">
        <f>SUMPRODUCT(-(Bens!$B$4:$B$325=Analítico!$B144),-(Bens!$D$4:$D$325=Analítico!T$3),(Bens!$G$4:$G$325))</f>
        <v>0</v>
      </c>
      <c r="U144" s="134">
        <f>SUMPRODUCT(-(Bens!$B$4:$B$325=Analítico!$B144),-(Bens!$D$4:$D$325=Analítico!U$3),(Bens!$G$4:$G$325))</f>
        <v>0</v>
      </c>
      <c r="V144" s="134">
        <f>SUMPRODUCT(-(Bens!$B$4:$B$325=Analítico!$B144),-(Bens!$D$4:$D$325=Analítico!V$3),(Bens!$G$4:$G$325))</f>
        <v>0</v>
      </c>
      <c r="W144" s="134">
        <f>SUMPRODUCT(-(Bens!$B$4:$B$325=Analítico!$B144),-(Bens!$D$4:$D$325=Analítico!W$3),(Bens!$G$4:$G$325))</f>
        <v>0</v>
      </c>
      <c r="X144" s="134">
        <f>SUMPRODUCT(-(Bens!$B$4:$B$325=Analítico!$B144),-(Bens!$D$4:$D$325=Analítico!X$3),(Bens!$G$4:$G$325))</f>
        <v>0</v>
      </c>
      <c r="Y144" s="134">
        <f>SUMPRODUCT(-(Bens!$B$4:$B$325=Analítico!$B144),-(Bens!$D$4:$D$325=Analítico!Y$3),(Bens!$G$4:$G$325))</f>
        <v>0</v>
      </c>
      <c r="Z144" s="134">
        <f>SUMPRODUCT(-(Bens!$B$4:$B$325=Analítico!$B144),-(Bens!$D$4:$D$325=Analítico!Z$3),(Bens!$G$4:$G$325))</f>
        <v>0</v>
      </c>
      <c r="AA144" s="134">
        <f>SUMPRODUCT(-(Bens!$B$4:$B$325=Analítico!$B144),-(Bens!$D$4:$D$325=Analítico!AA$3),(Bens!$G$4:$G$325))</f>
        <v>0</v>
      </c>
      <c r="AB144" s="134">
        <f>SUMPRODUCT(-(Bens!$B$4:$B$325=Analítico!$B144),-(Bens!$D$4:$D$325=Analítico!AB$3),(Bens!$G$4:$G$325))</f>
        <v>0</v>
      </c>
      <c r="AC144" s="134">
        <f>SUMPRODUCT(-(Bens!$B$4:$B$325=Analítico!$B144),-(Bens!$D$4:$D$325=Analítico!AC$3),(Bens!$G$4:$G$325))</f>
        <v>0</v>
      </c>
      <c r="AD144" s="134">
        <f>SUMPRODUCT(-(Bens!$B$4:$B$325=Analítico!$B144),-(Bens!$D$4:$D$325=Analítico!AD$3),(Bens!$G$4:$G$325))</f>
        <v>0</v>
      </c>
      <c r="AE144" s="134">
        <f>SUMPRODUCT(-(Bens!$B$4:$B$325=Analítico!$B144),-(Bens!$D$4:$D$325=Analítico!AE$3),(Bens!$G$4:$G$325))</f>
        <v>0</v>
      </c>
      <c r="AF144" s="134">
        <f>SUMPRODUCT(-(Bens!$B$4:$B$325=Analítico!$B144),-(Bens!$D$4:$D$325=Analítico!AF$3),(Bens!$G$4:$G$325))</f>
        <v>0</v>
      </c>
      <c r="AG144" s="134">
        <f>SUMPRODUCT(-(Bens!$B$4:$B$325=Analítico!$B144),-(Bens!$D$4:$D$325=Analítico!AG$3),(Bens!$G$4:$G$325))</f>
        <v>0</v>
      </c>
      <c r="AH144" s="134">
        <f>SUMPRODUCT(-(Bens!$B$4:$B$325=Analítico!$B144),-(Bens!$D$4:$D$325=Analítico!AH$3),(Bens!$G$4:$G$325))</f>
        <v>0</v>
      </c>
      <c r="AI144" s="134">
        <f>SUMPRODUCT(-(Bens!$B$4:$B$325=Analítico!$B144),-(Bens!$D$4:$D$325=Analítico!AI$3),(Bens!$G$4:$G$325))</f>
        <v>0</v>
      </c>
      <c r="AJ144" s="134">
        <f>SUMPRODUCT(-(Bens!$B$4:$B$325=Analítico!$B144),-(Bens!$D$4:$D$325=Analítico!AJ$3),(Bens!$G$4:$G$325))</f>
        <v>0</v>
      </c>
      <c r="AK144" s="134">
        <f>SUMPRODUCT(-(Bens!$B$4:$B$325=Analítico!$B144),-(Bens!$D$4:$D$325=Analítico!AK$3),(Bens!$G$4:$G$325))</f>
        <v>0</v>
      </c>
      <c r="AL144" s="134">
        <f>SUMPRODUCT(-(Bens!$B$4:$B$325=Analítico!$B144),-(Bens!$D$4:$D$325=Analítico!AL$3),(Bens!$G$4:$G$325))</f>
        <v>0</v>
      </c>
      <c r="AM144" s="134">
        <f>SUMPRODUCT(-(Bens!$B$4:$B$325=Analítico!$B144),-(Bens!$D$4:$D$325=Analítico!AM$3),(Bens!$G$4:$G$325))</f>
        <v>0</v>
      </c>
      <c r="AN144" s="134">
        <f>SUMPRODUCT(-(Bens!$B$4:$B$325=Analítico!$B144),-(Bens!$D$4:$D$325=Analítico!AN$3),(Bens!$G$4:$G$325))</f>
        <v>0</v>
      </c>
      <c r="AO144" s="134">
        <f>SUMPRODUCT(-(Bens!$B$4:$B$325=Analítico!$B144),-(Bens!$D$4:$D$325=Analítico!AO$3),(Bens!$G$4:$G$325))</f>
        <v>0</v>
      </c>
      <c r="AP144" s="134">
        <f>SUMPRODUCT(-(Bens!$B$4:$B$325=Analítico!$B144),-(Bens!$D$4:$D$325=Analítico!AP$3),(Bens!$G$4:$G$325))</f>
        <v>0</v>
      </c>
      <c r="AQ144" s="134">
        <f>SUMPRODUCT(-(Bens!$B$4:$B$325=Analítico!$B144),-(Bens!$D$4:$D$325=Analítico!AQ$3),(Bens!$G$4:$G$325))</f>
        <v>0</v>
      </c>
      <c r="AR144" s="134">
        <f>SUMPRODUCT(-(Bens!$B$4:$B$325=Analítico!$B144),-(Bens!$D$4:$D$325=Analítico!AR$3),(Bens!$G$4:$G$325))</f>
        <v>0</v>
      </c>
      <c r="AS144" s="134">
        <f>SUMPRODUCT(-(Bens!$B$4:$B$325=Analítico!$B144),-(Bens!$D$4:$D$325=Analítico!AS$3),(Bens!$G$4:$G$325))</f>
        <v>0</v>
      </c>
      <c r="AT144" s="134">
        <f>SUMPRODUCT(-(Bens!$B$4:$B$325=Analítico!$B144),-(Bens!$D$4:$D$325=Analítico!AT$3),(Bens!$G$4:$G$325))</f>
        <v>0</v>
      </c>
      <c r="AU144" s="134">
        <f>SUMPRODUCT(-(Bens!$B$4:$B$325=Analítico!$B144),-(Bens!$D$4:$D$325=Analítico!AU$3),(Bens!$G$4:$G$325))</f>
        <v>0</v>
      </c>
      <c r="AV144" s="134">
        <f>SUMPRODUCT(-(Bens!$B$4:$B$325=Analítico!$B144),-(Bens!$D$4:$D$325=Analítico!AV$3),(Bens!$G$4:$G$325))</f>
        <v>0</v>
      </c>
      <c r="AW144" s="134">
        <f>SUMPRODUCT(-(Bens!$B$4:$B$325=Analítico!$B144),-(Bens!$D$4:$D$325=Analítico!AW$3),(Bens!$G$4:$G$325))</f>
        <v>0</v>
      </c>
      <c r="AX144" s="134">
        <f>SUMPRODUCT(-(Bens!$B$4:$B$325=Analítico!$B144),-(Bens!$D$4:$D$325=Analítico!AX$3),(Bens!$G$4:$G$325))</f>
        <v>0</v>
      </c>
      <c r="AY144" s="134">
        <f>SUMPRODUCT(-(Bens!$B$4:$B$325=Analítico!$B144),-(Bens!$D$4:$D$325=Analítico!AY$3),(Bens!$G$4:$G$325))</f>
        <v>0</v>
      </c>
      <c r="AZ144" s="134">
        <f>SUMPRODUCT(-(Bens!$B$4:$B$325=Analítico!$B144),-(Bens!$D$4:$D$325=Analítico!AZ$3),(Bens!$G$4:$G$325))</f>
        <v>0</v>
      </c>
      <c r="BA144" s="134">
        <f>SUMPRODUCT(-(Bens!$B$4:$B$325=Analítico!$B144),-(Bens!$D$4:$D$325=Analítico!BA$3),(Bens!$G$4:$G$325))</f>
        <v>0</v>
      </c>
      <c r="BB144" s="134">
        <f>SUMPRODUCT(-(Bens!$B$4:$B$325=Analítico!$B144),-(Bens!$D$4:$D$325=Analítico!BB$3),(Bens!$G$4:$G$325))</f>
        <v>0</v>
      </c>
      <c r="BC144" s="134">
        <f>SUMPRODUCT(-(Bens!$B$4:$B$325=Analítico!$B144),-(Bens!$D$4:$D$325=Analítico!BC$3),(Bens!$G$4:$G$325))</f>
        <v>0</v>
      </c>
      <c r="BD144" s="134">
        <f>SUMPRODUCT(-(Bens!$B$4:$B$325=Analítico!$B144),-(Bens!$D$4:$D$325=Analítico!BD$3),(Bens!$G$4:$G$325))</f>
        <v>0</v>
      </c>
      <c r="BE144" s="134">
        <f>SUMPRODUCT(-(Bens!$B$4:$B$325=Analítico!$B144),-(Bens!$D$4:$D$325=Analítico!BE$3),(Bens!$G$4:$G$325))</f>
        <v>0</v>
      </c>
      <c r="BF144" s="134">
        <f>SUMPRODUCT(-(Bens!$B$4:$B$325=Analítico!$B144),-(Bens!$D$4:$D$325=Analítico!BF$3),(Bens!$G$4:$G$325))</f>
        <v>0</v>
      </c>
      <c r="BG144" s="134">
        <f>SUMPRODUCT(-(Bens!$B$4:$B$325=Analítico!$B144),-(Bens!$D$4:$D$325=Analítico!BG$3),(Bens!$G$4:$G$325))</f>
        <v>0</v>
      </c>
      <c r="BH144" s="134">
        <f>SUMPRODUCT(-(Bens!$B$4:$B$325=Analítico!$B144),-(Bens!$D$4:$D$325=Analítico!BH$3),(Bens!$G$4:$G$325))</f>
        <v>0</v>
      </c>
      <c r="BI144" s="134">
        <f>SUMPRODUCT(-(Bens!$B$4:$B$325=Analítico!$B144),-(Bens!$D$4:$D$325=Analítico!BI$3),(Bens!$G$4:$G$325))</f>
        <v>0</v>
      </c>
      <c r="BJ144" s="134">
        <f>SUMPRODUCT(-(Bens!$B$4:$B$325=Analítico!$B144),-(Bens!$D$4:$D$325=Analítico!BJ$3),(Bens!$G$4:$G$325))</f>
        <v>0</v>
      </c>
      <c r="BK144" s="189">
        <f t="shared" si="47"/>
        <v>204804</v>
      </c>
      <c r="BL144" s="136">
        <f t="shared" ca="1" si="48"/>
        <v>6.1211918143706443E-4</v>
      </c>
      <c r="BN144" s="134">
        <f>SUMPRODUCT(-(Bens!$B$4:$B$325=Analítico!$B144),-(Bens!$D$4:$D$325=Analítico!BN$3),(Bens!$G$4:$G$325))</f>
        <v>0</v>
      </c>
    </row>
    <row r="145" spans="1:66" s="160" customFormat="1" ht="23.25" customHeight="1">
      <c r="A145" s="198" t="s">
        <v>342</v>
      </c>
      <c r="B145" s="209" t="s">
        <v>343</v>
      </c>
      <c r="C145" s="188">
        <f t="shared" si="49"/>
        <v>44433</v>
      </c>
      <c r="D145" s="134">
        <f>SUMPRODUCT(-(Bens!$B$4:$B$325=Analítico!$B145),-(Bens!$D$4:$D$325=Analítico!D$3),(Bens!$G$4:$G$325))</f>
        <v>0</v>
      </c>
      <c r="E145" s="134">
        <f>SUMPRODUCT(-(Bens!$B$4:$B$325=Analítico!$B145),-(Bens!$D$4:$D$325=Analítico!E$3),(Bens!$G$4:$G$325))</f>
        <v>0</v>
      </c>
      <c r="F145" s="134">
        <f>SUMPRODUCT(-(Bens!$B$4:$B$325=Analítico!$B145),-(Bens!$D$4:$D$325=Analítico!F$3),(Bens!$G$4:$G$325))</f>
        <v>0</v>
      </c>
      <c r="G145" s="134">
        <f>SUMPRODUCT(-(Bens!$B$4:$B$325=Analítico!$B145),-(Bens!$D$4:$D$325=Analítico!G$3),(Bens!$G$4:$G$325))</f>
        <v>0</v>
      </c>
      <c r="H145" s="134">
        <f>SUMPRODUCT(-(Bens!$B$4:$B$325=Analítico!$B145),-(Bens!$D$4:$D$325=Analítico!H$3),(Bens!$G$4:$G$325))</f>
        <v>0</v>
      </c>
      <c r="I145" s="134">
        <f>SUMPRODUCT(-(Bens!$B$4:$B$325=Analítico!$B145),-(Bens!$D$4:$D$325=Analítico!I$3),(Bens!$G$4:$G$325))</f>
        <v>0</v>
      </c>
      <c r="J145" s="134">
        <f>SUMPRODUCT(-(Bens!$B$4:$B$325=Analítico!$B145),-(Bens!$D$4:$D$325=Analítico!J$3),(Bens!$G$4:$G$325))</f>
        <v>0</v>
      </c>
      <c r="K145" s="134">
        <f>SUMPRODUCT(-(Bens!$B$4:$B$325=Analítico!$B145),-(Bens!$D$4:$D$325=Analítico!K$3),(Bens!$G$4:$G$325))</f>
        <v>0</v>
      </c>
      <c r="L145" s="134">
        <f>SUMPRODUCT(-(Bens!$B$4:$B$325=Analítico!$B145),-(Bens!$D$4:$D$325=Analítico!L$3),(Bens!$G$4:$G$325))</f>
        <v>0</v>
      </c>
      <c r="M145" s="134">
        <f>SUMPRODUCT(-(Bens!$B$4:$B$325=Analítico!$B145),-(Bens!$D$4:$D$325=Analítico!M$3),(Bens!$G$4:$G$325))</f>
        <v>16659.57</v>
      </c>
      <c r="N145" s="134">
        <f>SUMPRODUCT(-(Bens!$B$4:$B$325=Analítico!$B145),-(Bens!$D$4:$D$325=Analítico!N$3),(Bens!$G$4:$G$325))</f>
        <v>0</v>
      </c>
      <c r="O145" s="134">
        <f>SUMPRODUCT(-(Bens!$B$4:$B$325=Analítico!$B145),-(Bens!$D$4:$D$325=Analítico!O$3),(Bens!$G$4:$G$325))</f>
        <v>0</v>
      </c>
      <c r="P145" s="134">
        <f>SUMPRODUCT(-(Bens!$B$4:$B$325=Analítico!$B145),-(Bens!$D$4:$D$325=Analítico!P$3),(Bens!$G$4:$G$325))</f>
        <v>1698</v>
      </c>
      <c r="Q145" s="134">
        <f>SUMPRODUCT(-(Bens!$B$4:$B$325=Analítico!$B145),-(Bens!$D$4:$D$325=Analítico!Q$3),(Bens!$G$4:$G$325))</f>
        <v>134000</v>
      </c>
      <c r="R145" s="134">
        <f>SUMPRODUCT(-(Bens!$B$4:$B$325=Analítico!$B145),-(Bens!$D$4:$D$325=Analítico!R$3),(Bens!$G$4:$G$325))</f>
        <v>10500</v>
      </c>
      <c r="S145" s="134">
        <f>SUMPRODUCT(-(Bens!$B$4:$B$325=Analítico!$B145),-(Bens!$D$4:$D$325=Analítico!S$3),(Bens!$G$4:$G$325))</f>
        <v>0</v>
      </c>
      <c r="T145" s="134">
        <f>SUMPRODUCT(-(Bens!$B$4:$B$325=Analítico!$B145),-(Bens!$D$4:$D$325=Analítico!T$3),(Bens!$G$4:$G$325))</f>
        <v>0</v>
      </c>
      <c r="U145" s="134">
        <f>SUMPRODUCT(-(Bens!$B$4:$B$325=Analítico!$B145),-(Bens!$D$4:$D$325=Analítico!U$3),(Bens!$G$4:$G$325))</f>
        <v>10500</v>
      </c>
      <c r="V145" s="134">
        <f>SUMPRODUCT(-(Bens!$B$4:$B$325=Analítico!$B145),-(Bens!$D$4:$D$325=Analítico!V$3),(Bens!$G$4:$G$325))</f>
        <v>0</v>
      </c>
      <c r="W145" s="134">
        <f>SUMPRODUCT(-(Bens!$B$4:$B$325=Analítico!$B145),-(Bens!$D$4:$D$325=Analítico!W$3),(Bens!$G$4:$G$325))</f>
        <v>0</v>
      </c>
      <c r="X145" s="134">
        <f>SUMPRODUCT(-(Bens!$B$4:$B$325=Analítico!$B145),-(Bens!$D$4:$D$325=Analítico!X$3),(Bens!$G$4:$G$325))</f>
        <v>10500</v>
      </c>
      <c r="Y145" s="134">
        <f>SUMPRODUCT(-(Bens!$B$4:$B$325=Analítico!$B145),-(Bens!$D$4:$D$325=Analítico!Y$3),(Bens!$G$4:$G$325))</f>
        <v>0</v>
      </c>
      <c r="Z145" s="134">
        <f>SUMPRODUCT(-(Bens!$B$4:$B$325=Analítico!$B145),-(Bens!$D$4:$D$325=Analítico!Z$3),(Bens!$G$4:$G$325))</f>
        <v>0</v>
      </c>
      <c r="AA145" s="134">
        <f>SUMPRODUCT(-(Bens!$B$4:$B$325=Analítico!$B145),-(Bens!$D$4:$D$325=Analítico!AA$3),(Bens!$G$4:$G$325))</f>
        <v>10500</v>
      </c>
      <c r="AB145" s="134">
        <f>SUMPRODUCT(-(Bens!$B$4:$B$325=Analítico!$B145),-(Bens!$D$4:$D$325=Analítico!AB$3),(Bens!$G$4:$G$325))</f>
        <v>0</v>
      </c>
      <c r="AC145" s="134">
        <f>SUMPRODUCT(-(Bens!$B$4:$B$325=Analítico!$B145),-(Bens!$D$4:$D$325=Analítico!AC$3),(Bens!$G$4:$G$325))</f>
        <v>0</v>
      </c>
      <c r="AD145" s="134">
        <f>SUMPRODUCT(-(Bens!$B$4:$B$325=Analítico!$B145),-(Bens!$D$4:$D$325=Analítico!AD$3),(Bens!$G$4:$G$325))</f>
        <v>10500</v>
      </c>
      <c r="AE145" s="134">
        <f>SUMPRODUCT(-(Bens!$B$4:$B$325=Analítico!$B145),-(Bens!$D$4:$D$325=Analítico!AE$3),(Bens!$G$4:$G$325))</f>
        <v>0</v>
      </c>
      <c r="AF145" s="134">
        <f>SUMPRODUCT(-(Bens!$B$4:$B$325=Analítico!$B145),-(Bens!$D$4:$D$325=Analítico!AF$3),(Bens!$G$4:$G$325))</f>
        <v>0</v>
      </c>
      <c r="AG145" s="134">
        <f>SUMPRODUCT(-(Bens!$B$4:$B$325=Analítico!$B145),-(Bens!$D$4:$D$325=Analítico!AG$3),(Bens!$G$4:$G$325))</f>
        <v>10500</v>
      </c>
      <c r="AH145" s="134">
        <f>SUMPRODUCT(-(Bens!$B$4:$B$325=Analítico!$B145),-(Bens!$D$4:$D$325=Analítico!AH$3),(Bens!$G$4:$G$325))</f>
        <v>0</v>
      </c>
      <c r="AI145" s="134">
        <f>SUMPRODUCT(-(Bens!$B$4:$B$325=Analítico!$B145),-(Bens!$D$4:$D$325=Analítico!AI$3),(Bens!$G$4:$G$325))</f>
        <v>0</v>
      </c>
      <c r="AJ145" s="134">
        <f>SUMPRODUCT(-(Bens!$B$4:$B$325=Analítico!$B145),-(Bens!$D$4:$D$325=Analítico!AJ$3),(Bens!$G$4:$G$325))</f>
        <v>10500</v>
      </c>
      <c r="AK145" s="134">
        <f>SUMPRODUCT(-(Bens!$B$4:$B$325=Analítico!$B145),-(Bens!$D$4:$D$325=Analítico!AK$3),(Bens!$G$4:$G$325))</f>
        <v>0</v>
      </c>
      <c r="AL145" s="134">
        <f>SUMPRODUCT(-(Bens!$B$4:$B$325=Analítico!$B145),-(Bens!$D$4:$D$325=Analítico!AL$3),(Bens!$G$4:$G$325))</f>
        <v>0</v>
      </c>
      <c r="AM145" s="134">
        <f>SUMPRODUCT(-(Bens!$B$4:$B$325=Analítico!$B145),-(Bens!$D$4:$D$325=Analítico!AM$3),(Bens!$G$4:$G$325))</f>
        <v>10500</v>
      </c>
      <c r="AN145" s="134">
        <f>SUMPRODUCT(-(Bens!$B$4:$B$325=Analítico!$B145),-(Bens!$D$4:$D$325=Analítico!AN$3),(Bens!$G$4:$G$325))</f>
        <v>0</v>
      </c>
      <c r="AO145" s="134">
        <f>SUMPRODUCT(-(Bens!$B$4:$B$325=Analítico!$B145),-(Bens!$D$4:$D$325=Analítico!AO$3),(Bens!$G$4:$G$325))</f>
        <v>0</v>
      </c>
      <c r="AP145" s="134">
        <f>SUMPRODUCT(-(Bens!$B$4:$B$325=Analítico!$B145),-(Bens!$D$4:$D$325=Analítico!AP$3),(Bens!$G$4:$G$325))</f>
        <v>10500</v>
      </c>
      <c r="AQ145" s="134">
        <f>SUMPRODUCT(-(Bens!$B$4:$B$325=Analítico!$B145),-(Bens!$D$4:$D$325=Analítico!AQ$3),(Bens!$G$4:$G$325))</f>
        <v>0</v>
      </c>
      <c r="AR145" s="134">
        <f>SUMPRODUCT(-(Bens!$B$4:$B$325=Analítico!$B145),-(Bens!$D$4:$D$325=Analítico!AR$3),(Bens!$G$4:$G$325))</f>
        <v>0</v>
      </c>
      <c r="AS145" s="134">
        <f>SUMPRODUCT(-(Bens!$B$4:$B$325=Analítico!$B145),-(Bens!$D$4:$D$325=Analítico!AS$3),(Bens!$G$4:$G$325))</f>
        <v>10500</v>
      </c>
      <c r="AT145" s="134">
        <f>SUMPRODUCT(-(Bens!$B$4:$B$325=Analítico!$B145),-(Bens!$D$4:$D$325=Analítico!AT$3),(Bens!$G$4:$G$325))</f>
        <v>0</v>
      </c>
      <c r="AU145" s="134">
        <f>SUMPRODUCT(-(Bens!$B$4:$B$325=Analítico!$B145),-(Bens!$D$4:$D$325=Analítico!AU$3),(Bens!$G$4:$G$325))</f>
        <v>0</v>
      </c>
      <c r="AV145" s="134">
        <f>SUMPRODUCT(-(Bens!$B$4:$B$325=Analítico!$B145),-(Bens!$D$4:$D$325=Analítico!AV$3),(Bens!$G$4:$G$325))</f>
        <v>10500</v>
      </c>
      <c r="AW145" s="134">
        <f>SUMPRODUCT(-(Bens!$B$4:$B$325=Analítico!$B145),-(Bens!$D$4:$D$325=Analítico!AW$3),(Bens!$G$4:$G$325))</f>
        <v>0</v>
      </c>
      <c r="AX145" s="134">
        <f>SUMPRODUCT(-(Bens!$B$4:$B$325=Analítico!$B145),-(Bens!$D$4:$D$325=Analítico!AX$3),(Bens!$G$4:$G$325))</f>
        <v>0</v>
      </c>
      <c r="AY145" s="134">
        <f>SUMPRODUCT(-(Bens!$B$4:$B$325=Analítico!$B145),-(Bens!$D$4:$D$325=Analítico!AY$3),(Bens!$G$4:$G$325))</f>
        <v>10500</v>
      </c>
      <c r="AZ145" s="134">
        <f>SUMPRODUCT(-(Bens!$B$4:$B$325=Analítico!$B145),-(Bens!$D$4:$D$325=Analítico!AZ$3),(Bens!$G$4:$G$325))</f>
        <v>0</v>
      </c>
      <c r="BA145" s="134">
        <f>SUMPRODUCT(-(Bens!$B$4:$B$325=Analítico!$B145),-(Bens!$D$4:$D$325=Analítico!BA$3),(Bens!$G$4:$G$325))</f>
        <v>0</v>
      </c>
      <c r="BB145" s="134">
        <f>SUMPRODUCT(-(Bens!$B$4:$B$325=Analítico!$B145),-(Bens!$D$4:$D$325=Analítico!BB$3),(Bens!$G$4:$G$325))</f>
        <v>10500</v>
      </c>
      <c r="BC145" s="134">
        <f>SUMPRODUCT(-(Bens!$B$4:$B$325=Analítico!$B145),-(Bens!$D$4:$D$325=Analítico!BC$3),(Bens!$G$4:$G$325))</f>
        <v>0</v>
      </c>
      <c r="BD145" s="134">
        <f>SUMPRODUCT(-(Bens!$B$4:$B$325=Analítico!$B145),-(Bens!$D$4:$D$325=Analítico!BD$3),(Bens!$G$4:$G$325))</f>
        <v>0</v>
      </c>
      <c r="BE145" s="134">
        <f>SUMPRODUCT(-(Bens!$B$4:$B$325=Analítico!$B145),-(Bens!$D$4:$D$325=Analítico!BE$3),(Bens!$G$4:$G$325))</f>
        <v>10500</v>
      </c>
      <c r="BF145" s="134">
        <f>SUMPRODUCT(-(Bens!$B$4:$B$325=Analítico!$B145),-(Bens!$D$4:$D$325=Analítico!BF$3),(Bens!$G$4:$G$325))</f>
        <v>0</v>
      </c>
      <c r="BG145" s="134">
        <f>SUMPRODUCT(-(Bens!$B$4:$B$325=Analítico!$B145),-(Bens!$D$4:$D$325=Analítico!BG$3),(Bens!$G$4:$G$325))</f>
        <v>0</v>
      </c>
      <c r="BH145" s="134">
        <f>SUMPRODUCT(-(Bens!$B$4:$B$325=Analítico!$B145),-(Bens!$D$4:$D$325=Analítico!BH$3),(Bens!$G$4:$G$325))</f>
        <v>10500</v>
      </c>
      <c r="BI145" s="134">
        <f>SUMPRODUCT(-(Bens!$B$4:$B$325=Analítico!$B145),-(Bens!$D$4:$D$325=Analítico!BI$3),(Bens!$G$4:$G$325))</f>
        <v>0</v>
      </c>
      <c r="BJ145" s="134">
        <f>SUMPRODUCT(-(Bens!$B$4:$B$325=Analítico!$B145),-(Bens!$D$4:$D$325=Analítico!BJ$3),(Bens!$G$4:$G$325))</f>
        <v>0</v>
      </c>
      <c r="BK145" s="189">
        <f t="shared" si="47"/>
        <v>354290.57</v>
      </c>
      <c r="BL145" s="136">
        <f t="shared" ca="1" si="48"/>
        <v>1.0589053617081259E-3</v>
      </c>
      <c r="BN145" s="134">
        <f>SUMPRODUCT(-(Bens!$B$4:$B$325=Analítico!$B145),-(Bens!$D$4:$D$325=Analítico!BN$3),(Bens!$G$4:$G$325))</f>
        <v>44433</v>
      </c>
    </row>
    <row r="146" spans="1:66" s="160" customFormat="1" ht="23.25" customHeight="1">
      <c r="A146" s="198" t="s">
        <v>344</v>
      </c>
      <c r="B146" s="209" t="s">
        <v>345</v>
      </c>
      <c r="C146" s="188">
        <f t="shared" si="49"/>
        <v>0</v>
      </c>
      <c r="D146" s="134">
        <f>SUMPRODUCT(-(Bens!$B$4:$B$325=Analítico!$B146),-(Bens!$D$4:$D$325=Analítico!D$3),(Bens!$G$4:$G$325))</f>
        <v>0</v>
      </c>
      <c r="E146" s="134">
        <f>SUMPRODUCT(-(Bens!$B$4:$B$325=Analítico!$B146),-(Bens!$D$4:$D$325=Analítico!E$3),(Bens!$G$4:$G$325))</f>
        <v>0</v>
      </c>
      <c r="F146" s="134">
        <f>SUMPRODUCT(-(Bens!$B$4:$B$325=Analítico!$B146),-(Bens!$D$4:$D$325=Analítico!F$3),(Bens!$G$4:$G$325))</f>
        <v>0</v>
      </c>
      <c r="G146" s="134">
        <f>SUMPRODUCT(-(Bens!$B$4:$B$325=Analítico!$B146),-(Bens!$D$4:$D$325=Analítico!G$3),(Bens!$G$4:$G$325))</f>
        <v>0</v>
      </c>
      <c r="H146" s="134">
        <f>SUMPRODUCT(-(Bens!$B$4:$B$325=Analítico!$B146),-(Bens!$D$4:$D$325=Analítico!H$3),(Bens!$G$4:$G$325))</f>
        <v>0</v>
      </c>
      <c r="I146" s="134">
        <f>SUMPRODUCT(-(Bens!$B$4:$B$325=Analítico!$B146),-(Bens!$D$4:$D$325=Analítico!I$3),(Bens!$G$4:$G$325))</f>
        <v>0</v>
      </c>
      <c r="J146" s="134">
        <f>SUMPRODUCT(-(Bens!$B$4:$B$325=Analítico!$B146),-(Bens!$D$4:$D$325=Analítico!J$3),(Bens!$G$4:$G$325))</f>
        <v>0</v>
      </c>
      <c r="K146" s="134">
        <f>SUMPRODUCT(-(Bens!$B$4:$B$325=Analítico!$B146),-(Bens!$D$4:$D$325=Analítico!K$3),(Bens!$G$4:$G$325))</f>
        <v>0</v>
      </c>
      <c r="L146" s="134">
        <f>SUMPRODUCT(-(Bens!$B$4:$B$325=Analítico!$B146),-(Bens!$D$4:$D$325=Analítico!L$3),(Bens!$G$4:$G$325))</f>
        <v>0</v>
      </c>
      <c r="M146" s="134">
        <f>SUMPRODUCT(-(Bens!$B$4:$B$325=Analítico!$B146),-(Bens!$D$4:$D$325=Analítico!M$3),(Bens!$G$4:$G$325))</f>
        <v>0</v>
      </c>
      <c r="N146" s="134">
        <f>SUMPRODUCT(-(Bens!$B$4:$B$325=Analítico!$B146),-(Bens!$D$4:$D$325=Analítico!N$3),(Bens!$G$4:$G$325))</f>
        <v>0</v>
      </c>
      <c r="O146" s="134">
        <f>SUMPRODUCT(-(Bens!$B$4:$B$325=Analítico!$B146),-(Bens!$D$4:$D$325=Analítico!O$3),(Bens!$G$4:$G$325))</f>
        <v>0</v>
      </c>
      <c r="P146" s="134">
        <f>SUMPRODUCT(-(Bens!$B$4:$B$325=Analítico!$B146),-(Bens!$D$4:$D$325=Analítico!P$3),(Bens!$G$4:$G$325))</f>
        <v>0</v>
      </c>
      <c r="Q146" s="134">
        <f>SUMPRODUCT(-(Bens!$B$4:$B$325=Analítico!$B146),-(Bens!$D$4:$D$325=Analítico!Q$3),(Bens!$G$4:$G$325))</f>
        <v>0</v>
      </c>
      <c r="R146" s="134">
        <f>SUMPRODUCT(-(Bens!$B$4:$B$325=Analítico!$B146),-(Bens!$D$4:$D$325=Analítico!R$3),(Bens!$G$4:$G$325))</f>
        <v>0</v>
      </c>
      <c r="S146" s="134">
        <f>SUMPRODUCT(-(Bens!$B$4:$B$325=Analítico!$B146),-(Bens!$D$4:$D$325=Analítico!S$3),(Bens!$G$4:$G$325))</f>
        <v>0</v>
      </c>
      <c r="T146" s="134">
        <f>SUMPRODUCT(-(Bens!$B$4:$B$325=Analítico!$B146),-(Bens!$D$4:$D$325=Analítico!T$3),(Bens!$G$4:$G$325))</f>
        <v>0</v>
      </c>
      <c r="U146" s="134">
        <f>SUMPRODUCT(-(Bens!$B$4:$B$325=Analítico!$B146),-(Bens!$D$4:$D$325=Analítico!U$3),(Bens!$G$4:$G$325))</f>
        <v>0</v>
      </c>
      <c r="V146" s="134">
        <f>SUMPRODUCT(-(Bens!$B$4:$B$325=Analítico!$B146),-(Bens!$D$4:$D$325=Analítico!V$3),(Bens!$G$4:$G$325))</f>
        <v>0</v>
      </c>
      <c r="W146" s="134">
        <f>SUMPRODUCT(-(Bens!$B$4:$B$325=Analítico!$B146),-(Bens!$D$4:$D$325=Analítico!W$3),(Bens!$G$4:$G$325))</f>
        <v>0</v>
      </c>
      <c r="X146" s="134">
        <f>SUMPRODUCT(-(Bens!$B$4:$B$325=Analítico!$B146),-(Bens!$D$4:$D$325=Analítico!X$3),(Bens!$G$4:$G$325))</f>
        <v>0</v>
      </c>
      <c r="Y146" s="134">
        <f>SUMPRODUCT(-(Bens!$B$4:$B$325=Analítico!$B146),-(Bens!$D$4:$D$325=Analítico!Y$3),(Bens!$G$4:$G$325))</f>
        <v>0</v>
      </c>
      <c r="Z146" s="134">
        <f>SUMPRODUCT(-(Bens!$B$4:$B$325=Analítico!$B146),-(Bens!$D$4:$D$325=Analítico!Z$3),(Bens!$G$4:$G$325))</f>
        <v>0</v>
      </c>
      <c r="AA146" s="134">
        <f>SUMPRODUCT(-(Bens!$B$4:$B$325=Analítico!$B146),-(Bens!$D$4:$D$325=Analítico!AA$3),(Bens!$G$4:$G$325))</f>
        <v>0</v>
      </c>
      <c r="AB146" s="134">
        <f>SUMPRODUCT(-(Bens!$B$4:$B$325=Analítico!$B146),-(Bens!$D$4:$D$325=Analítico!AB$3),(Bens!$G$4:$G$325))</f>
        <v>0</v>
      </c>
      <c r="AC146" s="134">
        <f>SUMPRODUCT(-(Bens!$B$4:$B$325=Analítico!$B146),-(Bens!$D$4:$D$325=Analítico!AC$3),(Bens!$G$4:$G$325))</f>
        <v>0</v>
      </c>
      <c r="AD146" s="134">
        <f>SUMPRODUCT(-(Bens!$B$4:$B$325=Analítico!$B146),-(Bens!$D$4:$D$325=Analítico!AD$3),(Bens!$G$4:$G$325))</f>
        <v>0</v>
      </c>
      <c r="AE146" s="134">
        <f>SUMPRODUCT(-(Bens!$B$4:$B$325=Analítico!$B146),-(Bens!$D$4:$D$325=Analítico!AE$3),(Bens!$G$4:$G$325))</f>
        <v>0</v>
      </c>
      <c r="AF146" s="134">
        <f>SUMPRODUCT(-(Bens!$B$4:$B$325=Analítico!$B146),-(Bens!$D$4:$D$325=Analítico!AF$3),(Bens!$G$4:$G$325))</f>
        <v>0</v>
      </c>
      <c r="AG146" s="134">
        <f>SUMPRODUCT(-(Bens!$B$4:$B$325=Analítico!$B146),-(Bens!$D$4:$D$325=Analítico!AG$3),(Bens!$G$4:$G$325))</f>
        <v>0</v>
      </c>
      <c r="AH146" s="134">
        <f>SUMPRODUCT(-(Bens!$B$4:$B$325=Analítico!$B146),-(Bens!$D$4:$D$325=Analítico!AH$3),(Bens!$G$4:$G$325))</f>
        <v>0</v>
      </c>
      <c r="AI146" s="134">
        <f>SUMPRODUCT(-(Bens!$B$4:$B$325=Analítico!$B146),-(Bens!$D$4:$D$325=Analítico!AI$3),(Bens!$G$4:$G$325))</f>
        <v>0</v>
      </c>
      <c r="AJ146" s="134">
        <f>SUMPRODUCT(-(Bens!$B$4:$B$325=Analítico!$B146),-(Bens!$D$4:$D$325=Analítico!AJ$3),(Bens!$G$4:$G$325))</f>
        <v>0</v>
      </c>
      <c r="AK146" s="134">
        <f>SUMPRODUCT(-(Bens!$B$4:$B$325=Analítico!$B146),-(Bens!$D$4:$D$325=Analítico!AK$3),(Bens!$G$4:$G$325))</f>
        <v>0</v>
      </c>
      <c r="AL146" s="134">
        <f>SUMPRODUCT(-(Bens!$B$4:$B$325=Analítico!$B146),-(Bens!$D$4:$D$325=Analítico!AL$3),(Bens!$G$4:$G$325))</f>
        <v>0</v>
      </c>
      <c r="AM146" s="134">
        <f>SUMPRODUCT(-(Bens!$B$4:$B$325=Analítico!$B146),-(Bens!$D$4:$D$325=Analítico!AM$3),(Bens!$G$4:$G$325))</f>
        <v>0</v>
      </c>
      <c r="AN146" s="134">
        <f>SUMPRODUCT(-(Bens!$B$4:$B$325=Analítico!$B146),-(Bens!$D$4:$D$325=Analítico!AN$3),(Bens!$G$4:$G$325))</f>
        <v>0</v>
      </c>
      <c r="AO146" s="134">
        <f>SUMPRODUCT(-(Bens!$B$4:$B$325=Analítico!$B146),-(Bens!$D$4:$D$325=Analítico!AO$3),(Bens!$G$4:$G$325))</f>
        <v>0</v>
      </c>
      <c r="AP146" s="134">
        <f>SUMPRODUCT(-(Bens!$B$4:$B$325=Analítico!$B146),-(Bens!$D$4:$D$325=Analítico!AP$3),(Bens!$G$4:$G$325))</f>
        <v>0</v>
      </c>
      <c r="AQ146" s="134">
        <f>SUMPRODUCT(-(Bens!$B$4:$B$325=Analítico!$B146),-(Bens!$D$4:$D$325=Analítico!AQ$3),(Bens!$G$4:$G$325))</f>
        <v>0</v>
      </c>
      <c r="AR146" s="134">
        <f>SUMPRODUCT(-(Bens!$B$4:$B$325=Analítico!$B146),-(Bens!$D$4:$D$325=Analítico!AR$3),(Bens!$G$4:$G$325))</f>
        <v>0</v>
      </c>
      <c r="AS146" s="134">
        <f>SUMPRODUCT(-(Bens!$B$4:$B$325=Analítico!$B146),-(Bens!$D$4:$D$325=Analítico!AS$3),(Bens!$G$4:$G$325))</f>
        <v>0</v>
      </c>
      <c r="AT146" s="134">
        <f>SUMPRODUCT(-(Bens!$B$4:$B$325=Analítico!$B146),-(Bens!$D$4:$D$325=Analítico!AT$3),(Bens!$G$4:$G$325))</f>
        <v>0</v>
      </c>
      <c r="AU146" s="134">
        <f>SUMPRODUCT(-(Bens!$B$4:$B$325=Analítico!$B146),-(Bens!$D$4:$D$325=Analítico!AU$3),(Bens!$G$4:$G$325))</f>
        <v>0</v>
      </c>
      <c r="AV146" s="134">
        <f>SUMPRODUCT(-(Bens!$B$4:$B$325=Analítico!$B146),-(Bens!$D$4:$D$325=Analítico!AV$3),(Bens!$G$4:$G$325))</f>
        <v>0</v>
      </c>
      <c r="AW146" s="134">
        <f>SUMPRODUCT(-(Bens!$B$4:$B$325=Analítico!$B146),-(Bens!$D$4:$D$325=Analítico!AW$3),(Bens!$G$4:$G$325))</f>
        <v>0</v>
      </c>
      <c r="AX146" s="134">
        <f>SUMPRODUCT(-(Bens!$B$4:$B$325=Analítico!$B146),-(Bens!$D$4:$D$325=Analítico!AX$3),(Bens!$G$4:$G$325))</f>
        <v>0</v>
      </c>
      <c r="AY146" s="134">
        <f>SUMPRODUCT(-(Bens!$B$4:$B$325=Analítico!$B146),-(Bens!$D$4:$D$325=Analítico!AY$3),(Bens!$G$4:$G$325))</f>
        <v>0</v>
      </c>
      <c r="AZ146" s="134">
        <f>SUMPRODUCT(-(Bens!$B$4:$B$325=Analítico!$B146),-(Bens!$D$4:$D$325=Analítico!AZ$3),(Bens!$G$4:$G$325))</f>
        <v>0</v>
      </c>
      <c r="BA146" s="134">
        <f>SUMPRODUCT(-(Bens!$B$4:$B$325=Analítico!$B146),-(Bens!$D$4:$D$325=Analítico!BA$3),(Bens!$G$4:$G$325))</f>
        <v>0</v>
      </c>
      <c r="BB146" s="134">
        <f>SUMPRODUCT(-(Bens!$B$4:$B$325=Analítico!$B146),-(Bens!$D$4:$D$325=Analítico!BB$3),(Bens!$G$4:$G$325))</f>
        <v>0</v>
      </c>
      <c r="BC146" s="134">
        <f>SUMPRODUCT(-(Bens!$B$4:$B$325=Analítico!$B146),-(Bens!$D$4:$D$325=Analítico!BC$3),(Bens!$G$4:$G$325))</f>
        <v>0</v>
      </c>
      <c r="BD146" s="134">
        <f>SUMPRODUCT(-(Bens!$B$4:$B$325=Analítico!$B146),-(Bens!$D$4:$D$325=Analítico!BD$3),(Bens!$G$4:$G$325))</f>
        <v>0</v>
      </c>
      <c r="BE146" s="134">
        <f>SUMPRODUCT(-(Bens!$B$4:$B$325=Analítico!$B146),-(Bens!$D$4:$D$325=Analítico!BE$3),(Bens!$G$4:$G$325))</f>
        <v>0</v>
      </c>
      <c r="BF146" s="134">
        <f>SUMPRODUCT(-(Bens!$B$4:$B$325=Analítico!$B146),-(Bens!$D$4:$D$325=Analítico!BF$3),(Bens!$G$4:$G$325))</f>
        <v>0</v>
      </c>
      <c r="BG146" s="134">
        <f>SUMPRODUCT(-(Bens!$B$4:$B$325=Analítico!$B146),-(Bens!$D$4:$D$325=Analítico!BG$3),(Bens!$G$4:$G$325))</f>
        <v>0</v>
      </c>
      <c r="BH146" s="134">
        <f>SUMPRODUCT(-(Bens!$B$4:$B$325=Analítico!$B146),-(Bens!$D$4:$D$325=Analítico!BH$3),(Bens!$G$4:$G$325))</f>
        <v>0</v>
      </c>
      <c r="BI146" s="134">
        <f>SUMPRODUCT(-(Bens!$B$4:$B$325=Analítico!$B146),-(Bens!$D$4:$D$325=Analítico!BI$3),(Bens!$G$4:$G$325))</f>
        <v>0</v>
      </c>
      <c r="BJ146" s="134">
        <f>SUMPRODUCT(-(Bens!$B$4:$B$325=Analítico!$B146),-(Bens!$D$4:$D$325=Analítico!BJ$3),(Bens!$G$4:$G$325))</f>
        <v>0</v>
      </c>
      <c r="BK146" s="189">
        <f t="shared" si="47"/>
        <v>0</v>
      </c>
      <c r="BL146" s="136">
        <f t="shared" ca="1" si="48"/>
        <v>0</v>
      </c>
      <c r="BN146" s="134">
        <f>SUMPRODUCT(-(Bens!$B$4:$B$325=Analítico!$B146),-(Bens!$D$4:$D$325=Analítico!BN$3),(Bens!$G$4:$G$325))</f>
        <v>0</v>
      </c>
    </row>
    <row r="147" spans="1:66" s="160" customFormat="1" ht="23.25" customHeight="1">
      <c r="A147" s="198" t="s">
        <v>346</v>
      </c>
      <c r="B147" s="209" t="s">
        <v>347</v>
      </c>
      <c r="C147" s="188">
        <f t="shared" si="49"/>
        <v>0</v>
      </c>
      <c r="D147" s="134">
        <f>SUMPRODUCT(-(Bens!$B$4:$B$325=Analítico!$B147),-(Bens!$D$4:$D$325=Analítico!D$3),(Bens!$G$4:$G$325))</f>
        <v>0</v>
      </c>
      <c r="E147" s="134">
        <f>SUMPRODUCT(-(Bens!$B$4:$B$325=Analítico!$B147),-(Bens!$D$4:$D$325=Analítico!E$3),(Bens!$G$4:$G$325))</f>
        <v>0</v>
      </c>
      <c r="F147" s="134">
        <f>SUMPRODUCT(-(Bens!$B$4:$B$325=Analítico!$B147),-(Bens!$D$4:$D$325=Analítico!F$3),(Bens!$G$4:$G$325))</f>
        <v>0</v>
      </c>
      <c r="G147" s="134">
        <f>SUMPRODUCT(-(Bens!$B$4:$B$325=Analítico!$B147),-(Bens!$D$4:$D$325=Analítico!G$3),(Bens!$G$4:$G$325))</f>
        <v>0</v>
      </c>
      <c r="H147" s="134">
        <f>SUMPRODUCT(-(Bens!$B$4:$B$325=Analítico!$B147),-(Bens!$D$4:$D$325=Analítico!H$3),(Bens!$G$4:$G$325))</f>
        <v>0</v>
      </c>
      <c r="I147" s="134">
        <f>SUMPRODUCT(-(Bens!$B$4:$B$325=Analítico!$B147),-(Bens!$D$4:$D$325=Analítico!I$3),(Bens!$G$4:$G$325))</f>
        <v>0</v>
      </c>
      <c r="J147" s="134">
        <f>SUMPRODUCT(-(Bens!$B$4:$B$325=Analítico!$B147),-(Bens!$D$4:$D$325=Analítico!J$3),(Bens!$G$4:$G$325))</f>
        <v>0</v>
      </c>
      <c r="K147" s="134">
        <f>SUMPRODUCT(-(Bens!$B$4:$B$325=Analítico!$B147),-(Bens!$D$4:$D$325=Analítico!K$3),(Bens!$G$4:$G$325))</f>
        <v>0</v>
      </c>
      <c r="L147" s="134">
        <f>SUMPRODUCT(-(Bens!$B$4:$B$325=Analítico!$B147),-(Bens!$D$4:$D$325=Analítico!L$3),(Bens!$G$4:$G$325))</f>
        <v>0</v>
      </c>
      <c r="M147" s="134">
        <f>SUMPRODUCT(-(Bens!$B$4:$B$325=Analítico!$B147),-(Bens!$D$4:$D$325=Analítico!M$3),(Bens!$G$4:$G$325))</f>
        <v>0</v>
      </c>
      <c r="N147" s="134">
        <f>SUMPRODUCT(-(Bens!$B$4:$B$325=Analítico!$B147),-(Bens!$D$4:$D$325=Analítico!N$3),(Bens!$G$4:$G$325))</f>
        <v>0</v>
      </c>
      <c r="O147" s="134">
        <f>SUMPRODUCT(-(Bens!$B$4:$B$325=Analítico!$B147),-(Bens!$D$4:$D$325=Analítico!O$3),(Bens!$G$4:$G$325))</f>
        <v>0</v>
      </c>
      <c r="P147" s="134">
        <f>SUMPRODUCT(-(Bens!$B$4:$B$325=Analítico!$B147),-(Bens!$D$4:$D$325=Analítico!P$3),(Bens!$G$4:$G$325))</f>
        <v>0</v>
      </c>
      <c r="Q147" s="134">
        <f>SUMPRODUCT(-(Bens!$B$4:$B$325=Analítico!$B147),-(Bens!$D$4:$D$325=Analítico!Q$3),(Bens!$G$4:$G$325))</f>
        <v>0</v>
      </c>
      <c r="R147" s="134">
        <f>SUMPRODUCT(-(Bens!$B$4:$B$325=Analítico!$B147),-(Bens!$D$4:$D$325=Analítico!R$3),(Bens!$G$4:$G$325))</f>
        <v>0</v>
      </c>
      <c r="S147" s="134">
        <f>SUMPRODUCT(-(Bens!$B$4:$B$325=Analítico!$B147),-(Bens!$D$4:$D$325=Analítico!S$3),(Bens!$G$4:$G$325))</f>
        <v>0</v>
      </c>
      <c r="T147" s="134">
        <f>SUMPRODUCT(-(Bens!$B$4:$B$325=Analítico!$B147),-(Bens!$D$4:$D$325=Analítico!T$3),(Bens!$G$4:$G$325))</f>
        <v>0</v>
      </c>
      <c r="U147" s="134">
        <f>SUMPRODUCT(-(Bens!$B$4:$B$325=Analítico!$B147),-(Bens!$D$4:$D$325=Analítico!U$3),(Bens!$G$4:$G$325))</f>
        <v>0</v>
      </c>
      <c r="V147" s="134">
        <f>SUMPRODUCT(-(Bens!$B$4:$B$325=Analítico!$B147),-(Bens!$D$4:$D$325=Analítico!V$3),(Bens!$G$4:$G$325))</f>
        <v>0</v>
      </c>
      <c r="W147" s="134">
        <f>SUMPRODUCT(-(Bens!$B$4:$B$325=Analítico!$B147),-(Bens!$D$4:$D$325=Analítico!W$3),(Bens!$G$4:$G$325))</f>
        <v>0</v>
      </c>
      <c r="X147" s="134">
        <f>SUMPRODUCT(-(Bens!$B$4:$B$325=Analítico!$B147),-(Bens!$D$4:$D$325=Analítico!X$3),(Bens!$G$4:$G$325))</f>
        <v>0</v>
      </c>
      <c r="Y147" s="134">
        <f>SUMPRODUCT(-(Bens!$B$4:$B$325=Analítico!$B147),-(Bens!$D$4:$D$325=Analítico!Y$3),(Bens!$G$4:$G$325))</f>
        <v>0</v>
      </c>
      <c r="Z147" s="134">
        <f>SUMPRODUCT(-(Bens!$B$4:$B$325=Analítico!$B147),-(Bens!$D$4:$D$325=Analítico!Z$3),(Bens!$G$4:$G$325))</f>
        <v>0</v>
      </c>
      <c r="AA147" s="134">
        <f>SUMPRODUCT(-(Bens!$B$4:$B$325=Analítico!$B147),-(Bens!$D$4:$D$325=Analítico!AA$3),(Bens!$G$4:$G$325))</f>
        <v>0</v>
      </c>
      <c r="AB147" s="134">
        <f>SUMPRODUCT(-(Bens!$B$4:$B$325=Analítico!$B147),-(Bens!$D$4:$D$325=Analítico!AB$3),(Bens!$G$4:$G$325))</f>
        <v>0</v>
      </c>
      <c r="AC147" s="134">
        <f>SUMPRODUCT(-(Bens!$B$4:$B$325=Analítico!$B147),-(Bens!$D$4:$D$325=Analítico!AC$3),(Bens!$G$4:$G$325))</f>
        <v>0</v>
      </c>
      <c r="AD147" s="134">
        <f>SUMPRODUCT(-(Bens!$B$4:$B$325=Analítico!$B147),-(Bens!$D$4:$D$325=Analítico!AD$3),(Bens!$G$4:$G$325))</f>
        <v>0</v>
      </c>
      <c r="AE147" s="134">
        <f>SUMPRODUCT(-(Bens!$B$4:$B$325=Analítico!$B147),-(Bens!$D$4:$D$325=Analítico!AE$3),(Bens!$G$4:$G$325))</f>
        <v>0</v>
      </c>
      <c r="AF147" s="134">
        <f>SUMPRODUCT(-(Bens!$B$4:$B$325=Analítico!$B147),-(Bens!$D$4:$D$325=Analítico!AF$3),(Bens!$G$4:$G$325))</f>
        <v>0</v>
      </c>
      <c r="AG147" s="134">
        <f>SUMPRODUCT(-(Bens!$B$4:$B$325=Analítico!$B147),-(Bens!$D$4:$D$325=Analítico!AG$3),(Bens!$G$4:$G$325))</f>
        <v>0</v>
      </c>
      <c r="AH147" s="134">
        <f>SUMPRODUCT(-(Bens!$B$4:$B$325=Analítico!$B147),-(Bens!$D$4:$D$325=Analítico!AH$3),(Bens!$G$4:$G$325))</f>
        <v>0</v>
      </c>
      <c r="AI147" s="134">
        <f>SUMPRODUCT(-(Bens!$B$4:$B$325=Analítico!$B147),-(Bens!$D$4:$D$325=Analítico!AI$3),(Bens!$G$4:$G$325))</f>
        <v>0</v>
      </c>
      <c r="AJ147" s="134">
        <f>SUMPRODUCT(-(Bens!$B$4:$B$325=Analítico!$B147),-(Bens!$D$4:$D$325=Analítico!AJ$3),(Bens!$G$4:$G$325))</f>
        <v>0</v>
      </c>
      <c r="AK147" s="134">
        <f>SUMPRODUCT(-(Bens!$B$4:$B$325=Analítico!$B147),-(Bens!$D$4:$D$325=Analítico!AK$3),(Bens!$G$4:$G$325))</f>
        <v>0</v>
      </c>
      <c r="AL147" s="134">
        <f>SUMPRODUCT(-(Bens!$B$4:$B$325=Analítico!$B147),-(Bens!$D$4:$D$325=Analítico!AL$3),(Bens!$G$4:$G$325))</f>
        <v>0</v>
      </c>
      <c r="AM147" s="134">
        <f>SUMPRODUCT(-(Bens!$B$4:$B$325=Analítico!$B147),-(Bens!$D$4:$D$325=Analítico!AM$3),(Bens!$G$4:$G$325))</f>
        <v>0</v>
      </c>
      <c r="AN147" s="134">
        <f>SUMPRODUCT(-(Bens!$B$4:$B$325=Analítico!$B147),-(Bens!$D$4:$D$325=Analítico!AN$3),(Bens!$G$4:$G$325))</f>
        <v>0</v>
      </c>
      <c r="AO147" s="134">
        <f>SUMPRODUCT(-(Bens!$B$4:$B$325=Analítico!$B147),-(Bens!$D$4:$D$325=Analítico!AO$3),(Bens!$G$4:$G$325))</f>
        <v>0</v>
      </c>
      <c r="AP147" s="134">
        <f>SUMPRODUCT(-(Bens!$B$4:$B$325=Analítico!$B147),-(Bens!$D$4:$D$325=Analítico!AP$3),(Bens!$G$4:$G$325))</f>
        <v>0</v>
      </c>
      <c r="AQ147" s="134">
        <f>SUMPRODUCT(-(Bens!$B$4:$B$325=Analítico!$B147),-(Bens!$D$4:$D$325=Analítico!AQ$3),(Bens!$G$4:$G$325))</f>
        <v>0</v>
      </c>
      <c r="AR147" s="134">
        <f>SUMPRODUCT(-(Bens!$B$4:$B$325=Analítico!$B147),-(Bens!$D$4:$D$325=Analítico!AR$3),(Bens!$G$4:$G$325))</f>
        <v>0</v>
      </c>
      <c r="AS147" s="134">
        <f>SUMPRODUCT(-(Bens!$B$4:$B$325=Analítico!$B147),-(Bens!$D$4:$D$325=Analítico!AS$3),(Bens!$G$4:$G$325))</f>
        <v>0</v>
      </c>
      <c r="AT147" s="134">
        <f>SUMPRODUCT(-(Bens!$B$4:$B$325=Analítico!$B147),-(Bens!$D$4:$D$325=Analítico!AT$3),(Bens!$G$4:$G$325))</f>
        <v>0</v>
      </c>
      <c r="AU147" s="134">
        <f>SUMPRODUCT(-(Bens!$B$4:$B$325=Analítico!$B147),-(Bens!$D$4:$D$325=Analítico!AU$3),(Bens!$G$4:$G$325))</f>
        <v>0</v>
      </c>
      <c r="AV147" s="134">
        <f>SUMPRODUCT(-(Bens!$B$4:$B$325=Analítico!$B147),-(Bens!$D$4:$D$325=Analítico!AV$3),(Bens!$G$4:$G$325))</f>
        <v>0</v>
      </c>
      <c r="AW147" s="134">
        <f>SUMPRODUCT(-(Bens!$B$4:$B$325=Analítico!$B147),-(Bens!$D$4:$D$325=Analítico!AW$3),(Bens!$G$4:$G$325))</f>
        <v>0</v>
      </c>
      <c r="AX147" s="134">
        <f>SUMPRODUCT(-(Bens!$B$4:$B$325=Analítico!$B147),-(Bens!$D$4:$D$325=Analítico!AX$3),(Bens!$G$4:$G$325))</f>
        <v>0</v>
      </c>
      <c r="AY147" s="134">
        <f>SUMPRODUCT(-(Bens!$B$4:$B$325=Analítico!$B147),-(Bens!$D$4:$D$325=Analítico!AY$3),(Bens!$G$4:$G$325))</f>
        <v>0</v>
      </c>
      <c r="AZ147" s="134">
        <f>SUMPRODUCT(-(Bens!$B$4:$B$325=Analítico!$B147),-(Bens!$D$4:$D$325=Analítico!AZ$3),(Bens!$G$4:$G$325))</f>
        <v>0</v>
      </c>
      <c r="BA147" s="134">
        <f>SUMPRODUCT(-(Bens!$B$4:$B$325=Analítico!$B147),-(Bens!$D$4:$D$325=Analítico!BA$3),(Bens!$G$4:$G$325))</f>
        <v>0</v>
      </c>
      <c r="BB147" s="134">
        <f>SUMPRODUCT(-(Bens!$B$4:$B$325=Analítico!$B147),-(Bens!$D$4:$D$325=Analítico!BB$3),(Bens!$G$4:$G$325))</f>
        <v>0</v>
      </c>
      <c r="BC147" s="134">
        <f>SUMPRODUCT(-(Bens!$B$4:$B$325=Analítico!$B147),-(Bens!$D$4:$D$325=Analítico!BC$3),(Bens!$G$4:$G$325))</f>
        <v>0</v>
      </c>
      <c r="BD147" s="134">
        <f>SUMPRODUCT(-(Bens!$B$4:$B$325=Analítico!$B147),-(Bens!$D$4:$D$325=Analítico!BD$3),(Bens!$G$4:$G$325))</f>
        <v>0</v>
      </c>
      <c r="BE147" s="134">
        <f>SUMPRODUCT(-(Bens!$B$4:$B$325=Analítico!$B147),-(Bens!$D$4:$D$325=Analítico!BE$3),(Bens!$G$4:$G$325))</f>
        <v>0</v>
      </c>
      <c r="BF147" s="134">
        <f>SUMPRODUCT(-(Bens!$B$4:$B$325=Analítico!$B147),-(Bens!$D$4:$D$325=Analítico!BF$3),(Bens!$G$4:$G$325))</f>
        <v>0</v>
      </c>
      <c r="BG147" s="134">
        <f>SUMPRODUCT(-(Bens!$B$4:$B$325=Analítico!$B147),-(Bens!$D$4:$D$325=Analítico!BG$3),(Bens!$G$4:$G$325))</f>
        <v>0</v>
      </c>
      <c r="BH147" s="134">
        <f>SUMPRODUCT(-(Bens!$B$4:$B$325=Analítico!$B147),-(Bens!$D$4:$D$325=Analítico!BH$3),(Bens!$G$4:$G$325))</f>
        <v>0</v>
      </c>
      <c r="BI147" s="134">
        <f>SUMPRODUCT(-(Bens!$B$4:$B$325=Analítico!$B147),-(Bens!$D$4:$D$325=Analítico!BI$3),(Bens!$G$4:$G$325))</f>
        <v>0</v>
      </c>
      <c r="BJ147" s="134">
        <f>SUMPRODUCT(-(Bens!$B$4:$B$325=Analítico!$B147),-(Bens!$D$4:$D$325=Analítico!BJ$3),(Bens!$G$4:$G$325))</f>
        <v>0</v>
      </c>
      <c r="BK147" s="189">
        <f>SUM(C147:BJ147)</f>
        <v>0</v>
      </c>
      <c r="BL147" s="136">
        <f t="shared" ref="BL147:BL152" ca="1" si="50">IF($BK$152=0,0,BK147/$BK$152)</f>
        <v>0</v>
      </c>
      <c r="BN147" s="134">
        <f>SUMPRODUCT(-(Bens!$B$4:$B$325=Analítico!$B147),-(Bens!$D$4:$D$325=Analítico!BN$3),(Bens!$G$4:$G$325))</f>
        <v>0</v>
      </c>
    </row>
    <row r="148" spans="1:66" s="160" customFormat="1" ht="23.25" customHeight="1">
      <c r="A148" s="198" t="s">
        <v>348</v>
      </c>
      <c r="B148" s="220" t="s">
        <v>349</v>
      </c>
      <c r="C148" s="188">
        <f t="shared" si="49"/>
        <v>223298</v>
      </c>
      <c r="D148" s="134">
        <f>SUMPRODUCT(-(Bens!$B$4:$B$325=Analítico!$B148),-(Bens!$D$4:$D$325=Analítico!D$3),(Bens!$G$4:$G$325))</f>
        <v>464.48</v>
      </c>
      <c r="E148" s="134">
        <f>SUMPRODUCT(-(Bens!$B$4:$B$325=Analítico!$B148),-(Bens!$D$4:$D$325=Analítico!E$3),(Bens!$G$4:$G$325))</f>
        <v>0</v>
      </c>
      <c r="F148" s="134">
        <f>SUMPRODUCT(-(Bens!$B$4:$B$325=Analítico!$B148),-(Bens!$D$4:$D$325=Analítico!F$3),(Bens!$G$4:$G$325))</f>
        <v>0</v>
      </c>
      <c r="G148" s="134">
        <f>SUMPRODUCT(-(Bens!$B$4:$B$325=Analítico!$B148),-(Bens!$D$4:$D$325=Analítico!G$3),(Bens!$G$4:$G$325))</f>
        <v>0</v>
      </c>
      <c r="H148" s="134">
        <f>SUMPRODUCT(-(Bens!$B$4:$B$325=Analítico!$B148),-(Bens!$D$4:$D$325=Analítico!H$3),(Bens!$G$4:$G$325))</f>
        <v>0</v>
      </c>
      <c r="I148" s="134">
        <f>SUMPRODUCT(-(Bens!$B$4:$B$325=Analítico!$B148),-(Bens!$D$4:$D$325=Analítico!I$3),(Bens!$G$4:$G$325))</f>
        <v>0</v>
      </c>
      <c r="J148" s="134">
        <f>SUMPRODUCT(-(Bens!$B$4:$B$325=Analítico!$B148),-(Bens!$D$4:$D$325=Analítico!J$3),(Bens!$G$4:$G$325))</f>
        <v>0</v>
      </c>
      <c r="K148" s="134">
        <f>SUMPRODUCT(-(Bens!$B$4:$B$325=Analítico!$B148),-(Bens!$D$4:$D$325=Analítico!K$3),(Bens!$G$4:$G$325))</f>
        <v>0</v>
      </c>
      <c r="L148" s="134">
        <f>SUMPRODUCT(-(Bens!$B$4:$B$325=Analítico!$B148),-(Bens!$D$4:$D$325=Analítico!L$3),(Bens!$G$4:$G$325))</f>
        <v>0</v>
      </c>
      <c r="M148" s="134">
        <f>SUMPRODUCT(-(Bens!$B$4:$B$325=Analítico!$B148),-(Bens!$D$4:$D$325=Analítico!M$3),(Bens!$G$4:$G$325))</f>
        <v>82649</v>
      </c>
      <c r="N148" s="134">
        <f>SUMPRODUCT(-(Bens!$B$4:$B$325=Analítico!$B148),-(Bens!$D$4:$D$325=Analítico!N$3),(Bens!$G$4:$G$325))</f>
        <v>0</v>
      </c>
      <c r="O148" s="134">
        <f>SUMPRODUCT(-(Bens!$B$4:$B$325=Analítico!$B148),-(Bens!$D$4:$D$325=Analítico!O$3),(Bens!$G$4:$G$325))</f>
        <v>0</v>
      </c>
      <c r="P148" s="134">
        <f>SUMPRODUCT(-(Bens!$B$4:$B$325=Analítico!$B148),-(Bens!$D$4:$D$325=Analítico!P$3),(Bens!$G$4:$G$325))</f>
        <v>2822.5</v>
      </c>
      <c r="Q148" s="134">
        <f>SUMPRODUCT(-(Bens!$B$4:$B$325=Analítico!$B148),-(Bens!$D$4:$D$325=Analítico!Q$3),(Bens!$G$4:$G$325))</f>
        <v>63380</v>
      </c>
      <c r="R148" s="134">
        <f>SUMPRODUCT(-(Bens!$B$4:$B$325=Analítico!$B148),-(Bens!$D$4:$D$325=Analítico!R$3),(Bens!$G$4:$G$325))</f>
        <v>0</v>
      </c>
      <c r="S148" s="134">
        <f>SUMPRODUCT(-(Bens!$B$4:$B$325=Analítico!$B148),-(Bens!$D$4:$D$325=Analítico!S$3),(Bens!$G$4:$G$325))</f>
        <v>25200</v>
      </c>
      <c r="T148" s="134">
        <f>SUMPRODUCT(-(Bens!$B$4:$B$325=Analítico!$B148),-(Bens!$D$4:$D$325=Analítico!T$3),(Bens!$G$4:$G$325))</f>
        <v>0</v>
      </c>
      <c r="U148" s="134">
        <f>SUMPRODUCT(-(Bens!$B$4:$B$325=Analítico!$B148),-(Bens!$D$4:$D$325=Analítico!U$3),(Bens!$G$4:$G$325))</f>
        <v>0</v>
      </c>
      <c r="V148" s="134">
        <f>SUMPRODUCT(-(Bens!$B$4:$B$325=Analítico!$B148),-(Bens!$D$4:$D$325=Analítico!V$3),(Bens!$G$4:$G$325))</f>
        <v>0</v>
      </c>
      <c r="W148" s="134">
        <f>SUMPRODUCT(-(Bens!$B$4:$B$325=Analítico!$B148),-(Bens!$D$4:$D$325=Analítico!W$3),(Bens!$G$4:$G$325))</f>
        <v>11200</v>
      </c>
      <c r="X148" s="134">
        <f>SUMPRODUCT(-(Bens!$B$4:$B$325=Analítico!$B148),-(Bens!$D$4:$D$325=Analítico!X$3),(Bens!$G$4:$G$325))</f>
        <v>0</v>
      </c>
      <c r="Y148" s="134">
        <f>SUMPRODUCT(-(Bens!$B$4:$B$325=Analítico!$B148),-(Bens!$D$4:$D$325=Analítico!Y$3),(Bens!$G$4:$G$325))</f>
        <v>8000</v>
      </c>
      <c r="Z148" s="134">
        <f>SUMPRODUCT(-(Bens!$B$4:$B$325=Analítico!$B148),-(Bens!$D$4:$D$325=Analítico!Z$3),(Bens!$G$4:$G$325))</f>
        <v>0</v>
      </c>
      <c r="AA148" s="134">
        <f>SUMPRODUCT(-(Bens!$B$4:$B$325=Analítico!$B148),-(Bens!$D$4:$D$325=Analítico!AA$3),(Bens!$G$4:$G$325))</f>
        <v>11200</v>
      </c>
      <c r="AB148" s="134">
        <f>SUMPRODUCT(-(Bens!$B$4:$B$325=Analítico!$B148),-(Bens!$D$4:$D$325=Analítico!AB$3),(Bens!$G$4:$G$325))</f>
        <v>36116.75</v>
      </c>
      <c r="AC148" s="134">
        <f>SUMPRODUCT(-(Bens!$B$4:$B$325=Analítico!$B148),-(Bens!$D$4:$D$325=Analítico!AC$3),(Bens!$G$4:$G$325))</f>
        <v>60000</v>
      </c>
      <c r="AD148" s="134">
        <f>SUMPRODUCT(-(Bens!$B$4:$B$325=Analítico!$B148),-(Bens!$D$4:$D$325=Analítico!AD$3),(Bens!$G$4:$G$325))</f>
        <v>0</v>
      </c>
      <c r="AE148" s="134">
        <f>SUMPRODUCT(-(Bens!$B$4:$B$325=Analítico!$B148),-(Bens!$D$4:$D$325=Analítico!AE$3),(Bens!$G$4:$G$325))</f>
        <v>0</v>
      </c>
      <c r="AF148" s="134">
        <f>SUMPRODUCT(-(Bens!$B$4:$B$325=Analítico!$B148),-(Bens!$D$4:$D$325=Analítico!AF$3),(Bens!$G$4:$G$325))</f>
        <v>0</v>
      </c>
      <c r="AG148" s="134">
        <f>SUMPRODUCT(-(Bens!$B$4:$B$325=Analítico!$B148),-(Bens!$D$4:$D$325=Analítico!AG$3),(Bens!$G$4:$G$325))</f>
        <v>0</v>
      </c>
      <c r="AH148" s="134">
        <f>SUMPRODUCT(-(Bens!$B$4:$B$325=Analítico!$B148),-(Bens!$D$4:$D$325=Analítico!AH$3),(Bens!$G$4:$G$325))</f>
        <v>60000</v>
      </c>
      <c r="AI148" s="134">
        <f>SUMPRODUCT(-(Bens!$B$4:$B$325=Analítico!$B148),-(Bens!$D$4:$D$325=Analítico!AI$3),(Bens!$G$4:$G$325))</f>
        <v>0</v>
      </c>
      <c r="AJ148" s="134">
        <f>SUMPRODUCT(-(Bens!$B$4:$B$325=Analítico!$B148),-(Bens!$D$4:$D$325=Analítico!AJ$3),(Bens!$G$4:$G$325))</f>
        <v>0</v>
      </c>
      <c r="AK148" s="134">
        <f>SUMPRODUCT(-(Bens!$B$4:$B$325=Analítico!$B148),-(Bens!$D$4:$D$325=Analítico!AK$3),(Bens!$G$4:$G$325))</f>
        <v>8000</v>
      </c>
      <c r="AL148" s="134">
        <f>SUMPRODUCT(-(Bens!$B$4:$B$325=Analítico!$B148),-(Bens!$D$4:$D$325=Analítico!AL$3),(Bens!$G$4:$G$325))</f>
        <v>0</v>
      </c>
      <c r="AM148" s="134">
        <f>SUMPRODUCT(-(Bens!$B$4:$B$325=Analítico!$B148),-(Bens!$D$4:$D$325=Analítico!AM$3),(Bens!$G$4:$G$325))</f>
        <v>0</v>
      </c>
      <c r="AN148" s="134">
        <f>SUMPRODUCT(-(Bens!$B$4:$B$325=Analítico!$B148),-(Bens!$D$4:$D$325=Analítico!AN$3),(Bens!$G$4:$G$325))</f>
        <v>2002.5</v>
      </c>
      <c r="AO148" s="134">
        <f>SUMPRODUCT(-(Bens!$B$4:$B$325=Analítico!$B148),-(Bens!$D$4:$D$325=Analítico!AO$3),(Bens!$G$4:$G$325))</f>
        <v>0</v>
      </c>
      <c r="AP148" s="134">
        <f>SUMPRODUCT(-(Bens!$B$4:$B$325=Analítico!$B148),-(Bens!$D$4:$D$325=Analítico!AP$3),(Bens!$G$4:$G$325))</f>
        <v>0</v>
      </c>
      <c r="AQ148" s="134">
        <f>SUMPRODUCT(-(Bens!$B$4:$B$325=Analítico!$B148),-(Bens!$D$4:$D$325=Analítico!AQ$3),(Bens!$G$4:$G$325))</f>
        <v>14000</v>
      </c>
      <c r="AR148" s="134">
        <f>SUMPRODUCT(-(Bens!$B$4:$B$325=Analítico!$B148),-(Bens!$D$4:$D$325=Analítico!AR$3),(Bens!$G$4:$G$325))</f>
        <v>0</v>
      </c>
      <c r="AS148" s="134">
        <f>SUMPRODUCT(-(Bens!$B$4:$B$325=Analítico!$B148),-(Bens!$D$4:$D$325=Analítico!AS$3),(Bens!$G$4:$G$325))</f>
        <v>0</v>
      </c>
      <c r="AT148" s="134">
        <f>SUMPRODUCT(-(Bens!$B$4:$B$325=Analítico!$B148),-(Bens!$D$4:$D$325=Analítico!AT$3),(Bens!$G$4:$G$325))</f>
        <v>60000</v>
      </c>
      <c r="AU148" s="134">
        <f>SUMPRODUCT(-(Bens!$B$4:$B$325=Analítico!$B148),-(Bens!$D$4:$D$325=Analítico!AU$3),(Bens!$G$4:$G$325))</f>
        <v>11200</v>
      </c>
      <c r="AV148" s="134">
        <f>SUMPRODUCT(-(Bens!$B$4:$B$325=Analítico!$B148),-(Bens!$D$4:$D$325=Analítico!AV$3),(Bens!$G$4:$G$325))</f>
        <v>0</v>
      </c>
      <c r="AW148" s="134">
        <f>SUMPRODUCT(-(Bens!$B$4:$B$325=Analítico!$B148),-(Bens!$D$4:$D$325=Analítico!AW$3),(Bens!$G$4:$G$325))</f>
        <v>8000</v>
      </c>
      <c r="AX148" s="134">
        <f>SUMPRODUCT(-(Bens!$B$4:$B$325=Analítico!$B148),-(Bens!$D$4:$D$325=Analítico!AX$3),(Bens!$G$4:$G$325))</f>
        <v>0</v>
      </c>
      <c r="AY148" s="134">
        <f>SUMPRODUCT(-(Bens!$B$4:$B$325=Analítico!$B148),-(Bens!$D$4:$D$325=Analítico!AY$3),(Bens!$G$4:$G$325))</f>
        <v>0</v>
      </c>
      <c r="AZ148" s="134">
        <f>SUMPRODUCT(-(Bens!$B$4:$B$325=Analítico!$B148),-(Bens!$D$4:$D$325=Analítico!AZ$3),(Bens!$G$4:$G$325))</f>
        <v>2002.5</v>
      </c>
      <c r="BA148" s="134">
        <f>SUMPRODUCT(-(Bens!$B$4:$B$325=Analítico!$B148),-(Bens!$D$4:$D$325=Analítico!BA$3),(Bens!$G$4:$G$325))</f>
        <v>0</v>
      </c>
      <c r="BB148" s="134">
        <f>SUMPRODUCT(-(Bens!$B$4:$B$325=Analítico!$B148),-(Bens!$D$4:$D$325=Analítico!BB$3),(Bens!$G$4:$G$325))</f>
        <v>60000</v>
      </c>
      <c r="BC148" s="134">
        <f>SUMPRODUCT(-(Bens!$B$4:$B$325=Analítico!$B148),-(Bens!$D$4:$D$325=Analítico!BC$3),(Bens!$G$4:$G$325))</f>
        <v>0</v>
      </c>
      <c r="BD148" s="134">
        <f>SUMPRODUCT(-(Bens!$B$4:$B$325=Analítico!$B148),-(Bens!$D$4:$D$325=Analítico!BD$3),(Bens!$G$4:$G$325))</f>
        <v>0</v>
      </c>
      <c r="BE148" s="134">
        <f>SUMPRODUCT(-(Bens!$B$4:$B$325=Analítico!$B148),-(Bens!$D$4:$D$325=Analítico!BE$3),(Bens!$G$4:$G$325))</f>
        <v>0</v>
      </c>
      <c r="BF148" s="134">
        <f>SUMPRODUCT(-(Bens!$B$4:$B$325=Analítico!$B148),-(Bens!$D$4:$D$325=Analítico!BF$3),(Bens!$G$4:$G$325))</f>
        <v>0</v>
      </c>
      <c r="BG148" s="134">
        <f>SUMPRODUCT(-(Bens!$B$4:$B$325=Analítico!$B148),-(Bens!$D$4:$D$325=Analítico!BG$3),(Bens!$G$4:$G$325))</f>
        <v>11200</v>
      </c>
      <c r="BH148" s="134">
        <f>SUMPRODUCT(-(Bens!$B$4:$B$325=Analítico!$B148),-(Bens!$D$4:$D$325=Analítico!BH$3),(Bens!$G$4:$G$325))</f>
        <v>0</v>
      </c>
      <c r="BI148" s="134">
        <f>SUMPRODUCT(-(Bens!$B$4:$B$325=Analítico!$B148),-(Bens!$D$4:$D$325=Analítico!BI$3),(Bens!$G$4:$G$325))</f>
        <v>8000</v>
      </c>
      <c r="BJ148" s="134">
        <f>SUMPRODUCT(-(Bens!$B$4:$B$325=Analítico!$B148),-(Bens!$D$4:$D$325=Analítico!BJ$3),(Bens!$G$4:$G$325))</f>
        <v>0</v>
      </c>
      <c r="BK148" s="189">
        <f>SUM(C148:BJ148)</f>
        <v>768735.73</v>
      </c>
      <c r="BL148" s="136">
        <f t="shared" ca="1" si="50"/>
        <v>2.2976010516836788E-3</v>
      </c>
      <c r="BN148" s="134">
        <f>SUMPRODUCT(-(Bens!$B$4:$B$325=Analítico!$B148),-(Bens!$D$4:$D$325=Analítico!BN$3),(Bens!$G$4:$G$325))</f>
        <v>223298</v>
      </c>
    </row>
    <row r="149" spans="1:66" s="160" customFormat="1" ht="23.25" customHeight="1" thickBot="1">
      <c r="A149" s="234"/>
      <c r="B149" s="222" t="s">
        <v>350</v>
      </c>
      <c r="C149" s="235">
        <f t="shared" ref="C149:AH149" si="51">SUBTOTAL(109,C135:C148)</f>
        <v>747264</v>
      </c>
      <c r="D149" s="235">
        <f t="shared" si="51"/>
        <v>44864.480000000003</v>
      </c>
      <c r="E149" s="235">
        <f t="shared" si="51"/>
        <v>0</v>
      </c>
      <c r="F149" s="235">
        <f t="shared" si="51"/>
        <v>16500</v>
      </c>
      <c r="G149" s="235">
        <f t="shared" si="51"/>
        <v>613254.88</v>
      </c>
      <c r="H149" s="235">
        <f t="shared" si="51"/>
        <v>0</v>
      </c>
      <c r="I149" s="235">
        <f t="shared" si="51"/>
        <v>6000</v>
      </c>
      <c r="J149" s="235">
        <f t="shared" si="51"/>
        <v>0</v>
      </c>
      <c r="K149" s="235">
        <f t="shared" si="51"/>
        <v>0</v>
      </c>
      <c r="L149" s="235">
        <f t="shared" si="51"/>
        <v>6000</v>
      </c>
      <c r="M149" s="235">
        <f t="shared" si="51"/>
        <v>331068.57</v>
      </c>
      <c r="N149" s="235">
        <f t="shared" si="51"/>
        <v>0</v>
      </c>
      <c r="O149" s="235">
        <f t="shared" si="51"/>
        <v>7700</v>
      </c>
      <c r="P149" s="235">
        <f t="shared" si="51"/>
        <v>8020.5</v>
      </c>
      <c r="Q149" s="235">
        <f t="shared" si="51"/>
        <v>696339</v>
      </c>
      <c r="R149" s="235">
        <f t="shared" si="51"/>
        <v>40500</v>
      </c>
      <c r="S149" s="235">
        <f t="shared" si="51"/>
        <v>310169.68</v>
      </c>
      <c r="T149" s="235">
        <f t="shared" si="51"/>
        <v>0</v>
      </c>
      <c r="U149" s="235">
        <f t="shared" si="51"/>
        <v>161983.20000000001</v>
      </c>
      <c r="V149" s="235">
        <f t="shared" si="51"/>
        <v>7500</v>
      </c>
      <c r="W149" s="235">
        <f t="shared" si="51"/>
        <v>11200</v>
      </c>
      <c r="X149" s="235">
        <f t="shared" si="51"/>
        <v>40500</v>
      </c>
      <c r="Y149" s="235">
        <f t="shared" si="51"/>
        <v>8000</v>
      </c>
      <c r="Z149" s="235">
        <f t="shared" si="51"/>
        <v>0</v>
      </c>
      <c r="AA149" s="235">
        <f t="shared" si="51"/>
        <v>66700</v>
      </c>
      <c r="AB149" s="235">
        <f t="shared" si="51"/>
        <v>39616.75</v>
      </c>
      <c r="AC149" s="235">
        <f t="shared" si="51"/>
        <v>60000</v>
      </c>
      <c r="AD149" s="235">
        <f t="shared" si="51"/>
        <v>56800</v>
      </c>
      <c r="AE149" s="235">
        <f t="shared" si="51"/>
        <v>0</v>
      </c>
      <c r="AF149" s="235">
        <f t="shared" si="51"/>
        <v>0</v>
      </c>
      <c r="AG149" s="235">
        <f t="shared" si="51"/>
        <v>147810.07999999999</v>
      </c>
      <c r="AH149" s="235">
        <f t="shared" si="51"/>
        <v>60000</v>
      </c>
      <c r="AI149" s="235">
        <f t="shared" ref="AI149:BK149" si="52">SUBTOTAL(109,AI135:AI148)</f>
        <v>4080</v>
      </c>
      <c r="AJ149" s="235">
        <f t="shared" si="52"/>
        <v>40500</v>
      </c>
      <c r="AK149" s="235">
        <f t="shared" si="52"/>
        <v>8000</v>
      </c>
      <c r="AL149" s="235">
        <f t="shared" si="52"/>
        <v>7500</v>
      </c>
      <c r="AM149" s="235">
        <f t="shared" si="52"/>
        <v>40500</v>
      </c>
      <c r="AN149" s="235">
        <f t="shared" si="52"/>
        <v>5502.5</v>
      </c>
      <c r="AO149" s="235">
        <f t="shared" si="52"/>
        <v>7500</v>
      </c>
      <c r="AP149" s="235">
        <f t="shared" si="52"/>
        <v>83250</v>
      </c>
      <c r="AQ149" s="235">
        <f t="shared" si="52"/>
        <v>22800</v>
      </c>
      <c r="AR149" s="235">
        <f t="shared" si="52"/>
        <v>0</v>
      </c>
      <c r="AS149" s="235">
        <f t="shared" si="52"/>
        <v>129120</v>
      </c>
      <c r="AT149" s="235">
        <f t="shared" si="52"/>
        <v>60000</v>
      </c>
      <c r="AU149" s="235">
        <f t="shared" si="52"/>
        <v>18700</v>
      </c>
      <c r="AV149" s="235">
        <f t="shared" si="52"/>
        <v>40500</v>
      </c>
      <c r="AW149" s="235">
        <f t="shared" si="52"/>
        <v>8000</v>
      </c>
      <c r="AX149" s="235">
        <f t="shared" si="52"/>
        <v>0</v>
      </c>
      <c r="AY149" s="235">
        <f t="shared" si="52"/>
        <v>48000</v>
      </c>
      <c r="AZ149" s="235">
        <f t="shared" si="52"/>
        <v>5502.5</v>
      </c>
      <c r="BA149" s="235">
        <f t="shared" si="52"/>
        <v>0</v>
      </c>
      <c r="BB149" s="235">
        <f t="shared" si="52"/>
        <v>108000</v>
      </c>
      <c r="BC149" s="235">
        <f t="shared" si="52"/>
        <v>24000</v>
      </c>
      <c r="BD149" s="235">
        <f t="shared" si="52"/>
        <v>8800</v>
      </c>
      <c r="BE149" s="235">
        <f t="shared" si="52"/>
        <v>56109.32</v>
      </c>
      <c r="BF149" s="235">
        <f t="shared" si="52"/>
        <v>0</v>
      </c>
      <c r="BG149" s="235">
        <f t="shared" si="52"/>
        <v>11200</v>
      </c>
      <c r="BH149" s="235">
        <f t="shared" si="52"/>
        <v>40500</v>
      </c>
      <c r="BI149" s="235">
        <f t="shared" si="52"/>
        <v>8000</v>
      </c>
      <c r="BJ149" s="235">
        <f t="shared" si="52"/>
        <v>0</v>
      </c>
      <c r="BK149" s="235">
        <f t="shared" si="52"/>
        <v>4273855.459999999</v>
      </c>
      <c r="BL149" s="236">
        <f t="shared" ca="1" si="50"/>
        <v>1.2773719779669967E-2</v>
      </c>
      <c r="BN149" s="235">
        <f t="shared" ref="BN149" si="53">SUBTOTAL(109,BN135:BN148)</f>
        <v>747264</v>
      </c>
    </row>
    <row r="150" spans="1:66" s="160" customFormat="1" ht="23.25" customHeight="1" thickBot="1">
      <c r="A150" s="225" t="s">
        <v>94</v>
      </c>
      <c r="B150" s="226" t="s">
        <v>95</v>
      </c>
      <c r="C150" s="237">
        <v>0</v>
      </c>
      <c r="D150" s="237">
        <v>0</v>
      </c>
      <c r="E150" s="237">
        <v>0</v>
      </c>
      <c r="F150" s="237">
        <v>0</v>
      </c>
      <c r="G150" s="237">
        <v>0</v>
      </c>
      <c r="H150" s="237">
        <v>0</v>
      </c>
      <c r="I150" s="237">
        <v>0</v>
      </c>
      <c r="J150" s="237">
        <v>0</v>
      </c>
      <c r="K150" s="237">
        <v>0</v>
      </c>
      <c r="L150" s="237">
        <v>0</v>
      </c>
      <c r="M150" s="237">
        <v>0</v>
      </c>
      <c r="N150" s="237">
        <v>0</v>
      </c>
      <c r="O150" s="237">
        <v>0</v>
      </c>
      <c r="P150" s="237">
        <v>0</v>
      </c>
      <c r="Q150" s="237">
        <v>0</v>
      </c>
      <c r="R150" s="237">
        <v>0</v>
      </c>
      <c r="S150" s="237">
        <v>0</v>
      </c>
      <c r="T150" s="237">
        <v>0</v>
      </c>
      <c r="U150" s="237">
        <v>0</v>
      </c>
      <c r="V150" s="237">
        <v>0</v>
      </c>
      <c r="W150" s="237">
        <v>0</v>
      </c>
      <c r="X150" s="237">
        <v>0</v>
      </c>
      <c r="Y150" s="237">
        <v>0</v>
      </c>
      <c r="Z150" s="237">
        <v>0</v>
      </c>
      <c r="AA150" s="237">
        <v>0</v>
      </c>
      <c r="AB150" s="237">
        <v>0</v>
      </c>
      <c r="AC150" s="237">
        <v>0</v>
      </c>
      <c r="AD150" s="237">
        <v>0</v>
      </c>
      <c r="AE150" s="237">
        <v>0</v>
      </c>
      <c r="AF150" s="237">
        <v>0</v>
      </c>
      <c r="AG150" s="237">
        <v>0</v>
      </c>
      <c r="AH150" s="237">
        <v>0</v>
      </c>
      <c r="AI150" s="237">
        <v>0</v>
      </c>
      <c r="AJ150" s="237">
        <v>0</v>
      </c>
      <c r="AK150" s="237">
        <v>0</v>
      </c>
      <c r="AL150" s="237">
        <v>0</v>
      </c>
      <c r="AM150" s="237">
        <v>0</v>
      </c>
      <c r="AN150" s="237">
        <v>0</v>
      </c>
      <c r="AO150" s="237">
        <v>0</v>
      </c>
      <c r="AP150" s="237">
        <v>0</v>
      </c>
      <c r="AQ150" s="237">
        <v>0</v>
      </c>
      <c r="AR150" s="237">
        <v>0</v>
      </c>
      <c r="AS150" s="237">
        <v>0</v>
      </c>
      <c r="AT150" s="237">
        <v>0</v>
      </c>
      <c r="AU150" s="237">
        <v>0</v>
      </c>
      <c r="AV150" s="237">
        <v>0</v>
      </c>
      <c r="AW150" s="237">
        <v>0</v>
      </c>
      <c r="AX150" s="237">
        <v>0</v>
      </c>
      <c r="AY150" s="237">
        <v>0</v>
      </c>
      <c r="AZ150" s="237">
        <v>0</v>
      </c>
      <c r="BA150" s="237">
        <v>0</v>
      </c>
      <c r="BB150" s="237">
        <v>0</v>
      </c>
      <c r="BC150" s="237">
        <v>0</v>
      </c>
      <c r="BD150" s="237">
        <v>0</v>
      </c>
      <c r="BE150" s="237">
        <v>0</v>
      </c>
      <c r="BF150" s="237">
        <v>0</v>
      </c>
      <c r="BG150" s="237">
        <v>0</v>
      </c>
      <c r="BH150" s="237">
        <v>0</v>
      </c>
      <c r="BI150" s="237">
        <v>0</v>
      </c>
      <c r="BJ150" s="237">
        <v>0</v>
      </c>
      <c r="BK150" s="223">
        <f>SUM(C150:BJ150)</f>
        <v>0</v>
      </c>
      <c r="BL150" s="224">
        <f t="shared" ca="1" si="50"/>
        <v>0</v>
      </c>
      <c r="BN150" s="237">
        <v>0</v>
      </c>
    </row>
    <row r="151" spans="1:66" s="160" customFormat="1" ht="23.25" customHeight="1" thickBot="1">
      <c r="A151" s="225" t="s">
        <v>96</v>
      </c>
      <c r="B151" s="226" t="s">
        <v>97</v>
      </c>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23">
        <f>Desmobilização!H64</f>
        <v>1774807.2199999972</v>
      </c>
      <c r="BL151" s="224">
        <f t="shared" ca="1" si="50"/>
        <v>5.3045523657496447E-3</v>
      </c>
      <c r="BN151" s="237"/>
    </row>
    <row r="152" spans="1:66" s="160" customFormat="1" ht="23.25" customHeight="1" thickBot="1">
      <c r="A152" s="391" t="s">
        <v>351</v>
      </c>
      <c r="B152" s="391"/>
      <c r="C152" s="238">
        <f t="shared" ref="C152:AH152" ca="1" si="54">SUBTOTAL(109,C20:C151)</f>
        <v>1854693.2621544437</v>
      </c>
      <c r="D152" s="238">
        <f t="shared" ca="1" si="54"/>
        <v>4790572.6551540699</v>
      </c>
      <c r="E152" s="238">
        <f t="shared" ca="1" si="54"/>
        <v>4920279.9439711077</v>
      </c>
      <c r="F152" s="238">
        <f t="shared" ca="1" si="54"/>
        <v>5210596.4939711066</v>
      </c>
      <c r="G152" s="238">
        <f t="shared" ca="1" si="54"/>
        <v>5528457.5039711064</v>
      </c>
      <c r="H152" s="238">
        <f t="shared" ca="1" si="54"/>
        <v>5103359.0771995541</v>
      </c>
      <c r="I152" s="238">
        <f t="shared" ca="1" si="54"/>
        <v>5098981.0771995541</v>
      </c>
      <c r="J152" s="238">
        <f t="shared" ca="1" si="54"/>
        <v>5065716.4771995535</v>
      </c>
      <c r="K152" s="238">
        <f t="shared" ca="1" si="54"/>
        <v>4953373.2771995543</v>
      </c>
      <c r="L152" s="238">
        <f t="shared" ca="1" si="54"/>
        <v>4948373.2771995543</v>
      </c>
      <c r="M152" s="238">
        <f t="shared" ca="1" si="54"/>
        <v>5439664.0661006728</v>
      </c>
      <c r="N152" s="238">
        <f t="shared" ca="1" si="54"/>
        <v>5161748.0685046269</v>
      </c>
      <c r="O152" s="238">
        <f t="shared" ca="1" si="54"/>
        <v>5074537.0085046254</v>
      </c>
      <c r="P152" s="238">
        <f t="shared" ca="1" si="54"/>
        <v>5176215.1120724147</v>
      </c>
      <c r="Q152" s="238">
        <f t="shared" ca="1" si="54"/>
        <v>6022929.0551923644</v>
      </c>
      <c r="R152" s="238">
        <f t="shared" ca="1" si="54"/>
        <v>5520096.7651923643</v>
      </c>
      <c r="S152" s="238">
        <f t="shared" ca="1" si="54"/>
        <v>6703028.4851923641</v>
      </c>
      <c r="T152" s="238">
        <f t="shared" ca="1" si="54"/>
        <v>5486889.3158055982</v>
      </c>
      <c r="U152" s="238">
        <f t="shared" ca="1" si="54"/>
        <v>5647823.2358055981</v>
      </c>
      <c r="V152" s="238">
        <f t="shared" ca="1" si="54"/>
        <v>5478879.5958055975</v>
      </c>
      <c r="W152" s="238">
        <f t="shared" ca="1" si="54"/>
        <v>5460545.4658055985</v>
      </c>
      <c r="X152" s="238">
        <f t="shared" ca="1" si="54"/>
        <v>5388999.4658055985</v>
      </c>
      <c r="Y152" s="238">
        <f t="shared" ca="1" si="54"/>
        <v>5355653.4658055985</v>
      </c>
      <c r="Z152" s="238">
        <f t="shared" ca="1" si="54"/>
        <v>5371047.5058055976</v>
      </c>
      <c r="AA152" s="238">
        <f t="shared" ca="1" si="54"/>
        <v>5433066.9358055983</v>
      </c>
      <c r="AB152" s="238">
        <f t="shared" ca="1" si="54"/>
        <v>5461858.5645555975</v>
      </c>
      <c r="AC152" s="238">
        <f t="shared" ca="1" si="54"/>
        <v>5517552.0983469896</v>
      </c>
      <c r="AD152" s="238">
        <f t="shared" ca="1" si="54"/>
        <v>5400683.4245555988</v>
      </c>
      <c r="AE152" s="238">
        <f t="shared" ca="1" si="54"/>
        <v>5324227.2945555989</v>
      </c>
      <c r="AF152" s="238">
        <f t="shared" ca="1" si="54"/>
        <v>5479093.7535456466</v>
      </c>
      <c r="AG152" s="238">
        <f t="shared" ca="1" si="54"/>
        <v>5627125.8335456466</v>
      </c>
      <c r="AH152" s="238">
        <f t="shared" ca="1" si="54"/>
        <v>5524833.6835456472</v>
      </c>
      <c r="AI152" s="238">
        <f t="shared" ref="AI152:BK152" ca="1" si="55">SUBTOTAL(109,AI20:AI151)</f>
        <v>5461503.8035456464</v>
      </c>
      <c r="AJ152" s="238">
        <f t="shared" ca="1" si="55"/>
        <v>5498273.8035456464</v>
      </c>
      <c r="AK152" s="238">
        <f t="shared" ca="1" si="55"/>
        <v>5482514.9635456465</v>
      </c>
      <c r="AL152" s="238">
        <f t="shared" ca="1" si="55"/>
        <v>5484213.6835456463</v>
      </c>
      <c r="AM152" s="238">
        <f t="shared" ca="1" si="55"/>
        <v>5507698.4635456465</v>
      </c>
      <c r="AN152" s="238">
        <f t="shared" ca="1" si="55"/>
        <v>5701113.9335456444</v>
      </c>
      <c r="AO152" s="238">
        <f t="shared" ca="1" si="55"/>
        <v>5951374.1860144511</v>
      </c>
      <c r="AP152" s="238">
        <f t="shared" ca="1" si="55"/>
        <v>5763435.7635456445</v>
      </c>
      <c r="AQ152" s="238">
        <f t="shared" ca="1" si="55"/>
        <v>5682333.1935456442</v>
      </c>
      <c r="AR152" s="238">
        <f t="shared" ca="1" si="55"/>
        <v>5823647.8246207098</v>
      </c>
      <c r="AS152" s="238">
        <f t="shared" ca="1" si="55"/>
        <v>5952989.8246207098</v>
      </c>
      <c r="AT152" s="238">
        <f t="shared" ca="1" si="55"/>
        <v>5869364.8546207109</v>
      </c>
      <c r="AU152" s="238">
        <f t="shared" ca="1" si="55"/>
        <v>5820257.2746207109</v>
      </c>
      <c r="AV152" s="238">
        <f t="shared" ca="1" si="55"/>
        <v>5859776.1146207098</v>
      </c>
      <c r="AW152" s="238">
        <f t="shared" ca="1" si="55"/>
        <v>5820424.2046207106</v>
      </c>
      <c r="AX152" s="238">
        <f t="shared" ca="1" si="55"/>
        <v>5808407.2546207113</v>
      </c>
      <c r="AY152" s="238">
        <f t="shared" ca="1" si="55"/>
        <v>5856783.7146207113</v>
      </c>
      <c r="AZ152" s="238">
        <f t="shared" ca="1" si="55"/>
        <v>6022208.5846207114</v>
      </c>
      <c r="BA152" s="238">
        <f t="shared" ca="1" si="55"/>
        <v>6069743.2165376991</v>
      </c>
      <c r="BB152" s="238">
        <f t="shared" ca="1" si="55"/>
        <v>6062851.8746207114</v>
      </c>
      <c r="BC152" s="238">
        <f t="shared" ca="1" si="55"/>
        <v>5957147.6046207109</v>
      </c>
      <c r="BD152" s="238">
        <f t="shared" ca="1" si="55"/>
        <v>6115850.5532225622</v>
      </c>
      <c r="BE152" s="238">
        <f t="shared" ca="1" si="55"/>
        <v>6163381.8732225625</v>
      </c>
      <c r="BF152" s="238">
        <f t="shared" ca="1" si="55"/>
        <v>6092733.3432225622</v>
      </c>
      <c r="BG152" s="238">
        <f t="shared" ca="1" si="55"/>
        <v>6115458.4632225623</v>
      </c>
      <c r="BH152" s="238">
        <f t="shared" ca="1" si="55"/>
        <v>6137506.4032225627</v>
      </c>
      <c r="BI152" s="238">
        <f t="shared" ca="1" si="55"/>
        <v>6094347.3432225632</v>
      </c>
      <c r="BJ152" s="238">
        <f t="shared" ca="1" si="55"/>
        <v>6100851.4532225616</v>
      </c>
      <c r="BK152" s="238">
        <f t="shared" ca="1" si="55"/>
        <v>334581902.03937775</v>
      </c>
      <c r="BL152" s="239">
        <f t="shared" ca="1" si="50"/>
        <v>1</v>
      </c>
      <c r="BN152" s="238">
        <f t="shared" ref="BN152" ca="1" si="56">SUBTOTAL(109,BN20:BN151)</f>
        <v>4372544.5405148119</v>
      </c>
    </row>
    <row r="153" spans="1:66" s="160" customFormat="1">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8"/>
      <c r="BG153" s="158"/>
      <c r="BH153" s="158"/>
      <c r="BI153" s="158"/>
      <c r="BJ153" s="158"/>
      <c r="BK153" s="158"/>
      <c r="BL153" s="159"/>
      <c r="BN153" s="158"/>
    </row>
    <row r="154" spans="1:66" s="160" customFormat="1">
      <c r="A154" s="158"/>
      <c r="B154" s="158"/>
      <c r="C154" s="158"/>
      <c r="BL154" s="240"/>
      <c r="BN154" s="158"/>
    </row>
    <row r="155" spans="1:66" s="160" customFormat="1">
      <c r="A155" s="158"/>
      <c r="B155" s="158"/>
      <c r="C155" s="158"/>
      <c r="BL155" s="240"/>
      <c r="BN155" s="158"/>
    </row>
    <row r="156" spans="1:66" s="160" customFormat="1">
      <c r="A156" s="158"/>
      <c r="B156" s="158"/>
      <c r="C156" s="158"/>
      <c r="BL156" s="240"/>
      <c r="BN156" s="158"/>
    </row>
    <row r="157" spans="1:66" s="160" customFormat="1">
      <c r="A157" s="158"/>
      <c r="B157" s="158"/>
      <c r="C157" s="158"/>
      <c r="BL157" s="240"/>
      <c r="BN157" s="158"/>
    </row>
    <row r="158" spans="1:66" s="160" customFormat="1">
      <c r="A158" s="158"/>
      <c r="B158" s="158"/>
      <c r="C158" s="158"/>
      <c r="BL158" s="240"/>
      <c r="BN158" s="158"/>
    </row>
    <row r="159" spans="1:66" s="160" customFormat="1">
      <c r="A159" s="158"/>
      <c r="B159" s="158"/>
      <c r="C159" s="158"/>
      <c r="BL159" s="240"/>
      <c r="BN159" s="158"/>
    </row>
  </sheetData>
  <sheetProtection algorithmName="SHA-512" hashValue="WAOebLB68O0cWUsmB2LD2O2oPpQKf2FTW93MxCM3h+MTWmlq0SAUt7B6Qs97AXTXCz3n3GwsPZ1YaDBsPHkSXA==" saltValue="2whbLqlIGY9CuWlxcTL8CA==" spinCount="100000" sheet="1" formatColumns="0" formatRows="0"/>
  <mergeCells count="6">
    <mergeCell ref="AA2:BJ2"/>
    <mergeCell ref="A152:B152"/>
    <mergeCell ref="C1:N1"/>
    <mergeCell ref="O1:Z1"/>
    <mergeCell ref="C2:N2"/>
    <mergeCell ref="O2:Z2"/>
  </mergeCells>
  <pageMargins left="0.196527777777778" right="0.196527777777778" top="0.59027777777777801" bottom="0.59027777777777801" header="0.51180555555555496" footer="0"/>
  <pageSetup paperSize="9" scale="63" firstPageNumber="0" orientation="landscape" horizontalDpi="300" verticalDpi="300" r:id="rId1"/>
  <headerFooter>
    <oddFooter>&amp;CPágina &amp;P de &amp;N</oddFooter>
  </headerFooter>
  <colBreaks count="4" manualBreakCount="4">
    <brk id="14" max="1048575" man="1"/>
    <brk id="26" max="1048575" man="1"/>
    <brk id="38" max="1048575" man="1"/>
    <brk id="5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31"/>
  <sheetViews>
    <sheetView zoomScaleNormal="100" zoomScalePageLayoutView="80" workbookViewId="0">
      <pane xSplit="5" ySplit="5" topLeftCell="F287" activePane="bottomRight" state="frozen"/>
      <selection pane="topRight" activeCell="F1" sqref="F1"/>
      <selection pane="bottomLeft" activeCell="A6" sqref="A6"/>
      <selection pane="bottomRight" activeCell="T5" sqref="T5:T26"/>
    </sheetView>
  </sheetViews>
  <sheetFormatPr defaultColWidth="17" defaultRowHeight="12.75"/>
  <cols>
    <col min="1" max="1" width="4.42578125" style="158" customWidth="1"/>
    <col min="2" max="2" width="30" style="158" customWidth="1"/>
    <col min="3" max="3" width="6" style="158" customWidth="1"/>
    <col min="4" max="4" width="10" style="158" customWidth="1"/>
    <col min="5" max="5" width="13" style="158" customWidth="1"/>
    <col min="6" max="12" width="10.42578125" style="158" customWidth="1"/>
    <col min="13" max="19" width="10.85546875" style="158" customWidth="1"/>
    <col min="20" max="20" width="10.42578125" style="158" customWidth="1"/>
    <col min="21" max="21" width="11.28515625" style="158" customWidth="1"/>
    <col min="22" max="22" width="10" style="241" customWidth="1"/>
    <col min="23" max="23" width="10" style="158" customWidth="1"/>
    <col min="24" max="24" width="10" style="241" customWidth="1"/>
    <col min="25" max="25" width="10" style="158" customWidth="1"/>
    <col min="26" max="26" width="10" style="241" customWidth="1"/>
    <col min="27" max="28" width="10" style="158" customWidth="1"/>
    <col min="29" max="30" width="11.5703125" style="158" customWidth="1"/>
    <col min="31" max="1024" width="17" style="158"/>
  </cols>
  <sheetData>
    <row r="1" spans="1:30" s="160" customFormat="1" ht="31.5"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row>
    <row r="2" spans="1:30" s="160" customFormat="1" ht="18" customHeight="1">
      <c r="A2" s="394" t="s">
        <v>352</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row>
    <row r="3" spans="1:30" s="160" customFormat="1" ht="17.25" customHeight="1">
      <c r="A3" s="385" t="s">
        <v>353</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row>
    <row r="4" spans="1:30" s="119" customFormat="1" ht="30" customHeight="1">
      <c r="A4" s="243"/>
      <c r="B4" s="243"/>
      <c r="C4" s="243"/>
      <c r="D4" s="243"/>
      <c r="E4" s="244"/>
      <c r="F4" s="395" t="s">
        <v>86</v>
      </c>
      <c r="G4" s="395"/>
      <c r="H4" s="395"/>
      <c r="I4" s="395"/>
      <c r="J4" s="395"/>
      <c r="K4" s="395"/>
      <c r="L4" s="395"/>
      <c r="M4" s="395"/>
      <c r="N4" s="395"/>
      <c r="O4" s="395"/>
      <c r="P4" s="395"/>
      <c r="Q4" s="395"/>
      <c r="R4" s="395"/>
      <c r="S4" s="395"/>
      <c r="T4" s="395"/>
      <c r="U4" s="395"/>
      <c r="V4" s="392" t="s">
        <v>88</v>
      </c>
      <c r="W4" s="392"/>
      <c r="X4" s="392"/>
      <c r="Y4" s="392"/>
      <c r="Z4" s="392"/>
      <c r="AA4" s="392"/>
      <c r="AB4" s="392"/>
      <c r="AC4" s="392"/>
      <c r="AD4" s="393" t="s">
        <v>354</v>
      </c>
    </row>
    <row r="5" spans="1:30" s="119" customFormat="1" ht="38.25" customHeight="1">
      <c r="A5" s="245" t="s">
        <v>31</v>
      </c>
      <c r="B5" s="245" t="s">
        <v>355</v>
      </c>
      <c r="C5" s="245" t="s">
        <v>356</v>
      </c>
      <c r="D5" s="245" t="s">
        <v>357</v>
      </c>
      <c r="E5" s="246" t="s">
        <v>82</v>
      </c>
      <c r="F5" s="247" t="s">
        <v>154</v>
      </c>
      <c r="G5" s="245" t="s">
        <v>156</v>
      </c>
      <c r="H5" s="245" t="s">
        <v>158</v>
      </c>
      <c r="I5" s="245" t="s">
        <v>160</v>
      </c>
      <c r="J5" s="245" t="s">
        <v>162</v>
      </c>
      <c r="K5" s="245" t="s">
        <v>164</v>
      </c>
      <c r="L5" s="245" t="s">
        <v>166</v>
      </c>
      <c r="M5" s="245" t="s">
        <v>168</v>
      </c>
      <c r="N5" s="247" t="s">
        <v>134</v>
      </c>
      <c r="O5" s="248" t="s">
        <v>136</v>
      </c>
      <c r="P5" s="248" t="s">
        <v>138</v>
      </c>
      <c r="Q5" s="248" t="s">
        <v>140</v>
      </c>
      <c r="R5" s="245" t="s">
        <v>142</v>
      </c>
      <c r="S5" s="249" t="s">
        <v>358</v>
      </c>
      <c r="T5" s="245" t="s">
        <v>176</v>
      </c>
      <c r="U5" s="246" t="s">
        <v>60</v>
      </c>
      <c r="V5" s="248" t="s">
        <v>179</v>
      </c>
      <c r="W5" s="248" t="s">
        <v>181</v>
      </c>
      <c r="X5" s="248" t="s">
        <v>183</v>
      </c>
      <c r="Y5" s="248" t="s">
        <v>185</v>
      </c>
      <c r="Z5" s="248" t="s">
        <v>187</v>
      </c>
      <c r="AA5" s="248" t="s">
        <v>191</v>
      </c>
      <c r="AB5" s="248" t="s">
        <v>195</v>
      </c>
      <c r="AC5" s="245" t="s">
        <v>60</v>
      </c>
      <c r="AD5" s="393"/>
    </row>
    <row r="6" spans="1:30" s="160" customFormat="1">
      <c r="A6" s="250">
        <v>1</v>
      </c>
      <c r="B6" s="251" t="s">
        <v>461</v>
      </c>
      <c r="C6" s="252">
        <v>1</v>
      </c>
      <c r="D6" s="253">
        <v>6500</v>
      </c>
      <c r="E6" s="254">
        <f t="shared" ref="E6:E69" si="0">C6*D6</f>
        <v>6500</v>
      </c>
      <c r="F6" s="255">
        <f>(E6+J6+L6+K6+M6+S6)*27.8%</f>
        <v>2308.9444444444448</v>
      </c>
      <c r="G6" s="256">
        <f>(E6+J6+L6+K6+M6+S6)*1%</f>
        <v>83.055555555555571</v>
      </c>
      <c r="H6" s="256">
        <f>(E6+J6+L6+K6+M6+S6)*8%</f>
        <v>664.44444444444457</v>
      </c>
      <c r="I6" s="256">
        <f>(H6+S6)/2</f>
        <v>332.22222222222229</v>
      </c>
      <c r="J6" s="256">
        <f>(E6+S6)/12</f>
        <v>541.66666666666663</v>
      </c>
      <c r="K6" s="256">
        <f>(E6+S6)/12</f>
        <v>541.66666666666663</v>
      </c>
      <c r="L6" s="256">
        <f>(K6+S6)/3</f>
        <v>180.55555555555554</v>
      </c>
      <c r="M6" s="256">
        <f>(E6+S6)/12</f>
        <v>541.66666666666663</v>
      </c>
      <c r="N6" s="255">
        <v>0</v>
      </c>
      <c r="O6" s="256">
        <v>0</v>
      </c>
      <c r="P6" s="256">
        <v>0</v>
      </c>
      <c r="Q6" s="256">
        <v>0</v>
      </c>
      <c r="R6" s="256">
        <v>0</v>
      </c>
      <c r="S6" s="257">
        <v>0</v>
      </c>
      <c r="T6" s="256">
        <v>0</v>
      </c>
      <c r="U6" s="258">
        <f t="shared" ref="U6:U69" si="1">SUM(F6:T6)</f>
        <v>5194.2222222222235</v>
      </c>
      <c r="V6" s="256">
        <v>0</v>
      </c>
      <c r="W6" s="256">
        <v>500</v>
      </c>
      <c r="X6" s="256">
        <v>53.31</v>
      </c>
      <c r="Y6" s="256">
        <v>5.0599999999999996</v>
      </c>
      <c r="Z6" s="256">
        <v>17.5</v>
      </c>
      <c r="AA6" s="256">
        <v>23.65</v>
      </c>
      <c r="AB6" s="256">
        <v>218.1</v>
      </c>
      <c r="AC6" s="189">
        <f t="shared" ref="AC6:AC69" si="2">SUM(V6:AB6)</f>
        <v>817.61999999999989</v>
      </c>
      <c r="AD6" s="259">
        <f t="shared" ref="AD6:AD69" si="3">E6+U6+AC6</f>
        <v>12511.842222222222</v>
      </c>
    </row>
    <row r="7" spans="1:30" s="160" customFormat="1">
      <c r="A7" s="250">
        <v>2</v>
      </c>
      <c r="B7" s="251" t="s">
        <v>422</v>
      </c>
      <c r="C7" s="252">
        <v>1</v>
      </c>
      <c r="D7" s="253">
        <v>3773.6</v>
      </c>
      <c r="E7" s="254">
        <f t="shared" si="0"/>
        <v>3773.6</v>
      </c>
      <c r="F7" s="255">
        <f t="shared" ref="F7:F70" si="4">(E7+J7+L7+K7+M7+S7)*27.8%</f>
        <v>1340.4665777777775</v>
      </c>
      <c r="G7" s="256">
        <f t="shared" ref="G7:G70" si="5">(E7+J7+L7+K7+M7+S7)*1%</f>
        <v>48.218222222222209</v>
      </c>
      <c r="H7" s="256">
        <f t="shared" ref="H7:H70" si="6">(E7+J7+L7+K7+M7+S7)*8%</f>
        <v>385.74577777777768</v>
      </c>
      <c r="I7" s="256">
        <f t="shared" ref="I7:I70" si="7">(H7+S7)/2</f>
        <v>192.87288888888884</v>
      </c>
      <c r="J7" s="256">
        <f t="shared" ref="J7:J70" si="8">(E7+S7)/12</f>
        <v>314.46666666666664</v>
      </c>
      <c r="K7" s="256">
        <f t="shared" ref="K7:K70" si="9">(E7+S7)/12</f>
        <v>314.46666666666664</v>
      </c>
      <c r="L7" s="256">
        <f t="shared" ref="L7:L70" si="10">(K7+S7)/3</f>
        <v>104.82222222222221</v>
      </c>
      <c r="M7" s="256">
        <f t="shared" ref="M7:M70" si="11">(E7+S7)/12</f>
        <v>314.46666666666664</v>
      </c>
      <c r="N7" s="255">
        <v>0</v>
      </c>
      <c r="O7" s="256">
        <v>0</v>
      </c>
      <c r="P7" s="256">
        <v>0</v>
      </c>
      <c r="Q7" s="256">
        <v>0</v>
      </c>
      <c r="R7" s="256">
        <f>E7*30%</f>
        <v>1132.08</v>
      </c>
      <c r="S7" s="257">
        <v>0</v>
      </c>
      <c r="T7" s="256">
        <v>0</v>
      </c>
      <c r="U7" s="258">
        <f t="shared" si="1"/>
        <v>4147.6056888888888</v>
      </c>
      <c r="V7" s="256">
        <v>0</v>
      </c>
      <c r="W7" s="256">
        <v>500</v>
      </c>
      <c r="X7" s="256">
        <v>53.31</v>
      </c>
      <c r="Y7" s="256">
        <v>5.0599999999999996</v>
      </c>
      <c r="Z7" s="256">
        <v>17.5</v>
      </c>
      <c r="AA7" s="256">
        <v>23.65</v>
      </c>
      <c r="AB7" s="256">
        <v>218.1</v>
      </c>
      <c r="AC7" s="189">
        <f t="shared" si="2"/>
        <v>817.61999999999989</v>
      </c>
      <c r="AD7" s="259">
        <f t="shared" si="3"/>
        <v>8738.82568888889</v>
      </c>
    </row>
    <row r="8" spans="1:30" s="160" customFormat="1">
      <c r="A8" s="250">
        <v>3</v>
      </c>
      <c r="B8" s="251" t="s">
        <v>423</v>
      </c>
      <c r="C8" s="252">
        <v>1</v>
      </c>
      <c r="D8" s="253">
        <v>2600</v>
      </c>
      <c r="E8" s="254">
        <f t="shared" si="0"/>
        <v>2600</v>
      </c>
      <c r="F8" s="255">
        <f t="shared" si="4"/>
        <v>923.57777777777767</v>
      </c>
      <c r="G8" s="256">
        <f t="shared" si="5"/>
        <v>33.222222222222214</v>
      </c>
      <c r="H8" s="256">
        <f t="shared" si="6"/>
        <v>265.77777777777771</v>
      </c>
      <c r="I8" s="256">
        <f t="shared" si="7"/>
        <v>132.88888888888886</v>
      </c>
      <c r="J8" s="256">
        <f t="shared" si="8"/>
        <v>216.66666666666666</v>
      </c>
      <c r="K8" s="256">
        <f t="shared" si="9"/>
        <v>216.66666666666666</v>
      </c>
      <c r="L8" s="256">
        <f t="shared" si="10"/>
        <v>72.222222222222214</v>
      </c>
      <c r="M8" s="256">
        <f t="shared" si="11"/>
        <v>216.66666666666666</v>
      </c>
      <c r="N8" s="255">
        <v>0</v>
      </c>
      <c r="O8" s="256">
        <v>0</v>
      </c>
      <c r="P8" s="256">
        <f>E8/150*1.75</f>
        <v>30.333333333333332</v>
      </c>
      <c r="Q8" s="256">
        <f>P8/25*5</f>
        <v>6.0666666666666664</v>
      </c>
      <c r="R8" s="256">
        <v>0</v>
      </c>
      <c r="S8" s="257">
        <v>0</v>
      </c>
      <c r="T8" s="256">
        <v>0</v>
      </c>
      <c r="U8" s="258">
        <f t="shared" si="1"/>
        <v>2114.088888888889</v>
      </c>
      <c r="V8" s="256">
        <v>93.06</v>
      </c>
      <c r="W8" s="256">
        <v>500</v>
      </c>
      <c r="X8" s="256">
        <v>53.31</v>
      </c>
      <c r="Y8" s="256">
        <v>5.0599999999999996</v>
      </c>
      <c r="Z8" s="256">
        <v>17.5</v>
      </c>
      <c r="AA8" s="256">
        <v>23.65</v>
      </c>
      <c r="AB8" s="256">
        <v>218.1</v>
      </c>
      <c r="AC8" s="189">
        <f t="shared" si="2"/>
        <v>910.67999999999984</v>
      </c>
      <c r="AD8" s="259">
        <f t="shared" si="3"/>
        <v>5624.7688888888897</v>
      </c>
    </row>
    <row r="9" spans="1:30" s="160" customFormat="1">
      <c r="A9" s="250">
        <v>4</v>
      </c>
      <c r="B9" s="251" t="s">
        <v>424</v>
      </c>
      <c r="C9" s="252">
        <v>1</v>
      </c>
      <c r="D9" s="253">
        <v>2600</v>
      </c>
      <c r="E9" s="254">
        <f t="shared" si="0"/>
        <v>2600</v>
      </c>
      <c r="F9" s="255">
        <f t="shared" si="4"/>
        <v>923.57777777777767</v>
      </c>
      <c r="G9" s="256">
        <f t="shared" si="5"/>
        <v>33.222222222222214</v>
      </c>
      <c r="H9" s="256">
        <f t="shared" si="6"/>
        <v>265.77777777777771</v>
      </c>
      <c r="I9" s="256">
        <f t="shared" si="7"/>
        <v>132.88888888888886</v>
      </c>
      <c r="J9" s="256">
        <f t="shared" si="8"/>
        <v>216.66666666666666</v>
      </c>
      <c r="K9" s="256">
        <f t="shared" si="9"/>
        <v>216.66666666666666</v>
      </c>
      <c r="L9" s="256">
        <f t="shared" si="10"/>
        <v>72.222222222222214</v>
      </c>
      <c r="M9" s="256">
        <f t="shared" si="11"/>
        <v>216.66666666666666</v>
      </c>
      <c r="N9" s="255">
        <v>0</v>
      </c>
      <c r="O9" s="256">
        <v>0</v>
      </c>
      <c r="P9" s="256">
        <f t="shared" ref="P9:P16" si="12">E9/150*1.75</f>
        <v>30.333333333333332</v>
      </c>
      <c r="Q9" s="256">
        <f t="shared" ref="Q9:Q16" si="13">P9/25*5</f>
        <v>6.0666666666666664</v>
      </c>
      <c r="R9" s="256">
        <v>0</v>
      </c>
      <c r="S9" s="257">
        <v>0</v>
      </c>
      <c r="T9" s="256">
        <v>0</v>
      </c>
      <c r="U9" s="258">
        <f t="shared" si="1"/>
        <v>2114.088888888889</v>
      </c>
      <c r="V9" s="256">
        <v>93.06</v>
      </c>
      <c r="W9" s="256">
        <v>500</v>
      </c>
      <c r="X9" s="256">
        <v>53.31</v>
      </c>
      <c r="Y9" s="256">
        <v>5.0599999999999996</v>
      </c>
      <c r="Z9" s="256">
        <v>17.5</v>
      </c>
      <c r="AA9" s="256">
        <v>23.65</v>
      </c>
      <c r="AB9" s="256">
        <v>218.1</v>
      </c>
      <c r="AC9" s="189">
        <f t="shared" si="2"/>
        <v>910.67999999999984</v>
      </c>
      <c r="AD9" s="259">
        <f t="shared" si="3"/>
        <v>5624.7688888888897</v>
      </c>
    </row>
    <row r="10" spans="1:30" s="160" customFormat="1">
      <c r="A10" s="250">
        <v>5</v>
      </c>
      <c r="B10" s="251" t="s">
        <v>425</v>
      </c>
      <c r="C10" s="252">
        <v>1</v>
      </c>
      <c r="D10" s="253">
        <v>2600</v>
      </c>
      <c r="E10" s="254">
        <f t="shared" si="0"/>
        <v>2600</v>
      </c>
      <c r="F10" s="255">
        <f t="shared" si="4"/>
        <v>923.57777777777767</v>
      </c>
      <c r="G10" s="256">
        <f t="shared" si="5"/>
        <v>33.222222222222214</v>
      </c>
      <c r="H10" s="256">
        <f t="shared" si="6"/>
        <v>265.77777777777771</v>
      </c>
      <c r="I10" s="256">
        <f t="shared" si="7"/>
        <v>132.88888888888886</v>
      </c>
      <c r="J10" s="256">
        <f t="shared" si="8"/>
        <v>216.66666666666666</v>
      </c>
      <c r="K10" s="256">
        <f t="shared" si="9"/>
        <v>216.66666666666666</v>
      </c>
      <c r="L10" s="256">
        <f t="shared" si="10"/>
        <v>72.222222222222214</v>
      </c>
      <c r="M10" s="256">
        <f t="shared" si="11"/>
        <v>216.66666666666666</v>
      </c>
      <c r="N10" s="255">
        <v>0</v>
      </c>
      <c r="O10" s="256">
        <v>0</v>
      </c>
      <c r="P10" s="256">
        <f t="shared" si="12"/>
        <v>30.333333333333332</v>
      </c>
      <c r="Q10" s="256">
        <f t="shared" si="13"/>
        <v>6.0666666666666664</v>
      </c>
      <c r="R10" s="256">
        <v>0</v>
      </c>
      <c r="S10" s="257">
        <v>0</v>
      </c>
      <c r="T10" s="256">
        <v>0</v>
      </c>
      <c r="U10" s="258">
        <f t="shared" si="1"/>
        <v>2114.088888888889</v>
      </c>
      <c r="V10" s="256">
        <v>93.06</v>
      </c>
      <c r="W10" s="256">
        <v>500</v>
      </c>
      <c r="X10" s="256">
        <v>53.31</v>
      </c>
      <c r="Y10" s="256">
        <v>5.0599999999999996</v>
      </c>
      <c r="Z10" s="256">
        <v>17.5</v>
      </c>
      <c r="AA10" s="256">
        <v>23.65</v>
      </c>
      <c r="AB10" s="256">
        <v>218.1</v>
      </c>
      <c r="AC10" s="189">
        <f t="shared" si="2"/>
        <v>910.67999999999984</v>
      </c>
      <c r="AD10" s="259">
        <f t="shared" si="3"/>
        <v>5624.7688888888897</v>
      </c>
    </row>
    <row r="11" spans="1:30" s="160" customFormat="1">
      <c r="A11" s="250">
        <v>6</v>
      </c>
      <c r="B11" s="251" t="s">
        <v>426</v>
      </c>
      <c r="C11" s="252">
        <v>1</v>
      </c>
      <c r="D11" s="253">
        <v>2600</v>
      </c>
      <c r="E11" s="254">
        <f t="shared" si="0"/>
        <v>2600</v>
      </c>
      <c r="F11" s="255">
        <f t="shared" si="4"/>
        <v>923.57777777777767</v>
      </c>
      <c r="G11" s="256">
        <f t="shared" si="5"/>
        <v>33.222222222222214</v>
      </c>
      <c r="H11" s="256">
        <f t="shared" si="6"/>
        <v>265.77777777777771</v>
      </c>
      <c r="I11" s="256">
        <f t="shared" si="7"/>
        <v>132.88888888888886</v>
      </c>
      <c r="J11" s="256">
        <f t="shared" si="8"/>
        <v>216.66666666666666</v>
      </c>
      <c r="K11" s="256">
        <f t="shared" si="9"/>
        <v>216.66666666666666</v>
      </c>
      <c r="L11" s="256">
        <f t="shared" si="10"/>
        <v>72.222222222222214</v>
      </c>
      <c r="M11" s="256">
        <f t="shared" si="11"/>
        <v>216.66666666666666</v>
      </c>
      <c r="N11" s="255">
        <v>0</v>
      </c>
      <c r="O11" s="256">
        <v>0</v>
      </c>
      <c r="P11" s="256">
        <f t="shared" si="12"/>
        <v>30.333333333333332</v>
      </c>
      <c r="Q11" s="256">
        <f t="shared" si="13"/>
        <v>6.0666666666666664</v>
      </c>
      <c r="R11" s="256">
        <v>0</v>
      </c>
      <c r="S11" s="257">
        <v>0</v>
      </c>
      <c r="T11" s="256">
        <v>0</v>
      </c>
      <c r="U11" s="258">
        <f t="shared" si="1"/>
        <v>2114.088888888889</v>
      </c>
      <c r="V11" s="256">
        <v>93.06</v>
      </c>
      <c r="W11" s="256">
        <v>500</v>
      </c>
      <c r="X11" s="256">
        <v>53.31</v>
      </c>
      <c r="Y11" s="256">
        <v>5.0599999999999996</v>
      </c>
      <c r="Z11" s="256">
        <v>17.5</v>
      </c>
      <c r="AA11" s="256">
        <v>23.65</v>
      </c>
      <c r="AB11" s="256">
        <v>218.1</v>
      </c>
      <c r="AC11" s="189">
        <f t="shared" si="2"/>
        <v>910.67999999999984</v>
      </c>
      <c r="AD11" s="259">
        <f t="shared" si="3"/>
        <v>5624.7688888888897</v>
      </c>
    </row>
    <row r="12" spans="1:30" s="160" customFormat="1">
      <c r="A12" s="250">
        <v>7</v>
      </c>
      <c r="B12" s="251" t="s">
        <v>427</v>
      </c>
      <c r="C12" s="252">
        <v>1</v>
      </c>
      <c r="D12" s="253">
        <v>2600</v>
      </c>
      <c r="E12" s="254">
        <f t="shared" si="0"/>
        <v>2600</v>
      </c>
      <c r="F12" s="255">
        <f t="shared" si="4"/>
        <v>923.57777777777767</v>
      </c>
      <c r="G12" s="256">
        <f t="shared" si="5"/>
        <v>33.222222222222214</v>
      </c>
      <c r="H12" s="256">
        <f t="shared" si="6"/>
        <v>265.77777777777771</v>
      </c>
      <c r="I12" s="256">
        <f t="shared" si="7"/>
        <v>132.88888888888886</v>
      </c>
      <c r="J12" s="256">
        <f t="shared" si="8"/>
        <v>216.66666666666666</v>
      </c>
      <c r="K12" s="256">
        <f t="shared" si="9"/>
        <v>216.66666666666666</v>
      </c>
      <c r="L12" s="256">
        <f t="shared" si="10"/>
        <v>72.222222222222214</v>
      </c>
      <c r="M12" s="256">
        <f t="shared" si="11"/>
        <v>216.66666666666666</v>
      </c>
      <c r="N12" s="255">
        <v>0</v>
      </c>
      <c r="O12" s="256">
        <v>0</v>
      </c>
      <c r="P12" s="256">
        <f t="shared" si="12"/>
        <v>30.333333333333332</v>
      </c>
      <c r="Q12" s="256">
        <f t="shared" si="13"/>
        <v>6.0666666666666664</v>
      </c>
      <c r="R12" s="256">
        <v>0</v>
      </c>
      <c r="S12" s="257">
        <v>0</v>
      </c>
      <c r="T12" s="256">
        <v>0</v>
      </c>
      <c r="U12" s="258">
        <f t="shared" si="1"/>
        <v>2114.088888888889</v>
      </c>
      <c r="V12" s="256">
        <v>93.06</v>
      </c>
      <c r="W12" s="256">
        <v>500</v>
      </c>
      <c r="X12" s="256">
        <v>53.31</v>
      </c>
      <c r="Y12" s="256">
        <v>5.0599999999999996</v>
      </c>
      <c r="Z12" s="256">
        <v>17.5</v>
      </c>
      <c r="AA12" s="256">
        <v>23.65</v>
      </c>
      <c r="AB12" s="256">
        <v>218.1</v>
      </c>
      <c r="AC12" s="189">
        <f t="shared" si="2"/>
        <v>910.67999999999984</v>
      </c>
      <c r="AD12" s="259">
        <f t="shared" si="3"/>
        <v>5624.7688888888897</v>
      </c>
    </row>
    <row r="13" spans="1:30" s="160" customFormat="1">
      <c r="A13" s="250">
        <v>8</v>
      </c>
      <c r="B13" s="251" t="s">
        <v>428</v>
      </c>
      <c r="C13" s="252">
        <v>1</v>
      </c>
      <c r="D13" s="253">
        <v>1750</v>
      </c>
      <c r="E13" s="254">
        <f t="shared" si="0"/>
        <v>1750</v>
      </c>
      <c r="F13" s="255">
        <f t="shared" si="4"/>
        <v>621.63888888888903</v>
      </c>
      <c r="G13" s="256">
        <f t="shared" si="5"/>
        <v>22.361111111111114</v>
      </c>
      <c r="H13" s="256">
        <f t="shared" si="6"/>
        <v>178.88888888888891</v>
      </c>
      <c r="I13" s="256">
        <f t="shared" si="7"/>
        <v>89.444444444444457</v>
      </c>
      <c r="J13" s="256">
        <f t="shared" si="8"/>
        <v>145.83333333333334</v>
      </c>
      <c r="K13" s="256">
        <f t="shared" si="9"/>
        <v>145.83333333333334</v>
      </c>
      <c r="L13" s="256">
        <f t="shared" si="10"/>
        <v>48.611111111111114</v>
      </c>
      <c r="M13" s="256">
        <f t="shared" si="11"/>
        <v>145.83333333333334</v>
      </c>
      <c r="N13" s="255">
        <v>0</v>
      </c>
      <c r="O13" s="256">
        <v>0</v>
      </c>
      <c r="P13" s="256">
        <f t="shared" si="12"/>
        <v>20.416666666666664</v>
      </c>
      <c r="Q13" s="256">
        <f t="shared" si="13"/>
        <v>4.083333333333333</v>
      </c>
      <c r="R13" s="256">
        <v>0</v>
      </c>
      <c r="S13" s="257">
        <v>0</v>
      </c>
      <c r="T13" s="256">
        <v>0</v>
      </c>
      <c r="U13" s="258">
        <f t="shared" si="1"/>
        <v>1422.9444444444443</v>
      </c>
      <c r="V13" s="256">
        <v>93.06</v>
      </c>
      <c r="W13" s="256">
        <v>500</v>
      </c>
      <c r="X13" s="256">
        <v>53.31</v>
      </c>
      <c r="Y13" s="256">
        <v>5.0599999999999996</v>
      </c>
      <c r="Z13" s="256">
        <v>17.5</v>
      </c>
      <c r="AA13" s="256">
        <v>23.65</v>
      </c>
      <c r="AB13" s="256">
        <v>218.1</v>
      </c>
      <c r="AC13" s="189">
        <f t="shared" si="2"/>
        <v>910.67999999999984</v>
      </c>
      <c r="AD13" s="259">
        <f t="shared" si="3"/>
        <v>4083.6244444444442</v>
      </c>
    </row>
    <row r="14" spans="1:30" s="160" customFormat="1">
      <c r="A14" s="250">
        <v>9</v>
      </c>
      <c r="B14" s="251" t="s">
        <v>429</v>
      </c>
      <c r="C14" s="252">
        <v>1</v>
      </c>
      <c r="D14" s="253">
        <v>1642</v>
      </c>
      <c r="E14" s="254">
        <f t="shared" si="0"/>
        <v>1642</v>
      </c>
      <c r="F14" s="255">
        <f t="shared" si="4"/>
        <v>583.27488888888888</v>
      </c>
      <c r="G14" s="256">
        <f t="shared" si="5"/>
        <v>20.981111111111108</v>
      </c>
      <c r="H14" s="256">
        <f t="shared" si="6"/>
        <v>167.84888888888887</v>
      </c>
      <c r="I14" s="256">
        <f t="shared" si="7"/>
        <v>83.924444444444433</v>
      </c>
      <c r="J14" s="256">
        <f t="shared" si="8"/>
        <v>136.83333333333334</v>
      </c>
      <c r="K14" s="256">
        <f t="shared" si="9"/>
        <v>136.83333333333334</v>
      </c>
      <c r="L14" s="256">
        <f t="shared" si="10"/>
        <v>45.611111111111114</v>
      </c>
      <c r="M14" s="256">
        <f t="shared" si="11"/>
        <v>136.83333333333334</v>
      </c>
      <c r="N14" s="255">
        <v>0</v>
      </c>
      <c r="O14" s="256">
        <v>0</v>
      </c>
      <c r="P14" s="256">
        <f t="shared" si="12"/>
        <v>19.156666666666666</v>
      </c>
      <c r="Q14" s="256">
        <f t="shared" si="13"/>
        <v>3.8313333333333333</v>
      </c>
      <c r="R14" s="256">
        <v>0</v>
      </c>
      <c r="S14" s="257">
        <v>0</v>
      </c>
      <c r="T14" s="256">
        <v>0</v>
      </c>
      <c r="U14" s="258">
        <f t="shared" si="1"/>
        <v>1335.1284444444443</v>
      </c>
      <c r="V14" s="256">
        <v>93.06</v>
      </c>
      <c r="W14" s="256">
        <v>500</v>
      </c>
      <c r="X14" s="256">
        <v>53.31</v>
      </c>
      <c r="Y14" s="256">
        <v>5.0599999999999996</v>
      </c>
      <c r="Z14" s="256">
        <v>17.5</v>
      </c>
      <c r="AA14" s="256">
        <v>23.65</v>
      </c>
      <c r="AB14" s="256">
        <v>218.1</v>
      </c>
      <c r="AC14" s="189">
        <f t="shared" si="2"/>
        <v>910.67999999999984</v>
      </c>
      <c r="AD14" s="259">
        <f t="shared" si="3"/>
        <v>3887.8084444444444</v>
      </c>
    </row>
    <row r="15" spans="1:30" s="160" customFormat="1">
      <c r="A15" s="250">
        <v>10</v>
      </c>
      <c r="B15" s="251" t="s">
        <v>430</v>
      </c>
      <c r="C15" s="252">
        <v>1</v>
      </c>
      <c r="D15" s="253">
        <v>1385</v>
      </c>
      <c r="E15" s="254">
        <f t="shared" si="0"/>
        <v>1385</v>
      </c>
      <c r="F15" s="255">
        <f t="shared" si="4"/>
        <v>491.98277777777787</v>
      </c>
      <c r="G15" s="256">
        <f t="shared" si="5"/>
        <v>17.697222222222223</v>
      </c>
      <c r="H15" s="256">
        <f t="shared" si="6"/>
        <v>141.57777777777778</v>
      </c>
      <c r="I15" s="256">
        <f t="shared" si="7"/>
        <v>70.788888888888891</v>
      </c>
      <c r="J15" s="256">
        <f t="shared" si="8"/>
        <v>115.41666666666667</v>
      </c>
      <c r="K15" s="256">
        <f t="shared" si="9"/>
        <v>115.41666666666667</v>
      </c>
      <c r="L15" s="256">
        <f t="shared" si="10"/>
        <v>38.472222222222221</v>
      </c>
      <c r="M15" s="256">
        <f t="shared" si="11"/>
        <v>115.41666666666667</v>
      </c>
      <c r="N15" s="255">
        <v>0</v>
      </c>
      <c r="O15" s="256">
        <v>0</v>
      </c>
      <c r="P15" s="256">
        <f t="shared" si="12"/>
        <v>16.158333333333331</v>
      </c>
      <c r="Q15" s="256">
        <f t="shared" si="13"/>
        <v>3.231666666666666</v>
      </c>
      <c r="R15" s="256">
        <v>0</v>
      </c>
      <c r="S15" s="257">
        <v>0</v>
      </c>
      <c r="T15" s="256">
        <v>0</v>
      </c>
      <c r="U15" s="258">
        <f t="shared" si="1"/>
        <v>1126.1588888888887</v>
      </c>
      <c r="V15" s="256">
        <v>93.06</v>
      </c>
      <c r="W15" s="256">
        <v>500</v>
      </c>
      <c r="X15" s="256">
        <v>53.31</v>
      </c>
      <c r="Y15" s="256">
        <v>5.0599999999999996</v>
      </c>
      <c r="Z15" s="256">
        <v>17.5</v>
      </c>
      <c r="AA15" s="256">
        <v>23.65</v>
      </c>
      <c r="AB15" s="256">
        <v>218.1</v>
      </c>
      <c r="AC15" s="189">
        <f t="shared" si="2"/>
        <v>910.67999999999984</v>
      </c>
      <c r="AD15" s="259">
        <f t="shared" si="3"/>
        <v>3421.8388888888885</v>
      </c>
    </row>
    <row r="16" spans="1:30" s="160" customFormat="1">
      <c r="A16" s="250">
        <v>11</v>
      </c>
      <c r="B16" s="251" t="s">
        <v>431</v>
      </c>
      <c r="C16" s="252">
        <v>1</v>
      </c>
      <c r="D16" s="253">
        <v>1452.39</v>
      </c>
      <c r="E16" s="254">
        <f t="shared" si="0"/>
        <v>1452.39</v>
      </c>
      <c r="F16" s="255">
        <f t="shared" si="4"/>
        <v>515.92120333333344</v>
      </c>
      <c r="G16" s="256">
        <f t="shared" si="5"/>
        <v>18.55831666666667</v>
      </c>
      <c r="H16" s="256">
        <f t="shared" si="6"/>
        <v>148.46653333333336</v>
      </c>
      <c r="I16" s="256">
        <f t="shared" si="7"/>
        <v>74.23326666666668</v>
      </c>
      <c r="J16" s="256">
        <f t="shared" si="8"/>
        <v>121.03250000000001</v>
      </c>
      <c r="K16" s="256">
        <f t="shared" si="9"/>
        <v>121.03250000000001</v>
      </c>
      <c r="L16" s="256">
        <f t="shared" si="10"/>
        <v>40.344166666666673</v>
      </c>
      <c r="M16" s="256">
        <f t="shared" si="11"/>
        <v>121.03250000000001</v>
      </c>
      <c r="N16" s="255">
        <v>0</v>
      </c>
      <c r="O16" s="256">
        <v>0</v>
      </c>
      <c r="P16" s="256">
        <f t="shared" si="12"/>
        <v>16.94455</v>
      </c>
      <c r="Q16" s="256">
        <f t="shared" si="13"/>
        <v>3.3889100000000001</v>
      </c>
      <c r="R16" s="256">
        <v>0</v>
      </c>
      <c r="S16" s="257">
        <v>0</v>
      </c>
      <c r="T16" s="256">
        <v>0</v>
      </c>
      <c r="U16" s="258">
        <f t="shared" si="1"/>
        <v>1180.9544466666669</v>
      </c>
      <c r="V16" s="256">
        <v>93.06</v>
      </c>
      <c r="W16" s="256">
        <v>500</v>
      </c>
      <c r="X16" s="256">
        <v>53.31</v>
      </c>
      <c r="Y16" s="256">
        <v>5.0599999999999996</v>
      </c>
      <c r="Z16" s="256">
        <v>17.5</v>
      </c>
      <c r="AA16" s="256">
        <v>23.65</v>
      </c>
      <c r="AB16" s="256">
        <v>218.1</v>
      </c>
      <c r="AC16" s="189">
        <f t="shared" si="2"/>
        <v>910.67999999999984</v>
      </c>
      <c r="AD16" s="259">
        <f t="shared" si="3"/>
        <v>3544.0244466666668</v>
      </c>
    </row>
    <row r="17" spans="1:30" s="160" customFormat="1">
      <c r="A17" s="250">
        <v>12</v>
      </c>
      <c r="B17" s="251" t="s">
        <v>435</v>
      </c>
      <c r="C17" s="252">
        <v>2</v>
      </c>
      <c r="D17" s="253">
        <v>1900</v>
      </c>
      <c r="E17" s="254">
        <f t="shared" si="0"/>
        <v>3800</v>
      </c>
      <c r="F17" s="255">
        <f t="shared" si="4"/>
        <v>1434.9433333333336</v>
      </c>
      <c r="G17" s="256">
        <f t="shared" si="5"/>
        <v>51.616666666666674</v>
      </c>
      <c r="H17" s="256">
        <f t="shared" si="6"/>
        <v>412.93333333333339</v>
      </c>
      <c r="I17" s="256">
        <f t="shared" si="7"/>
        <v>301.4666666666667</v>
      </c>
      <c r="J17" s="256">
        <f t="shared" si="8"/>
        <v>332.5</v>
      </c>
      <c r="K17" s="256">
        <f t="shared" si="9"/>
        <v>332.5</v>
      </c>
      <c r="L17" s="256">
        <f t="shared" si="10"/>
        <v>174.16666666666666</v>
      </c>
      <c r="M17" s="256">
        <f t="shared" si="11"/>
        <v>332.5</v>
      </c>
      <c r="N17" s="255">
        <v>0</v>
      </c>
      <c r="O17" s="256">
        <v>0</v>
      </c>
      <c r="P17" s="256">
        <f>(R17+E17)/210*1.75*1.2</f>
        <v>49.400000000000006</v>
      </c>
      <c r="Q17" s="256">
        <f>P17/6</f>
        <v>8.2333333333333343</v>
      </c>
      <c r="R17" s="256">
        <f>E17*30%</f>
        <v>1140</v>
      </c>
      <c r="S17" s="257">
        <v>190</v>
      </c>
      <c r="T17" s="256">
        <f>(E17+R17+N17+O17)/30*2</f>
        <v>329.33333333333331</v>
      </c>
      <c r="U17" s="258">
        <f t="shared" si="1"/>
        <v>5089.5933333333332</v>
      </c>
      <c r="V17" s="256">
        <v>63.45</v>
      </c>
      <c r="W17" s="256">
        <v>500</v>
      </c>
      <c r="X17" s="256">
        <v>53.31</v>
      </c>
      <c r="Y17" s="256">
        <v>5.0599999999999996</v>
      </c>
      <c r="Z17" s="256">
        <v>17.5</v>
      </c>
      <c r="AA17" s="256">
        <v>23.65</v>
      </c>
      <c r="AB17" s="256">
        <v>218.1</v>
      </c>
      <c r="AC17" s="189">
        <f t="shared" si="2"/>
        <v>881.06999999999994</v>
      </c>
      <c r="AD17" s="259">
        <f t="shared" si="3"/>
        <v>9770.6633333333339</v>
      </c>
    </row>
    <row r="18" spans="1:30" s="160" customFormat="1">
      <c r="A18" s="250">
        <v>13</v>
      </c>
      <c r="B18" s="251" t="s">
        <v>432</v>
      </c>
      <c r="C18" s="252">
        <v>12</v>
      </c>
      <c r="D18" s="253">
        <v>1900</v>
      </c>
      <c r="E18" s="254">
        <f t="shared" si="0"/>
        <v>22800</v>
      </c>
      <c r="F18" s="255">
        <f t="shared" si="4"/>
        <v>8099.0666666666666</v>
      </c>
      <c r="G18" s="256">
        <f t="shared" si="5"/>
        <v>291.33333333333331</v>
      </c>
      <c r="H18" s="256">
        <f t="shared" si="6"/>
        <v>2330.6666666666665</v>
      </c>
      <c r="I18" s="256">
        <f t="shared" si="7"/>
        <v>1165.3333333333333</v>
      </c>
      <c r="J18" s="256">
        <f t="shared" si="8"/>
        <v>1900</v>
      </c>
      <c r="K18" s="256">
        <f t="shared" si="9"/>
        <v>1900</v>
      </c>
      <c r="L18" s="256">
        <f t="shared" si="10"/>
        <v>633.33333333333337</v>
      </c>
      <c r="M18" s="256">
        <f t="shared" si="11"/>
        <v>1900</v>
      </c>
      <c r="N18" s="255">
        <v>0</v>
      </c>
      <c r="O18" s="256">
        <v>0</v>
      </c>
      <c r="P18" s="256">
        <f>(R18+E18)/210*1.75*1.2</f>
        <v>296.39999999999998</v>
      </c>
      <c r="Q18" s="256">
        <f>P18/6</f>
        <v>49.4</v>
      </c>
      <c r="R18" s="256">
        <f>E18*30%</f>
        <v>6840</v>
      </c>
      <c r="S18" s="257">
        <v>0</v>
      </c>
      <c r="T18" s="256">
        <f t="shared" ref="T18:T20" si="14">(E18+R18+N18+O18)/30*2</f>
        <v>1976</v>
      </c>
      <c r="U18" s="258">
        <f t="shared" si="1"/>
        <v>27381.533333333336</v>
      </c>
      <c r="V18" s="256">
        <v>63.45</v>
      </c>
      <c r="W18" s="256">
        <v>500</v>
      </c>
      <c r="X18" s="256">
        <v>53.31</v>
      </c>
      <c r="Y18" s="256">
        <v>5.0599999999999996</v>
      </c>
      <c r="Z18" s="256">
        <v>17.5</v>
      </c>
      <c r="AA18" s="256">
        <v>23.65</v>
      </c>
      <c r="AB18" s="256">
        <v>218.1</v>
      </c>
      <c r="AC18" s="189">
        <f t="shared" si="2"/>
        <v>881.06999999999994</v>
      </c>
      <c r="AD18" s="259">
        <f t="shared" si="3"/>
        <v>51062.60333333334</v>
      </c>
    </row>
    <row r="19" spans="1:30" s="160" customFormat="1">
      <c r="A19" s="250">
        <v>14</v>
      </c>
      <c r="B19" s="251" t="s">
        <v>433</v>
      </c>
      <c r="C19" s="252">
        <v>2</v>
      </c>
      <c r="D19" s="253">
        <v>1900</v>
      </c>
      <c r="E19" s="254">
        <f t="shared" si="0"/>
        <v>3800</v>
      </c>
      <c r="F19" s="255">
        <f t="shared" si="4"/>
        <v>1434.9433333333336</v>
      </c>
      <c r="G19" s="256">
        <f t="shared" si="5"/>
        <v>51.616666666666674</v>
      </c>
      <c r="H19" s="256">
        <f t="shared" si="6"/>
        <v>412.93333333333339</v>
      </c>
      <c r="I19" s="256">
        <f t="shared" si="7"/>
        <v>301.4666666666667</v>
      </c>
      <c r="J19" s="256">
        <f t="shared" si="8"/>
        <v>332.5</v>
      </c>
      <c r="K19" s="256">
        <f t="shared" si="9"/>
        <v>332.5</v>
      </c>
      <c r="L19" s="256">
        <f t="shared" si="10"/>
        <v>174.16666666666666</v>
      </c>
      <c r="M19" s="256">
        <f t="shared" si="11"/>
        <v>332.5</v>
      </c>
      <c r="N19" s="255">
        <f>(R19+E19)/210*20%*160</f>
        <v>752.76190476190482</v>
      </c>
      <c r="O19" s="256">
        <f>N19/6</f>
        <v>125.46031746031747</v>
      </c>
      <c r="P19" s="256">
        <f>(R19+E19)/210*1.75*1.2</f>
        <v>49.400000000000006</v>
      </c>
      <c r="Q19" s="256">
        <f>P19/6</f>
        <v>8.2333333333333343</v>
      </c>
      <c r="R19" s="256">
        <f>E19*30%</f>
        <v>1140</v>
      </c>
      <c r="S19" s="257">
        <v>190</v>
      </c>
      <c r="T19" s="256">
        <f t="shared" si="14"/>
        <v>387.88148148148144</v>
      </c>
      <c r="U19" s="258">
        <f t="shared" si="1"/>
        <v>6026.3637037037033</v>
      </c>
      <c r="V19" s="256">
        <v>63.45</v>
      </c>
      <c r="W19" s="256">
        <v>500</v>
      </c>
      <c r="X19" s="256">
        <v>53.31</v>
      </c>
      <c r="Y19" s="256">
        <v>5.0599999999999996</v>
      </c>
      <c r="Z19" s="256">
        <v>17.5</v>
      </c>
      <c r="AA19" s="256">
        <v>23.65</v>
      </c>
      <c r="AB19" s="256">
        <v>218.1</v>
      </c>
      <c r="AC19" s="189">
        <f t="shared" si="2"/>
        <v>881.06999999999994</v>
      </c>
      <c r="AD19" s="259">
        <f t="shared" si="3"/>
        <v>10707.433703703704</v>
      </c>
    </row>
    <row r="20" spans="1:30" s="160" customFormat="1">
      <c r="A20" s="250">
        <v>15</v>
      </c>
      <c r="B20" s="251" t="s">
        <v>434</v>
      </c>
      <c r="C20" s="252">
        <v>6</v>
      </c>
      <c r="D20" s="253">
        <v>1900</v>
      </c>
      <c r="E20" s="254">
        <f t="shared" si="0"/>
        <v>11400</v>
      </c>
      <c r="F20" s="255">
        <f t="shared" si="4"/>
        <v>4049.5333333333333</v>
      </c>
      <c r="G20" s="256">
        <f t="shared" si="5"/>
        <v>145.66666666666666</v>
      </c>
      <c r="H20" s="256">
        <f t="shared" si="6"/>
        <v>1165.3333333333333</v>
      </c>
      <c r="I20" s="256">
        <f t="shared" si="7"/>
        <v>582.66666666666663</v>
      </c>
      <c r="J20" s="256">
        <f t="shared" si="8"/>
        <v>950</v>
      </c>
      <c r="K20" s="256">
        <f t="shared" si="9"/>
        <v>950</v>
      </c>
      <c r="L20" s="256">
        <f t="shared" si="10"/>
        <v>316.66666666666669</v>
      </c>
      <c r="M20" s="256">
        <f t="shared" si="11"/>
        <v>950</v>
      </c>
      <c r="N20" s="255">
        <f>(R20+E20)/210*20%*160</f>
        <v>2258.2857142857142</v>
      </c>
      <c r="O20" s="256">
        <f>N20/6</f>
        <v>376.38095238095235</v>
      </c>
      <c r="P20" s="256">
        <f>(R20+E20)/210*1.75*1.2</f>
        <v>148.19999999999999</v>
      </c>
      <c r="Q20" s="256">
        <f>P20/6</f>
        <v>24.7</v>
      </c>
      <c r="R20" s="256">
        <f>E20*30%</f>
        <v>3420</v>
      </c>
      <c r="S20" s="257">
        <v>0</v>
      </c>
      <c r="T20" s="256">
        <f t="shared" si="14"/>
        <v>1163.6444444444446</v>
      </c>
      <c r="U20" s="258">
        <f t="shared" si="1"/>
        <v>16501.07777777778</v>
      </c>
      <c r="V20" s="256">
        <v>63.45</v>
      </c>
      <c r="W20" s="256">
        <v>500</v>
      </c>
      <c r="X20" s="256">
        <v>53.31</v>
      </c>
      <c r="Y20" s="256">
        <v>5.0599999999999996</v>
      </c>
      <c r="Z20" s="256">
        <v>17.5</v>
      </c>
      <c r="AA20" s="256">
        <v>23.65</v>
      </c>
      <c r="AB20" s="256">
        <v>218.1</v>
      </c>
      <c r="AC20" s="189">
        <f t="shared" si="2"/>
        <v>881.06999999999994</v>
      </c>
      <c r="AD20" s="259">
        <f t="shared" si="3"/>
        <v>28782.14777777778</v>
      </c>
    </row>
    <row r="21" spans="1:30" s="160" customFormat="1">
      <c r="A21" s="250">
        <v>16</v>
      </c>
      <c r="B21" s="251" t="s">
        <v>461</v>
      </c>
      <c r="C21" s="252">
        <v>1</v>
      </c>
      <c r="D21" s="253">
        <v>6500</v>
      </c>
      <c r="E21" s="254">
        <f t="shared" si="0"/>
        <v>6500</v>
      </c>
      <c r="F21" s="255">
        <f t="shared" si="4"/>
        <v>2308.9444444444448</v>
      </c>
      <c r="G21" s="256">
        <f t="shared" si="5"/>
        <v>83.055555555555571</v>
      </c>
      <c r="H21" s="256">
        <f t="shared" si="6"/>
        <v>664.44444444444457</v>
      </c>
      <c r="I21" s="256">
        <f t="shared" si="7"/>
        <v>332.22222222222229</v>
      </c>
      <c r="J21" s="256">
        <f t="shared" si="8"/>
        <v>541.66666666666663</v>
      </c>
      <c r="K21" s="256">
        <f t="shared" si="9"/>
        <v>541.66666666666663</v>
      </c>
      <c r="L21" s="256">
        <f t="shared" si="10"/>
        <v>180.55555555555554</v>
      </c>
      <c r="M21" s="256">
        <f t="shared" si="11"/>
        <v>541.66666666666663</v>
      </c>
      <c r="N21" s="255">
        <v>0</v>
      </c>
      <c r="O21" s="256">
        <v>0</v>
      </c>
      <c r="P21" s="256">
        <v>0</v>
      </c>
      <c r="Q21" s="256">
        <v>0</v>
      </c>
      <c r="R21" s="256">
        <v>0</v>
      </c>
      <c r="S21" s="257">
        <v>0</v>
      </c>
      <c r="T21" s="256">
        <v>0</v>
      </c>
      <c r="U21" s="258">
        <f t="shared" si="1"/>
        <v>5194.2222222222235</v>
      </c>
      <c r="V21" s="256">
        <v>0</v>
      </c>
      <c r="W21" s="256">
        <v>500</v>
      </c>
      <c r="X21" s="256">
        <v>53.31</v>
      </c>
      <c r="Y21" s="256">
        <v>5.0599999999999996</v>
      </c>
      <c r="Z21" s="256">
        <v>17.5</v>
      </c>
      <c r="AA21" s="256">
        <v>23.65</v>
      </c>
      <c r="AB21" s="256">
        <v>218.1</v>
      </c>
      <c r="AC21" s="189">
        <f t="shared" si="2"/>
        <v>817.61999999999989</v>
      </c>
      <c r="AD21" s="259">
        <f t="shared" si="3"/>
        <v>12511.842222222222</v>
      </c>
    </row>
    <row r="22" spans="1:30" s="160" customFormat="1">
      <c r="A22" s="250">
        <v>17</v>
      </c>
      <c r="B22" s="251" t="s">
        <v>422</v>
      </c>
      <c r="C22" s="252">
        <v>1</v>
      </c>
      <c r="D22" s="253">
        <v>3773.6</v>
      </c>
      <c r="E22" s="254">
        <f t="shared" si="0"/>
        <v>3773.6</v>
      </c>
      <c r="F22" s="255">
        <f t="shared" si="4"/>
        <v>1340.4665777777775</v>
      </c>
      <c r="G22" s="256">
        <f t="shared" si="5"/>
        <v>48.218222222222209</v>
      </c>
      <c r="H22" s="256">
        <f t="shared" si="6"/>
        <v>385.74577777777768</v>
      </c>
      <c r="I22" s="256">
        <f t="shared" si="7"/>
        <v>192.87288888888884</v>
      </c>
      <c r="J22" s="256">
        <f t="shared" si="8"/>
        <v>314.46666666666664</v>
      </c>
      <c r="K22" s="256">
        <f t="shared" si="9"/>
        <v>314.46666666666664</v>
      </c>
      <c r="L22" s="256">
        <f t="shared" si="10"/>
        <v>104.82222222222221</v>
      </c>
      <c r="M22" s="256">
        <f t="shared" si="11"/>
        <v>314.46666666666664</v>
      </c>
      <c r="N22" s="255">
        <v>0</v>
      </c>
      <c r="O22" s="256">
        <v>0</v>
      </c>
      <c r="P22" s="256">
        <v>0</v>
      </c>
      <c r="Q22" s="256">
        <v>0</v>
      </c>
      <c r="R22" s="256">
        <f>E22*30%</f>
        <v>1132.08</v>
      </c>
      <c r="S22" s="257">
        <v>0</v>
      </c>
      <c r="T22" s="256">
        <v>0</v>
      </c>
      <c r="U22" s="258">
        <f t="shared" si="1"/>
        <v>4147.6056888888888</v>
      </c>
      <c r="V22" s="256">
        <v>0</v>
      </c>
      <c r="W22" s="256">
        <v>500</v>
      </c>
      <c r="X22" s="256">
        <v>53.31</v>
      </c>
      <c r="Y22" s="256">
        <v>5.0599999999999996</v>
      </c>
      <c r="Z22" s="256">
        <v>17.5</v>
      </c>
      <c r="AA22" s="256">
        <v>23.65</v>
      </c>
      <c r="AB22" s="256">
        <v>218.1</v>
      </c>
      <c r="AC22" s="189">
        <f t="shared" si="2"/>
        <v>817.61999999999989</v>
      </c>
      <c r="AD22" s="259">
        <f t="shared" si="3"/>
        <v>8738.82568888889</v>
      </c>
    </row>
    <row r="23" spans="1:30" s="160" customFormat="1">
      <c r="A23" s="250">
        <v>18</v>
      </c>
      <c r="B23" s="251" t="s">
        <v>423</v>
      </c>
      <c r="C23" s="252">
        <v>1</v>
      </c>
      <c r="D23" s="253">
        <v>2600</v>
      </c>
      <c r="E23" s="254">
        <f t="shared" si="0"/>
        <v>2600</v>
      </c>
      <c r="F23" s="255">
        <f t="shared" si="4"/>
        <v>923.57777777777767</v>
      </c>
      <c r="G23" s="256">
        <f t="shared" si="5"/>
        <v>33.222222222222214</v>
      </c>
      <c r="H23" s="256">
        <f t="shared" si="6"/>
        <v>265.77777777777771</v>
      </c>
      <c r="I23" s="256">
        <f t="shared" si="7"/>
        <v>132.88888888888886</v>
      </c>
      <c r="J23" s="256">
        <f t="shared" si="8"/>
        <v>216.66666666666666</v>
      </c>
      <c r="K23" s="256">
        <f t="shared" si="9"/>
        <v>216.66666666666666</v>
      </c>
      <c r="L23" s="256">
        <f t="shared" si="10"/>
        <v>72.222222222222214</v>
      </c>
      <c r="M23" s="256">
        <f t="shared" si="11"/>
        <v>216.66666666666666</v>
      </c>
      <c r="N23" s="255">
        <v>0</v>
      </c>
      <c r="O23" s="256">
        <v>0</v>
      </c>
      <c r="P23" s="256">
        <f>E23/150*1.75</f>
        <v>30.333333333333332</v>
      </c>
      <c r="Q23" s="256">
        <f>P23/25*5</f>
        <v>6.0666666666666664</v>
      </c>
      <c r="R23" s="256">
        <v>0</v>
      </c>
      <c r="S23" s="257">
        <v>0</v>
      </c>
      <c r="T23" s="256">
        <v>0</v>
      </c>
      <c r="U23" s="258">
        <f t="shared" si="1"/>
        <v>2114.088888888889</v>
      </c>
      <c r="V23" s="256">
        <v>93.06</v>
      </c>
      <c r="W23" s="256">
        <v>500</v>
      </c>
      <c r="X23" s="256">
        <v>53.31</v>
      </c>
      <c r="Y23" s="256">
        <v>5.0599999999999996</v>
      </c>
      <c r="Z23" s="256">
        <v>17.5</v>
      </c>
      <c r="AA23" s="256">
        <v>23.65</v>
      </c>
      <c r="AB23" s="256">
        <v>218.1</v>
      </c>
      <c r="AC23" s="189">
        <f t="shared" si="2"/>
        <v>910.67999999999984</v>
      </c>
      <c r="AD23" s="259">
        <f t="shared" si="3"/>
        <v>5624.7688888888897</v>
      </c>
    </row>
    <row r="24" spans="1:30" s="160" customFormat="1">
      <c r="A24" s="250">
        <v>19</v>
      </c>
      <c r="B24" s="251" t="s">
        <v>424</v>
      </c>
      <c r="C24" s="252">
        <v>1</v>
      </c>
      <c r="D24" s="253">
        <v>2600</v>
      </c>
      <c r="E24" s="254">
        <f t="shared" si="0"/>
        <v>2600</v>
      </c>
      <c r="F24" s="255">
        <f t="shared" si="4"/>
        <v>923.57777777777767</v>
      </c>
      <c r="G24" s="256">
        <f t="shared" si="5"/>
        <v>33.222222222222214</v>
      </c>
      <c r="H24" s="256">
        <f t="shared" si="6"/>
        <v>265.77777777777771</v>
      </c>
      <c r="I24" s="256">
        <f t="shared" si="7"/>
        <v>132.88888888888886</v>
      </c>
      <c r="J24" s="256">
        <f t="shared" si="8"/>
        <v>216.66666666666666</v>
      </c>
      <c r="K24" s="256">
        <f t="shared" si="9"/>
        <v>216.66666666666666</v>
      </c>
      <c r="L24" s="256">
        <f t="shared" si="10"/>
        <v>72.222222222222214</v>
      </c>
      <c r="M24" s="256">
        <f t="shared" si="11"/>
        <v>216.66666666666666</v>
      </c>
      <c r="N24" s="255">
        <v>0</v>
      </c>
      <c r="O24" s="256">
        <v>0</v>
      </c>
      <c r="P24" s="256">
        <f t="shared" ref="P24:P31" si="15">E24/150*1.75</f>
        <v>30.333333333333332</v>
      </c>
      <c r="Q24" s="256">
        <f t="shared" ref="Q24:Q31" si="16">P24/25*5</f>
        <v>6.0666666666666664</v>
      </c>
      <c r="R24" s="256">
        <v>0</v>
      </c>
      <c r="S24" s="257">
        <v>0</v>
      </c>
      <c r="T24" s="256">
        <v>0</v>
      </c>
      <c r="U24" s="258">
        <f t="shared" si="1"/>
        <v>2114.088888888889</v>
      </c>
      <c r="V24" s="256">
        <v>93.06</v>
      </c>
      <c r="W24" s="256">
        <v>500</v>
      </c>
      <c r="X24" s="256">
        <v>53.31</v>
      </c>
      <c r="Y24" s="256">
        <v>5.0599999999999996</v>
      </c>
      <c r="Z24" s="256">
        <v>17.5</v>
      </c>
      <c r="AA24" s="256">
        <v>23.65</v>
      </c>
      <c r="AB24" s="256">
        <v>218.1</v>
      </c>
      <c r="AC24" s="189">
        <f t="shared" si="2"/>
        <v>910.67999999999984</v>
      </c>
      <c r="AD24" s="259">
        <f t="shared" si="3"/>
        <v>5624.7688888888897</v>
      </c>
    </row>
    <row r="25" spans="1:30" s="160" customFormat="1">
      <c r="A25" s="250">
        <v>20</v>
      </c>
      <c r="B25" s="251" t="s">
        <v>425</v>
      </c>
      <c r="C25" s="252">
        <v>1</v>
      </c>
      <c r="D25" s="253">
        <v>2600</v>
      </c>
      <c r="E25" s="254">
        <f t="shared" si="0"/>
        <v>2600</v>
      </c>
      <c r="F25" s="255">
        <f t="shared" si="4"/>
        <v>923.57777777777767</v>
      </c>
      <c r="G25" s="256">
        <f t="shared" si="5"/>
        <v>33.222222222222214</v>
      </c>
      <c r="H25" s="256">
        <f t="shared" si="6"/>
        <v>265.77777777777771</v>
      </c>
      <c r="I25" s="256">
        <f t="shared" si="7"/>
        <v>132.88888888888886</v>
      </c>
      <c r="J25" s="256">
        <f t="shared" si="8"/>
        <v>216.66666666666666</v>
      </c>
      <c r="K25" s="256">
        <f t="shared" si="9"/>
        <v>216.66666666666666</v>
      </c>
      <c r="L25" s="256">
        <f t="shared" si="10"/>
        <v>72.222222222222214</v>
      </c>
      <c r="M25" s="256">
        <f t="shared" si="11"/>
        <v>216.66666666666666</v>
      </c>
      <c r="N25" s="255">
        <v>0</v>
      </c>
      <c r="O25" s="256">
        <v>0</v>
      </c>
      <c r="P25" s="256">
        <f t="shared" si="15"/>
        <v>30.333333333333332</v>
      </c>
      <c r="Q25" s="256">
        <f t="shared" si="16"/>
        <v>6.0666666666666664</v>
      </c>
      <c r="R25" s="256">
        <v>0</v>
      </c>
      <c r="S25" s="257">
        <v>0</v>
      </c>
      <c r="T25" s="256">
        <v>0</v>
      </c>
      <c r="U25" s="258">
        <f t="shared" si="1"/>
        <v>2114.088888888889</v>
      </c>
      <c r="V25" s="256">
        <v>93.06</v>
      </c>
      <c r="W25" s="256">
        <v>500</v>
      </c>
      <c r="X25" s="256">
        <v>53.31</v>
      </c>
      <c r="Y25" s="256">
        <v>5.0599999999999996</v>
      </c>
      <c r="Z25" s="256">
        <v>17.5</v>
      </c>
      <c r="AA25" s="256">
        <v>23.65</v>
      </c>
      <c r="AB25" s="256">
        <v>218.1</v>
      </c>
      <c r="AC25" s="189">
        <f t="shared" si="2"/>
        <v>910.67999999999984</v>
      </c>
      <c r="AD25" s="259">
        <f t="shared" si="3"/>
        <v>5624.7688888888897</v>
      </c>
    </row>
    <row r="26" spans="1:30" s="160" customFormat="1">
      <c r="A26" s="250">
        <v>21</v>
      </c>
      <c r="B26" s="251" t="s">
        <v>426</v>
      </c>
      <c r="C26" s="252">
        <v>1</v>
      </c>
      <c r="D26" s="253">
        <v>2600</v>
      </c>
      <c r="E26" s="254">
        <f t="shared" si="0"/>
        <v>2600</v>
      </c>
      <c r="F26" s="255">
        <f t="shared" si="4"/>
        <v>923.57777777777767</v>
      </c>
      <c r="G26" s="256">
        <f t="shared" si="5"/>
        <v>33.222222222222214</v>
      </c>
      <c r="H26" s="256">
        <f t="shared" si="6"/>
        <v>265.77777777777771</v>
      </c>
      <c r="I26" s="256">
        <f t="shared" si="7"/>
        <v>132.88888888888886</v>
      </c>
      <c r="J26" s="256">
        <f t="shared" si="8"/>
        <v>216.66666666666666</v>
      </c>
      <c r="K26" s="256">
        <f t="shared" si="9"/>
        <v>216.66666666666666</v>
      </c>
      <c r="L26" s="256">
        <f t="shared" si="10"/>
        <v>72.222222222222214</v>
      </c>
      <c r="M26" s="256">
        <f t="shared" si="11"/>
        <v>216.66666666666666</v>
      </c>
      <c r="N26" s="255">
        <v>0</v>
      </c>
      <c r="O26" s="256">
        <v>0</v>
      </c>
      <c r="P26" s="256">
        <f t="shared" si="15"/>
        <v>30.333333333333332</v>
      </c>
      <c r="Q26" s="256">
        <f t="shared" si="16"/>
        <v>6.0666666666666664</v>
      </c>
      <c r="R26" s="256">
        <v>0</v>
      </c>
      <c r="S26" s="257">
        <v>0</v>
      </c>
      <c r="T26" s="256">
        <v>0</v>
      </c>
      <c r="U26" s="258">
        <f t="shared" si="1"/>
        <v>2114.088888888889</v>
      </c>
      <c r="V26" s="256">
        <v>93.06</v>
      </c>
      <c r="W26" s="256">
        <v>500</v>
      </c>
      <c r="X26" s="256">
        <v>53.31</v>
      </c>
      <c r="Y26" s="256">
        <v>5.0599999999999996</v>
      </c>
      <c r="Z26" s="256">
        <v>17.5</v>
      </c>
      <c r="AA26" s="256">
        <v>23.65</v>
      </c>
      <c r="AB26" s="256">
        <v>218.1</v>
      </c>
      <c r="AC26" s="189">
        <f t="shared" si="2"/>
        <v>910.67999999999984</v>
      </c>
      <c r="AD26" s="259">
        <f t="shared" si="3"/>
        <v>5624.7688888888897</v>
      </c>
    </row>
    <row r="27" spans="1:30" s="160" customFormat="1">
      <c r="A27" s="250">
        <v>22</v>
      </c>
      <c r="B27" s="251" t="s">
        <v>427</v>
      </c>
      <c r="C27" s="252">
        <v>1</v>
      </c>
      <c r="D27" s="253">
        <v>2600</v>
      </c>
      <c r="E27" s="254">
        <f t="shared" si="0"/>
        <v>2600</v>
      </c>
      <c r="F27" s="255">
        <f t="shared" si="4"/>
        <v>923.57777777777767</v>
      </c>
      <c r="G27" s="256">
        <f t="shared" si="5"/>
        <v>33.222222222222214</v>
      </c>
      <c r="H27" s="256">
        <f t="shared" si="6"/>
        <v>265.77777777777771</v>
      </c>
      <c r="I27" s="256">
        <f t="shared" si="7"/>
        <v>132.88888888888886</v>
      </c>
      <c r="J27" s="256">
        <f t="shared" si="8"/>
        <v>216.66666666666666</v>
      </c>
      <c r="K27" s="256">
        <f t="shared" si="9"/>
        <v>216.66666666666666</v>
      </c>
      <c r="L27" s="256">
        <f t="shared" si="10"/>
        <v>72.222222222222214</v>
      </c>
      <c r="M27" s="256">
        <f t="shared" si="11"/>
        <v>216.66666666666666</v>
      </c>
      <c r="N27" s="255">
        <v>0</v>
      </c>
      <c r="O27" s="256">
        <v>0</v>
      </c>
      <c r="P27" s="256">
        <f t="shared" si="15"/>
        <v>30.333333333333332</v>
      </c>
      <c r="Q27" s="256">
        <f t="shared" si="16"/>
        <v>6.0666666666666664</v>
      </c>
      <c r="R27" s="256">
        <v>0</v>
      </c>
      <c r="S27" s="257">
        <v>0</v>
      </c>
      <c r="T27" s="256">
        <v>0</v>
      </c>
      <c r="U27" s="258">
        <f t="shared" si="1"/>
        <v>2114.088888888889</v>
      </c>
      <c r="V27" s="256">
        <v>93.06</v>
      </c>
      <c r="W27" s="256">
        <v>500</v>
      </c>
      <c r="X27" s="256">
        <v>53.31</v>
      </c>
      <c r="Y27" s="256">
        <v>5.0599999999999996</v>
      </c>
      <c r="Z27" s="256">
        <v>17.5</v>
      </c>
      <c r="AA27" s="256">
        <v>23.65</v>
      </c>
      <c r="AB27" s="256">
        <v>218.1</v>
      </c>
      <c r="AC27" s="189">
        <f t="shared" si="2"/>
        <v>910.67999999999984</v>
      </c>
      <c r="AD27" s="259">
        <f t="shared" si="3"/>
        <v>5624.7688888888897</v>
      </c>
    </row>
    <row r="28" spans="1:30" s="160" customFormat="1">
      <c r="A28" s="250">
        <v>23</v>
      </c>
      <c r="B28" s="251" t="s">
        <v>428</v>
      </c>
      <c r="C28" s="252">
        <v>1</v>
      </c>
      <c r="D28" s="253">
        <v>1750</v>
      </c>
      <c r="E28" s="254">
        <f t="shared" si="0"/>
        <v>1750</v>
      </c>
      <c r="F28" s="255">
        <f t="shared" si="4"/>
        <v>621.63888888888903</v>
      </c>
      <c r="G28" s="256">
        <f t="shared" si="5"/>
        <v>22.361111111111114</v>
      </c>
      <c r="H28" s="256">
        <f t="shared" si="6"/>
        <v>178.88888888888891</v>
      </c>
      <c r="I28" s="256">
        <f t="shared" si="7"/>
        <v>89.444444444444457</v>
      </c>
      <c r="J28" s="256">
        <f t="shared" si="8"/>
        <v>145.83333333333334</v>
      </c>
      <c r="K28" s="256">
        <f t="shared" si="9"/>
        <v>145.83333333333334</v>
      </c>
      <c r="L28" s="256">
        <f t="shared" si="10"/>
        <v>48.611111111111114</v>
      </c>
      <c r="M28" s="256">
        <f t="shared" si="11"/>
        <v>145.83333333333334</v>
      </c>
      <c r="N28" s="255">
        <v>0</v>
      </c>
      <c r="O28" s="256">
        <v>0</v>
      </c>
      <c r="P28" s="256">
        <f t="shared" si="15"/>
        <v>20.416666666666664</v>
      </c>
      <c r="Q28" s="256">
        <f t="shared" si="16"/>
        <v>4.083333333333333</v>
      </c>
      <c r="R28" s="256">
        <v>0</v>
      </c>
      <c r="S28" s="257">
        <v>0</v>
      </c>
      <c r="T28" s="256">
        <v>0</v>
      </c>
      <c r="U28" s="258">
        <f t="shared" si="1"/>
        <v>1422.9444444444443</v>
      </c>
      <c r="V28" s="256">
        <v>93.06</v>
      </c>
      <c r="W28" s="256">
        <v>500</v>
      </c>
      <c r="X28" s="256">
        <v>53.31</v>
      </c>
      <c r="Y28" s="256">
        <v>5.0599999999999996</v>
      </c>
      <c r="Z28" s="256">
        <v>17.5</v>
      </c>
      <c r="AA28" s="256">
        <v>23.65</v>
      </c>
      <c r="AB28" s="256">
        <v>218.1</v>
      </c>
      <c r="AC28" s="189">
        <f t="shared" si="2"/>
        <v>910.67999999999984</v>
      </c>
      <c r="AD28" s="259">
        <f t="shared" si="3"/>
        <v>4083.6244444444442</v>
      </c>
    </row>
    <row r="29" spans="1:30" s="160" customFormat="1">
      <c r="A29" s="250">
        <v>24</v>
      </c>
      <c r="B29" s="251" t="s">
        <v>429</v>
      </c>
      <c r="C29" s="252">
        <v>1</v>
      </c>
      <c r="D29" s="253">
        <v>1642</v>
      </c>
      <c r="E29" s="254">
        <f t="shared" si="0"/>
        <v>1642</v>
      </c>
      <c r="F29" s="255">
        <f t="shared" si="4"/>
        <v>583.27488888888888</v>
      </c>
      <c r="G29" s="256">
        <f t="shared" si="5"/>
        <v>20.981111111111108</v>
      </c>
      <c r="H29" s="256">
        <f t="shared" si="6"/>
        <v>167.84888888888887</v>
      </c>
      <c r="I29" s="256">
        <f t="shared" si="7"/>
        <v>83.924444444444433</v>
      </c>
      <c r="J29" s="256">
        <f t="shared" si="8"/>
        <v>136.83333333333334</v>
      </c>
      <c r="K29" s="256">
        <f t="shared" si="9"/>
        <v>136.83333333333334</v>
      </c>
      <c r="L29" s="256">
        <f t="shared" si="10"/>
        <v>45.611111111111114</v>
      </c>
      <c r="M29" s="256">
        <f t="shared" si="11"/>
        <v>136.83333333333334</v>
      </c>
      <c r="N29" s="255">
        <v>0</v>
      </c>
      <c r="O29" s="256">
        <v>0</v>
      </c>
      <c r="P29" s="256">
        <f t="shared" si="15"/>
        <v>19.156666666666666</v>
      </c>
      <c r="Q29" s="256">
        <f t="shared" si="16"/>
        <v>3.8313333333333333</v>
      </c>
      <c r="R29" s="256">
        <v>0</v>
      </c>
      <c r="S29" s="257">
        <v>0</v>
      </c>
      <c r="T29" s="256">
        <v>0</v>
      </c>
      <c r="U29" s="258">
        <f t="shared" si="1"/>
        <v>1335.1284444444443</v>
      </c>
      <c r="V29" s="256">
        <v>93.06</v>
      </c>
      <c r="W29" s="256">
        <v>500</v>
      </c>
      <c r="X29" s="256">
        <v>53.31</v>
      </c>
      <c r="Y29" s="256">
        <v>5.0599999999999996</v>
      </c>
      <c r="Z29" s="256">
        <v>17.5</v>
      </c>
      <c r="AA29" s="256">
        <v>23.65</v>
      </c>
      <c r="AB29" s="256">
        <v>218.1</v>
      </c>
      <c r="AC29" s="189">
        <f t="shared" si="2"/>
        <v>910.67999999999984</v>
      </c>
      <c r="AD29" s="259">
        <f t="shared" si="3"/>
        <v>3887.8084444444444</v>
      </c>
    </row>
    <row r="30" spans="1:30" s="160" customFormat="1">
      <c r="A30" s="250">
        <v>25</v>
      </c>
      <c r="B30" s="251" t="s">
        <v>430</v>
      </c>
      <c r="C30" s="252">
        <v>1</v>
      </c>
      <c r="D30" s="253">
        <v>1385</v>
      </c>
      <c r="E30" s="254">
        <f t="shared" si="0"/>
        <v>1385</v>
      </c>
      <c r="F30" s="255">
        <f t="shared" si="4"/>
        <v>491.98277777777787</v>
      </c>
      <c r="G30" s="256">
        <f t="shared" si="5"/>
        <v>17.697222222222223</v>
      </c>
      <c r="H30" s="256">
        <f t="shared" si="6"/>
        <v>141.57777777777778</v>
      </c>
      <c r="I30" s="256">
        <f t="shared" si="7"/>
        <v>70.788888888888891</v>
      </c>
      <c r="J30" s="256">
        <f t="shared" si="8"/>
        <v>115.41666666666667</v>
      </c>
      <c r="K30" s="256">
        <f t="shared" si="9"/>
        <v>115.41666666666667</v>
      </c>
      <c r="L30" s="256">
        <f t="shared" si="10"/>
        <v>38.472222222222221</v>
      </c>
      <c r="M30" s="256">
        <f t="shared" si="11"/>
        <v>115.41666666666667</v>
      </c>
      <c r="N30" s="255">
        <v>0</v>
      </c>
      <c r="O30" s="256">
        <v>0</v>
      </c>
      <c r="P30" s="256">
        <f t="shared" si="15"/>
        <v>16.158333333333331</v>
      </c>
      <c r="Q30" s="256">
        <f t="shared" si="16"/>
        <v>3.231666666666666</v>
      </c>
      <c r="R30" s="256">
        <v>0</v>
      </c>
      <c r="S30" s="257">
        <v>0</v>
      </c>
      <c r="T30" s="256">
        <v>0</v>
      </c>
      <c r="U30" s="258">
        <f t="shared" si="1"/>
        <v>1126.1588888888887</v>
      </c>
      <c r="V30" s="256">
        <v>93.06</v>
      </c>
      <c r="W30" s="256">
        <v>500</v>
      </c>
      <c r="X30" s="256">
        <v>53.31</v>
      </c>
      <c r="Y30" s="256">
        <v>5.0599999999999996</v>
      </c>
      <c r="Z30" s="256">
        <v>17.5</v>
      </c>
      <c r="AA30" s="256">
        <v>23.65</v>
      </c>
      <c r="AB30" s="256">
        <v>218.1</v>
      </c>
      <c r="AC30" s="189">
        <f t="shared" si="2"/>
        <v>910.67999999999984</v>
      </c>
      <c r="AD30" s="259">
        <f t="shared" si="3"/>
        <v>3421.8388888888885</v>
      </c>
    </row>
    <row r="31" spans="1:30" s="160" customFormat="1">
      <c r="A31" s="250">
        <v>26</v>
      </c>
      <c r="B31" s="251" t="s">
        <v>431</v>
      </c>
      <c r="C31" s="252">
        <v>1</v>
      </c>
      <c r="D31" s="253">
        <v>1452.39</v>
      </c>
      <c r="E31" s="254">
        <f t="shared" si="0"/>
        <v>1452.39</v>
      </c>
      <c r="F31" s="255">
        <f t="shared" si="4"/>
        <v>515.92120333333344</v>
      </c>
      <c r="G31" s="256">
        <f t="shared" si="5"/>
        <v>18.55831666666667</v>
      </c>
      <c r="H31" s="256">
        <f t="shared" si="6"/>
        <v>148.46653333333336</v>
      </c>
      <c r="I31" s="256">
        <f t="shared" si="7"/>
        <v>74.23326666666668</v>
      </c>
      <c r="J31" s="256">
        <f t="shared" si="8"/>
        <v>121.03250000000001</v>
      </c>
      <c r="K31" s="256">
        <f t="shared" si="9"/>
        <v>121.03250000000001</v>
      </c>
      <c r="L31" s="256">
        <f t="shared" si="10"/>
        <v>40.344166666666673</v>
      </c>
      <c r="M31" s="256">
        <f t="shared" si="11"/>
        <v>121.03250000000001</v>
      </c>
      <c r="N31" s="255">
        <v>0</v>
      </c>
      <c r="O31" s="256">
        <v>0</v>
      </c>
      <c r="P31" s="256">
        <f t="shared" si="15"/>
        <v>16.94455</v>
      </c>
      <c r="Q31" s="256">
        <f t="shared" si="16"/>
        <v>3.3889100000000001</v>
      </c>
      <c r="R31" s="256">
        <v>0</v>
      </c>
      <c r="S31" s="257">
        <v>0</v>
      </c>
      <c r="T31" s="256">
        <v>0</v>
      </c>
      <c r="U31" s="258">
        <f t="shared" si="1"/>
        <v>1180.9544466666669</v>
      </c>
      <c r="V31" s="256">
        <v>93.06</v>
      </c>
      <c r="W31" s="256">
        <v>500</v>
      </c>
      <c r="X31" s="256">
        <v>53.31</v>
      </c>
      <c r="Y31" s="256">
        <v>5.0599999999999996</v>
      </c>
      <c r="Z31" s="256">
        <v>17.5</v>
      </c>
      <c r="AA31" s="256">
        <v>23.65</v>
      </c>
      <c r="AB31" s="256">
        <v>218.1</v>
      </c>
      <c r="AC31" s="189">
        <f t="shared" si="2"/>
        <v>910.67999999999984</v>
      </c>
      <c r="AD31" s="259">
        <f t="shared" si="3"/>
        <v>3544.0244466666668</v>
      </c>
    </row>
    <row r="32" spans="1:30" s="160" customFormat="1">
      <c r="A32" s="250">
        <v>27</v>
      </c>
      <c r="B32" s="251" t="s">
        <v>435</v>
      </c>
      <c r="C32" s="252">
        <v>2</v>
      </c>
      <c r="D32" s="253">
        <v>1900</v>
      </c>
      <c r="E32" s="254">
        <f t="shared" si="0"/>
        <v>3800</v>
      </c>
      <c r="F32" s="255">
        <f t="shared" si="4"/>
        <v>1434.9433333333336</v>
      </c>
      <c r="G32" s="256">
        <f t="shared" si="5"/>
        <v>51.616666666666674</v>
      </c>
      <c r="H32" s="256">
        <f t="shared" si="6"/>
        <v>412.93333333333339</v>
      </c>
      <c r="I32" s="256">
        <f t="shared" si="7"/>
        <v>301.4666666666667</v>
      </c>
      <c r="J32" s="256">
        <f t="shared" si="8"/>
        <v>332.5</v>
      </c>
      <c r="K32" s="256">
        <f t="shared" si="9"/>
        <v>332.5</v>
      </c>
      <c r="L32" s="256">
        <f t="shared" si="10"/>
        <v>174.16666666666666</v>
      </c>
      <c r="M32" s="256">
        <f t="shared" si="11"/>
        <v>332.5</v>
      </c>
      <c r="N32" s="255">
        <v>0</v>
      </c>
      <c r="O32" s="256">
        <v>0</v>
      </c>
      <c r="P32" s="256">
        <f>(R32+E32)/210*1.75*1.2</f>
        <v>49.400000000000006</v>
      </c>
      <c r="Q32" s="256">
        <f>P32/6</f>
        <v>8.2333333333333343</v>
      </c>
      <c r="R32" s="256">
        <f>E32*30%</f>
        <v>1140</v>
      </c>
      <c r="S32" s="257">
        <v>190</v>
      </c>
      <c r="T32" s="256">
        <f>(E32+R32+N32+O32)/30*2</f>
        <v>329.33333333333331</v>
      </c>
      <c r="U32" s="258">
        <f t="shared" si="1"/>
        <v>5089.5933333333332</v>
      </c>
      <c r="V32" s="256">
        <v>63.45</v>
      </c>
      <c r="W32" s="256">
        <v>500</v>
      </c>
      <c r="X32" s="256">
        <v>53.31</v>
      </c>
      <c r="Y32" s="256">
        <v>5.0599999999999996</v>
      </c>
      <c r="Z32" s="256">
        <v>17.5</v>
      </c>
      <c r="AA32" s="256">
        <v>23.65</v>
      </c>
      <c r="AB32" s="256">
        <v>218.1</v>
      </c>
      <c r="AC32" s="189">
        <f t="shared" si="2"/>
        <v>881.06999999999994</v>
      </c>
      <c r="AD32" s="259">
        <f t="shared" si="3"/>
        <v>9770.6633333333339</v>
      </c>
    </row>
    <row r="33" spans="1:30" s="160" customFormat="1">
      <c r="A33" s="250">
        <v>28</v>
      </c>
      <c r="B33" s="251" t="s">
        <v>432</v>
      </c>
      <c r="C33" s="252">
        <v>12</v>
      </c>
      <c r="D33" s="253">
        <v>1900</v>
      </c>
      <c r="E33" s="254">
        <f t="shared" si="0"/>
        <v>22800</v>
      </c>
      <c r="F33" s="255">
        <f t="shared" si="4"/>
        <v>8099.0666666666666</v>
      </c>
      <c r="G33" s="256">
        <f t="shared" si="5"/>
        <v>291.33333333333331</v>
      </c>
      <c r="H33" s="256">
        <f t="shared" si="6"/>
        <v>2330.6666666666665</v>
      </c>
      <c r="I33" s="256">
        <f t="shared" si="7"/>
        <v>1165.3333333333333</v>
      </c>
      <c r="J33" s="256">
        <f t="shared" si="8"/>
        <v>1900</v>
      </c>
      <c r="K33" s="256">
        <f t="shared" si="9"/>
        <v>1900</v>
      </c>
      <c r="L33" s="256">
        <f t="shared" si="10"/>
        <v>633.33333333333337</v>
      </c>
      <c r="M33" s="256">
        <f t="shared" si="11"/>
        <v>1900</v>
      </c>
      <c r="N33" s="255">
        <v>0</v>
      </c>
      <c r="O33" s="256">
        <v>0</v>
      </c>
      <c r="P33" s="256">
        <f>(R33+E33)/210*1.75*1.2</f>
        <v>296.39999999999998</v>
      </c>
      <c r="Q33" s="256">
        <f>P33/6</f>
        <v>49.4</v>
      </c>
      <c r="R33" s="256">
        <f>E33*30%</f>
        <v>6840</v>
      </c>
      <c r="S33" s="257">
        <v>0</v>
      </c>
      <c r="T33" s="256">
        <f t="shared" ref="T33:T35" si="17">(E33+R33+N33+O33)/30*2</f>
        <v>1976</v>
      </c>
      <c r="U33" s="258">
        <f t="shared" si="1"/>
        <v>27381.533333333336</v>
      </c>
      <c r="V33" s="256">
        <v>63.45</v>
      </c>
      <c r="W33" s="256">
        <v>500</v>
      </c>
      <c r="X33" s="256">
        <v>53.31</v>
      </c>
      <c r="Y33" s="256">
        <v>5.0599999999999996</v>
      </c>
      <c r="Z33" s="256">
        <v>17.5</v>
      </c>
      <c r="AA33" s="256">
        <v>23.65</v>
      </c>
      <c r="AB33" s="256">
        <v>218.1</v>
      </c>
      <c r="AC33" s="189">
        <f t="shared" si="2"/>
        <v>881.06999999999994</v>
      </c>
      <c r="AD33" s="259">
        <f t="shared" si="3"/>
        <v>51062.60333333334</v>
      </c>
    </row>
    <row r="34" spans="1:30" s="160" customFormat="1">
      <c r="A34" s="250">
        <v>29</v>
      </c>
      <c r="B34" s="251" t="s">
        <v>433</v>
      </c>
      <c r="C34" s="252">
        <v>2</v>
      </c>
      <c r="D34" s="253">
        <v>1900</v>
      </c>
      <c r="E34" s="254">
        <f t="shared" si="0"/>
        <v>3800</v>
      </c>
      <c r="F34" s="255">
        <f t="shared" si="4"/>
        <v>1434.9433333333336</v>
      </c>
      <c r="G34" s="256">
        <f t="shared" si="5"/>
        <v>51.616666666666674</v>
      </c>
      <c r="H34" s="256">
        <f t="shared" si="6"/>
        <v>412.93333333333339</v>
      </c>
      <c r="I34" s="256">
        <f t="shared" si="7"/>
        <v>301.4666666666667</v>
      </c>
      <c r="J34" s="256">
        <f t="shared" si="8"/>
        <v>332.5</v>
      </c>
      <c r="K34" s="256">
        <f t="shared" si="9"/>
        <v>332.5</v>
      </c>
      <c r="L34" s="256">
        <f t="shared" si="10"/>
        <v>174.16666666666666</v>
      </c>
      <c r="M34" s="256">
        <f t="shared" si="11"/>
        <v>332.5</v>
      </c>
      <c r="N34" s="255">
        <f>(R34+E34)/210*20%*160</f>
        <v>752.76190476190482</v>
      </c>
      <c r="O34" s="256">
        <f>N34/6</f>
        <v>125.46031746031747</v>
      </c>
      <c r="P34" s="256">
        <f>(R34+E34)/210*1.75*1.2</f>
        <v>49.400000000000006</v>
      </c>
      <c r="Q34" s="256">
        <f>P34/6</f>
        <v>8.2333333333333343</v>
      </c>
      <c r="R34" s="256">
        <f>E34*30%</f>
        <v>1140</v>
      </c>
      <c r="S34" s="257">
        <v>190</v>
      </c>
      <c r="T34" s="256">
        <f t="shared" si="17"/>
        <v>387.88148148148144</v>
      </c>
      <c r="U34" s="258">
        <f t="shared" si="1"/>
        <v>6026.3637037037033</v>
      </c>
      <c r="V34" s="256">
        <v>63.45</v>
      </c>
      <c r="W34" s="256">
        <v>500</v>
      </c>
      <c r="X34" s="256">
        <v>53.31</v>
      </c>
      <c r="Y34" s="256">
        <v>5.0599999999999996</v>
      </c>
      <c r="Z34" s="256">
        <v>17.5</v>
      </c>
      <c r="AA34" s="256">
        <v>23.65</v>
      </c>
      <c r="AB34" s="256">
        <v>218.1</v>
      </c>
      <c r="AC34" s="189">
        <f t="shared" si="2"/>
        <v>881.06999999999994</v>
      </c>
      <c r="AD34" s="259">
        <f t="shared" si="3"/>
        <v>10707.433703703704</v>
      </c>
    </row>
    <row r="35" spans="1:30" s="160" customFormat="1">
      <c r="A35" s="250">
        <v>30</v>
      </c>
      <c r="B35" s="251" t="s">
        <v>434</v>
      </c>
      <c r="C35" s="252">
        <v>6</v>
      </c>
      <c r="D35" s="253">
        <v>1900</v>
      </c>
      <c r="E35" s="254">
        <f t="shared" si="0"/>
        <v>11400</v>
      </c>
      <c r="F35" s="255">
        <f t="shared" si="4"/>
        <v>4049.5333333333333</v>
      </c>
      <c r="G35" s="256">
        <f t="shared" si="5"/>
        <v>145.66666666666666</v>
      </c>
      <c r="H35" s="256">
        <f t="shared" si="6"/>
        <v>1165.3333333333333</v>
      </c>
      <c r="I35" s="256">
        <f t="shared" si="7"/>
        <v>582.66666666666663</v>
      </c>
      <c r="J35" s="256">
        <f t="shared" si="8"/>
        <v>950</v>
      </c>
      <c r="K35" s="256">
        <f t="shared" si="9"/>
        <v>950</v>
      </c>
      <c r="L35" s="256">
        <f t="shared" si="10"/>
        <v>316.66666666666669</v>
      </c>
      <c r="M35" s="256">
        <f t="shared" si="11"/>
        <v>950</v>
      </c>
      <c r="N35" s="255">
        <f>(R35+E35)/210*20%*160</f>
        <v>2258.2857142857142</v>
      </c>
      <c r="O35" s="256">
        <f>N35/6</f>
        <v>376.38095238095235</v>
      </c>
      <c r="P35" s="256">
        <f>(R35+E35)/210*1.75*1.2</f>
        <v>148.19999999999999</v>
      </c>
      <c r="Q35" s="256">
        <f>P35/6</f>
        <v>24.7</v>
      </c>
      <c r="R35" s="256">
        <f>E35*30%</f>
        <v>3420</v>
      </c>
      <c r="S35" s="257">
        <v>0</v>
      </c>
      <c r="T35" s="256">
        <f t="shared" si="17"/>
        <v>1163.6444444444446</v>
      </c>
      <c r="U35" s="258">
        <f t="shared" si="1"/>
        <v>16501.07777777778</v>
      </c>
      <c r="V35" s="256">
        <v>63.45</v>
      </c>
      <c r="W35" s="256">
        <v>500</v>
      </c>
      <c r="X35" s="256">
        <v>53.31</v>
      </c>
      <c r="Y35" s="256">
        <v>5.0599999999999996</v>
      </c>
      <c r="Z35" s="256">
        <v>17.5</v>
      </c>
      <c r="AA35" s="256">
        <v>23.65</v>
      </c>
      <c r="AB35" s="256">
        <v>218.1</v>
      </c>
      <c r="AC35" s="189">
        <f t="shared" si="2"/>
        <v>881.06999999999994</v>
      </c>
      <c r="AD35" s="259">
        <f t="shared" si="3"/>
        <v>28782.14777777778</v>
      </c>
    </row>
    <row r="36" spans="1:30" s="160" customFormat="1">
      <c r="A36" s="250">
        <v>31</v>
      </c>
      <c r="B36" s="251" t="s">
        <v>461</v>
      </c>
      <c r="C36" s="252">
        <v>1</v>
      </c>
      <c r="D36" s="253">
        <v>6500</v>
      </c>
      <c r="E36" s="254">
        <f t="shared" si="0"/>
        <v>6500</v>
      </c>
      <c r="F36" s="255">
        <f t="shared" si="4"/>
        <v>2308.9444444444448</v>
      </c>
      <c r="G36" s="256">
        <f t="shared" si="5"/>
        <v>83.055555555555571</v>
      </c>
      <c r="H36" s="256">
        <f t="shared" si="6"/>
        <v>664.44444444444457</v>
      </c>
      <c r="I36" s="256">
        <f t="shared" si="7"/>
        <v>332.22222222222229</v>
      </c>
      <c r="J36" s="256">
        <f t="shared" si="8"/>
        <v>541.66666666666663</v>
      </c>
      <c r="K36" s="256">
        <f t="shared" si="9"/>
        <v>541.66666666666663</v>
      </c>
      <c r="L36" s="256">
        <f t="shared" si="10"/>
        <v>180.55555555555554</v>
      </c>
      <c r="M36" s="256">
        <f t="shared" si="11"/>
        <v>541.66666666666663</v>
      </c>
      <c r="N36" s="255">
        <v>0</v>
      </c>
      <c r="O36" s="256">
        <v>0</v>
      </c>
      <c r="P36" s="256">
        <v>0</v>
      </c>
      <c r="Q36" s="256">
        <v>0</v>
      </c>
      <c r="R36" s="256">
        <v>0</v>
      </c>
      <c r="S36" s="257">
        <v>0</v>
      </c>
      <c r="T36" s="256">
        <v>0</v>
      </c>
      <c r="U36" s="258">
        <f t="shared" si="1"/>
        <v>5194.2222222222235</v>
      </c>
      <c r="V36" s="256">
        <v>0</v>
      </c>
      <c r="W36" s="256">
        <v>500</v>
      </c>
      <c r="X36" s="256">
        <v>53.31</v>
      </c>
      <c r="Y36" s="256">
        <v>5.0599999999999996</v>
      </c>
      <c r="Z36" s="256">
        <v>17.5</v>
      </c>
      <c r="AA36" s="256">
        <v>23.65</v>
      </c>
      <c r="AB36" s="256">
        <v>218.1</v>
      </c>
      <c r="AC36" s="189">
        <f t="shared" si="2"/>
        <v>817.61999999999989</v>
      </c>
      <c r="AD36" s="259">
        <f t="shared" si="3"/>
        <v>12511.842222222222</v>
      </c>
    </row>
    <row r="37" spans="1:30" s="160" customFormat="1">
      <c r="A37" s="250">
        <v>32</v>
      </c>
      <c r="B37" s="251" t="s">
        <v>422</v>
      </c>
      <c r="C37" s="252">
        <v>1</v>
      </c>
      <c r="D37" s="253">
        <v>3773.6</v>
      </c>
      <c r="E37" s="254">
        <f t="shared" si="0"/>
        <v>3773.6</v>
      </c>
      <c r="F37" s="255">
        <f t="shared" si="4"/>
        <v>1340.4665777777775</v>
      </c>
      <c r="G37" s="256">
        <f t="shared" si="5"/>
        <v>48.218222222222209</v>
      </c>
      <c r="H37" s="256">
        <f t="shared" si="6"/>
        <v>385.74577777777768</v>
      </c>
      <c r="I37" s="256">
        <f t="shared" si="7"/>
        <v>192.87288888888884</v>
      </c>
      <c r="J37" s="256">
        <f t="shared" si="8"/>
        <v>314.46666666666664</v>
      </c>
      <c r="K37" s="256">
        <f t="shared" si="9"/>
        <v>314.46666666666664</v>
      </c>
      <c r="L37" s="256">
        <f t="shared" si="10"/>
        <v>104.82222222222221</v>
      </c>
      <c r="M37" s="256">
        <f t="shared" si="11"/>
        <v>314.46666666666664</v>
      </c>
      <c r="N37" s="255">
        <v>0</v>
      </c>
      <c r="O37" s="256">
        <v>0</v>
      </c>
      <c r="P37" s="256">
        <v>0</v>
      </c>
      <c r="Q37" s="256">
        <v>0</v>
      </c>
      <c r="R37" s="256">
        <f>E37*30%</f>
        <v>1132.08</v>
      </c>
      <c r="S37" s="257">
        <v>0</v>
      </c>
      <c r="T37" s="256">
        <v>0</v>
      </c>
      <c r="U37" s="258">
        <f t="shared" si="1"/>
        <v>4147.6056888888888</v>
      </c>
      <c r="V37" s="256">
        <v>0</v>
      </c>
      <c r="W37" s="256">
        <v>500</v>
      </c>
      <c r="X37" s="256">
        <v>53.31</v>
      </c>
      <c r="Y37" s="256">
        <v>5.0599999999999996</v>
      </c>
      <c r="Z37" s="256">
        <v>17.5</v>
      </c>
      <c r="AA37" s="256">
        <v>23.65</v>
      </c>
      <c r="AB37" s="256">
        <v>218.1</v>
      </c>
      <c r="AC37" s="189">
        <f t="shared" si="2"/>
        <v>817.61999999999989</v>
      </c>
      <c r="AD37" s="259">
        <f t="shared" si="3"/>
        <v>8738.82568888889</v>
      </c>
    </row>
    <row r="38" spans="1:30" s="160" customFormat="1">
      <c r="A38" s="250">
        <v>33</v>
      </c>
      <c r="B38" s="251" t="s">
        <v>423</v>
      </c>
      <c r="C38" s="252">
        <v>1</v>
      </c>
      <c r="D38" s="253">
        <v>2600</v>
      </c>
      <c r="E38" s="254">
        <f t="shared" si="0"/>
        <v>2600</v>
      </c>
      <c r="F38" s="255">
        <f t="shared" si="4"/>
        <v>923.57777777777767</v>
      </c>
      <c r="G38" s="256">
        <f t="shared" si="5"/>
        <v>33.222222222222214</v>
      </c>
      <c r="H38" s="256">
        <f t="shared" si="6"/>
        <v>265.77777777777771</v>
      </c>
      <c r="I38" s="256">
        <f t="shared" si="7"/>
        <v>132.88888888888886</v>
      </c>
      <c r="J38" s="256">
        <f t="shared" si="8"/>
        <v>216.66666666666666</v>
      </c>
      <c r="K38" s="256">
        <f t="shared" si="9"/>
        <v>216.66666666666666</v>
      </c>
      <c r="L38" s="256">
        <f t="shared" si="10"/>
        <v>72.222222222222214</v>
      </c>
      <c r="M38" s="256">
        <f t="shared" si="11"/>
        <v>216.66666666666666</v>
      </c>
      <c r="N38" s="255">
        <v>0</v>
      </c>
      <c r="O38" s="256">
        <v>0</v>
      </c>
      <c r="P38" s="256">
        <f>E38/150*1.75</f>
        <v>30.333333333333332</v>
      </c>
      <c r="Q38" s="256">
        <f>P38/25*5</f>
        <v>6.0666666666666664</v>
      </c>
      <c r="R38" s="256">
        <v>0</v>
      </c>
      <c r="S38" s="257">
        <v>0</v>
      </c>
      <c r="T38" s="256">
        <v>0</v>
      </c>
      <c r="U38" s="258">
        <f t="shared" si="1"/>
        <v>2114.088888888889</v>
      </c>
      <c r="V38" s="256">
        <v>99.26</v>
      </c>
      <c r="W38" s="256">
        <v>500</v>
      </c>
      <c r="X38" s="256">
        <v>53.31</v>
      </c>
      <c r="Y38" s="256">
        <v>5.0599999999999996</v>
      </c>
      <c r="Z38" s="256">
        <v>17.5</v>
      </c>
      <c r="AA38" s="256">
        <v>23.65</v>
      </c>
      <c r="AB38" s="256">
        <v>218.1</v>
      </c>
      <c r="AC38" s="189">
        <f t="shared" si="2"/>
        <v>916.87999999999988</v>
      </c>
      <c r="AD38" s="259">
        <f t="shared" si="3"/>
        <v>5630.9688888888895</v>
      </c>
    </row>
    <row r="39" spans="1:30" s="160" customFormat="1">
      <c r="A39" s="250">
        <v>34</v>
      </c>
      <c r="B39" s="251" t="s">
        <v>424</v>
      </c>
      <c r="C39" s="252">
        <v>1</v>
      </c>
      <c r="D39" s="253">
        <v>2600</v>
      </c>
      <c r="E39" s="254">
        <f t="shared" si="0"/>
        <v>2600</v>
      </c>
      <c r="F39" s="255">
        <f t="shared" si="4"/>
        <v>923.57777777777767</v>
      </c>
      <c r="G39" s="256">
        <f t="shared" si="5"/>
        <v>33.222222222222214</v>
      </c>
      <c r="H39" s="256">
        <f t="shared" si="6"/>
        <v>265.77777777777771</v>
      </c>
      <c r="I39" s="256">
        <f t="shared" si="7"/>
        <v>132.88888888888886</v>
      </c>
      <c r="J39" s="256">
        <f t="shared" si="8"/>
        <v>216.66666666666666</v>
      </c>
      <c r="K39" s="256">
        <f t="shared" si="9"/>
        <v>216.66666666666666</v>
      </c>
      <c r="L39" s="256">
        <f t="shared" si="10"/>
        <v>72.222222222222214</v>
      </c>
      <c r="M39" s="256">
        <f t="shared" si="11"/>
        <v>216.66666666666666</v>
      </c>
      <c r="N39" s="255">
        <v>0</v>
      </c>
      <c r="O39" s="256">
        <v>0</v>
      </c>
      <c r="P39" s="256">
        <f t="shared" ref="P39:P46" si="18">E39/150*1.75</f>
        <v>30.333333333333332</v>
      </c>
      <c r="Q39" s="256">
        <f t="shared" ref="Q39:Q46" si="19">P39/25*5</f>
        <v>6.0666666666666664</v>
      </c>
      <c r="R39" s="256">
        <v>0</v>
      </c>
      <c r="S39" s="257">
        <v>0</v>
      </c>
      <c r="T39" s="256">
        <v>0</v>
      </c>
      <c r="U39" s="258">
        <f t="shared" si="1"/>
        <v>2114.088888888889</v>
      </c>
      <c r="V39" s="256">
        <v>99.26</v>
      </c>
      <c r="W39" s="256">
        <v>500</v>
      </c>
      <c r="X39" s="256">
        <v>53.31</v>
      </c>
      <c r="Y39" s="256">
        <v>5.0599999999999996</v>
      </c>
      <c r="Z39" s="256">
        <v>17.5</v>
      </c>
      <c r="AA39" s="256">
        <v>23.65</v>
      </c>
      <c r="AB39" s="256">
        <v>218.1</v>
      </c>
      <c r="AC39" s="189">
        <f t="shared" si="2"/>
        <v>916.87999999999988</v>
      </c>
      <c r="AD39" s="259">
        <f t="shared" si="3"/>
        <v>5630.9688888888895</v>
      </c>
    </row>
    <row r="40" spans="1:30" s="160" customFormat="1">
      <c r="A40" s="250">
        <v>35</v>
      </c>
      <c r="B40" s="251" t="s">
        <v>425</v>
      </c>
      <c r="C40" s="252">
        <v>1</v>
      </c>
      <c r="D40" s="253">
        <v>2600</v>
      </c>
      <c r="E40" s="254">
        <f t="shared" si="0"/>
        <v>2600</v>
      </c>
      <c r="F40" s="255">
        <f t="shared" si="4"/>
        <v>923.57777777777767</v>
      </c>
      <c r="G40" s="256">
        <f t="shared" si="5"/>
        <v>33.222222222222214</v>
      </c>
      <c r="H40" s="256">
        <f t="shared" si="6"/>
        <v>265.77777777777771</v>
      </c>
      <c r="I40" s="256">
        <f t="shared" si="7"/>
        <v>132.88888888888886</v>
      </c>
      <c r="J40" s="256">
        <f t="shared" si="8"/>
        <v>216.66666666666666</v>
      </c>
      <c r="K40" s="256">
        <f t="shared" si="9"/>
        <v>216.66666666666666</v>
      </c>
      <c r="L40" s="256">
        <f t="shared" si="10"/>
        <v>72.222222222222214</v>
      </c>
      <c r="M40" s="256">
        <f t="shared" si="11"/>
        <v>216.66666666666666</v>
      </c>
      <c r="N40" s="255">
        <v>0</v>
      </c>
      <c r="O40" s="256">
        <v>0</v>
      </c>
      <c r="P40" s="256">
        <f t="shared" si="18"/>
        <v>30.333333333333332</v>
      </c>
      <c r="Q40" s="256">
        <f t="shared" si="19"/>
        <v>6.0666666666666664</v>
      </c>
      <c r="R40" s="256">
        <v>0</v>
      </c>
      <c r="S40" s="257">
        <v>0</v>
      </c>
      <c r="T40" s="256">
        <v>0</v>
      </c>
      <c r="U40" s="258">
        <f t="shared" si="1"/>
        <v>2114.088888888889</v>
      </c>
      <c r="V40" s="256">
        <v>99.26</v>
      </c>
      <c r="W40" s="256">
        <v>500</v>
      </c>
      <c r="X40" s="256">
        <v>53.31</v>
      </c>
      <c r="Y40" s="256">
        <v>5.0599999999999996</v>
      </c>
      <c r="Z40" s="256">
        <v>17.5</v>
      </c>
      <c r="AA40" s="256">
        <v>23.65</v>
      </c>
      <c r="AB40" s="256">
        <v>218.1</v>
      </c>
      <c r="AC40" s="189">
        <f t="shared" si="2"/>
        <v>916.87999999999988</v>
      </c>
      <c r="AD40" s="259">
        <f t="shared" si="3"/>
        <v>5630.9688888888895</v>
      </c>
    </row>
    <row r="41" spans="1:30" s="160" customFormat="1">
      <c r="A41" s="250">
        <v>36</v>
      </c>
      <c r="B41" s="251" t="s">
        <v>426</v>
      </c>
      <c r="C41" s="252">
        <v>1</v>
      </c>
      <c r="D41" s="253">
        <v>2600</v>
      </c>
      <c r="E41" s="254">
        <f t="shared" si="0"/>
        <v>2600</v>
      </c>
      <c r="F41" s="255">
        <f t="shared" si="4"/>
        <v>923.57777777777767</v>
      </c>
      <c r="G41" s="256">
        <f t="shared" si="5"/>
        <v>33.222222222222214</v>
      </c>
      <c r="H41" s="256">
        <f t="shared" si="6"/>
        <v>265.77777777777771</v>
      </c>
      <c r="I41" s="256">
        <f t="shared" si="7"/>
        <v>132.88888888888886</v>
      </c>
      <c r="J41" s="256">
        <f t="shared" si="8"/>
        <v>216.66666666666666</v>
      </c>
      <c r="K41" s="256">
        <f t="shared" si="9"/>
        <v>216.66666666666666</v>
      </c>
      <c r="L41" s="256">
        <f t="shared" si="10"/>
        <v>72.222222222222214</v>
      </c>
      <c r="M41" s="256">
        <f t="shared" si="11"/>
        <v>216.66666666666666</v>
      </c>
      <c r="N41" s="255">
        <v>0</v>
      </c>
      <c r="O41" s="256">
        <v>0</v>
      </c>
      <c r="P41" s="256">
        <f t="shared" si="18"/>
        <v>30.333333333333332</v>
      </c>
      <c r="Q41" s="256">
        <f t="shared" si="19"/>
        <v>6.0666666666666664</v>
      </c>
      <c r="R41" s="256">
        <v>0</v>
      </c>
      <c r="S41" s="257">
        <v>0</v>
      </c>
      <c r="T41" s="256">
        <v>0</v>
      </c>
      <c r="U41" s="258">
        <f t="shared" si="1"/>
        <v>2114.088888888889</v>
      </c>
      <c r="V41" s="256">
        <v>99.26</v>
      </c>
      <c r="W41" s="256">
        <v>500</v>
      </c>
      <c r="X41" s="256">
        <v>53.31</v>
      </c>
      <c r="Y41" s="256">
        <v>5.0599999999999996</v>
      </c>
      <c r="Z41" s="256">
        <v>17.5</v>
      </c>
      <c r="AA41" s="256">
        <v>23.65</v>
      </c>
      <c r="AB41" s="256">
        <v>218.1</v>
      </c>
      <c r="AC41" s="189">
        <f t="shared" si="2"/>
        <v>916.87999999999988</v>
      </c>
      <c r="AD41" s="259">
        <f t="shared" si="3"/>
        <v>5630.9688888888895</v>
      </c>
    </row>
    <row r="42" spans="1:30" s="160" customFormat="1">
      <c r="A42" s="250">
        <v>37</v>
      </c>
      <c r="B42" s="251" t="s">
        <v>427</v>
      </c>
      <c r="C42" s="252">
        <v>1</v>
      </c>
      <c r="D42" s="253">
        <v>2600</v>
      </c>
      <c r="E42" s="254">
        <f t="shared" si="0"/>
        <v>2600</v>
      </c>
      <c r="F42" s="255">
        <f t="shared" si="4"/>
        <v>923.57777777777767</v>
      </c>
      <c r="G42" s="256">
        <f t="shared" si="5"/>
        <v>33.222222222222214</v>
      </c>
      <c r="H42" s="256">
        <f t="shared" si="6"/>
        <v>265.77777777777771</v>
      </c>
      <c r="I42" s="256">
        <f t="shared" si="7"/>
        <v>132.88888888888886</v>
      </c>
      <c r="J42" s="256">
        <f t="shared" si="8"/>
        <v>216.66666666666666</v>
      </c>
      <c r="K42" s="256">
        <f t="shared" si="9"/>
        <v>216.66666666666666</v>
      </c>
      <c r="L42" s="256">
        <f t="shared" si="10"/>
        <v>72.222222222222214</v>
      </c>
      <c r="M42" s="256">
        <f t="shared" si="11"/>
        <v>216.66666666666666</v>
      </c>
      <c r="N42" s="255">
        <v>0</v>
      </c>
      <c r="O42" s="256">
        <v>0</v>
      </c>
      <c r="P42" s="256">
        <f t="shared" si="18"/>
        <v>30.333333333333332</v>
      </c>
      <c r="Q42" s="256">
        <f t="shared" si="19"/>
        <v>6.0666666666666664</v>
      </c>
      <c r="R42" s="256">
        <v>0</v>
      </c>
      <c r="S42" s="257">
        <v>0</v>
      </c>
      <c r="T42" s="256">
        <v>0</v>
      </c>
      <c r="U42" s="258">
        <f t="shared" si="1"/>
        <v>2114.088888888889</v>
      </c>
      <c r="V42" s="256">
        <v>99.26</v>
      </c>
      <c r="W42" s="256">
        <v>500</v>
      </c>
      <c r="X42" s="256">
        <v>53.31</v>
      </c>
      <c r="Y42" s="256">
        <v>5.0599999999999996</v>
      </c>
      <c r="Z42" s="256">
        <v>17.5</v>
      </c>
      <c r="AA42" s="256">
        <v>23.65</v>
      </c>
      <c r="AB42" s="256">
        <v>218.1</v>
      </c>
      <c r="AC42" s="189">
        <f t="shared" si="2"/>
        <v>916.87999999999988</v>
      </c>
      <c r="AD42" s="259">
        <f t="shared" si="3"/>
        <v>5630.9688888888895</v>
      </c>
    </row>
    <row r="43" spans="1:30" s="160" customFormat="1">
      <c r="A43" s="250">
        <v>38</v>
      </c>
      <c r="B43" s="251" t="s">
        <v>428</v>
      </c>
      <c r="C43" s="252">
        <v>1</v>
      </c>
      <c r="D43" s="253">
        <v>1750</v>
      </c>
      <c r="E43" s="254">
        <f t="shared" si="0"/>
        <v>1750</v>
      </c>
      <c r="F43" s="255">
        <f t="shared" si="4"/>
        <v>621.63888888888903</v>
      </c>
      <c r="G43" s="256">
        <f t="shared" si="5"/>
        <v>22.361111111111114</v>
      </c>
      <c r="H43" s="256">
        <f t="shared" si="6"/>
        <v>178.88888888888891</v>
      </c>
      <c r="I43" s="256">
        <f t="shared" si="7"/>
        <v>89.444444444444457</v>
      </c>
      <c r="J43" s="256">
        <f t="shared" si="8"/>
        <v>145.83333333333334</v>
      </c>
      <c r="K43" s="256">
        <f t="shared" si="9"/>
        <v>145.83333333333334</v>
      </c>
      <c r="L43" s="256">
        <f t="shared" si="10"/>
        <v>48.611111111111114</v>
      </c>
      <c r="M43" s="256">
        <f t="shared" si="11"/>
        <v>145.83333333333334</v>
      </c>
      <c r="N43" s="255">
        <v>0</v>
      </c>
      <c r="O43" s="256">
        <v>0</v>
      </c>
      <c r="P43" s="256">
        <f t="shared" si="18"/>
        <v>20.416666666666664</v>
      </c>
      <c r="Q43" s="256">
        <f t="shared" si="19"/>
        <v>4.083333333333333</v>
      </c>
      <c r="R43" s="256">
        <v>0</v>
      </c>
      <c r="S43" s="257">
        <v>0</v>
      </c>
      <c r="T43" s="256">
        <v>0</v>
      </c>
      <c r="U43" s="258">
        <f t="shared" si="1"/>
        <v>1422.9444444444443</v>
      </c>
      <c r="V43" s="256">
        <v>99.26</v>
      </c>
      <c r="W43" s="256">
        <v>500</v>
      </c>
      <c r="X43" s="256">
        <v>53.31</v>
      </c>
      <c r="Y43" s="256">
        <v>5.0599999999999996</v>
      </c>
      <c r="Z43" s="256">
        <v>17.5</v>
      </c>
      <c r="AA43" s="256">
        <v>23.65</v>
      </c>
      <c r="AB43" s="256">
        <v>218.1</v>
      </c>
      <c r="AC43" s="189">
        <f t="shared" si="2"/>
        <v>916.87999999999988</v>
      </c>
      <c r="AD43" s="259">
        <f t="shared" si="3"/>
        <v>4089.8244444444445</v>
      </c>
    </row>
    <row r="44" spans="1:30" s="160" customFormat="1">
      <c r="A44" s="250">
        <v>39</v>
      </c>
      <c r="B44" s="251" t="s">
        <v>429</v>
      </c>
      <c r="C44" s="252">
        <v>1</v>
      </c>
      <c r="D44" s="253">
        <v>1642</v>
      </c>
      <c r="E44" s="254">
        <f t="shared" si="0"/>
        <v>1642</v>
      </c>
      <c r="F44" s="255">
        <f t="shared" si="4"/>
        <v>583.27488888888888</v>
      </c>
      <c r="G44" s="256">
        <f t="shared" si="5"/>
        <v>20.981111111111108</v>
      </c>
      <c r="H44" s="256">
        <f t="shared" si="6"/>
        <v>167.84888888888887</v>
      </c>
      <c r="I44" s="256">
        <f t="shared" si="7"/>
        <v>83.924444444444433</v>
      </c>
      <c r="J44" s="256">
        <f t="shared" si="8"/>
        <v>136.83333333333334</v>
      </c>
      <c r="K44" s="256">
        <f t="shared" si="9"/>
        <v>136.83333333333334</v>
      </c>
      <c r="L44" s="256">
        <f t="shared" si="10"/>
        <v>45.611111111111114</v>
      </c>
      <c r="M44" s="256">
        <f t="shared" si="11"/>
        <v>136.83333333333334</v>
      </c>
      <c r="N44" s="255">
        <v>0</v>
      </c>
      <c r="O44" s="256">
        <v>0</v>
      </c>
      <c r="P44" s="256">
        <f t="shared" si="18"/>
        <v>19.156666666666666</v>
      </c>
      <c r="Q44" s="256">
        <f t="shared" si="19"/>
        <v>3.8313333333333333</v>
      </c>
      <c r="R44" s="256">
        <v>0</v>
      </c>
      <c r="S44" s="257">
        <v>0</v>
      </c>
      <c r="T44" s="256">
        <v>0</v>
      </c>
      <c r="U44" s="258">
        <f t="shared" si="1"/>
        <v>1335.1284444444443</v>
      </c>
      <c r="V44" s="256">
        <v>99.26</v>
      </c>
      <c r="W44" s="256">
        <v>500</v>
      </c>
      <c r="X44" s="256">
        <v>53.31</v>
      </c>
      <c r="Y44" s="256">
        <v>5.0599999999999996</v>
      </c>
      <c r="Z44" s="256">
        <v>17.5</v>
      </c>
      <c r="AA44" s="256">
        <v>23.65</v>
      </c>
      <c r="AB44" s="256">
        <v>218.1</v>
      </c>
      <c r="AC44" s="189">
        <f t="shared" si="2"/>
        <v>916.87999999999988</v>
      </c>
      <c r="AD44" s="259">
        <f t="shared" si="3"/>
        <v>3894.0084444444446</v>
      </c>
    </row>
    <row r="45" spans="1:30" s="160" customFormat="1">
      <c r="A45" s="250">
        <v>40</v>
      </c>
      <c r="B45" s="251" t="s">
        <v>430</v>
      </c>
      <c r="C45" s="252">
        <v>1</v>
      </c>
      <c r="D45" s="253">
        <v>1385</v>
      </c>
      <c r="E45" s="254">
        <f t="shared" si="0"/>
        <v>1385</v>
      </c>
      <c r="F45" s="255">
        <f t="shared" si="4"/>
        <v>491.98277777777787</v>
      </c>
      <c r="G45" s="256">
        <f t="shared" si="5"/>
        <v>17.697222222222223</v>
      </c>
      <c r="H45" s="256">
        <f t="shared" si="6"/>
        <v>141.57777777777778</v>
      </c>
      <c r="I45" s="256">
        <f t="shared" si="7"/>
        <v>70.788888888888891</v>
      </c>
      <c r="J45" s="256">
        <f t="shared" si="8"/>
        <v>115.41666666666667</v>
      </c>
      <c r="K45" s="256">
        <f t="shared" si="9"/>
        <v>115.41666666666667</v>
      </c>
      <c r="L45" s="256">
        <f t="shared" si="10"/>
        <v>38.472222222222221</v>
      </c>
      <c r="M45" s="256">
        <f t="shared" si="11"/>
        <v>115.41666666666667</v>
      </c>
      <c r="N45" s="255">
        <v>0</v>
      </c>
      <c r="O45" s="256">
        <v>0</v>
      </c>
      <c r="P45" s="256">
        <f t="shared" si="18"/>
        <v>16.158333333333331</v>
      </c>
      <c r="Q45" s="256">
        <f t="shared" si="19"/>
        <v>3.231666666666666</v>
      </c>
      <c r="R45" s="256">
        <v>0</v>
      </c>
      <c r="S45" s="257">
        <v>0</v>
      </c>
      <c r="T45" s="256">
        <v>0</v>
      </c>
      <c r="U45" s="258">
        <f t="shared" si="1"/>
        <v>1126.1588888888887</v>
      </c>
      <c r="V45" s="256">
        <v>99.26</v>
      </c>
      <c r="W45" s="256">
        <v>500</v>
      </c>
      <c r="X45" s="256">
        <v>53.31</v>
      </c>
      <c r="Y45" s="256">
        <v>5.0599999999999996</v>
      </c>
      <c r="Z45" s="256">
        <v>17.5</v>
      </c>
      <c r="AA45" s="256">
        <v>23.65</v>
      </c>
      <c r="AB45" s="256">
        <v>218.1</v>
      </c>
      <c r="AC45" s="189">
        <f t="shared" si="2"/>
        <v>916.87999999999988</v>
      </c>
      <c r="AD45" s="259">
        <f t="shared" si="3"/>
        <v>3428.0388888888883</v>
      </c>
    </row>
    <row r="46" spans="1:30" s="160" customFormat="1">
      <c r="A46" s="250">
        <v>41</v>
      </c>
      <c r="B46" s="251" t="s">
        <v>431</v>
      </c>
      <c r="C46" s="252">
        <v>1</v>
      </c>
      <c r="D46" s="253">
        <v>1452.39</v>
      </c>
      <c r="E46" s="254">
        <f t="shared" si="0"/>
        <v>1452.39</v>
      </c>
      <c r="F46" s="255">
        <f t="shared" si="4"/>
        <v>515.92120333333344</v>
      </c>
      <c r="G46" s="256">
        <f t="shared" si="5"/>
        <v>18.55831666666667</v>
      </c>
      <c r="H46" s="256">
        <f t="shared" si="6"/>
        <v>148.46653333333336</v>
      </c>
      <c r="I46" s="256">
        <f t="shared" si="7"/>
        <v>74.23326666666668</v>
      </c>
      <c r="J46" s="256">
        <f t="shared" si="8"/>
        <v>121.03250000000001</v>
      </c>
      <c r="K46" s="256">
        <f t="shared" si="9"/>
        <v>121.03250000000001</v>
      </c>
      <c r="L46" s="256">
        <f t="shared" si="10"/>
        <v>40.344166666666673</v>
      </c>
      <c r="M46" s="256">
        <f t="shared" si="11"/>
        <v>121.03250000000001</v>
      </c>
      <c r="N46" s="255">
        <v>0</v>
      </c>
      <c r="O46" s="256">
        <v>0</v>
      </c>
      <c r="P46" s="256">
        <f t="shared" si="18"/>
        <v>16.94455</v>
      </c>
      <c r="Q46" s="256">
        <f t="shared" si="19"/>
        <v>3.3889100000000001</v>
      </c>
      <c r="R46" s="256">
        <v>0</v>
      </c>
      <c r="S46" s="257">
        <v>0</v>
      </c>
      <c r="T46" s="256">
        <v>0</v>
      </c>
      <c r="U46" s="258">
        <f t="shared" si="1"/>
        <v>1180.9544466666669</v>
      </c>
      <c r="V46" s="256">
        <v>99.26</v>
      </c>
      <c r="W46" s="256">
        <v>500</v>
      </c>
      <c r="X46" s="256">
        <v>53.31</v>
      </c>
      <c r="Y46" s="256">
        <v>5.0599999999999996</v>
      </c>
      <c r="Z46" s="256">
        <v>17.5</v>
      </c>
      <c r="AA46" s="256">
        <v>23.65</v>
      </c>
      <c r="AB46" s="256">
        <v>218.1</v>
      </c>
      <c r="AC46" s="189">
        <f t="shared" si="2"/>
        <v>916.87999999999988</v>
      </c>
      <c r="AD46" s="259">
        <f t="shared" si="3"/>
        <v>3550.2244466666671</v>
      </c>
    </row>
    <row r="47" spans="1:30" s="160" customFormat="1">
      <c r="A47" s="250">
        <v>42</v>
      </c>
      <c r="B47" s="251" t="s">
        <v>435</v>
      </c>
      <c r="C47" s="252">
        <v>2</v>
      </c>
      <c r="D47" s="253">
        <v>1900</v>
      </c>
      <c r="E47" s="254">
        <f t="shared" si="0"/>
        <v>3800</v>
      </c>
      <c r="F47" s="255">
        <f t="shared" si="4"/>
        <v>1434.9433333333336</v>
      </c>
      <c r="G47" s="256">
        <f t="shared" si="5"/>
        <v>51.616666666666674</v>
      </c>
      <c r="H47" s="256">
        <f t="shared" si="6"/>
        <v>412.93333333333339</v>
      </c>
      <c r="I47" s="256">
        <f t="shared" si="7"/>
        <v>301.4666666666667</v>
      </c>
      <c r="J47" s="256">
        <f t="shared" si="8"/>
        <v>332.5</v>
      </c>
      <c r="K47" s="256">
        <f t="shared" si="9"/>
        <v>332.5</v>
      </c>
      <c r="L47" s="256">
        <f t="shared" si="10"/>
        <v>174.16666666666666</v>
      </c>
      <c r="M47" s="256">
        <f t="shared" si="11"/>
        <v>332.5</v>
      </c>
      <c r="N47" s="255">
        <v>0</v>
      </c>
      <c r="O47" s="256">
        <v>0</v>
      </c>
      <c r="P47" s="256">
        <f>(R47+E47)/210*1.75*1.2</f>
        <v>49.400000000000006</v>
      </c>
      <c r="Q47" s="256">
        <f>P47/6</f>
        <v>8.2333333333333343</v>
      </c>
      <c r="R47" s="256">
        <f>E47*30%</f>
        <v>1140</v>
      </c>
      <c r="S47" s="257">
        <v>190</v>
      </c>
      <c r="T47" s="256">
        <f>(E47+R47+N47+O47)/30*2</f>
        <v>329.33333333333331</v>
      </c>
      <c r="U47" s="258">
        <f t="shared" si="1"/>
        <v>5089.5933333333332</v>
      </c>
      <c r="V47" s="256">
        <v>67.680000000000007</v>
      </c>
      <c r="W47" s="256">
        <v>500</v>
      </c>
      <c r="X47" s="256">
        <v>53.31</v>
      </c>
      <c r="Y47" s="256">
        <v>5.0599999999999996</v>
      </c>
      <c r="Z47" s="256">
        <v>17.5</v>
      </c>
      <c r="AA47" s="256">
        <v>23.65</v>
      </c>
      <c r="AB47" s="256">
        <v>218.1</v>
      </c>
      <c r="AC47" s="189">
        <f t="shared" si="2"/>
        <v>885.3</v>
      </c>
      <c r="AD47" s="259">
        <f t="shared" si="3"/>
        <v>9774.8933333333334</v>
      </c>
    </row>
    <row r="48" spans="1:30" s="160" customFormat="1">
      <c r="A48" s="250">
        <v>43</v>
      </c>
      <c r="B48" s="251" t="s">
        <v>432</v>
      </c>
      <c r="C48" s="252">
        <v>12</v>
      </c>
      <c r="D48" s="253">
        <v>1900</v>
      </c>
      <c r="E48" s="254">
        <f t="shared" si="0"/>
        <v>22800</v>
      </c>
      <c r="F48" s="255">
        <f t="shared" si="4"/>
        <v>8099.0666666666666</v>
      </c>
      <c r="G48" s="256">
        <f t="shared" si="5"/>
        <v>291.33333333333331</v>
      </c>
      <c r="H48" s="256">
        <f t="shared" si="6"/>
        <v>2330.6666666666665</v>
      </c>
      <c r="I48" s="256">
        <f t="shared" si="7"/>
        <v>1165.3333333333333</v>
      </c>
      <c r="J48" s="256">
        <f t="shared" si="8"/>
        <v>1900</v>
      </c>
      <c r="K48" s="256">
        <f t="shared" si="9"/>
        <v>1900</v>
      </c>
      <c r="L48" s="256">
        <f t="shared" si="10"/>
        <v>633.33333333333337</v>
      </c>
      <c r="M48" s="256">
        <f t="shared" si="11"/>
        <v>1900</v>
      </c>
      <c r="N48" s="255">
        <v>0</v>
      </c>
      <c r="O48" s="256">
        <v>0</v>
      </c>
      <c r="P48" s="256">
        <f>(R48+E48)/210*1.75*1.2</f>
        <v>296.39999999999998</v>
      </c>
      <c r="Q48" s="256">
        <f>P48/6</f>
        <v>49.4</v>
      </c>
      <c r="R48" s="256">
        <f>E48*30%</f>
        <v>6840</v>
      </c>
      <c r="S48" s="257">
        <v>0</v>
      </c>
      <c r="T48" s="256">
        <f t="shared" ref="T48:T50" si="20">(E48+R48+N48+O48)/30*2</f>
        <v>1976</v>
      </c>
      <c r="U48" s="258">
        <f t="shared" si="1"/>
        <v>27381.533333333336</v>
      </c>
      <c r="V48" s="256">
        <v>67.680000000000007</v>
      </c>
      <c r="W48" s="256">
        <v>500</v>
      </c>
      <c r="X48" s="256">
        <v>53.31</v>
      </c>
      <c r="Y48" s="256">
        <v>5.0599999999999996</v>
      </c>
      <c r="Z48" s="256">
        <v>17.5</v>
      </c>
      <c r="AA48" s="256">
        <v>23.65</v>
      </c>
      <c r="AB48" s="256">
        <v>218.1</v>
      </c>
      <c r="AC48" s="189">
        <f t="shared" si="2"/>
        <v>885.3</v>
      </c>
      <c r="AD48" s="259">
        <f t="shared" si="3"/>
        <v>51066.833333333343</v>
      </c>
    </row>
    <row r="49" spans="1:30" s="160" customFormat="1">
      <c r="A49" s="250">
        <v>44</v>
      </c>
      <c r="B49" s="251" t="s">
        <v>433</v>
      </c>
      <c r="C49" s="252">
        <v>2</v>
      </c>
      <c r="D49" s="253">
        <v>1900</v>
      </c>
      <c r="E49" s="254">
        <f t="shared" si="0"/>
        <v>3800</v>
      </c>
      <c r="F49" s="255">
        <f t="shared" si="4"/>
        <v>1434.9433333333336</v>
      </c>
      <c r="G49" s="256">
        <f t="shared" si="5"/>
        <v>51.616666666666674</v>
      </c>
      <c r="H49" s="256">
        <f t="shared" si="6"/>
        <v>412.93333333333339</v>
      </c>
      <c r="I49" s="256">
        <f t="shared" si="7"/>
        <v>301.4666666666667</v>
      </c>
      <c r="J49" s="256">
        <f t="shared" si="8"/>
        <v>332.5</v>
      </c>
      <c r="K49" s="256">
        <f t="shared" si="9"/>
        <v>332.5</v>
      </c>
      <c r="L49" s="256">
        <f t="shared" si="10"/>
        <v>174.16666666666666</v>
      </c>
      <c r="M49" s="256">
        <f t="shared" si="11"/>
        <v>332.5</v>
      </c>
      <c r="N49" s="255">
        <f>(R49+E49)/210*20%*160</f>
        <v>752.76190476190482</v>
      </c>
      <c r="O49" s="256">
        <f>N49/6</f>
        <v>125.46031746031747</v>
      </c>
      <c r="P49" s="256">
        <f>(R49+E49)/210*1.75*1.2</f>
        <v>49.400000000000006</v>
      </c>
      <c r="Q49" s="256">
        <f>P49/6</f>
        <v>8.2333333333333343</v>
      </c>
      <c r="R49" s="256">
        <f>E49*30%</f>
        <v>1140</v>
      </c>
      <c r="S49" s="257">
        <v>190</v>
      </c>
      <c r="T49" s="256">
        <f t="shared" si="20"/>
        <v>387.88148148148144</v>
      </c>
      <c r="U49" s="258">
        <f t="shared" si="1"/>
        <v>6026.3637037037033</v>
      </c>
      <c r="V49" s="256">
        <v>67.680000000000007</v>
      </c>
      <c r="W49" s="256">
        <v>500</v>
      </c>
      <c r="X49" s="256">
        <v>53.31</v>
      </c>
      <c r="Y49" s="256">
        <v>5.0599999999999996</v>
      </c>
      <c r="Z49" s="256">
        <v>17.5</v>
      </c>
      <c r="AA49" s="256">
        <v>23.65</v>
      </c>
      <c r="AB49" s="256">
        <v>218.1</v>
      </c>
      <c r="AC49" s="189">
        <f t="shared" si="2"/>
        <v>885.3</v>
      </c>
      <c r="AD49" s="259">
        <f t="shared" si="3"/>
        <v>10711.663703703704</v>
      </c>
    </row>
    <row r="50" spans="1:30" s="160" customFormat="1">
      <c r="A50" s="250">
        <v>45</v>
      </c>
      <c r="B50" s="251" t="s">
        <v>434</v>
      </c>
      <c r="C50" s="252">
        <v>6</v>
      </c>
      <c r="D50" s="253">
        <v>1900</v>
      </c>
      <c r="E50" s="254">
        <f t="shared" si="0"/>
        <v>11400</v>
      </c>
      <c r="F50" s="255">
        <f t="shared" si="4"/>
        <v>4049.5333333333333</v>
      </c>
      <c r="G50" s="256">
        <f t="shared" si="5"/>
        <v>145.66666666666666</v>
      </c>
      <c r="H50" s="256">
        <f t="shared" si="6"/>
        <v>1165.3333333333333</v>
      </c>
      <c r="I50" s="256">
        <f t="shared" si="7"/>
        <v>582.66666666666663</v>
      </c>
      <c r="J50" s="256">
        <f t="shared" si="8"/>
        <v>950</v>
      </c>
      <c r="K50" s="256">
        <f t="shared" si="9"/>
        <v>950</v>
      </c>
      <c r="L50" s="256">
        <f t="shared" si="10"/>
        <v>316.66666666666669</v>
      </c>
      <c r="M50" s="256">
        <f t="shared" si="11"/>
        <v>950</v>
      </c>
      <c r="N50" s="255">
        <f>(R50+E50)/210*20%*160</f>
        <v>2258.2857142857142</v>
      </c>
      <c r="O50" s="256">
        <f>N50/6</f>
        <v>376.38095238095235</v>
      </c>
      <c r="P50" s="256">
        <f>(R50+E50)/210*1.75*1.2</f>
        <v>148.19999999999999</v>
      </c>
      <c r="Q50" s="256">
        <f>P50/6</f>
        <v>24.7</v>
      </c>
      <c r="R50" s="256">
        <f>E50*30%</f>
        <v>3420</v>
      </c>
      <c r="S50" s="257">
        <v>0</v>
      </c>
      <c r="T50" s="256">
        <f t="shared" si="20"/>
        <v>1163.6444444444446</v>
      </c>
      <c r="U50" s="258">
        <f t="shared" si="1"/>
        <v>16501.07777777778</v>
      </c>
      <c r="V50" s="256">
        <v>67.680000000000007</v>
      </c>
      <c r="W50" s="256">
        <v>500</v>
      </c>
      <c r="X50" s="256">
        <v>53.31</v>
      </c>
      <c r="Y50" s="256">
        <v>5.0599999999999996</v>
      </c>
      <c r="Z50" s="256">
        <v>17.5</v>
      </c>
      <c r="AA50" s="256">
        <v>23.65</v>
      </c>
      <c r="AB50" s="256">
        <v>218.1</v>
      </c>
      <c r="AC50" s="189">
        <f t="shared" si="2"/>
        <v>885.3</v>
      </c>
      <c r="AD50" s="259">
        <f t="shared" si="3"/>
        <v>28786.37777777778</v>
      </c>
    </row>
    <row r="51" spans="1:30" s="160" customFormat="1">
      <c r="A51" s="250">
        <v>46</v>
      </c>
      <c r="B51" s="251" t="s">
        <v>461</v>
      </c>
      <c r="C51" s="252">
        <v>1</v>
      </c>
      <c r="D51" s="253">
        <v>6500</v>
      </c>
      <c r="E51" s="254">
        <f t="shared" si="0"/>
        <v>6500</v>
      </c>
      <c r="F51" s="255">
        <f t="shared" si="4"/>
        <v>2308.9444444444448</v>
      </c>
      <c r="G51" s="256">
        <f t="shared" si="5"/>
        <v>83.055555555555571</v>
      </c>
      <c r="H51" s="256">
        <f t="shared" si="6"/>
        <v>664.44444444444457</v>
      </c>
      <c r="I51" s="256">
        <f t="shared" si="7"/>
        <v>332.22222222222229</v>
      </c>
      <c r="J51" s="256">
        <f t="shared" si="8"/>
        <v>541.66666666666663</v>
      </c>
      <c r="K51" s="256">
        <f t="shared" si="9"/>
        <v>541.66666666666663</v>
      </c>
      <c r="L51" s="256">
        <f t="shared" si="10"/>
        <v>180.55555555555554</v>
      </c>
      <c r="M51" s="256">
        <f t="shared" si="11"/>
        <v>541.66666666666663</v>
      </c>
      <c r="N51" s="255">
        <v>0</v>
      </c>
      <c r="O51" s="256">
        <v>0</v>
      </c>
      <c r="P51" s="256">
        <v>0</v>
      </c>
      <c r="Q51" s="256">
        <v>0</v>
      </c>
      <c r="R51" s="256">
        <v>0</v>
      </c>
      <c r="S51" s="257">
        <v>0</v>
      </c>
      <c r="T51" s="256">
        <v>0</v>
      </c>
      <c r="U51" s="258">
        <f t="shared" si="1"/>
        <v>5194.2222222222235</v>
      </c>
      <c r="V51" s="256">
        <v>0</v>
      </c>
      <c r="W51" s="256">
        <v>500</v>
      </c>
      <c r="X51" s="256">
        <v>53.31</v>
      </c>
      <c r="Y51" s="256">
        <v>5.0599999999999996</v>
      </c>
      <c r="Z51" s="256">
        <v>17.5</v>
      </c>
      <c r="AA51" s="256">
        <v>23.65</v>
      </c>
      <c r="AB51" s="256">
        <v>218.1</v>
      </c>
      <c r="AC51" s="189">
        <f t="shared" si="2"/>
        <v>817.61999999999989</v>
      </c>
      <c r="AD51" s="259">
        <f t="shared" si="3"/>
        <v>12511.842222222222</v>
      </c>
    </row>
    <row r="52" spans="1:30" s="160" customFormat="1">
      <c r="A52" s="250">
        <v>47</v>
      </c>
      <c r="B52" s="251" t="s">
        <v>422</v>
      </c>
      <c r="C52" s="252">
        <v>1</v>
      </c>
      <c r="D52" s="253">
        <v>3773.6</v>
      </c>
      <c r="E52" s="254">
        <f t="shared" si="0"/>
        <v>3773.6</v>
      </c>
      <c r="F52" s="255">
        <f t="shared" si="4"/>
        <v>1340.4665777777775</v>
      </c>
      <c r="G52" s="256">
        <f t="shared" si="5"/>
        <v>48.218222222222209</v>
      </c>
      <c r="H52" s="256">
        <f t="shared" si="6"/>
        <v>385.74577777777768</v>
      </c>
      <c r="I52" s="256">
        <f t="shared" si="7"/>
        <v>192.87288888888884</v>
      </c>
      <c r="J52" s="256">
        <f t="shared" si="8"/>
        <v>314.46666666666664</v>
      </c>
      <c r="K52" s="256">
        <f t="shared" si="9"/>
        <v>314.46666666666664</v>
      </c>
      <c r="L52" s="256">
        <f t="shared" si="10"/>
        <v>104.82222222222221</v>
      </c>
      <c r="M52" s="256">
        <f t="shared" si="11"/>
        <v>314.46666666666664</v>
      </c>
      <c r="N52" s="255">
        <v>0</v>
      </c>
      <c r="O52" s="256">
        <v>0</v>
      </c>
      <c r="P52" s="256">
        <v>0</v>
      </c>
      <c r="Q52" s="256">
        <v>0</v>
      </c>
      <c r="R52" s="256">
        <f>E52*30%</f>
        <v>1132.08</v>
      </c>
      <c r="S52" s="257">
        <v>0</v>
      </c>
      <c r="T52" s="256">
        <v>0</v>
      </c>
      <c r="U52" s="258">
        <f t="shared" si="1"/>
        <v>4147.6056888888888</v>
      </c>
      <c r="V52" s="256">
        <v>0</v>
      </c>
      <c r="W52" s="256">
        <v>500</v>
      </c>
      <c r="X52" s="256">
        <v>53.31</v>
      </c>
      <c r="Y52" s="256">
        <v>5.0599999999999996</v>
      </c>
      <c r="Z52" s="256">
        <v>17.5</v>
      </c>
      <c r="AA52" s="256">
        <v>23.65</v>
      </c>
      <c r="AB52" s="256">
        <v>218.1</v>
      </c>
      <c r="AC52" s="189">
        <f t="shared" si="2"/>
        <v>817.61999999999989</v>
      </c>
      <c r="AD52" s="259">
        <f t="shared" si="3"/>
        <v>8738.82568888889</v>
      </c>
    </row>
    <row r="53" spans="1:30" s="160" customFormat="1">
      <c r="A53" s="250">
        <v>48</v>
      </c>
      <c r="B53" s="251" t="s">
        <v>423</v>
      </c>
      <c r="C53" s="252">
        <v>1</v>
      </c>
      <c r="D53" s="253">
        <v>2600</v>
      </c>
      <c r="E53" s="254">
        <f t="shared" si="0"/>
        <v>2600</v>
      </c>
      <c r="F53" s="255">
        <f t="shared" si="4"/>
        <v>923.57777777777767</v>
      </c>
      <c r="G53" s="256">
        <f t="shared" si="5"/>
        <v>33.222222222222214</v>
      </c>
      <c r="H53" s="256">
        <f t="shared" si="6"/>
        <v>265.77777777777771</v>
      </c>
      <c r="I53" s="256">
        <f t="shared" si="7"/>
        <v>132.88888888888886</v>
      </c>
      <c r="J53" s="256">
        <f t="shared" si="8"/>
        <v>216.66666666666666</v>
      </c>
      <c r="K53" s="256">
        <f t="shared" si="9"/>
        <v>216.66666666666666</v>
      </c>
      <c r="L53" s="256">
        <f t="shared" si="10"/>
        <v>72.222222222222214</v>
      </c>
      <c r="M53" s="256">
        <f t="shared" si="11"/>
        <v>216.66666666666666</v>
      </c>
      <c r="N53" s="255">
        <v>0</v>
      </c>
      <c r="O53" s="256">
        <v>0</v>
      </c>
      <c r="P53" s="256">
        <f>E53/150*1.75</f>
        <v>30.333333333333332</v>
      </c>
      <c r="Q53" s="256">
        <f>P53/25*5</f>
        <v>6.0666666666666664</v>
      </c>
      <c r="R53" s="256">
        <v>0</v>
      </c>
      <c r="S53" s="257">
        <v>0</v>
      </c>
      <c r="T53" s="256">
        <v>0</v>
      </c>
      <c r="U53" s="258">
        <f t="shared" si="1"/>
        <v>2114.088888888889</v>
      </c>
      <c r="V53" s="256">
        <v>105.47</v>
      </c>
      <c r="W53" s="256">
        <v>500</v>
      </c>
      <c r="X53" s="256">
        <v>53.31</v>
      </c>
      <c r="Y53" s="256">
        <v>5.0599999999999996</v>
      </c>
      <c r="Z53" s="256">
        <v>17.5</v>
      </c>
      <c r="AA53" s="256">
        <v>23.65</v>
      </c>
      <c r="AB53" s="256">
        <v>218.1</v>
      </c>
      <c r="AC53" s="189">
        <f t="shared" si="2"/>
        <v>923.08999999999992</v>
      </c>
      <c r="AD53" s="259">
        <f t="shared" si="3"/>
        <v>5637.1788888888896</v>
      </c>
    </row>
    <row r="54" spans="1:30" s="160" customFormat="1">
      <c r="A54" s="250">
        <v>49</v>
      </c>
      <c r="B54" s="251" t="s">
        <v>424</v>
      </c>
      <c r="C54" s="252">
        <v>1</v>
      </c>
      <c r="D54" s="253">
        <v>2600</v>
      </c>
      <c r="E54" s="254">
        <f t="shared" si="0"/>
        <v>2600</v>
      </c>
      <c r="F54" s="255">
        <f t="shared" si="4"/>
        <v>923.57777777777767</v>
      </c>
      <c r="G54" s="256">
        <f t="shared" si="5"/>
        <v>33.222222222222214</v>
      </c>
      <c r="H54" s="256">
        <f t="shared" si="6"/>
        <v>265.77777777777771</v>
      </c>
      <c r="I54" s="256">
        <f t="shared" si="7"/>
        <v>132.88888888888886</v>
      </c>
      <c r="J54" s="256">
        <f t="shared" si="8"/>
        <v>216.66666666666666</v>
      </c>
      <c r="K54" s="256">
        <f t="shared" si="9"/>
        <v>216.66666666666666</v>
      </c>
      <c r="L54" s="256">
        <f t="shared" si="10"/>
        <v>72.222222222222214</v>
      </c>
      <c r="M54" s="256">
        <f t="shared" si="11"/>
        <v>216.66666666666666</v>
      </c>
      <c r="N54" s="255">
        <v>0</v>
      </c>
      <c r="O54" s="256">
        <v>0</v>
      </c>
      <c r="P54" s="256">
        <f t="shared" ref="P54:P61" si="21">E54/150*1.75</f>
        <v>30.333333333333332</v>
      </c>
      <c r="Q54" s="256">
        <f t="shared" ref="Q54:Q61" si="22">P54/25*5</f>
        <v>6.0666666666666664</v>
      </c>
      <c r="R54" s="256">
        <v>0</v>
      </c>
      <c r="S54" s="257">
        <v>0</v>
      </c>
      <c r="T54" s="256">
        <v>0</v>
      </c>
      <c r="U54" s="258">
        <f t="shared" si="1"/>
        <v>2114.088888888889</v>
      </c>
      <c r="V54" s="256">
        <v>105.47</v>
      </c>
      <c r="W54" s="256">
        <v>500</v>
      </c>
      <c r="X54" s="256">
        <v>53.31</v>
      </c>
      <c r="Y54" s="256">
        <v>5.0599999999999996</v>
      </c>
      <c r="Z54" s="256">
        <v>17.5</v>
      </c>
      <c r="AA54" s="256">
        <v>23.65</v>
      </c>
      <c r="AB54" s="256">
        <v>218.1</v>
      </c>
      <c r="AC54" s="189">
        <f t="shared" si="2"/>
        <v>923.08999999999992</v>
      </c>
      <c r="AD54" s="259">
        <f t="shared" si="3"/>
        <v>5637.1788888888896</v>
      </c>
    </row>
    <row r="55" spans="1:30" s="160" customFormat="1">
      <c r="A55" s="250">
        <v>50</v>
      </c>
      <c r="B55" s="251" t="s">
        <v>425</v>
      </c>
      <c r="C55" s="252">
        <v>1</v>
      </c>
      <c r="D55" s="253">
        <v>2600</v>
      </c>
      <c r="E55" s="254">
        <f t="shared" si="0"/>
        <v>2600</v>
      </c>
      <c r="F55" s="255">
        <f t="shared" si="4"/>
        <v>923.57777777777767</v>
      </c>
      <c r="G55" s="256">
        <f t="shared" si="5"/>
        <v>33.222222222222214</v>
      </c>
      <c r="H55" s="256">
        <f t="shared" si="6"/>
        <v>265.77777777777771</v>
      </c>
      <c r="I55" s="256">
        <f t="shared" si="7"/>
        <v>132.88888888888886</v>
      </c>
      <c r="J55" s="256">
        <f t="shared" si="8"/>
        <v>216.66666666666666</v>
      </c>
      <c r="K55" s="256">
        <f t="shared" si="9"/>
        <v>216.66666666666666</v>
      </c>
      <c r="L55" s="256">
        <f t="shared" si="10"/>
        <v>72.222222222222214</v>
      </c>
      <c r="M55" s="256">
        <f t="shared" si="11"/>
        <v>216.66666666666666</v>
      </c>
      <c r="N55" s="255">
        <v>0</v>
      </c>
      <c r="O55" s="256">
        <v>0</v>
      </c>
      <c r="P55" s="256">
        <f t="shared" si="21"/>
        <v>30.333333333333332</v>
      </c>
      <c r="Q55" s="256">
        <f t="shared" si="22"/>
        <v>6.0666666666666664</v>
      </c>
      <c r="R55" s="256">
        <v>0</v>
      </c>
      <c r="S55" s="257">
        <v>0</v>
      </c>
      <c r="T55" s="256">
        <v>0</v>
      </c>
      <c r="U55" s="258">
        <f t="shared" si="1"/>
        <v>2114.088888888889</v>
      </c>
      <c r="V55" s="256">
        <v>105.47</v>
      </c>
      <c r="W55" s="256">
        <v>500</v>
      </c>
      <c r="X55" s="256">
        <v>53.31</v>
      </c>
      <c r="Y55" s="256">
        <v>5.0599999999999996</v>
      </c>
      <c r="Z55" s="256">
        <v>17.5</v>
      </c>
      <c r="AA55" s="256">
        <v>23.65</v>
      </c>
      <c r="AB55" s="256">
        <v>218.1</v>
      </c>
      <c r="AC55" s="189">
        <f t="shared" si="2"/>
        <v>923.08999999999992</v>
      </c>
      <c r="AD55" s="259">
        <f t="shared" si="3"/>
        <v>5637.1788888888896</v>
      </c>
    </row>
    <row r="56" spans="1:30" s="160" customFormat="1">
      <c r="A56" s="250">
        <v>51</v>
      </c>
      <c r="B56" s="251" t="s">
        <v>426</v>
      </c>
      <c r="C56" s="252">
        <v>1</v>
      </c>
      <c r="D56" s="253">
        <v>2600</v>
      </c>
      <c r="E56" s="254">
        <f t="shared" si="0"/>
        <v>2600</v>
      </c>
      <c r="F56" s="255">
        <f t="shared" si="4"/>
        <v>923.57777777777767</v>
      </c>
      <c r="G56" s="256">
        <f t="shared" si="5"/>
        <v>33.222222222222214</v>
      </c>
      <c r="H56" s="256">
        <f t="shared" si="6"/>
        <v>265.77777777777771</v>
      </c>
      <c r="I56" s="256">
        <f t="shared" si="7"/>
        <v>132.88888888888886</v>
      </c>
      <c r="J56" s="256">
        <f t="shared" si="8"/>
        <v>216.66666666666666</v>
      </c>
      <c r="K56" s="256">
        <f t="shared" si="9"/>
        <v>216.66666666666666</v>
      </c>
      <c r="L56" s="256">
        <f t="shared" si="10"/>
        <v>72.222222222222214</v>
      </c>
      <c r="M56" s="256">
        <f t="shared" si="11"/>
        <v>216.66666666666666</v>
      </c>
      <c r="N56" s="255">
        <v>0</v>
      </c>
      <c r="O56" s="256">
        <v>0</v>
      </c>
      <c r="P56" s="256">
        <f t="shared" si="21"/>
        <v>30.333333333333332</v>
      </c>
      <c r="Q56" s="256">
        <f t="shared" si="22"/>
        <v>6.0666666666666664</v>
      </c>
      <c r="R56" s="256">
        <v>0</v>
      </c>
      <c r="S56" s="257">
        <v>0</v>
      </c>
      <c r="T56" s="256">
        <v>0</v>
      </c>
      <c r="U56" s="258">
        <f t="shared" si="1"/>
        <v>2114.088888888889</v>
      </c>
      <c r="V56" s="256">
        <v>105.47</v>
      </c>
      <c r="W56" s="256">
        <v>500</v>
      </c>
      <c r="X56" s="256">
        <v>53.31</v>
      </c>
      <c r="Y56" s="256">
        <v>5.0599999999999996</v>
      </c>
      <c r="Z56" s="256">
        <v>17.5</v>
      </c>
      <c r="AA56" s="256">
        <v>23.65</v>
      </c>
      <c r="AB56" s="256">
        <v>218.1</v>
      </c>
      <c r="AC56" s="189">
        <f t="shared" si="2"/>
        <v>923.08999999999992</v>
      </c>
      <c r="AD56" s="259">
        <f t="shared" si="3"/>
        <v>5637.1788888888896</v>
      </c>
    </row>
    <row r="57" spans="1:30" s="160" customFormat="1">
      <c r="A57" s="250">
        <v>52</v>
      </c>
      <c r="B57" s="251" t="s">
        <v>427</v>
      </c>
      <c r="C57" s="252">
        <v>1</v>
      </c>
      <c r="D57" s="253">
        <v>2600</v>
      </c>
      <c r="E57" s="254">
        <f t="shared" si="0"/>
        <v>2600</v>
      </c>
      <c r="F57" s="255">
        <f t="shared" si="4"/>
        <v>923.57777777777767</v>
      </c>
      <c r="G57" s="256">
        <f t="shared" si="5"/>
        <v>33.222222222222214</v>
      </c>
      <c r="H57" s="256">
        <f t="shared" si="6"/>
        <v>265.77777777777771</v>
      </c>
      <c r="I57" s="256">
        <f t="shared" si="7"/>
        <v>132.88888888888886</v>
      </c>
      <c r="J57" s="256">
        <f t="shared" si="8"/>
        <v>216.66666666666666</v>
      </c>
      <c r="K57" s="256">
        <f t="shared" si="9"/>
        <v>216.66666666666666</v>
      </c>
      <c r="L57" s="256">
        <f t="shared" si="10"/>
        <v>72.222222222222214</v>
      </c>
      <c r="M57" s="256">
        <f t="shared" si="11"/>
        <v>216.66666666666666</v>
      </c>
      <c r="N57" s="255">
        <v>0</v>
      </c>
      <c r="O57" s="256">
        <v>0</v>
      </c>
      <c r="P57" s="256">
        <f t="shared" si="21"/>
        <v>30.333333333333332</v>
      </c>
      <c r="Q57" s="256">
        <f t="shared" si="22"/>
        <v>6.0666666666666664</v>
      </c>
      <c r="R57" s="256">
        <v>0</v>
      </c>
      <c r="S57" s="257">
        <v>0</v>
      </c>
      <c r="T57" s="256">
        <v>0</v>
      </c>
      <c r="U57" s="258">
        <f t="shared" si="1"/>
        <v>2114.088888888889</v>
      </c>
      <c r="V57" s="256">
        <v>105.47</v>
      </c>
      <c r="W57" s="256">
        <v>500</v>
      </c>
      <c r="X57" s="256">
        <v>53.31</v>
      </c>
      <c r="Y57" s="256">
        <v>5.0599999999999996</v>
      </c>
      <c r="Z57" s="256">
        <v>17.5</v>
      </c>
      <c r="AA57" s="256">
        <v>23.65</v>
      </c>
      <c r="AB57" s="256">
        <v>218.1</v>
      </c>
      <c r="AC57" s="189">
        <f t="shared" si="2"/>
        <v>923.08999999999992</v>
      </c>
      <c r="AD57" s="259">
        <f t="shared" si="3"/>
        <v>5637.1788888888896</v>
      </c>
    </row>
    <row r="58" spans="1:30" s="160" customFormat="1">
      <c r="A58" s="250">
        <v>53</v>
      </c>
      <c r="B58" s="251" t="s">
        <v>428</v>
      </c>
      <c r="C58" s="252">
        <v>1</v>
      </c>
      <c r="D58" s="253">
        <v>1750</v>
      </c>
      <c r="E58" s="254">
        <f t="shared" si="0"/>
        <v>1750</v>
      </c>
      <c r="F58" s="255">
        <f t="shared" si="4"/>
        <v>621.63888888888903</v>
      </c>
      <c r="G58" s="256">
        <f t="shared" si="5"/>
        <v>22.361111111111114</v>
      </c>
      <c r="H58" s="256">
        <f t="shared" si="6"/>
        <v>178.88888888888891</v>
      </c>
      <c r="I58" s="256">
        <f t="shared" si="7"/>
        <v>89.444444444444457</v>
      </c>
      <c r="J58" s="256">
        <f t="shared" si="8"/>
        <v>145.83333333333334</v>
      </c>
      <c r="K58" s="256">
        <f t="shared" si="9"/>
        <v>145.83333333333334</v>
      </c>
      <c r="L58" s="256">
        <f t="shared" si="10"/>
        <v>48.611111111111114</v>
      </c>
      <c r="M58" s="256">
        <f t="shared" si="11"/>
        <v>145.83333333333334</v>
      </c>
      <c r="N58" s="255">
        <v>0</v>
      </c>
      <c r="O58" s="256">
        <v>0</v>
      </c>
      <c r="P58" s="256">
        <f t="shared" si="21"/>
        <v>20.416666666666664</v>
      </c>
      <c r="Q58" s="256">
        <f t="shared" si="22"/>
        <v>4.083333333333333</v>
      </c>
      <c r="R58" s="256">
        <v>0</v>
      </c>
      <c r="S58" s="257">
        <v>0</v>
      </c>
      <c r="T58" s="256">
        <v>0</v>
      </c>
      <c r="U58" s="258">
        <f t="shared" si="1"/>
        <v>1422.9444444444443</v>
      </c>
      <c r="V58" s="256">
        <v>105.47</v>
      </c>
      <c r="W58" s="256">
        <v>500</v>
      </c>
      <c r="X58" s="256">
        <v>53.31</v>
      </c>
      <c r="Y58" s="256">
        <v>5.0599999999999996</v>
      </c>
      <c r="Z58" s="256">
        <v>17.5</v>
      </c>
      <c r="AA58" s="256">
        <v>23.65</v>
      </c>
      <c r="AB58" s="256">
        <v>218.1</v>
      </c>
      <c r="AC58" s="189">
        <f t="shared" si="2"/>
        <v>923.08999999999992</v>
      </c>
      <c r="AD58" s="259">
        <f t="shared" si="3"/>
        <v>4096.0344444444445</v>
      </c>
    </row>
    <row r="59" spans="1:30" s="160" customFormat="1">
      <c r="A59" s="250">
        <v>54</v>
      </c>
      <c r="B59" s="251" t="s">
        <v>429</v>
      </c>
      <c r="C59" s="252">
        <v>1</v>
      </c>
      <c r="D59" s="253">
        <v>1642</v>
      </c>
      <c r="E59" s="254">
        <f t="shared" si="0"/>
        <v>1642</v>
      </c>
      <c r="F59" s="255">
        <f t="shared" si="4"/>
        <v>583.27488888888888</v>
      </c>
      <c r="G59" s="256">
        <f t="shared" si="5"/>
        <v>20.981111111111108</v>
      </c>
      <c r="H59" s="256">
        <f t="shared" si="6"/>
        <v>167.84888888888887</v>
      </c>
      <c r="I59" s="256">
        <f t="shared" si="7"/>
        <v>83.924444444444433</v>
      </c>
      <c r="J59" s="256">
        <f t="shared" si="8"/>
        <v>136.83333333333334</v>
      </c>
      <c r="K59" s="256">
        <f t="shared" si="9"/>
        <v>136.83333333333334</v>
      </c>
      <c r="L59" s="256">
        <f t="shared" si="10"/>
        <v>45.611111111111114</v>
      </c>
      <c r="M59" s="256">
        <f t="shared" si="11"/>
        <v>136.83333333333334</v>
      </c>
      <c r="N59" s="255">
        <v>0</v>
      </c>
      <c r="O59" s="256">
        <v>0</v>
      </c>
      <c r="P59" s="256">
        <f t="shared" si="21"/>
        <v>19.156666666666666</v>
      </c>
      <c r="Q59" s="256">
        <f t="shared" si="22"/>
        <v>3.8313333333333333</v>
      </c>
      <c r="R59" s="256">
        <v>0</v>
      </c>
      <c r="S59" s="257">
        <v>0</v>
      </c>
      <c r="T59" s="256">
        <v>0</v>
      </c>
      <c r="U59" s="258">
        <f t="shared" si="1"/>
        <v>1335.1284444444443</v>
      </c>
      <c r="V59" s="256">
        <v>105.47</v>
      </c>
      <c r="W59" s="256">
        <v>500</v>
      </c>
      <c r="X59" s="256">
        <v>53.31</v>
      </c>
      <c r="Y59" s="256">
        <v>5.0599999999999996</v>
      </c>
      <c r="Z59" s="256">
        <v>17.5</v>
      </c>
      <c r="AA59" s="256">
        <v>23.65</v>
      </c>
      <c r="AB59" s="256">
        <v>218.1</v>
      </c>
      <c r="AC59" s="189">
        <f t="shared" si="2"/>
        <v>923.08999999999992</v>
      </c>
      <c r="AD59" s="259">
        <f t="shared" si="3"/>
        <v>3900.2184444444447</v>
      </c>
    </row>
    <row r="60" spans="1:30" s="160" customFormat="1">
      <c r="A60" s="250">
        <v>55</v>
      </c>
      <c r="B60" s="251" t="s">
        <v>430</v>
      </c>
      <c r="C60" s="252">
        <v>1</v>
      </c>
      <c r="D60" s="253">
        <v>1385</v>
      </c>
      <c r="E60" s="254">
        <f t="shared" si="0"/>
        <v>1385</v>
      </c>
      <c r="F60" s="255">
        <f t="shared" si="4"/>
        <v>491.98277777777787</v>
      </c>
      <c r="G60" s="256">
        <f t="shared" si="5"/>
        <v>17.697222222222223</v>
      </c>
      <c r="H60" s="256">
        <f t="shared" si="6"/>
        <v>141.57777777777778</v>
      </c>
      <c r="I60" s="256">
        <f t="shared" si="7"/>
        <v>70.788888888888891</v>
      </c>
      <c r="J60" s="256">
        <f t="shared" si="8"/>
        <v>115.41666666666667</v>
      </c>
      <c r="K60" s="256">
        <f t="shared" si="9"/>
        <v>115.41666666666667</v>
      </c>
      <c r="L60" s="256">
        <f t="shared" si="10"/>
        <v>38.472222222222221</v>
      </c>
      <c r="M60" s="256">
        <f t="shared" si="11"/>
        <v>115.41666666666667</v>
      </c>
      <c r="N60" s="255">
        <v>0</v>
      </c>
      <c r="O60" s="256">
        <v>0</v>
      </c>
      <c r="P60" s="256">
        <f t="shared" si="21"/>
        <v>16.158333333333331</v>
      </c>
      <c r="Q60" s="256">
        <f t="shared" si="22"/>
        <v>3.231666666666666</v>
      </c>
      <c r="R60" s="256">
        <v>0</v>
      </c>
      <c r="S60" s="257">
        <v>0</v>
      </c>
      <c r="T60" s="256">
        <v>0</v>
      </c>
      <c r="U60" s="258">
        <f t="shared" si="1"/>
        <v>1126.1588888888887</v>
      </c>
      <c r="V60" s="256">
        <v>105.47</v>
      </c>
      <c r="W60" s="256">
        <v>500</v>
      </c>
      <c r="X60" s="256">
        <v>53.31</v>
      </c>
      <c r="Y60" s="256">
        <v>5.0599999999999996</v>
      </c>
      <c r="Z60" s="256">
        <v>17.5</v>
      </c>
      <c r="AA60" s="256">
        <v>23.65</v>
      </c>
      <c r="AB60" s="256">
        <v>218.1</v>
      </c>
      <c r="AC60" s="189">
        <f t="shared" si="2"/>
        <v>923.08999999999992</v>
      </c>
      <c r="AD60" s="259">
        <f t="shared" si="3"/>
        <v>3434.2488888888884</v>
      </c>
    </row>
    <row r="61" spans="1:30" s="160" customFormat="1">
      <c r="A61" s="250">
        <v>56</v>
      </c>
      <c r="B61" s="251" t="s">
        <v>431</v>
      </c>
      <c r="C61" s="252">
        <v>1</v>
      </c>
      <c r="D61" s="253">
        <v>1452.39</v>
      </c>
      <c r="E61" s="254">
        <f t="shared" si="0"/>
        <v>1452.39</v>
      </c>
      <c r="F61" s="255">
        <f t="shared" si="4"/>
        <v>515.92120333333344</v>
      </c>
      <c r="G61" s="256">
        <f t="shared" si="5"/>
        <v>18.55831666666667</v>
      </c>
      <c r="H61" s="256">
        <f t="shared" si="6"/>
        <v>148.46653333333336</v>
      </c>
      <c r="I61" s="256">
        <f t="shared" si="7"/>
        <v>74.23326666666668</v>
      </c>
      <c r="J61" s="256">
        <f t="shared" si="8"/>
        <v>121.03250000000001</v>
      </c>
      <c r="K61" s="256">
        <f t="shared" si="9"/>
        <v>121.03250000000001</v>
      </c>
      <c r="L61" s="256">
        <f t="shared" si="10"/>
        <v>40.344166666666673</v>
      </c>
      <c r="M61" s="256">
        <f t="shared" si="11"/>
        <v>121.03250000000001</v>
      </c>
      <c r="N61" s="255">
        <v>0</v>
      </c>
      <c r="O61" s="256">
        <v>0</v>
      </c>
      <c r="P61" s="256">
        <f t="shared" si="21"/>
        <v>16.94455</v>
      </c>
      <c r="Q61" s="256">
        <f t="shared" si="22"/>
        <v>3.3889100000000001</v>
      </c>
      <c r="R61" s="256">
        <v>0</v>
      </c>
      <c r="S61" s="257">
        <v>0</v>
      </c>
      <c r="T61" s="256">
        <v>0</v>
      </c>
      <c r="U61" s="258">
        <f t="shared" si="1"/>
        <v>1180.9544466666669</v>
      </c>
      <c r="V61" s="256">
        <v>105.47</v>
      </c>
      <c r="W61" s="256">
        <v>500</v>
      </c>
      <c r="X61" s="256">
        <v>53.31</v>
      </c>
      <c r="Y61" s="256">
        <v>5.0599999999999996</v>
      </c>
      <c r="Z61" s="256">
        <v>17.5</v>
      </c>
      <c r="AA61" s="256">
        <v>23.65</v>
      </c>
      <c r="AB61" s="256">
        <v>218.1</v>
      </c>
      <c r="AC61" s="189">
        <f t="shared" si="2"/>
        <v>923.08999999999992</v>
      </c>
      <c r="AD61" s="259">
        <f t="shared" si="3"/>
        <v>3556.4344466666671</v>
      </c>
    </row>
    <row r="62" spans="1:30" s="160" customFormat="1">
      <c r="A62" s="250">
        <v>57</v>
      </c>
      <c r="B62" s="251" t="s">
        <v>435</v>
      </c>
      <c r="C62" s="252">
        <v>2</v>
      </c>
      <c r="D62" s="253">
        <v>1900</v>
      </c>
      <c r="E62" s="254">
        <f t="shared" si="0"/>
        <v>3800</v>
      </c>
      <c r="F62" s="255">
        <f t="shared" si="4"/>
        <v>1434.9433333333336</v>
      </c>
      <c r="G62" s="256">
        <f t="shared" si="5"/>
        <v>51.616666666666674</v>
      </c>
      <c r="H62" s="256">
        <f t="shared" si="6"/>
        <v>412.93333333333339</v>
      </c>
      <c r="I62" s="256">
        <f t="shared" si="7"/>
        <v>301.4666666666667</v>
      </c>
      <c r="J62" s="256">
        <f t="shared" si="8"/>
        <v>332.5</v>
      </c>
      <c r="K62" s="256">
        <f t="shared" si="9"/>
        <v>332.5</v>
      </c>
      <c r="L62" s="256">
        <f t="shared" si="10"/>
        <v>174.16666666666666</v>
      </c>
      <c r="M62" s="256">
        <f t="shared" si="11"/>
        <v>332.5</v>
      </c>
      <c r="N62" s="255">
        <v>0</v>
      </c>
      <c r="O62" s="256">
        <v>0</v>
      </c>
      <c r="P62" s="256">
        <f>(R62+E62)/210*1.75*1.2</f>
        <v>49.400000000000006</v>
      </c>
      <c r="Q62" s="256">
        <f>P62/6</f>
        <v>8.2333333333333343</v>
      </c>
      <c r="R62" s="256">
        <f>E62*30%</f>
        <v>1140</v>
      </c>
      <c r="S62" s="257">
        <v>190</v>
      </c>
      <c r="T62" s="256">
        <f>(E62+R62+N62+O62)/30*2</f>
        <v>329.33333333333331</v>
      </c>
      <c r="U62" s="258">
        <f t="shared" si="1"/>
        <v>5089.5933333333332</v>
      </c>
      <c r="V62" s="256">
        <v>71.91</v>
      </c>
      <c r="W62" s="256">
        <v>500</v>
      </c>
      <c r="X62" s="256">
        <v>53.31</v>
      </c>
      <c r="Y62" s="256">
        <v>5.0599999999999996</v>
      </c>
      <c r="Z62" s="256">
        <v>17.5</v>
      </c>
      <c r="AA62" s="256">
        <v>23.65</v>
      </c>
      <c r="AB62" s="256">
        <v>218.1</v>
      </c>
      <c r="AC62" s="189">
        <f t="shared" si="2"/>
        <v>889.53</v>
      </c>
      <c r="AD62" s="259">
        <f t="shared" si="3"/>
        <v>9779.1233333333348</v>
      </c>
    </row>
    <row r="63" spans="1:30" s="160" customFormat="1">
      <c r="A63" s="250">
        <v>58</v>
      </c>
      <c r="B63" s="251" t="s">
        <v>432</v>
      </c>
      <c r="C63" s="252">
        <v>12</v>
      </c>
      <c r="D63" s="253">
        <v>1900</v>
      </c>
      <c r="E63" s="254">
        <f t="shared" si="0"/>
        <v>22800</v>
      </c>
      <c r="F63" s="255">
        <f t="shared" si="4"/>
        <v>8099.0666666666666</v>
      </c>
      <c r="G63" s="256">
        <f t="shared" si="5"/>
        <v>291.33333333333331</v>
      </c>
      <c r="H63" s="256">
        <f t="shared" si="6"/>
        <v>2330.6666666666665</v>
      </c>
      <c r="I63" s="256">
        <f t="shared" si="7"/>
        <v>1165.3333333333333</v>
      </c>
      <c r="J63" s="256">
        <f t="shared" si="8"/>
        <v>1900</v>
      </c>
      <c r="K63" s="256">
        <f t="shared" si="9"/>
        <v>1900</v>
      </c>
      <c r="L63" s="256">
        <f t="shared" si="10"/>
        <v>633.33333333333337</v>
      </c>
      <c r="M63" s="256">
        <f t="shared" si="11"/>
        <v>1900</v>
      </c>
      <c r="N63" s="255">
        <v>0</v>
      </c>
      <c r="O63" s="256">
        <v>0</v>
      </c>
      <c r="P63" s="256">
        <f>(R63+E63)/210*1.75*1.2</f>
        <v>296.39999999999998</v>
      </c>
      <c r="Q63" s="256">
        <f>P63/6</f>
        <v>49.4</v>
      </c>
      <c r="R63" s="256">
        <f>E63*30%</f>
        <v>6840</v>
      </c>
      <c r="S63" s="257">
        <v>0</v>
      </c>
      <c r="T63" s="256">
        <f t="shared" ref="T63:T65" si="23">(E63+R63+N63+O63)/30*2</f>
        <v>1976</v>
      </c>
      <c r="U63" s="258">
        <f t="shared" si="1"/>
        <v>27381.533333333336</v>
      </c>
      <c r="V63" s="256">
        <v>71.91</v>
      </c>
      <c r="W63" s="256">
        <v>500</v>
      </c>
      <c r="X63" s="256">
        <v>53.31</v>
      </c>
      <c r="Y63" s="256">
        <v>5.0599999999999996</v>
      </c>
      <c r="Z63" s="256">
        <v>17.5</v>
      </c>
      <c r="AA63" s="256">
        <v>23.65</v>
      </c>
      <c r="AB63" s="256">
        <v>218.1</v>
      </c>
      <c r="AC63" s="189">
        <f t="shared" si="2"/>
        <v>889.53</v>
      </c>
      <c r="AD63" s="259">
        <f t="shared" si="3"/>
        <v>51071.063333333339</v>
      </c>
    </row>
    <row r="64" spans="1:30" s="160" customFormat="1">
      <c r="A64" s="250">
        <v>59</v>
      </c>
      <c r="B64" s="251" t="s">
        <v>433</v>
      </c>
      <c r="C64" s="252">
        <v>2</v>
      </c>
      <c r="D64" s="253">
        <v>1900</v>
      </c>
      <c r="E64" s="254">
        <f t="shared" si="0"/>
        <v>3800</v>
      </c>
      <c r="F64" s="255">
        <f t="shared" si="4"/>
        <v>1434.9433333333336</v>
      </c>
      <c r="G64" s="256">
        <f t="shared" si="5"/>
        <v>51.616666666666674</v>
      </c>
      <c r="H64" s="256">
        <f t="shared" si="6"/>
        <v>412.93333333333339</v>
      </c>
      <c r="I64" s="256">
        <f t="shared" si="7"/>
        <v>301.4666666666667</v>
      </c>
      <c r="J64" s="256">
        <f t="shared" si="8"/>
        <v>332.5</v>
      </c>
      <c r="K64" s="256">
        <f t="shared" si="9"/>
        <v>332.5</v>
      </c>
      <c r="L64" s="256">
        <f t="shared" si="10"/>
        <v>174.16666666666666</v>
      </c>
      <c r="M64" s="256">
        <f t="shared" si="11"/>
        <v>332.5</v>
      </c>
      <c r="N64" s="255">
        <f>(R64+E64)/210*20%*160</f>
        <v>752.76190476190482</v>
      </c>
      <c r="O64" s="256">
        <f>N64/6</f>
        <v>125.46031746031747</v>
      </c>
      <c r="P64" s="256">
        <f>(R64+E64)/210*1.75*1.2</f>
        <v>49.400000000000006</v>
      </c>
      <c r="Q64" s="256">
        <f>P64/6</f>
        <v>8.2333333333333343</v>
      </c>
      <c r="R64" s="256">
        <f>E64*30%</f>
        <v>1140</v>
      </c>
      <c r="S64" s="257">
        <v>190</v>
      </c>
      <c r="T64" s="256">
        <f t="shared" si="23"/>
        <v>387.88148148148144</v>
      </c>
      <c r="U64" s="258">
        <f t="shared" si="1"/>
        <v>6026.3637037037033</v>
      </c>
      <c r="V64" s="256">
        <v>71.91</v>
      </c>
      <c r="W64" s="256">
        <v>500</v>
      </c>
      <c r="X64" s="256">
        <v>53.31</v>
      </c>
      <c r="Y64" s="256">
        <v>5.0599999999999996</v>
      </c>
      <c r="Z64" s="256">
        <v>17.5</v>
      </c>
      <c r="AA64" s="256">
        <v>23.65</v>
      </c>
      <c r="AB64" s="256">
        <v>218.1</v>
      </c>
      <c r="AC64" s="189">
        <f t="shared" si="2"/>
        <v>889.53</v>
      </c>
      <c r="AD64" s="259">
        <f t="shared" si="3"/>
        <v>10715.893703703705</v>
      </c>
    </row>
    <row r="65" spans="1:30" s="160" customFormat="1">
      <c r="A65" s="250">
        <v>60</v>
      </c>
      <c r="B65" s="251" t="s">
        <v>434</v>
      </c>
      <c r="C65" s="252">
        <v>6</v>
      </c>
      <c r="D65" s="253">
        <v>1900</v>
      </c>
      <c r="E65" s="254">
        <f t="shared" si="0"/>
        <v>11400</v>
      </c>
      <c r="F65" s="255">
        <f t="shared" si="4"/>
        <v>4049.5333333333333</v>
      </c>
      <c r="G65" s="256">
        <f t="shared" si="5"/>
        <v>145.66666666666666</v>
      </c>
      <c r="H65" s="256">
        <f t="shared" si="6"/>
        <v>1165.3333333333333</v>
      </c>
      <c r="I65" s="256">
        <f t="shared" si="7"/>
        <v>582.66666666666663</v>
      </c>
      <c r="J65" s="256">
        <f t="shared" si="8"/>
        <v>950</v>
      </c>
      <c r="K65" s="256">
        <f t="shared" si="9"/>
        <v>950</v>
      </c>
      <c r="L65" s="256">
        <f t="shared" si="10"/>
        <v>316.66666666666669</v>
      </c>
      <c r="M65" s="256">
        <f t="shared" si="11"/>
        <v>950</v>
      </c>
      <c r="N65" s="255">
        <f>(R65+E65)/210*20%*160</f>
        <v>2258.2857142857142</v>
      </c>
      <c r="O65" s="256">
        <f>N65/6</f>
        <v>376.38095238095235</v>
      </c>
      <c r="P65" s="256">
        <f>(R65+E65)/210*1.75*1.2</f>
        <v>148.19999999999999</v>
      </c>
      <c r="Q65" s="256">
        <f>P65/6</f>
        <v>24.7</v>
      </c>
      <c r="R65" s="256">
        <f>E65*30%</f>
        <v>3420</v>
      </c>
      <c r="S65" s="257">
        <v>0</v>
      </c>
      <c r="T65" s="256">
        <f t="shared" si="23"/>
        <v>1163.6444444444446</v>
      </c>
      <c r="U65" s="258">
        <f t="shared" si="1"/>
        <v>16501.07777777778</v>
      </c>
      <c r="V65" s="256">
        <v>71.91</v>
      </c>
      <c r="W65" s="256">
        <v>500</v>
      </c>
      <c r="X65" s="256">
        <v>53.31</v>
      </c>
      <c r="Y65" s="256">
        <v>5.0599999999999996</v>
      </c>
      <c r="Z65" s="256">
        <v>17.5</v>
      </c>
      <c r="AA65" s="256">
        <v>23.65</v>
      </c>
      <c r="AB65" s="256">
        <v>218.1</v>
      </c>
      <c r="AC65" s="189">
        <f t="shared" si="2"/>
        <v>889.53</v>
      </c>
      <c r="AD65" s="259">
        <f t="shared" si="3"/>
        <v>28790.607777777779</v>
      </c>
    </row>
    <row r="66" spans="1:30" s="160" customFormat="1">
      <c r="A66" s="250">
        <v>61</v>
      </c>
      <c r="B66" s="251" t="s">
        <v>461</v>
      </c>
      <c r="C66" s="252">
        <v>1</v>
      </c>
      <c r="D66" s="253">
        <v>6500</v>
      </c>
      <c r="E66" s="254">
        <f t="shared" si="0"/>
        <v>6500</v>
      </c>
      <c r="F66" s="255">
        <f t="shared" si="4"/>
        <v>2308.9444444444448</v>
      </c>
      <c r="G66" s="256">
        <f t="shared" si="5"/>
        <v>83.055555555555571</v>
      </c>
      <c r="H66" s="256">
        <f t="shared" si="6"/>
        <v>664.44444444444457</v>
      </c>
      <c r="I66" s="256">
        <f t="shared" si="7"/>
        <v>332.22222222222229</v>
      </c>
      <c r="J66" s="256">
        <f t="shared" si="8"/>
        <v>541.66666666666663</v>
      </c>
      <c r="K66" s="256">
        <f t="shared" si="9"/>
        <v>541.66666666666663</v>
      </c>
      <c r="L66" s="256">
        <f t="shared" si="10"/>
        <v>180.55555555555554</v>
      </c>
      <c r="M66" s="256">
        <f t="shared" si="11"/>
        <v>541.66666666666663</v>
      </c>
      <c r="N66" s="255">
        <v>0</v>
      </c>
      <c r="O66" s="256">
        <v>0</v>
      </c>
      <c r="P66" s="256">
        <v>0</v>
      </c>
      <c r="Q66" s="256">
        <v>0</v>
      </c>
      <c r="R66" s="256">
        <v>0</v>
      </c>
      <c r="S66" s="257">
        <v>0</v>
      </c>
      <c r="T66" s="256">
        <v>0</v>
      </c>
      <c r="U66" s="258">
        <f t="shared" si="1"/>
        <v>5194.2222222222235</v>
      </c>
      <c r="V66" s="256">
        <v>0</v>
      </c>
      <c r="W66" s="256">
        <v>500</v>
      </c>
      <c r="X66" s="256">
        <v>53.31</v>
      </c>
      <c r="Y66" s="256">
        <v>5.0599999999999996</v>
      </c>
      <c r="Z66" s="256">
        <v>17.5</v>
      </c>
      <c r="AA66" s="256">
        <v>23.65</v>
      </c>
      <c r="AB66" s="256">
        <v>218.1</v>
      </c>
      <c r="AC66" s="189">
        <f t="shared" si="2"/>
        <v>817.61999999999989</v>
      </c>
      <c r="AD66" s="259">
        <f t="shared" si="3"/>
        <v>12511.842222222222</v>
      </c>
    </row>
    <row r="67" spans="1:30" s="160" customFormat="1">
      <c r="A67" s="250">
        <v>62</v>
      </c>
      <c r="B67" s="251" t="s">
        <v>422</v>
      </c>
      <c r="C67" s="252">
        <v>1</v>
      </c>
      <c r="D67" s="253">
        <v>3773.6</v>
      </c>
      <c r="E67" s="254">
        <f t="shared" si="0"/>
        <v>3773.6</v>
      </c>
      <c r="F67" s="255">
        <f t="shared" si="4"/>
        <v>1340.4665777777775</v>
      </c>
      <c r="G67" s="256">
        <f t="shared" si="5"/>
        <v>48.218222222222209</v>
      </c>
      <c r="H67" s="256">
        <f t="shared" si="6"/>
        <v>385.74577777777768</v>
      </c>
      <c r="I67" s="256">
        <f t="shared" si="7"/>
        <v>192.87288888888884</v>
      </c>
      <c r="J67" s="256">
        <f t="shared" si="8"/>
        <v>314.46666666666664</v>
      </c>
      <c r="K67" s="256">
        <f t="shared" si="9"/>
        <v>314.46666666666664</v>
      </c>
      <c r="L67" s="256">
        <f t="shared" si="10"/>
        <v>104.82222222222221</v>
      </c>
      <c r="M67" s="256">
        <f t="shared" si="11"/>
        <v>314.46666666666664</v>
      </c>
      <c r="N67" s="255">
        <v>0</v>
      </c>
      <c r="O67" s="256">
        <v>0</v>
      </c>
      <c r="P67" s="256">
        <v>0</v>
      </c>
      <c r="Q67" s="256">
        <v>0</v>
      </c>
      <c r="R67" s="256">
        <f>E67*30%</f>
        <v>1132.08</v>
      </c>
      <c r="S67" s="257">
        <v>0</v>
      </c>
      <c r="T67" s="256">
        <v>0</v>
      </c>
      <c r="U67" s="258">
        <f t="shared" si="1"/>
        <v>4147.6056888888888</v>
      </c>
      <c r="V67" s="256">
        <v>0</v>
      </c>
      <c r="W67" s="256">
        <v>500</v>
      </c>
      <c r="X67" s="256">
        <v>53.31</v>
      </c>
      <c r="Y67" s="256">
        <v>5.0599999999999996</v>
      </c>
      <c r="Z67" s="256">
        <v>17.5</v>
      </c>
      <c r="AA67" s="256">
        <v>23.65</v>
      </c>
      <c r="AB67" s="256">
        <v>218.1</v>
      </c>
      <c r="AC67" s="189">
        <f t="shared" si="2"/>
        <v>817.61999999999989</v>
      </c>
      <c r="AD67" s="259">
        <f t="shared" si="3"/>
        <v>8738.82568888889</v>
      </c>
    </row>
    <row r="68" spans="1:30" s="160" customFormat="1">
      <c r="A68" s="250">
        <v>63</v>
      </c>
      <c r="B68" s="251" t="s">
        <v>423</v>
      </c>
      <c r="C68" s="252">
        <v>1</v>
      </c>
      <c r="D68" s="253">
        <v>2600</v>
      </c>
      <c r="E68" s="254">
        <f t="shared" si="0"/>
        <v>2600</v>
      </c>
      <c r="F68" s="255">
        <f t="shared" si="4"/>
        <v>923.57777777777767</v>
      </c>
      <c r="G68" s="256">
        <f t="shared" si="5"/>
        <v>33.222222222222214</v>
      </c>
      <c r="H68" s="256">
        <f t="shared" si="6"/>
        <v>265.77777777777771</v>
      </c>
      <c r="I68" s="256">
        <f t="shared" si="7"/>
        <v>132.88888888888886</v>
      </c>
      <c r="J68" s="256">
        <f t="shared" si="8"/>
        <v>216.66666666666666</v>
      </c>
      <c r="K68" s="256">
        <f t="shared" si="9"/>
        <v>216.66666666666666</v>
      </c>
      <c r="L68" s="256">
        <f t="shared" si="10"/>
        <v>72.222222222222214</v>
      </c>
      <c r="M68" s="256">
        <f t="shared" si="11"/>
        <v>216.66666666666666</v>
      </c>
      <c r="N68" s="255">
        <v>0</v>
      </c>
      <c r="O68" s="256">
        <v>0</v>
      </c>
      <c r="P68" s="256">
        <f>E68/150*1.75</f>
        <v>30.333333333333332</v>
      </c>
      <c r="Q68" s="256">
        <f>P68/25*5</f>
        <v>6.0666666666666664</v>
      </c>
      <c r="R68" s="256">
        <v>0</v>
      </c>
      <c r="S68" s="257">
        <v>0</v>
      </c>
      <c r="T68" s="256">
        <v>0</v>
      </c>
      <c r="U68" s="258">
        <f t="shared" si="1"/>
        <v>2114.088888888889</v>
      </c>
      <c r="V68" s="256">
        <v>138.69999999999999</v>
      </c>
      <c r="W68" s="256">
        <v>500</v>
      </c>
      <c r="X68" s="256">
        <v>53.31</v>
      </c>
      <c r="Y68" s="256">
        <v>5.0599999999999996</v>
      </c>
      <c r="Z68" s="256">
        <v>17.5</v>
      </c>
      <c r="AA68" s="256">
        <v>23.65</v>
      </c>
      <c r="AB68" s="256">
        <v>218.1</v>
      </c>
      <c r="AC68" s="189">
        <f t="shared" si="2"/>
        <v>956.31999999999994</v>
      </c>
      <c r="AD68" s="259">
        <f t="shared" si="3"/>
        <v>5670.4088888888891</v>
      </c>
    </row>
    <row r="69" spans="1:30" s="160" customFormat="1">
      <c r="A69" s="250">
        <v>64</v>
      </c>
      <c r="B69" s="251" t="s">
        <v>424</v>
      </c>
      <c r="C69" s="252">
        <v>1</v>
      </c>
      <c r="D69" s="253">
        <v>2600</v>
      </c>
      <c r="E69" s="254">
        <f t="shared" si="0"/>
        <v>2600</v>
      </c>
      <c r="F69" s="255">
        <f t="shared" si="4"/>
        <v>923.57777777777767</v>
      </c>
      <c r="G69" s="256">
        <f t="shared" si="5"/>
        <v>33.222222222222214</v>
      </c>
      <c r="H69" s="256">
        <f t="shared" si="6"/>
        <v>265.77777777777771</v>
      </c>
      <c r="I69" s="256">
        <f t="shared" si="7"/>
        <v>132.88888888888886</v>
      </c>
      <c r="J69" s="256">
        <f t="shared" si="8"/>
        <v>216.66666666666666</v>
      </c>
      <c r="K69" s="256">
        <f t="shared" si="9"/>
        <v>216.66666666666666</v>
      </c>
      <c r="L69" s="256">
        <f t="shared" si="10"/>
        <v>72.222222222222214</v>
      </c>
      <c r="M69" s="256">
        <f t="shared" si="11"/>
        <v>216.66666666666666</v>
      </c>
      <c r="N69" s="255">
        <v>0</v>
      </c>
      <c r="O69" s="256">
        <v>0</v>
      </c>
      <c r="P69" s="256">
        <f t="shared" ref="P69:P76" si="24">E69/150*1.75</f>
        <v>30.333333333333332</v>
      </c>
      <c r="Q69" s="256">
        <f t="shared" ref="Q69:Q76" si="25">P69/25*5</f>
        <v>6.0666666666666664</v>
      </c>
      <c r="R69" s="256">
        <v>0</v>
      </c>
      <c r="S69" s="257">
        <v>0</v>
      </c>
      <c r="T69" s="256">
        <v>0</v>
      </c>
      <c r="U69" s="258">
        <f t="shared" si="1"/>
        <v>2114.088888888889</v>
      </c>
      <c r="V69" s="256">
        <v>138.69999999999999</v>
      </c>
      <c r="W69" s="256">
        <v>500</v>
      </c>
      <c r="X69" s="256">
        <v>53.31</v>
      </c>
      <c r="Y69" s="256">
        <v>5.0599999999999996</v>
      </c>
      <c r="Z69" s="256">
        <v>17.5</v>
      </c>
      <c r="AA69" s="256">
        <v>23.65</v>
      </c>
      <c r="AB69" s="256">
        <v>218.1</v>
      </c>
      <c r="AC69" s="189">
        <f t="shared" si="2"/>
        <v>956.31999999999994</v>
      </c>
      <c r="AD69" s="259">
        <f t="shared" si="3"/>
        <v>5670.4088888888891</v>
      </c>
    </row>
    <row r="70" spans="1:30" s="160" customFormat="1">
      <c r="A70" s="250">
        <v>65</v>
      </c>
      <c r="B70" s="251" t="s">
        <v>425</v>
      </c>
      <c r="C70" s="252">
        <v>1</v>
      </c>
      <c r="D70" s="253">
        <v>2600</v>
      </c>
      <c r="E70" s="254">
        <f t="shared" ref="E70:E133" si="26">C70*D70</f>
        <v>2600</v>
      </c>
      <c r="F70" s="255">
        <f t="shared" si="4"/>
        <v>923.57777777777767</v>
      </c>
      <c r="G70" s="256">
        <f t="shared" si="5"/>
        <v>33.222222222222214</v>
      </c>
      <c r="H70" s="256">
        <f t="shared" si="6"/>
        <v>265.77777777777771</v>
      </c>
      <c r="I70" s="256">
        <f t="shared" si="7"/>
        <v>132.88888888888886</v>
      </c>
      <c r="J70" s="256">
        <f t="shared" si="8"/>
        <v>216.66666666666666</v>
      </c>
      <c r="K70" s="256">
        <f t="shared" si="9"/>
        <v>216.66666666666666</v>
      </c>
      <c r="L70" s="256">
        <f t="shared" si="10"/>
        <v>72.222222222222214</v>
      </c>
      <c r="M70" s="256">
        <f t="shared" si="11"/>
        <v>216.66666666666666</v>
      </c>
      <c r="N70" s="255">
        <v>0</v>
      </c>
      <c r="O70" s="256">
        <v>0</v>
      </c>
      <c r="P70" s="256">
        <f t="shared" si="24"/>
        <v>30.333333333333332</v>
      </c>
      <c r="Q70" s="256">
        <f t="shared" si="25"/>
        <v>6.0666666666666664</v>
      </c>
      <c r="R70" s="256">
        <v>0</v>
      </c>
      <c r="S70" s="257">
        <v>0</v>
      </c>
      <c r="T70" s="256">
        <v>0</v>
      </c>
      <c r="U70" s="258">
        <f t="shared" ref="U70:U133" si="27">SUM(F70:T70)</f>
        <v>2114.088888888889</v>
      </c>
      <c r="V70" s="256">
        <v>138.69999999999999</v>
      </c>
      <c r="W70" s="256">
        <v>500</v>
      </c>
      <c r="X70" s="256">
        <v>53.31</v>
      </c>
      <c r="Y70" s="256">
        <v>5.0599999999999996</v>
      </c>
      <c r="Z70" s="256">
        <v>17.5</v>
      </c>
      <c r="AA70" s="256">
        <v>23.65</v>
      </c>
      <c r="AB70" s="256">
        <v>218.1</v>
      </c>
      <c r="AC70" s="189">
        <f t="shared" ref="AC70:AC133" si="28">SUM(V70:AB70)</f>
        <v>956.31999999999994</v>
      </c>
      <c r="AD70" s="259">
        <f t="shared" ref="AD70:AD133" si="29">E70+U70+AC70</f>
        <v>5670.4088888888891</v>
      </c>
    </row>
    <row r="71" spans="1:30" s="160" customFormat="1">
      <c r="A71" s="250">
        <v>66</v>
      </c>
      <c r="B71" s="251" t="s">
        <v>426</v>
      </c>
      <c r="C71" s="252">
        <v>1</v>
      </c>
      <c r="D71" s="253">
        <v>2600</v>
      </c>
      <c r="E71" s="254">
        <f t="shared" si="26"/>
        <v>2600</v>
      </c>
      <c r="F71" s="255">
        <f t="shared" ref="F71:F134" si="30">(E71+J71+L71+K71+M71+S71)*27.8%</f>
        <v>923.57777777777767</v>
      </c>
      <c r="G71" s="256">
        <f t="shared" ref="G71:G134" si="31">(E71+J71+L71+K71+M71+S71)*1%</f>
        <v>33.222222222222214</v>
      </c>
      <c r="H71" s="256">
        <f t="shared" ref="H71:H134" si="32">(E71+J71+L71+K71+M71+S71)*8%</f>
        <v>265.77777777777771</v>
      </c>
      <c r="I71" s="256">
        <f t="shared" ref="I71:I134" si="33">(H71+S71)/2</f>
        <v>132.88888888888886</v>
      </c>
      <c r="J71" s="256">
        <f t="shared" ref="J71:J134" si="34">(E71+S71)/12</f>
        <v>216.66666666666666</v>
      </c>
      <c r="K71" s="256">
        <f t="shared" ref="K71:K134" si="35">(E71+S71)/12</f>
        <v>216.66666666666666</v>
      </c>
      <c r="L71" s="256">
        <f t="shared" ref="L71:L134" si="36">(K71+S71)/3</f>
        <v>72.222222222222214</v>
      </c>
      <c r="M71" s="256">
        <f t="shared" ref="M71:M134" si="37">(E71+S71)/12</f>
        <v>216.66666666666666</v>
      </c>
      <c r="N71" s="255">
        <v>0</v>
      </c>
      <c r="O71" s="256">
        <v>0</v>
      </c>
      <c r="P71" s="256">
        <f t="shared" si="24"/>
        <v>30.333333333333332</v>
      </c>
      <c r="Q71" s="256">
        <f t="shared" si="25"/>
        <v>6.0666666666666664</v>
      </c>
      <c r="R71" s="256">
        <v>0</v>
      </c>
      <c r="S71" s="257">
        <v>0</v>
      </c>
      <c r="T71" s="256">
        <v>0</v>
      </c>
      <c r="U71" s="258">
        <f t="shared" si="27"/>
        <v>2114.088888888889</v>
      </c>
      <c r="V71" s="256">
        <v>138.69999999999999</v>
      </c>
      <c r="W71" s="256">
        <v>500</v>
      </c>
      <c r="X71" s="256">
        <v>53.31</v>
      </c>
      <c r="Y71" s="256">
        <v>5.0599999999999996</v>
      </c>
      <c r="Z71" s="256">
        <v>17.5</v>
      </c>
      <c r="AA71" s="256">
        <v>23.65</v>
      </c>
      <c r="AB71" s="256">
        <v>218.1</v>
      </c>
      <c r="AC71" s="189">
        <f t="shared" si="28"/>
        <v>956.31999999999994</v>
      </c>
      <c r="AD71" s="259">
        <f t="shared" si="29"/>
        <v>5670.4088888888891</v>
      </c>
    </row>
    <row r="72" spans="1:30" s="160" customFormat="1">
      <c r="A72" s="250">
        <v>67</v>
      </c>
      <c r="B72" s="251" t="s">
        <v>427</v>
      </c>
      <c r="C72" s="252">
        <v>1</v>
      </c>
      <c r="D72" s="253">
        <v>2600</v>
      </c>
      <c r="E72" s="254">
        <f t="shared" si="26"/>
        <v>2600</v>
      </c>
      <c r="F72" s="255">
        <f t="shared" si="30"/>
        <v>923.57777777777767</v>
      </c>
      <c r="G72" s="256">
        <f t="shared" si="31"/>
        <v>33.222222222222214</v>
      </c>
      <c r="H72" s="256">
        <f t="shared" si="32"/>
        <v>265.77777777777771</v>
      </c>
      <c r="I72" s="256">
        <f t="shared" si="33"/>
        <v>132.88888888888886</v>
      </c>
      <c r="J72" s="256">
        <f t="shared" si="34"/>
        <v>216.66666666666666</v>
      </c>
      <c r="K72" s="256">
        <f t="shared" si="35"/>
        <v>216.66666666666666</v>
      </c>
      <c r="L72" s="256">
        <f t="shared" si="36"/>
        <v>72.222222222222214</v>
      </c>
      <c r="M72" s="256">
        <f t="shared" si="37"/>
        <v>216.66666666666666</v>
      </c>
      <c r="N72" s="255">
        <v>0</v>
      </c>
      <c r="O72" s="256">
        <v>0</v>
      </c>
      <c r="P72" s="256">
        <f t="shared" si="24"/>
        <v>30.333333333333332</v>
      </c>
      <c r="Q72" s="256">
        <f t="shared" si="25"/>
        <v>6.0666666666666664</v>
      </c>
      <c r="R72" s="256">
        <v>0</v>
      </c>
      <c r="S72" s="257">
        <v>0</v>
      </c>
      <c r="T72" s="256">
        <v>0</v>
      </c>
      <c r="U72" s="258">
        <f t="shared" si="27"/>
        <v>2114.088888888889</v>
      </c>
      <c r="V72" s="256">
        <v>138.69999999999999</v>
      </c>
      <c r="W72" s="256">
        <v>500</v>
      </c>
      <c r="X72" s="256">
        <v>53.31</v>
      </c>
      <c r="Y72" s="256">
        <v>5.0599999999999996</v>
      </c>
      <c r="Z72" s="256">
        <v>17.5</v>
      </c>
      <c r="AA72" s="256">
        <v>23.65</v>
      </c>
      <c r="AB72" s="256">
        <v>218.1</v>
      </c>
      <c r="AC72" s="189">
        <f t="shared" si="28"/>
        <v>956.31999999999994</v>
      </c>
      <c r="AD72" s="259">
        <f t="shared" si="29"/>
        <v>5670.4088888888891</v>
      </c>
    </row>
    <row r="73" spans="1:30" s="160" customFormat="1">
      <c r="A73" s="250">
        <v>68</v>
      </c>
      <c r="B73" s="251" t="s">
        <v>428</v>
      </c>
      <c r="C73" s="252">
        <v>1</v>
      </c>
      <c r="D73" s="253">
        <v>1750</v>
      </c>
      <c r="E73" s="254">
        <f t="shared" si="26"/>
        <v>1750</v>
      </c>
      <c r="F73" s="255">
        <f t="shared" si="30"/>
        <v>621.63888888888903</v>
      </c>
      <c r="G73" s="256">
        <f t="shared" si="31"/>
        <v>22.361111111111114</v>
      </c>
      <c r="H73" s="256">
        <f t="shared" si="32"/>
        <v>178.88888888888891</v>
      </c>
      <c r="I73" s="256">
        <f t="shared" si="33"/>
        <v>89.444444444444457</v>
      </c>
      <c r="J73" s="256">
        <f t="shared" si="34"/>
        <v>145.83333333333334</v>
      </c>
      <c r="K73" s="256">
        <f t="shared" si="35"/>
        <v>145.83333333333334</v>
      </c>
      <c r="L73" s="256">
        <f t="shared" si="36"/>
        <v>48.611111111111114</v>
      </c>
      <c r="M73" s="256">
        <f t="shared" si="37"/>
        <v>145.83333333333334</v>
      </c>
      <c r="N73" s="255">
        <v>0</v>
      </c>
      <c r="O73" s="256">
        <v>0</v>
      </c>
      <c r="P73" s="256">
        <f t="shared" si="24"/>
        <v>20.416666666666664</v>
      </c>
      <c r="Q73" s="256">
        <f t="shared" si="25"/>
        <v>4.083333333333333</v>
      </c>
      <c r="R73" s="256">
        <v>0</v>
      </c>
      <c r="S73" s="257">
        <v>0</v>
      </c>
      <c r="T73" s="256">
        <v>0</v>
      </c>
      <c r="U73" s="258">
        <f t="shared" si="27"/>
        <v>1422.9444444444443</v>
      </c>
      <c r="V73" s="256">
        <v>138.69999999999999</v>
      </c>
      <c r="W73" s="256">
        <v>500</v>
      </c>
      <c r="X73" s="256">
        <v>53.31</v>
      </c>
      <c r="Y73" s="256">
        <v>5.0599999999999996</v>
      </c>
      <c r="Z73" s="256">
        <v>17.5</v>
      </c>
      <c r="AA73" s="256">
        <v>23.65</v>
      </c>
      <c r="AB73" s="256">
        <v>218.1</v>
      </c>
      <c r="AC73" s="189">
        <f t="shared" si="28"/>
        <v>956.31999999999994</v>
      </c>
      <c r="AD73" s="259">
        <f t="shared" si="29"/>
        <v>4129.2644444444441</v>
      </c>
    </row>
    <row r="74" spans="1:30" s="160" customFormat="1">
      <c r="A74" s="250">
        <v>69</v>
      </c>
      <c r="B74" s="251" t="s">
        <v>429</v>
      </c>
      <c r="C74" s="252">
        <v>1</v>
      </c>
      <c r="D74" s="253">
        <v>1642</v>
      </c>
      <c r="E74" s="254">
        <f t="shared" si="26"/>
        <v>1642</v>
      </c>
      <c r="F74" s="255">
        <f t="shared" si="30"/>
        <v>583.27488888888888</v>
      </c>
      <c r="G74" s="256">
        <f t="shared" si="31"/>
        <v>20.981111111111108</v>
      </c>
      <c r="H74" s="256">
        <f t="shared" si="32"/>
        <v>167.84888888888887</v>
      </c>
      <c r="I74" s="256">
        <f t="shared" si="33"/>
        <v>83.924444444444433</v>
      </c>
      <c r="J74" s="256">
        <f t="shared" si="34"/>
        <v>136.83333333333334</v>
      </c>
      <c r="K74" s="256">
        <f t="shared" si="35"/>
        <v>136.83333333333334</v>
      </c>
      <c r="L74" s="256">
        <f t="shared" si="36"/>
        <v>45.611111111111114</v>
      </c>
      <c r="M74" s="256">
        <f t="shared" si="37"/>
        <v>136.83333333333334</v>
      </c>
      <c r="N74" s="255">
        <v>0</v>
      </c>
      <c r="O74" s="256">
        <v>0</v>
      </c>
      <c r="P74" s="256">
        <f t="shared" si="24"/>
        <v>19.156666666666666</v>
      </c>
      <c r="Q74" s="256">
        <f t="shared" si="25"/>
        <v>3.8313333333333333</v>
      </c>
      <c r="R74" s="256">
        <v>0</v>
      </c>
      <c r="S74" s="257">
        <v>0</v>
      </c>
      <c r="T74" s="256">
        <v>0</v>
      </c>
      <c r="U74" s="258">
        <f t="shared" si="27"/>
        <v>1335.1284444444443</v>
      </c>
      <c r="V74" s="256">
        <v>138.69999999999999</v>
      </c>
      <c r="W74" s="256">
        <v>500</v>
      </c>
      <c r="X74" s="256">
        <v>53.31</v>
      </c>
      <c r="Y74" s="256">
        <v>5.0599999999999996</v>
      </c>
      <c r="Z74" s="256">
        <v>17.5</v>
      </c>
      <c r="AA74" s="256">
        <v>23.65</v>
      </c>
      <c r="AB74" s="256">
        <v>218.1</v>
      </c>
      <c r="AC74" s="189">
        <f t="shared" si="28"/>
        <v>956.31999999999994</v>
      </c>
      <c r="AD74" s="259">
        <f t="shared" si="29"/>
        <v>3933.4484444444442</v>
      </c>
    </row>
    <row r="75" spans="1:30" s="160" customFormat="1">
      <c r="A75" s="250">
        <v>70</v>
      </c>
      <c r="B75" s="251" t="s">
        <v>430</v>
      </c>
      <c r="C75" s="252">
        <v>1</v>
      </c>
      <c r="D75" s="253">
        <v>1385</v>
      </c>
      <c r="E75" s="254">
        <f t="shared" si="26"/>
        <v>1385</v>
      </c>
      <c r="F75" s="255">
        <f t="shared" si="30"/>
        <v>491.98277777777787</v>
      </c>
      <c r="G75" s="256">
        <f t="shared" si="31"/>
        <v>17.697222222222223</v>
      </c>
      <c r="H75" s="256">
        <f t="shared" si="32"/>
        <v>141.57777777777778</v>
      </c>
      <c r="I75" s="256">
        <f t="shared" si="33"/>
        <v>70.788888888888891</v>
      </c>
      <c r="J75" s="256">
        <f t="shared" si="34"/>
        <v>115.41666666666667</v>
      </c>
      <c r="K75" s="256">
        <f t="shared" si="35"/>
        <v>115.41666666666667</v>
      </c>
      <c r="L75" s="256">
        <f t="shared" si="36"/>
        <v>38.472222222222221</v>
      </c>
      <c r="M75" s="256">
        <f t="shared" si="37"/>
        <v>115.41666666666667</v>
      </c>
      <c r="N75" s="255">
        <v>0</v>
      </c>
      <c r="O75" s="256">
        <v>0</v>
      </c>
      <c r="P75" s="256">
        <f t="shared" si="24"/>
        <v>16.158333333333331</v>
      </c>
      <c r="Q75" s="256">
        <f t="shared" si="25"/>
        <v>3.231666666666666</v>
      </c>
      <c r="R75" s="256">
        <v>0</v>
      </c>
      <c r="S75" s="257">
        <v>0</v>
      </c>
      <c r="T75" s="256">
        <v>0</v>
      </c>
      <c r="U75" s="258">
        <f t="shared" si="27"/>
        <v>1126.1588888888887</v>
      </c>
      <c r="V75" s="256">
        <v>138.69999999999999</v>
      </c>
      <c r="W75" s="256">
        <v>500</v>
      </c>
      <c r="X75" s="256">
        <v>53.31</v>
      </c>
      <c r="Y75" s="256">
        <v>5.0599999999999996</v>
      </c>
      <c r="Z75" s="256">
        <v>17.5</v>
      </c>
      <c r="AA75" s="256">
        <v>23.65</v>
      </c>
      <c r="AB75" s="256">
        <v>218.1</v>
      </c>
      <c r="AC75" s="189">
        <f t="shared" si="28"/>
        <v>956.31999999999994</v>
      </c>
      <c r="AD75" s="259">
        <f t="shared" si="29"/>
        <v>3467.4788888888888</v>
      </c>
    </row>
    <row r="76" spans="1:30" s="160" customFormat="1">
      <c r="A76" s="250">
        <v>71</v>
      </c>
      <c r="B76" s="251" t="s">
        <v>431</v>
      </c>
      <c r="C76" s="252">
        <v>1</v>
      </c>
      <c r="D76" s="253">
        <v>1452.39</v>
      </c>
      <c r="E76" s="254">
        <f t="shared" si="26"/>
        <v>1452.39</v>
      </c>
      <c r="F76" s="255">
        <f t="shared" si="30"/>
        <v>515.92120333333344</v>
      </c>
      <c r="G76" s="256">
        <f t="shared" si="31"/>
        <v>18.55831666666667</v>
      </c>
      <c r="H76" s="256">
        <f t="shared" si="32"/>
        <v>148.46653333333336</v>
      </c>
      <c r="I76" s="256">
        <f t="shared" si="33"/>
        <v>74.23326666666668</v>
      </c>
      <c r="J76" s="256">
        <f t="shared" si="34"/>
        <v>121.03250000000001</v>
      </c>
      <c r="K76" s="256">
        <f t="shared" si="35"/>
        <v>121.03250000000001</v>
      </c>
      <c r="L76" s="256">
        <f t="shared" si="36"/>
        <v>40.344166666666673</v>
      </c>
      <c r="M76" s="256">
        <f t="shared" si="37"/>
        <v>121.03250000000001</v>
      </c>
      <c r="N76" s="255">
        <v>0</v>
      </c>
      <c r="O76" s="256">
        <v>0</v>
      </c>
      <c r="P76" s="256">
        <f t="shared" si="24"/>
        <v>16.94455</v>
      </c>
      <c r="Q76" s="256">
        <f t="shared" si="25"/>
        <v>3.3889100000000001</v>
      </c>
      <c r="R76" s="256">
        <v>0</v>
      </c>
      <c r="S76" s="257">
        <v>0</v>
      </c>
      <c r="T76" s="256">
        <v>0</v>
      </c>
      <c r="U76" s="258">
        <f t="shared" si="27"/>
        <v>1180.9544466666669</v>
      </c>
      <c r="V76" s="256">
        <v>138.69999999999999</v>
      </c>
      <c r="W76" s="256">
        <v>500</v>
      </c>
      <c r="X76" s="256">
        <v>53.31</v>
      </c>
      <c r="Y76" s="256">
        <v>5.0599999999999996</v>
      </c>
      <c r="Z76" s="256">
        <v>17.5</v>
      </c>
      <c r="AA76" s="256">
        <v>23.65</v>
      </c>
      <c r="AB76" s="256">
        <v>218.1</v>
      </c>
      <c r="AC76" s="189">
        <f t="shared" si="28"/>
        <v>956.31999999999994</v>
      </c>
      <c r="AD76" s="259">
        <f t="shared" si="29"/>
        <v>3589.6644466666667</v>
      </c>
    </row>
    <row r="77" spans="1:30" s="160" customFormat="1">
      <c r="A77" s="250">
        <v>72</v>
      </c>
      <c r="B77" s="251" t="s">
        <v>435</v>
      </c>
      <c r="C77" s="252">
        <v>2</v>
      </c>
      <c r="D77" s="253">
        <v>1900</v>
      </c>
      <c r="E77" s="254">
        <f t="shared" si="26"/>
        <v>3800</v>
      </c>
      <c r="F77" s="255">
        <f t="shared" si="30"/>
        <v>1434.9433333333336</v>
      </c>
      <c r="G77" s="256">
        <f t="shared" si="31"/>
        <v>51.616666666666674</v>
      </c>
      <c r="H77" s="256">
        <f t="shared" si="32"/>
        <v>412.93333333333339</v>
      </c>
      <c r="I77" s="256">
        <f t="shared" si="33"/>
        <v>301.4666666666667</v>
      </c>
      <c r="J77" s="256">
        <f t="shared" si="34"/>
        <v>332.5</v>
      </c>
      <c r="K77" s="256">
        <f t="shared" si="35"/>
        <v>332.5</v>
      </c>
      <c r="L77" s="256">
        <f t="shared" si="36"/>
        <v>174.16666666666666</v>
      </c>
      <c r="M77" s="256">
        <f t="shared" si="37"/>
        <v>332.5</v>
      </c>
      <c r="N77" s="255">
        <v>0</v>
      </c>
      <c r="O77" s="256">
        <v>0</v>
      </c>
      <c r="P77" s="256">
        <f>(R77+E77)/210*1.75*1.2</f>
        <v>49.400000000000006</v>
      </c>
      <c r="Q77" s="256">
        <f>P77/6</f>
        <v>8.2333333333333343</v>
      </c>
      <c r="R77" s="256">
        <f>E77*30%</f>
        <v>1140</v>
      </c>
      <c r="S77" s="257">
        <v>190</v>
      </c>
      <c r="T77" s="256">
        <f>(E77+R77+N77+O77)/30*2</f>
        <v>329.33333333333331</v>
      </c>
      <c r="U77" s="258">
        <f t="shared" si="27"/>
        <v>5089.5933333333332</v>
      </c>
      <c r="V77" s="256">
        <v>94.75</v>
      </c>
      <c r="W77" s="256">
        <v>500</v>
      </c>
      <c r="X77" s="256">
        <v>53.31</v>
      </c>
      <c r="Y77" s="256">
        <v>5.0599999999999996</v>
      </c>
      <c r="Z77" s="256">
        <v>17.5</v>
      </c>
      <c r="AA77" s="256">
        <v>23.65</v>
      </c>
      <c r="AB77" s="256">
        <v>218.1</v>
      </c>
      <c r="AC77" s="189">
        <f t="shared" si="28"/>
        <v>912.36999999999989</v>
      </c>
      <c r="AD77" s="259">
        <f t="shared" si="29"/>
        <v>9801.9633333333331</v>
      </c>
    </row>
    <row r="78" spans="1:30" s="160" customFormat="1">
      <c r="A78" s="250">
        <v>73</v>
      </c>
      <c r="B78" s="251" t="s">
        <v>432</v>
      </c>
      <c r="C78" s="252">
        <v>12</v>
      </c>
      <c r="D78" s="253">
        <v>1900</v>
      </c>
      <c r="E78" s="254">
        <f t="shared" si="26"/>
        <v>22800</v>
      </c>
      <c r="F78" s="255">
        <f t="shared" si="30"/>
        <v>8099.0666666666666</v>
      </c>
      <c r="G78" s="256">
        <f t="shared" si="31"/>
        <v>291.33333333333331</v>
      </c>
      <c r="H78" s="256">
        <f t="shared" si="32"/>
        <v>2330.6666666666665</v>
      </c>
      <c r="I78" s="256">
        <f t="shared" si="33"/>
        <v>1165.3333333333333</v>
      </c>
      <c r="J78" s="256">
        <f t="shared" si="34"/>
        <v>1900</v>
      </c>
      <c r="K78" s="256">
        <f t="shared" si="35"/>
        <v>1900</v>
      </c>
      <c r="L78" s="256">
        <f t="shared" si="36"/>
        <v>633.33333333333337</v>
      </c>
      <c r="M78" s="256">
        <f t="shared" si="37"/>
        <v>1900</v>
      </c>
      <c r="N78" s="255">
        <v>0</v>
      </c>
      <c r="O78" s="256">
        <v>0</v>
      </c>
      <c r="P78" s="256">
        <f>(R78+E78)/210*1.75*1.2</f>
        <v>296.39999999999998</v>
      </c>
      <c r="Q78" s="256">
        <f>P78/6</f>
        <v>49.4</v>
      </c>
      <c r="R78" s="256">
        <f>E78*30%</f>
        <v>6840</v>
      </c>
      <c r="S78" s="257">
        <v>0</v>
      </c>
      <c r="T78" s="256">
        <f t="shared" ref="T78:T80" si="38">(E78+R78+N78+O78)/30*2</f>
        <v>1976</v>
      </c>
      <c r="U78" s="258">
        <f t="shared" si="27"/>
        <v>27381.533333333336</v>
      </c>
      <c r="V78" s="256">
        <v>94.75</v>
      </c>
      <c r="W78" s="256">
        <v>500</v>
      </c>
      <c r="X78" s="256">
        <v>53.31</v>
      </c>
      <c r="Y78" s="256">
        <v>5.0599999999999996</v>
      </c>
      <c r="Z78" s="256">
        <v>17.5</v>
      </c>
      <c r="AA78" s="256">
        <v>23.65</v>
      </c>
      <c r="AB78" s="256">
        <v>218.1</v>
      </c>
      <c r="AC78" s="189">
        <f t="shared" si="28"/>
        <v>912.36999999999989</v>
      </c>
      <c r="AD78" s="259">
        <f t="shared" si="29"/>
        <v>51093.903333333343</v>
      </c>
    </row>
    <row r="79" spans="1:30" s="160" customFormat="1">
      <c r="A79" s="250">
        <v>74</v>
      </c>
      <c r="B79" s="251" t="s">
        <v>433</v>
      </c>
      <c r="C79" s="252">
        <v>2</v>
      </c>
      <c r="D79" s="253">
        <v>1900</v>
      </c>
      <c r="E79" s="254">
        <f t="shared" si="26"/>
        <v>3800</v>
      </c>
      <c r="F79" s="255">
        <f t="shared" si="30"/>
        <v>1434.9433333333336</v>
      </c>
      <c r="G79" s="256">
        <f t="shared" si="31"/>
        <v>51.616666666666674</v>
      </c>
      <c r="H79" s="256">
        <f t="shared" si="32"/>
        <v>412.93333333333339</v>
      </c>
      <c r="I79" s="256">
        <f t="shared" si="33"/>
        <v>301.4666666666667</v>
      </c>
      <c r="J79" s="256">
        <f t="shared" si="34"/>
        <v>332.5</v>
      </c>
      <c r="K79" s="256">
        <f t="shared" si="35"/>
        <v>332.5</v>
      </c>
      <c r="L79" s="256">
        <f t="shared" si="36"/>
        <v>174.16666666666666</v>
      </c>
      <c r="M79" s="256">
        <f t="shared" si="37"/>
        <v>332.5</v>
      </c>
      <c r="N79" s="255">
        <f>(R79+E79)/210*20%*160</f>
        <v>752.76190476190482</v>
      </c>
      <c r="O79" s="256">
        <f>N79/6</f>
        <v>125.46031746031747</v>
      </c>
      <c r="P79" s="256">
        <f>(R79+E79)/210*1.75*1.2</f>
        <v>49.400000000000006</v>
      </c>
      <c r="Q79" s="256">
        <f>P79/6</f>
        <v>8.2333333333333343</v>
      </c>
      <c r="R79" s="256">
        <f>E79*30%</f>
        <v>1140</v>
      </c>
      <c r="S79" s="257">
        <v>190</v>
      </c>
      <c r="T79" s="256">
        <f t="shared" si="38"/>
        <v>387.88148148148144</v>
      </c>
      <c r="U79" s="258">
        <f t="shared" si="27"/>
        <v>6026.3637037037033</v>
      </c>
      <c r="V79" s="256">
        <v>94.75</v>
      </c>
      <c r="W79" s="256">
        <v>500</v>
      </c>
      <c r="X79" s="256">
        <v>53.31</v>
      </c>
      <c r="Y79" s="256">
        <v>5.0599999999999996</v>
      </c>
      <c r="Z79" s="256">
        <v>17.5</v>
      </c>
      <c r="AA79" s="256">
        <v>23.65</v>
      </c>
      <c r="AB79" s="256">
        <v>218.1</v>
      </c>
      <c r="AC79" s="189">
        <f t="shared" si="28"/>
        <v>912.36999999999989</v>
      </c>
      <c r="AD79" s="259">
        <f t="shared" si="29"/>
        <v>10738.733703703703</v>
      </c>
    </row>
    <row r="80" spans="1:30" s="160" customFormat="1">
      <c r="A80" s="250">
        <v>75</v>
      </c>
      <c r="B80" s="251" t="s">
        <v>434</v>
      </c>
      <c r="C80" s="252">
        <v>6</v>
      </c>
      <c r="D80" s="253">
        <v>1900</v>
      </c>
      <c r="E80" s="254">
        <f t="shared" si="26"/>
        <v>11400</v>
      </c>
      <c r="F80" s="255">
        <f t="shared" si="30"/>
        <v>4049.5333333333333</v>
      </c>
      <c r="G80" s="256">
        <f t="shared" si="31"/>
        <v>145.66666666666666</v>
      </c>
      <c r="H80" s="256">
        <f t="shared" si="32"/>
        <v>1165.3333333333333</v>
      </c>
      <c r="I80" s="256">
        <f t="shared" si="33"/>
        <v>582.66666666666663</v>
      </c>
      <c r="J80" s="256">
        <f t="shared" si="34"/>
        <v>950</v>
      </c>
      <c r="K80" s="256">
        <f t="shared" si="35"/>
        <v>950</v>
      </c>
      <c r="L80" s="256">
        <f t="shared" si="36"/>
        <v>316.66666666666669</v>
      </c>
      <c r="M80" s="256">
        <f t="shared" si="37"/>
        <v>950</v>
      </c>
      <c r="N80" s="255">
        <f>(R80+E80)/210*20%*160</f>
        <v>2258.2857142857142</v>
      </c>
      <c r="O80" s="256">
        <f>N80/6</f>
        <v>376.38095238095235</v>
      </c>
      <c r="P80" s="256">
        <f>(R80+E80)/210*1.75*1.2</f>
        <v>148.19999999999999</v>
      </c>
      <c r="Q80" s="256">
        <f>P80/6</f>
        <v>24.7</v>
      </c>
      <c r="R80" s="256">
        <f>E80*30%</f>
        <v>3420</v>
      </c>
      <c r="S80" s="257">
        <v>0</v>
      </c>
      <c r="T80" s="256">
        <f t="shared" si="38"/>
        <v>1163.6444444444446</v>
      </c>
      <c r="U80" s="258">
        <f t="shared" si="27"/>
        <v>16501.07777777778</v>
      </c>
      <c r="V80" s="256">
        <v>94.75</v>
      </c>
      <c r="W80" s="256">
        <v>500</v>
      </c>
      <c r="X80" s="256">
        <v>53.31</v>
      </c>
      <c r="Y80" s="256">
        <v>5.0599999999999996</v>
      </c>
      <c r="Z80" s="256">
        <v>17.5</v>
      </c>
      <c r="AA80" s="256">
        <v>23.65</v>
      </c>
      <c r="AB80" s="256">
        <v>218.1</v>
      </c>
      <c r="AC80" s="189">
        <f t="shared" si="28"/>
        <v>912.36999999999989</v>
      </c>
      <c r="AD80" s="259">
        <f t="shared" si="29"/>
        <v>28813.447777777779</v>
      </c>
    </row>
    <row r="81" spans="1:30" s="160" customFormat="1">
      <c r="A81" s="250">
        <v>76</v>
      </c>
      <c r="B81" s="251" t="s">
        <v>461</v>
      </c>
      <c r="C81" s="252">
        <v>1</v>
      </c>
      <c r="D81" s="253">
        <v>6500</v>
      </c>
      <c r="E81" s="254">
        <f t="shared" si="26"/>
        <v>6500</v>
      </c>
      <c r="F81" s="255">
        <f t="shared" si="30"/>
        <v>2308.9444444444448</v>
      </c>
      <c r="G81" s="256">
        <f t="shared" si="31"/>
        <v>83.055555555555571</v>
      </c>
      <c r="H81" s="256">
        <f t="shared" si="32"/>
        <v>664.44444444444457</v>
      </c>
      <c r="I81" s="256">
        <f t="shared" si="33"/>
        <v>332.22222222222229</v>
      </c>
      <c r="J81" s="256">
        <f t="shared" si="34"/>
        <v>541.66666666666663</v>
      </c>
      <c r="K81" s="256">
        <f t="shared" si="35"/>
        <v>541.66666666666663</v>
      </c>
      <c r="L81" s="256">
        <f t="shared" si="36"/>
        <v>180.55555555555554</v>
      </c>
      <c r="M81" s="256">
        <f t="shared" si="37"/>
        <v>541.66666666666663</v>
      </c>
      <c r="N81" s="255">
        <v>0</v>
      </c>
      <c r="O81" s="256">
        <v>0</v>
      </c>
      <c r="P81" s="256">
        <v>0</v>
      </c>
      <c r="Q81" s="256">
        <v>0</v>
      </c>
      <c r="R81" s="256">
        <v>0</v>
      </c>
      <c r="S81" s="257">
        <v>0</v>
      </c>
      <c r="T81" s="256">
        <v>0</v>
      </c>
      <c r="U81" s="258">
        <f t="shared" si="27"/>
        <v>5194.2222222222235</v>
      </c>
      <c r="V81" s="256">
        <v>0</v>
      </c>
      <c r="W81" s="256">
        <v>500</v>
      </c>
      <c r="X81" s="256">
        <v>53.31</v>
      </c>
      <c r="Y81" s="256">
        <v>5.0599999999999996</v>
      </c>
      <c r="Z81" s="256">
        <v>17.5</v>
      </c>
      <c r="AA81" s="256">
        <v>23.65</v>
      </c>
      <c r="AB81" s="256">
        <v>218.1</v>
      </c>
      <c r="AC81" s="189">
        <f t="shared" si="28"/>
        <v>817.61999999999989</v>
      </c>
      <c r="AD81" s="259">
        <f t="shared" si="29"/>
        <v>12511.842222222222</v>
      </c>
    </row>
    <row r="82" spans="1:30" s="160" customFormat="1">
      <c r="A82" s="250">
        <v>77</v>
      </c>
      <c r="B82" s="251" t="s">
        <v>422</v>
      </c>
      <c r="C82" s="252">
        <v>1</v>
      </c>
      <c r="D82" s="253">
        <v>3773.6</v>
      </c>
      <c r="E82" s="254">
        <f t="shared" si="26"/>
        <v>3773.6</v>
      </c>
      <c r="F82" s="255">
        <f t="shared" si="30"/>
        <v>1340.4665777777775</v>
      </c>
      <c r="G82" s="256">
        <f t="shared" si="31"/>
        <v>48.218222222222209</v>
      </c>
      <c r="H82" s="256">
        <f t="shared" si="32"/>
        <v>385.74577777777768</v>
      </c>
      <c r="I82" s="256">
        <f t="shared" si="33"/>
        <v>192.87288888888884</v>
      </c>
      <c r="J82" s="256">
        <f t="shared" si="34"/>
        <v>314.46666666666664</v>
      </c>
      <c r="K82" s="256">
        <f t="shared" si="35"/>
        <v>314.46666666666664</v>
      </c>
      <c r="L82" s="256">
        <f t="shared" si="36"/>
        <v>104.82222222222221</v>
      </c>
      <c r="M82" s="256">
        <f t="shared" si="37"/>
        <v>314.46666666666664</v>
      </c>
      <c r="N82" s="255">
        <v>0</v>
      </c>
      <c r="O82" s="256">
        <v>0</v>
      </c>
      <c r="P82" s="256">
        <v>0</v>
      </c>
      <c r="Q82" s="256">
        <v>0</v>
      </c>
      <c r="R82" s="256">
        <f>E82*30%</f>
        <v>1132.08</v>
      </c>
      <c r="S82" s="257">
        <v>0</v>
      </c>
      <c r="T82" s="256">
        <v>0</v>
      </c>
      <c r="U82" s="258">
        <f t="shared" si="27"/>
        <v>4147.6056888888888</v>
      </c>
      <c r="V82" s="256">
        <v>0</v>
      </c>
      <c r="W82" s="256">
        <v>500</v>
      </c>
      <c r="X82" s="256">
        <v>53.31</v>
      </c>
      <c r="Y82" s="256">
        <v>5.0599999999999996</v>
      </c>
      <c r="Z82" s="256">
        <v>17.5</v>
      </c>
      <c r="AA82" s="256">
        <v>23.65</v>
      </c>
      <c r="AB82" s="256">
        <v>218.1</v>
      </c>
      <c r="AC82" s="189">
        <f t="shared" si="28"/>
        <v>817.61999999999989</v>
      </c>
      <c r="AD82" s="259">
        <f t="shared" si="29"/>
        <v>8738.82568888889</v>
      </c>
    </row>
    <row r="83" spans="1:30" s="160" customFormat="1">
      <c r="A83" s="250">
        <v>78</v>
      </c>
      <c r="B83" s="251" t="s">
        <v>423</v>
      </c>
      <c r="C83" s="252">
        <v>1</v>
      </c>
      <c r="D83" s="253">
        <v>2600</v>
      </c>
      <c r="E83" s="254">
        <f t="shared" si="26"/>
        <v>2600</v>
      </c>
      <c r="F83" s="255">
        <f t="shared" si="30"/>
        <v>923.57777777777767</v>
      </c>
      <c r="G83" s="256">
        <f t="shared" si="31"/>
        <v>33.222222222222214</v>
      </c>
      <c r="H83" s="256">
        <f t="shared" si="32"/>
        <v>265.77777777777771</v>
      </c>
      <c r="I83" s="256">
        <f t="shared" si="33"/>
        <v>132.88888888888886</v>
      </c>
      <c r="J83" s="256">
        <f t="shared" si="34"/>
        <v>216.66666666666666</v>
      </c>
      <c r="K83" s="256">
        <f t="shared" si="35"/>
        <v>216.66666666666666</v>
      </c>
      <c r="L83" s="256">
        <f t="shared" si="36"/>
        <v>72.222222222222214</v>
      </c>
      <c r="M83" s="256">
        <f t="shared" si="37"/>
        <v>216.66666666666666</v>
      </c>
      <c r="N83" s="255">
        <v>0</v>
      </c>
      <c r="O83" s="256">
        <v>0</v>
      </c>
      <c r="P83" s="256">
        <f>E83/150*1.75</f>
        <v>30.333333333333332</v>
      </c>
      <c r="Q83" s="256">
        <f>P83/25*5</f>
        <v>6.0666666666666664</v>
      </c>
      <c r="R83" s="256">
        <v>0</v>
      </c>
      <c r="S83" s="257">
        <v>0</v>
      </c>
      <c r="T83" s="256">
        <v>0</v>
      </c>
      <c r="U83" s="258">
        <f t="shared" si="27"/>
        <v>2114.088888888889</v>
      </c>
      <c r="V83" s="256">
        <v>93.06</v>
      </c>
      <c r="W83" s="256">
        <v>500</v>
      </c>
      <c r="X83" s="256">
        <v>53.31</v>
      </c>
      <c r="Y83" s="256">
        <v>5.0599999999999996</v>
      </c>
      <c r="Z83" s="256">
        <v>17.5</v>
      </c>
      <c r="AA83" s="256">
        <v>23.65</v>
      </c>
      <c r="AB83" s="256">
        <v>218.1</v>
      </c>
      <c r="AC83" s="189">
        <f t="shared" si="28"/>
        <v>910.67999999999984</v>
      </c>
      <c r="AD83" s="259">
        <f t="shared" si="29"/>
        <v>5624.7688888888897</v>
      </c>
    </row>
    <row r="84" spans="1:30" s="160" customFormat="1">
      <c r="A84" s="250">
        <v>79</v>
      </c>
      <c r="B84" s="251" t="s">
        <v>424</v>
      </c>
      <c r="C84" s="252">
        <v>1</v>
      </c>
      <c r="D84" s="253">
        <v>2600</v>
      </c>
      <c r="E84" s="254">
        <f t="shared" si="26"/>
        <v>2600</v>
      </c>
      <c r="F84" s="255">
        <f t="shared" si="30"/>
        <v>923.57777777777767</v>
      </c>
      <c r="G84" s="256">
        <f t="shared" si="31"/>
        <v>33.222222222222214</v>
      </c>
      <c r="H84" s="256">
        <f t="shared" si="32"/>
        <v>265.77777777777771</v>
      </c>
      <c r="I84" s="256">
        <f t="shared" si="33"/>
        <v>132.88888888888886</v>
      </c>
      <c r="J84" s="256">
        <f t="shared" si="34"/>
        <v>216.66666666666666</v>
      </c>
      <c r="K84" s="256">
        <f t="shared" si="35"/>
        <v>216.66666666666666</v>
      </c>
      <c r="L84" s="256">
        <f t="shared" si="36"/>
        <v>72.222222222222214</v>
      </c>
      <c r="M84" s="256">
        <f t="shared" si="37"/>
        <v>216.66666666666666</v>
      </c>
      <c r="N84" s="255">
        <v>0</v>
      </c>
      <c r="O84" s="256">
        <v>0</v>
      </c>
      <c r="P84" s="256">
        <f t="shared" ref="P84:P91" si="39">E84/150*1.75</f>
        <v>30.333333333333332</v>
      </c>
      <c r="Q84" s="256">
        <f t="shared" ref="Q84:Q91" si="40">P84/25*5</f>
        <v>6.0666666666666664</v>
      </c>
      <c r="R84" s="256">
        <v>0</v>
      </c>
      <c r="S84" s="257">
        <v>0</v>
      </c>
      <c r="T84" s="256">
        <v>0</v>
      </c>
      <c r="U84" s="258">
        <f t="shared" si="27"/>
        <v>2114.088888888889</v>
      </c>
      <c r="V84" s="256">
        <v>93.06</v>
      </c>
      <c r="W84" s="256">
        <v>500</v>
      </c>
      <c r="X84" s="256">
        <v>53.31</v>
      </c>
      <c r="Y84" s="256">
        <v>5.0599999999999996</v>
      </c>
      <c r="Z84" s="256">
        <v>17.5</v>
      </c>
      <c r="AA84" s="256">
        <v>23.65</v>
      </c>
      <c r="AB84" s="256">
        <v>218.1</v>
      </c>
      <c r="AC84" s="189">
        <f t="shared" si="28"/>
        <v>910.67999999999984</v>
      </c>
      <c r="AD84" s="259">
        <f t="shared" si="29"/>
        <v>5624.7688888888897</v>
      </c>
    </row>
    <row r="85" spans="1:30" s="160" customFormat="1">
      <c r="A85" s="250">
        <v>80</v>
      </c>
      <c r="B85" s="251" t="s">
        <v>425</v>
      </c>
      <c r="C85" s="252">
        <v>1</v>
      </c>
      <c r="D85" s="253">
        <v>2600</v>
      </c>
      <c r="E85" s="254">
        <f t="shared" si="26"/>
        <v>2600</v>
      </c>
      <c r="F85" s="255">
        <f t="shared" si="30"/>
        <v>923.57777777777767</v>
      </c>
      <c r="G85" s="256">
        <f t="shared" si="31"/>
        <v>33.222222222222214</v>
      </c>
      <c r="H85" s="256">
        <f t="shared" si="32"/>
        <v>265.77777777777771</v>
      </c>
      <c r="I85" s="256">
        <f t="shared" si="33"/>
        <v>132.88888888888886</v>
      </c>
      <c r="J85" s="256">
        <f t="shared" si="34"/>
        <v>216.66666666666666</v>
      </c>
      <c r="K85" s="256">
        <f t="shared" si="35"/>
        <v>216.66666666666666</v>
      </c>
      <c r="L85" s="256">
        <f t="shared" si="36"/>
        <v>72.222222222222214</v>
      </c>
      <c r="M85" s="256">
        <f t="shared" si="37"/>
        <v>216.66666666666666</v>
      </c>
      <c r="N85" s="255">
        <v>0</v>
      </c>
      <c r="O85" s="256">
        <v>0</v>
      </c>
      <c r="P85" s="256">
        <f t="shared" si="39"/>
        <v>30.333333333333332</v>
      </c>
      <c r="Q85" s="256">
        <f t="shared" si="40"/>
        <v>6.0666666666666664</v>
      </c>
      <c r="R85" s="256">
        <v>0</v>
      </c>
      <c r="S85" s="257">
        <v>0</v>
      </c>
      <c r="T85" s="256">
        <v>0</v>
      </c>
      <c r="U85" s="258">
        <f t="shared" si="27"/>
        <v>2114.088888888889</v>
      </c>
      <c r="V85" s="256">
        <v>93.06</v>
      </c>
      <c r="W85" s="256">
        <v>500</v>
      </c>
      <c r="X85" s="256">
        <v>53.31</v>
      </c>
      <c r="Y85" s="256">
        <v>5.0599999999999996</v>
      </c>
      <c r="Z85" s="256">
        <v>17.5</v>
      </c>
      <c r="AA85" s="256">
        <v>23.65</v>
      </c>
      <c r="AB85" s="256">
        <v>218.1</v>
      </c>
      <c r="AC85" s="189">
        <f t="shared" si="28"/>
        <v>910.67999999999984</v>
      </c>
      <c r="AD85" s="259">
        <f t="shared" si="29"/>
        <v>5624.7688888888897</v>
      </c>
    </row>
    <row r="86" spans="1:30" s="160" customFormat="1">
      <c r="A86" s="250">
        <v>81</v>
      </c>
      <c r="B86" s="251" t="s">
        <v>426</v>
      </c>
      <c r="C86" s="252">
        <v>1</v>
      </c>
      <c r="D86" s="253">
        <v>2600</v>
      </c>
      <c r="E86" s="254">
        <f t="shared" si="26"/>
        <v>2600</v>
      </c>
      <c r="F86" s="255">
        <f t="shared" si="30"/>
        <v>923.57777777777767</v>
      </c>
      <c r="G86" s="256">
        <f t="shared" si="31"/>
        <v>33.222222222222214</v>
      </c>
      <c r="H86" s="256">
        <f t="shared" si="32"/>
        <v>265.77777777777771</v>
      </c>
      <c r="I86" s="256">
        <f t="shared" si="33"/>
        <v>132.88888888888886</v>
      </c>
      <c r="J86" s="256">
        <f t="shared" si="34"/>
        <v>216.66666666666666</v>
      </c>
      <c r="K86" s="256">
        <f t="shared" si="35"/>
        <v>216.66666666666666</v>
      </c>
      <c r="L86" s="256">
        <f t="shared" si="36"/>
        <v>72.222222222222214</v>
      </c>
      <c r="M86" s="256">
        <f t="shared" si="37"/>
        <v>216.66666666666666</v>
      </c>
      <c r="N86" s="255">
        <v>0</v>
      </c>
      <c r="O86" s="256">
        <v>0</v>
      </c>
      <c r="P86" s="256">
        <f t="shared" si="39"/>
        <v>30.333333333333332</v>
      </c>
      <c r="Q86" s="256">
        <f t="shared" si="40"/>
        <v>6.0666666666666664</v>
      </c>
      <c r="R86" s="256">
        <v>0</v>
      </c>
      <c r="S86" s="257">
        <v>0</v>
      </c>
      <c r="T86" s="256">
        <v>0</v>
      </c>
      <c r="U86" s="258">
        <f t="shared" si="27"/>
        <v>2114.088888888889</v>
      </c>
      <c r="V86" s="256">
        <v>93.06</v>
      </c>
      <c r="W86" s="256">
        <v>500</v>
      </c>
      <c r="X86" s="256">
        <v>53.31</v>
      </c>
      <c r="Y86" s="256">
        <v>5.0599999999999996</v>
      </c>
      <c r="Z86" s="256">
        <v>17.5</v>
      </c>
      <c r="AA86" s="256">
        <v>23.65</v>
      </c>
      <c r="AB86" s="256">
        <v>218.1</v>
      </c>
      <c r="AC86" s="189">
        <f t="shared" si="28"/>
        <v>910.67999999999984</v>
      </c>
      <c r="AD86" s="259">
        <f t="shared" si="29"/>
        <v>5624.7688888888897</v>
      </c>
    </row>
    <row r="87" spans="1:30" s="160" customFormat="1">
      <c r="A87" s="250">
        <v>82</v>
      </c>
      <c r="B87" s="251" t="s">
        <v>427</v>
      </c>
      <c r="C87" s="252">
        <v>1</v>
      </c>
      <c r="D87" s="253">
        <v>2600</v>
      </c>
      <c r="E87" s="254">
        <f t="shared" si="26"/>
        <v>2600</v>
      </c>
      <c r="F87" s="255">
        <f t="shared" si="30"/>
        <v>923.57777777777767</v>
      </c>
      <c r="G87" s="256">
        <f t="shared" si="31"/>
        <v>33.222222222222214</v>
      </c>
      <c r="H87" s="256">
        <f t="shared" si="32"/>
        <v>265.77777777777771</v>
      </c>
      <c r="I87" s="256">
        <f t="shared" si="33"/>
        <v>132.88888888888886</v>
      </c>
      <c r="J87" s="256">
        <f t="shared" si="34"/>
        <v>216.66666666666666</v>
      </c>
      <c r="K87" s="256">
        <f t="shared" si="35"/>
        <v>216.66666666666666</v>
      </c>
      <c r="L87" s="256">
        <f t="shared" si="36"/>
        <v>72.222222222222214</v>
      </c>
      <c r="M87" s="256">
        <f t="shared" si="37"/>
        <v>216.66666666666666</v>
      </c>
      <c r="N87" s="255">
        <v>0</v>
      </c>
      <c r="O87" s="256">
        <v>0</v>
      </c>
      <c r="P87" s="256">
        <f t="shared" si="39"/>
        <v>30.333333333333332</v>
      </c>
      <c r="Q87" s="256">
        <f t="shared" si="40"/>
        <v>6.0666666666666664</v>
      </c>
      <c r="R87" s="256">
        <v>0</v>
      </c>
      <c r="S87" s="257">
        <v>0</v>
      </c>
      <c r="T87" s="256">
        <v>0</v>
      </c>
      <c r="U87" s="258">
        <f t="shared" si="27"/>
        <v>2114.088888888889</v>
      </c>
      <c r="V87" s="256">
        <v>93.06</v>
      </c>
      <c r="W87" s="256">
        <v>500</v>
      </c>
      <c r="X87" s="256">
        <v>53.31</v>
      </c>
      <c r="Y87" s="256">
        <v>5.0599999999999996</v>
      </c>
      <c r="Z87" s="256">
        <v>17.5</v>
      </c>
      <c r="AA87" s="256">
        <v>23.65</v>
      </c>
      <c r="AB87" s="256">
        <v>218.1</v>
      </c>
      <c r="AC87" s="189">
        <f t="shared" si="28"/>
        <v>910.67999999999984</v>
      </c>
      <c r="AD87" s="259">
        <f t="shared" si="29"/>
        <v>5624.7688888888897</v>
      </c>
    </row>
    <row r="88" spans="1:30" s="160" customFormat="1">
      <c r="A88" s="250">
        <v>83</v>
      </c>
      <c r="B88" s="251" t="s">
        <v>428</v>
      </c>
      <c r="C88" s="252">
        <v>1</v>
      </c>
      <c r="D88" s="253">
        <v>1750</v>
      </c>
      <c r="E88" s="254">
        <f t="shared" si="26"/>
        <v>1750</v>
      </c>
      <c r="F88" s="255">
        <f t="shared" si="30"/>
        <v>621.63888888888903</v>
      </c>
      <c r="G88" s="256">
        <f t="shared" si="31"/>
        <v>22.361111111111114</v>
      </c>
      <c r="H88" s="256">
        <f t="shared" si="32"/>
        <v>178.88888888888891</v>
      </c>
      <c r="I88" s="256">
        <f t="shared" si="33"/>
        <v>89.444444444444457</v>
      </c>
      <c r="J88" s="256">
        <f t="shared" si="34"/>
        <v>145.83333333333334</v>
      </c>
      <c r="K88" s="256">
        <f t="shared" si="35"/>
        <v>145.83333333333334</v>
      </c>
      <c r="L88" s="256">
        <f t="shared" si="36"/>
        <v>48.611111111111114</v>
      </c>
      <c r="M88" s="256">
        <f t="shared" si="37"/>
        <v>145.83333333333334</v>
      </c>
      <c r="N88" s="255">
        <v>0</v>
      </c>
      <c r="O88" s="256">
        <v>0</v>
      </c>
      <c r="P88" s="256">
        <f t="shared" si="39"/>
        <v>20.416666666666664</v>
      </c>
      <c r="Q88" s="256">
        <f t="shared" si="40"/>
        <v>4.083333333333333</v>
      </c>
      <c r="R88" s="256">
        <v>0</v>
      </c>
      <c r="S88" s="257">
        <v>0</v>
      </c>
      <c r="T88" s="256">
        <v>0</v>
      </c>
      <c r="U88" s="258">
        <f t="shared" si="27"/>
        <v>1422.9444444444443</v>
      </c>
      <c r="V88" s="256">
        <v>93.06</v>
      </c>
      <c r="W88" s="256">
        <v>500</v>
      </c>
      <c r="X88" s="256">
        <v>53.31</v>
      </c>
      <c r="Y88" s="256">
        <v>5.0599999999999996</v>
      </c>
      <c r="Z88" s="256">
        <v>17.5</v>
      </c>
      <c r="AA88" s="256">
        <v>23.65</v>
      </c>
      <c r="AB88" s="256">
        <v>218.1</v>
      </c>
      <c r="AC88" s="189">
        <f t="shared" si="28"/>
        <v>910.67999999999984</v>
      </c>
      <c r="AD88" s="259">
        <f t="shared" si="29"/>
        <v>4083.6244444444442</v>
      </c>
    </row>
    <row r="89" spans="1:30" s="160" customFormat="1">
      <c r="A89" s="250">
        <v>84</v>
      </c>
      <c r="B89" s="251" t="s">
        <v>429</v>
      </c>
      <c r="C89" s="252">
        <v>1</v>
      </c>
      <c r="D89" s="253">
        <v>1642</v>
      </c>
      <c r="E89" s="254">
        <f t="shared" si="26"/>
        <v>1642</v>
      </c>
      <c r="F89" s="255">
        <f t="shared" si="30"/>
        <v>583.27488888888888</v>
      </c>
      <c r="G89" s="256">
        <f t="shared" si="31"/>
        <v>20.981111111111108</v>
      </c>
      <c r="H89" s="256">
        <f t="shared" si="32"/>
        <v>167.84888888888887</v>
      </c>
      <c r="I89" s="256">
        <f t="shared" si="33"/>
        <v>83.924444444444433</v>
      </c>
      <c r="J89" s="256">
        <f t="shared" si="34"/>
        <v>136.83333333333334</v>
      </c>
      <c r="K89" s="256">
        <f t="shared" si="35"/>
        <v>136.83333333333334</v>
      </c>
      <c r="L89" s="256">
        <f t="shared" si="36"/>
        <v>45.611111111111114</v>
      </c>
      <c r="M89" s="256">
        <f t="shared" si="37"/>
        <v>136.83333333333334</v>
      </c>
      <c r="N89" s="255">
        <v>0</v>
      </c>
      <c r="O89" s="256">
        <v>0</v>
      </c>
      <c r="P89" s="256">
        <f t="shared" si="39"/>
        <v>19.156666666666666</v>
      </c>
      <c r="Q89" s="256">
        <f t="shared" si="40"/>
        <v>3.8313333333333333</v>
      </c>
      <c r="R89" s="256">
        <v>0</v>
      </c>
      <c r="S89" s="257">
        <v>0</v>
      </c>
      <c r="T89" s="256">
        <v>0</v>
      </c>
      <c r="U89" s="258">
        <f t="shared" si="27"/>
        <v>1335.1284444444443</v>
      </c>
      <c r="V89" s="256">
        <v>93.06</v>
      </c>
      <c r="W89" s="256">
        <v>500</v>
      </c>
      <c r="X89" s="256">
        <v>53.31</v>
      </c>
      <c r="Y89" s="256">
        <v>5.0599999999999996</v>
      </c>
      <c r="Z89" s="256">
        <v>17.5</v>
      </c>
      <c r="AA89" s="256">
        <v>23.65</v>
      </c>
      <c r="AB89" s="256">
        <v>218.1</v>
      </c>
      <c r="AC89" s="189">
        <f t="shared" si="28"/>
        <v>910.67999999999984</v>
      </c>
      <c r="AD89" s="259">
        <f t="shared" si="29"/>
        <v>3887.8084444444444</v>
      </c>
    </row>
    <row r="90" spans="1:30" s="160" customFormat="1">
      <c r="A90" s="250">
        <v>85</v>
      </c>
      <c r="B90" s="251" t="s">
        <v>430</v>
      </c>
      <c r="C90" s="252">
        <v>1</v>
      </c>
      <c r="D90" s="253">
        <v>1385</v>
      </c>
      <c r="E90" s="254">
        <f t="shared" si="26"/>
        <v>1385</v>
      </c>
      <c r="F90" s="255">
        <f t="shared" si="30"/>
        <v>491.98277777777787</v>
      </c>
      <c r="G90" s="256">
        <f t="shared" si="31"/>
        <v>17.697222222222223</v>
      </c>
      <c r="H90" s="256">
        <f t="shared" si="32"/>
        <v>141.57777777777778</v>
      </c>
      <c r="I90" s="256">
        <f t="shared" si="33"/>
        <v>70.788888888888891</v>
      </c>
      <c r="J90" s="256">
        <f t="shared" si="34"/>
        <v>115.41666666666667</v>
      </c>
      <c r="K90" s="256">
        <f t="shared" si="35"/>
        <v>115.41666666666667</v>
      </c>
      <c r="L90" s="256">
        <f t="shared" si="36"/>
        <v>38.472222222222221</v>
      </c>
      <c r="M90" s="256">
        <f t="shared" si="37"/>
        <v>115.41666666666667</v>
      </c>
      <c r="N90" s="255">
        <v>0</v>
      </c>
      <c r="O90" s="256">
        <v>0</v>
      </c>
      <c r="P90" s="256">
        <f t="shared" si="39"/>
        <v>16.158333333333331</v>
      </c>
      <c r="Q90" s="256">
        <f t="shared" si="40"/>
        <v>3.231666666666666</v>
      </c>
      <c r="R90" s="256">
        <v>0</v>
      </c>
      <c r="S90" s="257">
        <v>0</v>
      </c>
      <c r="T90" s="256">
        <v>0</v>
      </c>
      <c r="U90" s="258">
        <f t="shared" si="27"/>
        <v>1126.1588888888887</v>
      </c>
      <c r="V90" s="256">
        <v>93.06</v>
      </c>
      <c r="W90" s="256">
        <v>500</v>
      </c>
      <c r="X90" s="256">
        <v>53.31</v>
      </c>
      <c r="Y90" s="256">
        <v>5.0599999999999996</v>
      </c>
      <c r="Z90" s="256">
        <v>17.5</v>
      </c>
      <c r="AA90" s="256">
        <v>23.65</v>
      </c>
      <c r="AB90" s="256">
        <v>218.1</v>
      </c>
      <c r="AC90" s="189">
        <f t="shared" si="28"/>
        <v>910.67999999999984</v>
      </c>
      <c r="AD90" s="259">
        <f t="shared" si="29"/>
        <v>3421.8388888888885</v>
      </c>
    </row>
    <row r="91" spans="1:30" s="160" customFormat="1">
      <c r="A91" s="250">
        <v>86</v>
      </c>
      <c r="B91" s="251" t="s">
        <v>431</v>
      </c>
      <c r="C91" s="252">
        <v>1</v>
      </c>
      <c r="D91" s="253">
        <v>1452.39</v>
      </c>
      <c r="E91" s="254">
        <f t="shared" si="26"/>
        <v>1452.39</v>
      </c>
      <c r="F91" s="255">
        <f t="shared" si="30"/>
        <v>515.92120333333344</v>
      </c>
      <c r="G91" s="256">
        <f t="shared" si="31"/>
        <v>18.55831666666667</v>
      </c>
      <c r="H91" s="256">
        <f t="shared" si="32"/>
        <v>148.46653333333336</v>
      </c>
      <c r="I91" s="256">
        <f t="shared" si="33"/>
        <v>74.23326666666668</v>
      </c>
      <c r="J91" s="256">
        <f t="shared" si="34"/>
        <v>121.03250000000001</v>
      </c>
      <c r="K91" s="256">
        <f t="shared" si="35"/>
        <v>121.03250000000001</v>
      </c>
      <c r="L91" s="256">
        <f t="shared" si="36"/>
        <v>40.344166666666673</v>
      </c>
      <c r="M91" s="256">
        <f t="shared" si="37"/>
        <v>121.03250000000001</v>
      </c>
      <c r="N91" s="255">
        <v>0</v>
      </c>
      <c r="O91" s="256">
        <v>0</v>
      </c>
      <c r="P91" s="256">
        <f t="shared" si="39"/>
        <v>16.94455</v>
      </c>
      <c r="Q91" s="256">
        <f t="shared" si="40"/>
        <v>3.3889100000000001</v>
      </c>
      <c r="R91" s="256">
        <v>0</v>
      </c>
      <c r="S91" s="257">
        <v>0</v>
      </c>
      <c r="T91" s="256">
        <v>0</v>
      </c>
      <c r="U91" s="258">
        <f t="shared" si="27"/>
        <v>1180.9544466666669</v>
      </c>
      <c r="V91" s="256">
        <v>93.06</v>
      </c>
      <c r="W91" s="256">
        <v>500</v>
      </c>
      <c r="X91" s="256">
        <v>53.31</v>
      </c>
      <c r="Y91" s="256">
        <v>5.0599999999999996</v>
      </c>
      <c r="Z91" s="256">
        <v>17.5</v>
      </c>
      <c r="AA91" s="256">
        <v>23.65</v>
      </c>
      <c r="AB91" s="256">
        <v>218.1</v>
      </c>
      <c r="AC91" s="189">
        <f t="shared" si="28"/>
        <v>910.67999999999984</v>
      </c>
      <c r="AD91" s="259">
        <f t="shared" si="29"/>
        <v>3544.0244466666668</v>
      </c>
    </row>
    <row r="92" spans="1:30" s="160" customFormat="1">
      <c r="A92" s="250">
        <v>87</v>
      </c>
      <c r="B92" s="251" t="s">
        <v>435</v>
      </c>
      <c r="C92" s="252">
        <v>2</v>
      </c>
      <c r="D92" s="253">
        <v>1900</v>
      </c>
      <c r="E92" s="254">
        <f t="shared" si="26"/>
        <v>3800</v>
      </c>
      <c r="F92" s="255">
        <f t="shared" si="30"/>
        <v>1434.9433333333336</v>
      </c>
      <c r="G92" s="256">
        <f t="shared" si="31"/>
        <v>51.616666666666674</v>
      </c>
      <c r="H92" s="256">
        <f t="shared" si="32"/>
        <v>412.93333333333339</v>
      </c>
      <c r="I92" s="256">
        <f t="shared" si="33"/>
        <v>301.4666666666667</v>
      </c>
      <c r="J92" s="256">
        <f t="shared" si="34"/>
        <v>332.5</v>
      </c>
      <c r="K92" s="256">
        <f t="shared" si="35"/>
        <v>332.5</v>
      </c>
      <c r="L92" s="256">
        <f t="shared" si="36"/>
        <v>174.16666666666666</v>
      </c>
      <c r="M92" s="256">
        <f t="shared" si="37"/>
        <v>332.5</v>
      </c>
      <c r="N92" s="255">
        <v>0</v>
      </c>
      <c r="O92" s="256">
        <v>0</v>
      </c>
      <c r="P92" s="256">
        <f>(R92+E92)/210*1.75*1.2</f>
        <v>49.400000000000006</v>
      </c>
      <c r="Q92" s="256">
        <f>P92/6</f>
        <v>8.2333333333333343</v>
      </c>
      <c r="R92" s="256">
        <f>E92*30%</f>
        <v>1140</v>
      </c>
      <c r="S92" s="257">
        <v>190</v>
      </c>
      <c r="T92" s="256">
        <f>(E92+R92+N92+O92)/30*2</f>
        <v>329.33333333333331</v>
      </c>
      <c r="U92" s="258">
        <f t="shared" si="27"/>
        <v>5089.5933333333332</v>
      </c>
      <c r="V92" s="256">
        <v>63.45</v>
      </c>
      <c r="W92" s="256">
        <v>500</v>
      </c>
      <c r="X92" s="256">
        <v>53.31</v>
      </c>
      <c r="Y92" s="256">
        <v>5.0599999999999996</v>
      </c>
      <c r="Z92" s="256">
        <v>17.5</v>
      </c>
      <c r="AA92" s="256">
        <v>23.65</v>
      </c>
      <c r="AB92" s="256">
        <v>218.1</v>
      </c>
      <c r="AC92" s="189">
        <f t="shared" si="28"/>
        <v>881.06999999999994</v>
      </c>
      <c r="AD92" s="259">
        <f t="shared" si="29"/>
        <v>9770.6633333333339</v>
      </c>
    </row>
    <row r="93" spans="1:30" s="160" customFormat="1">
      <c r="A93" s="250">
        <v>88</v>
      </c>
      <c r="B93" s="251" t="s">
        <v>432</v>
      </c>
      <c r="C93" s="252">
        <v>8</v>
      </c>
      <c r="D93" s="253">
        <v>1900</v>
      </c>
      <c r="E93" s="254">
        <f t="shared" si="26"/>
        <v>15200</v>
      </c>
      <c r="F93" s="255">
        <f t="shared" si="30"/>
        <v>5399.3777777777796</v>
      </c>
      <c r="G93" s="256">
        <f t="shared" si="31"/>
        <v>194.22222222222226</v>
      </c>
      <c r="H93" s="256">
        <f t="shared" si="32"/>
        <v>1553.7777777777781</v>
      </c>
      <c r="I93" s="256">
        <f t="shared" si="33"/>
        <v>776.88888888888903</v>
      </c>
      <c r="J93" s="256">
        <f t="shared" si="34"/>
        <v>1266.6666666666667</v>
      </c>
      <c r="K93" s="256">
        <f t="shared" si="35"/>
        <v>1266.6666666666667</v>
      </c>
      <c r="L93" s="256">
        <f t="shared" si="36"/>
        <v>422.22222222222223</v>
      </c>
      <c r="M93" s="256">
        <f t="shared" si="37"/>
        <v>1266.6666666666667</v>
      </c>
      <c r="N93" s="255">
        <v>0</v>
      </c>
      <c r="O93" s="256">
        <v>0</v>
      </c>
      <c r="P93" s="256">
        <f>(R93+E93)/210*1.75*1.2</f>
        <v>197.60000000000002</v>
      </c>
      <c r="Q93" s="256">
        <f>P93/6</f>
        <v>32.933333333333337</v>
      </c>
      <c r="R93" s="256">
        <f>E93*30%</f>
        <v>4560</v>
      </c>
      <c r="S93" s="257">
        <v>0</v>
      </c>
      <c r="T93" s="256">
        <f t="shared" ref="T93:T95" si="41">(E93+R93+N93+O93)/30*2</f>
        <v>1317.3333333333333</v>
      </c>
      <c r="U93" s="258">
        <f t="shared" si="27"/>
        <v>18254.355555555554</v>
      </c>
      <c r="V93" s="256">
        <v>63.45</v>
      </c>
      <c r="W93" s="256">
        <v>500</v>
      </c>
      <c r="X93" s="256">
        <v>53.31</v>
      </c>
      <c r="Y93" s="256">
        <v>5.0599999999999996</v>
      </c>
      <c r="Z93" s="256">
        <v>17.5</v>
      </c>
      <c r="AA93" s="256">
        <v>23.65</v>
      </c>
      <c r="AB93" s="256">
        <v>218.1</v>
      </c>
      <c r="AC93" s="189">
        <f t="shared" si="28"/>
        <v>881.06999999999994</v>
      </c>
      <c r="AD93" s="259">
        <f t="shared" si="29"/>
        <v>34335.42555555555</v>
      </c>
    </row>
    <row r="94" spans="1:30" s="160" customFormat="1">
      <c r="A94" s="250">
        <v>89</v>
      </c>
      <c r="B94" s="251" t="s">
        <v>433</v>
      </c>
      <c r="C94" s="252">
        <v>2</v>
      </c>
      <c r="D94" s="253">
        <v>1900</v>
      </c>
      <c r="E94" s="254">
        <f t="shared" si="26"/>
        <v>3800</v>
      </c>
      <c r="F94" s="255">
        <f t="shared" si="30"/>
        <v>1434.9433333333336</v>
      </c>
      <c r="G94" s="256">
        <f t="shared" si="31"/>
        <v>51.616666666666674</v>
      </c>
      <c r="H94" s="256">
        <f t="shared" si="32"/>
        <v>412.93333333333339</v>
      </c>
      <c r="I94" s="256">
        <f t="shared" si="33"/>
        <v>301.4666666666667</v>
      </c>
      <c r="J94" s="256">
        <f t="shared" si="34"/>
        <v>332.5</v>
      </c>
      <c r="K94" s="256">
        <f t="shared" si="35"/>
        <v>332.5</v>
      </c>
      <c r="L94" s="256">
        <f t="shared" si="36"/>
        <v>174.16666666666666</v>
      </c>
      <c r="M94" s="256">
        <f t="shared" si="37"/>
        <v>332.5</v>
      </c>
      <c r="N94" s="255">
        <f>(R94+E94)/210*20%*160</f>
        <v>752.76190476190482</v>
      </c>
      <c r="O94" s="256">
        <f>N94/6</f>
        <v>125.46031746031747</v>
      </c>
      <c r="P94" s="256">
        <f>(R94+E94)/210*1.75*1.2</f>
        <v>49.400000000000006</v>
      </c>
      <c r="Q94" s="256">
        <f>P94/6</f>
        <v>8.2333333333333343</v>
      </c>
      <c r="R94" s="256">
        <f>E94*30%</f>
        <v>1140</v>
      </c>
      <c r="S94" s="257">
        <v>190</v>
      </c>
      <c r="T94" s="256">
        <f t="shared" si="41"/>
        <v>387.88148148148144</v>
      </c>
      <c r="U94" s="258">
        <f t="shared" si="27"/>
        <v>6026.3637037037033</v>
      </c>
      <c r="V94" s="256">
        <v>63.45</v>
      </c>
      <c r="W94" s="256">
        <v>500</v>
      </c>
      <c r="X94" s="256">
        <v>53.31</v>
      </c>
      <c r="Y94" s="256">
        <v>5.0599999999999996</v>
      </c>
      <c r="Z94" s="256">
        <v>17.5</v>
      </c>
      <c r="AA94" s="256">
        <v>23.65</v>
      </c>
      <c r="AB94" s="256">
        <v>218.1</v>
      </c>
      <c r="AC94" s="189">
        <f t="shared" si="28"/>
        <v>881.06999999999994</v>
      </c>
      <c r="AD94" s="259">
        <f t="shared" si="29"/>
        <v>10707.433703703704</v>
      </c>
    </row>
    <row r="95" spans="1:30" s="160" customFormat="1">
      <c r="A95" s="250">
        <v>90</v>
      </c>
      <c r="B95" s="251" t="s">
        <v>434</v>
      </c>
      <c r="C95" s="252">
        <v>4</v>
      </c>
      <c r="D95" s="253">
        <v>1900</v>
      </c>
      <c r="E95" s="254">
        <f t="shared" si="26"/>
        <v>7600</v>
      </c>
      <c r="F95" s="255">
        <f t="shared" si="30"/>
        <v>2699.6888888888898</v>
      </c>
      <c r="G95" s="256">
        <f t="shared" si="31"/>
        <v>97.111111111111128</v>
      </c>
      <c r="H95" s="256">
        <f t="shared" si="32"/>
        <v>776.88888888888903</v>
      </c>
      <c r="I95" s="256">
        <f t="shared" si="33"/>
        <v>388.44444444444451</v>
      </c>
      <c r="J95" s="256">
        <f t="shared" si="34"/>
        <v>633.33333333333337</v>
      </c>
      <c r="K95" s="256">
        <f t="shared" si="35"/>
        <v>633.33333333333337</v>
      </c>
      <c r="L95" s="256">
        <f t="shared" si="36"/>
        <v>211.11111111111111</v>
      </c>
      <c r="M95" s="256">
        <f t="shared" si="37"/>
        <v>633.33333333333337</v>
      </c>
      <c r="N95" s="255">
        <f>(R95+E95)/210*20%*160</f>
        <v>1505.5238095238096</v>
      </c>
      <c r="O95" s="256">
        <f>N95/6</f>
        <v>250.92063492063494</v>
      </c>
      <c r="P95" s="256">
        <f>(R95+E95)/210*1.75*1.2</f>
        <v>98.800000000000011</v>
      </c>
      <c r="Q95" s="256">
        <f>P95/6</f>
        <v>16.466666666666669</v>
      </c>
      <c r="R95" s="256">
        <f>E95*30%</f>
        <v>2280</v>
      </c>
      <c r="S95" s="257">
        <v>0</v>
      </c>
      <c r="T95" s="256">
        <f t="shared" si="41"/>
        <v>775.76296296296289</v>
      </c>
      <c r="U95" s="258">
        <f t="shared" si="27"/>
        <v>11000.718518518519</v>
      </c>
      <c r="V95" s="256">
        <v>63.45</v>
      </c>
      <c r="W95" s="256">
        <v>500</v>
      </c>
      <c r="X95" s="256">
        <v>53.31</v>
      </c>
      <c r="Y95" s="256">
        <v>5.0599999999999996</v>
      </c>
      <c r="Z95" s="256">
        <v>17.5</v>
      </c>
      <c r="AA95" s="256">
        <v>23.65</v>
      </c>
      <c r="AB95" s="256">
        <v>218.1</v>
      </c>
      <c r="AC95" s="189">
        <f t="shared" si="28"/>
        <v>881.06999999999994</v>
      </c>
      <c r="AD95" s="259">
        <f t="shared" si="29"/>
        <v>19481.788518518519</v>
      </c>
    </row>
    <row r="96" spans="1:30" s="160" customFormat="1">
      <c r="A96" s="250">
        <v>91</v>
      </c>
      <c r="B96" s="251" t="s">
        <v>461</v>
      </c>
      <c r="C96" s="252">
        <v>1</v>
      </c>
      <c r="D96" s="253">
        <v>6500</v>
      </c>
      <c r="E96" s="254">
        <f t="shared" si="26"/>
        <v>6500</v>
      </c>
      <c r="F96" s="255">
        <f t="shared" si="30"/>
        <v>2308.9444444444448</v>
      </c>
      <c r="G96" s="256">
        <f t="shared" si="31"/>
        <v>83.055555555555571</v>
      </c>
      <c r="H96" s="256">
        <f t="shared" si="32"/>
        <v>664.44444444444457</v>
      </c>
      <c r="I96" s="256">
        <f t="shared" si="33"/>
        <v>332.22222222222229</v>
      </c>
      <c r="J96" s="256">
        <f t="shared" si="34"/>
        <v>541.66666666666663</v>
      </c>
      <c r="K96" s="256">
        <f t="shared" si="35"/>
        <v>541.66666666666663</v>
      </c>
      <c r="L96" s="256">
        <f t="shared" si="36"/>
        <v>180.55555555555554</v>
      </c>
      <c r="M96" s="256">
        <f t="shared" si="37"/>
        <v>541.66666666666663</v>
      </c>
      <c r="N96" s="255">
        <v>0</v>
      </c>
      <c r="O96" s="256">
        <v>0</v>
      </c>
      <c r="P96" s="256">
        <v>0</v>
      </c>
      <c r="Q96" s="256">
        <v>0</v>
      </c>
      <c r="R96" s="256">
        <v>0</v>
      </c>
      <c r="S96" s="257">
        <v>0</v>
      </c>
      <c r="T96" s="256">
        <v>0</v>
      </c>
      <c r="U96" s="258">
        <f t="shared" si="27"/>
        <v>5194.2222222222235</v>
      </c>
      <c r="V96" s="256">
        <v>0</v>
      </c>
      <c r="W96" s="256">
        <v>500</v>
      </c>
      <c r="X96" s="256">
        <v>53.31</v>
      </c>
      <c r="Y96" s="256">
        <v>5.0599999999999996</v>
      </c>
      <c r="Z96" s="256">
        <v>17.5</v>
      </c>
      <c r="AA96" s="256">
        <v>23.65</v>
      </c>
      <c r="AB96" s="256">
        <v>218.1</v>
      </c>
      <c r="AC96" s="189">
        <f t="shared" si="28"/>
        <v>817.61999999999989</v>
      </c>
      <c r="AD96" s="259">
        <f t="shared" si="29"/>
        <v>12511.842222222222</v>
      </c>
    </row>
    <row r="97" spans="1:30" s="160" customFormat="1">
      <c r="A97" s="250">
        <v>92</v>
      </c>
      <c r="B97" s="251" t="s">
        <v>422</v>
      </c>
      <c r="C97" s="252">
        <v>1</v>
      </c>
      <c r="D97" s="253">
        <v>3773.6</v>
      </c>
      <c r="E97" s="254">
        <f t="shared" si="26"/>
        <v>3773.6</v>
      </c>
      <c r="F97" s="255">
        <f t="shared" si="30"/>
        <v>1340.4665777777775</v>
      </c>
      <c r="G97" s="256">
        <f t="shared" si="31"/>
        <v>48.218222222222209</v>
      </c>
      <c r="H97" s="256">
        <f t="shared" si="32"/>
        <v>385.74577777777768</v>
      </c>
      <c r="I97" s="256">
        <f t="shared" si="33"/>
        <v>192.87288888888884</v>
      </c>
      <c r="J97" s="256">
        <f t="shared" si="34"/>
        <v>314.46666666666664</v>
      </c>
      <c r="K97" s="256">
        <f t="shared" si="35"/>
        <v>314.46666666666664</v>
      </c>
      <c r="L97" s="256">
        <f t="shared" si="36"/>
        <v>104.82222222222221</v>
      </c>
      <c r="M97" s="256">
        <f t="shared" si="37"/>
        <v>314.46666666666664</v>
      </c>
      <c r="N97" s="255">
        <v>0</v>
      </c>
      <c r="O97" s="256">
        <v>0</v>
      </c>
      <c r="P97" s="256">
        <v>0</v>
      </c>
      <c r="Q97" s="256">
        <v>0</v>
      </c>
      <c r="R97" s="256">
        <f>E97*30%</f>
        <v>1132.08</v>
      </c>
      <c r="S97" s="257">
        <v>0</v>
      </c>
      <c r="T97" s="256">
        <v>0</v>
      </c>
      <c r="U97" s="258">
        <f t="shared" si="27"/>
        <v>4147.6056888888888</v>
      </c>
      <c r="V97" s="256">
        <v>0</v>
      </c>
      <c r="W97" s="256">
        <v>500</v>
      </c>
      <c r="X97" s="256">
        <v>53.31</v>
      </c>
      <c r="Y97" s="256">
        <v>5.0599999999999996</v>
      </c>
      <c r="Z97" s="256">
        <v>17.5</v>
      </c>
      <c r="AA97" s="256">
        <v>23.65</v>
      </c>
      <c r="AB97" s="256">
        <v>218.1</v>
      </c>
      <c r="AC97" s="189">
        <f t="shared" si="28"/>
        <v>817.61999999999989</v>
      </c>
      <c r="AD97" s="259">
        <f t="shared" si="29"/>
        <v>8738.82568888889</v>
      </c>
    </row>
    <row r="98" spans="1:30" s="160" customFormat="1">
      <c r="A98" s="250">
        <v>93</v>
      </c>
      <c r="B98" s="251" t="s">
        <v>423</v>
      </c>
      <c r="C98" s="252">
        <v>1</v>
      </c>
      <c r="D98" s="253">
        <v>2600</v>
      </c>
      <c r="E98" s="254">
        <f t="shared" si="26"/>
        <v>2600</v>
      </c>
      <c r="F98" s="255">
        <f t="shared" si="30"/>
        <v>923.57777777777767</v>
      </c>
      <c r="G98" s="256">
        <f t="shared" si="31"/>
        <v>33.222222222222214</v>
      </c>
      <c r="H98" s="256">
        <f t="shared" si="32"/>
        <v>265.77777777777771</v>
      </c>
      <c r="I98" s="256">
        <f t="shared" si="33"/>
        <v>132.88888888888886</v>
      </c>
      <c r="J98" s="256">
        <f t="shared" si="34"/>
        <v>216.66666666666666</v>
      </c>
      <c r="K98" s="256">
        <f t="shared" si="35"/>
        <v>216.66666666666666</v>
      </c>
      <c r="L98" s="256">
        <f t="shared" si="36"/>
        <v>72.222222222222214</v>
      </c>
      <c r="M98" s="256">
        <f t="shared" si="37"/>
        <v>216.66666666666666</v>
      </c>
      <c r="N98" s="255">
        <v>0</v>
      </c>
      <c r="O98" s="256">
        <v>0</v>
      </c>
      <c r="P98" s="256">
        <f>E98/150*1.75</f>
        <v>30.333333333333332</v>
      </c>
      <c r="Q98" s="256">
        <f>P98/25*5</f>
        <v>6.0666666666666664</v>
      </c>
      <c r="R98" s="256">
        <v>0</v>
      </c>
      <c r="S98" s="257">
        <v>0</v>
      </c>
      <c r="T98" s="256">
        <v>0</v>
      </c>
      <c r="U98" s="258">
        <f t="shared" si="27"/>
        <v>2114.088888888889</v>
      </c>
      <c r="V98" s="256">
        <v>111.67</v>
      </c>
      <c r="W98" s="256">
        <v>500</v>
      </c>
      <c r="X98" s="256">
        <v>53.31</v>
      </c>
      <c r="Y98" s="256">
        <v>5.0599999999999996</v>
      </c>
      <c r="Z98" s="256">
        <v>17.5</v>
      </c>
      <c r="AA98" s="256">
        <v>23.65</v>
      </c>
      <c r="AB98" s="256">
        <v>218.1</v>
      </c>
      <c r="AC98" s="189">
        <f t="shared" si="28"/>
        <v>929.29</v>
      </c>
      <c r="AD98" s="259">
        <f t="shared" si="29"/>
        <v>5643.3788888888894</v>
      </c>
    </row>
    <row r="99" spans="1:30" s="160" customFormat="1">
      <c r="A99" s="250">
        <v>94</v>
      </c>
      <c r="B99" s="251" t="s">
        <v>424</v>
      </c>
      <c r="C99" s="252">
        <v>1</v>
      </c>
      <c r="D99" s="253">
        <v>2600</v>
      </c>
      <c r="E99" s="254">
        <f t="shared" si="26"/>
        <v>2600</v>
      </c>
      <c r="F99" s="255">
        <f t="shared" si="30"/>
        <v>923.57777777777767</v>
      </c>
      <c r="G99" s="256">
        <f t="shared" si="31"/>
        <v>33.222222222222214</v>
      </c>
      <c r="H99" s="256">
        <f t="shared" si="32"/>
        <v>265.77777777777771</v>
      </c>
      <c r="I99" s="256">
        <f t="shared" si="33"/>
        <v>132.88888888888886</v>
      </c>
      <c r="J99" s="256">
        <f t="shared" si="34"/>
        <v>216.66666666666666</v>
      </c>
      <c r="K99" s="256">
        <f t="shared" si="35"/>
        <v>216.66666666666666</v>
      </c>
      <c r="L99" s="256">
        <f t="shared" si="36"/>
        <v>72.222222222222214</v>
      </c>
      <c r="M99" s="256">
        <f t="shared" si="37"/>
        <v>216.66666666666666</v>
      </c>
      <c r="N99" s="255">
        <v>0</v>
      </c>
      <c r="O99" s="256">
        <v>0</v>
      </c>
      <c r="P99" s="256">
        <f t="shared" ref="P99:P106" si="42">E99/150*1.75</f>
        <v>30.333333333333332</v>
      </c>
      <c r="Q99" s="256">
        <f t="shared" ref="Q99:Q106" si="43">P99/25*5</f>
        <v>6.0666666666666664</v>
      </c>
      <c r="R99" s="256">
        <v>0</v>
      </c>
      <c r="S99" s="257">
        <v>0</v>
      </c>
      <c r="T99" s="256">
        <v>0</v>
      </c>
      <c r="U99" s="258">
        <f t="shared" si="27"/>
        <v>2114.088888888889</v>
      </c>
      <c r="V99" s="256">
        <v>111.67</v>
      </c>
      <c r="W99" s="256">
        <v>500</v>
      </c>
      <c r="X99" s="256">
        <v>53.31</v>
      </c>
      <c r="Y99" s="256">
        <v>5.0599999999999996</v>
      </c>
      <c r="Z99" s="256">
        <v>17.5</v>
      </c>
      <c r="AA99" s="256">
        <v>23.65</v>
      </c>
      <c r="AB99" s="256">
        <v>218.1</v>
      </c>
      <c r="AC99" s="189">
        <f t="shared" si="28"/>
        <v>929.29</v>
      </c>
      <c r="AD99" s="259">
        <f t="shared" si="29"/>
        <v>5643.3788888888894</v>
      </c>
    </row>
    <row r="100" spans="1:30" s="160" customFormat="1">
      <c r="A100" s="250">
        <v>95</v>
      </c>
      <c r="B100" s="251" t="s">
        <v>425</v>
      </c>
      <c r="C100" s="252">
        <v>1</v>
      </c>
      <c r="D100" s="253">
        <v>2600</v>
      </c>
      <c r="E100" s="254">
        <f t="shared" si="26"/>
        <v>2600</v>
      </c>
      <c r="F100" s="255">
        <f t="shared" si="30"/>
        <v>923.57777777777767</v>
      </c>
      <c r="G100" s="256">
        <f t="shared" si="31"/>
        <v>33.222222222222214</v>
      </c>
      <c r="H100" s="256">
        <f t="shared" si="32"/>
        <v>265.77777777777771</v>
      </c>
      <c r="I100" s="256">
        <f t="shared" si="33"/>
        <v>132.88888888888886</v>
      </c>
      <c r="J100" s="256">
        <f t="shared" si="34"/>
        <v>216.66666666666666</v>
      </c>
      <c r="K100" s="256">
        <f t="shared" si="35"/>
        <v>216.66666666666666</v>
      </c>
      <c r="L100" s="256">
        <f t="shared" si="36"/>
        <v>72.222222222222214</v>
      </c>
      <c r="M100" s="256">
        <f t="shared" si="37"/>
        <v>216.66666666666666</v>
      </c>
      <c r="N100" s="255">
        <v>0</v>
      </c>
      <c r="O100" s="256">
        <v>0</v>
      </c>
      <c r="P100" s="256">
        <f t="shared" si="42"/>
        <v>30.333333333333332</v>
      </c>
      <c r="Q100" s="256">
        <f t="shared" si="43"/>
        <v>6.0666666666666664</v>
      </c>
      <c r="R100" s="256">
        <v>0</v>
      </c>
      <c r="S100" s="257">
        <v>0</v>
      </c>
      <c r="T100" s="256">
        <v>0</v>
      </c>
      <c r="U100" s="258">
        <f t="shared" si="27"/>
        <v>2114.088888888889</v>
      </c>
      <c r="V100" s="256">
        <v>111.67</v>
      </c>
      <c r="W100" s="256">
        <v>500</v>
      </c>
      <c r="X100" s="256">
        <v>53.31</v>
      </c>
      <c r="Y100" s="256">
        <v>5.0599999999999996</v>
      </c>
      <c r="Z100" s="256">
        <v>17.5</v>
      </c>
      <c r="AA100" s="256">
        <v>23.65</v>
      </c>
      <c r="AB100" s="256">
        <v>218.1</v>
      </c>
      <c r="AC100" s="189">
        <f t="shared" si="28"/>
        <v>929.29</v>
      </c>
      <c r="AD100" s="259">
        <f t="shared" si="29"/>
        <v>5643.3788888888894</v>
      </c>
    </row>
    <row r="101" spans="1:30" s="160" customFormat="1">
      <c r="A101" s="250">
        <v>96</v>
      </c>
      <c r="B101" s="251" t="s">
        <v>426</v>
      </c>
      <c r="C101" s="252">
        <v>1</v>
      </c>
      <c r="D101" s="253">
        <v>2600</v>
      </c>
      <c r="E101" s="254">
        <f t="shared" si="26"/>
        <v>2600</v>
      </c>
      <c r="F101" s="255">
        <f t="shared" si="30"/>
        <v>923.57777777777767</v>
      </c>
      <c r="G101" s="256">
        <f t="shared" si="31"/>
        <v>33.222222222222214</v>
      </c>
      <c r="H101" s="256">
        <f t="shared" si="32"/>
        <v>265.77777777777771</v>
      </c>
      <c r="I101" s="256">
        <f t="shared" si="33"/>
        <v>132.88888888888886</v>
      </c>
      <c r="J101" s="256">
        <f t="shared" si="34"/>
        <v>216.66666666666666</v>
      </c>
      <c r="K101" s="256">
        <f t="shared" si="35"/>
        <v>216.66666666666666</v>
      </c>
      <c r="L101" s="256">
        <f t="shared" si="36"/>
        <v>72.222222222222214</v>
      </c>
      <c r="M101" s="256">
        <f t="shared" si="37"/>
        <v>216.66666666666666</v>
      </c>
      <c r="N101" s="255">
        <v>0</v>
      </c>
      <c r="O101" s="256">
        <v>0</v>
      </c>
      <c r="P101" s="256">
        <f t="shared" si="42"/>
        <v>30.333333333333332</v>
      </c>
      <c r="Q101" s="256">
        <f t="shared" si="43"/>
        <v>6.0666666666666664</v>
      </c>
      <c r="R101" s="256">
        <v>0</v>
      </c>
      <c r="S101" s="257">
        <v>0</v>
      </c>
      <c r="T101" s="256">
        <v>0</v>
      </c>
      <c r="U101" s="258">
        <f t="shared" si="27"/>
        <v>2114.088888888889</v>
      </c>
      <c r="V101" s="256">
        <v>111.67</v>
      </c>
      <c r="W101" s="256">
        <v>500</v>
      </c>
      <c r="X101" s="256">
        <v>53.31</v>
      </c>
      <c r="Y101" s="256">
        <v>5.0599999999999996</v>
      </c>
      <c r="Z101" s="256">
        <v>17.5</v>
      </c>
      <c r="AA101" s="256">
        <v>23.65</v>
      </c>
      <c r="AB101" s="256">
        <v>218.1</v>
      </c>
      <c r="AC101" s="189">
        <f t="shared" si="28"/>
        <v>929.29</v>
      </c>
      <c r="AD101" s="259">
        <f t="shared" si="29"/>
        <v>5643.3788888888894</v>
      </c>
    </row>
    <row r="102" spans="1:30" s="160" customFormat="1">
      <c r="A102" s="250">
        <v>97</v>
      </c>
      <c r="B102" s="251" t="s">
        <v>427</v>
      </c>
      <c r="C102" s="252">
        <v>1</v>
      </c>
      <c r="D102" s="253">
        <v>2600</v>
      </c>
      <c r="E102" s="254">
        <f t="shared" si="26"/>
        <v>2600</v>
      </c>
      <c r="F102" s="255">
        <f t="shared" si="30"/>
        <v>923.57777777777767</v>
      </c>
      <c r="G102" s="256">
        <f t="shared" si="31"/>
        <v>33.222222222222214</v>
      </c>
      <c r="H102" s="256">
        <f t="shared" si="32"/>
        <v>265.77777777777771</v>
      </c>
      <c r="I102" s="256">
        <f t="shared" si="33"/>
        <v>132.88888888888886</v>
      </c>
      <c r="J102" s="256">
        <f t="shared" si="34"/>
        <v>216.66666666666666</v>
      </c>
      <c r="K102" s="256">
        <f t="shared" si="35"/>
        <v>216.66666666666666</v>
      </c>
      <c r="L102" s="256">
        <f t="shared" si="36"/>
        <v>72.222222222222214</v>
      </c>
      <c r="M102" s="256">
        <f t="shared" si="37"/>
        <v>216.66666666666666</v>
      </c>
      <c r="N102" s="255">
        <v>0</v>
      </c>
      <c r="O102" s="256">
        <v>0</v>
      </c>
      <c r="P102" s="256">
        <f t="shared" si="42"/>
        <v>30.333333333333332</v>
      </c>
      <c r="Q102" s="256">
        <f t="shared" si="43"/>
        <v>6.0666666666666664</v>
      </c>
      <c r="R102" s="256">
        <v>0</v>
      </c>
      <c r="S102" s="257">
        <v>0</v>
      </c>
      <c r="T102" s="256">
        <v>0</v>
      </c>
      <c r="U102" s="258">
        <f t="shared" si="27"/>
        <v>2114.088888888889</v>
      </c>
      <c r="V102" s="256">
        <v>111.67</v>
      </c>
      <c r="W102" s="256">
        <v>500</v>
      </c>
      <c r="X102" s="256">
        <v>53.31</v>
      </c>
      <c r="Y102" s="256">
        <v>5.0599999999999996</v>
      </c>
      <c r="Z102" s="256">
        <v>17.5</v>
      </c>
      <c r="AA102" s="256">
        <v>23.65</v>
      </c>
      <c r="AB102" s="256">
        <v>218.1</v>
      </c>
      <c r="AC102" s="189">
        <f t="shared" si="28"/>
        <v>929.29</v>
      </c>
      <c r="AD102" s="259">
        <f t="shared" si="29"/>
        <v>5643.3788888888894</v>
      </c>
    </row>
    <row r="103" spans="1:30" s="160" customFormat="1">
      <c r="A103" s="250">
        <v>98</v>
      </c>
      <c r="B103" s="251" t="s">
        <v>428</v>
      </c>
      <c r="C103" s="252">
        <v>1</v>
      </c>
      <c r="D103" s="253">
        <v>1750</v>
      </c>
      <c r="E103" s="254">
        <f t="shared" si="26"/>
        <v>1750</v>
      </c>
      <c r="F103" s="255">
        <f t="shared" si="30"/>
        <v>621.63888888888903</v>
      </c>
      <c r="G103" s="256">
        <f t="shared" si="31"/>
        <v>22.361111111111114</v>
      </c>
      <c r="H103" s="256">
        <f t="shared" si="32"/>
        <v>178.88888888888891</v>
      </c>
      <c r="I103" s="256">
        <f t="shared" si="33"/>
        <v>89.444444444444457</v>
      </c>
      <c r="J103" s="256">
        <f t="shared" si="34"/>
        <v>145.83333333333334</v>
      </c>
      <c r="K103" s="256">
        <f t="shared" si="35"/>
        <v>145.83333333333334</v>
      </c>
      <c r="L103" s="256">
        <f t="shared" si="36"/>
        <v>48.611111111111114</v>
      </c>
      <c r="M103" s="256">
        <f t="shared" si="37"/>
        <v>145.83333333333334</v>
      </c>
      <c r="N103" s="255">
        <v>0</v>
      </c>
      <c r="O103" s="256">
        <v>0</v>
      </c>
      <c r="P103" s="256">
        <f t="shared" si="42"/>
        <v>20.416666666666664</v>
      </c>
      <c r="Q103" s="256">
        <f t="shared" si="43"/>
        <v>4.083333333333333</v>
      </c>
      <c r="R103" s="256">
        <v>0</v>
      </c>
      <c r="S103" s="257">
        <v>0</v>
      </c>
      <c r="T103" s="256">
        <v>0</v>
      </c>
      <c r="U103" s="258">
        <f t="shared" si="27"/>
        <v>1422.9444444444443</v>
      </c>
      <c r="V103" s="256">
        <v>111.67</v>
      </c>
      <c r="W103" s="256">
        <v>500</v>
      </c>
      <c r="X103" s="256">
        <v>53.31</v>
      </c>
      <c r="Y103" s="256">
        <v>5.0599999999999996</v>
      </c>
      <c r="Z103" s="256">
        <v>17.5</v>
      </c>
      <c r="AA103" s="256">
        <v>23.65</v>
      </c>
      <c r="AB103" s="256">
        <v>218.1</v>
      </c>
      <c r="AC103" s="189">
        <f t="shared" si="28"/>
        <v>929.29</v>
      </c>
      <c r="AD103" s="259">
        <f t="shared" si="29"/>
        <v>4102.2344444444443</v>
      </c>
    </row>
    <row r="104" spans="1:30" s="160" customFormat="1">
      <c r="A104" s="250">
        <v>99</v>
      </c>
      <c r="B104" s="251" t="s">
        <v>429</v>
      </c>
      <c r="C104" s="252">
        <v>1</v>
      </c>
      <c r="D104" s="253">
        <v>1642</v>
      </c>
      <c r="E104" s="254">
        <f t="shared" si="26"/>
        <v>1642</v>
      </c>
      <c r="F104" s="255">
        <f t="shared" si="30"/>
        <v>583.27488888888888</v>
      </c>
      <c r="G104" s="256">
        <f t="shared" si="31"/>
        <v>20.981111111111108</v>
      </c>
      <c r="H104" s="256">
        <f t="shared" si="32"/>
        <v>167.84888888888887</v>
      </c>
      <c r="I104" s="256">
        <f t="shared" si="33"/>
        <v>83.924444444444433</v>
      </c>
      <c r="J104" s="256">
        <f t="shared" si="34"/>
        <v>136.83333333333334</v>
      </c>
      <c r="K104" s="256">
        <f t="shared" si="35"/>
        <v>136.83333333333334</v>
      </c>
      <c r="L104" s="256">
        <f t="shared" si="36"/>
        <v>45.611111111111114</v>
      </c>
      <c r="M104" s="256">
        <f t="shared" si="37"/>
        <v>136.83333333333334</v>
      </c>
      <c r="N104" s="255">
        <v>0</v>
      </c>
      <c r="O104" s="256">
        <v>0</v>
      </c>
      <c r="P104" s="256">
        <f t="shared" si="42"/>
        <v>19.156666666666666</v>
      </c>
      <c r="Q104" s="256">
        <f t="shared" si="43"/>
        <v>3.8313333333333333</v>
      </c>
      <c r="R104" s="256">
        <v>0</v>
      </c>
      <c r="S104" s="257">
        <v>0</v>
      </c>
      <c r="T104" s="256">
        <v>0</v>
      </c>
      <c r="U104" s="258">
        <f t="shared" si="27"/>
        <v>1335.1284444444443</v>
      </c>
      <c r="V104" s="256">
        <v>111.67</v>
      </c>
      <c r="W104" s="256">
        <v>500</v>
      </c>
      <c r="X104" s="256">
        <v>53.31</v>
      </c>
      <c r="Y104" s="256">
        <v>5.0599999999999996</v>
      </c>
      <c r="Z104" s="256">
        <v>17.5</v>
      </c>
      <c r="AA104" s="256">
        <v>23.65</v>
      </c>
      <c r="AB104" s="256">
        <v>218.1</v>
      </c>
      <c r="AC104" s="189">
        <f t="shared" si="28"/>
        <v>929.29</v>
      </c>
      <c r="AD104" s="259">
        <f t="shared" si="29"/>
        <v>3906.4184444444445</v>
      </c>
    </row>
    <row r="105" spans="1:30" s="160" customFormat="1">
      <c r="A105" s="250">
        <v>100</v>
      </c>
      <c r="B105" s="251" t="s">
        <v>430</v>
      </c>
      <c r="C105" s="252">
        <v>1</v>
      </c>
      <c r="D105" s="253">
        <v>1385</v>
      </c>
      <c r="E105" s="254">
        <f t="shared" si="26"/>
        <v>1385</v>
      </c>
      <c r="F105" s="255">
        <f t="shared" si="30"/>
        <v>491.98277777777787</v>
      </c>
      <c r="G105" s="256">
        <f t="shared" si="31"/>
        <v>17.697222222222223</v>
      </c>
      <c r="H105" s="256">
        <f t="shared" si="32"/>
        <v>141.57777777777778</v>
      </c>
      <c r="I105" s="256">
        <f t="shared" si="33"/>
        <v>70.788888888888891</v>
      </c>
      <c r="J105" s="256">
        <f t="shared" si="34"/>
        <v>115.41666666666667</v>
      </c>
      <c r="K105" s="256">
        <f t="shared" si="35"/>
        <v>115.41666666666667</v>
      </c>
      <c r="L105" s="256">
        <f t="shared" si="36"/>
        <v>38.472222222222221</v>
      </c>
      <c r="M105" s="256">
        <f t="shared" si="37"/>
        <v>115.41666666666667</v>
      </c>
      <c r="N105" s="255">
        <v>0</v>
      </c>
      <c r="O105" s="256">
        <v>0</v>
      </c>
      <c r="P105" s="256">
        <f t="shared" si="42"/>
        <v>16.158333333333331</v>
      </c>
      <c r="Q105" s="256">
        <f t="shared" si="43"/>
        <v>3.231666666666666</v>
      </c>
      <c r="R105" s="256">
        <v>0</v>
      </c>
      <c r="S105" s="257">
        <v>0</v>
      </c>
      <c r="T105" s="256">
        <v>0</v>
      </c>
      <c r="U105" s="258">
        <f t="shared" si="27"/>
        <v>1126.1588888888887</v>
      </c>
      <c r="V105" s="256">
        <v>111.67</v>
      </c>
      <c r="W105" s="256">
        <v>500</v>
      </c>
      <c r="X105" s="256">
        <v>53.31</v>
      </c>
      <c r="Y105" s="256">
        <v>5.0599999999999996</v>
      </c>
      <c r="Z105" s="256">
        <v>17.5</v>
      </c>
      <c r="AA105" s="256">
        <v>23.65</v>
      </c>
      <c r="AB105" s="256">
        <v>218.1</v>
      </c>
      <c r="AC105" s="189">
        <f t="shared" si="28"/>
        <v>929.29</v>
      </c>
      <c r="AD105" s="259">
        <f t="shared" si="29"/>
        <v>3440.4488888888886</v>
      </c>
    </row>
    <row r="106" spans="1:30" s="160" customFormat="1">
      <c r="A106" s="250">
        <v>101</v>
      </c>
      <c r="B106" s="251" t="s">
        <v>431</v>
      </c>
      <c r="C106" s="252">
        <v>1</v>
      </c>
      <c r="D106" s="253">
        <v>1452.39</v>
      </c>
      <c r="E106" s="254">
        <f t="shared" si="26"/>
        <v>1452.39</v>
      </c>
      <c r="F106" s="255">
        <f t="shared" si="30"/>
        <v>515.92120333333344</v>
      </c>
      <c r="G106" s="256">
        <f t="shared" si="31"/>
        <v>18.55831666666667</v>
      </c>
      <c r="H106" s="256">
        <f t="shared" si="32"/>
        <v>148.46653333333336</v>
      </c>
      <c r="I106" s="256">
        <f t="shared" si="33"/>
        <v>74.23326666666668</v>
      </c>
      <c r="J106" s="256">
        <f t="shared" si="34"/>
        <v>121.03250000000001</v>
      </c>
      <c r="K106" s="256">
        <f t="shared" si="35"/>
        <v>121.03250000000001</v>
      </c>
      <c r="L106" s="256">
        <f t="shared" si="36"/>
        <v>40.344166666666673</v>
      </c>
      <c r="M106" s="256">
        <f t="shared" si="37"/>
        <v>121.03250000000001</v>
      </c>
      <c r="N106" s="255">
        <v>0</v>
      </c>
      <c r="O106" s="256">
        <v>0</v>
      </c>
      <c r="P106" s="256">
        <f t="shared" si="42"/>
        <v>16.94455</v>
      </c>
      <c r="Q106" s="256">
        <f t="shared" si="43"/>
        <v>3.3889100000000001</v>
      </c>
      <c r="R106" s="256">
        <v>0</v>
      </c>
      <c r="S106" s="257">
        <v>0</v>
      </c>
      <c r="T106" s="256">
        <v>0</v>
      </c>
      <c r="U106" s="258">
        <f t="shared" si="27"/>
        <v>1180.9544466666669</v>
      </c>
      <c r="V106" s="256">
        <v>111.67</v>
      </c>
      <c r="W106" s="256">
        <v>500</v>
      </c>
      <c r="X106" s="256">
        <v>53.31</v>
      </c>
      <c r="Y106" s="256">
        <v>5.0599999999999996</v>
      </c>
      <c r="Z106" s="256">
        <v>17.5</v>
      </c>
      <c r="AA106" s="256">
        <v>23.65</v>
      </c>
      <c r="AB106" s="256">
        <v>218.1</v>
      </c>
      <c r="AC106" s="189">
        <f t="shared" si="28"/>
        <v>929.29</v>
      </c>
      <c r="AD106" s="259">
        <f t="shared" si="29"/>
        <v>3562.6344466666669</v>
      </c>
    </row>
    <row r="107" spans="1:30" s="160" customFormat="1">
      <c r="A107" s="250">
        <v>102</v>
      </c>
      <c r="B107" s="251" t="s">
        <v>435</v>
      </c>
      <c r="C107" s="252">
        <v>2</v>
      </c>
      <c r="D107" s="253">
        <v>1900</v>
      </c>
      <c r="E107" s="254">
        <f t="shared" si="26"/>
        <v>3800</v>
      </c>
      <c r="F107" s="255">
        <f t="shared" si="30"/>
        <v>1434.9433333333336</v>
      </c>
      <c r="G107" s="256">
        <f t="shared" si="31"/>
        <v>51.616666666666674</v>
      </c>
      <c r="H107" s="256">
        <f t="shared" si="32"/>
        <v>412.93333333333339</v>
      </c>
      <c r="I107" s="256">
        <f t="shared" si="33"/>
        <v>301.4666666666667</v>
      </c>
      <c r="J107" s="256">
        <f t="shared" si="34"/>
        <v>332.5</v>
      </c>
      <c r="K107" s="256">
        <f t="shared" si="35"/>
        <v>332.5</v>
      </c>
      <c r="L107" s="256">
        <f t="shared" si="36"/>
        <v>174.16666666666666</v>
      </c>
      <c r="M107" s="256">
        <f t="shared" si="37"/>
        <v>332.5</v>
      </c>
      <c r="N107" s="255">
        <v>0</v>
      </c>
      <c r="O107" s="256">
        <v>0</v>
      </c>
      <c r="P107" s="256">
        <f>(R107+E107)/210*1.75*1.2</f>
        <v>49.400000000000006</v>
      </c>
      <c r="Q107" s="256">
        <f>P107/6</f>
        <v>8.2333333333333343</v>
      </c>
      <c r="R107" s="256">
        <f>E107*30%</f>
        <v>1140</v>
      </c>
      <c r="S107" s="257">
        <v>190</v>
      </c>
      <c r="T107" s="256">
        <f>(E107+R107+N107+O107)/30*2</f>
        <v>329.33333333333331</v>
      </c>
      <c r="U107" s="258">
        <f t="shared" si="27"/>
        <v>5089.5933333333332</v>
      </c>
      <c r="V107" s="256">
        <v>76.14</v>
      </c>
      <c r="W107" s="256">
        <v>500</v>
      </c>
      <c r="X107" s="256">
        <v>53.31</v>
      </c>
      <c r="Y107" s="256">
        <v>5.0599999999999996</v>
      </c>
      <c r="Z107" s="256">
        <v>17.5</v>
      </c>
      <c r="AA107" s="256">
        <v>23.65</v>
      </c>
      <c r="AB107" s="256">
        <v>218.1</v>
      </c>
      <c r="AC107" s="189">
        <f t="shared" si="28"/>
        <v>893.76</v>
      </c>
      <c r="AD107" s="259">
        <f t="shared" si="29"/>
        <v>9783.3533333333344</v>
      </c>
    </row>
    <row r="108" spans="1:30" s="160" customFormat="1">
      <c r="A108" s="250">
        <v>103</v>
      </c>
      <c r="B108" s="251" t="s">
        <v>432</v>
      </c>
      <c r="C108" s="252">
        <v>5</v>
      </c>
      <c r="D108" s="253">
        <v>1900</v>
      </c>
      <c r="E108" s="254">
        <f t="shared" si="26"/>
        <v>9500</v>
      </c>
      <c r="F108" s="255">
        <f t="shared" si="30"/>
        <v>3374.6111111111109</v>
      </c>
      <c r="G108" s="256">
        <f t="shared" si="31"/>
        <v>121.38888888888887</v>
      </c>
      <c r="H108" s="256">
        <f t="shared" si="32"/>
        <v>971.11111111111097</v>
      </c>
      <c r="I108" s="256">
        <f t="shared" si="33"/>
        <v>485.55555555555549</v>
      </c>
      <c r="J108" s="256">
        <f t="shared" si="34"/>
        <v>791.66666666666663</v>
      </c>
      <c r="K108" s="256">
        <f t="shared" si="35"/>
        <v>791.66666666666663</v>
      </c>
      <c r="L108" s="256">
        <f t="shared" si="36"/>
        <v>263.88888888888886</v>
      </c>
      <c r="M108" s="256">
        <f t="shared" si="37"/>
        <v>791.66666666666663</v>
      </c>
      <c r="N108" s="255">
        <v>0</v>
      </c>
      <c r="O108" s="256">
        <v>0</v>
      </c>
      <c r="P108" s="256">
        <f>(R108+E108)/210*1.75*1.2</f>
        <v>123.5</v>
      </c>
      <c r="Q108" s="256">
        <f>P108/6</f>
        <v>20.583333333333332</v>
      </c>
      <c r="R108" s="256">
        <f>E108*30%</f>
        <v>2850</v>
      </c>
      <c r="S108" s="257">
        <v>0</v>
      </c>
      <c r="T108" s="256">
        <f t="shared" ref="T108:T110" si="44">(E108+R108+N108+O108)/30*2</f>
        <v>823.33333333333337</v>
      </c>
      <c r="U108" s="258">
        <f t="shared" si="27"/>
        <v>11408.972222222223</v>
      </c>
      <c r="V108" s="256">
        <v>76.14</v>
      </c>
      <c r="W108" s="256">
        <v>500</v>
      </c>
      <c r="X108" s="256">
        <v>53.31</v>
      </c>
      <c r="Y108" s="256">
        <v>5.0599999999999996</v>
      </c>
      <c r="Z108" s="256">
        <v>17.5</v>
      </c>
      <c r="AA108" s="256">
        <v>23.65</v>
      </c>
      <c r="AB108" s="256">
        <v>218.1</v>
      </c>
      <c r="AC108" s="189">
        <f t="shared" si="28"/>
        <v>893.76</v>
      </c>
      <c r="AD108" s="259">
        <f t="shared" si="29"/>
        <v>21802.732222222221</v>
      </c>
    </row>
    <row r="109" spans="1:30" s="160" customFormat="1">
      <c r="A109" s="250">
        <v>104</v>
      </c>
      <c r="B109" s="251" t="s">
        <v>433</v>
      </c>
      <c r="C109" s="252">
        <v>2</v>
      </c>
      <c r="D109" s="253">
        <v>1900</v>
      </c>
      <c r="E109" s="254">
        <f t="shared" si="26"/>
        <v>3800</v>
      </c>
      <c r="F109" s="255">
        <f t="shared" si="30"/>
        <v>1434.9433333333336</v>
      </c>
      <c r="G109" s="256">
        <f t="shared" si="31"/>
        <v>51.616666666666674</v>
      </c>
      <c r="H109" s="256">
        <f t="shared" si="32"/>
        <v>412.93333333333339</v>
      </c>
      <c r="I109" s="256">
        <f t="shared" si="33"/>
        <v>301.4666666666667</v>
      </c>
      <c r="J109" s="256">
        <f t="shared" si="34"/>
        <v>332.5</v>
      </c>
      <c r="K109" s="256">
        <f t="shared" si="35"/>
        <v>332.5</v>
      </c>
      <c r="L109" s="256">
        <f t="shared" si="36"/>
        <v>174.16666666666666</v>
      </c>
      <c r="M109" s="256">
        <f t="shared" si="37"/>
        <v>332.5</v>
      </c>
      <c r="N109" s="255">
        <f>(R109+E109)/210*20%*160</f>
        <v>752.76190476190482</v>
      </c>
      <c r="O109" s="256">
        <f>N109/6</f>
        <v>125.46031746031747</v>
      </c>
      <c r="P109" s="256">
        <f>(R109+E109)/210*1.75*1.2</f>
        <v>49.400000000000006</v>
      </c>
      <c r="Q109" s="256">
        <f>P109/6</f>
        <v>8.2333333333333343</v>
      </c>
      <c r="R109" s="256">
        <f>E109*30%</f>
        <v>1140</v>
      </c>
      <c r="S109" s="257">
        <v>190</v>
      </c>
      <c r="T109" s="256">
        <f t="shared" si="44"/>
        <v>387.88148148148144</v>
      </c>
      <c r="U109" s="258">
        <f t="shared" si="27"/>
        <v>6026.3637037037033</v>
      </c>
      <c r="V109" s="256">
        <v>76.14</v>
      </c>
      <c r="W109" s="256">
        <v>500</v>
      </c>
      <c r="X109" s="256">
        <v>53.31</v>
      </c>
      <c r="Y109" s="256">
        <v>5.0599999999999996</v>
      </c>
      <c r="Z109" s="256">
        <v>17.5</v>
      </c>
      <c r="AA109" s="256">
        <v>23.65</v>
      </c>
      <c r="AB109" s="256">
        <v>218.1</v>
      </c>
      <c r="AC109" s="189">
        <f t="shared" si="28"/>
        <v>893.76</v>
      </c>
      <c r="AD109" s="259">
        <f t="shared" si="29"/>
        <v>10720.123703703704</v>
      </c>
    </row>
    <row r="110" spans="1:30" s="160" customFormat="1">
      <c r="A110" s="250">
        <v>105</v>
      </c>
      <c r="B110" s="251" t="s">
        <v>434</v>
      </c>
      <c r="C110" s="252">
        <v>4</v>
      </c>
      <c r="D110" s="253">
        <v>1900</v>
      </c>
      <c r="E110" s="254">
        <f t="shared" si="26"/>
        <v>7600</v>
      </c>
      <c r="F110" s="255">
        <f t="shared" si="30"/>
        <v>2699.6888888888898</v>
      </c>
      <c r="G110" s="256">
        <f t="shared" si="31"/>
        <v>97.111111111111128</v>
      </c>
      <c r="H110" s="256">
        <f t="shared" si="32"/>
        <v>776.88888888888903</v>
      </c>
      <c r="I110" s="256">
        <f t="shared" si="33"/>
        <v>388.44444444444451</v>
      </c>
      <c r="J110" s="256">
        <f t="shared" si="34"/>
        <v>633.33333333333337</v>
      </c>
      <c r="K110" s="256">
        <f t="shared" si="35"/>
        <v>633.33333333333337</v>
      </c>
      <c r="L110" s="256">
        <f t="shared" si="36"/>
        <v>211.11111111111111</v>
      </c>
      <c r="M110" s="256">
        <f t="shared" si="37"/>
        <v>633.33333333333337</v>
      </c>
      <c r="N110" s="255">
        <f>(R110+E110)/210*20%*160</f>
        <v>1505.5238095238096</v>
      </c>
      <c r="O110" s="256">
        <f>N110/6</f>
        <v>250.92063492063494</v>
      </c>
      <c r="P110" s="256">
        <f>(R110+E110)/210*1.75*1.2</f>
        <v>98.800000000000011</v>
      </c>
      <c r="Q110" s="256">
        <f>P110/6</f>
        <v>16.466666666666669</v>
      </c>
      <c r="R110" s="256">
        <f>E110*30%</f>
        <v>2280</v>
      </c>
      <c r="S110" s="257">
        <v>0</v>
      </c>
      <c r="T110" s="256">
        <f t="shared" si="44"/>
        <v>775.76296296296289</v>
      </c>
      <c r="U110" s="258">
        <f t="shared" si="27"/>
        <v>11000.718518518519</v>
      </c>
      <c r="V110" s="256">
        <v>76.14</v>
      </c>
      <c r="W110" s="256">
        <v>500</v>
      </c>
      <c r="X110" s="256">
        <v>53.31</v>
      </c>
      <c r="Y110" s="256">
        <v>5.0599999999999996</v>
      </c>
      <c r="Z110" s="256">
        <v>17.5</v>
      </c>
      <c r="AA110" s="256">
        <v>23.65</v>
      </c>
      <c r="AB110" s="256">
        <v>218.1</v>
      </c>
      <c r="AC110" s="189">
        <f t="shared" si="28"/>
        <v>893.76</v>
      </c>
      <c r="AD110" s="259">
        <f t="shared" si="29"/>
        <v>19494.478518518517</v>
      </c>
    </row>
    <row r="111" spans="1:30" s="160" customFormat="1">
      <c r="A111" s="250">
        <v>106</v>
      </c>
      <c r="B111" s="251" t="s">
        <v>461</v>
      </c>
      <c r="C111" s="252">
        <v>1</v>
      </c>
      <c r="D111" s="253">
        <v>6500</v>
      </c>
      <c r="E111" s="254">
        <f t="shared" si="26"/>
        <v>6500</v>
      </c>
      <c r="F111" s="255">
        <f t="shared" si="30"/>
        <v>2308.9444444444448</v>
      </c>
      <c r="G111" s="256">
        <f t="shared" si="31"/>
        <v>83.055555555555571</v>
      </c>
      <c r="H111" s="256">
        <f t="shared" si="32"/>
        <v>664.44444444444457</v>
      </c>
      <c r="I111" s="256">
        <f t="shared" si="33"/>
        <v>332.22222222222229</v>
      </c>
      <c r="J111" s="256">
        <f t="shared" si="34"/>
        <v>541.66666666666663</v>
      </c>
      <c r="K111" s="256">
        <f t="shared" si="35"/>
        <v>541.66666666666663</v>
      </c>
      <c r="L111" s="256">
        <f t="shared" si="36"/>
        <v>180.55555555555554</v>
      </c>
      <c r="M111" s="256">
        <f t="shared" si="37"/>
        <v>541.66666666666663</v>
      </c>
      <c r="N111" s="255">
        <v>0</v>
      </c>
      <c r="O111" s="256">
        <v>0</v>
      </c>
      <c r="P111" s="256">
        <v>0</v>
      </c>
      <c r="Q111" s="256">
        <v>0</v>
      </c>
      <c r="R111" s="256">
        <v>0</v>
      </c>
      <c r="S111" s="257">
        <v>0</v>
      </c>
      <c r="T111" s="256">
        <v>0</v>
      </c>
      <c r="U111" s="258">
        <f t="shared" si="27"/>
        <v>5194.2222222222235</v>
      </c>
      <c r="V111" s="256">
        <v>0</v>
      </c>
      <c r="W111" s="256">
        <v>500</v>
      </c>
      <c r="X111" s="256">
        <v>53.31</v>
      </c>
      <c r="Y111" s="256">
        <v>5.0599999999999996</v>
      </c>
      <c r="Z111" s="256">
        <v>17.5</v>
      </c>
      <c r="AA111" s="256">
        <v>23.65</v>
      </c>
      <c r="AB111" s="256">
        <v>218.1</v>
      </c>
      <c r="AC111" s="189">
        <f t="shared" si="28"/>
        <v>817.61999999999989</v>
      </c>
      <c r="AD111" s="259">
        <f t="shared" si="29"/>
        <v>12511.842222222222</v>
      </c>
    </row>
    <row r="112" spans="1:30" s="160" customFormat="1">
      <c r="A112" s="250">
        <v>107</v>
      </c>
      <c r="B112" s="251" t="s">
        <v>422</v>
      </c>
      <c r="C112" s="252">
        <v>1</v>
      </c>
      <c r="D112" s="253">
        <v>3773.6</v>
      </c>
      <c r="E112" s="254">
        <f t="shared" si="26"/>
        <v>3773.6</v>
      </c>
      <c r="F112" s="255">
        <f t="shared" si="30"/>
        <v>1340.4665777777775</v>
      </c>
      <c r="G112" s="256">
        <f t="shared" si="31"/>
        <v>48.218222222222209</v>
      </c>
      <c r="H112" s="256">
        <f t="shared" si="32"/>
        <v>385.74577777777768</v>
      </c>
      <c r="I112" s="256">
        <f t="shared" si="33"/>
        <v>192.87288888888884</v>
      </c>
      <c r="J112" s="256">
        <f t="shared" si="34"/>
        <v>314.46666666666664</v>
      </c>
      <c r="K112" s="256">
        <f t="shared" si="35"/>
        <v>314.46666666666664</v>
      </c>
      <c r="L112" s="256">
        <f t="shared" si="36"/>
        <v>104.82222222222221</v>
      </c>
      <c r="M112" s="256">
        <f t="shared" si="37"/>
        <v>314.46666666666664</v>
      </c>
      <c r="N112" s="255">
        <v>0</v>
      </c>
      <c r="O112" s="256">
        <v>0</v>
      </c>
      <c r="P112" s="256">
        <v>0</v>
      </c>
      <c r="Q112" s="256">
        <v>0</v>
      </c>
      <c r="R112" s="256">
        <f>E112*30%</f>
        <v>1132.08</v>
      </c>
      <c r="S112" s="257">
        <v>0</v>
      </c>
      <c r="T112" s="256">
        <v>0</v>
      </c>
      <c r="U112" s="258">
        <f t="shared" si="27"/>
        <v>4147.6056888888888</v>
      </c>
      <c r="V112" s="256">
        <v>0</v>
      </c>
      <c r="W112" s="256">
        <v>500</v>
      </c>
      <c r="X112" s="256">
        <v>53.31</v>
      </c>
      <c r="Y112" s="256">
        <v>5.0599999999999996</v>
      </c>
      <c r="Z112" s="256">
        <v>17.5</v>
      </c>
      <c r="AA112" s="256">
        <v>23.65</v>
      </c>
      <c r="AB112" s="256">
        <v>218.1</v>
      </c>
      <c r="AC112" s="189">
        <f t="shared" si="28"/>
        <v>817.61999999999989</v>
      </c>
      <c r="AD112" s="259">
        <f t="shared" si="29"/>
        <v>8738.82568888889</v>
      </c>
    </row>
    <row r="113" spans="1:30" s="160" customFormat="1">
      <c r="A113" s="250">
        <v>108</v>
      </c>
      <c r="B113" s="251" t="s">
        <v>423</v>
      </c>
      <c r="C113" s="252">
        <v>1</v>
      </c>
      <c r="D113" s="253">
        <v>2600</v>
      </c>
      <c r="E113" s="254">
        <f t="shared" si="26"/>
        <v>2600</v>
      </c>
      <c r="F113" s="255">
        <f t="shared" si="30"/>
        <v>923.57777777777767</v>
      </c>
      <c r="G113" s="256">
        <f t="shared" si="31"/>
        <v>33.222222222222214</v>
      </c>
      <c r="H113" s="256">
        <f t="shared" si="32"/>
        <v>265.77777777777771</v>
      </c>
      <c r="I113" s="256">
        <f t="shared" si="33"/>
        <v>132.88888888888886</v>
      </c>
      <c r="J113" s="256">
        <f t="shared" si="34"/>
        <v>216.66666666666666</v>
      </c>
      <c r="K113" s="256">
        <f t="shared" si="35"/>
        <v>216.66666666666666</v>
      </c>
      <c r="L113" s="256">
        <f t="shared" si="36"/>
        <v>72.222222222222214</v>
      </c>
      <c r="M113" s="256">
        <f t="shared" si="37"/>
        <v>216.66666666666666</v>
      </c>
      <c r="N113" s="255">
        <v>0</v>
      </c>
      <c r="O113" s="256">
        <v>0</v>
      </c>
      <c r="P113" s="256">
        <f>E113/150*1.75</f>
        <v>30.333333333333332</v>
      </c>
      <c r="Q113" s="256">
        <f>P113/25*5</f>
        <v>6.0666666666666664</v>
      </c>
      <c r="R113" s="256">
        <v>0</v>
      </c>
      <c r="S113" s="257">
        <v>0</v>
      </c>
      <c r="T113" s="256">
        <v>0</v>
      </c>
      <c r="U113" s="258">
        <f t="shared" si="27"/>
        <v>2114.088888888889</v>
      </c>
      <c r="V113" s="256">
        <v>111.67</v>
      </c>
      <c r="W113" s="256">
        <v>500</v>
      </c>
      <c r="X113" s="256">
        <v>53.31</v>
      </c>
      <c r="Y113" s="256">
        <v>5.0599999999999996</v>
      </c>
      <c r="Z113" s="256">
        <v>17.5</v>
      </c>
      <c r="AA113" s="256">
        <v>23.65</v>
      </c>
      <c r="AB113" s="256">
        <v>218.1</v>
      </c>
      <c r="AC113" s="189">
        <f t="shared" si="28"/>
        <v>929.29</v>
      </c>
      <c r="AD113" s="259">
        <f t="shared" si="29"/>
        <v>5643.3788888888894</v>
      </c>
    </row>
    <row r="114" spans="1:30" s="160" customFormat="1">
      <c r="A114" s="250">
        <v>109</v>
      </c>
      <c r="B114" s="251" t="s">
        <v>424</v>
      </c>
      <c r="C114" s="252">
        <v>1</v>
      </c>
      <c r="D114" s="253">
        <v>2600</v>
      </c>
      <c r="E114" s="254">
        <f t="shared" si="26"/>
        <v>2600</v>
      </c>
      <c r="F114" s="255">
        <f t="shared" si="30"/>
        <v>923.57777777777767</v>
      </c>
      <c r="G114" s="256">
        <f t="shared" si="31"/>
        <v>33.222222222222214</v>
      </c>
      <c r="H114" s="256">
        <f t="shared" si="32"/>
        <v>265.77777777777771</v>
      </c>
      <c r="I114" s="256">
        <f t="shared" si="33"/>
        <v>132.88888888888886</v>
      </c>
      <c r="J114" s="256">
        <f t="shared" si="34"/>
        <v>216.66666666666666</v>
      </c>
      <c r="K114" s="256">
        <f t="shared" si="35"/>
        <v>216.66666666666666</v>
      </c>
      <c r="L114" s="256">
        <f t="shared" si="36"/>
        <v>72.222222222222214</v>
      </c>
      <c r="M114" s="256">
        <f t="shared" si="37"/>
        <v>216.66666666666666</v>
      </c>
      <c r="N114" s="255">
        <v>0</v>
      </c>
      <c r="O114" s="256">
        <v>0</v>
      </c>
      <c r="P114" s="256">
        <f t="shared" ref="P114:P121" si="45">E114/150*1.75</f>
        <v>30.333333333333332</v>
      </c>
      <c r="Q114" s="256">
        <f t="shared" ref="Q114:Q121" si="46">P114/25*5</f>
        <v>6.0666666666666664</v>
      </c>
      <c r="R114" s="256">
        <v>0</v>
      </c>
      <c r="S114" s="257">
        <v>0</v>
      </c>
      <c r="T114" s="256">
        <v>0</v>
      </c>
      <c r="U114" s="258">
        <f t="shared" si="27"/>
        <v>2114.088888888889</v>
      </c>
      <c r="V114" s="256">
        <v>111.67</v>
      </c>
      <c r="W114" s="256">
        <v>500</v>
      </c>
      <c r="X114" s="256">
        <v>53.31</v>
      </c>
      <c r="Y114" s="256">
        <v>5.0599999999999996</v>
      </c>
      <c r="Z114" s="256">
        <v>17.5</v>
      </c>
      <c r="AA114" s="256">
        <v>23.65</v>
      </c>
      <c r="AB114" s="256">
        <v>218.1</v>
      </c>
      <c r="AC114" s="189">
        <f t="shared" si="28"/>
        <v>929.29</v>
      </c>
      <c r="AD114" s="259">
        <f t="shared" si="29"/>
        <v>5643.3788888888894</v>
      </c>
    </row>
    <row r="115" spans="1:30" s="160" customFormat="1">
      <c r="A115" s="250">
        <v>110</v>
      </c>
      <c r="B115" s="251" t="s">
        <v>425</v>
      </c>
      <c r="C115" s="252">
        <v>1</v>
      </c>
      <c r="D115" s="253">
        <v>2600</v>
      </c>
      <c r="E115" s="254">
        <f t="shared" si="26"/>
        <v>2600</v>
      </c>
      <c r="F115" s="255">
        <f t="shared" si="30"/>
        <v>923.57777777777767</v>
      </c>
      <c r="G115" s="256">
        <f t="shared" si="31"/>
        <v>33.222222222222214</v>
      </c>
      <c r="H115" s="256">
        <f t="shared" si="32"/>
        <v>265.77777777777771</v>
      </c>
      <c r="I115" s="256">
        <f t="shared" si="33"/>
        <v>132.88888888888886</v>
      </c>
      <c r="J115" s="256">
        <f t="shared" si="34"/>
        <v>216.66666666666666</v>
      </c>
      <c r="K115" s="256">
        <f t="shared" si="35"/>
        <v>216.66666666666666</v>
      </c>
      <c r="L115" s="256">
        <f t="shared" si="36"/>
        <v>72.222222222222214</v>
      </c>
      <c r="M115" s="256">
        <f t="shared" si="37"/>
        <v>216.66666666666666</v>
      </c>
      <c r="N115" s="255">
        <v>0</v>
      </c>
      <c r="O115" s="256">
        <v>0</v>
      </c>
      <c r="P115" s="256">
        <f t="shared" si="45"/>
        <v>30.333333333333332</v>
      </c>
      <c r="Q115" s="256">
        <f t="shared" si="46"/>
        <v>6.0666666666666664</v>
      </c>
      <c r="R115" s="256">
        <v>0</v>
      </c>
      <c r="S115" s="257">
        <v>0</v>
      </c>
      <c r="T115" s="256">
        <v>0</v>
      </c>
      <c r="U115" s="258">
        <f t="shared" si="27"/>
        <v>2114.088888888889</v>
      </c>
      <c r="V115" s="256">
        <v>111.67</v>
      </c>
      <c r="W115" s="256">
        <v>500</v>
      </c>
      <c r="X115" s="256">
        <v>53.31</v>
      </c>
      <c r="Y115" s="256">
        <v>5.0599999999999996</v>
      </c>
      <c r="Z115" s="256">
        <v>17.5</v>
      </c>
      <c r="AA115" s="256">
        <v>23.65</v>
      </c>
      <c r="AB115" s="256">
        <v>218.1</v>
      </c>
      <c r="AC115" s="189">
        <f t="shared" si="28"/>
        <v>929.29</v>
      </c>
      <c r="AD115" s="259">
        <f t="shared" si="29"/>
        <v>5643.3788888888894</v>
      </c>
    </row>
    <row r="116" spans="1:30" s="160" customFormat="1">
      <c r="A116" s="250">
        <v>111</v>
      </c>
      <c r="B116" s="251" t="s">
        <v>426</v>
      </c>
      <c r="C116" s="252">
        <v>1</v>
      </c>
      <c r="D116" s="253">
        <v>2600</v>
      </c>
      <c r="E116" s="254">
        <f t="shared" si="26"/>
        <v>2600</v>
      </c>
      <c r="F116" s="255">
        <f t="shared" si="30"/>
        <v>923.57777777777767</v>
      </c>
      <c r="G116" s="256">
        <f t="shared" si="31"/>
        <v>33.222222222222214</v>
      </c>
      <c r="H116" s="256">
        <f t="shared" si="32"/>
        <v>265.77777777777771</v>
      </c>
      <c r="I116" s="256">
        <f t="shared" si="33"/>
        <v>132.88888888888886</v>
      </c>
      <c r="J116" s="256">
        <f t="shared" si="34"/>
        <v>216.66666666666666</v>
      </c>
      <c r="K116" s="256">
        <f t="shared" si="35"/>
        <v>216.66666666666666</v>
      </c>
      <c r="L116" s="256">
        <f t="shared" si="36"/>
        <v>72.222222222222214</v>
      </c>
      <c r="M116" s="256">
        <f t="shared" si="37"/>
        <v>216.66666666666666</v>
      </c>
      <c r="N116" s="255">
        <v>0</v>
      </c>
      <c r="O116" s="256">
        <v>0</v>
      </c>
      <c r="P116" s="256">
        <f t="shared" si="45"/>
        <v>30.333333333333332</v>
      </c>
      <c r="Q116" s="256">
        <f t="shared" si="46"/>
        <v>6.0666666666666664</v>
      </c>
      <c r="R116" s="256">
        <v>0</v>
      </c>
      <c r="S116" s="257">
        <v>0</v>
      </c>
      <c r="T116" s="256">
        <v>0</v>
      </c>
      <c r="U116" s="258">
        <f t="shared" si="27"/>
        <v>2114.088888888889</v>
      </c>
      <c r="V116" s="256">
        <v>111.67</v>
      </c>
      <c r="W116" s="256">
        <v>500</v>
      </c>
      <c r="X116" s="256">
        <v>53.31</v>
      </c>
      <c r="Y116" s="256">
        <v>5.0599999999999996</v>
      </c>
      <c r="Z116" s="256">
        <v>17.5</v>
      </c>
      <c r="AA116" s="256">
        <v>23.65</v>
      </c>
      <c r="AB116" s="256">
        <v>218.1</v>
      </c>
      <c r="AC116" s="189">
        <f t="shared" si="28"/>
        <v>929.29</v>
      </c>
      <c r="AD116" s="259">
        <f t="shared" si="29"/>
        <v>5643.3788888888894</v>
      </c>
    </row>
    <row r="117" spans="1:30" s="160" customFormat="1">
      <c r="A117" s="250">
        <v>112</v>
      </c>
      <c r="B117" s="251" t="s">
        <v>427</v>
      </c>
      <c r="C117" s="252">
        <v>1</v>
      </c>
      <c r="D117" s="253">
        <v>2600</v>
      </c>
      <c r="E117" s="254">
        <f t="shared" si="26"/>
        <v>2600</v>
      </c>
      <c r="F117" s="255">
        <f t="shared" si="30"/>
        <v>923.57777777777767</v>
      </c>
      <c r="G117" s="256">
        <f t="shared" si="31"/>
        <v>33.222222222222214</v>
      </c>
      <c r="H117" s="256">
        <f t="shared" si="32"/>
        <v>265.77777777777771</v>
      </c>
      <c r="I117" s="256">
        <f t="shared" si="33"/>
        <v>132.88888888888886</v>
      </c>
      <c r="J117" s="256">
        <f t="shared" si="34"/>
        <v>216.66666666666666</v>
      </c>
      <c r="K117" s="256">
        <f t="shared" si="35"/>
        <v>216.66666666666666</v>
      </c>
      <c r="L117" s="256">
        <f t="shared" si="36"/>
        <v>72.222222222222214</v>
      </c>
      <c r="M117" s="256">
        <f t="shared" si="37"/>
        <v>216.66666666666666</v>
      </c>
      <c r="N117" s="255">
        <v>0</v>
      </c>
      <c r="O117" s="256">
        <v>0</v>
      </c>
      <c r="P117" s="256">
        <f t="shared" si="45"/>
        <v>30.333333333333332</v>
      </c>
      <c r="Q117" s="256">
        <f t="shared" si="46"/>
        <v>6.0666666666666664</v>
      </c>
      <c r="R117" s="256">
        <v>0</v>
      </c>
      <c r="S117" s="257">
        <v>0</v>
      </c>
      <c r="T117" s="256">
        <v>0</v>
      </c>
      <c r="U117" s="258">
        <f t="shared" si="27"/>
        <v>2114.088888888889</v>
      </c>
      <c r="V117" s="256">
        <v>111.67</v>
      </c>
      <c r="W117" s="256">
        <v>500</v>
      </c>
      <c r="X117" s="256">
        <v>53.31</v>
      </c>
      <c r="Y117" s="256">
        <v>5.0599999999999996</v>
      </c>
      <c r="Z117" s="256">
        <v>17.5</v>
      </c>
      <c r="AA117" s="256">
        <v>23.65</v>
      </c>
      <c r="AB117" s="256">
        <v>218.1</v>
      </c>
      <c r="AC117" s="189">
        <f t="shared" si="28"/>
        <v>929.29</v>
      </c>
      <c r="AD117" s="259">
        <f t="shared" si="29"/>
        <v>5643.3788888888894</v>
      </c>
    </row>
    <row r="118" spans="1:30" s="160" customFormat="1">
      <c r="A118" s="250">
        <v>113</v>
      </c>
      <c r="B118" s="251" t="s">
        <v>428</v>
      </c>
      <c r="C118" s="252">
        <v>1</v>
      </c>
      <c r="D118" s="253">
        <v>1750</v>
      </c>
      <c r="E118" s="254">
        <f t="shared" si="26"/>
        <v>1750</v>
      </c>
      <c r="F118" s="255">
        <f t="shared" si="30"/>
        <v>621.63888888888903</v>
      </c>
      <c r="G118" s="256">
        <f t="shared" si="31"/>
        <v>22.361111111111114</v>
      </c>
      <c r="H118" s="256">
        <f t="shared" si="32"/>
        <v>178.88888888888891</v>
      </c>
      <c r="I118" s="256">
        <f t="shared" si="33"/>
        <v>89.444444444444457</v>
      </c>
      <c r="J118" s="256">
        <f t="shared" si="34"/>
        <v>145.83333333333334</v>
      </c>
      <c r="K118" s="256">
        <f t="shared" si="35"/>
        <v>145.83333333333334</v>
      </c>
      <c r="L118" s="256">
        <f t="shared" si="36"/>
        <v>48.611111111111114</v>
      </c>
      <c r="M118" s="256">
        <f t="shared" si="37"/>
        <v>145.83333333333334</v>
      </c>
      <c r="N118" s="255">
        <v>0</v>
      </c>
      <c r="O118" s="256">
        <v>0</v>
      </c>
      <c r="P118" s="256">
        <f t="shared" si="45"/>
        <v>20.416666666666664</v>
      </c>
      <c r="Q118" s="256">
        <f t="shared" si="46"/>
        <v>4.083333333333333</v>
      </c>
      <c r="R118" s="256">
        <v>0</v>
      </c>
      <c r="S118" s="257">
        <v>0</v>
      </c>
      <c r="T118" s="256">
        <v>0</v>
      </c>
      <c r="U118" s="258">
        <f t="shared" si="27"/>
        <v>1422.9444444444443</v>
      </c>
      <c r="V118" s="256">
        <v>111.67</v>
      </c>
      <c r="W118" s="256">
        <v>500</v>
      </c>
      <c r="X118" s="256">
        <v>53.31</v>
      </c>
      <c r="Y118" s="256">
        <v>5.0599999999999996</v>
      </c>
      <c r="Z118" s="256">
        <v>17.5</v>
      </c>
      <c r="AA118" s="256">
        <v>23.65</v>
      </c>
      <c r="AB118" s="256">
        <v>218.1</v>
      </c>
      <c r="AC118" s="189">
        <f t="shared" si="28"/>
        <v>929.29</v>
      </c>
      <c r="AD118" s="259">
        <f t="shared" si="29"/>
        <v>4102.2344444444443</v>
      </c>
    </row>
    <row r="119" spans="1:30" s="160" customFormat="1">
      <c r="A119" s="250">
        <v>114</v>
      </c>
      <c r="B119" s="251" t="s">
        <v>429</v>
      </c>
      <c r="C119" s="252">
        <v>1</v>
      </c>
      <c r="D119" s="253">
        <v>1642</v>
      </c>
      <c r="E119" s="254">
        <f t="shared" si="26"/>
        <v>1642</v>
      </c>
      <c r="F119" s="255">
        <f t="shared" si="30"/>
        <v>583.27488888888888</v>
      </c>
      <c r="G119" s="256">
        <f t="shared" si="31"/>
        <v>20.981111111111108</v>
      </c>
      <c r="H119" s="256">
        <f t="shared" si="32"/>
        <v>167.84888888888887</v>
      </c>
      <c r="I119" s="256">
        <f t="shared" si="33"/>
        <v>83.924444444444433</v>
      </c>
      <c r="J119" s="256">
        <f t="shared" si="34"/>
        <v>136.83333333333334</v>
      </c>
      <c r="K119" s="256">
        <f t="shared" si="35"/>
        <v>136.83333333333334</v>
      </c>
      <c r="L119" s="256">
        <f t="shared" si="36"/>
        <v>45.611111111111114</v>
      </c>
      <c r="M119" s="256">
        <f t="shared" si="37"/>
        <v>136.83333333333334</v>
      </c>
      <c r="N119" s="255">
        <v>0</v>
      </c>
      <c r="O119" s="256">
        <v>0</v>
      </c>
      <c r="P119" s="256">
        <f t="shared" si="45"/>
        <v>19.156666666666666</v>
      </c>
      <c r="Q119" s="256">
        <f t="shared" si="46"/>
        <v>3.8313333333333333</v>
      </c>
      <c r="R119" s="256">
        <v>0</v>
      </c>
      <c r="S119" s="257">
        <v>0</v>
      </c>
      <c r="T119" s="256">
        <v>0</v>
      </c>
      <c r="U119" s="258">
        <f t="shared" si="27"/>
        <v>1335.1284444444443</v>
      </c>
      <c r="V119" s="256">
        <v>111.67</v>
      </c>
      <c r="W119" s="256">
        <v>500</v>
      </c>
      <c r="X119" s="256">
        <v>53.31</v>
      </c>
      <c r="Y119" s="256">
        <v>5.0599999999999996</v>
      </c>
      <c r="Z119" s="256">
        <v>17.5</v>
      </c>
      <c r="AA119" s="256">
        <v>23.65</v>
      </c>
      <c r="AB119" s="256">
        <v>218.1</v>
      </c>
      <c r="AC119" s="189">
        <f t="shared" si="28"/>
        <v>929.29</v>
      </c>
      <c r="AD119" s="259">
        <f t="shared" si="29"/>
        <v>3906.4184444444445</v>
      </c>
    </row>
    <row r="120" spans="1:30" s="160" customFormat="1">
      <c r="A120" s="250">
        <v>115</v>
      </c>
      <c r="B120" s="251" t="s">
        <v>430</v>
      </c>
      <c r="C120" s="252">
        <v>1</v>
      </c>
      <c r="D120" s="253">
        <v>1385</v>
      </c>
      <c r="E120" s="254">
        <f t="shared" si="26"/>
        <v>1385</v>
      </c>
      <c r="F120" s="255">
        <f t="shared" si="30"/>
        <v>491.98277777777787</v>
      </c>
      <c r="G120" s="256">
        <f t="shared" si="31"/>
        <v>17.697222222222223</v>
      </c>
      <c r="H120" s="256">
        <f t="shared" si="32"/>
        <v>141.57777777777778</v>
      </c>
      <c r="I120" s="256">
        <f t="shared" si="33"/>
        <v>70.788888888888891</v>
      </c>
      <c r="J120" s="256">
        <f t="shared" si="34"/>
        <v>115.41666666666667</v>
      </c>
      <c r="K120" s="256">
        <f t="shared" si="35"/>
        <v>115.41666666666667</v>
      </c>
      <c r="L120" s="256">
        <f t="shared" si="36"/>
        <v>38.472222222222221</v>
      </c>
      <c r="M120" s="256">
        <f t="shared" si="37"/>
        <v>115.41666666666667</v>
      </c>
      <c r="N120" s="255">
        <v>0</v>
      </c>
      <c r="O120" s="256">
        <v>0</v>
      </c>
      <c r="P120" s="256">
        <f t="shared" si="45"/>
        <v>16.158333333333331</v>
      </c>
      <c r="Q120" s="256">
        <f t="shared" si="46"/>
        <v>3.231666666666666</v>
      </c>
      <c r="R120" s="256">
        <v>0</v>
      </c>
      <c r="S120" s="257">
        <v>0</v>
      </c>
      <c r="T120" s="256">
        <v>0</v>
      </c>
      <c r="U120" s="258">
        <f t="shared" si="27"/>
        <v>1126.1588888888887</v>
      </c>
      <c r="V120" s="256">
        <v>111.67</v>
      </c>
      <c r="W120" s="256">
        <v>500</v>
      </c>
      <c r="X120" s="256">
        <v>53.31</v>
      </c>
      <c r="Y120" s="256">
        <v>5.0599999999999996</v>
      </c>
      <c r="Z120" s="256">
        <v>17.5</v>
      </c>
      <c r="AA120" s="256">
        <v>23.65</v>
      </c>
      <c r="AB120" s="256">
        <v>218.1</v>
      </c>
      <c r="AC120" s="189">
        <f t="shared" si="28"/>
        <v>929.29</v>
      </c>
      <c r="AD120" s="259">
        <f t="shared" si="29"/>
        <v>3440.4488888888886</v>
      </c>
    </row>
    <row r="121" spans="1:30" s="160" customFormat="1">
      <c r="A121" s="250">
        <v>116</v>
      </c>
      <c r="B121" s="251" t="s">
        <v>431</v>
      </c>
      <c r="C121" s="252">
        <v>1</v>
      </c>
      <c r="D121" s="253">
        <v>1452.39</v>
      </c>
      <c r="E121" s="254">
        <f t="shared" si="26"/>
        <v>1452.39</v>
      </c>
      <c r="F121" s="255">
        <f t="shared" si="30"/>
        <v>515.92120333333344</v>
      </c>
      <c r="G121" s="256">
        <f t="shared" si="31"/>
        <v>18.55831666666667</v>
      </c>
      <c r="H121" s="256">
        <f t="shared" si="32"/>
        <v>148.46653333333336</v>
      </c>
      <c r="I121" s="256">
        <f t="shared" si="33"/>
        <v>74.23326666666668</v>
      </c>
      <c r="J121" s="256">
        <f t="shared" si="34"/>
        <v>121.03250000000001</v>
      </c>
      <c r="K121" s="256">
        <f t="shared" si="35"/>
        <v>121.03250000000001</v>
      </c>
      <c r="L121" s="256">
        <f t="shared" si="36"/>
        <v>40.344166666666673</v>
      </c>
      <c r="M121" s="256">
        <f t="shared" si="37"/>
        <v>121.03250000000001</v>
      </c>
      <c r="N121" s="255">
        <v>0</v>
      </c>
      <c r="O121" s="256">
        <v>0</v>
      </c>
      <c r="P121" s="256">
        <f t="shared" si="45"/>
        <v>16.94455</v>
      </c>
      <c r="Q121" s="256">
        <f t="shared" si="46"/>
        <v>3.3889100000000001</v>
      </c>
      <c r="R121" s="256">
        <v>0</v>
      </c>
      <c r="S121" s="257">
        <v>0</v>
      </c>
      <c r="T121" s="256">
        <v>0</v>
      </c>
      <c r="U121" s="258">
        <f t="shared" si="27"/>
        <v>1180.9544466666669</v>
      </c>
      <c r="V121" s="256">
        <v>111.67</v>
      </c>
      <c r="W121" s="256">
        <v>500</v>
      </c>
      <c r="X121" s="256">
        <v>53.31</v>
      </c>
      <c r="Y121" s="256">
        <v>5.0599999999999996</v>
      </c>
      <c r="Z121" s="256">
        <v>17.5</v>
      </c>
      <c r="AA121" s="256">
        <v>23.65</v>
      </c>
      <c r="AB121" s="256">
        <v>218.1</v>
      </c>
      <c r="AC121" s="189">
        <f t="shared" si="28"/>
        <v>929.29</v>
      </c>
      <c r="AD121" s="259">
        <f t="shared" si="29"/>
        <v>3562.6344466666669</v>
      </c>
    </row>
    <row r="122" spans="1:30" s="160" customFormat="1">
      <c r="A122" s="250">
        <v>117</v>
      </c>
      <c r="B122" s="251" t="s">
        <v>435</v>
      </c>
      <c r="C122" s="252">
        <v>2</v>
      </c>
      <c r="D122" s="253">
        <v>1900</v>
      </c>
      <c r="E122" s="254">
        <f t="shared" si="26"/>
        <v>3800</v>
      </c>
      <c r="F122" s="255">
        <f t="shared" si="30"/>
        <v>1434.9433333333336</v>
      </c>
      <c r="G122" s="256">
        <f t="shared" si="31"/>
        <v>51.616666666666674</v>
      </c>
      <c r="H122" s="256">
        <f t="shared" si="32"/>
        <v>412.93333333333339</v>
      </c>
      <c r="I122" s="256">
        <f t="shared" si="33"/>
        <v>301.4666666666667</v>
      </c>
      <c r="J122" s="256">
        <f t="shared" si="34"/>
        <v>332.5</v>
      </c>
      <c r="K122" s="256">
        <f t="shared" si="35"/>
        <v>332.5</v>
      </c>
      <c r="L122" s="256">
        <f t="shared" si="36"/>
        <v>174.16666666666666</v>
      </c>
      <c r="M122" s="256">
        <f t="shared" si="37"/>
        <v>332.5</v>
      </c>
      <c r="N122" s="255">
        <v>0</v>
      </c>
      <c r="O122" s="256">
        <v>0</v>
      </c>
      <c r="P122" s="256">
        <f>(R122+E122)/210*1.75*1.2</f>
        <v>49.400000000000006</v>
      </c>
      <c r="Q122" s="256">
        <f>P122/6</f>
        <v>8.2333333333333343</v>
      </c>
      <c r="R122" s="256">
        <f>E122*30%</f>
        <v>1140</v>
      </c>
      <c r="S122" s="257">
        <v>190</v>
      </c>
      <c r="T122" s="256">
        <f>(E122+R122+N122+O122)/30*2</f>
        <v>329.33333333333331</v>
      </c>
      <c r="U122" s="258">
        <f t="shared" si="27"/>
        <v>5089.5933333333332</v>
      </c>
      <c r="V122" s="256">
        <v>76.14</v>
      </c>
      <c r="W122" s="256">
        <v>500</v>
      </c>
      <c r="X122" s="256">
        <v>53.31</v>
      </c>
      <c r="Y122" s="256">
        <v>5.0599999999999996</v>
      </c>
      <c r="Z122" s="256">
        <v>17.5</v>
      </c>
      <c r="AA122" s="256">
        <v>23.65</v>
      </c>
      <c r="AB122" s="256">
        <v>218.1</v>
      </c>
      <c r="AC122" s="189">
        <f t="shared" si="28"/>
        <v>893.76</v>
      </c>
      <c r="AD122" s="259">
        <f t="shared" si="29"/>
        <v>9783.3533333333344</v>
      </c>
    </row>
    <row r="123" spans="1:30" s="160" customFormat="1">
      <c r="A123" s="250">
        <v>118</v>
      </c>
      <c r="B123" s="251" t="s">
        <v>432</v>
      </c>
      <c r="C123" s="252">
        <v>12</v>
      </c>
      <c r="D123" s="253">
        <v>1900</v>
      </c>
      <c r="E123" s="254">
        <f t="shared" si="26"/>
        <v>22800</v>
      </c>
      <c r="F123" s="255">
        <f t="shared" si="30"/>
        <v>8099.0666666666666</v>
      </c>
      <c r="G123" s="256">
        <f t="shared" si="31"/>
        <v>291.33333333333331</v>
      </c>
      <c r="H123" s="256">
        <f t="shared" si="32"/>
        <v>2330.6666666666665</v>
      </c>
      <c r="I123" s="256">
        <f t="shared" si="33"/>
        <v>1165.3333333333333</v>
      </c>
      <c r="J123" s="256">
        <f t="shared" si="34"/>
        <v>1900</v>
      </c>
      <c r="K123" s="256">
        <f t="shared" si="35"/>
        <v>1900</v>
      </c>
      <c r="L123" s="256">
        <f t="shared" si="36"/>
        <v>633.33333333333337</v>
      </c>
      <c r="M123" s="256">
        <f t="shared" si="37"/>
        <v>1900</v>
      </c>
      <c r="N123" s="255">
        <v>0</v>
      </c>
      <c r="O123" s="256">
        <v>0</v>
      </c>
      <c r="P123" s="256">
        <f>(R123+E123)/210*1.75*1.2</f>
        <v>296.39999999999998</v>
      </c>
      <c r="Q123" s="256">
        <f>P123/6</f>
        <v>49.4</v>
      </c>
      <c r="R123" s="256">
        <f>E123*30%</f>
        <v>6840</v>
      </c>
      <c r="S123" s="257">
        <v>0</v>
      </c>
      <c r="T123" s="256">
        <f t="shared" ref="T123:T125" si="47">(E123+R123+N123+O123)/30*2</f>
        <v>1976</v>
      </c>
      <c r="U123" s="258">
        <f t="shared" si="27"/>
        <v>27381.533333333336</v>
      </c>
      <c r="V123" s="256">
        <v>76.14</v>
      </c>
      <c r="W123" s="256">
        <v>500</v>
      </c>
      <c r="X123" s="256">
        <v>53.31</v>
      </c>
      <c r="Y123" s="256">
        <v>5.0599999999999996</v>
      </c>
      <c r="Z123" s="256">
        <v>17.5</v>
      </c>
      <c r="AA123" s="256">
        <v>23.65</v>
      </c>
      <c r="AB123" s="256">
        <v>218.1</v>
      </c>
      <c r="AC123" s="189">
        <f t="shared" si="28"/>
        <v>893.76</v>
      </c>
      <c r="AD123" s="259">
        <f t="shared" si="29"/>
        <v>51075.293333333342</v>
      </c>
    </row>
    <row r="124" spans="1:30" s="160" customFormat="1">
      <c r="A124" s="250">
        <v>119</v>
      </c>
      <c r="B124" s="251" t="s">
        <v>433</v>
      </c>
      <c r="C124" s="252">
        <v>2</v>
      </c>
      <c r="D124" s="253">
        <v>1900</v>
      </c>
      <c r="E124" s="254">
        <f t="shared" si="26"/>
        <v>3800</v>
      </c>
      <c r="F124" s="255">
        <f t="shared" si="30"/>
        <v>1434.9433333333336</v>
      </c>
      <c r="G124" s="256">
        <f t="shared" si="31"/>
        <v>51.616666666666674</v>
      </c>
      <c r="H124" s="256">
        <f t="shared" si="32"/>
        <v>412.93333333333339</v>
      </c>
      <c r="I124" s="256">
        <f t="shared" si="33"/>
        <v>301.4666666666667</v>
      </c>
      <c r="J124" s="256">
        <f t="shared" si="34"/>
        <v>332.5</v>
      </c>
      <c r="K124" s="256">
        <f t="shared" si="35"/>
        <v>332.5</v>
      </c>
      <c r="L124" s="256">
        <f t="shared" si="36"/>
        <v>174.16666666666666</v>
      </c>
      <c r="M124" s="256">
        <f t="shared" si="37"/>
        <v>332.5</v>
      </c>
      <c r="N124" s="255">
        <f>(R124+E124)/210*20%*160</f>
        <v>752.76190476190482</v>
      </c>
      <c r="O124" s="256">
        <f>N124/6</f>
        <v>125.46031746031747</v>
      </c>
      <c r="P124" s="256">
        <f>(R124+E124)/210*1.75*1.2</f>
        <v>49.400000000000006</v>
      </c>
      <c r="Q124" s="256">
        <f>P124/6</f>
        <v>8.2333333333333343</v>
      </c>
      <c r="R124" s="256">
        <f>E124*30%</f>
        <v>1140</v>
      </c>
      <c r="S124" s="257">
        <v>190</v>
      </c>
      <c r="T124" s="256">
        <f t="shared" si="47"/>
        <v>387.88148148148144</v>
      </c>
      <c r="U124" s="258">
        <f t="shared" si="27"/>
        <v>6026.3637037037033</v>
      </c>
      <c r="V124" s="256">
        <v>76.14</v>
      </c>
      <c r="W124" s="256">
        <v>500</v>
      </c>
      <c r="X124" s="256">
        <v>53.31</v>
      </c>
      <c r="Y124" s="256">
        <v>5.0599999999999996</v>
      </c>
      <c r="Z124" s="256">
        <v>17.5</v>
      </c>
      <c r="AA124" s="256">
        <v>23.65</v>
      </c>
      <c r="AB124" s="256">
        <v>218.1</v>
      </c>
      <c r="AC124" s="189">
        <f t="shared" si="28"/>
        <v>893.76</v>
      </c>
      <c r="AD124" s="259">
        <f t="shared" si="29"/>
        <v>10720.123703703704</v>
      </c>
    </row>
    <row r="125" spans="1:30" s="160" customFormat="1">
      <c r="A125" s="250">
        <v>120</v>
      </c>
      <c r="B125" s="251" t="s">
        <v>434</v>
      </c>
      <c r="C125" s="252">
        <v>6</v>
      </c>
      <c r="D125" s="253">
        <v>1900</v>
      </c>
      <c r="E125" s="254">
        <f t="shared" si="26"/>
        <v>11400</v>
      </c>
      <c r="F125" s="255">
        <f t="shared" si="30"/>
        <v>4049.5333333333333</v>
      </c>
      <c r="G125" s="256">
        <f t="shared" si="31"/>
        <v>145.66666666666666</v>
      </c>
      <c r="H125" s="256">
        <f t="shared" si="32"/>
        <v>1165.3333333333333</v>
      </c>
      <c r="I125" s="256">
        <f t="shared" si="33"/>
        <v>582.66666666666663</v>
      </c>
      <c r="J125" s="256">
        <f t="shared" si="34"/>
        <v>950</v>
      </c>
      <c r="K125" s="256">
        <f t="shared" si="35"/>
        <v>950</v>
      </c>
      <c r="L125" s="256">
        <f t="shared" si="36"/>
        <v>316.66666666666669</v>
      </c>
      <c r="M125" s="256">
        <f t="shared" si="37"/>
        <v>950</v>
      </c>
      <c r="N125" s="255">
        <f>(R125+E125)/210*20%*160</f>
        <v>2258.2857142857142</v>
      </c>
      <c r="O125" s="256">
        <f>N125/6</f>
        <v>376.38095238095235</v>
      </c>
      <c r="P125" s="256">
        <f>(R125+E125)/210*1.75*1.2</f>
        <v>148.19999999999999</v>
      </c>
      <c r="Q125" s="256">
        <f>P125/6</f>
        <v>24.7</v>
      </c>
      <c r="R125" s="256">
        <f>E125*30%</f>
        <v>3420</v>
      </c>
      <c r="S125" s="257">
        <v>0</v>
      </c>
      <c r="T125" s="256">
        <f t="shared" si="47"/>
        <v>1163.6444444444446</v>
      </c>
      <c r="U125" s="258">
        <f t="shared" si="27"/>
        <v>16501.07777777778</v>
      </c>
      <c r="V125" s="256">
        <v>76.14</v>
      </c>
      <c r="W125" s="256">
        <v>500</v>
      </c>
      <c r="X125" s="256">
        <v>53.31</v>
      </c>
      <c r="Y125" s="256">
        <v>5.0599999999999996</v>
      </c>
      <c r="Z125" s="256">
        <v>17.5</v>
      </c>
      <c r="AA125" s="256">
        <v>23.65</v>
      </c>
      <c r="AB125" s="256">
        <v>218.1</v>
      </c>
      <c r="AC125" s="189">
        <f t="shared" si="28"/>
        <v>893.76</v>
      </c>
      <c r="AD125" s="259">
        <f t="shared" si="29"/>
        <v>28794.837777777779</v>
      </c>
    </row>
    <row r="126" spans="1:30" s="160" customFormat="1">
      <c r="A126" s="250">
        <v>121</v>
      </c>
      <c r="B126" s="251" t="s">
        <v>461</v>
      </c>
      <c r="C126" s="252">
        <v>1</v>
      </c>
      <c r="D126" s="253">
        <v>6500</v>
      </c>
      <c r="E126" s="254">
        <f t="shared" si="26"/>
        <v>6500</v>
      </c>
      <c r="F126" s="255">
        <f t="shared" si="30"/>
        <v>2308.9444444444448</v>
      </c>
      <c r="G126" s="256">
        <f t="shared" si="31"/>
        <v>83.055555555555571</v>
      </c>
      <c r="H126" s="256">
        <f t="shared" si="32"/>
        <v>664.44444444444457</v>
      </c>
      <c r="I126" s="256">
        <f t="shared" si="33"/>
        <v>332.22222222222229</v>
      </c>
      <c r="J126" s="256">
        <f t="shared" si="34"/>
        <v>541.66666666666663</v>
      </c>
      <c r="K126" s="256">
        <f t="shared" si="35"/>
        <v>541.66666666666663</v>
      </c>
      <c r="L126" s="256">
        <f t="shared" si="36"/>
        <v>180.55555555555554</v>
      </c>
      <c r="M126" s="256">
        <f t="shared" si="37"/>
        <v>541.66666666666663</v>
      </c>
      <c r="N126" s="255">
        <v>0</v>
      </c>
      <c r="O126" s="256">
        <v>0</v>
      </c>
      <c r="P126" s="256">
        <v>0</v>
      </c>
      <c r="Q126" s="256">
        <v>0</v>
      </c>
      <c r="R126" s="256">
        <v>0</v>
      </c>
      <c r="S126" s="257">
        <v>0</v>
      </c>
      <c r="T126" s="256">
        <v>0</v>
      </c>
      <c r="U126" s="258">
        <f t="shared" si="27"/>
        <v>5194.2222222222235</v>
      </c>
      <c r="V126" s="256">
        <v>0</v>
      </c>
      <c r="W126" s="256">
        <v>500</v>
      </c>
      <c r="X126" s="256">
        <v>53.31</v>
      </c>
      <c r="Y126" s="256">
        <v>5.0599999999999996</v>
      </c>
      <c r="Z126" s="256">
        <v>17.5</v>
      </c>
      <c r="AA126" s="256">
        <v>23.65</v>
      </c>
      <c r="AB126" s="256">
        <v>218.1</v>
      </c>
      <c r="AC126" s="189">
        <f t="shared" si="28"/>
        <v>817.61999999999989</v>
      </c>
      <c r="AD126" s="259">
        <f t="shared" si="29"/>
        <v>12511.842222222222</v>
      </c>
    </row>
    <row r="127" spans="1:30" s="160" customFormat="1">
      <c r="A127" s="250">
        <v>122</v>
      </c>
      <c r="B127" s="251" t="s">
        <v>422</v>
      </c>
      <c r="C127" s="252">
        <v>1</v>
      </c>
      <c r="D127" s="253">
        <v>3773.6</v>
      </c>
      <c r="E127" s="254">
        <f t="shared" si="26"/>
        <v>3773.6</v>
      </c>
      <c r="F127" s="255">
        <f t="shared" si="30"/>
        <v>1340.4665777777775</v>
      </c>
      <c r="G127" s="256">
        <f t="shared" si="31"/>
        <v>48.218222222222209</v>
      </c>
      <c r="H127" s="256">
        <f t="shared" si="32"/>
        <v>385.74577777777768</v>
      </c>
      <c r="I127" s="256">
        <f t="shared" si="33"/>
        <v>192.87288888888884</v>
      </c>
      <c r="J127" s="256">
        <f t="shared" si="34"/>
        <v>314.46666666666664</v>
      </c>
      <c r="K127" s="256">
        <f t="shared" si="35"/>
        <v>314.46666666666664</v>
      </c>
      <c r="L127" s="256">
        <f t="shared" si="36"/>
        <v>104.82222222222221</v>
      </c>
      <c r="M127" s="256">
        <f t="shared" si="37"/>
        <v>314.46666666666664</v>
      </c>
      <c r="N127" s="255">
        <v>0</v>
      </c>
      <c r="O127" s="256">
        <v>0</v>
      </c>
      <c r="P127" s="256">
        <v>0</v>
      </c>
      <c r="Q127" s="256">
        <v>0</v>
      </c>
      <c r="R127" s="256">
        <f>E127*30%</f>
        <v>1132.08</v>
      </c>
      <c r="S127" s="257">
        <v>0</v>
      </c>
      <c r="T127" s="256">
        <v>0</v>
      </c>
      <c r="U127" s="258">
        <f t="shared" si="27"/>
        <v>4147.6056888888888</v>
      </c>
      <c r="V127" s="256">
        <v>0</v>
      </c>
      <c r="W127" s="256">
        <v>500</v>
      </c>
      <c r="X127" s="256">
        <v>53.31</v>
      </c>
      <c r="Y127" s="256">
        <v>5.0599999999999996</v>
      </c>
      <c r="Z127" s="256">
        <v>17.5</v>
      </c>
      <c r="AA127" s="256">
        <v>23.65</v>
      </c>
      <c r="AB127" s="256">
        <v>218.1</v>
      </c>
      <c r="AC127" s="189">
        <f t="shared" si="28"/>
        <v>817.61999999999989</v>
      </c>
      <c r="AD127" s="259">
        <f t="shared" si="29"/>
        <v>8738.82568888889</v>
      </c>
    </row>
    <row r="128" spans="1:30" s="160" customFormat="1">
      <c r="A128" s="250">
        <v>123</v>
      </c>
      <c r="B128" s="251" t="s">
        <v>423</v>
      </c>
      <c r="C128" s="252">
        <v>1</v>
      </c>
      <c r="D128" s="253">
        <v>2600</v>
      </c>
      <c r="E128" s="254">
        <f t="shared" si="26"/>
        <v>2600</v>
      </c>
      <c r="F128" s="255">
        <f t="shared" si="30"/>
        <v>923.57777777777767</v>
      </c>
      <c r="G128" s="256">
        <f t="shared" si="31"/>
        <v>33.222222222222214</v>
      </c>
      <c r="H128" s="256">
        <f t="shared" si="32"/>
        <v>265.77777777777771</v>
      </c>
      <c r="I128" s="256">
        <f t="shared" si="33"/>
        <v>132.88888888888886</v>
      </c>
      <c r="J128" s="256">
        <f t="shared" si="34"/>
        <v>216.66666666666666</v>
      </c>
      <c r="K128" s="256">
        <f t="shared" si="35"/>
        <v>216.66666666666666</v>
      </c>
      <c r="L128" s="256">
        <f t="shared" si="36"/>
        <v>72.222222222222214</v>
      </c>
      <c r="M128" s="256">
        <f t="shared" si="37"/>
        <v>216.66666666666666</v>
      </c>
      <c r="N128" s="255">
        <v>0</v>
      </c>
      <c r="O128" s="256">
        <v>0</v>
      </c>
      <c r="P128" s="256">
        <f>E128/150*1.75</f>
        <v>30.333333333333332</v>
      </c>
      <c r="Q128" s="256">
        <f>P128/25*5</f>
        <v>6.0666666666666664</v>
      </c>
      <c r="R128" s="256">
        <v>0</v>
      </c>
      <c r="S128" s="257">
        <v>0</v>
      </c>
      <c r="T128" s="256">
        <v>0</v>
      </c>
      <c r="U128" s="258">
        <f t="shared" si="27"/>
        <v>2114.088888888889</v>
      </c>
      <c r="V128" s="256">
        <v>111.67</v>
      </c>
      <c r="W128" s="256">
        <v>500</v>
      </c>
      <c r="X128" s="256">
        <v>53.31</v>
      </c>
      <c r="Y128" s="256">
        <v>5.0599999999999996</v>
      </c>
      <c r="Z128" s="256">
        <v>17.5</v>
      </c>
      <c r="AA128" s="256">
        <v>23.65</v>
      </c>
      <c r="AB128" s="256">
        <v>218.1</v>
      </c>
      <c r="AC128" s="189">
        <f t="shared" si="28"/>
        <v>929.29</v>
      </c>
      <c r="AD128" s="259">
        <f t="shared" si="29"/>
        <v>5643.3788888888894</v>
      </c>
    </row>
    <row r="129" spans="1:30" s="160" customFormat="1">
      <c r="A129" s="250">
        <v>124</v>
      </c>
      <c r="B129" s="251" t="s">
        <v>424</v>
      </c>
      <c r="C129" s="252">
        <v>1</v>
      </c>
      <c r="D129" s="253">
        <v>2600</v>
      </c>
      <c r="E129" s="254">
        <f t="shared" si="26"/>
        <v>2600</v>
      </c>
      <c r="F129" s="255">
        <f t="shared" si="30"/>
        <v>923.57777777777767</v>
      </c>
      <c r="G129" s="256">
        <f t="shared" si="31"/>
        <v>33.222222222222214</v>
      </c>
      <c r="H129" s="256">
        <f t="shared" si="32"/>
        <v>265.77777777777771</v>
      </c>
      <c r="I129" s="256">
        <f t="shared" si="33"/>
        <v>132.88888888888886</v>
      </c>
      <c r="J129" s="256">
        <f t="shared" si="34"/>
        <v>216.66666666666666</v>
      </c>
      <c r="K129" s="256">
        <f t="shared" si="35"/>
        <v>216.66666666666666</v>
      </c>
      <c r="L129" s="256">
        <f t="shared" si="36"/>
        <v>72.222222222222214</v>
      </c>
      <c r="M129" s="256">
        <f t="shared" si="37"/>
        <v>216.66666666666666</v>
      </c>
      <c r="N129" s="255">
        <v>0</v>
      </c>
      <c r="O129" s="256">
        <v>0</v>
      </c>
      <c r="P129" s="256">
        <f t="shared" ref="P129:P136" si="48">E129/150*1.75</f>
        <v>30.333333333333332</v>
      </c>
      <c r="Q129" s="256">
        <f t="shared" ref="Q129:Q136" si="49">P129/25*5</f>
        <v>6.0666666666666664</v>
      </c>
      <c r="R129" s="256">
        <v>0</v>
      </c>
      <c r="S129" s="257">
        <v>0</v>
      </c>
      <c r="T129" s="256">
        <v>0</v>
      </c>
      <c r="U129" s="258">
        <f t="shared" si="27"/>
        <v>2114.088888888889</v>
      </c>
      <c r="V129" s="256">
        <v>111.67</v>
      </c>
      <c r="W129" s="256">
        <v>500</v>
      </c>
      <c r="X129" s="256">
        <v>53.31</v>
      </c>
      <c r="Y129" s="256">
        <v>5.0599999999999996</v>
      </c>
      <c r="Z129" s="256">
        <v>17.5</v>
      </c>
      <c r="AA129" s="256">
        <v>23.65</v>
      </c>
      <c r="AB129" s="256">
        <v>218.1</v>
      </c>
      <c r="AC129" s="189">
        <f t="shared" si="28"/>
        <v>929.29</v>
      </c>
      <c r="AD129" s="259">
        <f t="shared" si="29"/>
        <v>5643.3788888888894</v>
      </c>
    </row>
    <row r="130" spans="1:30" s="160" customFormat="1">
      <c r="A130" s="250">
        <v>125</v>
      </c>
      <c r="B130" s="251" t="s">
        <v>425</v>
      </c>
      <c r="C130" s="252">
        <v>1</v>
      </c>
      <c r="D130" s="253">
        <v>2600</v>
      </c>
      <c r="E130" s="254">
        <f t="shared" si="26"/>
        <v>2600</v>
      </c>
      <c r="F130" s="255">
        <f t="shared" si="30"/>
        <v>923.57777777777767</v>
      </c>
      <c r="G130" s="256">
        <f t="shared" si="31"/>
        <v>33.222222222222214</v>
      </c>
      <c r="H130" s="256">
        <f t="shared" si="32"/>
        <v>265.77777777777771</v>
      </c>
      <c r="I130" s="256">
        <f t="shared" si="33"/>
        <v>132.88888888888886</v>
      </c>
      <c r="J130" s="256">
        <f t="shared" si="34"/>
        <v>216.66666666666666</v>
      </c>
      <c r="K130" s="256">
        <f t="shared" si="35"/>
        <v>216.66666666666666</v>
      </c>
      <c r="L130" s="256">
        <f t="shared" si="36"/>
        <v>72.222222222222214</v>
      </c>
      <c r="M130" s="256">
        <f t="shared" si="37"/>
        <v>216.66666666666666</v>
      </c>
      <c r="N130" s="255">
        <v>0</v>
      </c>
      <c r="O130" s="256">
        <v>0</v>
      </c>
      <c r="P130" s="256">
        <f t="shared" si="48"/>
        <v>30.333333333333332</v>
      </c>
      <c r="Q130" s="256">
        <f t="shared" si="49"/>
        <v>6.0666666666666664</v>
      </c>
      <c r="R130" s="256">
        <v>0</v>
      </c>
      <c r="S130" s="257">
        <v>0</v>
      </c>
      <c r="T130" s="256">
        <v>0</v>
      </c>
      <c r="U130" s="258">
        <f t="shared" si="27"/>
        <v>2114.088888888889</v>
      </c>
      <c r="V130" s="256">
        <v>111.67</v>
      </c>
      <c r="W130" s="256">
        <v>500</v>
      </c>
      <c r="X130" s="256">
        <v>53.31</v>
      </c>
      <c r="Y130" s="256">
        <v>5.0599999999999996</v>
      </c>
      <c r="Z130" s="256">
        <v>17.5</v>
      </c>
      <c r="AA130" s="256">
        <v>23.65</v>
      </c>
      <c r="AB130" s="256">
        <v>218.1</v>
      </c>
      <c r="AC130" s="189">
        <f t="shared" si="28"/>
        <v>929.29</v>
      </c>
      <c r="AD130" s="259">
        <f t="shared" si="29"/>
        <v>5643.3788888888894</v>
      </c>
    </row>
    <row r="131" spans="1:30" s="160" customFormat="1">
      <c r="A131" s="250">
        <v>126</v>
      </c>
      <c r="B131" s="251" t="s">
        <v>426</v>
      </c>
      <c r="C131" s="252">
        <v>1</v>
      </c>
      <c r="D131" s="253">
        <v>2600</v>
      </c>
      <c r="E131" s="254">
        <f t="shared" si="26"/>
        <v>2600</v>
      </c>
      <c r="F131" s="255">
        <f t="shared" si="30"/>
        <v>923.57777777777767</v>
      </c>
      <c r="G131" s="256">
        <f t="shared" si="31"/>
        <v>33.222222222222214</v>
      </c>
      <c r="H131" s="256">
        <f t="shared" si="32"/>
        <v>265.77777777777771</v>
      </c>
      <c r="I131" s="256">
        <f t="shared" si="33"/>
        <v>132.88888888888886</v>
      </c>
      <c r="J131" s="256">
        <f t="shared" si="34"/>
        <v>216.66666666666666</v>
      </c>
      <c r="K131" s="256">
        <f t="shared" si="35"/>
        <v>216.66666666666666</v>
      </c>
      <c r="L131" s="256">
        <f t="shared" si="36"/>
        <v>72.222222222222214</v>
      </c>
      <c r="M131" s="256">
        <f t="shared" si="37"/>
        <v>216.66666666666666</v>
      </c>
      <c r="N131" s="255">
        <v>0</v>
      </c>
      <c r="O131" s="256">
        <v>0</v>
      </c>
      <c r="P131" s="256">
        <f t="shared" si="48"/>
        <v>30.333333333333332</v>
      </c>
      <c r="Q131" s="256">
        <f t="shared" si="49"/>
        <v>6.0666666666666664</v>
      </c>
      <c r="R131" s="256">
        <v>0</v>
      </c>
      <c r="S131" s="257">
        <v>0</v>
      </c>
      <c r="T131" s="256">
        <v>0</v>
      </c>
      <c r="U131" s="258">
        <f t="shared" si="27"/>
        <v>2114.088888888889</v>
      </c>
      <c r="V131" s="256">
        <v>111.67</v>
      </c>
      <c r="W131" s="256">
        <v>500</v>
      </c>
      <c r="X131" s="256">
        <v>53.31</v>
      </c>
      <c r="Y131" s="256">
        <v>5.0599999999999996</v>
      </c>
      <c r="Z131" s="256">
        <v>17.5</v>
      </c>
      <c r="AA131" s="256">
        <v>23.65</v>
      </c>
      <c r="AB131" s="256">
        <v>218.1</v>
      </c>
      <c r="AC131" s="189">
        <f t="shared" si="28"/>
        <v>929.29</v>
      </c>
      <c r="AD131" s="259">
        <f t="shared" si="29"/>
        <v>5643.3788888888894</v>
      </c>
    </row>
    <row r="132" spans="1:30" s="160" customFormat="1">
      <c r="A132" s="250">
        <v>127</v>
      </c>
      <c r="B132" s="251" t="s">
        <v>427</v>
      </c>
      <c r="C132" s="252">
        <v>1</v>
      </c>
      <c r="D132" s="253">
        <v>2600</v>
      </c>
      <c r="E132" s="254">
        <f t="shared" si="26"/>
        <v>2600</v>
      </c>
      <c r="F132" s="255">
        <f t="shared" si="30"/>
        <v>923.57777777777767</v>
      </c>
      <c r="G132" s="256">
        <f t="shared" si="31"/>
        <v>33.222222222222214</v>
      </c>
      <c r="H132" s="256">
        <f t="shared" si="32"/>
        <v>265.77777777777771</v>
      </c>
      <c r="I132" s="256">
        <f t="shared" si="33"/>
        <v>132.88888888888886</v>
      </c>
      <c r="J132" s="256">
        <f t="shared" si="34"/>
        <v>216.66666666666666</v>
      </c>
      <c r="K132" s="256">
        <f t="shared" si="35"/>
        <v>216.66666666666666</v>
      </c>
      <c r="L132" s="256">
        <f t="shared" si="36"/>
        <v>72.222222222222214</v>
      </c>
      <c r="M132" s="256">
        <f t="shared" si="37"/>
        <v>216.66666666666666</v>
      </c>
      <c r="N132" s="255">
        <v>0</v>
      </c>
      <c r="O132" s="256">
        <v>0</v>
      </c>
      <c r="P132" s="256">
        <f t="shared" si="48"/>
        <v>30.333333333333332</v>
      </c>
      <c r="Q132" s="256">
        <f t="shared" si="49"/>
        <v>6.0666666666666664</v>
      </c>
      <c r="R132" s="256">
        <v>0</v>
      </c>
      <c r="S132" s="257">
        <v>0</v>
      </c>
      <c r="T132" s="256">
        <v>0</v>
      </c>
      <c r="U132" s="258">
        <f t="shared" si="27"/>
        <v>2114.088888888889</v>
      </c>
      <c r="V132" s="256">
        <v>111.67</v>
      </c>
      <c r="W132" s="256">
        <v>500</v>
      </c>
      <c r="X132" s="256">
        <v>53.31</v>
      </c>
      <c r="Y132" s="256">
        <v>5.0599999999999996</v>
      </c>
      <c r="Z132" s="256">
        <v>17.5</v>
      </c>
      <c r="AA132" s="256">
        <v>23.65</v>
      </c>
      <c r="AB132" s="256">
        <v>218.1</v>
      </c>
      <c r="AC132" s="189">
        <f t="shared" si="28"/>
        <v>929.29</v>
      </c>
      <c r="AD132" s="259">
        <f t="shared" si="29"/>
        <v>5643.3788888888894</v>
      </c>
    </row>
    <row r="133" spans="1:30" s="160" customFormat="1">
      <c r="A133" s="250">
        <v>128</v>
      </c>
      <c r="B133" s="251" t="s">
        <v>428</v>
      </c>
      <c r="C133" s="252">
        <v>1</v>
      </c>
      <c r="D133" s="253">
        <v>1750</v>
      </c>
      <c r="E133" s="254">
        <f t="shared" si="26"/>
        <v>1750</v>
      </c>
      <c r="F133" s="255">
        <f t="shared" si="30"/>
        <v>621.63888888888903</v>
      </c>
      <c r="G133" s="256">
        <f t="shared" si="31"/>
        <v>22.361111111111114</v>
      </c>
      <c r="H133" s="256">
        <f t="shared" si="32"/>
        <v>178.88888888888891</v>
      </c>
      <c r="I133" s="256">
        <f t="shared" si="33"/>
        <v>89.444444444444457</v>
      </c>
      <c r="J133" s="256">
        <f t="shared" si="34"/>
        <v>145.83333333333334</v>
      </c>
      <c r="K133" s="256">
        <f t="shared" si="35"/>
        <v>145.83333333333334</v>
      </c>
      <c r="L133" s="256">
        <f t="shared" si="36"/>
        <v>48.611111111111114</v>
      </c>
      <c r="M133" s="256">
        <f t="shared" si="37"/>
        <v>145.83333333333334</v>
      </c>
      <c r="N133" s="255">
        <v>0</v>
      </c>
      <c r="O133" s="256">
        <v>0</v>
      </c>
      <c r="P133" s="256">
        <f t="shared" si="48"/>
        <v>20.416666666666664</v>
      </c>
      <c r="Q133" s="256">
        <f t="shared" si="49"/>
        <v>4.083333333333333</v>
      </c>
      <c r="R133" s="256">
        <v>0</v>
      </c>
      <c r="S133" s="257">
        <v>0</v>
      </c>
      <c r="T133" s="256">
        <v>0</v>
      </c>
      <c r="U133" s="258">
        <f t="shared" si="27"/>
        <v>1422.9444444444443</v>
      </c>
      <c r="V133" s="256">
        <v>111.67</v>
      </c>
      <c r="W133" s="256">
        <v>500</v>
      </c>
      <c r="X133" s="256">
        <v>53.31</v>
      </c>
      <c r="Y133" s="256">
        <v>5.0599999999999996</v>
      </c>
      <c r="Z133" s="256">
        <v>17.5</v>
      </c>
      <c r="AA133" s="256">
        <v>23.65</v>
      </c>
      <c r="AB133" s="256">
        <v>218.1</v>
      </c>
      <c r="AC133" s="189">
        <f t="shared" si="28"/>
        <v>929.29</v>
      </c>
      <c r="AD133" s="259">
        <f t="shared" si="29"/>
        <v>4102.2344444444443</v>
      </c>
    </row>
    <row r="134" spans="1:30" s="160" customFormat="1">
      <c r="A134" s="250">
        <v>129</v>
      </c>
      <c r="B134" s="251" t="s">
        <v>429</v>
      </c>
      <c r="C134" s="252">
        <v>1</v>
      </c>
      <c r="D134" s="253">
        <v>1642</v>
      </c>
      <c r="E134" s="254">
        <f t="shared" ref="E134:E197" si="50">C134*D134</f>
        <v>1642</v>
      </c>
      <c r="F134" s="255">
        <f t="shared" si="30"/>
        <v>583.27488888888888</v>
      </c>
      <c r="G134" s="256">
        <f t="shared" si="31"/>
        <v>20.981111111111108</v>
      </c>
      <c r="H134" s="256">
        <f t="shared" si="32"/>
        <v>167.84888888888887</v>
      </c>
      <c r="I134" s="256">
        <f t="shared" si="33"/>
        <v>83.924444444444433</v>
      </c>
      <c r="J134" s="256">
        <f t="shared" si="34"/>
        <v>136.83333333333334</v>
      </c>
      <c r="K134" s="256">
        <f t="shared" si="35"/>
        <v>136.83333333333334</v>
      </c>
      <c r="L134" s="256">
        <f t="shared" si="36"/>
        <v>45.611111111111114</v>
      </c>
      <c r="M134" s="256">
        <f t="shared" si="37"/>
        <v>136.83333333333334</v>
      </c>
      <c r="N134" s="255">
        <v>0</v>
      </c>
      <c r="O134" s="256">
        <v>0</v>
      </c>
      <c r="P134" s="256">
        <f t="shared" si="48"/>
        <v>19.156666666666666</v>
      </c>
      <c r="Q134" s="256">
        <f t="shared" si="49"/>
        <v>3.8313333333333333</v>
      </c>
      <c r="R134" s="256">
        <v>0</v>
      </c>
      <c r="S134" s="257">
        <v>0</v>
      </c>
      <c r="T134" s="256">
        <v>0</v>
      </c>
      <c r="U134" s="258">
        <f t="shared" ref="U134:U197" si="51">SUM(F134:T134)</f>
        <v>1335.1284444444443</v>
      </c>
      <c r="V134" s="256">
        <v>111.67</v>
      </c>
      <c r="W134" s="256">
        <v>500</v>
      </c>
      <c r="X134" s="256">
        <v>53.31</v>
      </c>
      <c r="Y134" s="256">
        <v>5.0599999999999996</v>
      </c>
      <c r="Z134" s="256">
        <v>17.5</v>
      </c>
      <c r="AA134" s="256">
        <v>23.65</v>
      </c>
      <c r="AB134" s="256">
        <v>218.1</v>
      </c>
      <c r="AC134" s="189">
        <f t="shared" ref="AC134:AC197" si="52">SUM(V134:AB134)</f>
        <v>929.29</v>
      </c>
      <c r="AD134" s="259">
        <f t="shared" ref="AD134:AD197" si="53">E134+U134+AC134</f>
        <v>3906.4184444444445</v>
      </c>
    </row>
    <row r="135" spans="1:30" s="160" customFormat="1">
      <c r="A135" s="250">
        <v>130</v>
      </c>
      <c r="B135" s="251" t="s">
        <v>430</v>
      </c>
      <c r="C135" s="252">
        <v>1</v>
      </c>
      <c r="D135" s="253">
        <v>1385</v>
      </c>
      <c r="E135" s="254">
        <f t="shared" si="50"/>
        <v>1385</v>
      </c>
      <c r="F135" s="255">
        <f t="shared" ref="F135:F198" si="54">(E135+J135+L135+K135+M135+S135)*27.8%</f>
        <v>491.98277777777787</v>
      </c>
      <c r="G135" s="256">
        <f t="shared" ref="G135:G198" si="55">(E135+J135+L135+K135+M135+S135)*1%</f>
        <v>17.697222222222223</v>
      </c>
      <c r="H135" s="256">
        <f t="shared" ref="H135:H198" si="56">(E135+J135+L135+K135+M135+S135)*8%</f>
        <v>141.57777777777778</v>
      </c>
      <c r="I135" s="256">
        <f t="shared" ref="I135:I198" si="57">(H135+S135)/2</f>
        <v>70.788888888888891</v>
      </c>
      <c r="J135" s="256">
        <f t="shared" ref="J135:J198" si="58">(E135+S135)/12</f>
        <v>115.41666666666667</v>
      </c>
      <c r="K135" s="256">
        <f t="shared" ref="K135:K198" si="59">(E135+S135)/12</f>
        <v>115.41666666666667</v>
      </c>
      <c r="L135" s="256">
        <f t="shared" ref="L135:L198" si="60">(K135+S135)/3</f>
        <v>38.472222222222221</v>
      </c>
      <c r="M135" s="256">
        <f t="shared" ref="M135:M198" si="61">(E135+S135)/12</f>
        <v>115.41666666666667</v>
      </c>
      <c r="N135" s="255">
        <v>0</v>
      </c>
      <c r="O135" s="256">
        <v>0</v>
      </c>
      <c r="P135" s="256">
        <f t="shared" si="48"/>
        <v>16.158333333333331</v>
      </c>
      <c r="Q135" s="256">
        <f t="shared" si="49"/>
        <v>3.231666666666666</v>
      </c>
      <c r="R135" s="256">
        <v>0</v>
      </c>
      <c r="S135" s="257">
        <v>0</v>
      </c>
      <c r="T135" s="256">
        <v>0</v>
      </c>
      <c r="U135" s="258">
        <f t="shared" si="51"/>
        <v>1126.1588888888887</v>
      </c>
      <c r="V135" s="256">
        <v>111.67</v>
      </c>
      <c r="W135" s="256">
        <v>500</v>
      </c>
      <c r="X135" s="256">
        <v>53.31</v>
      </c>
      <c r="Y135" s="256">
        <v>5.0599999999999996</v>
      </c>
      <c r="Z135" s="256">
        <v>17.5</v>
      </c>
      <c r="AA135" s="256">
        <v>23.65</v>
      </c>
      <c r="AB135" s="256">
        <v>218.1</v>
      </c>
      <c r="AC135" s="189">
        <f t="shared" si="52"/>
        <v>929.29</v>
      </c>
      <c r="AD135" s="259">
        <f t="shared" si="53"/>
        <v>3440.4488888888886</v>
      </c>
    </row>
    <row r="136" spans="1:30" s="160" customFormat="1">
      <c r="A136" s="250">
        <v>131</v>
      </c>
      <c r="B136" s="251" t="s">
        <v>431</v>
      </c>
      <c r="C136" s="252">
        <v>1</v>
      </c>
      <c r="D136" s="253">
        <v>1452.39</v>
      </c>
      <c r="E136" s="254">
        <f t="shared" si="50"/>
        <v>1452.39</v>
      </c>
      <c r="F136" s="255">
        <f t="shared" si="54"/>
        <v>515.92120333333344</v>
      </c>
      <c r="G136" s="256">
        <f t="shared" si="55"/>
        <v>18.55831666666667</v>
      </c>
      <c r="H136" s="256">
        <f t="shared" si="56"/>
        <v>148.46653333333336</v>
      </c>
      <c r="I136" s="256">
        <f t="shared" si="57"/>
        <v>74.23326666666668</v>
      </c>
      <c r="J136" s="256">
        <f t="shared" si="58"/>
        <v>121.03250000000001</v>
      </c>
      <c r="K136" s="256">
        <f t="shared" si="59"/>
        <v>121.03250000000001</v>
      </c>
      <c r="L136" s="256">
        <f t="shared" si="60"/>
        <v>40.344166666666673</v>
      </c>
      <c r="M136" s="256">
        <f t="shared" si="61"/>
        <v>121.03250000000001</v>
      </c>
      <c r="N136" s="255">
        <v>0</v>
      </c>
      <c r="O136" s="256">
        <v>0</v>
      </c>
      <c r="P136" s="256">
        <f t="shared" si="48"/>
        <v>16.94455</v>
      </c>
      <c r="Q136" s="256">
        <f t="shared" si="49"/>
        <v>3.3889100000000001</v>
      </c>
      <c r="R136" s="256">
        <v>0</v>
      </c>
      <c r="S136" s="257">
        <v>0</v>
      </c>
      <c r="T136" s="256">
        <v>0</v>
      </c>
      <c r="U136" s="258">
        <f t="shared" si="51"/>
        <v>1180.9544466666669</v>
      </c>
      <c r="V136" s="256">
        <v>111.67</v>
      </c>
      <c r="W136" s="256">
        <v>500</v>
      </c>
      <c r="X136" s="256">
        <v>53.31</v>
      </c>
      <c r="Y136" s="256">
        <v>5.0599999999999996</v>
      </c>
      <c r="Z136" s="256">
        <v>17.5</v>
      </c>
      <c r="AA136" s="256">
        <v>23.65</v>
      </c>
      <c r="AB136" s="256">
        <v>218.1</v>
      </c>
      <c r="AC136" s="189">
        <f t="shared" si="52"/>
        <v>929.29</v>
      </c>
      <c r="AD136" s="259">
        <f t="shared" si="53"/>
        <v>3562.6344466666669</v>
      </c>
    </row>
    <row r="137" spans="1:30" s="160" customFormat="1">
      <c r="A137" s="250">
        <v>132</v>
      </c>
      <c r="B137" s="251" t="s">
        <v>435</v>
      </c>
      <c r="C137" s="252">
        <v>2</v>
      </c>
      <c r="D137" s="253">
        <v>1900</v>
      </c>
      <c r="E137" s="254">
        <f t="shared" si="50"/>
        <v>3800</v>
      </c>
      <c r="F137" s="255">
        <f t="shared" si="54"/>
        <v>1434.9433333333336</v>
      </c>
      <c r="G137" s="256">
        <f t="shared" si="55"/>
        <v>51.616666666666674</v>
      </c>
      <c r="H137" s="256">
        <f t="shared" si="56"/>
        <v>412.93333333333339</v>
      </c>
      <c r="I137" s="256">
        <f t="shared" si="57"/>
        <v>301.4666666666667</v>
      </c>
      <c r="J137" s="256">
        <f t="shared" si="58"/>
        <v>332.5</v>
      </c>
      <c r="K137" s="256">
        <f t="shared" si="59"/>
        <v>332.5</v>
      </c>
      <c r="L137" s="256">
        <f t="shared" si="60"/>
        <v>174.16666666666666</v>
      </c>
      <c r="M137" s="256">
        <f t="shared" si="61"/>
        <v>332.5</v>
      </c>
      <c r="N137" s="255">
        <v>0</v>
      </c>
      <c r="O137" s="256">
        <v>0</v>
      </c>
      <c r="P137" s="256">
        <f>(R137+E137)/210*1.75*1.2</f>
        <v>49.400000000000006</v>
      </c>
      <c r="Q137" s="256">
        <f>P137/6</f>
        <v>8.2333333333333343</v>
      </c>
      <c r="R137" s="256">
        <f>E137*30%</f>
        <v>1140</v>
      </c>
      <c r="S137" s="257">
        <v>190</v>
      </c>
      <c r="T137" s="256">
        <f>(E137+R137+N137+O137)/30*2</f>
        <v>329.33333333333331</v>
      </c>
      <c r="U137" s="258">
        <f t="shared" si="51"/>
        <v>5089.5933333333332</v>
      </c>
      <c r="V137" s="256">
        <v>76.14</v>
      </c>
      <c r="W137" s="256">
        <v>500</v>
      </c>
      <c r="X137" s="256">
        <v>53.31</v>
      </c>
      <c r="Y137" s="256">
        <v>5.0599999999999996</v>
      </c>
      <c r="Z137" s="256">
        <v>17.5</v>
      </c>
      <c r="AA137" s="256">
        <v>23.65</v>
      </c>
      <c r="AB137" s="256">
        <v>218.1</v>
      </c>
      <c r="AC137" s="189">
        <f t="shared" si="52"/>
        <v>893.76</v>
      </c>
      <c r="AD137" s="259">
        <f t="shared" si="53"/>
        <v>9783.3533333333344</v>
      </c>
    </row>
    <row r="138" spans="1:30" s="160" customFormat="1">
      <c r="A138" s="250">
        <v>133</v>
      </c>
      <c r="B138" s="251" t="s">
        <v>432</v>
      </c>
      <c r="C138" s="252">
        <v>12</v>
      </c>
      <c r="D138" s="253">
        <v>1900</v>
      </c>
      <c r="E138" s="254">
        <f t="shared" si="50"/>
        <v>22800</v>
      </c>
      <c r="F138" s="255">
        <f t="shared" si="54"/>
        <v>8099.0666666666666</v>
      </c>
      <c r="G138" s="256">
        <f t="shared" si="55"/>
        <v>291.33333333333331</v>
      </c>
      <c r="H138" s="256">
        <f t="shared" si="56"/>
        <v>2330.6666666666665</v>
      </c>
      <c r="I138" s="256">
        <f t="shared" si="57"/>
        <v>1165.3333333333333</v>
      </c>
      <c r="J138" s="256">
        <f t="shared" si="58"/>
        <v>1900</v>
      </c>
      <c r="K138" s="256">
        <f t="shared" si="59"/>
        <v>1900</v>
      </c>
      <c r="L138" s="256">
        <f t="shared" si="60"/>
        <v>633.33333333333337</v>
      </c>
      <c r="M138" s="256">
        <f t="shared" si="61"/>
        <v>1900</v>
      </c>
      <c r="N138" s="255">
        <v>0</v>
      </c>
      <c r="O138" s="256">
        <v>0</v>
      </c>
      <c r="P138" s="256">
        <f>(R138+E138)/210*1.75*1.2</f>
        <v>296.39999999999998</v>
      </c>
      <c r="Q138" s="256">
        <f>P138/6</f>
        <v>49.4</v>
      </c>
      <c r="R138" s="256">
        <f>E138*30%</f>
        <v>6840</v>
      </c>
      <c r="S138" s="257">
        <v>0</v>
      </c>
      <c r="T138" s="256">
        <f t="shared" ref="T138:T140" si="62">(E138+R138+N138+O138)/30*2</f>
        <v>1976</v>
      </c>
      <c r="U138" s="258">
        <f t="shared" si="51"/>
        <v>27381.533333333336</v>
      </c>
      <c r="V138" s="256">
        <v>76.14</v>
      </c>
      <c r="W138" s="256">
        <v>500</v>
      </c>
      <c r="X138" s="256">
        <v>53.31</v>
      </c>
      <c r="Y138" s="256">
        <v>5.0599999999999996</v>
      </c>
      <c r="Z138" s="256">
        <v>17.5</v>
      </c>
      <c r="AA138" s="256">
        <v>23.65</v>
      </c>
      <c r="AB138" s="256">
        <v>218.1</v>
      </c>
      <c r="AC138" s="189">
        <f t="shared" si="52"/>
        <v>893.76</v>
      </c>
      <c r="AD138" s="259">
        <f t="shared" si="53"/>
        <v>51075.293333333342</v>
      </c>
    </row>
    <row r="139" spans="1:30" s="160" customFormat="1">
      <c r="A139" s="250">
        <v>134</v>
      </c>
      <c r="B139" s="251" t="s">
        <v>433</v>
      </c>
      <c r="C139" s="252">
        <v>2</v>
      </c>
      <c r="D139" s="253">
        <v>1900</v>
      </c>
      <c r="E139" s="254">
        <f t="shared" si="50"/>
        <v>3800</v>
      </c>
      <c r="F139" s="255">
        <f t="shared" si="54"/>
        <v>1434.9433333333336</v>
      </c>
      <c r="G139" s="256">
        <f t="shared" si="55"/>
        <v>51.616666666666674</v>
      </c>
      <c r="H139" s="256">
        <f t="shared" si="56"/>
        <v>412.93333333333339</v>
      </c>
      <c r="I139" s="256">
        <f t="shared" si="57"/>
        <v>301.4666666666667</v>
      </c>
      <c r="J139" s="256">
        <f t="shared" si="58"/>
        <v>332.5</v>
      </c>
      <c r="K139" s="256">
        <f t="shared" si="59"/>
        <v>332.5</v>
      </c>
      <c r="L139" s="256">
        <f t="shared" si="60"/>
        <v>174.16666666666666</v>
      </c>
      <c r="M139" s="256">
        <f t="shared" si="61"/>
        <v>332.5</v>
      </c>
      <c r="N139" s="255">
        <f>(R139+E139)/210*20%*160</f>
        <v>752.76190476190482</v>
      </c>
      <c r="O139" s="256">
        <f>N139/6</f>
        <v>125.46031746031747</v>
      </c>
      <c r="P139" s="256">
        <f>(R139+E139)/210*1.75*1.2</f>
        <v>49.400000000000006</v>
      </c>
      <c r="Q139" s="256">
        <f>P139/6</f>
        <v>8.2333333333333343</v>
      </c>
      <c r="R139" s="256">
        <f>E139*30%</f>
        <v>1140</v>
      </c>
      <c r="S139" s="257">
        <v>190</v>
      </c>
      <c r="T139" s="256">
        <f t="shared" si="62"/>
        <v>387.88148148148144</v>
      </c>
      <c r="U139" s="258">
        <f t="shared" si="51"/>
        <v>6026.3637037037033</v>
      </c>
      <c r="V139" s="256">
        <v>76.14</v>
      </c>
      <c r="W139" s="256">
        <v>500</v>
      </c>
      <c r="X139" s="256">
        <v>53.31</v>
      </c>
      <c r="Y139" s="256">
        <v>5.0599999999999996</v>
      </c>
      <c r="Z139" s="256">
        <v>17.5</v>
      </c>
      <c r="AA139" s="256">
        <v>23.65</v>
      </c>
      <c r="AB139" s="256">
        <v>218.1</v>
      </c>
      <c r="AC139" s="189">
        <f t="shared" si="52"/>
        <v>893.76</v>
      </c>
      <c r="AD139" s="259">
        <f t="shared" si="53"/>
        <v>10720.123703703704</v>
      </c>
    </row>
    <row r="140" spans="1:30" s="160" customFormat="1">
      <c r="A140" s="250">
        <v>135</v>
      </c>
      <c r="B140" s="251" t="s">
        <v>434</v>
      </c>
      <c r="C140" s="252">
        <v>6</v>
      </c>
      <c r="D140" s="253">
        <v>1900</v>
      </c>
      <c r="E140" s="254">
        <f t="shared" si="50"/>
        <v>11400</v>
      </c>
      <c r="F140" s="255">
        <f t="shared" si="54"/>
        <v>4049.5333333333333</v>
      </c>
      <c r="G140" s="256">
        <f t="shared" si="55"/>
        <v>145.66666666666666</v>
      </c>
      <c r="H140" s="256">
        <f t="shared" si="56"/>
        <v>1165.3333333333333</v>
      </c>
      <c r="I140" s="256">
        <f t="shared" si="57"/>
        <v>582.66666666666663</v>
      </c>
      <c r="J140" s="256">
        <f t="shared" si="58"/>
        <v>950</v>
      </c>
      <c r="K140" s="256">
        <f t="shared" si="59"/>
        <v>950</v>
      </c>
      <c r="L140" s="256">
        <f t="shared" si="60"/>
        <v>316.66666666666669</v>
      </c>
      <c r="M140" s="256">
        <f t="shared" si="61"/>
        <v>950</v>
      </c>
      <c r="N140" s="255">
        <f>(R140+E140)/210*20%*160</f>
        <v>2258.2857142857142</v>
      </c>
      <c r="O140" s="256">
        <f>N140/6</f>
        <v>376.38095238095235</v>
      </c>
      <c r="P140" s="256">
        <f>(R140+E140)/210*1.75*1.2</f>
        <v>148.19999999999999</v>
      </c>
      <c r="Q140" s="256">
        <f>P140/6</f>
        <v>24.7</v>
      </c>
      <c r="R140" s="256">
        <f>E140*30%</f>
        <v>3420</v>
      </c>
      <c r="S140" s="257">
        <v>0</v>
      </c>
      <c r="T140" s="256">
        <f t="shared" si="62"/>
        <v>1163.6444444444446</v>
      </c>
      <c r="U140" s="258">
        <f t="shared" si="51"/>
        <v>16501.07777777778</v>
      </c>
      <c r="V140" s="256">
        <v>76.14</v>
      </c>
      <c r="W140" s="256">
        <v>500</v>
      </c>
      <c r="X140" s="256">
        <v>53.31</v>
      </c>
      <c r="Y140" s="256">
        <v>5.0599999999999996</v>
      </c>
      <c r="Z140" s="256">
        <v>17.5</v>
      </c>
      <c r="AA140" s="256">
        <v>23.65</v>
      </c>
      <c r="AB140" s="256">
        <v>218.1</v>
      </c>
      <c r="AC140" s="189">
        <f t="shared" si="52"/>
        <v>893.76</v>
      </c>
      <c r="AD140" s="259">
        <f t="shared" si="53"/>
        <v>28794.837777777779</v>
      </c>
    </row>
    <row r="141" spans="1:30" s="160" customFormat="1">
      <c r="A141" s="250">
        <v>136</v>
      </c>
      <c r="B141" s="251" t="s">
        <v>461</v>
      </c>
      <c r="C141" s="252">
        <v>1</v>
      </c>
      <c r="D141" s="253">
        <v>6500</v>
      </c>
      <c r="E141" s="254">
        <f t="shared" si="50"/>
        <v>6500</v>
      </c>
      <c r="F141" s="255">
        <f t="shared" si="54"/>
        <v>2308.9444444444448</v>
      </c>
      <c r="G141" s="256">
        <f t="shared" si="55"/>
        <v>83.055555555555571</v>
      </c>
      <c r="H141" s="256">
        <f t="shared" si="56"/>
        <v>664.44444444444457</v>
      </c>
      <c r="I141" s="256">
        <f t="shared" si="57"/>
        <v>332.22222222222229</v>
      </c>
      <c r="J141" s="256">
        <f t="shared" si="58"/>
        <v>541.66666666666663</v>
      </c>
      <c r="K141" s="256">
        <f t="shared" si="59"/>
        <v>541.66666666666663</v>
      </c>
      <c r="L141" s="256">
        <f t="shared" si="60"/>
        <v>180.55555555555554</v>
      </c>
      <c r="M141" s="256">
        <f t="shared" si="61"/>
        <v>541.66666666666663</v>
      </c>
      <c r="N141" s="255">
        <v>0</v>
      </c>
      <c r="O141" s="256">
        <v>0</v>
      </c>
      <c r="P141" s="256">
        <v>0</v>
      </c>
      <c r="Q141" s="256">
        <v>0</v>
      </c>
      <c r="R141" s="256">
        <v>0</v>
      </c>
      <c r="S141" s="257">
        <v>0</v>
      </c>
      <c r="T141" s="256">
        <v>0</v>
      </c>
      <c r="U141" s="258">
        <f t="shared" si="51"/>
        <v>5194.2222222222235</v>
      </c>
      <c r="V141" s="256">
        <v>0</v>
      </c>
      <c r="W141" s="256">
        <v>500</v>
      </c>
      <c r="X141" s="256">
        <v>53.31</v>
      </c>
      <c r="Y141" s="256">
        <v>5.0599999999999996</v>
      </c>
      <c r="Z141" s="256">
        <v>17.5</v>
      </c>
      <c r="AA141" s="256">
        <v>23.65</v>
      </c>
      <c r="AB141" s="256">
        <v>218.1</v>
      </c>
      <c r="AC141" s="189">
        <f t="shared" si="52"/>
        <v>817.61999999999989</v>
      </c>
      <c r="AD141" s="259">
        <f t="shared" si="53"/>
        <v>12511.842222222222</v>
      </c>
    </row>
    <row r="142" spans="1:30" s="160" customFormat="1">
      <c r="A142" s="250">
        <v>137</v>
      </c>
      <c r="B142" s="251" t="s">
        <v>422</v>
      </c>
      <c r="C142" s="252">
        <v>1</v>
      </c>
      <c r="D142" s="253">
        <v>3773.6</v>
      </c>
      <c r="E142" s="254">
        <f t="shared" si="50"/>
        <v>3773.6</v>
      </c>
      <c r="F142" s="255">
        <f t="shared" si="54"/>
        <v>1340.4665777777775</v>
      </c>
      <c r="G142" s="256">
        <f t="shared" si="55"/>
        <v>48.218222222222209</v>
      </c>
      <c r="H142" s="256">
        <f t="shared" si="56"/>
        <v>385.74577777777768</v>
      </c>
      <c r="I142" s="256">
        <f t="shared" si="57"/>
        <v>192.87288888888884</v>
      </c>
      <c r="J142" s="256">
        <f t="shared" si="58"/>
        <v>314.46666666666664</v>
      </c>
      <c r="K142" s="256">
        <f t="shared" si="59"/>
        <v>314.46666666666664</v>
      </c>
      <c r="L142" s="256">
        <f t="shared" si="60"/>
        <v>104.82222222222221</v>
      </c>
      <c r="M142" s="256">
        <f t="shared" si="61"/>
        <v>314.46666666666664</v>
      </c>
      <c r="N142" s="255">
        <v>0</v>
      </c>
      <c r="O142" s="256">
        <v>0</v>
      </c>
      <c r="P142" s="256">
        <v>0</v>
      </c>
      <c r="Q142" s="256">
        <v>0</v>
      </c>
      <c r="R142" s="256">
        <f>E142*30%</f>
        <v>1132.08</v>
      </c>
      <c r="S142" s="257">
        <v>0</v>
      </c>
      <c r="T142" s="256">
        <v>0</v>
      </c>
      <c r="U142" s="258">
        <f t="shared" si="51"/>
        <v>4147.6056888888888</v>
      </c>
      <c r="V142" s="256">
        <v>0</v>
      </c>
      <c r="W142" s="256">
        <v>500</v>
      </c>
      <c r="X142" s="256">
        <v>53.31</v>
      </c>
      <c r="Y142" s="256">
        <v>5.0599999999999996</v>
      </c>
      <c r="Z142" s="256">
        <v>17.5</v>
      </c>
      <c r="AA142" s="256">
        <v>23.65</v>
      </c>
      <c r="AB142" s="256">
        <v>218.1</v>
      </c>
      <c r="AC142" s="189">
        <f t="shared" si="52"/>
        <v>817.61999999999989</v>
      </c>
      <c r="AD142" s="259">
        <f t="shared" si="53"/>
        <v>8738.82568888889</v>
      </c>
    </row>
    <row r="143" spans="1:30" s="160" customFormat="1">
      <c r="A143" s="250">
        <v>138</v>
      </c>
      <c r="B143" s="251" t="s">
        <v>423</v>
      </c>
      <c r="C143" s="252">
        <v>1</v>
      </c>
      <c r="D143" s="253">
        <v>2600</v>
      </c>
      <c r="E143" s="254">
        <f t="shared" si="50"/>
        <v>2600</v>
      </c>
      <c r="F143" s="255">
        <f t="shared" si="54"/>
        <v>923.57777777777767</v>
      </c>
      <c r="G143" s="256">
        <f t="shared" si="55"/>
        <v>33.222222222222214</v>
      </c>
      <c r="H143" s="256">
        <f t="shared" si="56"/>
        <v>265.77777777777771</v>
      </c>
      <c r="I143" s="256">
        <f t="shared" si="57"/>
        <v>132.88888888888886</v>
      </c>
      <c r="J143" s="256">
        <f t="shared" si="58"/>
        <v>216.66666666666666</v>
      </c>
      <c r="K143" s="256">
        <f t="shared" si="59"/>
        <v>216.66666666666666</v>
      </c>
      <c r="L143" s="256">
        <f t="shared" si="60"/>
        <v>72.222222222222214</v>
      </c>
      <c r="M143" s="256">
        <f t="shared" si="61"/>
        <v>216.66666666666666</v>
      </c>
      <c r="N143" s="255">
        <v>0</v>
      </c>
      <c r="O143" s="256">
        <v>0</v>
      </c>
      <c r="P143" s="256">
        <f>E143/150*1.75</f>
        <v>30.333333333333332</v>
      </c>
      <c r="Q143" s="256">
        <f>P143/25*5</f>
        <v>6.0666666666666664</v>
      </c>
      <c r="R143" s="256">
        <v>0</v>
      </c>
      <c r="S143" s="257">
        <v>0</v>
      </c>
      <c r="T143" s="256">
        <v>0</v>
      </c>
      <c r="U143" s="258">
        <f t="shared" si="51"/>
        <v>2114.088888888889</v>
      </c>
      <c r="V143" s="256">
        <v>111.67</v>
      </c>
      <c r="W143" s="256">
        <v>500</v>
      </c>
      <c r="X143" s="256">
        <v>53.31</v>
      </c>
      <c r="Y143" s="256">
        <v>5.0599999999999996</v>
      </c>
      <c r="Z143" s="256">
        <v>17.5</v>
      </c>
      <c r="AA143" s="256">
        <v>23.65</v>
      </c>
      <c r="AB143" s="256">
        <v>218.1</v>
      </c>
      <c r="AC143" s="189">
        <f t="shared" si="52"/>
        <v>929.29</v>
      </c>
      <c r="AD143" s="259">
        <f t="shared" si="53"/>
        <v>5643.3788888888894</v>
      </c>
    </row>
    <row r="144" spans="1:30" s="160" customFormat="1">
      <c r="A144" s="250">
        <v>139</v>
      </c>
      <c r="B144" s="251" t="s">
        <v>424</v>
      </c>
      <c r="C144" s="252">
        <v>1</v>
      </c>
      <c r="D144" s="253">
        <v>2600</v>
      </c>
      <c r="E144" s="254">
        <f t="shared" si="50"/>
        <v>2600</v>
      </c>
      <c r="F144" s="255">
        <f t="shared" si="54"/>
        <v>923.57777777777767</v>
      </c>
      <c r="G144" s="256">
        <f t="shared" si="55"/>
        <v>33.222222222222214</v>
      </c>
      <c r="H144" s="256">
        <f t="shared" si="56"/>
        <v>265.77777777777771</v>
      </c>
      <c r="I144" s="256">
        <f t="shared" si="57"/>
        <v>132.88888888888886</v>
      </c>
      <c r="J144" s="256">
        <f t="shared" si="58"/>
        <v>216.66666666666666</v>
      </c>
      <c r="K144" s="256">
        <f t="shared" si="59"/>
        <v>216.66666666666666</v>
      </c>
      <c r="L144" s="256">
        <f t="shared" si="60"/>
        <v>72.222222222222214</v>
      </c>
      <c r="M144" s="256">
        <f t="shared" si="61"/>
        <v>216.66666666666666</v>
      </c>
      <c r="N144" s="255">
        <v>0</v>
      </c>
      <c r="O144" s="256">
        <v>0</v>
      </c>
      <c r="P144" s="256">
        <f t="shared" ref="P144:P151" si="63">E144/150*1.75</f>
        <v>30.333333333333332</v>
      </c>
      <c r="Q144" s="256">
        <f t="shared" ref="Q144:Q151" si="64">P144/25*5</f>
        <v>6.0666666666666664</v>
      </c>
      <c r="R144" s="256">
        <v>0</v>
      </c>
      <c r="S144" s="257">
        <v>0</v>
      </c>
      <c r="T144" s="256">
        <v>0</v>
      </c>
      <c r="U144" s="258">
        <f t="shared" si="51"/>
        <v>2114.088888888889</v>
      </c>
      <c r="V144" s="256">
        <v>111.67</v>
      </c>
      <c r="W144" s="256">
        <v>500</v>
      </c>
      <c r="X144" s="256">
        <v>53.31</v>
      </c>
      <c r="Y144" s="256">
        <v>5.0599999999999996</v>
      </c>
      <c r="Z144" s="256">
        <v>17.5</v>
      </c>
      <c r="AA144" s="256">
        <v>23.65</v>
      </c>
      <c r="AB144" s="256">
        <v>218.1</v>
      </c>
      <c r="AC144" s="189">
        <f t="shared" si="52"/>
        <v>929.29</v>
      </c>
      <c r="AD144" s="259">
        <f t="shared" si="53"/>
        <v>5643.3788888888894</v>
      </c>
    </row>
    <row r="145" spans="1:30" s="160" customFormat="1">
      <c r="A145" s="250">
        <v>140</v>
      </c>
      <c r="B145" s="251" t="s">
        <v>425</v>
      </c>
      <c r="C145" s="252">
        <v>1</v>
      </c>
      <c r="D145" s="253">
        <v>2600</v>
      </c>
      <c r="E145" s="254">
        <f t="shared" si="50"/>
        <v>2600</v>
      </c>
      <c r="F145" s="255">
        <f t="shared" si="54"/>
        <v>923.57777777777767</v>
      </c>
      <c r="G145" s="256">
        <f t="shared" si="55"/>
        <v>33.222222222222214</v>
      </c>
      <c r="H145" s="256">
        <f t="shared" si="56"/>
        <v>265.77777777777771</v>
      </c>
      <c r="I145" s="256">
        <f t="shared" si="57"/>
        <v>132.88888888888886</v>
      </c>
      <c r="J145" s="256">
        <f t="shared" si="58"/>
        <v>216.66666666666666</v>
      </c>
      <c r="K145" s="256">
        <f t="shared" si="59"/>
        <v>216.66666666666666</v>
      </c>
      <c r="L145" s="256">
        <f t="shared" si="60"/>
        <v>72.222222222222214</v>
      </c>
      <c r="M145" s="256">
        <f t="shared" si="61"/>
        <v>216.66666666666666</v>
      </c>
      <c r="N145" s="255">
        <v>0</v>
      </c>
      <c r="O145" s="256">
        <v>0</v>
      </c>
      <c r="P145" s="256">
        <f t="shared" si="63"/>
        <v>30.333333333333332</v>
      </c>
      <c r="Q145" s="256">
        <f t="shared" si="64"/>
        <v>6.0666666666666664</v>
      </c>
      <c r="R145" s="256">
        <v>0</v>
      </c>
      <c r="S145" s="257">
        <v>0</v>
      </c>
      <c r="T145" s="256">
        <v>0</v>
      </c>
      <c r="U145" s="258">
        <f t="shared" si="51"/>
        <v>2114.088888888889</v>
      </c>
      <c r="V145" s="256">
        <v>111.67</v>
      </c>
      <c r="W145" s="256">
        <v>500</v>
      </c>
      <c r="X145" s="256">
        <v>53.31</v>
      </c>
      <c r="Y145" s="256">
        <v>5.0599999999999996</v>
      </c>
      <c r="Z145" s="256">
        <v>17.5</v>
      </c>
      <c r="AA145" s="256">
        <v>23.65</v>
      </c>
      <c r="AB145" s="256">
        <v>218.1</v>
      </c>
      <c r="AC145" s="189">
        <f t="shared" si="52"/>
        <v>929.29</v>
      </c>
      <c r="AD145" s="259">
        <f t="shared" si="53"/>
        <v>5643.3788888888894</v>
      </c>
    </row>
    <row r="146" spans="1:30" s="160" customFormat="1">
      <c r="A146" s="250">
        <v>141</v>
      </c>
      <c r="B146" s="251" t="s">
        <v>426</v>
      </c>
      <c r="C146" s="252">
        <v>1</v>
      </c>
      <c r="D146" s="253">
        <v>2600</v>
      </c>
      <c r="E146" s="254">
        <f t="shared" si="50"/>
        <v>2600</v>
      </c>
      <c r="F146" s="255">
        <f t="shared" si="54"/>
        <v>923.57777777777767</v>
      </c>
      <c r="G146" s="256">
        <f t="shared" si="55"/>
        <v>33.222222222222214</v>
      </c>
      <c r="H146" s="256">
        <f t="shared" si="56"/>
        <v>265.77777777777771</v>
      </c>
      <c r="I146" s="256">
        <f t="shared" si="57"/>
        <v>132.88888888888886</v>
      </c>
      <c r="J146" s="256">
        <f t="shared" si="58"/>
        <v>216.66666666666666</v>
      </c>
      <c r="K146" s="256">
        <f t="shared" si="59"/>
        <v>216.66666666666666</v>
      </c>
      <c r="L146" s="256">
        <f t="shared" si="60"/>
        <v>72.222222222222214</v>
      </c>
      <c r="M146" s="256">
        <f t="shared" si="61"/>
        <v>216.66666666666666</v>
      </c>
      <c r="N146" s="255">
        <v>0</v>
      </c>
      <c r="O146" s="256">
        <v>0</v>
      </c>
      <c r="P146" s="256">
        <f t="shared" si="63"/>
        <v>30.333333333333332</v>
      </c>
      <c r="Q146" s="256">
        <f t="shared" si="64"/>
        <v>6.0666666666666664</v>
      </c>
      <c r="R146" s="256">
        <v>0</v>
      </c>
      <c r="S146" s="257">
        <v>0</v>
      </c>
      <c r="T146" s="256">
        <v>0</v>
      </c>
      <c r="U146" s="258">
        <f t="shared" si="51"/>
        <v>2114.088888888889</v>
      </c>
      <c r="V146" s="256">
        <v>111.67</v>
      </c>
      <c r="W146" s="256">
        <v>500</v>
      </c>
      <c r="X146" s="256">
        <v>53.31</v>
      </c>
      <c r="Y146" s="256">
        <v>5.0599999999999996</v>
      </c>
      <c r="Z146" s="256">
        <v>17.5</v>
      </c>
      <c r="AA146" s="256">
        <v>23.65</v>
      </c>
      <c r="AB146" s="256">
        <v>218.1</v>
      </c>
      <c r="AC146" s="189">
        <f t="shared" si="52"/>
        <v>929.29</v>
      </c>
      <c r="AD146" s="259">
        <f t="shared" si="53"/>
        <v>5643.3788888888894</v>
      </c>
    </row>
    <row r="147" spans="1:30" s="160" customFormat="1">
      <c r="A147" s="250">
        <v>142</v>
      </c>
      <c r="B147" s="251" t="s">
        <v>427</v>
      </c>
      <c r="C147" s="252">
        <v>1</v>
      </c>
      <c r="D147" s="253">
        <v>2600</v>
      </c>
      <c r="E147" s="254">
        <f t="shared" si="50"/>
        <v>2600</v>
      </c>
      <c r="F147" s="255">
        <f t="shared" si="54"/>
        <v>923.57777777777767</v>
      </c>
      <c r="G147" s="256">
        <f t="shared" si="55"/>
        <v>33.222222222222214</v>
      </c>
      <c r="H147" s="256">
        <f t="shared" si="56"/>
        <v>265.77777777777771</v>
      </c>
      <c r="I147" s="256">
        <f t="shared" si="57"/>
        <v>132.88888888888886</v>
      </c>
      <c r="J147" s="256">
        <f t="shared" si="58"/>
        <v>216.66666666666666</v>
      </c>
      <c r="K147" s="256">
        <f t="shared" si="59"/>
        <v>216.66666666666666</v>
      </c>
      <c r="L147" s="256">
        <f t="shared" si="60"/>
        <v>72.222222222222214</v>
      </c>
      <c r="M147" s="256">
        <f t="shared" si="61"/>
        <v>216.66666666666666</v>
      </c>
      <c r="N147" s="255">
        <v>0</v>
      </c>
      <c r="O147" s="256">
        <v>0</v>
      </c>
      <c r="P147" s="256">
        <f t="shared" si="63"/>
        <v>30.333333333333332</v>
      </c>
      <c r="Q147" s="256">
        <f t="shared" si="64"/>
        <v>6.0666666666666664</v>
      </c>
      <c r="R147" s="256">
        <v>0</v>
      </c>
      <c r="S147" s="257">
        <v>0</v>
      </c>
      <c r="T147" s="256">
        <v>0</v>
      </c>
      <c r="U147" s="258">
        <f t="shared" si="51"/>
        <v>2114.088888888889</v>
      </c>
      <c r="V147" s="256">
        <v>111.67</v>
      </c>
      <c r="W147" s="256">
        <v>500</v>
      </c>
      <c r="X147" s="256">
        <v>53.31</v>
      </c>
      <c r="Y147" s="256">
        <v>5.0599999999999996</v>
      </c>
      <c r="Z147" s="256">
        <v>17.5</v>
      </c>
      <c r="AA147" s="256">
        <v>23.65</v>
      </c>
      <c r="AB147" s="256">
        <v>218.1</v>
      </c>
      <c r="AC147" s="189">
        <f t="shared" si="52"/>
        <v>929.29</v>
      </c>
      <c r="AD147" s="259">
        <f t="shared" si="53"/>
        <v>5643.3788888888894</v>
      </c>
    </row>
    <row r="148" spans="1:30" s="160" customFormat="1">
      <c r="A148" s="250">
        <v>143</v>
      </c>
      <c r="B148" s="251" t="s">
        <v>428</v>
      </c>
      <c r="C148" s="252">
        <v>1</v>
      </c>
      <c r="D148" s="253">
        <v>1750</v>
      </c>
      <c r="E148" s="254">
        <f t="shared" si="50"/>
        <v>1750</v>
      </c>
      <c r="F148" s="255">
        <f t="shared" si="54"/>
        <v>621.63888888888903</v>
      </c>
      <c r="G148" s="256">
        <f t="shared" si="55"/>
        <v>22.361111111111114</v>
      </c>
      <c r="H148" s="256">
        <f t="shared" si="56"/>
        <v>178.88888888888891</v>
      </c>
      <c r="I148" s="256">
        <f t="shared" si="57"/>
        <v>89.444444444444457</v>
      </c>
      <c r="J148" s="256">
        <f t="shared" si="58"/>
        <v>145.83333333333334</v>
      </c>
      <c r="K148" s="256">
        <f t="shared" si="59"/>
        <v>145.83333333333334</v>
      </c>
      <c r="L148" s="256">
        <f t="shared" si="60"/>
        <v>48.611111111111114</v>
      </c>
      <c r="M148" s="256">
        <f t="shared" si="61"/>
        <v>145.83333333333334</v>
      </c>
      <c r="N148" s="255">
        <v>0</v>
      </c>
      <c r="O148" s="256">
        <v>0</v>
      </c>
      <c r="P148" s="256">
        <f t="shared" si="63"/>
        <v>20.416666666666664</v>
      </c>
      <c r="Q148" s="256">
        <f t="shared" si="64"/>
        <v>4.083333333333333</v>
      </c>
      <c r="R148" s="256">
        <v>0</v>
      </c>
      <c r="S148" s="257">
        <v>0</v>
      </c>
      <c r="T148" s="256">
        <v>0</v>
      </c>
      <c r="U148" s="258">
        <f t="shared" si="51"/>
        <v>1422.9444444444443</v>
      </c>
      <c r="V148" s="256">
        <v>111.67</v>
      </c>
      <c r="W148" s="256">
        <v>500</v>
      </c>
      <c r="X148" s="256">
        <v>53.31</v>
      </c>
      <c r="Y148" s="256">
        <v>5.0599999999999996</v>
      </c>
      <c r="Z148" s="256">
        <v>17.5</v>
      </c>
      <c r="AA148" s="256">
        <v>23.65</v>
      </c>
      <c r="AB148" s="256">
        <v>218.1</v>
      </c>
      <c r="AC148" s="189">
        <f t="shared" si="52"/>
        <v>929.29</v>
      </c>
      <c r="AD148" s="259">
        <f t="shared" si="53"/>
        <v>4102.2344444444443</v>
      </c>
    </row>
    <row r="149" spans="1:30" s="160" customFormat="1">
      <c r="A149" s="250">
        <v>144</v>
      </c>
      <c r="B149" s="251" t="s">
        <v>429</v>
      </c>
      <c r="C149" s="252">
        <v>1</v>
      </c>
      <c r="D149" s="253">
        <v>1642</v>
      </c>
      <c r="E149" s="254">
        <f t="shared" si="50"/>
        <v>1642</v>
      </c>
      <c r="F149" s="255">
        <f t="shared" si="54"/>
        <v>583.27488888888888</v>
      </c>
      <c r="G149" s="256">
        <f t="shared" si="55"/>
        <v>20.981111111111108</v>
      </c>
      <c r="H149" s="256">
        <f t="shared" si="56"/>
        <v>167.84888888888887</v>
      </c>
      <c r="I149" s="256">
        <f t="shared" si="57"/>
        <v>83.924444444444433</v>
      </c>
      <c r="J149" s="256">
        <f t="shared" si="58"/>
        <v>136.83333333333334</v>
      </c>
      <c r="K149" s="256">
        <f t="shared" si="59"/>
        <v>136.83333333333334</v>
      </c>
      <c r="L149" s="256">
        <f t="shared" si="60"/>
        <v>45.611111111111114</v>
      </c>
      <c r="M149" s="256">
        <f t="shared" si="61"/>
        <v>136.83333333333334</v>
      </c>
      <c r="N149" s="255">
        <v>0</v>
      </c>
      <c r="O149" s="256">
        <v>0</v>
      </c>
      <c r="P149" s="256">
        <f t="shared" si="63"/>
        <v>19.156666666666666</v>
      </c>
      <c r="Q149" s="256">
        <f t="shared" si="64"/>
        <v>3.8313333333333333</v>
      </c>
      <c r="R149" s="256">
        <v>0</v>
      </c>
      <c r="S149" s="257">
        <v>0</v>
      </c>
      <c r="T149" s="256">
        <v>0</v>
      </c>
      <c r="U149" s="258">
        <f t="shared" si="51"/>
        <v>1335.1284444444443</v>
      </c>
      <c r="V149" s="256">
        <v>111.67</v>
      </c>
      <c r="W149" s="256">
        <v>500</v>
      </c>
      <c r="X149" s="256">
        <v>53.31</v>
      </c>
      <c r="Y149" s="256">
        <v>5.0599999999999996</v>
      </c>
      <c r="Z149" s="256">
        <v>17.5</v>
      </c>
      <c r="AA149" s="256">
        <v>23.65</v>
      </c>
      <c r="AB149" s="256">
        <v>218.1</v>
      </c>
      <c r="AC149" s="189">
        <f t="shared" si="52"/>
        <v>929.29</v>
      </c>
      <c r="AD149" s="259">
        <f t="shared" si="53"/>
        <v>3906.4184444444445</v>
      </c>
    </row>
    <row r="150" spans="1:30" s="160" customFormat="1">
      <c r="A150" s="250">
        <v>145</v>
      </c>
      <c r="B150" s="251" t="s">
        <v>430</v>
      </c>
      <c r="C150" s="252">
        <v>1</v>
      </c>
      <c r="D150" s="253">
        <v>1385</v>
      </c>
      <c r="E150" s="254">
        <f t="shared" si="50"/>
        <v>1385</v>
      </c>
      <c r="F150" s="255">
        <f t="shared" si="54"/>
        <v>491.98277777777787</v>
      </c>
      <c r="G150" s="256">
        <f t="shared" si="55"/>
        <v>17.697222222222223</v>
      </c>
      <c r="H150" s="256">
        <f t="shared" si="56"/>
        <v>141.57777777777778</v>
      </c>
      <c r="I150" s="256">
        <f t="shared" si="57"/>
        <v>70.788888888888891</v>
      </c>
      <c r="J150" s="256">
        <f t="shared" si="58"/>
        <v>115.41666666666667</v>
      </c>
      <c r="K150" s="256">
        <f t="shared" si="59"/>
        <v>115.41666666666667</v>
      </c>
      <c r="L150" s="256">
        <f t="shared" si="60"/>
        <v>38.472222222222221</v>
      </c>
      <c r="M150" s="256">
        <f t="shared" si="61"/>
        <v>115.41666666666667</v>
      </c>
      <c r="N150" s="255">
        <v>0</v>
      </c>
      <c r="O150" s="256">
        <v>0</v>
      </c>
      <c r="P150" s="256">
        <f t="shared" si="63"/>
        <v>16.158333333333331</v>
      </c>
      <c r="Q150" s="256">
        <f t="shared" si="64"/>
        <v>3.231666666666666</v>
      </c>
      <c r="R150" s="256">
        <v>0</v>
      </c>
      <c r="S150" s="257">
        <v>0</v>
      </c>
      <c r="T150" s="256">
        <v>0</v>
      </c>
      <c r="U150" s="258">
        <f t="shared" si="51"/>
        <v>1126.1588888888887</v>
      </c>
      <c r="V150" s="256">
        <v>111.67</v>
      </c>
      <c r="W150" s="256">
        <v>500</v>
      </c>
      <c r="X150" s="256">
        <v>53.31</v>
      </c>
      <c r="Y150" s="256">
        <v>5.0599999999999996</v>
      </c>
      <c r="Z150" s="256">
        <v>17.5</v>
      </c>
      <c r="AA150" s="256">
        <v>23.65</v>
      </c>
      <c r="AB150" s="256">
        <v>218.1</v>
      </c>
      <c r="AC150" s="189">
        <f t="shared" si="52"/>
        <v>929.29</v>
      </c>
      <c r="AD150" s="259">
        <f t="shared" si="53"/>
        <v>3440.4488888888886</v>
      </c>
    </row>
    <row r="151" spans="1:30" s="160" customFormat="1">
      <c r="A151" s="250">
        <v>146</v>
      </c>
      <c r="B151" s="251" t="s">
        <v>431</v>
      </c>
      <c r="C151" s="252">
        <v>1</v>
      </c>
      <c r="D151" s="253">
        <v>1452.39</v>
      </c>
      <c r="E151" s="254">
        <f t="shared" si="50"/>
        <v>1452.39</v>
      </c>
      <c r="F151" s="255">
        <f t="shared" si="54"/>
        <v>515.92120333333344</v>
      </c>
      <c r="G151" s="256">
        <f t="shared" si="55"/>
        <v>18.55831666666667</v>
      </c>
      <c r="H151" s="256">
        <f t="shared" si="56"/>
        <v>148.46653333333336</v>
      </c>
      <c r="I151" s="256">
        <f t="shared" si="57"/>
        <v>74.23326666666668</v>
      </c>
      <c r="J151" s="256">
        <f t="shared" si="58"/>
        <v>121.03250000000001</v>
      </c>
      <c r="K151" s="256">
        <f t="shared" si="59"/>
        <v>121.03250000000001</v>
      </c>
      <c r="L151" s="256">
        <f t="shared" si="60"/>
        <v>40.344166666666673</v>
      </c>
      <c r="M151" s="256">
        <f t="shared" si="61"/>
        <v>121.03250000000001</v>
      </c>
      <c r="N151" s="255">
        <v>0</v>
      </c>
      <c r="O151" s="256">
        <v>0</v>
      </c>
      <c r="P151" s="256">
        <f t="shared" si="63"/>
        <v>16.94455</v>
      </c>
      <c r="Q151" s="256">
        <f t="shared" si="64"/>
        <v>3.3889100000000001</v>
      </c>
      <c r="R151" s="256">
        <v>0</v>
      </c>
      <c r="S151" s="257">
        <v>0</v>
      </c>
      <c r="T151" s="256">
        <v>0</v>
      </c>
      <c r="U151" s="258">
        <f t="shared" si="51"/>
        <v>1180.9544466666669</v>
      </c>
      <c r="V151" s="256">
        <v>111.67</v>
      </c>
      <c r="W151" s="256">
        <v>500</v>
      </c>
      <c r="X151" s="256">
        <v>53.31</v>
      </c>
      <c r="Y151" s="256">
        <v>5.0599999999999996</v>
      </c>
      <c r="Z151" s="256">
        <v>17.5</v>
      </c>
      <c r="AA151" s="256">
        <v>23.65</v>
      </c>
      <c r="AB151" s="256">
        <v>218.1</v>
      </c>
      <c r="AC151" s="189">
        <f t="shared" si="52"/>
        <v>929.29</v>
      </c>
      <c r="AD151" s="259">
        <f t="shared" si="53"/>
        <v>3562.6344466666669</v>
      </c>
    </row>
    <row r="152" spans="1:30" s="160" customFormat="1">
      <c r="A152" s="250">
        <v>147</v>
      </c>
      <c r="B152" s="251" t="s">
        <v>435</v>
      </c>
      <c r="C152" s="252">
        <v>2</v>
      </c>
      <c r="D152" s="253">
        <v>1900</v>
      </c>
      <c r="E152" s="254">
        <f t="shared" si="50"/>
        <v>3800</v>
      </c>
      <c r="F152" s="255">
        <f t="shared" si="54"/>
        <v>1434.9433333333336</v>
      </c>
      <c r="G152" s="256">
        <f t="shared" si="55"/>
        <v>51.616666666666674</v>
      </c>
      <c r="H152" s="256">
        <f t="shared" si="56"/>
        <v>412.93333333333339</v>
      </c>
      <c r="I152" s="256">
        <f t="shared" si="57"/>
        <v>301.4666666666667</v>
      </c>
      <c r="J152" s="256">
        <f t="shared" si="58"/>
        <v>332.5</v>
      </c>
      <c r="K152" s="256">
        <f t="shared" si="59"/>
        <v>332.5</v>
      </c>
      <c r="L152" s="256">
        <f t="shared" si="60"/>
        <v>174.16666666666666</v>
      </c>
      <c r="M152" s="256">
        <f t="shared" si="61"/>
        <v>332.5</v>
      </c>
      <c r="N152" s="255">
        <v>0</v>
      </c>
      <c r="O152" s="256">
        <v>0</v>
      </c>
      <c r="P152" s="256">
        <f>(R152+E152)/210*1.75*1.2</f>
        <v>49.400000000000006</v>
      </c>
      <c r="Q152" s="256">
        <f>P152/6</f>
        <v>8.2333333333333343</v>
      </c>
      <c r="R152" s="256">
        <f>E152*30%</f>
        <v>1140</v>
      </c>
      <c r="S152" s="257">
        <v>190</v>
      </c>
      <c r="T152" s="256">
        <f>(E152+R152+N152+O152)/30*2</f>
        <v>329.33333333333331</v>
      </c>
      <c r="U152" s="258">
        <f t="shared" si="51"/>
        <v>5089.5933333333332</v>
      </c>
      <c r="V152" s="256">
        <v>76.14</v>
      </c>
      <c r="W152" s="256">
        <v>500</v>
      </c>
      <c r="X152" s="256">
        <v>53.31</v>
      </c>
      <c r="Y152" s="256">
        <v>5.0599999999999996</v>
      </c>
      <c r="Z152" s="256">
        <v>17.5</v>
      </c>
      <c r="AA152" s="256">
        <v>23.65</v>
      </c>
      <c r="AB152" s="256">
        <v>218.1</v>
      </c>
      <c r="AC152" s="189">
        <f t="shared" si="52"/>
        <v>893.76</v>
      </c>
      <c r="AD152" s="259">
        <f t="shared" si="53"/>
        <v>9783.3533333333344</v>
      </c>
    </row>
    <row r="153" spans="1:30" s="160" customFormat="1">
      <c r="A153" s="250">
        <v>148</v>
      </c>
      <c r="B153" s="251" t="s">
        <v>432</v>
      </c>
      <c r="C153" s="252">
        <v>12</v>
      </c>
      <c r="D153" s="253">
        <v>1900</v>
      </c>
      <c r="E153" s="254">
        <f t="shared" si="50"/>
        <v>22800</v>
      </c>
      <c r="F153" s="255">
        <f t="shared" si="54"/>
        <v>8099.0666666666666</v>
      </c>
      <c r="G153" s="256">
        <f t="shared" si="55"/>
        <v>291.33333333333331</v>
      </c>
      <c r="H153" s="256">
        <f t="shared" si="56"/>
        <v>2330.6666666666665</v>
      </c>
      <c r="I153" s="256">
        <f t="shared" si="57"/>
        <v>1165.3333333333333</v>
      </c>
      <c r="J153" s="256">
        <f t="shared" si="58"/>
        <v>1900</v>
      </c>
      <c r="K153" s="256">
        <f t="shared" si="59"/>
        <v>1900</v>
      </c>
      <c r="L153" s="256">
        <f t="shared" si="60"/>
        <v>633.33333333333337</v>
      </c>
      <c r="M153" s="256">
        <f t="shared" si="61"/>
        <v>1900</v>
      </c>
      <c r="N153" s="255">
        <v>0</v>
      </c>
      <c r="O153" s="256">
        <v>0</v>
      </c>
      <c r="P153" s="256">
        <f>(R153+E153)/210*1.75*1.2</f>
        <v>296.39999999999998</v>
      </c>
      <c r="Q153" s="256">
        <f>P153/6</f>
        <v>49.4</v>
      </c>
      <c r="R153" s="256">
        <f>E153*30%</f>
        <v>6840</v>
      </c>
      <c r="S153" s="257">
        <v>0</v>
      </c>
      <c r="T153" s="256">
        <f t="shared" ref="T153:T155" si="65">(E153+R153+N153+O153)/30*2</f>
        <v>1976</v>
      </c>
      <c r="U153" s="258">
        <f t="shared" si="51"/>
        <v>27381.533333333336</v>
      </c>
      <c r="V153" s="256">
        <v>76.14</v>
      </c>
      <c r="W153" s="256">
        <v>500</v>
      </c>
      <c r="X153" s="256">
        <v>53.31</v>
      </c>
      <c r="Y153" s="256">
        <v>5.0599999999999996</v>
      </c>
      <c r="Z153" s="256">
        <v>17.5</v>
      </c>
      <c r="AA153" s="256">
        <v>23.65</v>
      </c>
      <c r="AB153" s="256">
        <v>218.1</v>
      </c>
      <c r="AC153" s="189">
        <f t="shared" si="52"/>
        <v>893.76</v>
      </c>
      <c r="AD153" s="259">
        <f t="shared" si="53"/>
        <v>51075.293333333342</v>
      </c>
    </row>
    <row r="154" spans="1:30" s="160" customFormat="1">
      <c r="A154" s="250">
        <v>149</v>
      </c>
      <c r="B154" s="251" t="s">
        <v>433</v>
      </c>
      <c r="C154" s="252">
        <v>2</v>
      </c>
      <c r="D154" s="253">
        <v>1900</v>
      </c>
      <c r="E154" s="254">
        <f t="shared" si="50"/>
        <v>3800</v>
      </c>
      <c r="F154" s="255">
        <f t="shared" si="54"/>
        <v>1434.9433333333336</v>
      </c>
      <c r="G154" s="256">
        <f t="shared" si="55"/>
        <v>51.616666666666674</v>
      </c>
      <c r="H154" s="256">
        <f t="shared" si="56"/>
        <v>412.93333333333339</v>
      </c>
      <c r="I154" s="256">
        <f t="shared" si="57"/>
        <v>301.4666666666667</v>
      </c>
      <c r="J154" s="256">
        <f t="shared" si="58"/>
        <v>332.5</v>
      </c>
      <c r="K154" s="256">
        <f t="shared" si="59"/>
        <v>332.5</v>
      </c>
      <c r="L154" s="256">
        <f t="shared" si="60"/>
        <v>174.16666666666666</v>
      </c>
      <c r="M154" s="256">
        <f t="shared" si="61"/>
        <v>332.5</v>
      </c>
      <c r="N154" s="255">
        <f>(R154+E154)/210*20%*160</f>
        <v>752.76190476190482</v>
      </c>
      <c r="O154" s="256">
        <f>N154/6</f>
        <v>125.46031746031747</v>
      </c>
      <c r="P154" s="256">
        <f>(R154+E154)/210*1.75*1.2</f>
        <v>49.400000000000006</v>
      </c>
      <c r="Q154" s="256">
        <f>P154/6</f>
        <v>8.2333333333333343</v>
      </c>
      <c r="R154" s="256">
        <f>E154*30%</f>
        <v>1140</v>
      </c>
      <c r="S154" s="257">
        <v>190</v>
      </c>
      <c r="T154" s="256">
        <f t="shared" si="65"/>
        <v>387.88148148148144</v>
      </c>
      <c r="U154" s="258">
        <f t="shared" si="51"/>
        <v>6026.3637037037033</v>
      </c>
      <c r="V154" s="256">
        <v>76.14</v>
      </c>
      <c r="W154" s="256">
        <v>500</v>
      </c>
      <c r="X154" s="256">
        <v>53.31</v>
      </c>
      <c r="Y154" s="256">
        <v>5.0599999999999996</v>
      </c>
      <c r="Z154" s="256">
        <v>17.5</v>
      </c>
      <c r="AA154" s="256">
        <v>23.65</v>
      </c>
      <c r="AB154" s="256">
        <v>218.1</v>
      </c>
      <c r="AC154" s="189">
        <f t="shared" si="52"/>
        <v>893.76</v>
      </c>
      <c r="AD154" s="259">
        <f t="shared" si="53"/>
        <v>10720.123703703704</v>
      </c>
    </row>
    <row r="155" spans="1:30" s="160" customFormat="1">
      <c r="A155" s="250">
        <v>150</v>
      </c>
      <c r="B155" s="251" t="s">
        <v>434</v>
      </c>
      <c r="C155" s="252">
        <v>6</v>
      </c>
      <c r="D155" s="253">
        <v>1900</v>
      </c>
      <c r="E155" s="254">
        <f t="shared" si="50"/>
        <v>11400</v>
      </c>
      <c r="F155" s="255">
        <f t="shared" si="54"/>
        <v>4049.5333333333333</v>
      </c>
      <c r="G155" s="256">
        <f t="shared" si="55"/>
        <v>145.66666666666666</v>
      </c>
      <c r="H155" s="256">
        <f t="shared" si="56"/>
        <v>1165.3333333333333</v>
      </c>
      <c r="I155" s="256">
        <f t="shared" si="57"/>
        <v>582.66666666666663</v>
      </c>
      <c r="J155" s="256">
        <f t="shared" si="58"/>
        <v>950</v>
      </c>
      <c r="K155" s="256">
        <f t="shared" si="59"/>
        <v>950</v>
      </c>
      <c r="L155" s="256">
        <f t="shared" si="60"/>
        <v>316.66666666666669</v>
      </c>
      <c r="M155" s="256">
        <f t="shared" si="61"/>
        <v>950</v>
      </c>
      <c r="N155" s="255">
        <f>(R155+E155)/210*20%*160</f>
        <v>2258.2857142857142</v>
      </c>
      <c r="O155" s="256">
        <f>N155/6</f>
        <v>376.38095238095235</v>
      </c>
      <c r="P155" s="256">
        <f>(R155+E155)/210*1.75*1.2</f>
        <v>148.19999999999999</v>
      </c>
      <c r="Q155" s="256">
        <f>P155/6</f>
        <v>24.7</v>
      </c>
      <c r="R155" s="256">
        <f>E155*30%</f>
        <v>3420</v>
      </c>
      <c r="S155" s="257">
        <v>0</v>
      </c>
      <c r="T155" s="256">
        <f t="shared" si="65"/>
        <v>1163.6444444444446</v>
      </c>
      <c r="U155" s="258">
        <f t="shared" si="51"/>
        <v>16501.07777777778</v>
      </c>
      <c r="V155" s="256">
        <v>76.14</v>
      </c>
      <c r="W155" s="256">
        <v>500</v>
      </c>
      <c r="X155" s="256">
        <v>53.31</v>
      </c>
      <c r="Y155" s="256">
        <v>5.0599999999999996</v>
      </c>
      <c r="Z155" s="256">
        <v>17.5</v>
      </c>
      <c r="AA155" s="256">
        <v>23.65</v>
      </c>
      <c r="AB155" s="256">
        <v>218.1</v>
      </c>
      <c r="AC155" s="189">
        <f t="shared" si="52"/>
        <v>893.76</v>
      </c>
      <c r="AD155" s="259">
        <f t="shared" si="53"/>
        <v>28794.837777777779</v>
      </c>
    </row>
    <row r="156" spans="1:30" s="160" customFormat="1">
      <c r="A156" s="250">
        <v>151</v>
      </c>
      <c r="B156" s="251" t="s">
        <v>461</v>
      </c>
      <c r="C156" s="252">
        <v>1</v>
      </c>
      <c r="D156" s="253">
        <v>6500</v>
      </c>
      <c r="E156" s="254">
        <f t="shared" si="50"/>
        <v>6500</v>
      </c>
      <c r="F156" s="255">
        <f t="shared" si="54"/>
        <v>2308.9444444444448</v>
      </c>
      <c r="G156" s="256">
        <f t="shared" si="55"/>
        <v>83.055555555555571</v>
      </c>
      <c r="H156" s="256">
        <f t="shared" si="56"/>
        <v>664.44444444444457</v>
      </c>
      <c r="I156" s="256">
        <f t="shared" si="57"/>
        <v>332.22222222222229</v>
      </c>
      <c r="J156" s="256">
        <f t="shared" si="58"/>
        <v>541.66666666666663</v>
      </c>
      <c r="K156" s="256">
        <f t="shared" si="59"/>
        <v>541.66666666666663</v>
      </c>
      <c r="L156" s="256">
        <f t="shared" si="60"/>
        <v>180.55555555555554</v>
      </c>
      <c r="M156" s="256">
        <f t="shared" si="61"/>
        <v>541.66666666666663</v>
      </c>
      <c r="N156" s="255">
        <v>0</v>
      </c>
      <c r="O156" s="256">
        <v>0</v>
      </c>
      <c r="P156" s="256">
        <v>0</v>
      </c>
      <c r="Q156" s="256">
        <v>0</v>
      </c>
      <c r="R156" s="256">
        <v>0</v>
      </c>
      <c r="S156" s="257">
        <v>0</v>
      </c>
      <c r="T156" s="256">
        <v>0</v>
      </c>
      <c r="U156" s="258">
        <f t="shared" si="51"/>
        <v>5194.2222222222235</v>
      </c>
      <c r="V156" s="256">
        <v>0</v>
      </c>
      <c r="W156" s="256">
        <v>500</v>
      </c>
      <c r="X156" s="256">
        <v>53.31</v>
      </c>
      <c r="Y156" s="256">
        <v>5.0599999999999996</v>
      </c>
      <c r="Z156" s="256">
        <v>17.5</v>
      </c>
      <c r="AA156" s="256">
        <v>23.65</v>
      </c>
      <c r="AB156" s="256">
        <v>218.1</v>
      </c>
      <c r="AC156" s="189">
        <f t="shared" si="52"/>
        <v>817.61999999999989</v>
      </c>
      <c r="AD156" s="259">
        <f t="shared" si="53"/>
        <v>12511.842222222222</v>
      </c>
    </row>
    <row r="157" spans="1:30" s="160" customFormat="1">
      <c r="A157" s="250">
        <v>152</v>
      </c>
      <c r="B157" s="251" t="s">
        <v>422</v>
      </c>
      <c r="C157" s="252">
        <v>1</v>
      </c>
      <c r="D157" s="253">
        <v>3773.6</v>
      </c>
      <c r="E157" s="254">
        <f t="shared" si="50"/>
        <v>3773.6</v>
      </c>
      <c r="F157" s="255">
        <f t="shared" si="54"/>
        <v>1340.4665777777775</v>
      </c>
      <c r="G157" s="256">
        <f t="shared" si="55"/>
        <v>48.218222222222209</v>
      </c>
      <c r="H157" s="256">
        <f t="shared" si="56"/>
        <v>385.74577777777768</v>
      </c>
      <c r="I157" s="256">
        <f t="shared" si="57"/>
        <v>192.87288888888884</v>
      </c>
      <c r="J157" s="256">
        <f t="shared" si="58"/>
        <v>314.46666666666664</v>
      </c>
      <c r="K157" s="256">
        <f t="shared" si="59"/>
        <v>314.46666666666664</v>
      </c>
      <c r="L157" s="256">
        <f t="shared" si="60"/>
        <v>104.82222222222221</v>
      </c>
      <c r="M157" s="256">
        <f t="shared" si="61"/>
        <v>314.46666666666664</v>
      </c>
      <c r="N157" s="255">
        <v>0</v>
      </c>
      <c r="O157" s="256">
        <v>0</v>
      </c>
      <c r="P157" s="256">
        <v>0</v>
      </c>
      <c r="Q157" s="256">
        <v>0</v>
      </c>
      <c r="R157" s="256">
        <f>E157*30%</f>
        <v>1132.08</v>
      </c>
      <c r="S157" s="257">
        <v>0</v>
      </c>
      <c r="T157" s="256">
        <v>0</v>
      </c>
      <c r="U157" s="258">
        <f t="shared" si="51"/>
        <v>4147.6056888888888</v>
      </c>
      <c r="V157" s="256">
        <v>0</v>
      </c>
      <c r="W157" s="256">
        <v>500</v>
      </c>
      <c r="X157" s="256">
        <v>53.31</v>
      </c>
      <c r="Y157" s="256">
        <v>5.0599999999999996</v>
      </c>
      <c r="Z157" s="256">
        <v>17.5</v>
      </c>
      <c r="AA157" s="256">
        <v>23.65</v>
      </c>
      <c r="AB157" s="256">
        <v>218.1</v>
      </c>
      <c r="AC157" s="189">
        <f t="shared" si="52"/>
        <v>817.61999999999989</v>
      </c>
      <c r="AD157" s="259">
        <f t="shared" si="53"/>
        <v>8738.82568888889</v>
      </c>
    </row>
    <row r="158" spans="1:30" s="160" customFormat="1">
      <c r="A158" s="250">
        <v>153</v>
      </c>
      <c r="B158" s="251" t="s">
        <v>423</v>
      </c>
      <c r="C158" s="252">
        <v>1</v>
      </c>
      <c r="D158" s="253">
        <v>2600</v>
      </c>
      <c r="E158" s="254">
        <f t="shared" si="50"/>
        <v>2600</v>
      </c>
      <c r="F158" s="255">
        <f t="shared" si="54"/>
        <v>923.57777777777767</v>
      </c>
      <c r="G158" s="256">
        <f t="shared" si="55"/>
        <v>33.222222222222214</v>
      </c>
      <c r="H158" s="256">
        <f t="shared" si="56"/>
        <v>265.77777777777771</v>
      </c>
      <c r="I158" s="256">
        <f t="shared" si="57"/>
        <v>132.88888888888886</v>
      </c>
      <c r="J158" s="256">
        <f t="shared" si="58"/>
        <v>216.66666666666666</v>
      </c>
      <c r="K158" s="256">
        <f t="shared" si="59"/>
        <v>216.66666666666666</v>
      </c>
      <c r="L158" s="256">
        <f t="shared" si="60"/>
        <v>72.222222222222214</v>
      </c>
      <c r="M158" s="256">
        <f t="shared" si="61"/>
        <v>216.66666666666666</v>
      </c>
      <c r="N158" s="255">
        <v>0</v>
      </c>
      <c r="O158" s="256">
        <v>0</v>
      </c>
      <c r="P158" s="256">
        <f>E158/150*1.75</f>
        <v>30.333333333333332</v>
      </c>
      <c r="Q158" s="256">
        <f>P158/25*5</f>
        <v>6.0666666666666664</v>
      </c>
      <c r="R158" s="256">
        <v>0</v>
      </c>
      <c r="S158" s="257">
        <v>0</v>
      </c>
      <c r="T158" s="256">
        <v>0</v>
      </c>
      <c r="U158" s="258">
        <f t="shared" si="51"/>
        <v>2114.088888888889</v>
      </c>
      <c r="V158" s="256">
        <v>111.67</v>
      </c>
      <c r="W158" s="256">
        <v>500</v>
      </c>
      <c r="X158" s="256">
        <v>53.31</v>
      </c>
      <c r="Y158" s="256">
        <v>5.0599999999999996</v>
      </c>
      <c r="Z158" s="256">
        <v>17.5</v>
      </c>
      <c r="AA158" s="256">
        <v>23.65</v>
      </c>
      <c r="AB158" s="256">
        <v>218.1</v>
      </c>
      <c r="AC158" s="189">
        <f t="shared" si="52"/>
        <v>929.29</v>
      </c>
      <c r="AD158" s="259">
        <f t="shared" si="53"/>
        <v>5643.3788888888894</v>
      </c>
    </row>
    <row r="159" spans="1:30" s="160" customFormat="1">
      <c r="A159" s="250">
        <v>154</v>
      </c>
      <c r="B159" s="251" t="s">
        <v>424</v>
      </c>
      <c r="C159" s="252">
        <v>1</v>
      </c>
      <c r="D159" s="253">
        <v>2600</v>
      </c>
      <c r="E159" s="254">
        <f t="shared" si="50"/>
        <v>2600</v>
      </c>
      <c r="F159" s="255">
        <f t="shared" si="54"/>
        <v>923.57777777777767</v>
      </c>
      <c r="G159" s="256">
        <f t="shared" si="55"/>
        <v>33.222222222222214</v>
      </c>
      <c r="H159" s="256">
        <f t="shared" si="56"/>
        <v>265.77777777777771</v>
      </c>
      <c r="I159" s="256">
        <f t="shared" si="57"/>
        <v>132.88888888888886</v>
      </c>
      <c r="J159" s="256">
        <f t="shared" si="58"/>
        <v>216.66666666666666</v>
      </c>
      <c r="K159" s="256">
        <f t="shared" si="59"/>
        <v>216.66666666666666</v>
      </c>
      <c r="L159" s="256">
        <f t="shared" si="60"/>
        <v>72.222222222222214</v>
      </c>
      <c r="M159" s="256">
        <f t="shared" si="61"/>
        <v>216.66666666666666</v>
      </c>
      <c r="N159" s="255">
        <v>0</v>
      </c>
      <c r="O159" s="256">
        <v>0</v>
      </c>
      <c r="P159" s="256">
        <f t="shared" ref="P159:P166" si="66">E159/150*1.75</f>
        <v>30.333333333333332</v>
      </c>
      <c r="Q159" s="256">
        <f t="shared" ref="Q159:Q166" si="67">P159/25*5</f>
        <v>6.0666666666666664</v>
      </c>
      <c r="R159" s="256">
        <v>0</v>
      </c>
      <c r="S159" s="257">
        <v>0</v>
      </c>
      <c r="T159" s="256">
        <v>0</v>
      </c>
      <c r="U159" s="258">
        <f t="shared" si="51"/>
        <v>2114.088888888889</v>
      </c>
      <c r="V159" s="256">
        <v>111.67</v>
      </c>
      <c r="W159" s="256">
        <v>500</v>
      </c>
      <c r="X159" s="256">
        <v>53.31</v>
      </c>
      <c r="Y159" s="256">
        <v>5.0599999999999996</v>
      </c>
      <c r="Z159" s="256">
        <v>17.5</v>
      </c>
      <c r="AA159" s="256">
        <v>23.65</v>
      </c>
      <c r="AB159" s="256">
        <v>218.1</v>
      </c>
      <c r="AC159" s="189">
        <f t="shared" si="52"/>
        <v>929.29</v>
      </c>
      <c r="AD159" s="259">
        <f t="shared" si="53"/>
        <v>5643.3788888888894</v>
      </c>
    </row>
    <row r="160" spans="1:30" s="160" customFormat="1">
      <c r="A160" s="250">
        <v>155</v>
      </c>
      <c r="B160" s="251" t="s">
        <v>425</v>
      </c>
      <c r="C160" s="252">
        <v>1</v>
      </c>
      <c r="D160" s="253">
        <v>2600</v>
      </c>
      <c r="E160" s="254">
        <f t="shared" si="50"/>
        <v>2600</v>
      </c>
      <c r="F160" s="255">
        <f t="shared" si="54"/>
        <v>923.57777777777767</v>
      </c>
      <c r="G160" s="256">
        <f t="shared" si="55"/>
        <v>33.222222222222214</v>
      </c>
      <c r="H160" s="256">
        <f t="shared" si="56"/>
        <v>265.77777777777771</v>
      </c>
      <c r="I160" s="256">
        <f t="shared" si="57"/>
        <v>132.88888888888886</v>
      </c>
      <c r="J160" s="256">
        <f t="shared" si="58"/>
        <v>216.66666666666666</v>
      </c>
      <c r="K160" s="256">
        <f t="shared" si="59"/>
        <v>216.66666666666666</v>
      </c>
      <c r="L160" s="256">
        <f t="shared" si="60"/>
        <v>72.222222222222214</v>
      </c>
      <c r="M160" s="256">
        <f t="shared" si="61"/>
        <v>216.66666666666666</v>
      </c>
      <c r="N160" s="255">
        <v>0</v>
      </c>
      <c r="O160" s="256">
        <v>0</v>
      </c>
      <c r="P160" s="256">
        <f t="shared" si="66"/>
        <v>30.333333333333332</v>
      </c>
      <c r="Q160" s="256">
        <f t="shared" si="67"/>
        <v>6.0666666666666664</v>
      </c>
      <c r="R160" s="256">
        <v>0</v>
      </c>
      <c r="S160" s="257">
        <v>0</v>
      </c>
      <c r="T160" s="256">
        <v>0</v>
      </c>
      <c r="U160" s="258">
        <f t="shared" si="51"/>
        <v>2114.088888888889</v>
      </c>
      <c r="V160" s="256">
        <v>111.67</v>
      </c>
      <c r="W160" s="256">
        <v>500</v>
      </c>
      <c r="X160" s="256">
        <v>53.31</v>
      </c>
      <c r="Y160" s="256">
        <v>5.0599999999999996</v>
      </c>
      <c r="Z160" s="256">
        <v>17.5</v>
      </c>
      <c r="AA160" s="256">
        <v>23.65</v>
      </c>
      <c r="AB160" s="256">
        <v>218.1</v>
      </c>
      <c r="AC160" s="189">
        <f t="shared" si="52"/>
        <v>929.29</v>
      </c>
      <c r="AD160" s="259">
        <f t="shared" si="53"/>
        <v>5643.3788888888894</v>
      </c>
    </row>
    <row r="161" spans="1:30" s="160" customFormat="1">
      <c r="A161" s="250">
        <v>156</v>
      </c>
      <c r="B161" s="251" t="s">
        <v>426</v>
      </c>
      <c r="C161" s="252">
        <v>1</v>
      </c>
      <c r="D161" s="253">
        <v>2600</v>
      </c>
      <c r="E161" s="254">
        <f t="shared" si="50"/>
        <v>2600</v>
      </c>
      <c r="F161" s="255">
        <f t="shared" si="54"/>
        <v>923.57777777777767</v>
      </c>
      <c r="G161" s="256">
        <f t="shared" si="55"/>
        <v>33.222222222222214</v>
      </c>
      <c r="H161" s="256">
        <f t="shared" si="56"/>
        <v>265.77777777777771</v>
      </c>
      <c r="I161" s="256">
        <f t="shared" si="57"/>
        <v>132.88888888888886</v>
      </c>
      <c r="J161" s="256">
        <f t="shared" si="58"/>
        <v>216.66666666666666</v>
      </c>
      <c r="K161" s="256">
        <f t="shared" si="59"/>
        <v>216.66666666666666</v>
      </c>
      <c r="L161" s="256">
        <f t="shared" si="60"/>
        <v>72.222222222222214</v>
      </c>
      <c r="M161" s="256">
        <f t="shared" si="61"/>
        <v>216.66666666666666</v>
      </c>
      <c r="N161" s="255">
        <v>0</v>
      </c>
      <c r="O161" s="256">
        <v>0</v>
      </c>
      <c r="P161" s="256">
        <f t="shared" si="66"/>
        <v>30.333333333333332</v>
      </c>
      <c r="Q161" s="256">
        <f t="shared" si="67"/>
        <v>6.0666666666666664</v>
      </c>
      <c r="R161" s="256">
        <v>0</v>
      </c>
      <c r="S161" s="257">
        <v>0</v>
      </c>
      <c r="T161" s="256">
        <v>0</v>
      </c>
      <c r="U161" s="258">
        <f t="shared" si="51"/>
        <v>2114.088888888889</v>
      </c>
      <c r="V161" s="256">
        <v>111.67</v>
      </c>
      <c r="W161" s="256">
        <v>500</v>
      </c>
      <c r="X161" s="256">
        <v>53.31</v>
      </c>
      <c r="Y161" s="256">
        <v>5.0599999999999996</v>
      </c>
      <c r="Z161" s="256">
        <v>17.5</v>
      </c>
      <c r="AA161" s="256">
        <v>23.65</v>
      </c>
      <c r="AB161" s="256">
        <v>218.1</v>
      </c>
      <c r="AC161" s="189">
        <f t="shared" si="52"/>
        <v>929.29</v>
      </c>
      <c r="AD161" s="259">
        <f t="shared" si="53"/>
        <v>5643.3788888888894</v>
      </c>
    </row>
    <row r="162" spans="1:30" s="160" customFormat="1">
      <c r="A162" s="250">
        <v>157</v>
      </c>
      <c r="B162" s="251" t="s">
        <v>427</v>
      </c>
      <c r="C162" s="252">
        <v>1</v>
      </c>
      <c r="D162" s="253">
        <v>2600</v>
      </c>
      <c r="E162" s="254">
        <f t="shared" si="50"/>
        <v>2600</v>
      </c>
      <c r="F162" s="255">
        <f t="shared" si="54"/>
        <v>923.57777777777767</v>
      </c>
      <c r="G162" s="256">
        <f t="shared" si="55"/>
        <v>33.222222222222214</v>
      </c>
      <c r="H162" s="256">
        <f t="shared" si="56"/>
        <v>265.77777777777771</v>
      </c>
      <c r="I162" s="256">
        <f t="shared" si="57"/>
        <v>132.88888888888886</v>
      </c>
      <c r="J162" s="256">
        <f t="shared" si="58"/>
        <v>216.66666666666666</v>
      </c>
      <c r="K162" s="256">
        <f t="shared" si="59"/>
        <v>216.66666666666666</v>
      </c>
      <c r="L162" s="256">
        <f t="shared" si="60"/>
        <v>72.222222222222214</v>
      </c>
      <c r="M162" s="256">
        <f t="shared" si="61"/>
        <v>216.66666666666666</v>
      </c>
      <c r="N162" s="255">
        <v>0</v>
      </c>
      <c r="O162" s="256">
        <v>0</v>
      </c>
      <c r="P162" s="256">
        <f t="shared" si="66"/>
        <v>30.333333333333332</v>
      </c>
      <c r="Q162" s="256">
        <f t="shared" si="67"/>
        <v>6.0666666666666664</v>
      </c>
      <c r="R162" s="256">
        <v>0</v>
      </c>
      <c r="S162" s="257">
        <v>0</v>
      </c>
      <c r="T162" s="256">
        <v>0</v>
      </c>
      <c r="U162" s="258">
        <f t="shared" si="51"/>
        <v>2114.088888888889</v>
      </c>
      <c r="V162" s="256">
        <v>111.67</v>
      </c>
      <c r="W162" s="256">
        <v>500</v>
      </c>
      <c r="X162" s="256">
        <v>53.31</v>
      </c>
      <c r="Y162" s="256">
        <v>5.0599999999999996</v>
      </c>
      <c r="Z162" s="256">
        <v>17.5</v>
      </c>
      <c r="AA162" s="256">
        <v>23.65</v>
      </c>
      <c r="AB162" s="256">
        <v>218.1</v>
      </c>
      <c r="AC162" s="189">
        <f t="shared" si="52"/>
        <v>929.29</v>
      </c>
      <c r="AD162" s="259">
        <f t="shared" si="53"/>
        <v>5643.3788888888894</v>
      </c>
    </row>
    <row r="163" spans="1:30" s="160" customFormat="1">
      <c r="A163" s="250">
        <v>158</v>
      </c>
      <c r="B163" s="251" t="s">
        <v>428</v>
      </c>
      <c r="C163" s="252">
        <v>1</v>
      </c>
      <c r="D163" s="253">
        <v>1750</v>
      </c>
      <c r="E163" s="254">
        <f t="shared" si="50"/>
        <v>1750</v>
      </c>
      <c r="F163" s="255">
        <f t="shared" si="54"/>
        <v>621.63888888888903</v>
      </c>
      <c r="G163" s="256">
        <f t="shared" si="55"/>
        <v>22.361111111111114</v>
      </c>
      <c r="H163" s="256">
        <f t="shared" si="56"/>
        <v>178.88888888888891</v>
      </c>
      <c r="I163" s="256">
        <f t="shared" si="57"/>
        <v>89.444444444444457</v>
      </c>
      <c r="J163" s="256">
        <f t="shared" si="58"/>
        <v>145.83333333333334</v>
      </c>
      <c r="K163" s="256">
        <f t="shared" si="59"/>
        <v>145.83333333333334</v>
      </c>
      <c r="L163" s="256">
        <f t="shared" si="60"/>
        <v>48.611111111111114</v>
      </c>
      <c r="M163" s="256">
        <f t="shared" si="61"/>
        <v>145.83333333333334</v>
      </c>
      <c r="N163" s="255">
        <v>0</v>
      </c>
      <c r="O163" s="256">
        <v>0</v>
      </c>
      <c r="P163" s="256">
        <f t="shared" si="66"/>
        <v>20.416666666666664</v>
      </c>
      <c r="Q163" s="256">
        <f t="shared" si="67"/>
        <v>4.083333333333333</v>
      </c>
      <c r="R163" s="256">
        <v>0</v>
      </c>
      <c r="S163" s="257">
        <v>0</v>
      </c>
      <c r="T163" s="256">
        <v>0</v>
      </c>
      <c r="U163" s="258">
        <f t="shared" si="51"/>
        <v>1422.9444444444443</v>
      </c>
      <c r="V163" s="256">
        <v>111.67</v>
      </c>
      <c r="W163" s="256">
        <v>500</v>
      </c>
      <c r="X163" s="256">
        <v>53.31</v>
      </c>
      <c r="Y163" s="256">
        <v>5.0599999999999996</v>
      </c>
      <c r="Z163" s="256">
        <v>17.5</v>
      </c>
      <c r="AA163" s="256">
        <v>23.65</v>
      </c>
      <c r="AB163" s="256">
        <v>218.1</v>
      </c>
      <c r="AC163" s="189">
        <f t="shared" si="52"/>
        <v>929.29</v>
      </c>
      <c r="AD163" s="259">
        <f t="shared" si="53"/>
        <v>4102.2344444444443</v>
      </c>
    </row>
    <row r="164" spans="1:30" s="160" customFormat="1">
      <c r="A164" s="250">
        <v>159</v>
      </c>
      <c r="B164" s="251" t="s">
        <v>429</v>
      </c>
      <c r="C164" s="252">
        <v>1</v>
      </c>
      <c r="D164" s="253">
        <v>1642</v>
      </c>
      <c r="E164" s="254">
        <f t="shared" si="50"/>
        <v>1642</v>
      </c>
      <c r="F164" s="255">
        <f t="shared" si="54"/>
        <v>583.27488888888888</v>
      </c>
      <c r="G164" s="256">
        <f t="shared" si="55"/>
        <v>20.981111111111108</v>
      </c>
      <c r="H164" s="256">
        <f t="shared" si="56"/>
        <v>167.84888888888887</v>
      </c>
      <c r="I164" s="256">
        <f t="shared" si="57"/>
        <v>83.924444444444433</v>
      </c>
      <c r="J164" s="256">
        <f t="shared" si="58"/>
        <v>136.83333333333334</v>
      </c>
      <c r="K164" s="256">
        <f t="shared" si="59"/>
        <v>136.83333333333334</v>
      </c>
      <c r="L164" s="256">
        <f t="shared" si="60"/>
        <v>45.611111111111114</v>
      </c>
      <c r="M164" s="256">
        <f t="shared" si="61"/>
        <v>136.83333333333334</v>
      </c>
      <c r="N164" s="255">
        <v>0</v>
      </c>
      <c r="O164" s="256">
        <v>0</v>
      </c>
      <c r="P164" s="256">
        <f t="shared" si="66"/>
        <v>19.156666666666666</v>
      </c>
      <c r="Q164" s="256">
        <f t="shared" si="67"/>
        <v>3.8313333333333333</v>
      </c>
      <c r="R164" s="256">
        <v>0</v>
      </c>
      <c r="S164" s="257">
        <v>0</v>
      </c>
      <c r="T164" s="256">
        <v>0</v>
      </c>
      <c r="U164" s="258">
        <f t="shared" si="51"/>
        <v>1335.1284444444443</v>
      </c>
      <c r="V164" s="256">
        <v>111.67</v>
      </c>
      <c r="W164" s="256">
        <v>500</v>
      </c>
      <c r="X164" s="256">
        <v>53.31</v>
      </c>
      <c r="Y164" s="256">
        <v>5.0599999999999996</v>
      </c>
      <c r="Z164" s="256">
        <v>17.5</v>
      </c>
      <c r="AA164" s="256">
        <v>23.65</v>
      </c>
      <c r="AB164" s="256">
        <v>218.1</v>
      </c>
      <c r="AC164" s="189">
        <f t="shared" si="52"/>
        <v>929.29</v>
      </c>
      <c r="AD164" s="259">
        <f t="shared" si="53"/>
        <v>3906.4184444444445</v>
      </c>
    </row>
    <row r="165" spans="1:30" s="160" customFormat="1">
      <c r="A165" s="250">
        <v>160</v>
      </c>
      <c r="B165" s="251" t="s">
        <v>430</v>
      </c>
      <c r="C165" s="252">
        <v>1</v>
      </c>
      <c r="D165" s="253">
        <v>1385</v>
      </c>
      <c r="E165" s="254">
        <f t="shared" si="50"/>
        <v>1385</v>
      </c>
      <c r="F165" s="255">
        <f t="shared" si="54"/>
        <v>491.98277777777787</v>
      </c>
      <c r="G165" s="256">
        <f t="shared" si="55"/>
        <v>17.697222222222223</v>
      </c>
      <c r="H165" s="256">
        <f t="shared" si="56"/>
        <v>141.57777777777778</v>
      </c>
      <c r="I165" s="256">
        <f t="shared" si="57"/>
        <v>70.788888888888891</v>
      </c>
      <c r="J165" s="256">
        <f t="shared" si="58"/>
        <v>115.41666666666667</v>
      </c>
      <c r="K165" s="256">
        <f t="shared" si="59"/>
        <v>115.41666666666667</v>
      </c>
      <c r="L165" s="256">
        <f t="shared" si="60"/>
        <v>38.472222222222221</v>
      </c>
      <c r="M165" s="256">
        <f t="shared" si="61"/>
        <v>115.41666666666667</v>
      </c>
      <c r="N165" s="255">
        <v>0</v>
      </c>
      <c r="O165" s="256">
        <v>0</v>
      </c>
      <c r="P165" s="256">
        <f t="shared" si="66"/>
        <v>16.158333333333331</v>
      </c>
      <c r="Q165" s="256">
        <f t="shared" si="67"/>
        <v>3.231666666666666</v>
      </c>
      <c r="R165" s="256">
        <v>0</v>
      </c>
      <c r="S165" s="257">
        <v>0</v>
      </c>
      <c r="T165" s="256">
        <v>0</v>
      </c>
      <c r="U165" s="258">
        <f t="shared" si="51"/>
        <v>1126.1588888888887</v>
      </c>
      <c r="V165" s="256">
        <v>111.67</v>
      </c>
      <c r="W165" s="256">
        <v>500</v>
      </c>
      <c r="X165" s="256">
        <v>53.31</v>
      </c>
      <c r="Y165" s="256">
        <v>5.0599999999999996</v>
      </c>
      <c r="Z165" s="256">
        <v>17.5</v>
      </c>
      <c r="AA165" s="256">
        <v>23.65</v>
      </c>
      <c r="AB165" s="256">
        <v>218.1</v>
      </c>
      <c r="AC165" s="189">
        <f t="shared" si="52"/>
        <v>929.29</v>
      </c>
      <c r="AD165" s="259">
        <f t="shared" si="53"/>
        <v>3440.4488888888886</v>
      </c>
    </row>
    <row r="166" spans="1:30" s="160" customFormat="1">
      <c r="A166" s="250">
        <v>161</v>
      </c>
      <c r="B166" s="251" t="s">
        <v>431</v>
      </c>
      <c r="C166" s="252">
        <v>1</v>
      </c>
      <c r="D166" s="253">
        <v>1452.39</v>
      </c>
      <c r="E166" s="254">
        <f t="shared" si="50"/>
        <v>1452.39</v>
      </c>
      <c r="F166" s="255">
        <f t="shared" si="54"/>
        <v>515.92120333333344</v>
      </c>
      <c r="G166" s="256">
        <f t="shared" si="55"/>
        <v>18.55831666666667</v>
      </c>
      <c r="H166" s="256">
        <f t="shared" si="56"/>
        <v>148.46653333333336</v>
      </c>
      <c r="I166" s="256">
        <f t="shared" si="57"/>
        <v>74.23326666666668</v>
      </c>
      <c r="J166" s="256">
        <f t="shared" si="58"/>
        <v>121.03250000000001</v>
      </c>
      <c r="K166" s="256">
        <f t="shared" si="59"/>
        <v>121.03250000000001</v>
      </c>
      <c r="L166" s="256">
        <f t="shared" si="60"/>
        <v>40.344166666666673</v>
      </c>
      <c r="M166" s="256">
        <f t="shared" si="61"/>
        <v>121.03250000000001</v>
      </c>
      <c r="N166" s="255">
        <v>0</v>
      </c>
      <c r="O166" s="256">
        <v>0</v>
      </c>
      <c r="P166" s="256">
        <f t="shared" si="66"/>
        <v>16.94455</v>
      </c>
      <c r="Q166" s="256">
        <f t="shared" si="67"/>
        <v>3.3889100000000001</v>
      </c>
      <c r="R166" s="256">
        <v>0</v>
      </c>
      <c r="S166" s="257">
        <v>0</v>
      </c>
      <c r="T166" s="256">
        <v>0</v>
      </c>
      <c r="U166" s="258">
        <f t="shared" si="51"/>
        <v>1180.9544466666669</v>
      </c>
      <c r="V166" s="256">
        <v>111.67</v>
      </c>
      <c r="W166" s="256">
        <v>500</v>
      </c>
      <c r="X166" s="256">
        <v>53.31</v>
      </c>
      <c r="Y166" s="256">
        <v>5.0599999999999996</v>
      </c>
      <c r="Z166" s="256">
        <v>17.5</v>
      </c>
      <c r="AA166" s="256">
        <v>23.65</v>
      </c>
      <c r="AB166" s="256">
        <v>218.1</v>
      </c>
      <c r="AC166" s="189">
        <f t="shared" si="52"/>
        <v>929.29</v>
      </c>
      <c r="AD166" s="259">
        <f t="shared" si="53"/>
        <v>3562.6344466666669</v>
      </c>
    </row>
    <row r="167" spans="1:30" s="160" customFormat="1">
      <c r="A167" s="250">
        <v>162</v>
      </c>
      <c r="B167" s="251" t="s">
        <v>435</v>
      </c>
      <c r="C167" s="252">
        <v>2</v>
      </c>
      <c r="D167" s="253">
        <v>1900</v>
      </c>
      <c r="E167" s="254">
        <f t="shared" si="50"/>
        <v>3800</v>
      </c>
      <c r="F167" s="255">
        <f t="shared" si="54"/>
        <v>1434.9433333333336</v>
      </c>
      <c r="G167" s="256">
        <f t="shared" si="55"/>
        <v>51.616666666666674</v>
      </c>
      <c r="H167" s="256">
        <f t="shared" si="56"/>
        <v>412.93333333333339</v>
      </c>
      <c r="I167" s="256">
        <f t="shared" si="57"/>
        <v>301.4666666666667</v>
      </c>
      <c r="J167" s="256">
        <f t="shared" si="58"/>
        <v>332.5</v>
      </c>
      <c r="K167" s="256">
        <f t="shared" si="59"/>
        <v>332.5</v>
      </c>
      <c r="L167" s="256">
        <f t="shared" si="60"/>
        <v>174.16666666666666</v>
      </c>
      <c r="M167" s="256">
        <f t="shared" si="61"/>
        <v>332.5</v>
      </c>
      <c r="N167" s="255">
        <v>0</v>
      </c>
      <c r="O167" s="256">
        <v>0</v>
      </c>
      <c r="P167" s="256">
        <f>(R167+E167)/210*1.75*1.2</f>
        <v>49.400000000000006</v>
      </c>
      <c r="Q167" s="256">
        <f>P167/6</f>
        <v>8.2333333333333343</v>
      </c>
      <c r="R167" s="256">
        <f>E167*30%</f>
        <v>1140</v>
      </c>
      <c r="S167" s="257">
        <v>190</v>
      </c>
      <c r="T167" s="256">
        <f>(E167+R167+N167+O167)/30*2</f>
        <v>329.33333333333331</v>
      </c>
      <c r="U167" s="258">
        <f t="shared" si="51"/>
        <v>5089.5933333333332</v>
      </c>
      <c r="V167" s="256">
        <v>76.14</v>
      </c>
      <c r="W167" s="256">
        <v>500</v>
      </c>
      <c r="X167" s="256">
        <v>53.31</v>
      </c>
      <c r="Y167" s="256">
        <v>5.0599999999999996</v>
      </c>
      <c r="Z167" s="256">
        <v>17.5</v>
      </c>
      <c r="AA167" s="256">
        <v>23.65</v>
      </c>
      <c r="AB167" s="256">
        <v>218.1</v>
      </c>
      <c r="AC167" s="189">
        <f t="shared" si="52"/>
        <v>893.76</v>
      </c>
      <c r="AD167" s="259">
        <f t="shared" si="53"/>
        <v>9783.3533333333344</v>
      </c>
    </row>
    <row r="168" spans="1:30" s="160" customFormat="1">
      <c r="A168" s="250">
        <v>163</v>
      </c>
      <c r="B168" s="251" t="s">
        <v>432</v>
      </c>
      <c r="C168" s="252">
        <v>12</v>
      </c>
      <c r="D168" s="253">
        <v>1900</v>
      </c>
      <c r="E168" s="254">
        <f t="shared" si="50"/>
        <v>22800</v>
      </c>
      <c r="F168" s="255">
        <f t="shared" si="54"/>
        <v>8099.0666666666666</v>
      </c>
      <c r="G168" s="256">
        <f t="shared" si="55"/>
        <v>291.33333333333331</v>
      </c>
      <c r="H168" s="256">
        <f t="shared" si="56"/>
        <v>2330.6666666666665</v>
      </c>
      <c r="I168" s="256">
        <f t="shared" si="57"/>
        <v>1165.3333333333333</v>
      </c>
      <c r="J168" s="256">
        <f t="shared" si="58"/>
        <v>1900</v>
      </c>
      <c r="K168" s="256">
        <f t="shared" si="59"/>
        <v>1900</v>
      </c>
      <c r="L168" s="256">
        <f t="shared" si="60"/>
        <v>633.33333333333337</v>
      </c>
      <c r="M168" s="256">
        <f t="shared" si="61"/>
        <v>1900</v>
      </c>
      <c r="N168" s="255">
        <v>0</v>
      </c>
      <c r="O168" s="256">
        <v>0</v>
      </c>
      <c r="P168" s="256">
        <f>(R168+E168)/210*1.75*1.2</f>
        <v>296.39999999999998</v>
      </c>
      <c r="Q168" s="256">
        <f>P168/6</f>
        <v>49.4</v>
      </c>
      <c r="R168" s="256">
        <f>E168*30%</f>
        <v>6840</v>
      </c>
      <c r="S168" s="257">
        <v>0</v>
      </c>
      <c r="T168" s="256">
        <f t="shared" ref="T168:T170" si="68">(E168+R168+N168+O168)/30*2</f>
        <v>1976</v>
      </c>
      <c r="U168" s="258">
        <f t="shared" si="51"/>
        <v>27381.533333333336</v>
      </c>
      <c r="V168" s="256">
        <v>76.14</v>
      </c>
      <c r="W168" s="256">
        <v>500</v>
      </c>
      <c r="X168" s="256">
        <v>53.31</v>
      </c>
      <c r="Y168" s="256">
        <v>5.0599999999999996</v>
      </c>
      <c r="Z168" s="256">
        <v>17.5</v>
      </c>
      <c r="AA168" s="256">
        <v>23.65</v>
      </c>
      <c r="AB168" s="256">
        <v>218.1</v>
      </c>
      <c r="AC168" s="189">
        <f t="shared" si="52"/>
        <v>893.76</v>
      </c>
      <c r="AD168" s="259">
        <f t="shared" si="53"/>
        <v>51075.293333333342</v>
      </c>
    </row>
    <row r="169" spans="1:30" s="160" customFormat="1">
      <c r="A169" s="250">
        <v>164</v>
      </c>
      <c r="B169" s="251" t="s">
        <v>433</v>
      </c>
      <c r="C169" s="252">
        <v>2</v>
      </c>
      <c r="D169" s="253">
        <v>1900</v>
      </c>
      <c r="E169" s="254">
        <f t="shared" si="50"/>
        <v>3800</v>
      </c>
      <c r="F169" s="255">
        <f t="shared" si="54"/>
        <v>1434.9433333333336</v>
      </c>
      <c r="G169" s="256">
        <f t="shared" si="55"/>
        <v>51.616666666666674</v>
      </c>
      <c r="H169" s="256">
        <f t="shared" si="56"/>
        <v>412.93333333333339</v>
      </c>
      <c r="I169" s="256">
        <f t="shared" si="57"/>
        <v>301.4666666666667</v>
      </c>
      <c r="J169" s="256">
        <f t="shared" si="58"/>
        <v>332.5</v>
      </c>
      <c r="K169" s="256">
        <f t="shared" si="59"/>
        <v>332.5</v>
      </c>
      <c r="L169" s="256">
        <f t="shared" si="60"/>
        <v>174.16666666666666</v>
      </c>
      <c r="M169" s="256">
        <f t="shared" si="61"/>
        <v>332.5</v>
      </c>
      <c r="N169" s="255">
        <f>(R169+E169)/210*20%*160</f>
        <v>752.76190476190482</v>
      </c>
      <c r="O169" s="256">
        <f>N169/6</f>
        <v>125.46031746031747</v>
      </c>
      <c r="P169" s="256">
        <f>(R169+E169)/210*1.75*1.2</f>
        <v>49.400000000000006</v>
      </c>
      <c r="Q169" s="256">
        <f>P169/6</f>
        <v>8.2333333333333343</v>
      </c>
      <c r="R169" s="256">
        <f>E169*30%</f>
        <v>1140</v>
      </c>
      <c r="S169" s="257">
        <v>190</v>
      </c>
      <c r="T169" s="256">
        <f t="shared" si="68"/>
        <v>387.88148148148144</v>
      </c>
      <c r="U169" s="258">
        <f t="shared" si="51"/>
        <v>6026.3637037037033</v>
      </c>
      <c r="V169" s="256">
        <v>76.14</v>
      </c>
      <c r="W169" s="256">
        <v>500</v>
      </c>
      <c r="X169" s="256">
        <v>53.31</v>
      </c>
      <c r="Y169" s="256">
        <v>5.0599999999999996</v>
      </c>
      <c r="Z169" s="256">
        <v>17.5</v>
      </c>
      <c r="AA169" s="256">
        <v>23.65</v>
      </c>
      <c r="AB169" s="256">
        <v>218.1</v>
      </c>
      <c r="AC169" s="189">
        <f t="shared" si="52"/>
        <v>893.76</v>
      </c>
      <c r="AD169" s="259">
        <f t="shared" si="53"/>
        <v>10720.123703703704</v>
      </c>
    </row>
    <row r="170" spans="1:30" s="160" customFormat="1">
      <c r="A170" s="250">
        <v>165</v>
      </c>
      <c r="B170" s="251" t="s">
        <v>434</v>
      </c>
      <c r="C170" s="252">
        <v>6</v>
      </c>
      <c r="D170" s="253">
        <v>1900</v>
      </c>
      <c r="E170" s="254">
        <f t="shared" si="50"/>
        <v>11400</v>
      </c>
      <c r="F170" s="255">
        <f t="shared" si="54"/>
        <v>4049.5333333333333</v>
      </c>
      <c r="G170" s="256">
        <f t="shared" si="55"/>
        <v>145.66666666666666</v>
      </c>
      <c r="H170" s="256">
        <f t="shared" si="56"/>
        <v>1165.3333333333333</v>
      </c>
      <c r="I170" s="256">
        <f t="shared" si="57"/>
        <v>582.66666666666663</v>
      </c>
      <c r="J170" s="256">
        <f t="shared" si="58"/>
        <v>950</v>
      </c>
      <c r="K170" s="256">
        <f t="shared" si="59"/>
        <v>950</v>
      </c>
      <c r="L170" s="256">
        <f t="shared" si="60"/>
        <v>316.66666666666669</v>
      </c>
      <c r="M170" s="256">
        <f t="shared" si="61"/>
        <v>950</v>
      </c>
      <c r="N170" s="255">
        <f>(R170+E170)/210*20%*160</f>
        <v>2258.2857142857142</v>
      </c>
      <c r="O170" s="256">
        <f>N170/6</f>
        <v>376.38095238095235</v>
      </c>
      <c r="P170" s="256">
        <f>(R170+E170)/210*1.75*1.2</f>
        <v>148.19999999999999</v>
      </c>
      <c r="Q170" s="256">
        <f>P170/6</f>
        <v>24.7</v>
      </c>
      <c r="R170" s="256">
        <f>E170*30%</f>
        <v>3420</v>
      </c>
      <c r="S170" s="257">
        <v>0</v>
      </c>
      <c r="T170" s="256">
        <f t="shared" si="68"/>
        <v>1163.6444444444446</v>
      </c>
      <c r="U170" s="258">
        <f t="shared" si="51"/>
        <v>16501.07777777778</v>
      </c>
      <c r="V170" s="256">
        <v>76.14</v>
      </c>
      <c r="W170" s="256">
        <v>500</v>
      </c>
      <c r="X170" s="256">
        <v>53.31</v>
      </c>
      <c r="Y170" s="256">
        <v>5.0599999999999996</v>
      </c>
      <c r="Z170" s="256">
        <v>17.5</v>
      </c>
      <c r="AA170" s="256">
        <v>23.65</v>
      </c>
      <c r="AB170" s="256">
        <v>218.1</v>
      </c>
      <c r="AC170" s="189">
        <f t="shared" si="52"/>
        <v>893.76</v>
      </c>
      <c r="AD170" s="259">
        <f t="shared" si="53"/>
        <v>28794.837777777779</v>
      </c>
    </row>
    <row r="171" spans="1:30" s="160" customFormat="1">
      <c r="A171" s="250">
        <v>166</v>
      </c>
      <c r="B171" s="251" t="s">
        <v>461</v>
      </c>
      <c r="C171" s="252">
        <v>1</v>
      </c>
      <c r="D171" s="253">
        <v>6500</v>
      </c>
      <c r="E171" s="254">
        <f t="shared" si="50"/>
        <v>6500</v>
      </c>
      <c r="F171" s="255">
        <f t="shared" si="54"/>
        <v>2308.9444444444448</v>
      </c>
      <c r="G171" s="256">
        <f t="shared" si="55"/>
        <v>83.055555555555571</v>
      </c>
      <c r="H171" s="256">
        <f t="shared" si="56"/>
        <v>664.44444444444457</v>
      </c>
      <c r="I171" s="256">
        <f t="shared" si="57"/>
        <v>332.22222222222229</v>
      </c>
      <c r="J171" s="256">
        <f t="shared" si="58"/>
        <v>541.66666666666663</v>
      </c>
      <c r="K171" s="256">
        <f t="shared" si="59"/>
        <v>541.66666666666663</v>
      </c>
      <c r="L171" s="256">
        <f t="shared" si="60"/>
        <v>180.55555555555554</v>
      </c>
      <c r="M171" s="256">
        <f t="shared" si="61"/>
        <v>541.66666666666663</v>
      </c>
      <c r="N171" s="255">
        <v>0</v>
      </c>
      <c r="O171" s="256">
        <v>0</v>
      </c>
      <c r="P171" s="256">
        <v>0</v>
      </c>
      <c r="Q171" s="256">
        <v>0</v>
      </c>
      <c r="R171" s="256">
        <v>0</v>
      </c>
      <c r="S171" s="257">
        <v>0</v>
      </c>
      <c r="T171" s="256">
        <v>0</v>
      </c>
      <c r="U171" s="258">
        <f t="shared" si="51"/>
        <v>5194.2222222222235</v>
      </c>
      <c r="V171" s="256">
        <v>0</v>
      </c>
      <c r="W171" s="256">
        <v>500</v>
      </c>
      <c r="X171" s="256">
        <v>53.31</v>
      </c>
      <c r="Y171" s="256">
        <v>5.0599999999999996</v>
      </c>
      <c r="Z171" s="256">
        <v>17.5</v>
      </c>
      <c r="AA171" s="256">
        <v>23.65</v>
      </c>
      <c r="AB171" s="256">
        <v>218.1</v>
      </c>
      <c r="AC171" s="189">
        <f t="shared" si="52"/>
        <v>817.61999999999989</v>
      </c>
      <c r="AD171" s="259">
        <f t="shared" si="53"/>
        <v>12511.842222222222</v>
      </c>
    </row>
    <row r="172" spans="1:30" s="160" customFormat="1">
      <c r="A172" s="250">
        <v>167</v>
      </c>
      <c r="B172" s="251" t="s">
        <v>422</v>
      </c>
      <c r="C172" s="252">
        <v>1</v>
      </c>
      <c r="D172" s="253">
        <v>3773.6</v>
      </c>
      <c r="E172" s="254">
        <f t="shared" si="50"/>
        <v>3773.6</v>
      </c>
      <c r="F172" s="255">
        <f t="shared" si="54"/>
        <v>1340.4665777777775</v>
      </c>
      <c r="G172" s="256">
        <f t="shared" si="55"/>
        <v>48.218222222222209</v>
      </c>
      <c r="H172" s="256">
        <f t="shared" si="56"/>
        <v>385.74577777777768</v>
      </c>
      <c r="I172" s="256">
        <f t="shared" si="57"/>
        <v>192.87288888888884</v>
      </c>
      <c r="J172" s="256">
        <f t="shared" si="58"/>
        <v>314.46666666666664</v>
      </c>
      <c r="K172" s="256">
        <f t="shared" si="59"/>
        <v>314.46666666666664</v>
      </c>
      <c r="L172" s="256">
        <f t="shared" si="60"/>
        <v>104.82222222222221</v>
      </c>
      <c r="M172" s="256">
        <f t="shared" si="61"/>
        <v>314.46666666666664</v>
      </c>
      <c r="N172" s="255">
        <v>0</v>
      </c>
      <c r="O172" s="256">
        <v>0</v>
      </c>
      <c r="P172" s="256">
        <v>0</v>
      </c>
      <c r="Q172" s="256">
        <v>0</v>
      </c>
      <c r="R172" s="256">
        <f>E172*30%</f>
        <v>1132.08</v>
      </c>
      <c r="S172" s="257">
        <v>0</v>
      </c>
      <c r="T172" s="256">
        <v>0</v>
      </c>
      <c r="U172" s="258">
        <f t="shared" si="51"/>
        <v>4147.6056888888888</v>
      </c>
      <c r="V172" s="256">
        <v>0</v>
      </c>
      <c r="W172" s="256">
        <v>500</v>
      </c>
      <c r="X172" s="256">
        <v>53.31</v>
      </c>
      <c r="Y172" s="256">
        <v>5.0599999999999996</v>
      </c>
      <c r="Z172" s="256">
        <v>17.5</v>
      </c>
      <c r="AA172" s="256">
        <v>23.65</v>
      </c>
      <c r="AB172" s="256">
        <v>218.1</v>
      </c>
      <c r="AC172" s="189">
        <f t="shared" si="52"/>
        <v>817.61999999999989</v>
      </c>
      <c r="AD172" s="259">
        <f t="shared" si="53"/>
        <v>8738.82568888889</v>
      </c>
    </row>
    <row r="173" spans="1:30" s="160" customFormat="1">
      <c r="A173" s="250">
        <v>168</v>
      </c>
      <c r="B173" s="251" t="s">
        <v>423</v>
      </c>
      <c r="C173" s="252">
        <v>1</v>
      </c>
      <c r="D173" s="253">
        <v>2600</v>
      </c>
      <c r="E173" s="254">
        <f t="shared" si="50"/>
        <v>2600</v>
      </c>
      <c r="F173" s="255">
        <f t="shared" si="54"/>
        <v>923.57777777777767</v>
      </c>
      <c r="G173" s="256">
        <f t="shared" si="55"/>
        <v>33.222222222222214</v>
      </c>
      <c r="H173" s="256">
        <f t="shared" si="56"/>
        <v>265.77777777777771</v>
      </c>
      <c r="I173" s="256">
        <f t="shared" si="57"/>
        <v>132.88888888888886</v>
      </c>
      <c r="J173" s="256">
        <f t="shared" si="58"/>
        <v>216.66666666666666</v>
      </c>
      <c r="K173" s="256">
        <f t="shared" si="59"/>
        <v>216.66666666666666</v>
      </c>
      <c r="L173" s="256">
        <f t="shared" si="60"/>
        <v>72.222222222222214</v>
      </c>
      <c r="M173" s="256">
        <f t="shared" si="61"/>
        <v>216.66666666666666</v>
      </c>
      <c r="N173" s="255">
        <v>0</v>
      </c>
      <c r="O173" s="256">
        <v>0</v>
      </c>
      <c r="P173" s="256">
        <f>E173/150*1.75</f>
        <v>30.333333333333332</v>
      </c>
      <c r="Q173" s="256">
        <f>P173/25*5</f>
        <v>6.0666666666666664</v>
      </c>
      <c r="R173" s="256">
        <v>0</v>
      </c>
      <c r="S173" s="257">
        <v>0</v>
      </c>
      <c r="T173" s="256">
        <v>0</v>
      </c>
      <c r="U173" s="258">
        <f t="shared" si="51"/>
        <v>2114.088888888889</v>
      </c>
      <c r="V173" s="256">
        <v>136.49</v>
      </c>
      <c r="W173" s="256">
        <v>500</v>
      </c>
      <c r="X173" s="256">
        <v>53.31</v>
      </c>
      <c r="Y173" s="256">
        <v>5.0599999999999996</v>
      </c>
      <c r="Z173" s="256">
        <v>17.5</v>
      </c>
      <c r="AA173" s="256">
        <v>23.65</v>
      </c>
      <c r="AB173" s="256">
        <v>218.1</v>
      </c>
      <c r="AC173" s="189">
        <f t="shared" si="52"/>
        <v>954.1099999999999</v>
      </c>
      <c r="AD173" s="259">
        <f t="shared" si="53"/>
        <v>5668.1988888888891</v>
      </c>
    </row>
    <row r="174" spans="1:30" s="160" customFormat="1">
      <c r="A174" s="250">
        <v>169</v>
      </c>
      <c r="B174" s="251" t="s">
        <v>424</v>
      </c>
      <c r="C174" s="252">
        <v>1</v>
      </c>
      <c r="D174" s="253">
        <v>2600</v>
      </c>
      <c r="E174" s="254">
        <f t="shared" si="50"/>
        <v>2600</v>
      </c>
      <c r="F174" s="255">
        <f t="shared" si="54"/>
        <v>923.57777777777767</v>
      </c>
      <c r="G174" s="256">
        <f t="shared" si="55"/>
        <v>33.222222222222214</v>
      </c>
      <c r="H174" s="256">
        <f t="shared" si="56"/>
        <v>265.77777777777771</v>
      </c>
      <c r="I174" s="256">
        <f t="shared" si="57"/>
        <v>132.88888888888886</v>
      </c>
      <c r="J174" s="256">
        <f t="shared" si="58"/>
        <v>216.66666666666666</v>
      </c>
      <c r="K174" s="256">
        <f t="shared" si="59"/>
        <v>216.66666666666666</v>
      </c>
      <c r="L174" s="256">
        <f t="shared" si="60"/>
        <v>72.222222222222214</v>
      </c>
      <c r="M174" s="256">
        <f t="shared" si="61"/>
        <v>216.66666666666666</v>
      </c>
      <c r="N174" s="255">
        <v>0</v>
      </c>
      <c r="O174" s="256">
        <v>0</v>
      </c>
      <c r="P174" s="256">
        <f t="shared" ref="P174:P181" si="69">E174/150*1.75</f>
        <v>30.333333333333332</v>
      </c>
      <c r="Q174" s="256">
        <f t="shared" ref="Q174:Q181" si="70">P174/25*5</f>
        <v>6.0666666666666664</v>
      </c>
      <c r="R174" s="256">
        <v>0</v>
      </c>
      <c r="S174" s="257">
        <v>0</v>
      </c>
      <c r="T174" s="256">
        <v>0</v>
      </c>
      <c r="U174" s="258">
        <f t="shared" si="51"/>
        <v>2114.088888888889</v>
      </c>
      <c r="V174" s="256">
        <v>136.49</v>
      </c>
      <c r="W174" s="256">
        <v>500</v>
      </c>
      <c r="X174" s="256">
        <v>53.31</v>
      </c>
      <c r="Y174" s="256">
        <v>5.0599999999999996</v>
      </c>
      <c r="Z174" s="256">
        <v>17.5</v>
      </c>
      <c r="AA174" s="256">
        <v>23.65</v>
      </c>
      <c r="AB174" s="256">
        <v>218.1</v>
      </c>
      <c r="AC174" s="189">
        <f t="shared" si="52"/>
        <v>954.1099999999999</v>
      </c>
      <c r="AD174" s="259">
        <f t="shared" si="53"/>
        <v>5668.1988888888891</v>
      </c>
    </row>
    <row r="175" spans="1:30" s="160" customFormat="1">
      <c r="A175" s="250">
        <v>170</v>
      </c>
      <c r="B175" s="251" t="s">
        <v>425</v>
      </c>
      <c r="C175" s="252">
        <v>1</v>
      </c>
      <c r="D175" s="253">
        <v>2600</v>
      </c>
      <c r="E175" s="254">
        <f t="shared" si="50"/>
        <v>2600</v>
      </c>
      <c r="F175" s="255">
        <f t="shared" si="54"/>
        <v>923.57777777777767</v>
      </c>
      <c r="G175" s="256">
        <f t="shared" si="55"/>
        <v>33.222222222222214</v>
      </c>
      <c r="H175" s="256">
        <f t="shared" si="56"/>
        <v>265.77777777777771</v>
      </c>
      <c r="I175" s="256">
        <f t="shared" si="57"/>
        <v>132.88888888888886</v>
      </c>
      <c r="J175" s="256">
        <f t="shared" si="58"/>
        <v>216.66666666666666</v>
      </c>
      <c r="K175" s="256">
        <f t="shared" si="59"/>
        <v>216.66666666666666</v>
      </c>
      <c r="L175" s="256">
        <f t="shared" si="60"/>
        <v>72.222222222222214</v>
      </c>
      <c r="M175" s="256">
        <f t="shared" si="61"/>
        <v>216.66666666666666</v>
      </c>
      <c r="N175" s="255">
        <v>0</v>
      </c>
      <c r="O175" s="256">
        <v>0</v>
      </c>
      <c r="P175" s="256">
        <f t="shared" si="69"/>
        <v>30.333333333333332</v>
      </c>
      <c r="Q175" s="256">
        <f t="shared" si="70"/>
        <v>6.0666666666666664</v>
      </c>
      <c r="R175" s="256">
        <v>0</v>
      </c>
      <c r="S175" s="257">
        <v>0</v>
      </c>
      <c r="T175" s="256">
        <v>0</v>
      </c>
      <c r="U175" s="258">
        <f t="shared" si="51"/>
        <v>2114.088888888889</v>
      </c>
      <c r="V175" s="256">
        <v>136.49</v>
      </c>
      <c r="W175" s="256">
        <v>500</v>
      </c>
      <c r="X175" s="256">
        <v>53.31</v>
      </c>
      <c r="Y175" s="256">
        <v>5.0599999999999996</v>
      </c>
      <c r="Z175" s="256">
        <v>17.5</v>
      </c>
      <c r="AA175" s="256">
        <v>23.65</v>
      </c>
      <c r="AB175" s="256">
        <v>218.1</v>
      </c>
      <c r="AC175" s="189">
        <f t="shared" si="52"/>
        <v>954.1099999999999</v>
      </c>
      <c r="AD175" s="259">
        <f t="shared" si="53"/>
        <v>5668.1988888888891</v>
      </c>
    </row>
    <row r="176" spans="1:30" s="160" customFormat="1">
      <c r="A176" s="250">
        <v>171</v>
      </c>
      <c r="B176" s="251" t="s">
        <v>426</v>
      </c>
      <c r="C176" s="252">
        <v>1</v>
      </c>
      <c r="D176" s="253">
        <v>2600</v>
      </c>
      <c r="E176" s="254">
        <f t="shared" si="50"/>
        <v>2600</v>
      </c>
      <c r="F176" s="255">
        <f t="shared" si="54"/>
        <v>923.57777777777767</v>
      </c>
      <c r="G176" s="256">
        <f t="shared" si="55"/>
        <v>33.222222222222214</v>
      </c>
      <c r="H176" s="256">
        <f t="shared" si="56"/>
        <v>265.77777777777771</v>
      </c>
      <c r="I176" s="256">
        <f t="shared" si="57"/>
        <v>132.88888888888886</v>
      </c>
      <c r="J176" s="256">
        <f t="shared" si="58"/>
        <v>216.66666666666666</v>
      </c>
      <c r="K176" s="256">
        <f t="shared" si="59"/>
        <v>216.66666666666666</v>
      </c>
      <c r="L176" s="256">
        <f t="shared" si="60"/>
        <v>72.222222222222214</v>
      </c>
      <c r="M176" s="256">
        <f t="shared" si="61"/>
        <v>216.66666666666666</v>
      </c>
      <c r="N176" s="255">
        <v>0</v>
      </c>
      <c r="O176" s="256">
        <v>0</v>
      </c>
      <c r="P176" s="256">
        <f t="shared" si="69"/>
        <v>30.333333333333332</v>
      </c>
      <c r="Q176" s="256">
        <f t="shared" si="70"/>
        <v>6.0666666666666664</v>
      </c>
      <c r="R176" s="256">
        <v>0</v>
      </c>
      <c r="S176" s="257">
        <v>0</v>
      </c>
      <c r="T176" s="256">
        <v>0</v>
      </c>
      <c r="U176" s="258">
        <f t="shared" si="51"/>
        <v>2114.088888888889</v>
      </c>
      <c r="V176" s="256">
        <v>136.49</v>
      </c>
      <c r="W176" s="256">
        <v>500</v>
      </c>
      <c r="X176" s="256">
        <v>53.31</v>
      </c>
      <c r="Y176" s="256">
        <v>5.0599999999999996</v>
      </c>
      <c r="Z176" s="256">
        <v>17.5</v>
      </c>
      <c r="AA176" s="256">
        <v>23.65</v>
      </c>
      <c r="AB176" s="256">
        <v>218.1</v>
      </c>
      <c r="AC176" s="189">
        <f t="shared" si="52"/>
        <v>954.1099999999999</v>
      </c>
      <c r="AD176" s="259">
        <f t="shared" si="53"/>
        <v>5668.1988888888891</v>
      </c>
    </row>
    <row r="177" spans="1:30" s="160" customFormat="1">
      <c r="A177" s="250">
        <v>172</v>
      </c>
      <c r="B177" s="251" t="s">
        <v>427</v>
      </c>
      <c r="C177" s="252">
        <v>1</v>
      </c>
      <c r="D177" s="253">
        <v>2600</v>
      </c>
      <c r="E177" s="254">
        <f t="shared" si="50"/>
        <v>2600</v>
      </c>
      <c r="F177" s="255">
        <f t="shared" si="54"/>
        <v>923.57777777777767</v>
      </c>
      <c r="G177" s="256">
        <f t="shared" si="55"/>
        <v>33.222222222222214</v>
      </c>
      <c r="H177" s="256">
        <f t="shared" si="56"/>
        <v>265.77777777777771</v>
      </c>
      <c r="I177" s="256">
        <f t="shared" si="57"/>
        <v>132.88888888888886</v>
      </c>
      <c r="J177" s="256">
        <f t="shared" si="58"/>
        <v>216.66666666666666</v>
      </c>
      <c r="K177" s="256">
        <f t="shared" si="59"/>
        <v>216.66666666666666</v>
      </c>
      <c r="L177" s="256">
        <f t="shared" si="60"/>
        <v>72.222222222222214</v>
      </c>
      <c r="M177" s="256">
        <f t="shared" si="61"/>
        <v>216.66666666666666</v>
      </c>
      <c r="N177" s="255">
        <v>0</v>
      </c>
      <c r="O177" s="256">
        <v>0</v>
      </c>
      <c r="P177" s="256">
        <f t="shared" si="69"/>
        <v>30.333333333333332</v>
      </c>
      <c r="Q177" s="256">
        <f t="shared" si="70"/>
        <v>6.0666666666666664</v>
      </c>
      <c r="R177" s="256">
        <v>0</v>
      </c>
      <c r="S177" s="257">
        <v>0</v>
      </c>
      <c r="T177" s="256">
        <v>0</v>
      </c>
      <c r="U177" s="258">
        <f t="shared" si="51"/>
        <v>2114.088888888889</v>
      </c>
      <c r="V177" s="256">
        <v>136.49</v>
      </c>
      <c r="W177" s="256">
        <v>500</v>
      </c>
      <c r="X177" s="256">
        <v>53.31</v>
      </c>
      <c r="Y177" s="256">
        <v>5.0599999999999996</v>
      </c>
      <c r="Z177" s="256">
        <v>17.5</v>
      </c>
      <c r="AA177" s="256">
        <v>23.65</v>
      </c>
      <c r="AB177" s="256">
        <v>218.1</v>
      </c>
      <c r="AC177" s="189">
        <f t="shared" si="52"/>
        <v>954.1099999999999</v>
      </c>
      <c r="AD177" s="259">
        <f t="shared" si="53"/>
        <v>5668.1988888888891</v>
      </c>
    </row>
    <row r="178" spans="1:30" s="160" customFormat="1">
      <c r="A178" s="250">
        <v>173</v>
      </c>
      <c r="B178" s="251" t="s">
        <v>428</v>
      </c>
      <c r="C178" s="252">
        <v>1</v>
      </c>
      <c r="D178" s="253">
        <v>1750</v>
      </c>
      <c r="E178" s="254">
        <f t="shared" si="50"/>
        <v>1750</v>
      </c>
      <c r="F178" s="255">
        <f t="shared" si="54"/>
        <v>621.63888888888903</v>
      </c>
      <c r="G178" s="256">
        <f t="shared" si="55"/>
        <v>22.361111111111114</v>
      </c>
      <c r="H178" s="256">
        <f t="shared" si="56"/>
        <v>178.88888888888891</v>
      </c>
      <c r="I178" s="256">
        <f t="shared" si="57"/>
        <v>89.444444444444457</v>
      </c>
      <c r="J178" s="256">
        <f t="shared" si="58"/>
        <v>145.83333333333334</v>
      </c>
      <c r="K178" s="256">
        <f t="shared" si="59"/>
        <v>145.83333333333334</v>
      </c>
      <c r="L178" s="256">
        <f t="shared" si="60"/>
        <v>48.611111111111114</v>
      </c>
      <c r="M178" s="256">
        <f t="shared" si="61"/>
        <v>145.83333333333334</v>
      </c>
      <c r="N178" s="255">
        <v>0</v>
      </c>
      <c r="O178" s="256">
        <v>0</v>
      </c>
      <c r="P178" s="256">
        <f t="shared" si="69"/>
        <v>20.416666666666664</v>
      </c>
      <c r="Q178" s="256">
        <f t="shared" si="70"/>
        <v>4.083333333333333</v>
      </c>
      <c r="R178" s="256">
        <v>0</v>
      </c>
      <c r="S178" s="257">
        <v>0</v>
      </c>
      <c r="T178" s="256">
        <v>0</v>
      </c>
      <c r="U178" s="258">
        <f t="shared" si="51"/>
        <v>1422.9444444444443</v>
      </c>
      <c r="V178" s="256">
        <v>136.49</v>
      </c>
      <c r="W178" s="256">
        <v>500</v>
      </c>
      <c r="X178" s="256">
        <v>53.31</v>
      </c>
      <c r="Y178" s="256">
        <v>5.0599999999999996</v>
      </c>
      <c r="Z178" s="256">
        <v>17.5</v>
      </c>
      <c r="AA178" s="256">
        <v>23.65</v>
      </c>
      <c r="AB178" s="256">
        <v>218.1</v>
      </c>
      <c r="AC178" s="189">
        <f t="shared" si="52"/>
        <v>954.1099999999999</v>
      </c>
      <c r="AD178" s="259">
        <f t="shared" si="53"/>
        <v>4127.054444444444</v>
      </c>
    </row>
    <row r="179" spans="1:30" s="160" customFormat="1">
      <c r="A179" s="250">
        <v>174</v>
      </c>
      <c r="B179" s="251" t="s">
        <v>429</v>
      </c>
      <c r="C179" s="252">
        <v>1</v>
      </c>
      <c r="D179" s="253">
        <v>1642</v>
      </c>
      <c r="E179" s="254">
        <f t="shared" si="50"/>
        <v>1642</v>
      </c>
      <c r="F179" s="255">
        <f t="shared" si="54"/>
        <v>583.27488888888888</v>
      </c>
      <c r="G179" s="256">
        <f t="shared" si="55"/>
        <v>20.981111111111108</v>
      </c>
      <c r="H179" s="256">
        <f t="shared" si="56"/>
        <v>167.84888888888887</v>
      </c>
      <c r="I179" s="256">
        <f t="shared" si="57"/>
        <v>83.924444444444433</v>
      </c>
      <c r="J179" s="256">
        <f t="shared" si="58"/>
        <v>136.83333333333334</v>
      </c>
      <c r="K179" s="256">
        <f t="shared" si="59"/>
        <v>136.83333333333334</v>
      </c>
      <c r="L179" s="256">
        <f t="shared" si="60"/>
        <v>45.611111111111114</v>
      </c>
      <c r="M179" s="256">
        <f t="shared" si="61"/>
        <v>136.83333333333334</v>
      </c>
      <c r="N179" s="255">
        <v>0</v>
      </c>
      <c r="O179" s="256">
        <v>0</v>
      </c>
      <c r="P179" s="256">
        <f t="shared" si="69"/>
        <v>19.156666666666666</v>
      </c>
      <c r="Q179" s="256">
        <f t="shared" si="70"/>
        <v>3.8313333333333333</v>
      </c>
      <c r="R179" s="256">
        <v>0</v>
      </c>
      <c r="S179" s="257">
        <v>0</v>
      </c>
      <c r="T179" s="256">
        <v>0</v>
      </c>
      <c r="U179" s="258">
        <f t="shared" si="51"/>
        <v>1335.1284444444443</v>
      </c>
      <c r="V179" s="256">
        <v>136.49</v>
      </c>
      <c r="W179" s="256">
        <v>500</v>
      </c>
      <c r="X179" s="256">
        <v>53.31</v>
      </c>
      <c r="Y179" s="256">
        <v>5.0599999999999996</v>
      </c>
      <c r="Z179" s="256">
        <v>17.5</v>
      </c>
      <c r="AA179" s="256">
        <v>23.65</v>
      </c>
      <c r="AB179" s="256">
        <v>218.1</v>
      </c>
      <c r="AC179" s="189">
        <f t="shared" si="52"/>
        <v>954.1099999999999</v>
      </c>
      <c r="AD179" s="259">
        <f t="shared" si="53"/>
        <v>3931.2384444444442</v>
      </c>
    </row>
    <row r="180" spans="1:30" s="160" customFormat="1">
      <c r="A180" s="250">
        <v>175</v>
      </c>
      <c r="B180" s="251" t="s">
        <v>430</v>
      </c>
      <c r="C180" s="252">
        <v>1</v>
      </c>
      <c r="D180" s="253">
        <v>1385</v>
      </c>
      <c r="E180" s="254">
        <f t="shared" si="50"/>
        <v>1385</v>
      </c>
      <c r="F180" s="255">
        <f t="shared" si="54"/>
        <v>491.98277777777787</v>
      </c>
      <c r="G180" s="256">
        <f t="shared" si="55"/>
        <v>17.697222222222223</v>
      </c>
      <c r="H180" s="256">
        <f t="shared" si="56"/>
        <v>141.57777777777778</v>
      </c>
      <c r="I180" s="256">
        <f t="shared" si="57"/>
        <v>70.788888888888891</v>
      </c>
      <c r="J180" s="256">
        <f t="shared" si="58"/>
        <v>115.41666666666667</v>
      </c>
      <c r="K180" s="256">
        <f t="shared" si="59"/>
        <v>115.41666666666667</v>
      </c>
      <c r="L180" s="256">
        <f t="shared" si="60"/>
        <v>38.472222222222221</v>
      </c>
      <c r="M180" s="256">
        <f t="shared" si="61"/>
        <v>115.41666666666667</v>
      </c>
      <c r="N180" s="255">
        <v>0</v>
      </c>
      <c r="O180" s="256">
        <v>0</v>
      </c>
      <c r="P180" s="256">
        <f t="shared" si="69"/>
        <v>16.158333333333331</v>
      </c>
      <c r="Q180" s="256">
        <f t="shared" si="70"/>
        <v>3.231666666666666</v>
      </c>
      <c r="R180" s="256">
        <v>0</v>
      </c>
      <c r="S180" s="257">
        <v>0</v>
      </c>
      <c r="T180" s="256">
        <v>0</v>
      </c>
      <c r="U180" s="258">
        <f t="shared" si="51"/>
        <v>1126.1588888888887</v>
      </c>
      <c r="V180" s="256">
        <v>136.49</v>
      </c>
      <c r="W180" s="256">
        <v>500</v>
      </c>
      <c r="X180" s="256">
        <v>53.31</v>
      </c>
      <c r="Y180" s="256">
        <v>5.0599999999999996</v>
      </c>
      <c r="Z180" s="256">
        <v>17.5</v>
      </c>
      <c r="AA180" s="256">
        <v>23.65</v>
      </c>
      <c r="AB180" s="256">
        <v>218.1</v>
      </c>
      <c r="AC180" s="189">
        <f t="shared" si="52"/>
        <v>954.1099999999999</v>
      </c>
      <c r="AD180" s="259">
        <f t="shared" si="53"/>
        <v>3465.2688888888888</v>
      </c>
    </row>
    <row r="181" spans="1:30" s="160" customFormat="1">
      <c r="A181" s="250">
        <v>176</v>
      </c>
      <c r="B181" s="251" t="s">
        <v>431</v>
      </c>
      <c r="C181" s="252">
        <v>1</v>
      </c>
      <c r="D181" s="253">
        <v>1452.39</v>
      </c>
      <c r="E181" s="254">
        <f t="shared" si="50"/>
        <v>1452.39</v>
      </c>
      <c r="F181" s="255">
        <f t="shared" si="54"/>
        <v>515.92120333333344</v>
      </c>
      <c r="G181" s="256">
        <f t="shared" si="55"/>
        <v>18.55831666666667</v>
      </c>
      <c r="H181" s="256">
        <f t="shared" si="56"/>
        <v>148.46653333333336</v>
      </c>
      <c r="I181" s="256">
        <f t="shared" si="57"/>
        <v>74.23326666666668</v>
      </c>
      <c r="J181" s="256">
        <f t="shared" si="58"/>
        <v>121.03250000000001</v>
      </c>
      <c r="K181" s="256">
        <f t="shared" si="59"/>
        <v>121.03250000000001</v>
      </c>
      <c r="L181" s="256">
        <f t="shared" si="60"/>
        <v>40.344166666666673</v>
      </c>
      <c r="M181" s="256">
        <f t="shared" si="61"/>
        <v>121.03250000000001</v>
      </c>
      <c r="N181" s="255">
        <v>0</v>
      </c>
      <c r="O181" s="256">
        <v>0</v>
      </c>
      <c r="P181" s="256">
        <f t="shared" si="69"/>
        <v>16.94455</v>
      </c>
      <c r="Q181" s="256">
        <f t="shared" si="70"/>
        <v>3.3889100000000001</v>
      </c>
      <c r="R181" s="256">
        <v>0</v>
      </c>
      <c r="S181" s="257">
        <v>0</v>
      </c>
      <c r="T181" s="256">
        <v>0</v>
      </c>
      <c r="U181" s="258">
        <f t="shared" si="51"/>
        <v>1180.9544466666669</v>
      </c>
      <c r="V181" s="256">
        <v>136.49</v>
      </c>
      <c r="W181" s="256">
        <v>500</v>
      </c>
      <c r="X181" s="256">
        <v>53.31</v>
      </c>
      <c r="Y181" s="256">
        <v>5.0599999999999996</v>
      </c>
      <c r="Z181" s="256">
        <v>17.5</v>
      </c>
      <c r="AA181" s="256">
        <v>23.65</v>
      </c>
      <c r="AB181" s="256">
        <v>218.1</v>
      </c>
      <c r="AC181" s="189">
        <f t="shared" si="52"/>
        <v>954.1099999999999</v>
      </c>
      <c r="AD181" s="259">
        <f t="shared" si="53"/>
        <v>3587.4544466666666</v>
      </c>
    </row>
    <row r="182" spans="1:30" s="160" customFormat="1">
      <c r="A182" s="250">
        <v>177</v>
      </c>
      <c r="B182" s="251" t="s">
        <v>435</v>
      </c>
      <c r="C182" s="252">
        <v>2</v>
      </c>
      <c r="D182" s="253">
        <v>1900</v>
      </c>
      <c r="E182" s="254">
        <f t="shared" si="50"/>
        <v>3800</v>
      </c>
      <c r="F182" s="255">
        <f t="shared" si="54"/>
        <v>1434.9433333333336</v>
      </c>
      <c r="G182" s="256">
        <f t="shared" si="55"/>
        <v>51.616666666666674</v>
      </c>
      <c r="H182" s="256">
        <f t="shared" si="56"/>
        <v>412.93333333333339</v>
      </c>
      <c r="I182" s="256">
        <f t="shared" si="57"/>
        <v>301.4666666666667</v>
      </c>
      <c r="J182" s="256">
        <f t="shared" si="58"/>
        <v>332.5</v>
      </c>
      <c r="K182" s="256">
        <f t="shared" si="59"/>
        <v>332.5</v>
      </c>
      <c r="L182" s="256">
        <f t="shared" si="60"/>
        <v>174.16666666666666</v>
      </c>
      <c r="M182" s="256">
        <f t="shared" si="61"/>
        <v>332.5</v>
      </c>
      <c r="N182" s="255">
        <v>0</v>
      </c>
      <c r="O182" s="256">
        <v>0</v>
      </c>
      <c r="P182" s="256">
        <f>(R182+E182)/210*1.75*1.2</f>
        <v>49.400000000000006</v>
      </c>
      <c r="Q182" s="256">
        <f>P182/6</f>
        <v>8.2333333333333343</v>
      </c>
      <c r="R182" s="256">
        <f>E182*30%</f>
        <v>1140</v>
      </c>
      <c r="S182" s="257">
        <v>190</v>
      </c>
      <c r="T182" s="256">
        <f>(E182+R182+N182+O182)/30*2</f>
        <v>329.33333333333331</v>
      </c>
      <c r="U182" s="258">
        <f t="shared" si="51"/>
        <v>5089.5933333333332</v>
      </c>
      <c r="V182" s="256">
        <v>93.06</v>
      </c>
      <c r="W182" s="256">
        <v>500</v>
      </c>
      <c r="X182" s="256">
        <v>53.31</v>
      </c>
      <c r="Y182" s="256">
        <v>5.0599999999999996</v>
      </c>
      <c r="Z182" s="256">
        <v>17.5</v>
      </c>
      <c r="AA182" s="256">
        <v>23.65</v>
      </c>
      <c r="AB182" s="256">
        <v>218.1</v>
      </c>
      <c r="AC182" s="189">
        <f t="shared" si="52"/>
        <v>910.67999999999984</v>
      </c>
      <c r="AD182" s="259">
        <f t="shared" si="53"/>
        <v>9800.2733333333344</v>
      </c>
    </row>
    <row r="183" spans="1:30" s="160" customFormat="1">
      <c r="A183" s="250">
        <v>178</v>
      </c>
      <c r="B183" s="251" t="s">
        <v>432</v>
      </c>
      <c r="C183" s="252">
        <v>12</v>
      </c>
      <c r="D183" s="253">
        <v>1900</v>
      </c>
      <c r="E183" s="254">
        <f t="shared" si="50"/>
        <v>22800</v>
      </c>
      <c r="F183" s="255">
        <f t="shared" si="54"/>
        <v>8099.0666666666666</v>
      </c>
      <c r="G183" s="256">
        <f t="shared" si="55"/>
        <v>291.33333333333331</v>
      </c>
      <c r="H183" s="256">
        <f t="shared" si="56"/>
        <v>2330.6666666666665</v>
      </c>
      <c r="I183" s="256">
        <f t="shared" si="57"/>
        <v>1165.3333333333333</v>
      </c>
      <c r="J183" s="256">
        <f t="shared" si="58"/>
        <v>1900</v>
      </c>
      <c r="K183" s="256">
        <f t="shared" si="59"/>
        <v>1900</v>
      </c>
      <c r="L183" s="256">
        <f t="shared" si="60"/>
        <v>633.33333333333337</v>
      </c>
      <c r="M183" s="256">
        <f t="shared" si="61"/>
        <v>1900</v>
      </c>
      <c r="N183" s="255">
        <v>0</v>
      </c>
      <c r="O183" s="256">
        <v>0</v>
      </c>
      <c r="P183" s="256">
        <f>(R183+E183)/210*1.75*1.2</f>
        <v>296.39999999999998</v>
      </c>
      <c r="Q183" s="256">
        <f>P183/6</f>
        <v>49.4</v>
      </c>
      <c r="R183" s="256">
        <f>E183*30%</f>
        <v>6840</v>
      </c>
      <c r="S183" s="257">
        <v>0</v>
      </c>
      <c r="T183" s="256">
        <f t="shared" ref="T183:T185" si="71">(E183+R183+N183+O183)/30*2</f>
        <v>1976</v>
      </c>
      <c r="U183" s="258">
        <f t="shared" si="51"/>
        <v>27381.533333333336</v>
      </c>
      <c r="V183" s="256">
        <v>93.06</v>
      </c>
      <c r="W183" s="256">
        <v>500</v>
      </c>
      <c r="X183" s="256">
        <v>53.31</v>
      </c>
      <c r="Y183" s="256">
        <v>5.0599999999999996</v>
      </c>
      <c r="Z183" s="256">
        <v>17.5</v>
      </c>
      <c r="AA183" s="256">
        <v>23.65</v>
      </c>
      <c r="AB183" s="256">
        <v>218.1</v>
      </c>
      <c r="AC183" s="189">
        <f t="shared" si="52"/>
        <v>910.67999999999984</v>
      </c>
      <c r="AD183" s="259">
        <f t="shared" si="53"/>
        <v>51092.21333333334</v>
      </c>
    </row>
    <row r="184" spans="1:30" s="160" customFormat="1">
      <c r="A184" s="250">
        <v>179</v>
      </c>
      <c r="B184" s="251" t="s">
        <v>433</v>
      </c>
      <c r="C184" s="252">
        <v>2</v>
      </c>
      <c r="D184" s="253">
        <v>1900</v>
      </c>
      <c r="E184" s="254">
        <f t="shared" si="50"/>
        <v>3800</v>
      </c>
      <c r="F184" s="255">
        <f t="shared" si="54"/>
        <v>1434.9433333333336</v>
      </c>
      <c r="G184" s="256">
        <f t="shared" si="55"/>
        <v>51.616666666666674</v>
      </c>
      <c r="H184" s="256">
        <f t="shared" si="56"/>
        <v>412.93333333333339</v>
      </c>
      <c r="I184" s="256">
        <f t="shared" si="57"/>
        <v>301.4666666666667</v>
      </c>
      <c r="J184" s="256">
        <f t="shared" si="58"/>
        <v>332.5</v>
      </c>
      <c r="K184" s="256">
        <f t="shared" si="59"/>
        <v>332.5</v>
      </c>
      <c r="L184" s="256">
        <f t="shared" si="60"/>
        <v>174.16666666666666</v>
      </c>
      <c r="M184" s="256">
        <f t="shared" si="61"/>
        <v>332.5</v>
      </c>
      <c r="N184" s="255">
        <f>(R184+E184)/210*20%*160</f>
        <v>752.76190476190482</v>
      </c>
      <c r="O184" s="256">
        <f>N184/6</f>
        <v>125.46031746031747</v>
      </c>
      <c r="P184" s="256">
        <f>(R184+E184)/210*1.75*1.2</f>
        <v>49.400000000000006</v>
      </c>
      <c r="Q184" s="256">
        <f>P184/6</f>
        <v>8.2333333333333343</v>
      </c>
      <c r="R184" s="256">
        <f>E184*30%</f>
        <v>1140</v>
      </c>
      <c r="S184" s="257">
        <v>190</v>
      </c>
      <c r="T184" s="256">
        <f t="shared" si="71"/>
        <v>387.88148148148144</v>
      </c>
      <c r="U184" s="258">
        <f t="shared" si="51"/>
        <v>6026.3637037037033</v>
      </c>
      <c r="V184" s="256">
        <v>93.06</v>
      </c>
      <c r="W184" s="256">
        <v>500</v>
      </c>
      <c r="X184" s="256">
        <v>53.31</v>
      </c>
      <c r="Y184" s="256">
        <v>5.0599999999999996</v>
      </c>
      <c r="Z184" s="256">
        <v>17.5</v>
      </c>
      <c r="AA184" s="256">
        <v>23.65</v>
      </c>
      <c r="AB184" s="256">
        <v>218.1</v>
      </c>
      <c r="AC184" s="189">
        <f t="shared" si="52"/>
        <v>910.67999999999984</v>
      </c>
      <c r="AD184" s="259">
        <f t="shared" si="53"/>
        <v>10737.043703703705</v>
      </c>
    </row>
    <row r="185" spans="1:30" s="160" customFormat="1">
      <c r="A185" s="250">
        <v>180</v>
      </c>
      <c r="B185" s="251" t="s">
        <v>434</v>
      </c>
      <c r="C185" s="252">
        <v>6</v>
      </c>
      <c r="D185" s="253">
        <v>1900</v>
      </c>
      <c r="E185" s="254">
        <f t="shared" si="50"/>
        <v>11400</v>
      </c>
      <c r="F185" s="255">
        <f t="shared" si="54"/>
        <v>4049.5333333333333</v>
      </c>
      <c r="G185" s="256">
        <f t="shared" si="55"/>
        <v>145.66666666666666</v>
      </c>
      <c r="H185" s="256">
        <f t="shared" si="56"/>
        <v>1165.3333333333333</v>
      </c>
      <c r="I185" s="256">
        <f t="shared" si="57"/>
        <v>582.66666666666663</v>
      </c>
      <c r="J185" s="256">
        <f t="shared" si="58"/>
        <v>950</v>
      </c>
      <c r="K185" s="256">
        <f t="shared" si="59"/>
        <v>950</v>
      </c>
      <c r="L185" s="256">
        <f t="shared" si="60"/>
        <v>316.66666666666669</v>
      </c>
      <c r="M185" s="256">
        <f t="shared" si="61"/>
        <v>950</v>
      </c>
      <c r="N185" s="255">
        <f>(R185+E185)/210*20%*160</f>
        <v>2258.2857142857142</v>
      </c>
      <c r="O185" s="256">
        <f>N185/6</f>
        <v>376.38095238095235</v>
      </c>
      <c r="P185" s="256">
        <f>(R185+E185)/210*1.75*1.2</f>
        <v>148.19999999999999</v>
      </c>
      <c r="Q185" s="256">
        <f>P185/6</f>
        <v>24.7</v>
      </c>
      <c r="R185" s="256">
        <f>E185*30%</f>
        <v>3420</v>
      </c>
      <c r="S185" s="257">
        <v>0</v>
      </c>
      <c r="T185" s="256">
        <f t="shared" si="71"/>
        <v>1163.6444444444446</v>
      </c>
      <c r="U185" s="258">
        <f t="shared" si="51"/>
        <v>16501.07777777778</v>
      </c>
      <c r="V185" s="256">
        <v>93.06</v>
      </c>
      <c r="W185" s="256">
        <v>500</v>
      </c>
      <c r="X185" s="256">
        <v>53.31</v>
      </c>
      <c r="Y185" s="256">
        <v>5.0599999999999996</v>
      </c>
      <c r="Z185" s="256">
        <v>17.5</v>
      </c>
      <c r="AA185" s="256">
        <v>23.65</v>
      </c>
      <c r="AB185" s="256">
        <v>218.1</v>
      </c>
      <c r="AC185" s="189">
        <f t="shared" si="52"/>
        <v>910.67999999999984</v>
      </c>
      <c r="AD185" s="259">
        <f t="shared" si="53"/>
        <v>28811.757777777781</v>
      </c>
    </row>
    <row r="186" spans="1:30" s="160" customFormat="1">
      <c r="A186" s="250">
        <v>181</v>
      </c>
      <c r="B186" s="251" t="s">
        <v>461</v>
      </c>
      <c r="C186" s="252">
        <v>1</v>
      </c>
      <c r="D186" s="253">
        <v>6500</v>
      </c>
      <c r="E186" s="254">
        <f t="shared" si="50"/>
        <v>6500</v>
      </c>
      <c r="F186" s="255">
        <f t="shared" si="54"/>
        <v>2308.9444444444448</v>
      </c>
      <c r="G186" s="256">
        <f t="shared" si="55"/>
        <v>83.055555555555571</v>
      </c>
      <c r="H186" s="256">
        <f t="shared" si="56"/>
        <v>664.44444444444457</v>
      </c>
      <c r="I186" s="256">
        <f t="shared" si="57"/>
        <v>332.22222222222229</v>
      </c>
      <c r="J186" s="256">
        <f t="shared" si="58"/>
        <v>541.66666666666663</v>
      </c>
      <c r="K186" s="256">
        <f t="shared" si="59"/>
        <v>541.66666666666663</v>
      </c>
      <c r="L186" s="256">
        <f t="shared" si="60"/>
        <v>180.55555555555554</v>
      </c>
      <c r="M186" s="256">
        <f t="shared" si="61"/>
        <v>541.66666666666663</v>
      </c>
      <c r="N186" s="255">
        <v>0</v>
      </c>
      <c r="O186" s="256">
        <v>0</v>
      </c>
      <c r="P186" s="256">
        <v>0</v>
      </c>
      <c r="Q186" s="256">
        <v>0</v>
      </c>
      <c r="R186" s="256">
        <v>0</v>
      </c>
      <c r="S186" s="257">
        <v>0</v>
      </c>
      <c r="T186" s="256">
        <v>0</v>
      </c>
      <c r="U186" s="258">
        <f t="shared" si="51"/>
        <v>5194.2222222222235</v>
      </c>
      <c r="V186" s="256">
        <v>0</v>
      </c>
      <c r="W186" s="256">
        <v>500</v>
      </c>
      <c r="X186" s="256">
        <v>53.31</v>
      </c>
      <c r="Y186" s="256">
        <v>5.0599999999999996</v>
      </c>
      <c r="Z186" s="256">
        <v>17.5</v>
      </c>
      <c r="AA186" s="256">
        <v>23.65</v>
      </c>
      <c r="AB186" s="256">
        <v>218.1</v>
      </c>
      <c r="AC186" s="189">
        <f t="shared" si="52"/>
        <v>817.61999999999989</v>
      </c>
      <c r="AD186" s="259">
        <f t="shared" si="53"/>
        <v>12511.842222222222</v>
      </c>
    </row>
    <row r="187" spans="1:30" s="160" customFormat="1">
      <c r="A187" s="250">
        <v>182</v>
      </c>
      <c r="B187" s="251" t="s">
        <v>422</v>
      </c>
      <c r="C187" s="252">
        <v>1</v>
      </c>
      <c r="D187" s="253">
        <v>3773.6</v>
      </c>
      <c r="E187" s="254">
        <f t="shared" si="50"/>
        <v>3773.6</v>
      </c>
      <c r="F187" s="255">
        <f t="shared" si="54"/>
        <v>1340.4665777777775</v>
      </c>
      <c r="G187" s="256">
        <f t="shared" si="55"/>
        <v>48.218222222222209</v>
      </c>
      <c r="H187" s="256">
        <f t="shared" si="56"/>
        <v>385.74577777777768</v>
      </c>
      <c r="I187" s="256">
        <f t="shared" si="57"/>
        <v>192.87288888888884</v>
      </c>
      <c r="J187" s="256">
        <f t="shared" si="58"/>
        <v>314.46666666666664</v>
      </c>
      <c r="K187" s="256">
        <f t="shared" si="59"/>
        <v>314.46666666666664</v>
      </c>
      <c r="L187" s="256">
        <f t="shared" si="60"/>
        <v>104.82222222222221</v>
      </c>
      <c r="M187" s="256">
        <f t="shared" si="61"/>
        <v>314.46666666666664</v>
      </c>
      <c r="N187" s="255">
        <v>0</v>
      </c>
      <c r="O187" s="256">
        <v>0</v>
      </c>
      <c r="P187" s="256">
        <v>0</v>
      </c>
      <c r="Q187" s="256">
        <v>0</v>
      </c>
      <c r="R187" s="256">
        <f>E187*30%</f>
        <v>1132.08</v>
      </c>
      <c r="S187" s="257">
        <v>0</v>
      </c>
      <c r="T187" s="256">
        <v>0</v>
      </c>
      <c r="U187" s="258">
        <f t="shared" si="51"/>
        <v>4147.6056888888888</v>
      </c>
      <c r="V187" s="256">
        <v>0</v>
      </c>
      <c r="W187" s="256">
        <v>500</v>
      </c>
      <c r="X187" s="256">
        <v>53.31</v>
      </c>
      <c r="Y187" s="256">
        <v>5.0599999999999996</v>
      </c>
      <c r="Z187" s="256">
        <v>17.5</v>
      </c>
      <c r="AA187" s="256">
        <v>23.65</v>
      </c>
      <c r="AB187" s="256">
        <v>218.1</v>
      </c>
      <c r="AC187" s="189">
        <f t="shared" si="52"/>
        <v>817.61999999999989</v>
      </c>
      <c r="AD187" s="259">
        <f t="shared" si="53"/>
        <v>8738.82568888889</v>
      </c>
    </row>
    <row r="188" spans="1:30" s="160" customFormat="1">
      <c r="A188" s="250">
        <v>183</v>
      </c>
      <c r="B188" s="251" t="s">
        <v>423</v>
      </c>
      <c r="C188" s="252">
        <v>1</v>
      </c>
      <c r="D188" s="253">
        <v>2600</v>
      </c>
      <c r="E188" s="254">
        <f t="shared" si="50"/>
        <v>2600</v>
      </c>
      <c r="F188" s="255">
        <f t="shared" si="54"/>
        <v>923.57777777777767</v>
      </c>
      <c r="G188" s="256">
        <f t="shared" si="55"/>
        <v>33.222222222222214</v>
      </c>
      <c r="H188" s="256">
        <f t="shared" si="56"/>
        <v>265.77777777777771</v>
      </c>
      <c r="I188" s="256">
        <f t="shared" si="57"/>
        <v>132.88888888888886</v>
      </c>
      <c r="J188" s="256">
        <f t="shared" si="58"/>
        <v>216.66666666666666</v>
      </c>
      <c r="K188" s="256">
        <f t="shared" si="59"/>
        <v>216.66666666666666</v>
      </c>
      <c r="L188" s="256">
        <f t="shared" si="60"/>
        <v>72.222222222222214</v>
      </c>
      <c r="M188" s="256">
        <f t="shared" si="61"/>
        <v>216.66666666666666</v>
      </c>
      <c r="N188" s="255">
        <v>0</v>
      </c>
      <c r="O188" s="256">
        <v>0</v>
      </c>
      <c r="P188" s="256">
        <f>E188/150*1.75</f>
        <v>30.333333333333332</v>
      </c>
      <c r="Q188" s="256">
        <f>P188/25*5</f>
        <v>6.0666666666666664</v>
      </c>
      <c r="R188" s="256">
        <v>0</v>
      </c>
      <c r="S188" s="257">
        <v>0</v>
      </c>
      <c r="T188" s="256">
        <v>0</v>
      </c>
      <c r="U188" s="258">
        <f t="shared" si="51"/>
        <v>2114.088888888889</v>
      </c>
      <c r="V188" s="256">
        <v>218.59</v>
      </c>
      <c r="W188" s="256">
        <v>500</v>
      </c>
      <c r="X188" s="256">
        <v>53.31</v>
      </c>
      <c r="Y188" s="256">
        <v>5.0599999999999996</v>
      </c>
      <c r="Z188" s="256">
        <v>17.5</v>
      </c>
      <c r="AA188" s="256">
        <v>23.65</v>
      </c>
      <c r="AB188" s="256">
        <v>218.1</v>
      </c>
      <c r="AC188" s="189">
        <f t="shared" si="52"/>
        <v>1036.21</v>
      </c>
      <c r="AD188" s="259">
        <f t="shared" si="53"/>
        <v>5750.2988888888895</v>
      </c>
    </row>
    <row r="189" spans="1:30" s="160" customFormat="1">
      <c r="A189" s="250">
        <v>184</v>
      </c>
      <c r="B189" s="251" t="s">
        <v>424</v>
      </c>
      <c r="C189" s="252">
        <v>1</v>
      </c>
      <c r="D189" s="253">
        <v>2600</v>
      </c>
      <c r="E189" s="254">
        <f t="shared" si="50"/>
        <v>2600</v>
      </c>
      <c r="F189" s="255">
        <f t="shared" si="54"/>
        <v>923.57777777777767</v>
      </c>
      <c r="G189" s="256">
        <f t="shared" si="55"/>
        <v>33.222222222222214</v>
      </c>
      <c r="H189" s="256">
        <f t="shared" si="56"/>
        <v>265.77777777777771</v>
      </c>
      <c r="I189" s="256">
        <f t="shared" si="57"/>
        <v>132.88888888888886</v>
      </c>
      <c r="J189" s="256">
        <f t="shared" si="58"/>
        <v>216.66666666666666</v>
      </c>
      <c r="K189" s="256">
        <f t="shared" si="59"/>
        <v>216.66666666666666</v>
      </c>
      <c r="L189" s="256">
        <f t="shared" si="60"/>
        <v>72.222222222222214</v>
      </c>
      <c r="M189" s="256">
        <f t="shared" si="61"/>
        <v>216.66666666666666</v>
      </c>
      <c r="N189" s="255">
        <v>0</v>
      </c>
      <c r="O189" s="256">
        <v>0</v>
      </c>
      <c r="P189" s="256">
        <f t="shared" ref="P189:P196" si="72">E189/150*1.75</f>
        <v>30.333333333333332</v>
      </c>
      <c r="Q189" s="256">
        <f t="shared" ref="Q189:Q196" si="73">P189/25*5</f>
        <v>6.0666666666666664</v>
      </c>
      <c r="R189" s="256">
        <v>0</v>
      </c>
      <c r="S189" s="257">
        <v>0</v>
      </c>
      <c r="T189" s="256">
        <v>0</v>
      </c>
      <c r="U189" s="258">
        <f t="shared" si="51"/>
        <v>2114.088888888889</v>
      </c>
      <c r="V189" s="256">
        <v>218.59</v>
      </c>
      <c r="W189" s="256">
        <v>500</v>
      </c>
      <c r="X189" s="256">
        <v>53.31</v>
      </c>
      <c r="Y189" s="256">
        <v>5.0599999999999996</v>
      </c>
      <c r="Z189" s="256">
        <v>17.5</v>
      </c>
      <c r="AA189" s="256">
        <v>23.65</v>
      </c>
      <c r="AB189" s="256">
        <v>218.1</v>
      </c>
      <c r="AC189" s="189">
        <f t="shared" si="52"/>
        <v>1036.21</v>
      </c>
      <c r="AD189" s="259">
        <f t="shared" si="53"/>
        <v>5750.2988888888895</v>
      </c>
    </row>
    <row r="190" spans="1:30" s="160" customFormat="1">
      <c r="A190" s="250">
        <v>185</v>
      </c>
      <c r="B190" s="251" t="s">
        <v>425</v>
      </c>
      <c r="C190" s="252">
        <v>1</v>
      </c>
      <c r="D190" s="253">
        <v>2600</v>
      </c>
      <c r="E190" s="254">
        <f t="shared" si="50"/>
        <v>2600</v>
      </c>
      <c r="F190" s="255">
        <f t="shared" si="54"/>
        <v>923.57777777777767</v>
      </c>
      <c r="G190" s="256">
        <f t="shared" si="55"/>
        <v>33.222222222222214</v>
      </c>
      <c r="H190" s="256">
        <f t="shared" si="56"/>
        <v>265.77777777777771</v>
      </c>
      <c r="I190" s="256">
        <f t="shared" si="57"/>
        <v>132.88888888888886</v>
      </c>
      <c r="J190" s="256">
        <f t="shared" si="58"/>
        <v>216.66666666666666</v>
      </c>
      <c r="K190" s="256">
        <f t="shared" si="59"/>
        <v>216.66666666666666</v>
      </c>
      <c r="L190" s="256">
        <f t="shared" si="60"/>
        <v>72.222222222222214</v>
      </c>
      <c r="M190" s="256">
        <f t="shared" si="61"/>
        <v>216.66666666666666</v>
      </c>
      <c r="N190" s="255">
        <v>0</v>
      </c>
      <c r="O190" s="256">
        <v>0</v>
      </c>
      <c r="P190" s="256">
        <f t="shared" si="72"/>
        <v>30.333333333333332</v>
      </c>
      <c r="Q190" s="256">
        <f t="shared" si="73"/>
        <v>6.0666666666666664</v>
      </c>
      <c r="R190" s="256">
        <v>0</v>
      </c>
      <c r="S190" s="257">
        <v>0</v>
      </c>
      <c r="T190" s="256">
        <v>0</v>
      </c>
      <c r="U190" s="258">
        <f t="shared" si="51"/>
        <v>2114.088888888889</v>
      </c>
      <c r="V190" s="256">
        <v>218.59</v>
      </c>
      <c r="W190" s="256">
        <v>500</v>
      </c>
      <c r="X190" s="256">
        <v>53.31</v>
      </c>
      <c r="Y190" s="256">
        <v>5.0599999999999996</v>
      </c>
      <c r="Z190" s="256">
        <v>17.5</v>
      </c>
      <c r="AA190" s="256">
        <v>23.65</v>
      </c>
      <c r="AB190" s="256">
        <v>218.1</v>
      </c>
      <c r="AC190" s="189">
        <f t="shared" si="52"/>
        <v>1036.21</v>
      </c>
      <c r="AD190" s="259">
        <f t="shared" si="53"/>
        <v>5750.2988888888895</v>
      </c>
    </row>
    <row r="191" spans="1:30" s="160" customFormat="1">
      <c r="A191" s="250">
        <v>186</v>
      </c>
      <c r="B191" s="251" t="s">
        <v>426</v>
      </c>
      <c r="C191" s="252">
        <v>1</v>
      </c>
      <c r="D191" s="253">
        <v>2600</v>
      </c>
      <c r="E191" s="254">
        <f t="shared" si="50"/>
        <v>2600</v>
      </c>
      <c r="F191" s="255">
        <f t="shared" si="54"/>
        <v>923.57777777777767</v>
      </c>
      <c r="G191" s="256">
        <f t="shared" si="55"/>
        <v>33.222222222222214</v>
      </c>
      <c r="H191" s="256">
        <f t="shared" si="56"/>
        <v>265.77777777777771</v>
      </c>
      <c r="I191" s="256">
        <f t="shared" si="57"/>
        <v>132.88888888888886</v>
      </c>
      <c r="J191" s="256">
        <f t="shared" si="58"/>
        <v>216.66666666666666</v>
      </c>
      <c r="K191" s="256">
        <f t="shared" si="59"/>
        <v>216.66666666666666</v>
      </c>
      <c r="L191" s="256">
        <f t="shared" si="60"/>
        <v>72.222222222222214</v>
      </c>
      <c r="M191" s="256">
        <f t="shared" si="61"/>
        <v>216.66666666666666</v>
      </c>
      <c r="N191" s="255">
        <v>0</v>
      </c>
      <c r="O191" s="256">
        <v>0</v>
      </c>
      <c r="P191" s="256">
        <f t="shared" si="72"/>
        <v>30.333333333333332</v>
      </c>
      <c r="Q191" s="256">
        <f t="shared" si="73"/>
        <v>6.0666666666666664</v>
      </c>
      <c r="R191" s="256">
        <v>0</v>
      </c>
      <c r="S191" s="257">
        <v>0</v>
      </c>
      <c r="T191" s="256">
        <v>0</v>
      </c>
      <c r="U191" s="258">
        <f t="shared" si="51"/>
        <v>2114.088888888889</v>
      </c>
      <c r="V191" s="256">
        <v>218.59</v>
      </c>
      <c r="W191" s="256">
        <v>500</v>
      </c>
      <c r="X191" s="256">
        <v>53.31</v>
      </c>
      <c r="Y191" s="256">
        <v>5.0599999999999996</v>
      </c>
      <c r="Z191" s="256">
        <v>17.5</v>
      </c>
      <c r="AA191" s="256">
        <v>23.65</v>
      </c>
      <c r="AB191" s="256">
        <v>218.1</v>
      </c>
      <c r="AC191" s="189">
        <f t="shared" si="52"/>
        <v>1036.21</v>
      </c>
      <c r="AD191" s="259">
        <f t="shared" si="53"/>
        <v>5750.2988888888895</v>
      </c>
    </row>
    <row r="192" spans="1:30" s="160" customFormat="1">
      <c r="A192" s="250">
        <v>187</v>
      </c>
      <c r="B192" s="251" t="s">
        <v>427</v>
      </c>
      <c r="C192" s="252">
        <v>1</v>
      </c>
      <c r="D192" s="253">
        <v>2600</v>
      </c>
      <c r="E192" s="254">
        <f t="shared" si="50"/>
        <v>2600</v>
      </c>
      <c r="F192" s="255">
        <f t="shared" si="54"/>
        <v>923.57777777777767</v>
      </c>
      <c r="G192" s="256">
        <f t="shared" si="55"/>
        <v>33.222222222222214</v>
      </c>
      <c r="H192" s="256">
        <f t="shared" si="56"/>
        <v>265.77777777777771</v>
      </c>
      <c r="I192" s="256">
        <f t="shared" si="57"/>
        <v>132.88888888888886</v>
      </c>
      <c r="J192" s="256">
        <f t="shared" si="58"/>
        <v>216.66666666666666</v>
      </c>
      <c r="K192" s="256">
        <f t="shared" si="59"/>
        <v>216.66666666666666</v>
      </c>
      <c r="L192" s="256">
        <f t="shared" si="60"/>
        <v>72.222222222222214</v>
      </c>
      <c r="M192" s="256">
        <f t="shared" si="61"/>
        <v>216.66666666666666</v>
      </c>
      <c r="N192" s="255">
        <v>0</v>
      </c>
      <c r="O192" s="256">
        <v>0</v>
      </c>
      <c r="P192" s="256">
        <f t="shared" si="72"/>
        <v>30.333333333333332</v>
      </c>
      <c r="Q192" s="256">
        <f t="shared" si="73"/>
        <v>6.0666666666666664</v>
      </c>
      <c r="R192" s="256">
        <v>0</v>
      </c>
      <c r="S192" s="257">
        <v>0</v>
      </c>
      <c r="T192" s="256">
        <v>0</v>
      </c>
      <c r="U192" s="258">
        <f t="shared" si="51"/>
        <v>2114.088888888889</v>
      </c>
      <c r="V192" s="256">
        <v>218.59</v>
      </c>
      <c r="W192" s="256">
        <v>500</v>
      </c>
      <c r="X192" s="256">
        <v>53.31</v>
      </c>
      <c r="Y192" s="256">
        <v>5.0599999999999996</v>
      </c>
      <c r="Z192" s="256">
        <v>17.5</v>
      </c>
      <c r="AA192" s="256">
        <v>23.65</v>
      </c>
      <c r="AB192" s="256">
        <v>218.1</v>
      </c>
      <c r="AC192" s="189">
        <f t="shared" si="52"/>
        <v>1036.21</v>
      </c>
      <c r="AD192" s="259">
        <f t="shared" si="53"/>
        <v>5750.2988888888895</v>
      </c>
    </row>
    <row r="193" spans="1:30" s="160" customFormat="1">
      <c r="A193" s="250">
        <v>188</v>
      </c>
      <c r="B193" s="251" t="s">
        <v>428</v>
      </c>
      <c r="C193" s="252">
        <v>1</v>
      </c>
      <c r="D193" s="253">
        <v>1750</v>
      </c>
      <c r="E193" s="254">
        <f t="shared" si="50"/>
        <v>1750</v>
      </c>
      <c r="F193" s="255">
        <f t="shared" si="54"/>
        <v>621.63888888888903</v>
      </c>
      <c r="G193" s="256">
        <f t="shared" si="55"/>
        <v>22.361111111111114</v>
      </c>
      <c r="H193" s="256">
        <f t="shared" si="56"/>
        <v>178.88888888888891</v>
      </c>
      <c r="I193" s="256">
        <f t="shared" si="57"/>
        <v>89.444444444444457</v>
      </c>
      <c r="J193" s="256">
        <f t="shared" si="58"/>
        <v>145.83333333333334</v>
      </c>
      <c r="K193" s="256">
        <f t="shared" si="59"/>
        <v>145.83333333333334</v>
      </c>
      <c r="L193" s="256">
        <f t="shared" si="60"/>
        <v>48.611111111111114</v>
      </c>
      <c r="M193" s="256">
        <f t="shared" si="61"/>
        <v>145.83333333333334</v>
      </c>
      <c r="N193" s="255">
        <v>0</v>
      </c>
      <c r="O193" s="256">
        <v>0</v>
      </c>
      <c r="P193" s="256">
        <f t="shared" si="72"/>
        <v>20.416666666666664</v>
      </c>
      <c r="Q193" s="256">
        <f t="shared" si="73"/>
        <v>4.083333333333333</v>
      </c>
      <c r="R193" s="256">
        <v>0</v>
      </c>
      <c r="S193" s="257">
        <v>0</v>
      </c>
      <c r="T193" s="256">
        <v>0</v>
      </c>
      <c r="U193" s="258">
        <f t="shared" si="51"/>
        <v>1422.9444444444443</v>
      </c>
      <c r="V193" s="256">
        <v>218.59</v>
      </c>
      <c r="W193" s="256">
        <v>500</v>
      </c>
      <c r="X193" s="256">
        <v>53.31</v>
      </c>
      <c r="Y193" s="256">
        <v>5.0599999999999996</v>
      </c>
      <c r="Z193" s="256">
        <v>17.5</v>
      </c>
      <c r="AA193" s="256">
        <v>23.65</v>
      </c>
      <c r="AB193" s="256">
        <v>218.1</v>
      </c>
      <c r="AC193" s="189">
        <f t="shared" si="52"/>
        <v>1036.21</v>
      </c>
      <c r="AD193" s="259">
        <f t="shared" si="53"/>
        <v>4209.1544444444444</v>
      </c>
    </row>
    <row r="194" spans="1:30" s="160" customFormat="1">
      <c r="A194" s="250">
        <v>189</v>
      </c>
      <c r="B194" s="251" t="s">
        <v>429</v>
      </c>
      <c r="C194" s="252">
        <v>1</v>
      </c>
      <c r="D194" s="253">
        <v>1642</v>
      </c>
      <c r="E194" s="254">
        <f t="shared" si="50"/>
        <v>1642</v>
      </c>
      <c r="F194" s="255">
        <f t="shared" si="54"/>
        <v>583.27488888888888</v>
      </c>
      <c r="G194" s="256">
        <f t="shared" si="55"/>
        <v>20.981111111111108</v>
      </c>
      <c r="H194" s="256">
        <f t="shared" si="56"/>
        <v>167.84888888888887</v>
      </c>
      <c r="I194" s="256">
        <f t="shared" si="57"/>
        <v>83.924444444444433</v>
      </c>
      <c r="J194" s="256">
        <f t="shared" si="58"/>
        <v>136.83333333333334</v>
      </c>
      <c r="K194" s="256">
        <f t="shared" si="59"/>
        <v>136.83333333333334</v>
      </c>
      <c r="L194" s="256">
        <f t="shared" si="60"/>
        <v>45.611111111111114</v>
      </c>
      <c r="M194" s="256">
        <f t="shared" si="61"/>
        <v>136.83333333333334</v>
      </c>
      <c r="N194" s="255">
        <v>0</v>
      </c>
      <c r="O194" s="256">
        <v>0</v>
      </c>
      <c r="P194" s="256">
        <f t="shared" si="72"/>
        <v>19.156666666666666</v>
      </c>
      <c r="Q194" s="256">
        <f t="shared" si="73"/>
        <v>3.8313333333333333</v>
      </c>
      <c r="R194" s="256">
        <v>0</v>
      </c>
      <c r="S194" s="257">
        <v>0</v>
      </c>
      <c r="T194" s="256">
        <v>0</v>
      </c>
      <c r="U194" s="258">
        <f t="shared" si="51"/>
        <v>1335.1284444444443</v>
      </c>
      <c r="V194" s="256">
        <v>218.59</v>
      </c>
      <c r="W194" s="256">
        <v>500</v>
      </c>
      <c r="X194" s="256">
        <v>53.31</v>
      </c>
      <c r="Y194" s="256">
        <v>5.0599999999999996</v>
      </c>
      <c r="Z194" s="256">
        <v>17.5</v>
      </c>
      <c r="AA194" s="256">
        <v>23.65</v>
      </c>
      <c r="AB194" s="256">
        <v>218.1</v>
      </c>
      <c r="AC194" s="189">
        <f t="shared" si="52"/>
        <v>1036.21</v>
      </c>
      <c r="AD194" s="259">
        <f t="shared" si="53"/>
        <v>4013.3384444444446</v>
      </c>
    </row>
    <row r="195" spans="1:30" s="160" customFormat="1">
      <c r="A195" s="250">
        <v>190</v>
      </c>
      <c r="B195" s="251" t="s">
        <v>430</v>
      </c>
      <c r="C195" s="252">
        <v>1</v>
      </c>
      <c r="D195" s="253">
        <v>1385</v>
      </c>
      <c r="E195" s="254">
        <f t="shared" si="50"/>
        <v>1385</v>
      </c>
      <c r="F195" s="255">
        <f t="shared" si="54"/>
        <v>491.98277777777787</v>
      </c>
      <c r="G195" s="256">
        <f t="shared" si="55"/>
        <v>17.697222222222223</v>
      </c>
      <c r="H195" s="256">
        <f t="shared" si="56"/>
        <v>141.57777777777778</v>
      </c>
      <c r="I195" s="256">
        <f t="shared" si="57"/>
        <v>70.788888888888891</v>
      </c>
      <c r="J195" s="256">
        <f t="shared" si="58"/>
        <v>115.41666666666667</v>
      </c>
      <c r="K195" s="256">
        <f t="shared" si="59"/>
        <v>115.41666666666667</v>
      </c>
      <c r="L195" s="256">
        <f t="shared" si="60"/>
        <v>38.472222222222221</v>
      </c>
      <c r="M195" s="256">
        <f t="shared" si="61"/>
        <v>115.41666666666667</v>
      </c>
      <c r="N195" s="255">
        <v>0</v>
      </c>
      <c r="O195" s="256">
        <v>0</v>
      </c>
      <c r="P195" s="256">
        <f t="shared" si="72"/>
        <v>16.158333333333331</v>
      </c>
      <c r="Q195" s="256">
        <f t="shared" si="73"/>
        <v>3.231666666666666</v>
      </c>
      <c r="R195" s="256">
        <v>0</v>
      </c>
      <c r="S195" s="257">
        <v>0</v>
      </c>
      <c r="T195" s="256">
        <v>0</v>
      </c>
      <c r="U195" s="258">
        <f t="shared" si="51"/>
        <v>1126.1588888888887</v>
      </c>
      <c r="V195" s="256">
        <v>218.59</v>
      </c>
      <c r="W195" s="256">
        <v>500</v>
      </c>
      <c r="X195" s="256">
        <v>53.31</v>
      </c>
      <c r="Y195" s="256">
        <v>5.0599999999999996</v>
      </c>
      <c r="Z195" s="256">
        <v>17.5</v>
      </c>
      <c r="AA195" s="256">
        <v>23.65</v>
      </c>
      <c r="AB195" s="256">
        <v>218.1</v>
      </c>
      <c r="AC195" s="189">
        <f t="shared" si="52"/>
        <v>1036.21</v>
      </c>
      <c r="AD195" s="259">
        <f t="shared" si="53"/>
        <v>3547.3688888888887</v>
      </c>
    </row>
    <row r="196" spans="1:30" s="160" customFormat="1">
      <c r="A196" s="250">
        <v>191</v>
      </c>
      <c r="B196" s="251" t="s">
        <v>431</v>
      </c>
      <c r="C196" s="252">
        <v>1</v>
      </c>
      <c r="D196" s="253">
        <v>1452.39</v>
      </c>
      <c r="E196" s="254">
        <f t="shared" si="50"/>
        <v>1452.39</v>
      </c>
      <c r="F196" s="255">
        <f t="shared" si="54"/>
        <v>515.92120333333344</v>
      </c>
      <c r="G196" s="256">
        <f t="shared" si="55"/>
        <v>18.55831666666667</v>
      </c>
      <c r="H196" s="256">
        <f t="shared" si="56"/>
        <v>148.46653333333336</v>
      </c>
      <c r="I196" s="256">
        <f t="shared" si="57"/>
        <v>74.23326666666668</v>
      </c>
      <c r="J196" s="256">
        <f t="shared" si="58"/>
        <v>121.03250000000001</v>
      </c>
      <c r="K196" s="256">
        <f t="shared" si="59"/>
        <v>121.03250000000001</v>
      </c>
      <c r="L196" s="256">
        <f t="shared" si="60"/>
        <v>40.344166666666673</v>
      </c>
      <c r="M196" s="256">
        <f t="shared" si="61"/>
        <v>121.03250000000001</v>
      </c>
      <c r="N196" s="255">
        <v>0</v>
      </c>
      <c r="O196" s="256">
        <v>0</v>
      </c>
      <c r="P196" s="256">
        <f t="shared" si="72"/>
        <v>16.94455</v>
      </c>
      <c r="Q196" s="256">
        <f t="shared" si="73"/>
        <v>3.3889100000000001</v>
      </c>
      <c r="R196" s="256">
        <v>0</v>
      </c>
      <c r="S196" s="257">
        <v>0</v>
      </c>
      <c r="T196" s="256">
        <v>0</v>
      </c>
      <c r="U196" s="258">
        <f t="shared" si="51"/>
        <v>1180.9544466666669</v>
      </c>
      <c r="V196" s="256">
        <v>218.59</v>
      </c>
      <c r="W196" s="256">
        <v>500</v>
      </c>
      <c r="X196" s="256">
        <v>53.31</v>
      </c>
      <c r="Y196" s="256">
        <v>5.0599999999999996</v>
      </c>
      <c r="Z196" s="256">
        <v>17.5</v>
      </c>
      <c r="AA196" s="256">
        <v>23.65</v>
      </c>
      <c r="AB196" s="256">
        <v>218.1</v>
      </c>
      <c r="AC196" s="189">
        <f t="shared" si="52"/>
        <v>1036.21</v>
      </c>
      <c r="AD196" s="259">
        <f t="shared" si="53"/>
        <v>3669.554446666667</v>
      </c>
    </row>
    <row r="197" spans="1:30" s="160" customFormat="1">
      <c r="A197" s="250">
        <v>192</v>
      </c>
      <c r="B197" s="251" t="s">
        <v>435</v>
      </c>
      <c r="C197" s="252">
        <v>2</v>
      </c>
      <c r="D197" s="253">
        <v>1900</v>
      </c>
      <c r="E197" s="254">
        <f t="shared" si="50"/>
        <v>3800</v>
      </c>
      <c r="F197" s="255">
        <f t="shared" si="54"/>
        <v>1434.9433333333336</v>
      </c>
      <c r="G197" s="256">
        <f t="shared" si="55"/>
        <v>51.616666666666674</v>
      </c>
      <c r="H197" s="256">
        <f t="shared" si="56"/>
        <v>412.93333333333339</v>
      </c>
      <c r="I197" s="256">
        <f t="shared" si="57"/>
        <v>301.4666666666667</v>
      </c>
      <c r="J197" s="256">
        <f t="shared" si="58"/>
        <v>332.5</v>
      </c>
      <c r="K197" s="256">
        <f t="shared" si="59"/>
        <v>332.5</v>
      </c>
      <c r="L197" s="256">
        <f t="shared" si="60"/>
        <v>174.16666666666666</v>
      </c>
      <c r="M197" s="256">
        <f t="shared" si="61"/>
        <v>332.5</v>
      </c>
      <c r="N197" s="255">
        <v>0</v>
      </c>
      <c r="O197" s="256">
        <v>0</v>
      </c>
      <c r="P197" s="256">
        <f>(R197+E197)/210*1.75*1.2</f>
        <v>49.400000000000006</v>
      </c>
      <c r="Q197" s="256">
        <f>P197/6</f>
        <v>8.2333333333333343</v>
      </c>
      <c r="R197" s="256">
        <f>E197*30%</f>
        <v>1140</v>
      </c>
      <c r="S197" s="257">
        <v>190</v>
      </c>
      <c r="T197" s="256">
        <f>(E197+R197+N197+O197)/30*2</f>
        <v>329.33333333333331</v>
      </c>
      <c r="U197" s="258">
        <f t="shared" si="51"/>
        <v>5089.5933333333332</v>
      </c>
      <c r="V197" s="256">
        <v>140.1</v>
      </c>
      <c r="W197" s="256">
        <v>500</v>
      </c>
      <c r="X197" s="256">
        <v>53.31</v>
      </c>
      <c r="Y197" s="256">
        <v>5.0599999999999996</v>
      </c>
      <c r="Z197" s="256">
        <v>17.5</v>
      </c>
      <c r="AA197" s="256">
        <v>23.65</v>
      </c>
      <c r="AB197" s="256">
        <v>218.1</v>
      </c>
      <c r="AC197" s="189">
        <f t="shared" si="52"/>
        <v>957.72</v>
      </c>
      <c r="AD197" s="259">
        <f t="shared" si="53"/>
        <v>9847.3133333333335</v>
      </c>
    </row>
    <row r="198" spans="1:30" s="160" customFormat="1">
      <c r="A198" s="250">
        <v>193</v>
      </c>
      <c r="B198" s="251" t="s">
        <v>432</v>
      </c>
      <c r="C198" s="252">
        <v>12</v>
      </c>
      <c r="D198" s="253">
        <v>1900</v>
      </c>
      <c r="E198" s="254">
        <f t="shared" ref="E198:E261" si="74">C198*D198</f>
        <v>22800</v>
      </c>
      <c r="F198" s="255">
        <f t="shared" si="54"/>
        <v>8099.0666666666666</v>
      </c>
      <c r="G198" s="256">
        <f t="shared" si="55"/>
        <v>291.33333333333331</v>
      </c>
      <c r="H198" s="256">
        <f t="shared" si="56"/>
        <v>2330.6666666666665</v>
      </c>
      <c r="I198" s="256">
        <f t="shared" si="57"/>
        <v>1165.3333333333333</v>
      </c>
      <c r="J198" s="256">
        <f t="shared" si="58"/>
        <v>1900</v>
      </c>
      <c r="K198" s="256">
        <f t="shared" si="59"/>
        <v>1900</v>
      </c>
      <c r="L198" s="256">
        <f t="shared" si="60"/>
        <v>633.33333333333337</v>
      </c>
      <c r="M198" s="256">
        <f t="shared" si="61"/>
        <v>1900</v>
      </c>
      <c r="N198" s="255">
        <v>0</v>
      </c>
      <c r="O198" s="256">
        <v>0</v>
      </c>
      <c r="P198" s="256">
        <f>(R198+E198)/210*1.75*1.2</f>
        <v>296.39999999999998</v>
      </c>
      <c r="Q198" s="256">
        <f>P198/6</f>
        <v>49.4</v>
      </c>
      <c r="R198" s="256">
        <f>E198*30%</f>
        <v>6840</v>
      </c>
      <c r="S198" s="257">
        <v>0</v>
      </c>
      <c r="T198" s="256">
        <f t="shared" ref="T198:T200" si="75">(E198+R198+N198+O198)/30*2</f>
        <v>1976</v>
      </c>
      <c r="U198" s="258">
        <f t="shared" ref="U198:U261" si="76">SUM(F198:T198)</f>
        <v>27381.533333333336</v>
      </c>
      <c r="V198" s="256">
        <v>140.1</v>
      </c>
      <c r="W198" s="256">
        <v>500</v>
      </c>
      <c r="X198" s="256">
        <v>53.31</v>
      </c>
      <c r="Y198" s="256">
        <v>5.0599999999999996</v>
      </c>
      <c r="Z198" s="256">
        <v>17.5</v>
      </c>
      <c r="AA198" s="256">
        <v>23.65</v>
      </c>
      <c r="AB198" s="256">
        <v>218.1</v>
      </c>
      <c r="AC198" s="189">
        <f t="shared" ref="AC198:AC261" si="77">SUM(V198:AB198)</f>
        <v>957.72</v>
      </c>
      <c r="AD198" s="259">
        <f t="shared" ref="AD198:AD261" si="78">E198+U198+AC198</f>
        <v>51139.253333333341</v>
      </c>
    </row>
    <row r="199" spans="1:30" s="160" customFormat="1">
      <c r="A199" s="250">
        <v>194</v>
      </c>
      <c r="B199" s="251" t="s">
        <v>433</v>
      </c>
      <c r="C199" s="252">
        <v>2</v>
      </c>
      <c r="D199" s="253">
        <v>1900</v>
      </c>
      <c r="E199" s="254">
        <f t="shared" si="74"/>
        <v>3800</v>
      </c>
      <c r="F199" s="255">
        <f t="shared" ref="F199:F262" si="79">(E199+J199+L199+K199+M199+S199)*27.8%</f>
        <v>1434.9433333333336</v>
      </c>
      <c r="G199" s="256">
        <f t="shared" ref="G199:G262" si="80">(E199+J199+L199+K199+M199+S199)*1%</f>
        <v>51.616666666666674</v>
      </c>
      <c r="H199" s="256">
        <f t="shared" ref="H199:H262" si="81">(E199+J199+L199+K199+M199+S199)*8%</f>
        <v>412.93333333333339</v>
      </c>
      <c r="I199" s="256">
        <f t="shared" ref="I199:I262" si="82">(H199+S199)/2</f>
        <v>301.4666666666667</v>
      </c>
      <c r="J199" s="256">
        <f t="shared" ref="J199:J262" si="83">(E199+S199)/12</f>
        <v>332.5</v>
      </c>
      <c r="K199" s="256">
        <f t="shared" ref="K199:K262" si="84">(E199+S199)/12</f>
        <v>332.5</v>
      </c>
      <c r="L199" s="256">
        <f t="shared" ref="L199:L262" si="85">(K199+S199)/3</f>
        <v>174.16666666666666</v>
      </c>
      <c r="M199" s="256">
        <f t="shared" ref="M199:M262" si="86">(E199+S199)/12</f>
        <v>332.5</v>
      </c>
      <c r="N199" s="255">
        <f>(R199+E199)/210*20%*160</f>
        <v>752.76190476190482</v>
      </c>
      <c r="O199" s="256">
        <f>N199/6</f>
        <v>125.46031746031747</v>
      </c>
      <c r="P199" s="256">
        <f>(R199+E199)/210*1.75*1.2</f>
        <v>49.400000000000006</v>
      </c>
      <c r="Q199" s="256">
        <f>P199/6</f>
        <v>8.2333333333333343</v>
      </c>
      <c r="R199" s="256">
        <f>E199*30%</f>
        <v>1140</v>
      </c>
      <c r="S199" s="257">
        <v>190</v>
      </c>
      <c r="T199" s="256">
        <f t="shared" si="75"/>
        <v>387.88148148148144</v>
      </c>
      <c r="U199" s="258">
        <f t="shared" si="76"/>
        <v>6026.3637037037033</v>
      </c>
      <c r="V199" s="256">
        <v>140.1</v>
      </c>
      <c r="W199" s="256">
        <v>500</v>
      </c>
      <c r="X199" s="256">
        <v>53.31</v>
      </c>
      <c r="Y199" s="256">
        <v>5.0599999999999996</v>
      </c>
      <c r="Z199" s="256">
        <v>17.5</v>
      </c>
      <c r="AA199" s="256">
        <v>23.65</v>
      </c>
      <c r="AB199" s="256">
        <v>218.1</v>
      </c>
      <c r="AC199" s="189">
        <f t="shared" si="77"/>
        <v>957.72</v>
      </c>
      <c r="AD199" s="259">
        <f t="shared" si="78"/>
        <v>10784.083703703704</v>
      </c>
    </row>
    <row r="200" spans="1:30" s="160" customFormat="1">
      <c r="A200" s="250">
        <v>195</v>
      </c>
      <c r="B200" s="251" t="s">
        <v>434</v>
      </c>
      <c r="C200" s="252">
        <v>6</v>
      </c>
      <c r="D200" s="253">
        <v>1900</v>
      </c>
      <c r="E200" s="254">
        <f t="shared" si="74"/>
        <v>11400</v>
      </c>
      <c r="F200" s="255">
        <f t="shared" si="79"/>
        <v>4049.5333333333333</v>
      </c>
      <c r="G200" s="256">
        <f t="shared" si="80"/>
        <v>145.66666666666666</v>
      </c>
      <c r="H200" s="256">
        <f t="shared" si="81"/>
        <v>1165.3333333333333</v>
      </c>
      <c r="I200" s="256">
        <f t="shared" si="82"/>
        <v>582.66666666666663</v>
      </c>
      <c r="J200" s="256">
        <f t="shared" si="83"/>
        <v>950</v>
      </c>
      <c r="K200" s="256">
        <f t="shared" si="84"/>
        <v>950</v>
      </c>
      <c r="L200" s="256">
        <f t="shared" si="85"/>
        <v>316.66666666666669</v>
      </c>
      <c r="M200" s="256">
        <f t="shared" si="86"/>
        <v>950</v>
      </c>
      <c r="N200" s="255">
        <f>(R200+E200)/210*20%*160</f>
        <v>2258.2857142857142</v>
      </c>
      <c r="O200" s="256">
        <f>N200/6</f>
        <v>376.38095238095235</v>
      </c>
      <c r="P200" s="256">
        <f>(R200+E200)/210*1.75*1.2</f>
        <v>148.19999999999999</v>
      </c>
      <c r="Q200" s="256">
        <f>P200/6</f>
        <v>24.7</v>
      </c>
      <c r="R200" s="256">
        <f>E200*30%</f>
        <v>3420</v>
      </c>
      <c r="S200" s="257">
        <v>0</v>
      </c>
      <c r="T200" s="256">
        <f t="shared" si="75"/>
        <v>1163.6444444444446</v>
      </c>
      <c r="U200" s="258">
        <f t="shared" si="76"/>
        <v>16501.07777777778</v>
      </c>
      <c r="V200" s="256">
        <v>140.1</v>
      </c>
      <c r="W200" s="256">
        <v>500</v>
      </c>
      <c r="X200" s="256">
        <v>53.31</v>
      </c>
      <c r="Y200" s="256">
        <v>5.0599999999999996</v>
      </c>
      <c r="Z200" s="256">
        <v>17.5</v>
      </c>
      <c r="AA200" s="256">
        <v>23.65</v>
      </c>
      <c r="AB200" s="256">
        <v>218.1</v>
      </c>
      <c r="AC200" s="189">
        <f t="shared" si="77"/>
        <v>957.72</v>
      </c>
      <c r="AD200" s="259">
        <f t="shared" si="78"/>
        <v>28858.797777777781</v>
      </c>
    </row>
    <row r="201" spans="1:30" s="160" customFormat="1">
      <c r="A201" s="250">
        <v>196</v>
      </c>
      <c r="B201" s="251" t="s">
        <v>461</v>
      </c>
      <c r="C201" s="252">
        <v>1</v>
      </c>
      <c r="D201" s="253">
        <v>6500</v>
      </c>
      <c r="E201" s="254">
        <f t="shared" si="74"/>
        <v>6500</v>
      </c>
      <c r="F201" s="255">
        <f t="shared" si="79"/>
        <v>2308.9444444444448</v>
      </c>
      <c r="G201" s="256">
        <f t="shared" si="80"/>
        <v>83.055555555555571</v>
      </c>
      <c r="H201" s="256">
        <f t="shared" si="81"/>
        <v>664.44444444444457</v>
      </c>
      <c r="I201" s="256">
        <f t="shared" si="82"/>
        <v>332.22222222222229</v>
      </c>
      <c r="J201" s="256">
        <f t="shared" si="83"/>
        <v>541.66666666666663</v>
      </c>
      <c r="K201" s="256">
        <f t="shared" si="84"/>
        <v>541.66666666666663</v>
      </c>
      <c r="L201" s="256">
        <f t="shared" si="85"/>
        <v>180.55555555555554</v>
      </c>
      <c r="M201" s="256">
        <f t="shared" si="86"/>
        <v>541.66666666666663</v>
      </c>
      <c r="N201" s="255">
        <v>0</v>
      </c>
      <c r="O201" s="256">
        <v>0</v>
      </c>
      <c r="P201" s="256">
        <v>0</v>
      </c>
      <c r="Q201" s="256">
        <v>0</v>
      </c>
      <c r="R201" s="256">
        <v>0</v>
      </c>
      <c r="S201" s="257">
        <v>0</v>
      </c>
      <c r="T201" s="256">
        <v>0</v>
      </c>
      <c r="U201" s="258">
        <f t="shared" si="76"/>
        <v>5194.2222222222235</v>
      </c>
      <c r="V201" s="256">
        <v>0</v>
      </c>
      <c r="W201" s="256">
        <v>500</v>
      </c>
      <c r="X201" s="256">
        <v>53.31</v>
      </c>
      <c r="Y201" s="256">
        <v>5.0599999999999996</v>
      </c>
      <c r="Z201" s="256">
        <v>17.5</v>
      </c>
      <c r="AA201" s="256">
        <v>23.65</v>
      </c>
      <c r="AB201" s="256">
        <v>218.1</v>
      </c>
      <c r="AC201" s="189">
        <f t="shared" si="77"/>
        <v>817.61999999999989</v>
      </c>
      <c r="AD201" s="259">
        <f t="shared" si="78"/>
        <v>12511.842222222222</v>
      </c>
    </row>
    <row r="202" spans="1:30" s="160" customFormat="1">
      <c r="A202" s="250">
        <v>197</v>
      </c>
      <c r="B202" s="251" t="s">
        <v>422</v>
      </c>
      <c r="C202" s="252">
        <v>1</v>
      </c>
      <c r="D202" s="253">
        <v>3773.6</v>
      </c>
      <c r="E202" s="254">
        <f t="shared" si="74"/>
        <v>3773.6</v>
      </c>
      <c r="F202" s="255">
        <f t="shared" si="79"/>
        <v>1340.4665777777775</v>
      </c>
      <c r="G202" s="256">
        <f t="shared" si="80"/>
        <v>48.218222222222209</v>
      </c>
      <c r="H202" s="256">
        <f t="shared" si="81"/>
        <v>385.74577777777768</v>
      </c>
      <c r="I202" s="256">
        <f t="shared" si="82"/>
        <v>192.87288888888884</v>
      </c>
      <c r="J202" s="256">
        <f t="shared" si="83"/>
        <v>314.46666666666664</v>
      </c>
      <c r="K202" s="256">
        <f t="shared" si="84"/>
        <v>314.46666666666664</v>
      </c>
      <c r="L202" s="256">
        <f t="shared" si="85"/>
        <v>104.82222222222221</v>
      </c>
      <c r="M202" s="256">
        <f t="shared" si="86"/>
        <v>314.46666666666664</v>
      </c>
      <c r="N202" s="255">
        <v>0</v>
      </c>
      <c r="O202" s="256">
        <v>0</v>
      </c>
      <c r="P202" s="256">
        <v>0</v>
      </c>
      <c r="Q202" s="256">
        <v>0</v>
      </c>
      <c r="R202" s="256">
        <f>E202*30%</f>
        <v>1132.08</v>
      </c>
      <c r="S202" s="257">
        <v>0</v>
      </c>
      <c r="T202" s="256">
        <v>0</v>
      </c>
      <c r="U202" s="258">
        <f t="shared" si="76"/>
        <v>4147.6056888888888</v>
      </c>
      <c r="V202" s="256">
        <v>0</v>
      </c>
      <c r="W202" s="256">
        <v>500</v>
      </c>
      <c r="X202" s="256">
        <v>53.31</v>
      </c>
      <c r="Y202" s="256">
        <v>5.0599999999999996</v>
      </c>
      <c r="Z202" s="256">
        <v>17.5</v>
      </c>
      <c r="AA202" s="256">
        <v>23.65</v>
      </c>
      <c r="AB202" s="256">
        <v>218.1</v>
      </c>
      <c r="AC202" s="189">
        <f t="shared" si="77"/>
        <v>817.61999999999989</v>
      </c>
      <c r="AD202" s="259">
        <f t="shared" si="78"/>
        <v>8738.82568888889</v>
      </c>
    </row>
    <row r="203" spans="1:30" s="160" customFormat="1">
      <c r="A203" s="250">
        <v>198</v>
      </c>
      <c r="B203" s="251" t="s">
        <v>423</v>
      </c>
      <c r="C203" s="252">
        <v>1</v>
      </c>
      <c r="D203" s="253">
        <v>2600</v>
      </c>
      <c r="E203" s="254">
        <f t="shared" si="74"/>
        <v>2600</v>
      </c>
      <c r="F203" s="255">
        <f t="shared" si="79"/>
        <v>923.57777777777767</v>
      </c>
      <c r="G203" s="256">
        <f t="shared" si="80"/>
        <v>33.222222222222214</v>
      </c>
      <c r="H203" s="256">
        <f t="shared" si="81"/>
        <v>265.77777777777771</v>
      </c>
      <c r="I203" s="256">
        <f t="shared" si="82"/>
        <v>132.88888888888886</v>
      </c>
      <c r="J203" s="256">
        <f t="shared" si="83"/>
        <v>216.66666666666666</v>
      </c>
      <c r="K203" s="256">
        <f t="shared" si="84"/>
        <v>216.66666666666666</v>
      </c>
      <c r="L203" s="256">
        <f t="shared" si="85"/>
        <v>72.222222222222214</v>
      </c>
      <c r="M203" s="256">
        <f t="shared" si="86"/>
        <v>216.66666666666666</v>
      </c>
      <c r="N203" s="255">
        <v>0</v>
      </c>
      <c r="O203" s="256">
        <v>0</v>
      </c>
      <c r="P203" s="256">
        <f>E203/150*1.75</f>
        <v>30.333333333333332</v>
      </c>
      <c r="Q203" s="256">
        <f>P203/25*5</f>
        <v>6.0666666666666664</v>
      </c>
      <c r="R203" s="256">
        <v>0</v>
      </c>
      <c r="S203" s="257">
        <v>0</v>
      </c>
      <c r="T203" s="256">
        <v>0</v>
      </c>
      <c r="U203" s="258">
        <f t="shared" si="76"/>
        <v>2114.088888888889</v>
      </c>
      <c r="V203" s="256">
        <v>111.67</v>
      </c>
      <c r="W203" s="256">
        <v>500</v>
      </c>
      <c r="X203" s="256">
        <v>53.31</v>
      </c>
      <c r="Y203" s="256">
        <v>5.0599999999999996</v>
      </c>
      <c r="Z203" s="256">
        <v>17.5</v>
      </c>
      <c r="AA203" s="256">
        <v>23.65</v>
      </c>
      <c r="AB203" s="256">
        <v>218.1</v>
      </c>
      <c r="AC203" s="189">
        <f t="shared" si="77"/>
        <v>929.29</v>
      </c>
      <c r="AD203" s="259">
        <f t="shared" si="78"/>
        <v>5643.3788888888894</v>
      </c>
    </row>
    <row r="204" spans="1:30" s="160" customFormat="1">
      <c r="A204" s="250">
        <v>199</v>
      </c>
      <c r="B204" s="251" t="s">
        <v>424</v>
      </c>
      <c r="C204" s="252">
        <v>1</v>
      </c>
      <c r="D204" s="253">
        <v>2600</v>
      </c>
      <c r="E204" s="254">
        <f t="shared" si="74"/>
        <v>2600</v>
      </c>
      <c r="F204" s="255">
        <f t="shared" si="79"/>
        <v>923.57777777777767</v>
      </c>
      <c r="G204" s="256">
        <f t="shared" si="80"/>
        <v>33.222222222222214</v>
      </c>
      <c r="H204" s="256">
        <f t="shared" si="81"/>
        <v>265.77777777777771</v>
      </c>
      <c r="I204" s="256">
        <f t="shared" si="82"/>
        <v>132.88888888888886</v>
      </c>
      <c r="J204" s="256">
        <f t="shared" si="83"/>
        <v>216.66666666666666</v>
      </c>
      <c r="K204" s="256">
        <f t="shared" si="84"/>
        <v>216.66666666666666</v>
      </c>
      <c r="L204" s="256">
        <f t="shared" si="85"/>
        <v>72.222222222222214</v>
      </c>
      <c r="M204" s="256">
        <f t="shared" si="86"/>
        <v>216.66666666666666</v>
      </c>
      <c r="N204" s="255">
        <v>0</v>
      </c>
      <c r="O204" s="256">
        <v>0</v>
      </c>
      <c r="P204" s="256">
        <f t="shared" ref="P204:P211" si="87">E204/150*1.75</f>
        <v>30.333333333333332</v>
      </c>
      <c r="Q204" s="256">
        <f t="shared" ref="Q204:Q211" si="88">P204/25*5</f>
        <v>6.0666666666666664</v>
      </c>
      <c r="R204" s="256">
        <v>0</v>
      </c>
      <c r="S204" s="257">
        <v>0</v>
      </c>
      <c r="T204" s="256">
        <v>0</v>
      </c>
      <c r="U204" s="258">
        <f t="shared" si="76"/>
        <v>2114.088888888889</v>
      </c>
      <c r="V204" s="256">
        <v>111.67</v>
      </c>
      <c r="W204" s="256">
        <v>500</v>
      </c>
      <c r="X204" s="256">
        <v>53.31</v>
      </c>
      <c r="Y204" s="256">
        <v>5.0599999999999996</v>
      </c>
      <c r="Z204" s="256">
        <v>17.5</v>
      </c>
      <c r="AA204" s="256">
        <v>23.65</v>
      </c>
      <c r="AB204" s="256">
        <v>218.1</v>
      </c>
      <c r="AC204" s="189">
        <f t="shared" si="77"/>
        <v>929.29</v>
      </c>
      <c r="AD204" s="259">
        <f t="shared" si="78"/>
        <v>5643.3788888888894</v>
      </c>
    </row>
    <row r="205" spans="1:30" s="160" customFormat="1">
      <c r="A205" s="250">
        <v>200</v>
      </c>
      <c r="B205" s="251" t="s">
        <v>425</v>
      </c>
      <c r="C205" s="252">
        <v>1</v>
      </c>
      <c r="D205" s="253">
        <v>2600</v>
      </c>
      <c r="E205" s="254">
        <f t="shared" si="74"/>
        <v>2600</v>
      </c>
      <c r="F205" s="255">
        <f t="shared" si="79"/>
        <v>923.57777777777767</v>
      </c>
      <c r="G205" s="256">
        <f t="shared" si="80"/>
        <v>33.222222222222214</v>
      </c>
      <c r="H205" s="256">
        <f t="shared" si="81"/>
        <v>265.77777777777771</v>
      </c>
      <c r="I205" s="256">
        <f t="shared" si="82"/>
        <v>132.88888888888886</v>
      </c>
      <c r="J205" s="256">
        <f t="shared" si="83"/>
        <v>216.66666666666666</v>
      </c>
      <c r="K205" s="256">
        <f t="shared" si="84"/>
        <v>216.66666666666666</v>
      </c>
      <c r="L205" s="256">
        <f t="shared" si="85"/>
        <v>72.222222222222214</v>
      </c>
      <c r="M205" s="256">
        <f t="shared" si="86"/>
        <v>216.66666666666666</v>
      </c>
      <c r="N205" s="255">
        <v>0</v>
      </c>
      <c r="O205" s="256">
        <v>0</v>
      </c>
      <c r="P205" s="256">
        <f t="shared" si="87"/>
        <v>30.333333333333332</v>
      </c>
      <c r="Q205" s="256">
        <f t="shared" si="88"/>
        <v>6.0666666666666664</v>
      </c>
      <c r="R205" s="256">
        <v>0</v>
      </c>
      <c r="S205" s="257">
        <v>0</v>
      </c>
      <c r="T205" s="256">
        <v>0</v>
      </c>
      <c r="U205" s="258">
        <f t="shared" si="76"/>
        <v>2114.088888888889</v>
      </c>
      <c r="V205" s="256">
        <v>111.67</v>
      </c>
      <c r="W205" s="256">
        <v>500</v>
      </c>
      <c r="X205" s="256">
        <v>53.31</v>
      </c>
      <c r="Y205" s="256">
        <v>5.0599999999999996</v>
      </c>
      <c r="Z205" s="256">
        <v>17.5</v>
      </c>
      <c r="AA205" s="256">
        <v>23.65</v>
      </c>
      <c r="AB205" s="256">
        <v>218.1</v>
      </c>
      <c r="AC205" s="189">
        <f t="shared" si="77"/>
        <v>929.29</v>
      </c>
      <c r="AD205" s="259">
        <f t="shared" si="78"/>
        <v>5643.3788888888894</v>
      </c>
    </row>
    <row r="206" spans="1:30" s="160" customFormat="1">
      <c r="A206" s="250">
        <v>201</v>
      </c>
      <c r="B206" s="251" t="s">
        <v>426</v>
      </c>
      <c r="C206" s="252">
        <v>1</v>
      </c>
      <c r="D206" s="253">
        <v>2600</v>
      </c>
      <c r="E206" s="254">
        <f t="shared" si="74"/>
        <v>2600</v>
      </c>
      <c r="F206" s="255">
        <f t="shared" si="79"/>
        <v>923.57777777777767</v>
      </c>
      <c r="G206" s="256">
        <f t="shared" si="80"/>
        <v>33.222222222222214</v>
      </c>
      <c r="H206" s="256">
        <f t="shared" si="81"/>
        <v>265.77777777777771</v>
      </c>
      <c r="I206" s="256">
        <f t="shared" si="82"/>
        <v>132.88888888888886</v>
      </c>
      <c r="J206" s="256">
        <f t="shared" si="83"/>
        <v>216.66666666666666</v>
      </c>
      <c r="K206" s="256">
        <f t="shared" si="84"/>
        <v>216.66666666666666</v>
      </c>
      <c r="L206" s="256">
        <f t="shared" si="85"/>
        <v>72.222222222222214</v>
      </c>
      <c r="M206" s="256">
        <f t="shared" si="86"/>
        <v>216.66666666666666</v>
      </c>
      <c r="N206" s="255">
        <v>0</v>
      </c>
      <c r="O206" s="256">
        <v>0</v>
      </c>
      <c r="P206" s="256">
        <f t="shared" si="87"/>
        <v>30.333333333333332</v>
      </c>
      <c r="Q206" s="256">
        <f t="shared" si="88"/>
        <v>6.0666666666666664</v>
      </c>
      <c r="R206" s="256">
        <v>0</v>
      </c>
      <c r="S206" s="257">
        <v>0</v>
      </c>
      <c r="T206" s="256">
        <v>0</v>
      </c>
      <c r="U206" s="258">
        <f t="shared" si="76"/>
        <v>2114.088888888889</v>
      </c>
      <c r="V206" s="256">
        <v>111.67</v>
      </c>
      <c r="W206" s="256">
        <v>500</v>
      </c>
      <c r="X206" s="256">
        <v>53.31</v>
      </c>
      <c r="Y206" s="256">
        <v>5.0599999999999996</v>
      </c>
      <c r="Z206" s="256">
        <v>17.5</v>
      </c>
      <c r="AA206" s="256">
        <v>23.65</v>
      </c>
      <c r="AB206" s="256">
        <v>218.1</v>
      </c>
      <c r="AC206" s="189">
        <f t="shared" si="77"/>
        <v>929.29</v>
      </c>
      <c r="AD206" s="259">
        <f t="shared" si="78"/>
        <v>5643.3788888888894</v>
      </c>
    </row>
    <row r="207" spans="1:30" s="160" customFormat="1">
      <c r="A207" s="250">
        <v>202</v>
      </c>
      <c r="B207" s="251" t="s">
        <v>427</v>
      </c>
      <c r="C207" s="252">
        <v>1</v>
      </c>
      <c r="D207" s="253">
        <v>2600</v>
      </c>
      <c r="E207" s="254">
        <f t="shared" si="74"/>
        <v>2600</v>
      </c>
      <c r="F207" s="255">
        <f t="shared" si="79"/>
        <v>923.57777777777767</v>
      </c>
      <c r="G207" s="256">
        <f t="shared" si="80"/>
        <v>33.222222222222214</v>
      </c>
      <c r="H207" s="256">
        <f t="shared" si="81"/>
        <v>265.77777777777771</v>
      </c>
      <c r="I207" s="256">
        <f t="shared" si="82"/>
        <v>132.88888888888886</v>
      </c>
      <c r="J207" s="256">
        <f t="shared" si="83"/>
        <v>216.66666666666666</v>
      </c>
      <c r="K207" s="256">
        <f t="shared" si="84"/>
        <v>216.66666666666666</v>
      </c>
      <c r="L207" s="256">
        <f t="shared" si="85"/>
        <v>72.222222222222214</v>
      </c>
      <c r="M207" s="256">
        <f t="shared" si="86"/>
        <v>216.66666666666666</v>
      </c>
      <c r="N207" s="255">
        <v>0</v>
      </c>
      <c r="O207" s="256">
        <v>0</v>
      </c>
      <c r="P207" s="256">
        <f t="shared" si="87"/>
        <v>30.333333333333332</v>
      </c>
      <c r="Q207" s="256">
        <f t="shared" si="88"/>
        <v>6.0666666666666664</v>
      </c>
      <c r="R207" s="256">
        <v>0</v>
      </c>
      <c r="S207" s="257">
        <v>0</v>
      </c>
      <c r="T207" s="256">
        <v>0</v>
      </c>
      <c r="U207" s="258">
        <f t="shared" si="76"/>
        <v>2114.088888888889</v>
      </c>
      <c r="V207" s="256">
        <v>111.67</v>
      </c>
      <c r="W207" s="256">
        <v>500</v>
      </c>
      <c r="X207" s="256">
        <v>53.31</v>
      </c>
      <c r="Y207" s="256">
        <v>5.0599999999999996</v>
      </c>
      <c r="Z207" s="256">
        <v>17.5</v>
      </c>
      <c r="AA207" s="256">
        <v>23.65</v>
      </c>
      <c r="AB207" s="256">
        <v>218.1</v>
      </c>
      <c r="AC207" s="189">
        <f t="shared" si="77"/>
        <v>929.29</v>
      </c>
      <c r="AD207" s="259">
        <f t="shared" si="78"/>
        <v>5643.3788888888894</v>
      </c>
    </row>
    <row r="208" spans="1:30" s="160" customFormat="1">
      <c r="A208" s="250">
        <v>203</v>
      </c>
      <c r="B208" s="251" t="s">
        <v>428</v>
      </c>
      <c r="C208" s="252">
        <v>1</v>
      </c>
      <c r="D208" s="253">
        <v>1750</v>
      </c>
      <c r="E208" s="254">
        <f t="shared" si="74"/>
        <v>1750</v>
      </c>
      <c r="F208" s="255">
        <f t="shared" si="79"/>
        <v>621.63888888888903</v>
      </c>
      <c r="G208" s="256">
        <f t="shared" si="80"/>
        <v>22.361111111111114</v>
      </c>
      <c r="H208" s="256">
        <f t="shared" si="81"/>
        <v>178.88888888888891</v>
      </c>
      <c r="I208" s="256">
        <f t="shared" si="82"/>
        <v>89.444444444444457</v>
      </c>
      <c r="J208" s="256">
        <f t="shared" si="83"/>
        <v>145.83333333333334</v>
      </c>
      <c r="K208" s="256">
        <f t="shared" si="84"/>
        <v>145.83333333333334</v>
      </c>
      <c r="L208" s="256">
        <f t="shared" si="85"/>
        <v>48.611111111111114</v>
      </c>
      <c r="M208" s="256">
        <f t="shared" si="86"/>
        <v>145.83333333333334</v>
      </c>
      <c r="N208" s="255">
        <v>0</v>
      </c>
      <c r="O208" s="256">
        <v>0</v>
      </c>
      <c r="P208" s="256">
        <f t="shared" si="87"/>
        <v>20.416666666666664</v>
      </c>
      <c r="Q208" s="256">
        <f t="shared" si="88"/>
        <v>4.083333333333333</v>
      </c>
      <c r="R208" s="256">
        <v>0</v>
      </c>
      <c r="S208" s="257">
        <v>0</v>
      </c>
      <c r="T208" s="256">
        <v>0</v>
      </c>
      <c r="U208" s="258">
        <f t="shared" si="76"/>
        <v>1422.9444444444443</v>
      </c>
      <c r="V208" s="256">
        <v>111.67</v>
      </c>
      <c r="W208" s="256">
        <v>500</v>
      </c>
      <c r="X208" s="256">
        <v>53.31</v>
      </c>
      <c r="Y208" s="256">
        <v>5.0599999999999996</v>
      </c>
      <c r="Z208" s="256">
        <v>17.5</v>
      </c>
      <c r="AA208" s="256">
        <v>23.65</v>
      </c>
      <c r="AB208" s="256">
        <v>218.1</v>
      </c>
      <c r="AC208" s="189">
        <f t="shared" si="77"/>
        <v>929.29</v>
      </c>
      <c r="AD208" s="259">
        <f t="shared" si="78"/>
        <v>4102.2344444444443</v>
      </c>
    </row>
    <row r="209" spans="1:30" s="160" customFormat="1">
      <c r="A209" s="250">
        <v>204</v>
      </c>
      <c r="B209" s="251" t="s">
        <v>429</v>
      </c>
      <c r="C209" s="252">
        <v>1</v>
      </c>
      <c r="D209" s="253">
        <v>1642</v>
      </c>
      <c r="E209" s="254">
        <f t="shared" si="74"/>
        <v>1642</v>
      </c>
      <c r="F209" s="255">
        <f t="shared" si="79"/>
        <v>583.27488888888888</v>
      </c>
      <c r="G209" s="256">
        <f t="shared" si="80"/>
        <v>20.981111111111108</v>
      </c>
      <c r="H209" s="256">
        <f t="shared" si="81"/>
        <v>167.84888888888887</v>
      </c>
      <c r="I209" s="256">
        <f t="shared" si="82"/>
        <v>83.924444444444433</v>
      </c>
      <c r="J209" s="256">
        <f t="shared" si="83"/>
        <v>136.83333333333334</v>
      </c>
      <c r="K209" s="256">
        <f t="shared" si="84"/>
        <v>136.83333333333334</v>
      </c>
      <c r="L209" s="256">
        <f t="shared" si="85"/>
        <v>45.611111111111114</v>
      </c>
      <c r="M209" s="256">
        <f t="shared" si="86"/>
        <v>136.83333333333334</v>
      </c>
      <c r="N209" s="255">
        <v>0</v>
      </c>
      <c r="O209" s="256">
        <v>0</v>
      </c>
      <c r="P209" s="256">
        <f t="shared" si="87"/>
        <v>19.156666666666666</v>
      </c>
      <c r="Q209" s="256">
        <f t="shared" si="88"/>
        <v>3.8313333333333333</v>
      </c>
      <c r="R209" s="256">
        <v>0</v>
      </c>
      <c r="S209" s="257">
        <v>0</v>
      </c>
      <c r="T209" s="256">
        <v>0</v>
      </c>
      <c r="U209" s="258">
        <f t="shared" si="76"/>
        <v>1335.1284444444443</v>
      </c>
      <c r="V209" s="256">
        <v>111.67</v>
      </c>
      <c r="W209" s="256">
        <v>500</v>
      </c>
      <c r="X209" s="256">
        <v>53.31</v>
      </c>
      <c r="Y209" s="256">
        <v>5.0599999999999996</v>
      </c>
      <c r="Z209" s="256">
        <v>17.5</v>
      </c>
      <c r="AA209" s="256">
        <v>23.65</v>
      </c>
      <c r="AB209" s="256">
        <v>218.1</v>
      </c>
      <c r="AC209" s="189">
        <f t="shared" si="77"/>
        <v>929.29</v>
      </c>
      <c r="AD209" s="259">
        <f t="shared" si="78"/>
        <v>3906.4184444444445</v>
      </c>
    </row>
    <row r="210" spans="1:30" s="160" customFormat="1">
      <c r="A210" s="250">
        <v>205</v>
      </c>
      <c r="B210" s="251" t="s">
        <v>430</v>
      </c>
      <c r="C210" s="252">
        <v>1</v>
      </c>
      <c r="D210" s="253">
        <v>1385</v>
      </c>
      <c r="E210" s="254">
        <f t="shared" si="74"/>
        <v>1385</v>
      </c>
      <c r="F210" s="255">
        <f t="shared" si="79"/>
        <v>491.98277777777787</v>
      </c>
      <c r="G210" s="256">
        <f t="shared" si="80"/>
        <v>17.697222222222223</v>
      </c>
      <c r="H210" s="256">
        <f t="shared" si="81"/>
        <v>141.57777777777778</v>
      </c>
      <c r="I210" s="256">
        <f t="shared" si="82"/>
        <v>70.788888888888891</v>
      </c>
      <c r="J210" s="256">
        <f t="shared" si="83"/>
        <v>115.41666666666667</v>
      </c>
      <c r="K210" s="256">
        <f t="shared" si="84"/>
        <v>115.41666666666667</v>
      </c>
      <c r="L210" s="256">
        <f t="shared" si="85"/>
        <v>38.472222222222221</v>
      </c>
      <c r="M210" s="256">
        <f t="shared" si="86"/>
        <v>115.41666666666667</v>
      </c>
      <c r="N210" s="255">
        <v>0</v>
      </c>
      <c r="O210" s="256">
        <v>0</v>
      </c>
      <c r="P210" s="256">
        <f t="shared" si="87"/>
        <v>16.158333333333331</v>
      </c>
      <c r="Q210" s="256">
        <f t="shared" si="88"/>
        <v>3.231666666666666</v>
      </c>
      <c r="R210" s="256">
        <v>0</v>
      </c>
      <c r="S210" s="257">
        <v>0</v>
      </c>
      <c r="T210" s="256">
        <v>0</v>
      </c>
      <c r="U210" s="258">
        <f t="shared" si="76"/>
        <v>1126.1588888888887</v>
      </c>
      <c r="V210" s="256">
        <v>111.67</v>
      </c>
      <c r="W210" s="256">
        <v>500</v>
      </c>
      <c r="X210" s="256">
        <v>53.31</v>
      </c>
      <c r="Y210" s="256">
        <v>5.0599999999999996</v>
      </c>
      <c r="Z210" s="256">
        <v>17.5</v>
      </c>
      <c r="AA210" s="256">
        <v>23.65</v>
      </c>
      <c r="AB210" s="256">
        <v>218.1</v>
      </c>
      <c r="AC210" s="189">
        <f t="shared" si="77"/>
        <v>929.29</v>
      </c>
      <c r="AD210" s="259">
        <f t="shared" si="78"/>
        <v>3440.4488888888886</v>
      </c>
    </row>
    <row r="211" spans="1:30" s="160" customFormat="1">
      <c r="A211" s="250">
        <v>206</v>
      </c>
      <c r="B211" s="251" t="s">
        <v>431</v>
      </c>
      <c r="C211" s="252">
        <v>1</v>
      </c>
      <c r="D211" s="253">
        <v>1452.39</v>
      </c>
      <c r="E211" s="254">
        <f t="shared" si="74"/>
        <v>1452.39</v>
      </c>
      <c r="F211" s="255">
        <f t="shared" si="79"/>
        <v>515.92120333333344</v>
      </c>
      <c r="G211" s="256">
        <f t="shared" si="80"/>
        <v>18.55831666666667</v>
      </c>
      <c r="H211" s="256">
        <f t="shared" si="81"/>
        <v>148.46653333333336</v>
      </c>
      <c r="I211" s="256">
        <f t="shared" si="82"/>
        <v>74.23326666666668</v>
      </c>
      <c r="J211" s="256">
        <f t="shared" si="83"/>
        <v>121.03250000000001</v>
      </c>
      <c r="K211" s="256">
        <f t="shared" si="84"/>
        <v>121.03250000000001</v>
      </c>
      <c r="L211" s="256">
        <f t="shared" si="85"/>
        <v>40.344166666666673</v>
      </c>
      <c r="M211" s="256">
        <f t="shared" si="86"/>
        <v>121.03250000000001</v>
      </c>
      <c r="N211" s="255">
        <v>0</v>
      </c>
      <c r="O211" s="256">
        <v>0</v>
      </c>
      <c r="P211" s="256">
        <f t="shared" si="87"/>
        <v>16.94455</v>
      </c>
      <c r="Q211" s="256">
        <f t="shared" si="88"/>
        <v>3.3889100000000001</v>
      </c>
      <c r="R211" s="256">
        <v>0</v>
      </c>
      <c r="S211" s="257">
        <v>0</v>
      </c>
      <c r="T211" s="256">
        <v>0</v>
      </c>
      <c r="U211" s="258">
        <f t="shared" si="76"/>
        <v>1180.9544466666669</v>
      </c>
      <c r="V211" s="256">
        <v>111.67</v>
      </c>
      <c r="W211" s="256">
        <v>500</v>
      </c>
      <c r="X211" s="256">
        <v>53.31</v>
      </c>
      <c r="Y211" s="256">
        <v>5.0599999999999996</v>
      </c>
      <c r="Z211" s="256">
        <v>17.5</v>
      </c>
      <c r="AA211" s="256">
        <v>23.65</v>
      </c>
      <c r="AB211" s="256">
        <v>218.1</v>
      </c>
      <c r="AC211" s="189">
        <f t="shared" si="77"/>
        <v>929.29</v>
      </c>
      <c r="AD211" s="259">
        <f t="shared" si="78"/>
        <v>3562.6344466666669</v>
      </c>
    </row>
    <row r="212" spans="1:30" s="160" customFormat="1">
      <c r="A212" s="250">
        <v>207</v>
      </c>
      <c r="B212" s="251" t="s">
        <v>435</v>
      </c>
      <c r="C212" s="252">
        <v>2</v>
      </c>
      <c r="D212" s="253">
        <v>1900</v>
      </c>
      <c r="E212" s="254">
        <f t="shared" si="74"/>
        <v>3800</v>
      </c>
      <c r="F212" s="255">
        <f t="shared" si="79"/>
        <v>1434.9433333333336</v>
      </c>
      <c r="G212" s="256">
        <f t="shared" si="80"/>
        <v>51.616666666666674</v>
      </c>
      <c r="H212" s="256">
        <f t="shared" si="81"/>
        <v>412.93333333333339</v>
      </c>
      <c r="I212" s="256">
        <f t="shared" si="82"/>
        <v>301.4666666666667</v>
      </c>
      <c r="J212" s="256">
        <f t="shared" si="83"/>
        <v>332.5</v>
      </c>
      <c r="K212" s="256">
        <f t="shared" si="84"/>
        <v>332.5</v>
      </c>
      <c r="L212" s="256">
        <f t="shared" si="85"/>
        <v>174.16666666666666</v>
      </c>
      <c r="M212" s="256">
        <f t="shared" si="86"/>
        <v>332.5</v>
      </c>
      <c r="N212" s="255">
        <v>0</v>
      </c>
      <c r="O212" s="256">
        <v>0</v>
      </c>
      <c r="P212" s="256">
        <f>(R212+E212)/210*1.75*1.2</f>
        <v>49.400000000000006</v>
      </c>
      <c r="Q212" s="256">
        <f>P212/6</f>
        <v>8.2333333333333343</v>
      </c>
      <c r="R212" s="256">
        <f>E212*30%</f>
        <v>1140</v>
      </c>
      <c r="S212" s="257">
        <v>190</v>
      </c>
      <c r="T212" s="256">
        <f>(E212+R212+N212+O212)/30*2</f>
        <v>329.33333333333331</v>
      </c>
      <c r="U212" s="258">
        <f t="shared" si="76"/>
        <v>5089.5933333333332</v>
      </c>
      <c r="V212" s="256">
        <v>76.14</v>
      </c>
      <c r="W212" s="256">
        <v>500</v>
      </c>
      <c r="X212" s="256">
        <v>53.31</v>
      </c>
      <c r="Y212" s="256">
        <v>5.0599999999999996</v>
      </c>
      <c r="Z212" s="256">
        <v>17.5</v>
      </c>
      <c r="AA212" s="256">
        <v>23.65</v>
      </c>
      <c r="AB212" s="256">
        <v>218.1</v>
      </c>
      <c r="AC212" s="189">
        <f t="shared" si="77"/>
        <v>893.76</v>
      </c>
      <c r="AD212" s="259">
        <f t="shared" si="78"/>
        <v>9783.3533333333344</v>
      </c>
    </row>
    <row r="213" spans="1:30" s="160" customFormat="1">
      <c r="A213" s="250">
        <v>208</v>
      </c>
      <c r="B213" s="251" t="s">
        <v>432</v>
      </c>
      <c r="C213" s="252">
        <v>12</v>
      </c>
      <c r="D213" s="253">
        <v>1900</v>
      </c>
      <c r="E213" s="254">
        <f t="shared" si="74"/>
        <v>22800</v>
      </c>
      <c r="F213" s="255">
        <f t="shared" si="79"/>
        <v>8099.0666666666666</v>
      </c>
      <c r="G213" s="256">
        <f t="shared" si="80"/>
        <v>291.33333333333331</v>
      </c>
      <c r="H213" s="256">
        <f t="shared" si="81"/>
        <v>2330.6666666666665</v>
      </c>
      <c r="I213" s="256">
        <f t="shared" si="82"/>
        <v>1165.3333333333333</v>
      </c>
      <c r="J213" s="256">
        <f t="shared" si="83"/>
        <v>1900</v>
      </c>
      <c r="K213" s="256">
        <f t="shared" si="84"/>
        <v>1900</v>
      </c>
      <c r="L213" s="256">
        <f t="shared" si="85"/>
        <v>633.33333333333337</v>
      </c>
      <c r="M213" s="256">
        <f t="shared" si="86"/>
        <v>1900</v>
      </c>
      <c r="N213" s="255">
        <v>0</v>
      </c>
      <c r="O213" s="256">
        <v>0</v>
      </c>
      <c r="P213" s="256">
        <f>(R213+E213)/210*1.75*1.2</f>
        <v>296.39999999999998</v>
      </c>
      <c r="Q213" s="256">
        <f>P213/6</f>
        <v>49.4</v>
      </c>
      <c r="R213" s="256">
        <f>E213*30%</f>
        <v>6840</v>
      </c>
      <c r="S213" s="257">
        <v>0</v>
      </c>
      <c r="T213" s="256">
        <f t="shared" ref="T213:T215" si="89">(E213+R213+N213+O213)/30*2</f>
        <v>1976</v>
      </c>
      <c r="U213" s="258">
        <f t="shared" si="76"/>
        <v>27381.533333333336</v>
      </c>
      <c r="V213" s="256">
        <v>76.14</v>
      </c>
      <c r="W213" s="256">
        <v>500</v>
      </c>
      <c r="X213" s="256">
        <v>53.31</v>
      </c>
      <c r="Y213" s="256">
        <v>5.0599999999999996</v>
      </c>
      <c r="Z213" s="256">
        <v>17.5</v>
      </c>
      <c r="AA213" s="256">
        <v>23.65</v>
      </c>
      <c r="AB213" s="256">
        <v>218.1</v>
      </c>
      <c r="AC213" s="189">
        <f t="shared" si="77"/>
        <v>893.76</v>
      </c>
      <c r="AD213" s="259">
        <f t="shared" si="78"/>
        <v>51075.293333333342</v>
      </c>
    </row>
    <row r="214" spans="1:30" s="160" customFormat="1">
      <c r="A214" s="250">
        <v>209</v>
      </c>
      <c r="B214" s="251" t="s">
        <v>433</v>
      </c>
      <c r="C214" s="252">
        <v>2</v>
      </c>
      <c r="D214" s="253">
        <v>1900</v>
      </c>
      <c r="E214" s="254">
        <f t="shared" si="74"/>
        <v>3800</v>
      </c>
      <c r="F214" s="255">
        <f t="shared" si="79"/>
        <v>1434.9433333333336</v>
      </c>
      <c r="G214" s="256">
        <f t="shared" si="80"/>
        <v>51.616666666666674</v>
      </c>
      <c r="H214" s="256">
        <f t="shared" si="81"/>
        <v>412.93333333333339</v>
      </c>
      <c r="I214" s="256">
        <f t="shared" si="82"/>
        <v>301.4666666666667</v>
      </c>
      <c r="J214" s="256">
        <f t="shared" si="83"/>
        <v>332.5</v>
      </c>
      <c r="K214" s="256">
        <f t="shared" si="84"/>
        <v>332.5</v>
      </c>
      <c r="L214" s="256">
        <f t="shared" si="85"/>
        <v>174.16666666666666</v>
      </c>
      <c r="M214" s="256">
        <f t="shared" si="86"/>
        <v>332.5</v>
      </c>
      <c r="N214" s="255">
        <f>(R214+E214)/210*20%*160</f>
        <v>752.76190476190482</v>
      </c>
      <c r="O214" s="256">
        <f>N214/6</f>
        <v>125.46031746031747</v>
      </c>
      <c r="P214" s="256">
        <f>(R214+E214)/210*1.75*1.2</f>
        <v>49.400000000000006</v>
      </c>
      <c r="Q214" s="256">
        <f>P214/6</f>
        <v>8.2333333333333343</v>
      </c>
      <c r="R214" s="256">
        <f>E214*30%</f>
        <v>1140</v>
      </c>
      <c r="S214" s="257">
        <v>190</v>
      </c>
      <c r="T214" s="256">
        <f t="shared" si="89"/>
        <v>387.88148148148144</v>
      </c>
      <c r="U214" s="258">
        <f t="shared" si="76"/>
        <v>6026.3637037037033</v>
      </c>
      <c r="V214" s="256">
        <v>76.14</v>
      </c>
      <c r="W214" s="256">
        <v>500</v>
      </c>
      <c r="X214" s="256">
        <v>53.31</v>
      </c>
      <c r="Y214" s="256">
        <v>5.0599999999999996</v>
      </c>
      <c r="Z214" s="256">
        <v>17.5</v>
      </c>
      <c r="AA214" s="256">
        <v>23.65</v>
      </c>
      <c r="AB214" s="256">
        <v>218.1</v>
      </c>
      <c r="AC214" s="189">
        <f t="shared" si="77"/>
        <v>893.76</v>
      </c>
      <c r="AD214" s="259">
        <f t="shared" si="78"/>
        <v>10720.123703703704</v>
      </c>
    </row>
    <row r="215" spans="1:30" s="160" customFormat="1">
      <c r="A215" s="250">
        <v>210</v>
      </c>
      <c r="B215" s="251" t="s">
        <v>434</v>
      </c>
      <c r="C215" s="252">
        <v>6</v>
      </c>
      <c r="D215" s="253">
        <v>1900</v>
      </c>
      <c r="E215" s="254">
        <f t="shared" si="74"/>
        <v>11400</v>
      </c>
      <c r="F215" s="255">
        <f t="shared" si="79"/>
        <v>4049.5333333333333</v>
      </c>
      <c r="G215" s="256">
        <f t="shared" si="80"/>
        <v>145.66666666666666</v>
      </c>
      <c r="H215" s="256">
        <f t="shared" si="81"/>
        <v>1165.3333333333333</v>
      </c>
      <c r="I215" s="256">
        <f t="shared" si="82"/>
        <v>582.66666666666663</v>
      </c>
      <c r="J215" s="256">
        <f t="shared" si="83"/>
        <v>950</v>
      </c>
      <c r="K215" s="256">
        <f t="shared" si="84"/>
        <v>950</v>
      </c>
      <c r="L215" s="256">
        <f t="shared" si="85"/>
        <v>316.66666666666669</v>
      </c>
      <c r="M215" s="256">
        <f t="shared" si="86"/>
        <v>950</v>
      </c>
      <c r="N215" s="255">
        <f>(R215+E215)/210*20%*160</f>
        <v>2258.2857142857142</v>
      </c>
      <c r="O215" s="256">
        <f>N215/6</f>
        <v>376.38095238095235</v>
      </c>
      <c r="P215" s="256">
        <f>(R215+E215)/210*1.75*1.2</f>
        <v>148.19999999999999</v>
      </c>
      <c r="Q215" s="256">
        <f>P215/6</f>
        <v>24.7</v>
      </c>
      <c r="R215" s="256">
        <f>E215*30%</f>
        <v>3420</v>
      </c>
      <c r="S215" s="257">
        <v>0</v>
      </c>
      <c r="T215" s="256">
        <f t="shared" si="89"/>
        <v>1163.6444444444446</v>
      </c>
      <c r="U215" s="258">
        <f t="shared" si="76"/>
        <v>16501.07777777778</v>
      </c>
      <c r="V215" s="256">
        <v>76.14</v>
      </c>
      <c r="W215" s="256">
        <v>500</v>
      </c>
      <c r="X215" s="256">
        <v>53.31</v>
      </c>
      <c r="Y215" s="256">
        <v>5.0599999999999996</v>
      </c>
      <c r="Z215" s="256">
        <v>17.5</v>
      </c>
      <c r="AA215" s="256">
        <v>23.65</v>
      </c>
      <c r="AB215" s="256">
        <v>218.1</v>
      </c>
      <c r="AC215" s="189">
        <f t="shared" si="77"/>
        <v>893.76</v>
      </c>
      <c r="AD215" s="259">
        <f t="shared" si="78"/>
        <v>28794.837777777779</v>
      </c>
    </row>
    <row r="216" spans="1:30" s="160" customFormat="1">
      <c r="A216" s="250">
        <v>211</v>
      </c>
      <c r="B216" s="251" t="s">
        <v>461</v>
      </c>
      <c r="C216" s="252">
        <v>1</v>
      </c>
      <c r="D216" s="253">
        <v>6500</v>
      </c>
      <c r="E216" s="254">
        <f t="shared" si="74"/>
        <v>6500</v>
      </c>
      <c r="F216" s="255">
        <f t="shared" si="79"/>
        <v>2308.9444444444448</v>
      </c>
      <c r="G216" s="256">
        <f t="shared" si="80"/>
        <v>83.055555555555571</v>
      </c>
      <c r="H216" s="256">
        <f t="shared" si="81"/>
        <v>664.44444444444457</v>
      </c>
      <c r="I216" s="256">
        <f t="shared" si="82"/>
        <v>332.22222222222229</v>
      </c>
      <c r="J216" s="256">
        <f t="shared" si="83"/>
        <v>541.66666666666663</v>
      </c>
      <c r="K216" s="256">
        <f t="shared" si="84"/>
        <v>541.66666666666663</v>
      </c>
      <c r="L216" s="256">
        <f t="shared" si="85"/>
        <v>180.55555555555554</v>
      </c>
      <c r="M216" s="256">
        <f t="shared" si="86"/>
        <v>541.66666666666663</v>
      </c>
      <c r="N216" s="255">
        <v>0</v>
      </c>
      <c r="O216" s="256">
        <v>0</v>
      </c>
      <c r="P216" s="256">
        <v>0</v>
      </c>
      <c r="Q216" s="256">
        <v>0</v>
      </c>
      <c r="R216" s="256">
        <v>0</v>
      </c>
      <c r="S216" s="257">
        <v>0</v>
      </c>
      <c r="T216" s="256">
        <v>0</v>
      </c>
      <c r="U216" s="258">
        <f t="shared" si="76"/>
        <v>5194.2222222222235</v>
      </c>
      <c r="V216" s="256">
        <v>0</v>
      </c>
      <c r="W216" s="256">
        <v>500</v>
      </c>
      <c r="X216" s="256">
        <v>53.31</v>
      </c>
      <c r="Y216" s="256">
        <v>5.0599999999999996</v>
      </c>
      <c r="Z216" s="256">
        <v>17.5</v>
      </c>
      <c r="AA216" s="256">
        <v>23.65</v>
      </c>
      <c r="AB216" s="256">
        <v>218.1</v>
      </c>
      <c r="AC216" s="189">
        <f t="shared" si="77"/>
        <v>817.61999999999989</v>
      </c>
      <c r="AD216" s="259">
        <f t="shared" si="78"/>
        <v>12511.842222222222</v>
      </c>
    </row>
    <row r="217" spans="1:30" s="160" customFormat="1">
      <c r="A217" s="250">
        <v>212</v>
      </c>
      <c r="B217" s="251" t="s">
        <v>422</v>
      </c>
      <c r="C217" s="252">
        <v>1</v>
      </c>
      <c r="D217" s="253">
        <v>3773.6</v>
      </c>
      <c r="E217" s="254">
        <f t="shared" si="74"/>
        <v>3773.6</v>
      </c>
      <c r="F217" s="255">
        <f t="shared" si="79"/>
        <v>1340.4665777777775</v>
      </c>
      <c r="G217" s="256">
        <f t="shared" si="80"/>
        <v>48.218222222222209</v>
      </c>
      <c r="H217" s="256">
        <f t="shared" si="81"/>
        <v>385.74577777777768</v>
      </c>
      <c r="I217" s="256">
        <f t="shared" si="82"/>
        <v>192.87288888888884</v>
      </c>
      <c r="J217" s="256">
        <f t="shared" si="83"/>
        <v>314.46666666666664</v>
      </c>
      <c r="K217" s="256">
        <f t="shared" si="84"/>
        <v>314.46666666666664</v>
      </c>
      <c r="L217" s="256">
        <f t="shared" si="85"/>
        <v>104.82222222222221</v>
      </c>
      <c r="M217" s="256">
        <f t="shared" si="86"/>
        <v>314.46666666666664</v>
      </c>
      <c r="N217" s="255">
        <v>0</v>
      </c>
      <c r="O217" s="256">
        <v>0</v>
      </c>
      <c r="P217" s="256">
        <v>0</v>
      </c>
      <c r="Q217" s="256">
        <v>0</v>
      </c>
      <c r="R217" s="256">
        <f>E217*30%</f>
        <v>1132.08</v>
      </c>
      <c r="S217" s="257">
        <v>0</v>
      </c>
      <c r="T217" s="256">
        <v>0</v>
      </c>
      <c r="U217" s="258">
        <f t="shared" si="76"/>
        <v>4147.6056888888888</v>
      </c>
      <c r="V217" s="256">
        <v>0</v>
      </c>
      <c r="W217" s="256">
        <v>500</v>
      </c>
      <c r="X217" s="256">
        <v>53.31</v>
      </c>
      <c r="Y217" s="256">
        <v>5.0599999999999996</v>
      </c>
      <c r="Z217" s="256">
        <v>17.5</v>
      </c>
      <c r="AA217" s="256">
        <v>23.65</v>
      </c>
      <c r="AB217" s="256">
        <v>218.1</v>
      </c>
      <c r="AC217" s="189">
        <f t="shared" si="77"/>
        <v>817.61999999999989</v>
      </c>
      <c r="AD217" s="259">
        <f t="shared" si="78"/>
        <v>8738.82568888889</v>
      </c>
    </row>
    <row r="218" spans="1:30" s="160" customFormat="1">
      <c r="A218" s="250">
        <v>213</v>
      </c>
      <c r="B218" s="251" t="s">
        <v>423</v>
      </c>
      <c r="C218" s="252">
        <v>1</v>
      </c>
      <c r="D218" s="253">
        <v>2600</v>
      </c>
      <c r="E218" s="254">
        <f t="shared" si="74"/>
        <v>2600</v>
      </c>
      <c r="F218" s="255">
        <f t="shared" si="79"/>
        <v>923.57777777777767</v>
      </c>
      <c r="G218" s="256">
        <f t="shared" si="80"/>
        <v>33.222222222222214</v>
      </c>
      <c r="H218" s="256">
        <f t="shared" si="81"/>
        <v>265.77777777777771</v>
      </c>
      <c r="I218" s="256">
        <f t="shared" si="82"/>
        <v>132.88888888888886</v>
      </c>
      <c r="J218" s="256">
        <f t="shared" si="83"/>
        <v>216.66666666666666</v>
      </c>
      <c r="K218" s="256">
        <f t="shared" si="84"/>
        <v>216.66666666666666</v>
      </c>
      <c r="L218" s="256">
        <f t="shared" si="85"/>
        <v>72.222222222222214</v>
      </c>
      <c r="M218" s="256">
        <f t="shared" si="86"/>
        <v>216.66666666666666</v>
      </c>
      <c r="N218" s="255">
        <v>0</v>
      </c>
      <c r="O218" s="256">
        <v>0</v>
      </c>
      <c r="P218" s="256">
        <f>E218/150*1.75</f>
        <v>30.333333333333332</v>
      </c>
      <c r="Q218" s="256">
        <f>P218/25*5</f>
        <v>6.0666666666666664</v>
      </c>
      <c r="R218" s="256">
        <v>0</v>
      </c>
      <c r="S218" s="257">
        <v>0</v>
      </c>
      <c r="T218" s="256">
        <v>0</v>
      </c>
      <c r="U218" s="258">
        <f t="shared" si="76"/>
        <v>2114.088888888889</v>
      </c>
      <c r="V218" s="256">
        <v>111.67</v>
      </c>
      <c r="W218" s="256">
        <v>500</v>
      </c>
      <c r="X218" s="256">
        <v>53.31</v>
      </c>
      <c r="Y218" s="256">
        <v>5.0599999999999996</v>
      </c>
      <c r="Z218" s="256">
        <v>17.5</v>
      </c>
      <c r="AA218" s="256">
        <v>23.65</v>
      </c>
      <c r="AB218" s="256">
        <v>218.1</v>
      </c>
      <c r="AC218" s="189">
        <f t="shared" si="77"/>
        <v>929.29</v>
      </c>
      <c r="AD218" s="259">
        <f t="shared" si="78"/>
        <v>5643.3788888888894</v>
      </c>
    </row>
    <row r="219" spans="1:30" s="160" customFormat="1">
      <c r="A219" s="250">
        <v>214</v>
      </c>
      <c r="B219" s="251" t="s">
        <v>424</v>
      </c>
      <c r="C219" s="252">
        <v>1</v>
      </c>
      <c r="D219" s="253">
        <v>2600</v>
      </c>
      <c r="E219" s="254">
        <f t="shared" si="74"/>
        <v>2600</v>
      </c>
      <c r="F219" s="255">
        <f t="shared" si="79"/>
        <v>923.57777777777767</v>
      </c>
      <c r="G219" s="256">
        <f t="shared" si="80"/>
        <v>33.222222222222214</v>
      </c>
      <c r="H219" s="256">
        <f t="shared" si="81"/>
        <v>265.77777777777771</v>
      </c>
      <c r="I219" s="256">
        <f t="shared" si="82"/>
        <v>132.88888888888886</v>
      </c>
      <c r="J219" s="256">
        <f t="shared" si="83"/>
        <v>216.66666666666666</v>
      </c>
      <c r="K219" s="256">
        <f t="shared" si="84"/>
        <v>216.66666666666666</v>
      </c>
      <c r="L219" s="256">
        <f t="shared" si="85"/>
        <v>72.222222222222214</v>
      </c>
      <c r="M219" s="256">
        <f t="shared" si="86"/>
        <v>216.66666666666666</v>
      </c>
      <c r="N219" s="255">
        <v>0</v>
      </c>
      <c r="O219" s="256">
        <v>0</v>
      </c>
      <c r="P219" s="256">
        <f t="shared" ref="P219:P226" si="90">E219/150*1.75</f>
        <v>30.333333333333332</v>
      </c>
      <c r="Q219" s="256">
        <f t="shared" ref="Q219:Q226" si="91">P219/25*5</f>
        <v>6.0666666666666664</v>
      </c>
      <c r="R219" s="256">
        <v>0</v>
      </c>
      <c r="S219" s="257">
        <v>0</v>
      </c>
      <c r="T219" s="256">
        <v>0</v>
      </c>
      <c r="U219" s="258">
        <f t="shared" si="76"/>
        <v>2114.088888888889</v>
      </c>
      <c r="V219" s="256">
        <v>111.67</v>
      </c>
      <c r="W219" s="256">
        <v>500</v>
      </c>
      <c r="X219" s="256">
        <v>53.31</v>
      </c>
      <c r="Y219" s="256">
        <v>5.0599999999999996</v>
      </c>
      <c r="Z219" s="256">
        <v>17.5</v>
      </c>
      <c r="AA219" s="256">
        <v>23.65</v>
      </c>
      <c r="AB219" s="256">
        <v>218.1</v>
      </c>
      <c r="AC219" s="189">
        <f t="shared" si="77"/>
        <v>929.29</v>
      </c>
      <c r="AD219" s="259">
        <f t="shared" si="78"/>
        <v>5643.3788888888894</v>
      </c>
    </row>
    <row r="220" spans="1:30" s="160" customFormat="1">
      <c r="A220" s="250">
        <v>215</v>
      </c>
      <c r="B220" s="251" t="s">
        <v>425</v>
      </c>
      <c r="C220" s="252">
        <v>1</v>
      </c>
      <c r="D220" s="253">
        <v>2600</v>
      </c>
      <c r="E220" s="254">
        <f t="shared" si="74"/>
        <v>2600</v>
      </c>
      <c r="F220" s="255">
        <f t="shared" si="79"/>
        <v>923.57777777777767</v>
      </c>
      <c r="G220" s="256">
        <f t="shared" si="80"/>
        <v>33.222222222222214</v>
      </c>
      <c r="H220" s="256">
        <f t="shared" si="81"/>
        <v>265.77777777777771</v>
      </c>
      <c r="I220" s="256">
        <f t="shared" si="82"/>
        <v>132.88888888888886</v>
      </c>
      <c r="J220" s="256">
        <f t="shared" si="83"/>
        <v>216.66666666666666</v>
      </c>
      <c r="K220" s="256">
        <f t="shared" si="84"/>
        <v>216.66666666666666</v>
      </c>
      <c r="L220" s="256">
        <f t="shared" si="85"/>
        <v>72.222222222222214</v>
      </c>
      <c r="M220" s="256">
        <f t="shared" si="86"/>
        <v>216.66666666666666</v>
      </c>
      <c r="N220" s="255">
        <v>0</v>
      </c>
      <c r="O220" s="256">
        <v>0</v>
      </c>
      <c r="P220" s="256">
        <f t="shared" si="90"/>
        <v>30.333333333333332</v>
      </c>
      <c r="Q220" s="256">
        <f t="shared" si="91"/>
        <v>6.0666666666666664</v>
      </c>
      <c r="R220" s="256">
        <v>0</v>
      </c>
      <c r="S220" s="257">
        <v>0</v>
      </c>
      <c r="T220" s="256">
        <v>0</v>
      </c>
      <c r="U220" s="258">
        <f t="shared" si="76"/>
        <v>2114.088888888889</v>
      </c>
      <c r="V220" s="256">
        <v>111.67</v>
      </c>
      <c r="W220" s="256">
        <v>500</v>
      </c>
      <c r="X220" s="256">
        <v>53.31</v>
      </c>
      <c r="Y220" s="256">
        <v>5.0599999999999996</v>
      </c>
      <c r="Z220" s="256">
        <v>17.5</v>
      </c>
      <c r="AA220" s="256">
        <v>23.65</v>
      </c>
      <c r="AB220" s="256">
        <v>218.1</v>
      </c>
      <c r="AC220" s="189">
        <f t="shared" si="77"/>
        <v>929.29</v>
      </c>
      <c r="AD220" s="259">
        <f t="shared" si="78"/>
        <v>5643.3788888888894</v>
      </c>
    </row>
    <row r="221" spans="1:30" s="160" customFormat="1">
      <c r="A221" s="250">
        <v>216</v>
      </c>
      <c r="B221" s="251" t="s">
        <v>426</v>
      </c>
      <c r="C221" s="252">
        <v>1</v>
      </c>
      <c r="D221" s="253">
        <v>2600</v>
      </c>
      <c r="E221" s="254">
        <f t="shared" si="74"/>
        <v>2600</v>
      </c>
      <c r="F221" s="255">
        <f t="shared" si="79"/>
        <v>923.57777777777767</v>
      </c>
      <c r="G221" s="256">
        <f t="shared" si="80"/>
        <v>33.222222222222214</v>
      </c>
      <c r="H221" s="256">
        <f t="shared" si="81"/>
        <v>265.77777777777771</v>
      </c>
      <c r="I221" s="256">
        <f t="shared" si="82"/>
        <v>132.88888888888886</v>
      </c>
      <c r="J221" s="256">
        <f t="shared" si="83"/>
        <v>216.66666666666666</v>
      </c>
      <c r="K221" s="256">
        <f t="shared" si="84"/>
        <v>216.66666666666666</v>
      </c>
      <c r="L221" s="256">
        <f t="shared" si="85"/>
        <v>72.222222222222214</v>
      </c>
      <c r="M221" s="256">
        <f t="shared" si="86"/>
        <v>216.66666666666666</v>
      </c>
      <c r="N221" s="255">
        <v>0</v>
      </c>
      <c r="O221" s="256">
        <v>0</v>
      </c>
      <c r="P221" s="256">
        <f t="shared" si="90"/>
        <v>30.333333333333332</v>
      </c>
      <c r="Q221" s="256">
        <f t="shared" si="91"/>
        <v>6.0666666666666664</v>
      </c>
      <c r="R221" s="256">
        <v>0</v>
      </c>
      <c r="S221" s="257">
        <v>0</v>
      </c>
      <c r="T221" s="256">
        <v>0</v>
      </c>
      <c r="U221" s="258">
        <f t="shared" si="76"/>
        <v>2114.088888888889</v>
      </c>
      <c r="V221" s="256">
        <v>111.67</v>
      </c>
      <c r="W221" s="256">
        <v>500</v>
      </c>
      <c r="X221" s="256">
        <v>53.31</v>
      </c>
      <c r="Y221" s="256">
        <v>5.0599999999999996</v>
      </c>
      <c r="Z221" s="256">
        <v>17.5</v>
      </c>
      <c r="AA221" s="256">
        <v>23.65</v>
      </c>
      <c r="AB221" s="256">
        <v>218.1</v>
      </c>
      <c r="AC221" s="189">
        <f t="shared" si="77"/>
        <v>929.29</v>
      </c>
      <c r="AD221" s="259">
        <f t="shared" si="78"/>
        <v>5643.3788888888894</v>
      </c>
    </row>
    <row r="222" spans="1:30" s="160" customFormat="1">
      <c r="A222" s="250">
        <v>217</v>
      </c>
      <c r="B222" s="251" t="s">
        <v>427</v>
      </c>
      <c r="C222" s="252">
        <v>1</v>
      </c>
      <c r="D222" s="253">
        <v>2600</v>
      </c>
      <c r="E222" s="254">
        <f t="shared" si="74"/>
        <v>2600</v>
      </c>
      <c r="F222" s="255">
        <f t="shared" si="79"/>
        <v>923.57777777777767</v>
      </c>
      <c r="G222" s="256">
        <f t="shared" si="80"/>
        <v>33.222222222222214</v>
      </c>
      <c r="H222" s="256">
        <f t="shared" si="81"/>
        <v>265.77777777777771</v>
      </c>
      <c r="I222" s="256">
        <f t="shared" si="82"/>
        <v>132.88888888888886</v>
      </c>
      <c r="J222" s="256">
        <f t="shared" si="83"/>
        <v>216.66666666666666</v>
      </c>
      <c r="K222" s="256">
        <f t="shared" si="84"/>
        <v>216.66666666666666</v>
      </c>
      <c r="L222" s="256">
        <f t="shared" si="85"/>
        <v>72.222222222222214</v>
      </c>
      <c r="M222" s="256">
        <f t="shared" si="86"/>
        <v>216.66666666666666</v>
      </c>
      <c r="N222" s="255">
        <v>0</v>
      </c>
      <c r="O222" s="256">
        <v>0</v>
      </c>
      <c r="P222" s="256">
        <f t="shared" si="90"/>
        <v>30.333333333333332</v>
      </c>
      <c r="Q222" s="256">
        <f t="shared" si="91"/>
        <v>6.0666666666666664</v>
      </c>
      <c r="R222" s="256">
        <v>0</v>
      </c>
      <c r="S222" s="257">
        <v>0</v>
      </c>
      <c r="T222" s="256">
        <v>0</v>
      </c>
      <c r="U222" s="258">
        <f t="shared" si="76"/>
        <v>2114.088888888889</v>
      </c>
      <c r="V222" s="256">
        <v>111.67</v>
      </c>
      <c r="W222" s="256">
        <v>500</v>
      </c>
      <c r="X222" s="256">
        <v>53.31</v>
      </c>
      <c r="Y222" s="256">
        <v>5.0599999999999996</v>
      </c>
      <c r="Z222" s="256">
        <v>17.5</v>
      </c>
      <c r="AA222" s="256">
        <v>23.65</v>
      </c>
      <c r="AB222" s="256">
        <v>218.1</v>
      </c>
      <c r="AC222" s="189">
        <f t="shared" si="77"/>
        <v>929.29</v>
      </c>
      <c r="AD222" s="259">
        <f t="shared" si="78"/>
        <v>5643.3788888888894</v>
      </c>
    </row>
    <row r="223" spans="1:30" s="160" customFormat="1">
      <c r="A223" s="250">
        <v>218</v>
      </c>
      <c r="B223" s="251" t="s">
        <v>428</v>
      </c>
      <c r="C223" s="252">
        <v>1</v>
      </c>
      <c r="D223" s="253">
        <v>1750</v>
      </c>
      <c r="E223" s="254">
        <f t="shared" si="74"/>
        <v>1750</v>
      </c>
      <c r="F223" s="255">
        <f t="shared" si="79"/>
        <v>621.63888888888903</v>
      </c>
      <c r="G223" s="256">
        <f t="shared" si="80"/>
        <v>22.361111111111114</v>
      </c>
      <c r="H223" s="256">
        <f t="shared" si="81"/>
        <v>178.88888888888891</v>
      </c>
      <c r="I223" s="256">
        <f t="shared" si="82"/>
        <v>89.444444444444457</v>
      </c>
      <c r="J223" s="256">
        <f t="shared" si="83"/>
        <v>145.83333333333334</v>
      </c>
      <c r="K223" s="256">
        <f t="shared" si="84"/>
        <v>145.83333333333334</v>
      </c>
      <c r="L223" s="256">
        <f t="shared" si="85"/>
        <v>48.611111111111114</v>
      </c>
      <c r="M223" s="256">
        <f t="shared" si="86"/>
        <v>145.83333333333334</v>
      </c>
      <c r="N223" s="255">
        <v>0</v>
      </c>
      <c r="O223" s="256">
        <v>0</v>
      </c>
      <c r="P223" s="256">
        <f t="shared" si="90"/>
        <v>20.416666666666664</v>
      </c>
      <c r="Q223" s="256">
        <f t="shared" si="91"/>
        <v>4.083333333333333</v>
      </c>
      <c r="R223" s="256">
        <v>0</v>
      </c>
      <c r="S223" s="257">
        <v>0</v>
      </c>
      <c r="T223" s="256">
        <v>0</v>
      </c>
      <c r="U223" s="258">
        <f t="shared" si="76"/>
        <v>1422.9444444444443</v>
      </c>
      <c r="V223" s="256">
        <v>111.67</v>
      </c>
      <c r="W223" s="256">
        <v>500</v>
      </c>
      <c r="X223" s="256">
        <v>53.31</v>
      </c>
      <c r="Y223" s="256">
        <v>5.0599999999999996</v>
      </c>
      <c r="Z223" s="256">
        <v>17.5</v>
      </c>
      <c r="AA223" s="256">
        <v>23.65</v>
      </c>
      <c r="AB223" s="256">
        <v>218.1</v>
      </c>
      <c r="AC223" s="189">
        <f t="shared" si="77"/>
        <v>929.29</v>
      </c>
      <c r="AD223" s="259">
        <f t="shared" si="78"/>
        <v>4102.2344444444443</v>
      </c>
    </row>
    <row r="224" spans="1:30" s="160" customFormat="1">
      <c r="A224" s="250">
        <v>219</v>
      </c>
      <c r="B224" s="251" t="s">
        <v>429</v>
      </c>
      <c r="C224" s="252">
        <v>1</v>
      </c>
      <c r="D224" s="253">
        <v>1642</v>
      </c>
      <c r="E224" s="254">
        <f t="shared" si="74"/>
        <v>1642</v>
      </c>
      <c r="F224" s="255">
        <f t="shared" si="79"/>
        <v>583.27488888888888</v>
      </c>
      <c r="G224" s="256">
        <f t="shared" si="80"/>
        <v>20.981111111111108</v>
      </c>
      <c r="H224" s="256">
        <f t="shared" si="81"/>
        <v>167.84888888888887</v>
      </c>
      <c r="I224" s="256">
        <f t="shared" si="82"/>
        <v>83.924444444444433</v>
      </c>
      <c r="J224" s="256">
        <f t="shared" si="83"/>
        <v>136.83333333333334</v>
      </c>
      <c r="K224" s="256">
        <f t="shared" si="84"/>
        <v>136.83333333333334</v>
      </c>
      <c r="L224" s="256">
        <f t="shared" si="85"/>
        <v>45.611111111111114</v>
      </c>
      <c r="M224" s="256">
        <f t="shared" si="86"/>
        <v>136.83333333333334</v>
      </c>
      <c r="N224" s="255">
        <v>0</v>
      </c>
      <c r="O224" s="256">
        <v>0</v>
      </c>
      <c r="P224" s="256">
        <f t="shared" si="90"/>
        <v>19.156666666666666</v>
      </c>
      <c r="Q224" s="256">
        <f t="shared" si="91"/>
        <v>3.8313333333333333</v>
      </c>
      <c r="R224" s="256">
        <v>0</v>
      </c>
      <c r="S224" s="257">
        <v>0</v>
      </c>
      <c r="T224" s="256">
        <v>0</v>
      </c>
      <c r="U224" s="258">
        <f t="shared" si="76"/>
        <v>1335.1284444444443</v>
      </c>
      <c r="V224" s="256">
        <v>111.67</v>
      </c>
      <c r="W224" s="256">
        <v>500</v>
      </c>
      <c r="X224" s="256">
        <v>53.31</v>
      </c>
      <c r="Y224" s="256">
        <v>5.0599999999999996</v>
      </c>
      <c r="Z224" s="256">
        <v>17.5</v>
      </c>
      <c r="AA224" s="256">
        <v>23.65</v>
      </c>
      <c r="AB224" s="256">
        <v>218.1</v>
      </c>
      <c r="AC224" s="189">
        <f t="shared" si="77"/>
        <v>929.29</v>
      </c>
      <c r="AD224" s="259">
        <f t="shared" si="78"/>
        <v>3906.4184444444445</v>
      </c>
    </row>
    <row r="225" spans="1:30" s="160" customFormat="1">
      <c r="A225" s="250">
        <v>220</v>
      </c>
      <c r="B225" s="251" t="s">
        <v>430</v>
      </c>
      <c r="C225" s="252">
        <v>1</v>
      </c>
      <c r="D225" s="253">
        <v>1385</v>
      </c>
      <c r="E225" s="254">
        <f t="shared" si="74"/>
        <v>1385</v>
      </c>
      <c r="F225" s="255">
        <f t="shared" si="79"/>
        <v>491.98277777777787</v>
      </c>
      <c r="G225" s="256">
        <f t="shared" si="80"/>
        <v>17.697222222222223</v>
      </c>
      <c r="H225" s="256">
        <f t="shared" si="81"/>
        <v>141.57777777777778</v>
      </c>
      <c r="I225" s="256">
        <f t="shared" si="82"/>
        <v>70.788888888888891</v>
      </c>
      <c r="J225" s="256">
        <f t="shared" si="83"/>
        <v>115.41666666666667</v>
      </c>
      <c r="K225" s="256">
        <f t="shared" si="84"/>
        <v>115.41666666666667</v>
      </c>
      <c r="L225" s="256">
        <f t="shared" si="85"/>
        <v>38.472222222222221</v>
      </c>
      <c r="M225" s="256">
        <f t="shared" si="86"/>
        <v>115.41666666666667</v>
      </c>
      <c r="N225" s="255">
        <v>0</v>
      </c>
      <c r="O225" s="256">
        <v>0</v>
      </c>
      <c r="P225" s="256">
        <f t="shared" si="90"/>
        <v>16.158333333333331</v>
      </c>
      <c r="Q225" s="256">
        <f t="shared" si="91"/>
        <v>3.231666666666666</v>
      </c>
      <c r="R225" s="256">
        <v>0</v>
      </c>
      <c r="S225" s="257">
        <v>0</v>
      </c>
      <c r="T225" s="256">
        <v>0</v>
      </c>
      <c r="U225" s="258">
        <f t="shared" si="76"/>
        <v>1126.1588888888887</v>
      </c>
      <c r="V225" s="256">
        <v>111.67</v>
      </c>
      <c r="W225" s="256">
        <v>500</v>
      </c>
      <c r="X225" s="256">
        <v>53.31</v>
      </c>
      <c r="Y225" s="256">
        <v>5.0599999999999996</v>
      </c>
      <c r="Z225" s="256">
        <v>17.5</v>
      </c>
      <c r="AA225" s="256">
        <v>23.65</v>
      </c>
      <c r="AB225" s="256">
        <v>218.1</v>
      </c>
      <c r="AC225" s="189">
        <f t="shared" si="77"/>
        <v>929.29</v>
      </c>
      <c r="AD225" s="259">
        <f t="shared" si="78"/>
        <v>3440.4488888888886</v>
      </c>
    </row>
    <row r="226" spans="1:30" s="160" customFormat="1">
      <c r="A226" s="250">
        <v>221</v>
      </c>
      <c r="B226" s="251" t="s">
        <v>431</v>
      </c>
      <c r="C226" s="252">
        <v>1</v>
      </c>
      <c r="D226" s="253">
        <v>1452.39</v>
      </c>
      <c r="E226" s="254">
        <f t="shared" si="74"/>
        <v>1452.39</v>
      </c>
      <c r="F226" s="255">
        <f t="shared" si="79"/>
        <v>515.92120333333344</v>
      </c>
      <c r="G226" s="256">
        <f t="shared" si="80"/>
        <v>18.55831666666667</v>
      </c>
      <c r="H226" s="256">
        <f t="shared" si="81"/>
        <v>148.46653333333336</v>
      </c>
      <c r="I226" s="256">
        <f t="shared" si="82"/>
        <v>74.23326666666668</v>
      </c>
      <c r="J226" s="256">
        <f t="shared" si="83"/>
        <v>121.03250000000001</v>
      </c>
      <c r="K226" s="256">
        <f t="shared" si="84"/>
        <v>121.03250000000001</v>
      </c>
      <c r="L226" s="256">
        <f t="shared" si="85"/>
        <v>40.344166666666673</v>
      </c>
      <c r="M226" s="256">
        <f t="shared" si="86"/>
        <v>121.03250000000001</v>
      </c>
      <c r="N226" s="255">
        <v>0</v>
      </c>
      <c r="O226" s="256">
        <v>0</v>
      </c>
      <c r="P226" s="256">
        <f t="shared" si="90"/>
        <v>16.94455</v>
      </c>
      <c r="Q226" s="256">
        <f t="shared" si="91"/>
        <v>3.3889100000000001</v>
      </c>
      <c r="R226" s="256">
        <v>0</v>
      </c>
      <c r="S226" s="257">
        <v>0</v>
      </c>
      <c r="T226" s="256">
        <v>0</v>
      </c>
      <c r="U226" s="258">
        <f t="shared" si="76"/>
        <v>1180.9544466666669</v>
      </c>
      <c r="V226" s="256">
        <v>111.67</v>
      </c>
      <c r="W226" s="256">
        <v>500</v>
      </c>
      <c r="X226" s="256">
        <v>53.31</v>
      </c>
      <c r="Y226" s="256">
        <v>5.0599999999999996</v>
      </c>
      <c r="Z226" s="256">
        <v>17.5</v>
      </c>
      <c r="AA226" s="256">
        <v>23.65</v>
      </c>
      <c r="AB226" s="256">
        <v>218.1</v>
      </c>
      <c r="AC226" s="189">
        <f t="shared" si="77"/>
        <v>929.29</v>
      </c>
      <c r="AD226" s="259">
        <f t="shared" si="78"/>
        <v>3562.6344466666669</v>
      </c>
    </row>
    <row r="227" spans="1:30" s="160" customFormat="1">
      <c r="A227" s="250">
        <v>222</v>
      </c>
      <c r="B227" s="251" t="s">
        <v>435</v>
      </c>
      <c r="C227" s="252">
        <v>2</v>
      </c>
      <c r="D227" s="253">
        <v>1900</v>
      </c>
      <c r="E227" s="254">
        <f t="shared" si="74"/>
        <v>3800</v>
      </c>
      <c r="F227" s="255">
        <f t="shared" si="79"/>
        <v>1434.9433333333336</v>
      </c>
      <c r="G227" s="256">
        <f t="shared" si="80"/>
        <v>51.616666666666674</v>
      </c>
      <c r="H227" s="256">
        <f t="shared" si="81"/>
        <v>412.93333333333339</v>
      </c>
      <c r="I227" s="256">
        <f t="shared" si="82"/>
        <v>301.4666666666667</v>
      </c>
      <c r="J227" s="256">
        <f t="shared" si="83"/>
        <v>332.5</v>
      </c>
      <c r="K227" s="256">
        <f t="shared" si="84"/>
        <v>332.5</v>
      </c>
      <c r="L227" s="256">
        <f t="shared" si="85"/>
        <v>174.16666666666666</v>
      </c>
      <c r="M227" s="256">
        <f t="shared" si="86"/>
        <v>332.5</v>
      </c>
      <c r="N227" s="255">
        <v>0</v>
      </c>
      <c r="O227" s="256">
        <v>0</v>
      </c>
      <c r="P227" s="256">
        <f>(R227+E227)/210*1.75*1.2</f>
        <v>49.400000000000006</v>
      </c>
      <c r="Q227" s="256">
        <f>P227/6</f>
        <v>8.2333333333333343</v>
      </c>
      <c r="R227" s="256">
        <f>E227*30%</f>
        <v>1140</v>
      </c>
      <c r="S227" s="257">
        <v>190</v>
      </c>
      <c r="T227" s="256">
        <f>(E227+R227+N227+O227)/30*2</f>
        <v>329.33333333333331</v>
      </c>
      <c r="U227" s="258">
        <f t="shared" si="76"/>
        <v>5089.5933333333332</v>
      </c>
      <c r="V227" s="256">
        <v>76.14</v>
      </c>
      <c r="W227" s="256">
        <v>500</v>
      </c>
      <c r="X227" s="256">
        <v>53.31</v>
      </c>
      <c r="Y227" s="256">
        <v>5.0599999999999996</v>
      </c>
      <c r="Z227" s="256">
        <v>17.5</v>
      </c>
      <c r="AA227" s="256">
        <v>23.65</v>
      </c>
      <c r="AB227" s="256">
        <v>218.1</v>
      </c>
      <c r="AC227" s="189">
        <f t="shared" si="77"/>
        <v>893.76</v>
      </c>
      <c r="AD227" s="259">
        <f t="shared" si="78"/>
        <v>9783.3533333333344</v>
      </c>
    </row>
    <row r="228" spans="1:30" s="160" customFormat="1">
      <c r="A228" s="250">
        <v>223</v>
      </c>
      <c r="B228" s="251" t="s">
        <v>432</v>
      </c>
      <c r="C228" s="252">
        <v>12</v>
      </c>
      <c r="D228" s="253">
        <v>1900</v>
      </c>
      <c r="E228" s="254">
        <f t="shared" si="74"/>
        <v>22800</v>
      </c>
      <c r="F228" s="255">
        <f t="shared" si="79"/>
        <v>8099.0666666666666</v>
      </c>
      <c r="G228" s="256">
        <f t="shared" si="80"/>
        <v>291.33333333333331</v>
      </c>
      <c r="H228" s="256">
        <f t="shared" si="81"/>
        <v>2330.6666666666665</v>
      </c>
      <c r="I228" s="256">
        <f t="shared" si="82"/>
        <v>1165.3333333333333</v>
      </c>
      <c r="J228" s="256">
        <f t="shared" si="83"/>
        <v>1900</v>
      </c>
      <c r="K228" s="256">
        <f t="shared" si="84"/>
        <v>1900</v>
      </c>
      <c r="L228" s="256">
        <f t="shared" si="85"/>
        <v>633.33333333333337</v>
      </c>
      <c r="M228" s="256">
        <f t="shared" si="86"/>
        <v>1900</v>
      </c>
      <c r="N228" s="255">
        <v>0</v>
      </c>
      <c r="O228" s="256">
        <v>0</v>
      </c>
      <c r="P228" s="256">
        <f>(R228+E228)/210*1.75*1.2</f>
        <v>296.39999999999998</v>
      </c>
      <c r="Q228" s="256">
        <f>P228/6</f>
        <v>49.4</v>
      </c>
      <c r="R228" s="256">
        <f>E228*30%</f>
        <v>6840</v>
      </c>
      <c r="S228" s="257">
        <v>0</v>
      </c>
      <c r="T228" s="256">
        <f t="shared" ref="T228:T230" si="92">(E228+R228+N228+O228)/30*2</f>
        <v>1976</v>
      </c>
      <c r="U228" s="258">
        <f t="shared" si="76"/>
        <v>27381.533333333336</v>
      </c>
      <c r="V228" s="256">
        <v>76.14</v>
      </c>
      <c r="W228" s="256">
        <v>500</v>
      </c>
      <c r="X228" s="256">
        <v>53.31</v>
      </c>
      <c r="Y228" s="256">
        <v>5.0599999999999996</v>
      </c>
      <c r="Z228" s="256">
        <v>17.5</v>
      </c>
      <c r="AA228" s="256">
        <v>23.65</v>
      </c>
      <c r="AB228" s="256">
        <v>218.1</v>
      </c>
      <c r="AC228" s="189">
        <f t="shared" si="77"/>
        <v>893.76</v>
      </c>
      <c r="AD228" s="259">
        <f t="shared" si="78"/>
        <v>51075.293333333342</v>
      </c>
    </row>
    <row r="229" spans="1:30" s="160" customFormat="1">
      <c r="A229" s="250">
        <v>224</v>
      </c>
      <c r="B229" s="251" t="s">
        <v>433</v>
      </c>
      <c r="C229" s="252">
        <v>2</v>
      </c>
      <c r="D229" s="253">
        <v>1900</v>
      </c>
      <c r="E229" s="254">
        <f t="shared" si="74"/>
        <v>3800</v>
      </c>
      <c r="F229" s="255">
        <f t="shared" si="79"/>
        <v>1434.9433333333336</v>
      </c>
      <c r="G229" s="256">
        <f t="shared" si="80"/>
        <v>51.616666666666674</v>
      </c>
      <c r="H229" s="256">
        <f t="shared" si="81"/>
        <v>412.93333333333339</v>
      </c>
      <c r="I229" s="256">
        <f t="shared" si="82"/>
        <v>301.4666666666667</v>
      </c>
      <c r="J229" s="256">
        <f t="shared" si="83"/>
        <v>332.5</v>
      </c>
      <c r="K229" s="256">
        <f t="shared" si="84"/>
        <v>332.5</v>
      </c>
      <c r="L229" s="256">
        <f t="shared" si="85"/>
        <v>174.16666666666666</v>
      </c>
      <c r="M229" s="256">
        <f t="shared" si="86"/>
        <v>332.5</v>
      </c>
      <c r="N229" s="255">
        <f>(R229+E229)/210*20%*160</f>
        <v>752.76190476190482</v>
      </c>
      <c r="O229" s="256">
        <f>N229/6</f>
        <v>125.46031746031747</v>
      </c>
      <c r="P229" s="256">
        <f>(R229+E229)/210*1.75*1.2</f>
        <v>49.400000000000006</v>
      </c>
      <c r="Q229" s="256">
        <f>P229/6</f>
        <v>8.2333333333333343</v>
      </c>
      <c r="R229" s="256">
        <f>E229*30%</f>
        <v>1140</v>
      </c>
      <c r="S229" s="257">
        <v>190</v>
      </c>
      <c r="T229" s="256">
        <f t="shared" si="92"/>
        <v>387.88148148148144</v>
      </c>
      <c r="U229" s="258">
        <f t="shared" si="76"/>
        <v>6026.3637037037033</v>
      </c>
      <c r="V229" s="256">
        <v>76.14</v>
      </c>
      <c r="W229" s="256">
        <v>500</v>
      </c>
      <c r="X229" s="256">
        <v>53.31</v>
      </c>
      <c r="Y229" s="256">
        <v>5.0599999999999996</v>
      </c>
      <c r="Z229" s="256">
        <v>17.5</v>
      </c>
      <c r="AA229" s="256">
        <v>23.65</v>
      </c>
      <c r="AB229" s="256">
        <v>218.1</v>
      </c>
      <c r="AC229" s="189">
        <f t="shared" si="77"/>
        <v>893.76</v>
      </c>
      <c r="AD229" s="259">
        <f t="shared" si="78"/>
        <v>10720.123703703704</v>
      </c>
    </row>
    <row r="230" spans="1:30" s="160" customFormat="1">
      <c r="A230" s="250">
        <v>225</v>
      </c>
      <c r="B230" s="251" t="s">
        <v>434</v>
      </c>
      <c r="C230" s="252">
        <v>6</v>
      </c>
      <c r="D230" s="253">
        <v>1900</v>
      </c>
      <c r="E230" s="254">
        <f t="shared" si="74"/>
        <v>11400</v>
      </c>
      <c r="F230" s="255">
        <f t="shared" si="79"/>
        <v>4049.5333333333333</v>
      </c>
      <c r="G230" s="256">
        <f t="shared" si="80"/>
        <v>145.66666666666666</v>
      </c>
      <c r="H230" s="256">
        <f t="shared" si="81"/>
        <v>1165.3333333333333</v>
      </c>
      <c r="I230" s="256">
        <f t="shared" si="82"/>
        <v>582.66666666666663</v>
      </c>
      <c r="J230" s="256">
        <f t="shared" si="83"/>
        <v>950</v>
      </c>
      <c r="K230" s="256">
        <f t="shared" si="84"/>
        <v>950</v>
      </c>
      <c r="L230" s="256">
        <f t="shared" si="85"/>
        <v>316.66666666666669</v>
      </c>
      <c r="M230" s="256">
        <f t="shared" si="86"/>
        <v>950</v>
      </c>
      <c r="N230" s="255">
        <f>(R230+E230)/210*20%*160</f>
        <v>2258.2857142857142</v>
      </c>
      <c r="O230" s="256">
        <f>N230/6</f>
        <v>376.38095238095235</v>
      </c>
      <c r="P230" s="256">
        <f>(R230+E230)/210*1.75*1.2</f>
        <v>148.19999999999999</v>
      </c>
      <c r="Q230" s="256">
        <f>P230/6</f>
        <v>24.7</v>
      </c>
      <c r="R230" s="256">
        <f>E230*30%</f>
        <v>3420</v>
      </c>
      <c r="S230" s="257">
        <v>0</v>
      </c>
      <c r="T230" s="256">
        <f t="shared" si="92"/>
        <v>1163.6444444444446</v>
      </c>
      <c r="U230" s="258">
        <f t="shared" si="76"/>
        <v>16501.07777777778</v>
      </c>
      <c r="V230" s="256">
        <v>76.14</v>
      </c>
      <c r="W230" s="256">
        <v>500</v>
      </c>
      <c r="X230" s="256">
        <v>53.31</v>
      </c>
      <c r="Y230" s="256">
        <v>5.0599999999999996</v>
      </c>
      <c r="Z230" s="256">
        <v>17.5</v>
      </c>
      <c r="AA230" s="256">
        <v>23.65</v>
      </c>
      <c r="AB230" s="256">
        <v>218.1</v>
      </c>
      <c r="AC230" s="189">
        <f t="shared" si="77"/>
        <v>893.76</v>
      </c>
      <c r="AD230" s="259">
        <f t="shared" si="78"/>
        <v>28794.837777777779</v>
      </c>
    </row>
    <row r="231" spans="1:30" s="160" customFormat="1">
      <c r="A231" s="250">
        <v>226</v>
      </c>
      <c r="B231" s="251" t="s">
        <v>461</v>
      </c>
      <c r="C231" s="252">
        <v>1</v>
      </c>
      <c r="D231" s="253">
        <v>6500</v>
      </c>
      <c r="E231" s="254">
        <f t="shared" si="74"/>
        <v>6500</v>
      </c>
      <c r="F231" s="255">
        <f t="shared" si="79"/>
        <v>2308.9444444444448</v>
      </c>
      <c r="G231" s="256">
        <f t="shared" si="80"/>
        <v>83.055555555555571</v>
      </c>
      <c r="H231" s="256">
        <f t="shared" si="81"/>
        <v>664.44444444444457</v>
      </c>
      <c r="I231" s="256">
        <f t="shared" si="82"/>
        <v>332.22222222222229</v>
      </c>
      <c r="J231" s="256">
        <f t="shared" si="83"/>
        <v>541.66666666666663</v>
      </c>
      <c r="K231" s="256">
        <f t="shared" si="84"/>
        <v>541.66666666666663</v>
      </c>
      <c r="L231" s="256">
        <f t="shared" si="85"/>
        <v>180.55555555555554</v>
      </c>
      <c r="M231" s="256">
        <f t="shared" si="86"/>
        <v>541.66666666666663</v>
      </c>
      <c r="N231" s="255">
        <v>0</v>
      </c>
      <c r="O231" s="256">
        <v>0</v>
      </c>
      <c r="P231" s="256">
        <v>0</v>
      </c>
      <c r="Q231" s="256">
        <v>0</v>
      </c>
      <c r="R231" s="256">
        <v>0</v>
      </c>
      <c r="S231" s="257">
        <v>0</v>
      </c>
      <c r="T231" s="256">
        <v>0</v>
      </c>
      <c r="U231" s="258">
        <f t="shared" si="76"/>
        <v>5194.2222222222235</v>
      </c>
      <c r="V231" s="256">
        <v>0</v>
      </c>
      <c r="W231" s="256">
        <v>500</v>
      </c>
      <c r="X231" s="256">
        <v>53.31</v>
      </c>
      <c r="Y231" s="256">
        <v>5.0599999999999996</v>
      </c>
      <c r="Z231" s="256">
        <v>17.5</v>
      </c>
      <c r="AA231" s="256">
        <v>23.65</v>
      </c>
      <c r="AB231" s="256">
        <v>218.1</v>
      </c>
      <c r="AC231" s="189">
        <f t="shared" si="77"/>
        <v>817.61999999999989</v>
      </c>
      <c r="AD231" s="259">
        <f t="shared" si="78"/>
        <v>12511.842222222222</v>
      </c>
    </row>
    <row r="232" spans="1:30" s="160" customFormat="1">
      <c r="A232" s="250">
        <v>227</v>
      </c>
      <c r="B232" s="251" t="s">
        <v>422</v>
      </c>
      <c r="C232" s="252">
        <v>1</v>
      </c>
      <c r="D232" s="253">
        <v>3773.6</v>
      </c>
      <c r="E232" s="254">
        <f t="shared" si="74"/>
        <v>3773.6</v>
      </c>
      <c r="F232" s="255">
        <f t="shared" si="79"/>
        <v>1340.4665777777775</v>
      </c>
      <c r="G232" s="256">
        <f t="shared" si="80"/>
        <v>48.218222222222209</v>
      </c>
      <c r="H232" s="256">
        <f t="shared" si="81"/>
        <v>385.74577777777768</v>
      </c>
      <c r="I232" s="256">
        <f t="shared" si="82"/>
        <v>192.87288888888884</v>
      </c>
      <c r="J232" s="256">
        <f t="shared" si="83"/>
        <v>314.46666666666664</v>
      </c>
      <c r="K232" s="256">
        <f t="shared" si="84"/>
        <v>314.46666666666664</v>
      </c>
      <c r="L232" s="256">
        <f t="shared" si="85"/>
        <v>104.82222222222221</v>
      </c>
      <c r="M232" s="256">
        <f t="shared" si="86"/>
        <v>314.46666666666664</v>
      </c>
      <c r="N232" s="255">
        <v>0</v>
      </c>
      <c r="O232" s="256">
        <v>0</v>
      </c>
      <c r="P232" s="256">
        <v>0</v>
      </c>
      <c r="Q232" s="256">
        <v>0</v>
      </c>
      <c r="R232" s="256">
        <f>E232*30%</f>
        <v>1132.08</v>
      </c>
      <c r="S232" s="257">
        <v>0</v>
      </c>
      <c r="T232" s="256">
        <v>0</v>
      </c>
      <c r="U232" s="258">
        <f t="shared" si="76"/>
        <v>4147.6056888888888</v>
      </c>
      <c r="V232" s="256">
        <v>0</v>
      </c>
      <c r="W232" s="256">
        <v>500</v>
      </c>
      <c r="X232" s="256">
        <v>53.31</v>
      </c>
      <c r="Y232" s="256">
        <v>5.0599999999999996</v>
      </c>
      <c r="Z232" s="256">
        <v>17.5</v>
      </c>
      <c r="AA232" s="256">
        <v>23.65</v>
      </c>
      <c r="AB232" s="256">
        <v>218.1</v>
      </c>
      <c r="AC232" s="189">
        <f t="shared" si="77"/>
        <v>817.61999999999989</v>
      </c>
      <c r="AD232" s="259">
        <f t="shared" si="78"/>
        <v>8738.82568888889</v>
      </c>
    </row>
    <row r="233" spans="1:30" s="160" customFormat="1">
      <c r="A233" s="250">
        <v>228</v>
      </c>
      <c r="B233" s="251" t="s">
        <v>423</v>
      </c>
      <c r="C233" s="252">
        <v>1</v>
      </c>
      <c r="D233" s="253">
        <v>2600</v>
      </c>
      <c r="E233" s="254">
        <f t="shared" si="74"/>
        <v>2600</v>
      </c>
      <c r="F233" s="255">
        <f t="shared" si="79"/>
        <v>923.57777777777767</v>
      </c>
      <c r="G233" s="256">
        <f t="shared" si="80"/>
        <v>33.222222222222214</v>
      </c>
      <c r="H233" s="256">
        <f t="shared" si="81"/>
        <v>265.77777777777771</v>
      </c>
      <c r="I233" s="256">
        <f t="shared" si="82"/>
        <v>132.88888888888886</v>
      </c>
      <c r="J233" s="256">
        <f t="shared" si="83"/>
        <v>216.66666666666666</v>
      </c>
      <c r="K233" s="256">
        <f t="shared" si="84"/>
        <v>216.66666666666666</v>
      </c>
      <c r="L233" s="256">
        <f t="shared" si="85"/>
        <v>72.222222222222214</v>
      </c>
      <c r="M233" s="256">
        <f t="shared" si="86"/>
        <v>216.66666666666666</v>
      </c>
      <c r="N233" s="255">
        <v>0</v>
      </c>
      <c r="O233" s="256">
        <v>0</v>
      </c>
      <c r="P233" s="256">
        <f>E233/150*1.75</f>
        <v>30.333333333333332</v>
      </c>
      <c r="Q233" s="256">
        <f>P233/25*5</f>
        <v>6.0666666666666664</v>
      </c>
      <c r="R233" s="256">
        <v>0</v>
      </c>
      <c r="S233" s="257">
        <v>0</v>
      </c>
      <c r="T233" s="256">
        <v>0</v>
      </c>
      <c r="U233" s="258">
        <f t="shared" si="76"/>
        <v>2114.088888888889</v>
      </c>
      <c r="V233" s="256">
        <v>111.67</v>
      </c>
      <c r="W233" s="256">
        <v>500</v>
      </c>
      <c r="X233" s="256">
        <v>53.31</v>
      </c>
      <c r="Y233" s="256">
        <v>5.0599999999999996</v>
      </c>
      <c r="Z233" s="256">
        <v>17.5</v>
      </c>
      <c r="AA233" s="256">
        <v>23.65</v>
      </c>
      <c r="AB233" s="256">
        <v>218.1</v>
      </c>
      <c r="AC233" s="189">
        <f t="shared" si="77"/>
        <v>929.29</v>
      </c>
      <c r="AD233" s="259">
        <f t="shared" si="78"/>
        <v>5643.3788888888894</v>
      </c>
    </row>
    <row r="234" spans="1:30" s="160" customFormat="1">
      <c r="A234" s="250">
        <v>229</v>
      </c>
      <c r="B234" s="251" t="s">
        <v>424</v>
      </c>
      <c r="C234" s="252">
        <v>1</v>
      </c>
      <c r="D234" s="253">
        <v>2600</v>
      </c>
      <c r="E234" s="254">
        <f t="shared" si="74"/>
        <v>2600</v>
      </c>
      <c r="F234" s="255">
        <f t="shared" si="79"/>
        <v>923.57777777777767</v>
      </c>
      <c r="G234" s="256">
        <f t="shared" si="80"/>
        <v>33.222222222222214</v>
      </c>
      <c r="H234" s="256">
        <f t="shared" si="81"/>
        <v>265.77777777777771</v>
      </c>
      <c r="I234" s="256">
        <f t="shared" si="82"/>
        <v>132.88888888888886</v>
      </c>
      <c r="J234" s="256">
        <f t="shared" si="83"/>
        <v>216.66666666666666</v>
      </c>
      <c r="K234" s="256">
        <f t="shared" si="84"/>
        <v>216.66666666666666</v>
      </c>
      <c r="L234" s="256">
        <f t="shared" si="85"/>
        <v>72.222222222222214</v>
      </c>
      <c r="M234" s="256">
        <f t="shared" si="86"/>
        <v>216.66666666666666</v>
      </c>
      <c r="N234" s="255">
        <v>0</v>
      </c>
      <c r="O234" s="256">
        <v>0</v>
      </c>
      <c r="P234" s="256">
        <f t="shared" ref="P234:P241" si="93">E234/150*1.75</f>
        <v>30.333333333333332</v>
      </c>
      <c r="Q234" s="256">
        <f t="shared" ref="Q234:Q241" si="94">P234/25*5</f>
        <v>6.0666666666666664</v>
      </c>
      <c r="R234" s="256">
        <v>0</v>
      </c>
      <c r="S234" s="257">
        <v>0</v>
      </c>
      <c r="T234" s="256">
        <v>0</v>
      </c>
      <c r="U234" s="258">
        <f t="shared" si="76"/>
        <v>2114.088888888889</v>
      </c>
      <c r="V234" s="256">
        <v>111.67</v>
      </c>
      <c r="W234" s="256">
        <v>500</v>
      </c>
      <c r="X234" s="256">
        <v>53.31</v>
      </c>
      <c r="Y234" s="256">
        <v>5.0599999999999996</v>
      </c>
      <c r="Z234" s="256">
        <v>17.5</v>
      </c>
      <c r="AA234" s="256">
        <v>23.65</v>
      </c>
      <c r="AB234" s="256">
        <v>218.1</v>
      </c>
      <c r="AC234" s="189">
        <f t="shared" si="77"/>
        <v>929.29</v>
      </c>
      <c r="AD234" s="259">
        <f t="shared" si="78"/>
        <v>5643.3788888888894</v>
      </c>
    </row>
    <row r="235" spans="1:30" s="160" customFormat="1">
      <c r="A235" s="250">
        <v>230</v>
      </c>
      <c r="B235" s="251" t="s">
        <v>425</v>
      </c>
      <c r="C235" s="252">
        <v>1</v>
      </c>
      <c r="D235" s="253">
        <v>2600</v>
      </c>
      <c r="E235" s="254">
        <f t="shared" si="74"/>
        <v>2600</v>
      </c>
      <c r="F235" s="255">
        <f t="shared" si="79"/>
        <v>923.57777777777767</v>
      </c>
      <c r="G235" s="256">
        <f t="shared" si="80"/>
        <v>33.222222222222214</v>
      </c>
      <c r="H235" s="256">
        <f t="shared" si="81"/>
        <v>265.77777777777771</v>
      </c>
      <c r="I235" s="256">
        <f t="shared" si="82"/>
        <v>132.88888888888886</v>
      </c>
      <c r="J235" s="256">
        <f t="shared" si="83"/>
        <v>216.66666666666666</v>
      </c>
      <c r="K235" s="256">
        <f t="shared" si="84"/>
        <v>216.66666666666666</v>
      </c>
      <c r="L235" s="256">
        <f t="shared" si="85"/>
        <v>72.222222222222214</v>
      </c>
      <c r="M235" s="256">
        <f t="shared" si="86"/>
        <v>216.66666666666666</v>
      </c>
      <c r="N235" s="255">
        <v>0</v>
      </c>
      <c r="O235" s="256">
        <v>0</v>
      </c>
      <c r="P235" s="256">
        <f t="shared" si="93"/>
        <v>30.333333333333332</v>
      </c>
      <c r="Q235" s="256">
        <f t="shared" si="94"/>
        <v>6.0666666666666664</v>
      </c>
      <c r="R235" s="256">
        <v>0</v>
      </c>
      <c r="S235" s="257">
        <v>0</v>
      </c>
      <c r="T235" s="256">
        <v>0</v>
      </c>
      <c r="U235" s="258">
        <f t="shared" si="76"/>
        <v>2114.088888888889</v>
      </c>
      <c r="V235" s="256">
        <v>111.67</v>
      </c>
      <c r="W235" s="256">
        <v>500</v>
      </c>
      <c r="X235" s="256">
        <v>53.31</v>
      </c>
      <c r="Y235" s="256">
        <v>5.0599999999999996</v>
      </c>
      <c r="Z235" s="256">
        <v>17.5</v>
      </c>
      <c r="AA235" s="256">
        <v>23.65</v>
      </c>
      <c r="AB235" s="256">
        <v>218.1</v>
      </c>
      <c r="AC235" s="189">
        <f t="shared" si="77"/>
        <v>929.29</v>
      </c>
      <c r="AD235" s="259">
        <f t="shared" si="78"/>
        <v>5643.3788888888894</v>
      </c>
    </row>
    <row r="236" spans="1:30" s="160" customFormat="1">
      <c r="A236" s="250">
        <v>231</v>
      </c>
      <c r="B236" s="251" t="s">
        <v>426</v>
      </c>
      <c r="C236" s="252">
        <v>1</v>
      </c>
      <c r="D236" s="253">
        <v>2600</v>
      </c>
      <c r="E236" s="254">
        <f t="shared" si="74"/>
        <v>2600</v>
      </c>
      <c r="F236" s="255">
        <f t="shared" si="79"/>
        <v>923.57777777777767</v>
      </c>
      <c r="G236" s="256">
        <f t="shared" si="80"/>
        <v>33.222222222222214</v>
      </c>
      <c r="H236" s="256">
        <f t="shared" si="81"/>
        <v>265.77777777777771</v>
      </c>
      <c r="I236" s="256">
        <f t="shared" si="82"/>
        <v>132.88888888888886</v>
      </c>
      <c r="J236" s="256">
        <f t="shared" si="83"/>
        <v>216.66666666666666</v>
      </c>
      <c r="K236" s="256">
        <f t="shared" si="84"/>
        <v>216.66666666666666</v>
      </c>
      <c r="L236" s="256">
        <f t="shared" si="85"/>
        <v>72.222222222222214</v>
      </c>
      <c r="M236" s="256">
        <f t="shared" si="86"/>
        <v>216.66666666666666</v>
      </c>
      <c r="N236" s="255">
        <v>0</v>
      </c>
      <c r="O236" s="256">
        <v>0</v>
      </c>
      <c r="P236" s="256">
        <f t="shared" si="93"/>
        <v>30.333333333333332</v>
      </c>
      <c r="Q236" s="256">
        <f t="shared" si="94"/>
        <v>6.0666666666666664</v>
      </c>
      <c r="R236" s="256">
        <v>0</v>
      </c>
      <c r="S236" s="257">
        <v>0</v>
      </c>
      <c r="T236" s="256">
        <v>0</v>
      </c>
      <c r="U236" s="258">
        <f t="shared" si="76"/>
        <v>2114.088888888889</v>
      </c>
      <c r="V236" s="256">
        <v>111.67</v>
      </c>
      <c r="W236" s="256">
        <v>500</v>
      </c>
      <c r="X236" s="256">
        <v>53.31</v>
      </c>
      <c r="Y236" s="256">
        <v>5.0599999999999996</v>
      </c>
      <c r="Z236" s="256">
        <v>17.5</v>
      </c>
      <c r="AA236" s="256">
        <v>23.65</v>
      </c>
      <c r="AB236" s="256">
        <v>218.1</v>
      </c>
      <c r="AC236" s="189">
        <f t="shared" si="77"/>
        <v>929.29</v>
      </c>
      <c r="AD236" s="259">
        <f t="shared" si="78"/>
        <v>5643.3788888888894</v>
      </c>
    </row>
    <row r="237" spans="1:30" s="160" customFormat="1">
      <c r="A237" s="250">
        <v>232</v>
      </c>
      <c r="B237" s="251" t="s">
        <v>427</v>
      </c>
      <c r="C237" s="252">
        <v>1</v>
      </c>
      <c r="D237" s="253">
        <v>2600</v>
      </c>
      <c r="E237" s="254">
        <f t="shared" si="74"/>
        <v>2600</v>
      </c>
      <c r="F237" s="255">
        <f t="shared" si="79"/>
        <v>923.57777777777767</v>
      </c>
      <c r="G237" s="256">
        <f t="shared" si="80"/>
        <v>33.222222222222214</v>
      </c>
      <c r="H237" s="256">
        <f t="shared" si="81"/>
        <v>265.77777777777771</v>
      </c>
      <c r="I237" s="256">
        <f t="shared" si="82"/>
        <v>132.88888888888886</v>
      </c>
      <c r="J237" s="256">
        <f t="shared" si="83"/>
        <v>216.66666666666666</v>
      </c>
      <c r="K237" s="256">
        <f t="shared" si="84"/>
        <v>216.66666666666666</v>
      </c>
      <c r="L237" s="256">
        <f t="shared" si="85"/>
        <v>72.222222222222214</v>
      </c>
      <c r="M237" s="256">
        <f t="shared" si="86"/>
        <v>216.66666666666666</v>
      </c>
      <c r="N237" s="255">
        <v>0</v>
      </c>
      <c r="O237" s="256">
        <v>0</v>
      </c>
      <c r="P237" s="256">
        <f t="shared" si="93"/>
        <v>30.333333333333332</v>
      </c>
      <c r="Q237" s="256">
        <f t="shared" si="94"/>
        <v>6.0666666666666664</v>
      </c>
      <c r="R237" s="256">
        <v>0</v>
      </c>
      <c r="S237" s="257">
        <v>0</v>
      </c>
      <c r="T237" s="256">
        <v>0</v>
      </c>
      <c r="U237" s="258">
        <f t="shared" si="76"/>
        <v>2114.088888888889</v>
      </c>
      <c r="V237" s="256">
        <v>111.67</v>
      </c>
      <c r="W237" s="256">
        <v>500</v>
      </c>
      <c r="X237" s="256">
        <v>53.31</v>
      </c>
      <c r="Y237" s="256">
        <v>5.0599999999999996</v>
      </c>
      <c r="Z237" s="256">
        <v>17.5</v>
      </c>
      <c r="AA237" s="256">
        <v>23.65</v>
      </c>
      <c r="AB237" s="256">
        <v>218.1</v>
      </c>
      <c r="AC237" s="189">
        <f t="shared" si="77"/>
        <v>929.29</v>
      </c>
      <c r="AD237" s="259">
        <f t="shared" si="78"/>
        <v>5643.3788888888894</v>
      </c>
    </row>
    <row r="238" spans="1:30" s="160" customFormat="1">
      <c r="A238" s="250">
        <v>233</v>
      </c>
      <c r="B238" s="251" t="s">
        <v>428</v>
      </c>
      <c r="C238" s="252">
        <v>1</v>
      </c>
      <c r="D238" s="253">
        <v>1750</v>
      </c>
      <c r="E238" s="254">
        <f t="shared" si="74"/>
        <v>1750</v>
      </c>
      <c r="F238" s="255">
        <f t="shared" si="79"/>
        <v>621.63888888888903</v>
      </c>
      <c r="G238" s="256">
        <f t="shared" si="80"/>
        <v>22.361111111111114</v>
      </c>
      <c r="H238" s="256">
        <f t="shared" si="81"/>
        <v>178.88888888888891</v>
      </c>
      <c r="I238" s="256">
        <f t="shared" si="82"/>
        <v>89.444444444444457</v>
      </c>
      <c r="J238" s="256">
        <f t="shared" si="83"/>
        <v>145.83333333333334</v>
      </c>
      <c r="K238" s="256">
        <f t="shared" si="84"/>
        <v>145.83333333333334</v>
      </c>
      <c r="L238" s="256">
        <f t="shared" si="85"/>
        <v>48.611111111111114</v>
      </c>
      <c r="M238" s="256">
        <f t="shared" si="86"/>
        <v>145.83333333333334</v>
      </c>
      <c r="N238" s="255">
        <v>0</v>
      </c>
      <c r="O238" s="256">
        <v>0</v>
      </c>
      <c r="P238" s="256">
        <f t="shared" si="93"/>
        <v>20.416666666666664</v>
      </c>
      <c r="Q238" s="256">
        <f t="shared" si="94"/>
        <v>4.083333333333333</v>
      </c>
      <c r="R238" s="256">
        <v>0</v>
      </c>
      <c r="S238" s="257">
        <v>0</v>
      </c>
      <c r="T238" s="256">
        <v>0</v>
      </c>
      <c r="U238" s="258">
        <f t="shared" si="76"/>
        <v>1422.9444444444443</v>
      </c>
      <c r="V238" s="256">
        <v>111.67</v>
      </c>
      <c r="W238" s="256">
        <v>500</v>
      </c>
      <c r="X238" s="256">
        <v>53.31</v>
      </c>
      <c r="Y238" s="256">
        <v>5.0599999999999996</v>
      </c>
      <c r="Z238" s="256">
        <v>17.5</v>
      </c>
      <c r="AA238" s="256">
        <v>23.65</v>
      </c>
      <c r="AB238" s="256">
        <v>218.1</v>
      </c>
      <c r="AC238" s="189">
        <f t="shared" si="77"/>
        <v>929.29</v>
      </c>
      <c r="AD238" s="259">
        <f t="shared" si="78"/>
        <v>4102.2344444444443</v>
      </c>
    </row>
    <row r="239" spans="1:30" s="160" customFormat="1">
      <c r="A239" s="250">
        <v>234</v>
      </c>
      <c r="B239" s="251" t="s">
        <v>429</v>
      </c>
      <c r="C239" s="252">
        <v>1</v>
      </c>
      <c r="D239" s="253">
        <v>1642</v>
      </c>
      <c r="E239" s="254">
        <f t="shared" si="74"/>
        <v>1642</v>
      </c>
      <c r="F239" s="255">
        <f t="shared" si="79"/>
        <v>583.27488888888888</v>
      </c>
      <c r="G239" s="256">
        <f t="shared" si="80"/>
        <v>20.981111111111108</v>
      </c>
      <c r="H239" s="256">
        <f t="shared" si="81"/>
        <v>167.84888888888887</v>
      </c>
      <c r="I239" s="256">
        <f t="shared" si="82"/>
        <v>83.924444444444433</v>
      </c>
      <c r="J239" s="256">
        <f t="shared" si="83"/>
        <v>136.83333333333334</v>
      </c>
      <c r="K239" s="256">
        <f t="shared" si="84"/>
        <v>136.83333333333334</v>
      </c>
      <c r="L239" s="256">
        <f t="shared" si="85"/>
        <v>45.611111111111114</v>
      </c>
      <c r="M239" s="256">
        <f t="shared" si="86"/>
        <v>136.83333333333334</v>
      </c>
      <c r="N239" s="255">
        <v>0</v>
      </c>
      <c r="O239" s="256">
        <v>0</v>
      </c>
      <c r="P239" s="256">
        <f t="shared" si="93"/>
        <v>19.156666666666666</v>
      </c>
      <c r="Q239" s="256">
        <f t="shared" si="94"/>
        <v>3.8313333333333333</v>
      </c>
      <c r="R239" s="256">
        <v>0</v>
      </c>
      <c r="S239" s="257">
        <v>0</v>
      </c>
      <c r="T239" s="256">
        <v>0</v>
      </c>
      <c r="U239" s="258">
        <f t="shared" si="76"/>
        <v>1335.1284444444443</v>
      </c>
      <c r="V239" s="256">
        <v>111.67</v>
      </c>
      <c r="W239" s="256">
        <v>500</v>
      </c>
      <c r="X239" s="256">
        <v>53.31</v>
      </c>
      <c r="Y239" s="256">
        <v>5.0599999999999996</v>
      </c>
      <c r="Z239" s="256">
        <v>17.5</v>
      </c>
      <c r="AA239" s="256">
        <v>23.65</v>
      </c>
      <c r="AB239" s="256">
        <v>218.1</v>
      </c>
      <c r="AC239" s="189">
        <f t="shared" si="77"/>
        <v>929.29</v>
      </c>
      <c r="AD239" s="259">
        <f t="shared" si="78"/>
        <v>3906.4184444444445</v>
      </c>
    </row>
    <row r="240" spans="1:30" s="160" customFormat="1">
      <c r="A240" s="250">
        <v>235</v>
      </c>
      <c r="B240" s="251" t="s">
        <v>430</v>
      </c>
      <c r="C240" s="252">
        <v>1</v>
      </c>
      <c r="D240" s="253">
        <v>1385</v>
      </c>
      <c r="E240" s="254">
        <f t="shared" si="74"/>
        <v>1385</v>
      </c>
      <c r="F240" s="255">
        <f t="shared" si="79"/>
        <v>491.98277777777787</v>
      </c>
      <c r="G240" s="256">
        <f t="shared" si="80"/>
        <v>17.697222222222223</v>
      </c>
      <c r="H240" s="256">
        <f t="shared" si="81"/>
        <v>141.57777777777778</v>
      </c>
      <c r="I240" s="256">
        <f t="shared" si="82"/>
        <v>70.788888888888891</v>
      </c>
      <c r="J240" s="256">
        <f t="shared" si="83"/>
        <v>115.41666666666667</v>
      </c>
      <c r="K240" s="256">
        <f t="shared" si="84"/>
        <v>115.41666666666667</v>
      </c>
      <c r="L240" s="256">
        <f t="shared" si="85"/>
        <v>38.472222222222221</v>
      </c>
      <c r="M240" s="256">
        <f t="shared" si="86"/>
        <v>115.41666666666667</v>
      </c>
      <c r="N240" s="255">
        <v>0</v>
      </c>
      <c r="O240" s="256">
        <v>0</v>
      </c>
      <c r="P240" s="256">
        <f t="shared" si="93"/>
        <v>16.158333333333331</v>
      </c>
      <c r="Q240" s="256">
        <f t="shared" si="94"/>
        <v>3.231666666666666</v>
      </c>
      <c r="R240" s="256">
        <v>0</v>
      </c>
      <c r="S240" s="257">
        <v>0</v>
      </c>
      <c r="T240" s="256">
        <v>0</v>
      </c>
      <c r="U240" s="258">
        <f t="shared" si="76"/>
        <v>1126.1588888888887</v>
      </c>
      <c r="V240" s="256">
        <v>111.67</v>
      </c>
      <c r="W240" s="256">
        <v>500</v>
      </c>
      <c r="X240" s="256">
        <v>53.31</v>
      </c>
      <c r="Y240" s="256">
        <v>5.0599999999999996</v>
      </c>
      <c r="Z240" s="256">
        <v>17.5</v>
      </c>
      <c r="AA240" s="256">
        <v>23.65</v>
      </c>
      <c r="AB240" s="256">
        <v>218.1</v>
      </c>
      <c r="AC240" s="189">
        <f t="shared" si="77"/>
        <v>929.29</v>
      </c>
      <c r="AD240" s="259">
        <f t="shared" si="78"/>
        <v>3440.4488888888886</v>
      </c>
    </row>
    <row r="241" spans="1:30" s="160" customFormat="1">
      <c r="A241" s="250">
        <v>236</v>
      </c>
      <c r="B241" s="251" t="s">
        <v>431</v>
      </c>
      <c r="C241" s="252">
        <v>1</v>
      </c>
      <c r="D241" s="253">
        <v>1452.39</v>
      </c>
      <c r="E241" s="254">
        <f t="shared" si="74"/>
        <v>1452.39</v>
      </c>
      <c r="F241" s="255">
        <f t="shared" si="79"/>
        <v>515.92120333333344</v>
      </c>
      <c r="G241" s="256">
        <f t="shared" si="80"/>
        <v>18.55831666666667</v>
      </c>
      <c r="H241" s="256">
        <f t="shared" si="81"/>
        <v>148.46653333333336</v>
      </c>
      <c r="I241" s="256">
        <f t="shared" si="82"/>
        <v>74.23326666666668</v>
      </c>
      <c r="J241" s="256">
        <f t="shared" si="83"/>
        <v>121.03250000000001</v>
      </c>
      <c r="K241" s="256">
        <f t="shared" si="84"/>
        <v>121.03250000000001</v>
      </c>
      <c r="L241" s="256">
        <f t="shared" si="85"/>
        <v>40.344166666666673</v>
      </c>
      <c r="M241" s="256">
        <f t="shared" si="86"/>
        <v>121.03250000000001</v>
      </c>
      <c r="N241" s="255">
        <v>0</v>
      </c>
      <c r="O241" s="256">
        <v>0</v>
      </c>
      <c r="P241" s="256">
        <f t="shared" si="93"/>
        <v>16.94455</v>
      </c>
      <c r="Q241" s="256">
        <f t="shared" si="94"/>
        <v>3.3889100000000001</v>
      </c>
      <c r="R241" s="256">
        <v>0</v>
      </c>
      <c r="S241" s="257">
        <v>0</v>
      </c>
      <c r="T241" s="256">
        <v>0</v>
      </c>
      <c r="U241" s="258">
        <f t="shared" si="76"/>
        <v>1180.9544466666669</v>
      </c>
      <c r="V241" s="256">
        <v>111.67</v>
      </c>
      <c r="W241" s="256">
        <v>500</v>
      </c>
      <c r="X241" s="256">
        <v>53.31</v>
      </c>
      <c r="Y241" s="256">
        <v>5.0599999999999996</v>
      </c>
      <c r="Z241" s="256">
        <v>17.5</v>
      </c>
      <c r="AA241" s="256">
        <v>23.65</v>
      </c>
      <c r="AB241" s="256">
        <v>218.1</v>
      </c>
      <c r="AC241" s="189">
        <f t="shared" si="77"/>
        <v>929.29</v>
      </c>
      <c r="AD241" s="259">
        <f t="shared" si="78"/>
        <v>3562.6344466666669</v>
      </c>
    </row>
    <row r="242" spans="1:30" s="160" customFormat="1">
      <c r="A242" s="250">
        <v>237</v>
      </c>
      <c r="B242" s="251" t="s">
        <v>435</v>
      </c>
      <c r="C242" s="252">
        <v>2</v>
      </c>
      <c r="D242" s="253">
        <v>1900</v>
      </c>
      <c r="E242" s="254">
        <f t="shared" si="74"/>
        <v>3800</v>
      </c>
      <c r="F242" s="255">
        <f t="shared" si="79"/>
        <v>1434.9433333333336</v>
      </c>
      <c r="G242" s="256">
        <f t="shared" si="80"/>
        <v>51.616666666666674</v>
      </c>
      <c r="H242" s="256">
        <f t="shared" si="81"/>
        <v>412.93333333333339</v>
      </c>
      <c r="I242" s="256">
        <f t="shared" si="82"/>
        <v>301.4666666666667</v>
      </c>
      <c r="J242" s="256">
        <f t="shared" si="83"/>
        <v>332.5</v>
      </c>
      <c r="K242" s="256">
        <f t="shared" si="84"/>
        <v>332.5</v>
      </c>
      <c r="L242" s="256">
        <f t="shared" si="85"/>
        <v>174.16666666666666</v>
      </c>
      <c r="M242" s="256">
        <f t="shared" si="86"/>
        <v>332.5</v>
      </c>
      <c r="N242" s="255">
        <v>0</v>
      </c>
      <c r="O242" s="256">
        <v>0</v>
      </c>
      <c r="P242" s="256">
        <f>(R242+E242)/210*1.75*1.2</f>
        <v>49.400000000000006</v>
      </c>
      <c r="Q242" s="256">
        <f>P242/6</f>
        <v>8.2333333333333343</v>
      </c>
      <c r="R242" s="256">
        <f>E242*30%</f>
        <v>1140</v>
      </c>
      <c r="S242" s="257">
        <v>190</v>
      </c>
      <c r="T242" s="256">
        <f>(E242+R242+N242+O242)/30*2</f>
        <v>329.33333333333331</v>
      </c>
      <c r="U242" s="258">
        <f t="shared" si="76"/>
        <v>5089.5933333333332</v>
      </c>
      <c r="V242" s="256">
        <v>76.14</v>
      </c>
      <c r="W242" s="256">
        <v>500</v>
      </c>
      <c r="X242" s="256">
        <v>53.31</v>
      </c>
      <c r="Y242" s="256">
        <v>5.0599999999999996</v>
      </c>
      <c r="Z242" s="256">
        <v>17.5</v>
      </c>
      <c r="AA242" s="256">
        <v>23.65</v>
      </c>
      <c r="AB242" s="256">
        <v>218.1</v>
      </c>
      <c r="AC242" s="189">
        <f t="shared" si="77"/>
        <v>893.76</v>
      </c>
      <c r="AD242" s="259">
        <f t="shared" si="78"/>
        <v>9783.3533333333344</v>
      </c>
    </row>
    <row r="243" spans="1:30" s="160" customFormat="1">
      <c r="A243" s="250">
        <v>238</v>
      </c>
      <c r="B243" s="251" t="s">
        <v>432</v>
      </c>
      <c r="C243" s="252">
        <v>12</v>
      </c>
      <c r="D243" s="253">
        <v>1900</v>
      </c>
      <c r="E243" s="254">
        <f t="shared" si="74"/>
        <v>22800</v>
      </c>
      <c r="F243" s="255">
        <f t="shared" si="79"/>
        <v>8099.0666666666666</v>
      </c>
      <c r="G243" s="256">
        <f t="shared" si="80"/>
        <v>291.33333333333331</v>
      </c>
      <c r="H243" s="256">
        <f t="shared" si="81"/>
        <v>2330.6666666666665</v>
      </c>
      <c r="I243" s="256">
        <f t="shared" si="82"/>
        <v>1165.3333333333333</v>
      </c>
      <c r="J243" s="256">
        <f t="shared" si="83"/>
        <v>1900</v>
      </c>
      <c r="K243" s="256">
        <f t="shared" si="84"/>
        <v>1900</v>
      </c>
      <c r="L243" s="256">
        <f t="shared" si="85"/>
        <v>633.33333333333337</v>
      </c>
      <c r="M243" s="256">
        <f t="shared" si="86"/>
        <v>1900</v>
      </c>
      <c r="N243" s="255">
        <v>0</v>
      </c>
      <c r="O243" s="256">
        <v>0</v>
      </c>
      <c r="P243" s="256">
        <f>(R243+E243)/210*1.75*1.2</f>
        <v>296.39999999999998</v>
      </c>
      <c r="Q243" s="256">
        <f>P243/6</f>
        <v>49.4</v>
      </c>
      <c r="R243" s="256">
        <f>E243*30%</f>
        <v>6840</v>
      </c>
      <c r="S243" s="257">
        <v>0</v>
      </c>
      <c r="T243" s="256">
        <f t="shared" ref="T243:T245" si="95">(E243+R243+N243+O243)/30*2</f>
        <v>1976</v>
      </c>
      <c r="U243" s="258">
        <f t="shared" si="76"/>
        <v>27381.533333333336</v>
      </c>
      <c r="V243" s="256">
        <v>76.14</v>
      </c>
      <c r="W243" s="256">
        <v>500</v>
      </c>
      <c r="X243" s="256">
        <v>53.31</v>
      </c>
      <c r="Y243" s="256">
        <v>5.0599999999999996</v>
      </c>
      <c r="Z243" s="256">
        <v>17.5</v>
      </c>
      <c r="AA243" s="256">
        <v>23.65</v>
      </c>
      <c r="AB243" s="256">
        <v>218.1</v>
      </c>
      <c r="AC243" s="189">
        <f t="shared" si="77"/>
        <v>893.76</v>
      </c>
      <c r="AD243" s="259">
        <f t="shared" si="78"/>
        <v>51075.293333333342</v>
      </c>
    </row>
    <row r="244" spans="1:30" s="160" customFormat="1">
      <c r="A244" s="250">
        <v>239</v>
      </c>
      <c r="B244" s="251" t="s">
        <v>433</v>
      </c>
      <c r="C244" s="252">
        <v>2</v>
      </c>
      <c r="D244" s="253">
        <v>1900</v>
      </c>
      <c r="E244" s="254">
        <f t="shared" si="74"/>
        <v>3800</v>
      </c>
      <c r="F244" s="255">
        <f t="shared" si="79"/>
        <v>1434.9433333333336</v>
      </c>
      <c r="G244" s="256">
        <f t="shared" si="80"/>
        <v>51.616666666666674</v>
      </c>
      <c r="H244" s="256">
        <f t="shared" si="81"/>
        <v>412.93333333333339</v>
      </c>
      <c r="I244" s="256">
        <f t="shared" si="82"/>
        <v>301.4666666666667</v>
      </c>
      <c r="J244" s="256">
        <f t="shared" si="83"/>
        <v>332.5</v>
      </c>
      <c r="K244" s="256">
        <f t="shared" si="84"/>
        <v>332.5</v>
      </c>
      <c r="L244" s="256">
        <f t="shared" si="85"/>
        <v>174.16666666666666</v>
      </c>
      <c r="M244" s="256">
        <f t="shared" si="86"/>
        <v>332.5</v>
      </c>
      <c r="N244" s="255">
        <f>(R244+E244)/210*20%*160</f>
        <v>752.76190476190482</v>
      </c>
      <c r="O244" s="256">
        <f>N244/6</f>
        <v>125.46031746031747</v>
      </c>
      <c r="P244" s="256">
        <f>(R244+E244)/210*1.75*1.2</f>
        <v>49.400000000000006</v>
      </c>
      <c r="Q244" s="256">
        <f>P244/6</f>
        <v>8.2333333333333343</v>
      </c>
      <c r="R244" s="256">
        <f>E244*30%</f>
        <v>1140</v>
      </c>
      <c r="S244" s="257">
        <v>190</v>
      </c>
      <c r="T244" s="256">
        <f t="shared" si="95"/>
        <v>387.88148148148144</v>
      </c>
      <c r="U244" s="258">
        <f t="shared" si="76"/>
        <v>6026.3637037037033</v>
      </c>
      <c r="V244" s="256">
        <v>76.14</v>
      </c>
      <c r="W244" s="256">
        <v>500</v>
      </c>
      <c r="X244" s="256">
        <v>53.31</v>
      </c>
      <c r="Y244" s="256">
        <v>5.0599999999999996</v>
      </c>
      <c r="Z244" s="256">
        <v>17.5</v>
      </c>
      <c r="AA244" s="256">
        <v>23.65</v>
      </c>
      <c r="AB244" s="256">
        <v>218.1</v>
      </c>
      <c r="AC244" s="189">
        <f t="shared" si="77"/>
        <v>893.76</v>
      </c>
      <c r="AD244" s="259">
        <f t="shared" si="78"/>
        <v>10720.123703703704</v>
      </c>
    </row>
    <row r="245" spans="1:30" s="160" customFormat="1">
      <c r="A245" s="250">
        <v>240</v>
      </c>
      <c r="B245" s="251" t="s">
        <v>434</v>
      </c>
      <c r="C245" s="252">
        <v>6</v>
      </c>
      <c r="D245" s="253">
        <v>1900</v>
      </c>
      <c r="E245" s="254">
        <f t="shared" si="74"/>
        <v>11400</v>
      </c>
      <c r="F245" s="255">
        <f t="shared" si="79"/>
        <v>4049.5333333333333</v>
      </c>
      <c r="G245" s="256">
        <f t="shared" si="80"/>
        <v>145.66666666666666</v>
      </c>
      <c r="H245" s="256">
        <f t="shared" si="81"/>
        <v>1165.3333333333333</v>
      </c>
      <c r="I245" s="256">
        <f t="shared" si="82"/>
        <v>582.66666666666663</v>
      </c>
      <c r="J245" s="256">
        <f t="shared" si="83"/>
        <v>950</v>
      </c>
      <c r="K245" s="256">
        <f t="shared" si="84"/>
        <v>950</v>
      </c>
      <c r="L245" s="256">
        <f t="shared" si="85"/>
        <v>316.66666666666669</v>
      </c>
      <c r="M245" s="256">
        <f t="shared" si="86"/>
        <v>950</v>
      </c>
      <c r="N245" s="255">
        <f>(R245+E245)/210*20%*160</f>
        <v>2258.2857142857142</v>
      </c>
      <c r="O245" s="256">
        <f>N245/6</f>
        <v>376.38095238095235</v>
      </c>
      <c r="P245" s="256">
        <f>(R245+E245)/210*1.75*1.2</f>
        <v>148.19999999999999</v>
      </c>
      <c r="Q245" s="256">
        <f>P245/6</f>
        <v>24.7</v>
      </c>
      <c r="R245" s="256">
        <f>E245*30%</f>
        <v>3420</v>
      </c>
      <c r="S245" s="257">
        <v>0</v>
      </c>
      <c r="T245" s="256">
        <f t="shared" si="95"/>
        <v>1163.6444444444446</v>
      </c>
      <c r="U245" s="258">
        <f t="shared" si="76"/>
        <v>16501.07777777778</v>
      </c>
      <c r="V245" s="256">
        <v>76.14</v>
      </c>
      <c r="W245" s="256">
        <v>500</v>
      </c>
      <c r="X245" s="256">
        <v>53.31</v>
      </c>
      <c r="Y245" s="256">
        <v>5.0599999999999996</v>
      </c>
      <c r="Z245" s="256">
        <v>17.5</v>
      </c>
      <c r="AA245" s="256">
        <v>23.65</v>
      </c>
      <c r="AB245" s="256">
        <v>218.1</v>
      </c>
      <c r="AC245" s="189">
        <f t="shared" si="77"/>
        <v>893.76</v>
      </c>
      <c r="AD245" s="259">
        <f t="shared" si="78"/>
        <v>28794.837777777779</v>
      </c>
    </row>
    <row r="246" spans="1:30" s="160" customFormat="1">
      <c r="A246" s="250">
        <v>241</v>
      </c>
      <c r="B246" s="251" t="s">
        <v>461</v>
      </c>
      <c r="C246" s="252">
        <v>1</v>
      </c>
      <c r="D246" s="253">
        <v>6500</v>
      </c>
      <c r="E246" s="254">
        <f t="shared" si="74"/>
        <v>6500</v>
      </c>
      <c r="F246" s="255">
        <f t="shared" si="79"/>
        <v>2308.9444444444448</v>
      </c>
      <c r="G246" s="256">
        <f t="shared" si="80"/>
        <v>83.055555555555571</v>
      </c>
      <c r="H246" s="256">
        <f t="shared" si="81"/>
        <v>664.44444444444457</v>
      </c>
      <c r="I246" s="256">
        <f t="shared" si="82"/>
        <v>332.22222222222229</v>
      </c>
      <c r="J246" s="256">
        <f t="shared" si="83"/>
        <v>541.66666666666663</v>
      </c>
      <c r="K246" s="256">
        <f t="shared" si="84"/>
        <v>541.66666666666663</v>
      </c>
      <c r="L246" s="256">
        <f t="shared" si="85"/>
        <v>180.55555555555554</v>
      </c>
      <c r="M246" s="256">
        <f t="shared" si="86"/>
        <v>541.66666666666663</v>
      </c>
      <c r="N246" s="255">
        <v>0</v>
      </c>
      <c r="O246" s="256">
        <v>0</v>
      </c>
      <c r="P246" s="256">
        <v>0</v>
      </c>
      <c r="Q246" s="256">
        <v>0</v>
      </c>
      <c r="R246" s="256">
        <v>0</v>
      </c>
      <c r="S246" s="257">
        <v>0</v>
      </c>
      <c r="T246" s="256">
        <v>0</v>
      </c>
      <c r="U246" s="258">
        <f t="shared" si="76"/>
        <v>5194.2222222222235</v>
      </c>
      <c r="V246" s="256">
        <v>0</v>
      </c>
      <c r="W246" s="256">
        <v>500</v>
      </c>
      <c r="X246" s="256">
        <v>53.31</v>
      </c>
      <c r="Y246" s="256">
        <v>5.0599999999999996</v>
      </c>
      <c r="Z246" s="256">
        <v>17.5</v>
      </c>
      <c r="AA246" s="256">
        <v>23.65</v>
      </c>
      <c r="AB246" s="256">
        <v>218.1</v>
      </c>
      <c r="AC246" s="189">
        <f t="shared" si="77"/>
        <v>817.61999999999989</v>
      </c>
      <c r="AD246" s="259">
        <f t="shared" si="78"/>
        <v>12511.842222222222</v>
      </c>
    </row>
    <row r="247" spans="1:30" s="160" customFormat="1">
      <c r="A247" s="250">
        <v>242</v>
      </c>
      <c r="B247" s="251" t="s">
        <v>422</v>
      </c>
      <c r="C247" s="252">
        <v>1</v>
      </c>
      <c r="D247" s="253">
        <v>3773.6</v>
      </c>
      <c r="E247" s="254">
        <f t="shared" si="74"/>
        <v>3773.6</v>
      </c>
      <c r="F247" s="255">
        <f t="shared" si="79"/>
        <v>1340.4665777777775</v>
      </c>
      <c r="G247" s="256">
        <f t="shared" si="80"/>
        <v>48.218222222222209</v>
      </c>
      <c r="H247" s="256">
        <f t="shared" si="81"/>
        <v>385.74577777777768</v>
      </c>
      <c r="I247" s="256">
        <f t="shared" si="82"/>
        <v>192.87288888888884</v>
      </c>
      <c r="J247" s="256">
        <f t="shared" si="83"/>
        <v>314.46666666666664</v>
      </c>
      <c r="K247" s="256">
        <f t="shared" si="84"/>
        <v>314.46666666666664</v>
      </c>
      <c r="L247" s="256">
        <f t="shared" si="85"/>
        <v>104.82222222222221</v>
      </c>
      <c r="M247" s="256">
        <f t="shared" si="86"/>
        <v>314.46666666666664</v>
      </c>
      <c r="N247" s="255">
        <v>0</v>
      </c>
      <c r="O247" s="256">
        <v>0</v>
      </c>
      <c r="P247" s="256">
        <v>0</v>
      </c>
      <c r="Q247" s="256">
        <v>0</v>
      </c>
      <c r="R247" s="256">
        <f>E247*30%</f>
        <v>1132.08</v>
      </c>
      <c r="S247" s="257">
        <v>0</v>
      </c>
      <c r="T247" s="256">
        <v>0</v>
      </c>
      <c r="U247" s="258">
        <f t="shared" si="76"/>
        <v>4147.6056888888888</v>
      </c>
      <c r="V247" s="256">
        <v>0</v>
      </c>
      <c r="W247" s="256">
        <v>500</v>
      </c>
      <c r="X247" s="256">
        <v>53.31</v>
      </c>
      <c r="Y247" s="256">
        <v>5.0599999999999996</v>
      </c>
      <c r="Z247" s="256">
        <v>17.5</v>
      </c>
      <c r="AA247" s="256">
        <v>23.65</v>
      </c>
      <c r="AB247" s="256">
        <v>218.1</v>
      </c>
      <c r="AC247" s="189">
        <f t="shared" si="77"/>
        <v>817.61999999999989</v>
      </c>
      <c r="AD247" s="259">
        <f t="shared" si="78"/>
        <v>8738.82568888889</v>
      </c>
    </row>
    <row r="248" spans="1:30" s="160" customFormat="1">
      <c r="A248" s="250">
        <v>243</v>
      </c>
      <c r="B248" s="251" t="s">
        <v>423</v>
      </c>
      <c r="C248" s="252">
        <v>1</v>
      </c>
      <c r="D248" s="253">
        <v>2600</v>
      </c>
      <c r="E248" s="254">
        <f t="shared" si="74"/>
        <v>2600</v>
      </c>
      <c r="F248" s="255">
        <f t="shared" si="79"/>
        <v>923.57777777777767</v>
      </c>
      <c r="G248" s="256">
        <f t="shared" si="80"/>
        <v>33.222222222222214</v>
      </c>
      <c r="H248" s="256">
        <f t="shared" si="81"/>
        <v>265.77777777777771</v>
      </c>
      <c r="I248" s="256">
        <f t="shared" si="82"/>
        <v>132.88888888888886</v>
      </c>
      <c r="J248" s="256">
        <f t="shared" si="83"/>
        <v>216.66666666666666</v>
      </c>
      <c r="K248" s="256">
        <f t="shared" si="84"/>
        <v>216.66666666666666</v>
      </c>
      <c r="L248" s="256">
        <f t="shared" si="85"/>
        <v>72.222222222222214</v>
      </c>
      <c r="M248" s="256">
        <f t="shared" si="86"/>
        <v>216.66666666666666</v>
      </c>
      <c r="N248" s="255">
        <v>0</v>
      </c>
      <c r="O248" s="256">
        <v>0</v>
      </c>
      <c r="P248" s="256">
        <f>E248/150*1.75</f>
        <v>30.333333333333332</v>
      </c>
      <c r="Q248" s="256">
        <f>P248/25*5</f>
        <v>6.0666666666666664</v>
      </c>
      <c r="R248" s="256">
        <v>0</v>
      </c>
      <c r="S248" s="257">
        <v>0</v>
      </c>
      <c r="T248" s="256">
        <v>0</v>
      </c>
      <c r="U248" s="258">
        <f t="shared" si="76"/>
        <v>2114.088888888889</v>
      </c>
      <c r="V248" s="256">
        <v>111.67</v>
      </c>
      <c r="W248" s="256">
        <v>500</v>
      </c>
      <c r="X248" s="256">
        <v>53.31</v>
      </c>
      <c r="Y248" s="256">
        <v>5.0599999999999996</v>
      </c>
      <c r="Z248" s="256">
        <v>17.5</v>
      </c>
      <c r="AA248" s="256">
        <v>23.65</v>
      </c>
      <c r="AB248" s="256">
        <v>218.1</v>
      </c>
      <c r="AC248" s="189">
        <f t="shared" si="77"/>
        <v>929.29</v>
      </c>
      <c r="AD248" s="259">
        <f t="shared" si="78"/>
        <v>5643.3788888888894</v>
      </c>
    </row>
    <row r="249" spans="1:30" s="160" customFormat="1">
      <c r="A249" s="250">
        <v>244</v>
      </c>
      <c r="B249" s="251" t="s">
        <v>424</v>
      </c>
      <c r="C249" s="252">
        <v>1</v>
      </c>
      <c r="D249" s="253">
        <v>2600</v>
      </c>
      <c r="E249" s="254">
        <f t="shared" si="74"/>
        <v>2600</v>
      </c>
      <c r="F249" s="255">
        <f t="shared" si="79"/>
        <v>923.57777777777767</v>
      </c>
      <c r="G249" s="256">
        <f t="shared" si="80"/>
        <v>33.222222222222214</v>
      </c>
      <c r="H249" s="256">
        <f t="shared" si="81"/>
        <v>265.77777777777771</v>
      </c>
      <c r="I249" s="256">
        <f t="shared" si="82"/>
        <v>132.88888888888886</v>
      </c>
      <c r="J249" s="256">
        <f t="shared" si="83"/>
        <v>216.66666666666666</v>
      </c>
      <c r="K249" s="256">
        <f t="shared" si="84"/>
        <v>216.66666666666666</v>
      </c>
      <c r="L249" s="256">
        <f t="shared" si="85"/>
        <v>72.222222222222214</v>
      </c>
      <c r="M249" s="256">
        <f t="shared" si="86"/>
        <v>216.66666666666666</v>
      </c>
      <c r="N249" s="255">
        <v>0</v>
      </c>
      <c r="O249" s="256">
        <v>0</v>
      </c>
      <c r="P249" s="256">
        <f t="shared" ref="P249:P256" si="96">E249/150*1.75</f>
        <v>30.333333333333332</v>
      </c>
      <c r="Q249" s="256">
        <f t="shared" ref="Q249:Q256" si="97">P249/25*5</f>
        <v>6.0666666666666664</v>
      </c>
      <c r="R249" s="256">
        <v>0</v>
      </c>
      <c r="S249" s="257">
        <v>0</v>
      </c>
      <c r="T249" s="256">
        <v>0</v>
      </c>
      <c r="U249" s="258">
        <f t="shared" si="76"/>
        <v>2114.088888888889</v>
      </c>
      <c r="V249" s="256">
        <v>111.67</v>
      </c>
      <c r="W249" s="256">
        <v>500</v>
      </c>
      <c r="X249" s="256">
        <v>53.31</v>
      </c>
      <c r="Y249" s="256">
        <v>5.0599999999999996</v>
      </c>
      <c r="Z249" s="256">
        <v>17.5</v>
      </c>
      <c r="AA249" s="256">
        <v>23.65</v>
      </c>
      <c r="AB249" s="256">
        <v>218.1</v>
      </c>
      <c r="AC249" s="189">
        <f t="shared" si="77"/>
        <v>929.29</v>
      </c>
      <c r="AD249" s="259">
        <f t="shared" si="78"/>
        <v>5643.3788888888894</v>
      </c>
    </row>
    <row r="250" spans="1:30" s="160" customFormat="1">
      <c r="A250" s="250">
        <v>245</v>
      </c>
      <c r="B250" s="251" t="s">
        <v>425</v>
      </c>
      <c r="C250" s="252">
        <v>1</v>
      </c>
      <c r="D250" s="253">
        <v>2600</v>
      </c>
      <c r="E250" s="254">
        <f t="shared" si="74"/>
        <v>2600</v>
      </c>
      <c r="F250" s="255">
        <f t="shared" si="79"/>
        <v>923.57777777777767</v>
      </c>
      <c r="G250" s="256">
        <f t="shared" si="80"/>
        <v>33.222222222222214</v>
      </c>
      <c r="H250" s="256">
        <f t="shared" si="81"/>
        <v>265.77777777777771</v>
      </c>
      <c r="I250" s="256">
        <f t="shared" si="82"/>
        <v>132.88888888888886</v>
      </c>
      <c r="J250" s="256">
        <f t="shared" si="83"/>
        <v>216.66666666666666</v>
      </c>
      <c r="K250" s="256">
        <f t="shared" si="84"/>
        <v>216.66666666666666</v>
      </c>
      <c r="L250" s="256">
        <f t="shared" si="85"/>
        <v>72.222222222222214</v>
      </c>
      <c r="M250" s="256">
        <f t="shared" si="86"/>
        <v>216.66666666666666</v>
      </c>
      <c r="N250" s="255">
        <v>0</v>
      </c>
      <c r="O250" s="256">
        <v>0</v>
      </c>
      <c r="P250" s="256">
        <f t="shared" si="96"/>
        <v>30.333333333333332</v>
      </c>
      <c r="Q250" s="256">
        <f t="shared" si="97"/>
        <v>6.0666666666666664</v>
      </c>
      <c r="R250" s="256">
        <v>0</v>
      </c>
      <c r="S250" s="257">
        <v>0</v>
      </c>
      <c r="T250" s="256">
        <v>0</v>
      </c>
      <c r="U250" s="258">
        <f t="shared" si="76"/>
        <v>2114.088888888889</v>
      </c>
      <c r="V250" s="256">
        <v>111.67</v>
      </c>
      <c r="W250" s="256">
        <v>500</v>
      </c>
      <c r="X250" s="256">
        <v>53.31</v>
      </c>
      <c r="Y250" s="256">
        <v>5.0599999999999996</v>
      </c>
      <c r="Z250" s="256">
        <v>17.5</v>
      </c>
      <c r="AA250" s="256">
        <v>23.65</v>
      </c>
      <c r="AB250" s="256">
        <v>218.1</v>
      </c>
      <c r="AC250" s="189">
        <f t="shared" si="77"/>
        <v>929.29</v>
      </c>
      <c r="AD250" s="259">
        <f t="shared" si="78"/>
        <v>5643.3788888888894</v>
      </c>
    </row>
    <row r="251" spans="1:30" s="160" customFormat="1">
      <c r="A251" s="250">
        <v>246</v>
      </c>
      <c r="B251" s="251" t="s">
        <v>426</v>
      </c>
      <c r="C251" s="252">
        <v>1</v>
      </c>
      <c r="D251" s="253">
        <v>2600</v>
      </c>
      <c r="E251" s="254">
        <f t="shared" si="74"/>
        <v>2600</v>
      </c>
      <c r="F251" s="255">
        <f t="shared" si="79"/>
        <v>923.57777777777767</v>
      </c>
      <c r="G251" s="256">
        <f t="shared" si="80"/>
        <v>33.222222222222214</v>
      </c>
      <c r="H251" s="256">
        <f t="shared" si="81"/>
        <v>265.77777777777771</v>
      </c>
      <c r="I251" s="256">
        <f t="shared" si="82"/>
        <v>132.88888888888886</v>
      </c>
      <c r="J251" s="256">
        <f t="shared" si="83"/>
        <v>216.66666666666666</v>
      </c>
      <c r="K251" s="256">
        <f t="shared" si="84"/>
        <v>216.66666666666666</v>
      </c>
      <c r="L251" s="256">
        <f t="shared" si="85"/>
        <v>72.222222222222214</v>
      </c>
      <c r="M251" s="256">
        <f t="shared" si="86"/>
        <v>216.66666666666666</v>
      </c>
      <c r="N251" s="255">
        <v>0</v>
      </c>
      <c r="O251" s="256">
        <v>0</v>
      </c>
      <c r="P251" s="256">
        <f t="shared" si="96"/>
        <v>30.333333333333332</v>
      </c>
      <c r="Q251" s="256">
        <f t="shared" si="97"/>
        <v>6.0666666666666664</v>
      </c>
      <c r="R251" s="256">
        <v>0</v>
      </c>
      <c r="S251" s="257">
        <v>0</v>
      </c>
      <c r="T251" s="256">
        <v>0</v>
      </c>
      <c r="U251" s="258">
        <f t="shared" si="76"/>
        <v>2114.088888888889</v>
      </c>
      <c r="V251" s="256">
        <v>111.67</v>
      </c>
      <c r="W251" s="256">
        <v>500</v>
      </c>
      <c r="X251" s="256">
        <v>53.31</v>
      </c>
      <c r="Y251" s="256">
        <v>5.0599999999999996</v>
      </c>
      <c r="Z251" s="256">
        <v>17.5</v>
      </c>
      <c r="AA251" s="256">
        <v>23.65</v>
      </c>
      <c r="AB251" s="256">
        <v>218.1</v>
      </c>
      <c r="AC251" s="189">
        <f t="shared" si="77"/>
        <v>929.29</v>
      </c>
      <c r="AD251" s="259">
        <f t="shared" si="78"/>
        <v>5643.3788888888894</v>
      </c>
    </row>
    <row r="252" spans="1:30" s="160" customFormat="1">
      <c r="A252" s="250">
        <v>247</v>
      </c>
      <c r="B252" s="251" t="s">
        <v>427</v>
      </c>
      <c r="C252" s="252">
        <v>1</v>
      </c>
      <c r="D252" s="253">
        <v>2600</v>
      </c>
      <c r="E252" s="254">
        <f t="shared" si="74"/>
        <v>2600</v>
      </c>
      <c r="F252" s="255">
        <f t="shared" si="79"/>
        <v>923.57777777777767</v>
      </c>
      <c r="G252" s="256">
        <f t="shared" si="80"/>
        <v>33.222222222222214</v>
      </c>
      <c r="H252" s="256">
        <f t="shared" si="81"/>
        <v>265.77777777777771</v>
      </c>
      <c r="I252" s="256">
        <f t="shared" si="82"/>
        <v>132.88888888888886</v>
      </c>
      <c r="J252" s="256">
        <f t="shared" si="83"/>
        <v>216.66666666666666</v>
      </c>
      <c r="K252" s="256">
        <f t="shared" si="84"/>
        <v>216.66666666666666</v>
      </c>
      <c r="L252" s="256">
        <f t="shared" si="85"/>
        <v>72.222222222222214</v>
      </c>
      <c r="M252" s="256">
        <f t="shared" si="86"/>
        <v>216.66666666666666</v>
      </c>
      <c r="N252" s="255">
        <v>0</v>
      </c>
      <c r="O252" s="256">
        <v>0</v>
      </c>
      <c r="P252" s="256">
        <f t="shared" si="96"/>
        <v>30.333333333333332</v>
      </c>
      <c r="Q252" s="256">
        <f t="shared" si="97"/>
        <v>6.0666666666666664</v>
      </c>
      <c r="R252" s="256">
        <v>0</v>
      </c>
      <c r="S252" s="257">
        <v>0</v>
      </c>
      <c r="T252" s="256">
        <v>0</v>
      </c>
      <c r="U252" s="258">
        <f t="shared" si="76"/>
        <v>2114.088888888889</v>
      </c>
      <c r="V252" s="256">
        <v>111.67</v>
      </c>
      <c r="W252" s="256">
        <v>500</v>
      </c>
      <c r="X252" s="256">
        <v>53.31</v>
      </c>
      <c r="Y252" s="256">
        <v>5.0599999999999996</v>
      </c>
      <c r="Z252" s="256">
        <v>17.5</v>
      </c>
      <c r="AA252" s="256">
        <v>23.65</v>
      </c>
      <c r="AB252" s="256">
        <v>218.1</v>
      </c>
      <c r="AC252" s="189">
        <f t="shared" si="77"/>
        <v>929.29</v>
      </c>
      <c r="AD252" s="259">
        <f t="shared" si="78"/>
        <v>5643.3788888888894</v>
      </c>
    </row>
    <row r="253" spans="1:30" s="160" customFormat="1">
      <c r="A253" s="250">
        <v>248</v>
      </c>
      <c r="B253" s="251" t="s">
        <v>428</v>
      </c>
      <c r="C253" s="252">
        <v>1</v>
      </c>
      <c r="D253" s="253">
        <v>1750</v>
      </c>
      <c r="E253" s="254">
        <f t="shared" si="74"/>
        <v>1750</v>
      </c>
      <c r="F253" s="255">
        <f t="shared" si="79"/>
        <v>621.63888888888903</v>
      </c>
      <c r="G253" s="256">
        <f t="shared" si="80"/>
        <v>22.361111111111114</v>
      </c>
      <c r="H253" s="256">
        <f t="shared" si="81"/>
        <v>178.88888888888891</v>
      </c>
      <c r="I253" s="256">
        <f t="shared" si="82"/>
        <v>89.444444444444457</v>
      </c>
      <c r="J253" s="256">
        <f t="shared" si="83"/>
        <v>145.83333333333334</v>
      </c>
      <c r="K253" s="256">
        <f t="shared" si="84"/>
        <v>145.83333333333334</v>
      </c>
      <c r="L253" s="256">
        <f t="shared" si="85"/>
        <v>48.611111111111114</v>
      </c>
      <c r="M253" s="256">
        <f t="shared" si="86"/>
        <v>145.83333333333334</v>
      </c>
      <c r="N253" s="255">
        <v>0</v>
      </c>
      <c r="O253" s="256">
        <v>0</v>
      </c>
      <c r="P253" s="256">
        <f t="shared" si="96"/>
        <v>20.416666666666664</v>
      </c>
      <c r="Q253" s="256">
        <f t="shared" si="97"/>
        <v>4.083333333333333</v>
      </c>
      <c r="R253" s="256">
        <v>0</v>
      </c>
      <c r="S253" s="257">
        <v>0</v>
      </c>
      <c r="T253" s="256">
        <v>0</v>
      </c>
      <c r="U253" s="258">
        <f t="shared" si="76"/>
        <v>1422.9444444444443</v>
      </c>
      <c r="V253" s="256">
        <v>111.67</v>
      </c>
      <c r="W253" s="256">
        <v>500</v>
      </c>
      <c r="X253" s="256">
        <v>53.31</v>
      </c>
      <c r="Y253" s="256">
        <v>5.0599999999999996</v>
      </c>
      <c r="Z253" s="256">
        <v>17.5</v>
      </c>
      <c r="AA253" s="256">
        <v>23.65</v>
      </c>
      <c r="AB253" s="256">
        <v>218.1</v>
      </c>
      <c r="AC253" s="189">
        <f t="shared" si="77"/>
        <v>929.29</v>
      </c>
      <c r="AD253" s="259">
        <f t="shared" si="78"/>
        <v>4102.2344444444443</v>
      </c>
    </row>
    <row r="254" spans="1:30" s="160" customFormat="1">
      <c r="A254" s="250">
        <v>249</v>
      </c>
      <c r="B254" s="251" t="s">
        <v>429</v>
      </c>
      <c r="C254" s="252">
        <v>1</v>
      </c>
      <c r="D254" s="253">
        <v>1642</v>
      </c>
      <c r="E254" s="254">
        <f t="shared" si="74"/>
        <v>1642</v>
      </c>
      <c r="F254" s="255">
        <f t="shared" si="79"/>
        <v>583.27488888888888</v>
      </c>
      <c r="G254" s="256">
        <f t="shared" si="80"/>
        <v>20.981111111111108</v>
      </c>
      <c r="H254" s="256">
        <f t="shared" si="81"/>
        <v>167.84888888888887</v>
      </c>
      <c r="I254" s="256">
        <f t="shared" si="82"/>
        <v>83.924444444444433</v>
      </c>
      <c r="J254" s="256">
        <f t="shared" si="83"/>
        <v>136.83333333333334</v>
      </c>
      <c r="K254" s="256">
        <f t="shared" si="84"/>
        <v>136.83333333333334</v>
      </c>
      <c r="L254" s="256">
        <f t="shared" si="85"/>
        <v>45.611111111111114</v>
      </c>
      <c r="M254" s="256">
        <f t="shared" si="86"/>
        <v>136.83333333333334</v>
      </c>
      <c r="N254" s="255">
        <v>0</v>
      </c>
      <c r="O254" s="256">
        <v>0</v>
      </c>
      <c r="P254" s="256">
        <f t="shared" si="96"/>
        <v>19.156666666666666</v>
      </c>
      <c r="Q254" s="256">
        <f t="shared" si="97"/>
        <v>3.8313333333333333</v>
      </c>
      <c r="R254" s="256">
        <v>0</v>
      </c>
      <c r="S254" s="257">
        <v>0</v>
      </c>
      <c r="T254" s="256">
        <v>0</v>
      </c>
      <c r="U254" s="258">
        <f t="shared" si="76"/>
        <v>1335.1284444444443</v>
      </c>
      <c r="V254" s="256">
        <v>111.67</v>
      </c>
      <c r="W254" s="256">
        <v>500</v>
      </c>
      <c r="X254" s="256">
        <v>53.31</v>
      </c>
      <c r="Y254" s="256">
        <v>5.0599999999999996</v>
      </c>
      <c r="Z254" s="256">
        <v>17.5</v>
      </c>
      <c r="AA254" s="256">
        <v>23.65</v>
      </c>
      <c r="AB254" s="256">
        <v>218.1</v>
      </c>
      <c r="AC254" s="189">
        <f t="shared" si="77"/>
        <v>929.29</v>
      </c>
      <c r="AD254" s="259">
        <f t="shared" si="78"/>
        <v>3906.4184444444445</v>
      </c>
    </row>
    <row r="255" spans="1:30" s="160" customFormat="1">
      <c r="A255" s="250">
        <v>250</v>
      </c>
      <c r="B255" s="251" t="s">
        <v>430</v>
      </c>
      <c r="C255" s="252">
        <v>1</v>
      </c>
      <c r="D255" s="253">
        <v>1385</v>
      </c>
      <c r="E255" s="254">
        <f t="shared" si="74"/>
        <v>1385</v>
      </c>
      <c r="F255" s="255">
        <f t="shared" si="79"/>
        <v>491.98277777777787</v>
      </c>
      <c r="G255" s="256">
        <f t="shared" si="80"/>
        <v>17.697222222222223</v>
      </c>
      <c r="H255" s="256">
        <f t="shared" si="81"/>
        <v>141.57777777777778</v>
      </c>
      <c r="I255" s="256">
        <f t="shared" si="82"/>
        <v>70.788888888888891</v>
      </c>
      <c r="J255" s="256">
        <f t="shared" si="83"/>
        <v>115.41666666666667</v>
      </c>
      <c r="K255" s="256">
        <f t="shared" si="84"/>
        <v>115.41666666666667</v>
      </c>
      <c r="L255" s="256">
        <f t="shared" si="85"/>
        <v>38.472222222222221</v>
      </c>
      <c r="M255" s="256">
        <f t="shared" si="86"/>
        <v>115.41666666666667</v>
      </c>
      <c r="N255" s="255">
        <v>0</v>
      </c>
      <c r="O255" s="256">
        <v>0</v>
      </c>
      <c r="P255" s="256">
        <f t="shared" si="96"/>
        <v>16.158333333333331</v>
      </c>
      <c r="Q255" s="256">
        <f t="shared" si="97"/>
        <v>3.231666666666666</v>
      </c>
      <c r="R255" s="256">
        <v>0</v>
      </c>
      <c r="S255" s="257">
        <v>0</v>
      </c>
      <c r="T255" s="256">
        <v>0</v>
      </c>
      <c r="U255" s="258">
        <f t="shared" si="76"/>
        <v>1126.1588888888887</v>
      </c>
      <c r="V255" s="256">
        <v>111.67</v>
      </c>
      <c r="W255" s="256">
        <v>500</v>
      </c>
      <c r="X255" s="256">
        <v>53.31</v>
      </c>
      <c r="Y255" s="256">
        <v>5.0599999999999996</v>
      </c>
      <c r="Z255" s="256">
        <v>17.5</v>
      </c>
      <c r="AA255" s="256">
        <v>23.65</v>
      </c>
      <c r="AB255" s="256">
        <v>218.1</v>
      </c>
      <c r="AC255" s="189">
        <f t="shared" si="77"/>
        <v>929.29</v>
      </c>
      <c r="AD255" s="259">
        <f t="shared" si="78"/>
        <v>3440.4488888888886</v>
      </c>
    </row>
    <row r="256" spans="1:30" s="160" customFormat="1">
      <c r="A256" s="250">
        <v>251</v>
      </c>
      <c r="B256" s="251" t="s">
        <v>431</v>
      </c>
      <c r="C256" s="252">
        <v>1</v>
      </c>
      <c r="D256" s="253">
        <v>1452.39</v>
      </c>
      <c r="E256" s="254">
        <f t="shared" si="74"/>
        <v>1452.39</v>
      </c>
      <c r="F256" s="255">
        <f t="shared" si="79"/>
        <v>515.92120333333344</v>
      </c>
      <c r="G256" s="256">
        <f t="shared" si="80"/>
        <v>18.55831666666667</v>
      </c>
      <c r="H256" s="256">
        <f t="shared" si="81"/>
        <v>148.46653333333336</v>
      </c>
      <c r="I256" s="256">
        <f t="shared" si="82"/>
        <v>74.23326666666668</v>
      </c>
      <c r="J256" s="256">
        <f t="shared" si="83"/>
        <v>121.03250000000001</v>
      </c>
      <c r="K256" s="256">
        <f t="shared" si="84"/>
        <v>121.03250000000001</v>
      </c>
      <c r="L256" s="256">
        <f t="shared" si="85"/>
        <v>40.344166666666673</v>
      </c>
      <c r="M256" s="256">
        <f t="shared" si="86"/>
        <v>121.03250000000001</v>
      </c>
      <c r="N256" s="255">
        <v>0</v>
      </c>
      <c r="O256" s="256">
        <v>0</v>
      </c>
      <c r="P256" s="256">
        <f t="shared" si="96"/>
        <v>16.94455</v>
      </c>
      <c r="Q256" s="256">
        <f t="shared" si="97"/>
        <v>3.3889100000000001</v>
      </c>
      <c r="R256" s="256">
        <v>0</v>
      </c>
      <c r="S256" s="257">
        <v>0</v>
      </c>
      <c r="T256" s="256">
        <v>0</v>
      </c>
      <c r="U256" s="258">
        <f t="shared" si="76"/>
        <v>1180.9544466666669</v>
      </c>
      <c r="V256" s="256">
        <v>111.67</v>
      </c>
      <c r="W256" s="256">
        <v>500</v>
      </c>
      <c r="X256" s="256">
        <v>53.31</v>
      </c>
      <c r="Y256" s="256">
        <v>5.0599999999999996</v>
      </c>
      <c r="Z256" s="256">
        <v>17.5</v>
      </c>
      <c r="AA256" s="256">
        <v>23.65</v>
      </c>
      <c r="AB256" s="256">
        <v>218.1</v>
      </c>
      <c r="AC256" s="189">
        <f t="shared" si="77"/>
        <v>929.29</v>
      </c>
      <c r="AD256" s="259">
        <f t="shared" si="78"/>
        <v>3562.6344466666669</v>
      </c>
    </row>
    <row r="257" spans="1:30" s="160" customFormat="1">
      <c r="A257" s="250">
        <v>252</v>
      </c>
      <c r="B257" s="251" t="s">
        <v>435</v>
      </c>
      <c r="C257" s="252">
        <v>2</v>
      </c>
      <c r="D257" s="253">
        <v>1900</v>
      </c>
      <c r="E257" s="254">
        <f t="shared" si="74"/>
        <v>3800</v>
      </c>
      <c r="F257" s="255">
        <f t="shared" si="79"/>
        <v>1434.9433333333336</v>
      </c>
      <c r="G257" s="256">
        <f t="shared" si="80"/>
        <v>51.616666666666674</v>
      </c>
      <c r="H257" s="256">
        <f t="shared" si="81"/>
        <v>412.93333333333339</v>
      </c>
      <c r="I257" s="256">
        <f t="shared" si="82"/>
        <v>301.4666666666667</v>
      </c>
      <c r="J257" s="256">
        <f t="shared" si="83"/>
        <v>332.5</v>
      </c>
      <c r="K257" s="256">
        <f t="shared" si="84"/>
        <v>332.5</v>
      </c>
      <c r="L257" s="256">
        <f t="shared" si="85"/>
        <v>174.16666666666666</v>
      </c>
      <c r="M257" s="256">
        <f t="shared" si="86"/>
        <v>332.5</v>
      </c>
      <c r="N257" s="255">
        <v>0</v>
      </c>
      <c r="O257" s="256">
        <v>0</v>
      </c>
      <c r="P257" s="256">
        <f>(R257+E257)/210*1.75*1.2</f>
        <v>49.400000000000006</v>
      </c>
      <c r="Q257" s="256">
        <f>P257/6</f>
        <v>8.2333333333333343</v>
      </c>
      <c r="R257" s="256">
        <f>E257*30%</f>
        <v>1140</v>
      </c>
      <c r="S257" s="257">
        <v>190</v>
      </c>
      <c r="T257" s="256">
        <f>(E257+R257+N257+O257)/30*2</f>
        <v>329.33333333333331</v>
      </c>
      <c r="U257" s="258">
        <f t="shared" si="76"/>
        <v>5089.5933333333332</v>
      </c>
      <c r="V257" s="256">
        <v>76.14</v>
      </c>
      <c r="W257" s="256">
        <v>500</v>
      </c>
      <c r="X257" s="256">
        <v>53.31</v>
      </c>
      <c r="Y257" s="256">
        <v>5.0599999999999996</v>
      </c>
      <c r="Z257" s="256">
        <v>17.5</v>
      </c>
      <c r="AA257" s="256">
        <v>23.65</v>
      </c>
      <c r="AB257" s="256">
        <v>218.1</v>
      </c>
      <c r="AC257" s="189">
        <f t="shared" si="77"/>
        <v>893.76</v>
      </c>
      <c r="AD257" s="259">
        <f t="shared" si="78"/>
        <v>9783.3533333333344</v>
      </c>
    </row>
    <row r="258" spans="1:30" s="160" customFormat="1">
      <c r="A258" s="250">
        <v>253</v>
      </c>
      <c r="B258" s="251" t="s">
        <v>432</v>
      </c>
      <c r="C258" s="252">
        <v>12</v>
      </c>
      <c r="D258" s="253">
        <v>1900</v>
      </c>
      <c r="E258" s="254">
        <f t="shared" si="74"/>
        <v>22800</v>
      </c>
      <c r="F258" s="255">
        <f t="shared" si="79"/>
        <v>8099.0666666666666</v>
      </c>
      <c r="G258" s="256">
        <f t="shared" si="80"/>
        <v>291.33333333333331</v>
      </c>
      <c r="H258" s="256">
        <f t="shared" si="81"/>
        <v>2330.6666666666665</v>
      </c>
      <c r="I258" s="256">
        <f t="shared" si="82"/>
        <v>1165.3333333333333</v>
      </c>
      <c r="J258" s="256">
        <f t="shared" si="83"/>
        <v>1900</v>
      </c>
      <c r="K258" s="256">
        <f t="shared" si="84"/>
        <v>1900</v>
      </c>
      <c r="L258" s="256">
        <f t="shared" si="85"/>
        <v>633.33333333333337</v>
      </c>
      <c r="M258" s="256">
        <f t="shared" si="86"/>
        <v>1900</v>
      </c>
      <c r="N258" s="255">
        <v>0</v>
      </c>
      <c r="O258" s="256">
        <v>0</v>
      </c>
      <c r="P258" s="256">
        <f>(R258+E258)/210*1.75*1.2</f>
        <v>296.39999999999998</v>
      </c>
      <c r="Q258" s="256">
        <f>P258/6</f>
        <v>49.4</v>
      </c>
      <c r="R258" s="256">
        <f>E258*30%</f>
        <v>6840</v>
      </c>
      <c r="S258" s="257">
        <v>0</v>
      </c>
      <c r="T258" s="256">
        <f t="shared" ref="T258:T260" si="98">(E258+R258+N258+O258)/30*2</f>
        <v>1976</v>
      </c>
      <c r="U258" s="258">
        <f t="shared" si="76"/>
        <v>27381.533333333336</v>
      </c>
      <c r="V258" s="256">
        <v>76.14</v>
      </c>
      <c r="W258" s="256">
        <v>500</v>
      </c>
      <c r="X258" s="256">
        <v>53.31</v>
      </c>
      <c r="Y258" s="256">
        <v>5.0599999999999996</v>
      </c>
      <c r="Z258" s="256">
        <v>17.5</v>
      </c>
      <c r="AA258" s="256">
        <v>23.65</v>
      </c>
      <c r="AB258" s="256">
        <v>218.1</v>
      </c>
      <c r="AC258" s="189">
        <f t="shared" si="77"/>
        <v>893.76</v>
      </c>
      <c r="AD258" s="259">
        <f t="shared" si="78"/>
        <v>51075.293333333342</v>
      </c>
    </row>
    <row r="259" spans="1:30" s="160" customFormat="1">
      <c r="A259" s="250">
        <v>254</v>
      </c>
      <c r="B259" s="251" t="s">
        <v>433</v>
      </c>
      <c r="C259" s="252">
        <v>2</v>
      </c>
      <c r="D259" s="253">
        <v>1900</v>
      </c>
      <c r="E259" s="254">
        <f t="shared" si="74"/>
        <v>3800</v>
      </c>
      <c r="F259" s="255">
        <f t="shared" si="79"/>
        <v>1434.9433333333336</v>
      </c>
      <c r="G259" s="256">
        <f t="shared" si="80"/>
        <v>51.616666666666674</v>
      </c>
      <c r="H259" s="256">
        <f t="shared" si="81"/>
        <v>412.93333333333339</v>
      </c>
      <c r="I259" s="256">
        <f t="shared" si="82"/>
        <v>301.4666666666667</v>
      </c>
      <c r="J259" s="256">
        <f t="shared" si="83"/>
        <v>332.5</v>
      </c>
      <c r="K259" s="256">
        <f t="shared" si="84"/>
        <v>332.5</v>
      </c>
      <c r="L259" s="256">
        <f t="shared" si="85"/>
        <v>174.16666666666666</v>
      </c>
      <c r="M259" s="256">
        <f t="shared" si="86"/>
        <v>332.5</v>
      </c>
      <c r="N259" s="255">
        <f>(R259+E259)/210*20%*160</f>
        <v>752.76190476190482</v>
      </c>
      <c r="O259" s="256">
        <f>N259/6</f>
        <v>125.46031746031747</v>
      </c>
      <c r="P259" s="256">
        <f>(R259+E259)/210*1.75*1.2</f>
        <v>49.400000000000006</v>
      </c>
      <c r="Q259" s="256">
        <f>P259/6</f>
        <v>8.2333333333333343</v>
      </c>
      <c r="R259" s="256">
        <f>E259*30%</f>
        <v>1140</v>
      </c>
      <c r="S259" s="257">
        <v>190</v>
      </c>
      <c r="T259" s="256">
        <f t="shared" si="98"/>
        <v>387.88148148148144</v>
      </c>
      <c r="U259" s="258">
        <f t="shared" si="76"/>
        <v>6026.3637037037033</v>
      </c>
      <c r="V259" s="256">
        <v>76.14</v>
      </c>
      <c r="W259" s="256">
        <v>500</v>
      </c>
      <c r="X259" s="256">
        <v>53.31</v>
      </c>
      <c r="Y259" s="256">
        <v>5.0599999999999996</v>
      </c>
      <c r="Z259" s="256">
        <v>17.5</v>
      </c>
      <c r="AA259" s="256">
        <v>23.65</v>
      </c>
      <c r="AB259" s="256">
        <v>218.1</v>
      </c>
      <c r="AC259" s="189">
        <f t="shared" si="77"/>
        <v>893.76</v>
      </c>
      <c r="AD259" s="259">
        <f t="shared" si="78"/>
        <v>10720.123703703704</v>
      </c>
    </row>
    <row r="260" spans="1:30" s="160" customFormat="1">
      <c r="A260" s="250">
        <v>255</v>
      </c>
      <c r="B260" s="251" t="s">
        <v>434</v>
      </c>
      <c r="C260" s="252">
        <v>6</v>
      </c>
      <c r="D260" s="253">
        <v>1900</v>
      </c>
      <c r="E260" s="254">
        <f t="shared" si="74"/>
        <v>11400</v>
      </c>
      <c r="F260" s="255">
        <f t="shared" si="79"/>
        <v>4049.5333333333333</v>
      </c>
      <c r="G260" s="256">
        <f t="shared" si="80"/>
        <v>145.66666666666666</v>
      </c>
      <c r="H260" s="256">
        <f t="shared" si="81"/>
        <v>1165.3333333333333</v>
      </c>
      <c r="I260" s="256">
        <f t="shared" si="82"/>
        <v>582.66666666666663</v>
      </c>
      <c r="J260" s="256">
        <f t="shared" si="83"/>
        <v>950</v>
      </c>
      <c r="K260" s="256">
        <f t="shared" si="84"/>
        <v>950</v>
      </c>
      <c r="L260" s="256">
        <f t="shared" si="85"/>
        <v>316.66666666666669</v>
      </c>
      <c r="M260" s="256">
        <f t="shared" si="86"/>
        <v>950</v>
      </c>
      <c r="N260" s="255">
        <f>(R260+E260)/210*20%*160</f>
        <v>2258.2857142857142</v>
      </c>
      <c r="O260" s="256">
        <f>N260/6</f>
        <v>376.38095238095235</v>
      </c>
      <c r="P260" s="256">
        <f>(R260+E260)/210*1.75*1.2</f>
        <v>148.19999999999999</v>
      </c>
      <c r="Q260" s="256">
        <f>P260/6</f>
        <v>24.7</v>
      </c>
      <c r="R260" s="256">
        <f>E260*30%</f>
        <v>3420</v>
      </c>
      <c r="S260" s="257">
        <v>0</v>
      </c>
      <c r="T260" s="256">
        <f t="shared" si="98"/>
        <v>1163.6444444444446</v>
      </c>
      <c r="U260" s="258">
        <f t="shared" si="76"/>
        <v>16501.07777777778</v>
      </c>
      <c r="V260" s="256">
        <v>76.14</v>
      </c>
      <c r="W260" s="256">
        <v>500</v>
      </c>
      <c r="X260" s="256">
        <v>53.31</v>
      </c>
      <c r="Y260" s="256">
        <v>5.0599999999999996</v>
      </c>
      <c r="Z260" s="256">
        <v>17.5</v>
      </c>
      <c r="AA260" s="256">
        <v>23.65</v>
      </c>
      <c r="AB260" s="256">
        <v>218.1</v>
      </c>
      <c r="AC260" s="189">
        <f t="shared" si="77"/>
        <v>893.76</v>
      </c>
      <c r="AD260" s="259">
        <f t="shared" si="78"/>
        <v>28794.837777777779</v>
      </c>
    </row>
    <row r="261" spans="1:30" s="160" customFormat="1">
      <c r="A261" s="250">
        <v>256</v>
      </c>
      <c r="B261" s="251" t="s">
        <v>461</v>
      </c>
      <c r="C261" s="252">
        <v>1</v>
      </c>
      <c r="D261" s="253">
        <v>6500</v>
      </c>
      <c r="E261" s="254">
        <f t="shared" si="74"/>
        <v>6500</v>
      </c>
      <c r="F261" s="255">
        <f t="shared" si="79"/>
        <v>2308.9444444444448</v>
      </c>
      <c r="G261" s="256">
        <f t="shared" si="80"/>
        <v>83.055555555555571</v>
      </c>
      <c r="H261" s="256">
        <f t="shared" si="81"/>
        <v>664.44444444444457</v>
      </c>
      <c r="I261" s="256">
        <f t="shared" si="82"/>
        <v>332.22222222222229</v>
      </c>
      <c r="J261" s="256">
        <f t="shared" si="83"/>
        <v>541.66666666666663</v>
      </c>
      <c r="K261" s="256">
        <f t="shared" si="84"/>
        <v>541.66666666666663</v>
      </c>
      <c r="L261" s="256">
        <f t="shared" si="85"/>
        <v>180.55555555555554</v>
      </c>
      <c r="M261" s="256">
        <f t="shared" si="86"/>
        <v>541.66666666666663</v>
      </c>
      <c r="N261" s="255">
        <v>0</v>
      </c>
      <c r="O261" s="256">
        <v>0</v>
      </c>
      <c r="P261" s="256">
        <v>0</v>
      </c>
      <c r="Q261" s="256">
        <v>0</v>
      </c>
      <c r="R261" s="256">
        <v>0</v>
      </c>
      <c r="S261" s="257">
        <v>0</v>
      </c>
      <c r="T261" s="256">
        <v>0</v>
      </c>
      <c r="U261" s="258">
        <f t="shared" si="76"/>
        <v>5194.2222222222235</v>
      </c>
      <c r="V261" s="256">
        <v>0</v>
      </c>
      <c r="W261" s="256">
        <v>500</v>
      </c>
      <c r="X261" s="256">
        <v>53.31</v>
      </c>
      <c r="Y261" s="256">
        <v>5.0599999999999996</v>
      </c>
      <c r="Z261" s="256">
        <v>17.5</v>
      </c>
      <c r="AA261" s="256">
        <v>23.65</v>
      </c>
      <c r="AB261" s="256">
        <v>218.1</v>
      </c>
      <c r="AC261" s="189">
        <f t="shared" si="77"/>
        <v>817.61999999999989</v>
      </c>
      <c r="AD261" s="259">
        <f t="shared" si="78"/>
        <v>12511.842222222222</v>
      </c>
    </row>
    <row r="262" spans="1:30" s="160" customFormat="1">
      <c r="A262" s="250">
        <v>257</v>
      </c>
      <c r="B262" s="251" t="s">
        <v>422</v>
      </c>
      <c r="C262" s="252">
        <v>1</v>
      </c>
      <c r="D262" s="253">
        <v>3773.6</v>
      </c>
      <c r="E262" s="254">
        <f t="shared" ref="E262:E325" si="99">C262*D262</f>
        <v>3773.6</v>
      </c>
      <c r="F262" s="255">
        <f t="shared" si="79"/>
        <v>1340.4665777777775</v>
      </c>
      <c r="G262" s="256">
        <f t="shared" si="80"/>
        <v>48.218222222222209</v>
      </c>
      <c r="H262" s="256">
        <f t="shared" si="81"/>
        <v>385.74577777777768</v>
      </c>
      <c r="I262" s="256">
        <f t="shared" si="82"/>
        <v>192.87288888888884</v>
      </c>
      <c r="J262" s="256">
        <f t="shared" si="83"/>
        <v>314.46666666666664</v>
      </c>
      <c r="K262" s="256">
        <f t="shared" si="84"/>
        <v>314.46666666666664</v>
      </c>
      <c r="L262" s="256">
        <f t="shared" si="85"/>
        <v>104.82222222222221</v>
      </c>
      <c r="M262" s="256">
        <f t="shared" si="86"/>
        <v>314.46666666666664</v>
      </c>
      <c r="N262" s="255">
        <v>0</v>
      </c>
      <c r="O262" s="256">
        <v>0</v>
      </c>
      <c r="P262" s="256">
        <v>0</v>
      </c>
      <c r="Q262" s="256">
        <v>0</v>
      </c>
      <c r="R262" s="256">
        <f>E262*30%</f>
        <v>1132.08</v>
      </c>
      <c r="S262" s="257">
        <v>0</v>
      </c>
      <c r="T262" s="256">
        <v>0</v>
      </c>
      <c r="U262" s="258">
        <f t="shared" ref="U262:U325" si="100">SUM(F262:T262)</f>
        <v>4147.6056888888888</v>
      </c>
      <c r="V262" s="256">
        <v>0</v>
      </c>
      <c r="W262" s="256">
        <v>500</v>
      </c>
      <c r="X262" s="256">
        <v>53.31</v>
      </c>
      <c r="Y262" s="256">
        <v>5.0599999999999996</v>
      </c>
      <c r="Z262" s="256">
        <v>17.5</v>
      </c>
      <c r="AA262" s="256">
        <v>23.65</v>
      </c>
      <c r="AB262" s="256">
        <v>218.1</v>
      </c>
      <c r="AC262" s="189">
        <f t="shared" ref="AC262:AC325" si="101">SUM(V262:AB262)</f>
        <v>817.61999999999989</v>
      </c>
      <c r="AD262" s="259">
        <f t="shared" ref="AD262:AD325" si="102">E262+U262+AC262</f>
        <v>8738.82568888889</v>
      </c>
    </row>
    <row r="263" spans="1:30" s="160" customFormat="1">
      <c r="A263" s="250">
        <v>258</v>
      </c>
      <c r="B263" s="251" t="s">
        <v>423</v>
      </c>
      <c r="C263" s="252">
        <v>1</v>
      </c>
      <c r="D263" s="253">
        <v>2600</v>
      </c>
      <c r="E263" s="254">
        <f t="shared" si="99"/>
        <v>2600</v>
      </c>
      <c r="F263" s="255">
        <f t="shared" ref="F263:F293" si="103">(E263+J263+L263+K263+M263+S263)*27.8%</f>
        <v>923.57777777777767</v>
      </c>
      <c r="G263" s="256">
        <f t="shared" ref="G263:G293" si="104">(E263+J263+L263+K263+M263+S263)*1%</f>
        <v>33.222222222222214</v>
      </c>
      <c r="H263" s="256">
        <f t="shared" ref="H263:H293" si="105">(E263+J263+L263+K263+M263+S263)*8%</f>
        <v>265.77777777777771</v>
      </c>
      <c r="I263" s="256">
        <f t="shared" ref="I263:I293" si="106">(H263+S263)/2</f>
        <v>132.88888888888886</v>
      </c>
      <c r="J263" s="256">
        <f t="shared" ref="J263:J293" si="107">(E263+S263)/12</f>
        <v>216.66666666666666</v>
      </c>
      <c r="K263" s="256">
        <f t="shared" ref="K263:K293" si="108">(E263+S263)/12</f>
        <v>216.66666666666666</v>
      </c>
      <c r="L263" s="256">
        <f t="shared" ref="L263:L293" si="109">(K263+S263)/3</f>
        <v>72.222222222222214</v>
      </c>
      <c r="M263" s="256">
        <f t="shared" ref="M263:M293" si="110">(E263+S263)/12</f>
        <v>216.66666666666666</v>
      </c>
      <c r="N263" s="255">
        <v>0</v>
      </c>
      <c r="O263" s="256">
        <v>0</v>
      </c>
      <c r="P263" s="256">
        <f>E263/150*1.75</f>
        <v>30.333333333333332</v>
      </c>
      <c r="Q263" s="256">
        <f>P263/25*5</f>
        <v>6.0666666666666664</v>
      </c>
      <c r="R263" s="256">
        <v>0</v>
      </c>
      <c r="S263" s="257">
        <v>0</v>
      </c>
      <c r="T263" s="256">
        <v>0</v>
      </c>
      <c r="U263" s="258">
        <f t="shared" si="100"/>
        <v>2114.088888888889</v>
      </c>
      <c r="V263" s="256">
        <v>117.88</v>
      </c>
      <c r="W263" s="256">
        <v>500</v>
      </c>
      <c r="X263" s="256">
        <v>53.31</v>
      </c>
      <c r="Y263" s="256">
        <v>5.0599999999999996</v>
      </c>
      <c r="Z263" s="256">
        <v>17.5</v>
      </c>
      <c r="AA263" s="256">
        <v>23.65</v>
      </c>
      <c r="AB263" s="256">
        <v>218.1</v>
      </c>
      <c r="AC263" s="189">
        <f t="shared" si="101"/>
        <v>935.5</v>
      </c>
      <c r="AD263" s="259">
        <f t="shared" si="102"/>
        <v>5649.5888888888894</v>
      </c>
    </row>
    <row r="264" spans="1:30" s="160" customFormat="1">
      <c r="A264" s="250">
        <v>259</v>
      </c>
      <c r="B264" s="251" t="s">
        <v>424</v>
      </c>
      <c r="C264" s="252">
        <v>1</v>
      </c>
      <c r="D264" s="253">
        <v>2600</v>
      </c>
      <c r="E264" s="254">
        <f t="shared" si="99"/>
        <v>2600</v>
      </c>
      <c r="F264" s="255">
        <f t="shared" si="103"/>
        <v>923.57777777777767</v>
      </c>
      <c r="G264" s="256">
        <f t="shared" si="104"/>
        <v>33.222222222222214</v>
      </c>
      <c r="H264" s="256">
        <f t="shared" si="105"/>
        <v>265.77777777777771</v>
      </c>
      <c r="I264" s="256">
        <f t="shared" si="106"/>
        <v>132.88888888888886</v>
      </c>
      <c r="J264" s="256">
        <f t="shared" si="107"/>
        <v>216.66666666666666</v>
      </c>
      <c r="K264" s="256">
        <f t="shared" si="108"/>
        <v>216.66666666666666</v>
      </c>
      <c r="L264" s="256">
        <f t="shared" si="109"/>
        <v>72.222222222222214</v>
      </c>
      <c r="M264" s="256">
        <f t="shared" si="110"/>
        <v>216.66666666666666</v>
      </c>
      <c r="N264" s="255">
        <v>0</v>
      </c>
      <c r="O264" s="256">
        <v>0</v>
      </c>
      <c r="P264" s="256">
        <f t="shared" ref="P264:P271" si="111">E264/150*1.75</f>
        <v>30.333333333333332</v>
      </c>
      <c r="Q264" s="256">
        <f t="shared" ref="Q264:Q271" si="112">P264/25*5</f>
        <v>6.0666666666666664</v>
      </c>
      <c r="R264" s="256">
        <v>0</v>
      </c>
      <c r="S264" s="257">
        <v>0</v>
      </c>
      <c r="T264" s="256">
        <v>0</v>
      </c>
      <c r="U264" s="258">
        <f t="shared" si="100"/>
        <v>2114.088888888889</v>
      </c>
      <c r="V264" s="256">
        <v>117.88</v>
      </c>
      <c r="W264" s="256">
        <v>500</v>
      </c>
      <c r="X264" s="256">
        <v>53.31</v>
      </c>
      <c r="Y264" s="256">
        <v>5.0599999999999996</v>
      </c>
      <c r="Z264" s="256">
        <v>17.5</v>
      </c>
      <c r="AA264" s="256">
        <v>23.65</v>
      </c>
      <c r="AB264" s="256">
        <v>218.1</v>
      </c>
      <c r="AC264" s="189">
        <f t="shared" si="101"/>
        <v>935.5</v>
      </c>
      <c r="AD264" s="259">
        <f t="shared" si="102"/>
        <v>5649.5888888888894</v>
      </c>
    </row>
    <row r="265" spans="1:30" s="160" customFormat="1">
      <c r="A265" s="250">
        <v>260</v>
      </c>
      <c r="B265" s="251" t="s">
        <v>425</v>
      </c>
      <c r="C265" s="252">
        <v>1</v>
      </c>
      <c r="D265" s="253">
        <v>2600</v>
      </c>
      <c r="E265" s="254">
        <f t="shared" si="99"/>
        <v>2600</v>
      </c>
      <c r="F265" s="255">
        <f t="shared" si="103"/>
        <v>923.57777777777767</v>
      </c>
      <c r="G265" s="256">
        <f t="shared" si="104"/>
        <v>33.222222222222214</v>
      </c>
      <c r="H265" s="256">
        <f t="shared" si="105"/>
        <v>265.77777777777771</v>
      </c>
      <c r="I265" s="256">
        <f t="shared" si="106"/>
        <v>132.88888888888886</v>
      </c>
      <c r="J265" s="256">
        <f t="shared" si="107"/>
        <v>216.66666666666666</v>
      </c>
      <c r="K265" s="256">
        <f t="shared" si="108"/>
        <v>216.66666666666666</v>
      </c>
      <c r="L265" s="256">
        <f t="shared" si="109"/>
        <v>72.222222222222214</v>
      </c>
      <c r="M265" s="256">
        <f t="shared" si="110"/>
        <v>216.66666666666666</v>
      </c>
      <c r="N265" s="255">
        <v>0</v>
      </c>
      <c r="O265" s="256">
        <v>0</v>
      </c>
      <c r="P265" s="256">
        <f t="shared" si="111"/>
        <v>30.333333333333332</v>
      </c>
      <c r="Q265" s="256">
        <f t="shared" si="112"/>
        <v>6.0666666666666664</v>
      </c>
      <c r="R265" s="256">
        <v>0</v>
      </c>
      <c r="S265" s="257">
        <v>0</v>
      </c>
      <c r="T265" s="256">
        <v>0</v>
      </c>
      <c r="U265" s="258">
        <f t="shared" si="100"/>
        <v>2114.088888888889</v>
      </c>
      <c r="V265" s="256">
        <v>117.88</v>
      </c>
      <c r="W265" s="256">
        <v>500</v>
      </c>
      <c r="X265" s="256">
        <v>53.31</v>
      </c>
      <c r="Y265" s="256">
        <v>5.0599999999999996</v>
      </c>
      <c r="Z265" s="256">
        <v>17.5</v>
      </c>
      <c r="AA265" s="256">
        <v>23.65</v>
      </c>
      <c r="AB265" s="256">
        <v>218.1</v>
      </c>
      <c r="AC265" s="189">
        <f t="shared" si="101"/>
        <v>935.5</v>
      </c>
      <c r="AD265" s="259">
        <f t="shared" si="102"/>
        <v>5649.5888888888894</v>
      </c>
    </row>
    <row r="266" spans="1:30" s="160" customFormat="1">
      <c r="A266" s="250">
        <v>261</v>
      </c>
      <c r="B266" s="251" t="s">
        <v>426</v>
      </c>
      <c r="C266" s="252">
        <v>1</v>
      </c>
      <c r="D266" s="253">
        <v>2600</v>
      </c>
      <c r="E266" s="254">
        <f t="shared" si="99"/>
        <v>2600</v>
      </c>
      <c r="F266" s="255">
        <f t="shared" si="103"/>
        <v>923.57777777777767</v>
      </c>
      <c r="G266" s="256">
        <f t="shared" si="104"/>
        <v>33.222222222222214</v>
      </c>
      <c r="H266" s="256">
        <f t="shared" si="105"/>
        <v>265.77777777777771</v>
      </c>
      <c r="I266" s="256">
        <f t="shared" si="106"/>
        <v>132.88888888888886</v>
      </c>
      <c r="J266" s="256">
        <f t="shared" si="107"/>
        <v>216.66666666666666</v>
      </c>
      <c r="K266" s="256">
        <f t="shared" si="108"/>
        <v>216.66666666666666</v>
      </c>
      <c r="L266" s="256">
        <f t="shared" si="109"/>
        <v>72.222222222222214</v>
      </c>
      <c r="M266" s="256">
        <f t="shared" si="110"/>
        <v>216.66666666666666</v>
      </c>
      <c r="N266" s="255">
        <v>0</v>
      </c>
      <c r="O266" s="256">
        <v>0</v>
      </c>
      <c r="P266" s="256">
        <f t="shared" si="111"/>
        <v>30.333333333333332</v>
      </c>
      <c r="Q266" s="256">
        <f t="shared" si="112"/>
        <v>6.0666666666666664</v>
      </c>
      <c r="R266" s="256">
        <v>0</v>
      </c>
      <c r="S266" s="257">
        <v>0</v>
      </c>
      <c r="T266" s="256">
        <v>0</v>
      </c>
      <c r="U266" s="258">
        <f t="shared" si="100"/>
        <v>2114.088888888889</v>
      </c>
      <c r="V266" s="256">
        <v>117.88</v>
      </c>
      <c r="W266" s="256">
        <v>500</v>
      </c>
      <c r="X266" s="256">
        <v>53.31</v>
      </c>
      <c r="Y266" s="256">
        <v>5.0599999999999996</v>
      </c>
      <c r="Z266" s="256">
        <v>17.5</v>
      </c>
      <c r="AA266" s="256">
        <v>23.65</v>
      </c>
      <c r="AB266" s="256">
        <v>218.1</v>
      </c>
      <c r="AC266" s="189">
        <f t="shared" si="101"/>
        <v>935.5</v>
      </c>
      <c r="AD266" s="259">
        <f t="shared" si="102"/>
        <v>5649.5888888888894</v>
      </c>
    </row>
    <row r="267" spans="1:30" s="160" customFormat="1">
      <c r="A267" s="250">
        <v>262</v>
      </c>
      <c r="B267" s="251" t="s">
        <v>427</v>
      </c>
      <c r="C267" s="252">
        <v>1</v>
      </c>
      <c r="D267" s="253">
        <v>2600</v>
      </c>
      <c r="E267" s="254">
        <f t="shared" si="99"/>
        <v>2600</v>
      </c>
      <c r="F267" s="255">
        <f t="shared" si="103"/>
        <v>923.57777777777767</v>
      </c>
      <c r="G267" s="256">
        <f t="shared" si="104"/>
        <v>33.222222222222214</v>
      </c>
      <c r="H267" s="256">
        <f t="shared" si="105"/>
        <v>265.77777777777771</v>
      </c>
      <c r="I267" s="256">
        <f t="shared" si="106"/>
        <v>132.88888888888886</v>
      </c>
      <c r="J267" s="256">
        <f t="shared" si="107"/>
        <v>216.66666666666666</v>
      </c>
      <c r="K267" s="256">
        <f t="shared" si="108"/>
        <v>216.66666666666666</v>
      </c>
      <c r="L267" s="256">
        <f t="shared" si="109"/>
        <v>72.222222222222214</v>
      </c>
      <c r="M267" s="256">
        <f t="shared" si="110"/>
        <v>216.66666666666666</v>
      </c>
      <c r="N267" s="255">
        <v>0</v>
      </c>
      <c r="O267" s="256">
        <v>0</v>
      </c>
      <c r="P267" s="256">
        <f t="shared" si="111"/>
        <v>30.333333333333332</v>
      </c>
      <c r="Q267" s="256">
        <f t="shared" si="112"/>
        <v>6.0666666666666664</v>
      </c>
      <c r="R267" s="256">
        <v>0</v>
      </c>
      <c r="S267" s="257">
        <v>0</v>
      </c>
      <c r="T267" s="256">
        <v>0</v>
      </c>
      <c r="U267" s="258">
        <f t="shared" si="100"/>
        <v>2114.088888888889</v>
      </c>
      <c r="V267" s="256">
        <v>117.88</v>
      </c>
      <c r="W267" s="256">
        <v>500</v>
      </c>
      <c r="X267" s="256">
        <v>53.31</v>
      </c>
      <c r="Y267" s="256">
        <v>5.0599999999999996</v>
      </c>
      <c r="Z267" s="256">
        <v>17.5</v>
      </c>
      <c r="AA267" s="256">
        <v>23.65</v>
      </c>
      <c r="AB267" s="256">
        <v>218.1</v>
      </c>
      <c r="AC267" s="189">
        <f t="shared" si="101"/>
        <v>935.5</v>
      </c>
      <c r="AD267" s="259">
        <f t="shared" si="102"/>
        <v>5649.5888888888894</v>
      </c>
    </row>
    <row r="268" spans="1:30" s="160" customFormat="1">
      <c r="A268" s="250">
        <v>263</v>
      </c>
      <c r="B268" s="251" t="s">
        <v>428</v>
      </c>
      <c r="C268" s="252">
        <v>1</v>
      </c>
      <c r="D268" s="253">
        <v>1750</v>
      </c>
      <c r="E268" s="254">
        <f t="shared" si="99"/>
        <v>1750</v>
      </c>
      <c r="F268" s="255">
        <f t="shared" si="103"/>
        <v>621.63888888888903</v>
      </c>
      <c r="G268" s="256">
        <f t="shared" si="104"/>
        <v>22.361111111111114</v>
      </c>
      <c r="H268" s="256">
        <f t="shared" si="105"/>
        <v>178.88888888888891</v>
      </c>
      <c r="I268" s="256">
        <f t="shared" si="106"/>
        <v>89.444444444444457</v>
      </c>
      <c r="J268" s="256">
        <f t="shared" si="107"/>
        <v>145.83333333333334</v>
      </c>
      <c r="K268" s="256">
        <f t="shared" si="108"/>
        <v>145.83333333333334</v>
      </c>
      <c r="L268" s="256">
        <f t="shared" si="109"/>
        <v>48.611111111111114</v>
      </c>
      <c r="M268" s="256">
        <f t="shared" si="110"/>
        <v>145.83333333333334</v>
      </c>
      <c r="N268" s="255">
        <v>0</v>
      </c>
      <c r="O268" s="256">
        <v>0</v>
      </c>
      <c r="P268" s="256">
        <f t="shared" si="111"/>
        <v>20.416666666666664</v>
      </c>
      <c r="Q268" s="256">
        <f t="shared" si="112"/>
        <v>4.083333333333333</v>
      </c>
      <c r="R268" s="256">
        <v>0</v>
      </c>
      <c r="S268" s="257">
        <v>0</v>
      </c>
      <c r="T268" s="256">
        <v>0</v>
      </c>
      <c r="U268" s="258">
        <f t="shared" si="100"/>
        <v>1422.9444444444443</v>
      </c>
      <c r="V268" s="256">
        <v>117.88</v>
      </c>
      <c r="W268" s="256">
        <v>500</v>
      </c>
      <c r="X268" s="256">
        <v>53.31</v>
      </c>
      <c r="Y268" s="256">
        <v>5.0599999999999996</v>
      </c>
      <c r="Z268" s="256">
        <v>17.5</v>
      </c>
      <c r="AA268" s="256">
        <v>23.65</v>
      </c>
      <c r="AB268" s="256">
        <v>218.1</v>
      </c>
      <c r="AC268" s="189">
        <f t="shared" si="101"/>
        <v>935.5</v>
      </c>
      <c r="AD268" s="259">
        <f t="shared" si="102"/>
        <v>4108.4444444444443</v>
      </c>
    </row>
    <row r="269" spans="1:30" s="160" customFormat="1">
      <c r="A269" s="250">
        <v>264</v>
      </c>
      <c r="B269" s="251" t="s">
        <v>429</v>
      </c>
      <c r="C269" s="252">
        <v>1</v>
      </c>
      <c r="D269" s="253">
        <v>1642</v>
      </c>
      <c r="E269" s="254">
        <f t="shared" si="99"/>
        <v>1642</v>
      </c>
      <c r="F269" s="255">
        <f t="shared" si="103"/>
        <v>583.27488888888888</v>
      </c>
      <c r="G269" s="256">
        <f t="shared" si="104"/>
        <v>20.981111111111108</v>
      </c>
      <c r="H269" s="256">
        <f t="shared" si="105"/>
        <v>167.84888888888887</v>
      </c>
      <c r="I269" s="256">
        <f t="shared" si="106"/>
        <v>83.924444444444433</v>
      </c>
      <c r="J269" s="256">
        <f t="shared" si="107"/>
        <v>136.83333333333334</v>
      </c>
      <c r="K269" s="256">
        <f t="shared" si="108"/>
        <v>136.83333333333334</v>
      </c>
      <c r="L269" s="256">
        <f t="shared" si="109"/>
        <v>45.611111111111114</v>
      </c>
      <c r="M269" s="256">
        <f t="shared" si="110"/>
        <v>136.83333333333334</v>
      </c>
      <c r="N269" s="255">
        <v>0</v>
      </c>
      <c r="O269" s="256">
        <v>0</v>
      </c>
      <c r="P269" s="256">
        <f t="shared" si="111"/>
        <v>19.156666666666666</v>
      </c>
      <c r="Q269" s="256">
        <f t="shared" si="112"/>
        <v>3.8313333333333333</v>
      </c>
      <c r="R269" s="256">
        <v>0</v>
      </c>
      <c r="S269" s="257">
        <v>0</v>
      </c>
      <c r="T269" s="256">
        <v>0</v>
      </c>
      <c r="U269" s="258">
        <f t="shared" si="100"/>
        <v>1335.1284444444443</v>
      </c>
      <c r="V269" s="256">
        <v>117.88</v>
      </c>
      <c r="W269" s="256">
        <v>500</v>
      </c>
      <c r="X269" s="256">
        <v>53.31</v>
      </c>
      <c r="Y269" s="256">
        <v>5.0599999999999996</v>
      </c>
      <c r="Z269" s="256">
        <v>17.5</v>
      </c>
      <c r="AA269" s="256">
        <v>23.65</v>
      </c>
      <c r="AB269" s="256">
        <v>218.1</v>
      </c>
      <c r="AC269" s="189">
        <f t="shared" si="101"/>
        <v>935.5</v>
      </c>
      <c r="AD269" s="259">
        <f t="shared" si="102"/>
        <v>3912.6284444444445</v>
      </c>
    </row>
    <row r="270" spans="1:30" s="160" customFormat="1">
      <c r="A270" s="250">
        <v>265</v>
      </c>
      <c r="B270" s="251" t="s">
        <v>430</v>
      </c>
      <c r="C270" s="252">
        <v>1</v>
      </c>
      <c r="D270" s="253">
        <v>1385</v>
      </c>
      <c r="E270" s="254">
        <f t="shared" si="99"/>
        <v>1385</v>
      </c>
      <c r="F270" s="255">
        <f t="shared" si="103"/>
        <v>491.98277777777787</v>
      </c>
      <c r="G270" s="256">
        <f t="shared" si="104"/>
        <v>17.697222222222223</v>
      </c>
      <c r="H270" s="256">
        <f t="shared" si="105"/>
        <v>141.57777777777778</v>
      </c>
      <c r="I270" s="256">
        <f t="shared" si="106"/>
        <v>70.788888888888891</v>
      </c>
      <c r="J270" s="256">
        <f t="shared" si="107"/>
        <v>115.41666666666667</v>
      </c>
      <c r="K270" s="256">
        <f t="shared" si="108"/>
        <v>115.41666666666667</v>
      </c>
      <c r="L270" s="256">
        <f t="shared" si="109"/>
        <v>38.472222222222221</v>
      </c>
      <c r="M270" s="256">
        <f t="shared" si="110"/>
        <v>115.41666666666667</v>
      </c>
      <c r="N270" s="255">
        <v>0</v>
      </c>
      <c r="O270" s="256">
        <v>0</v>
      </c>
      <c r="P270" s="256">
        <f t="shared" si="111"/>
        <v>16.158333333333331</v>
      </c>
      <c r="Q270" s="256">
        <f t="shared" si="112"/>
        <v>3.231666666666666</v>
      </c>
      <c r="R270" s="256">
        <v>0</v>
      </c>
      <c r="S270" s="257">
        <v>0</v>
      </c>
      <c r="T270" s="256">
        <v>0</v>
      </c>
      <c r="U270" s="258">
        <f t="shared" si="100"/>
        <v>1126.1588888888887</v>
      </c>
      <c r="V270" s="256">
        <v>117.88</v>
      </c>
      <c r="W270" s="256">
        <v>500</v>
      </c>
      <c r="X270" s="256">
        <v>53.31</v>
      </c>
      <c r="Y270" s="256">
        <v>5.0599999999999996</v>
      </c>
      <c r="Z270" s="256">
        <v>17.5</v>
      </c>
      <c r="AA270" s="256">
        <v>23.65</v>
      </c>
      <c r="AB270" s="256">
        <v>218.1</v>
      </c>
      <c r="AC270" s="189">
        <f t="shared" si="101"/>
        <v>935.5</v>
      </c>
      <c r="AD270" s="259">
        <f t="shared" si="102"/>
        <v>3446.6588888888887</v>
      </c>
    </row>
    <row r="271" spans="1:30" s="160" customFormat="1">
      <c r="A271" s="250">
        <v>266</v>
      </c>
      <c r="B271" s="251" t="s">
        <v>431</v>
      </c>
      <c r="C271" s="252">
        <v>1</v>
      </c>
      <c r="D271" s="253">
        <v>1452.39</v>
      </c>
      <c r="E271" s="254">
        <f t="shared" si="99"/>
        <v>1452.39</v>
      </c>
      <c r="F271" s="255">
        <f t="shared" si="103"/>
        <v>515.92120333333344</v>
      </c>
      <c r="G271" s="256">
        <f t="shared" si="104"/>
        <v>18.55831666666667</v>
      </c>
      <c r="H271" s="256">
        <f t="shared" si="105"/>
        <v>148.46653333333336</v>
      </c>
      <c r="I271" s="256">
        <f t="shared" si="106"/>
        <v>74.23326666666668</v>
      </c>
      <c r="J271" s="256">
        <f t="shared" si="107"/>
        <v>121.03250000000001</v>
      </c>
      <c r="K271" s="256">
        <f t="shared" si="108"/>
        <v>121.03250000000001</v>
      </c>
      <c r="L271" s="256">
        <f t="shared" si="109"/>
        <v>40.344166666666673</v>
      </c>
      <c r="M271" s="256">
        <f t="shared" si="110"/>
        <v>121.03250000000001</v>
      </c>
      <c r="N271" s="255">
        <v>0</v>
      </c>
      <c r="O271" s="256">
        <v>0</v>
      </c>
      <c r="P271" s="256">
        <f t="shared" si="111"/>
        <v>16.94455</v>
      </c>
      <c r="Q271" s="256">
        <f t="shared" si="112"/>
        <v>3.3889100000000001</v>
      </c>
      <c r="R271" s="256">
        <v>0</v>
      </c>
      <c r="S271" s="257">
        <v>0</v>
      </c>
      <c r="T271" s="256">
        <v>0</v>
      </c>
      <c r="U271" s="258">
        <f t="shared" si="100"/>
        <v>1180.9544466666669</v>
      </c>
      <c r="V271" s="256">
        <v>117.88</v>
      </c>
      <c r="W271" s="256">
        <v>500</v>
      </c>
      <c r="X271" s="256">
        <v>53.31</v>
      </c>
      <c r="Y271" s="256">
        <v>5.0599999999999996</v>
      </c>
      <c r="Z271" s="256">
        <v>17.5</v>
      </c>
      <c r="AA271" s="256">
        <v>23.65</v>
      </c>
      <c r="AB271" s="256">
        <v>218.1</v>
      </c>
      <c r="AC271" s="189">
        <f t="shared" si="101"/>
        <v>935.5</v>
      </c>
      <c r="AD271" s="259">
        <f t="shared" si="102"/>
        <v>3568.844446666667</v>
      </c>
    </row>
    <row r="272" spans="1:30" s="160" customFormat="1">
      <c r="A272" s="250">
        <v>267</v>
      </c>
      <c r="B272" s="251" t="s">
        <v>435</v>
      </c>
      <c r="C272" s="252">
        <v>2</v>
      </c>
      <c r="D272" s="253">
        <v>1900</v>
      </c>
      <c r="E272" s="254">
        <f t="shared" si="99"/>
        <v>3800</v>
      </c>
      <c r="F272" s="255">
        <f t="shared" si="103"/>
        <v>1434.9433333333336</v>
      </c>
      <c r="G272" s="256">
        <f t="shared" si="104"/>
        <v>51.616666666666674</v>
      </c>
      <c r="H272" s="256">
        <f t="shared" si="105"/>
        <v>412.93333333333339</v>
      </c>
      <c r="I272" s="256">
        <f t="shared" si="106"/>
        <v>301.4666666666667</v>
      </c>
      <c r="J272" s="256">
        <f t="shared" si="107"/>
        <v>332.5</v>
      </c>
      <c r="K272" s="256">
        <f t="shared" si="108"/>
        <v>332.5</v>
      </c>
      <c r="L272" s="256">
        <f t="shared" si="109"/>
        <v>174.16666666666666</v>
      </c>
      <c r="M272" s="256">
        <f t="shared" si="110"/>
        <v>332.5</v>
      </c>
      <c r="N272" s="255">
        <v>0</v>
      </c>
      <c r="O272" s="256">
        <v>0</v>
      </c>
      <c r="P272" s="256">
        <f>(R272+E272)/210*1.75*1.2</f>
        <v>49.400000000000006</v>
      </c>
      <c r="Q272" s="256">
        <f>P272/6</f>
        <v>8.2333333333333343</v>
      </c>
      <c r="R272" s="256">
        <f>E272*30%</f>
        <v>1140</v>
      </c>
      <c r="S272" s="257">
        <v>190</v>
      </c>
      <c r="T272" s="256">
        <f>(E272+R272+N272+O272)/30*2</f>
        <v>329.33333333333331</v>
      </c>
      <c r="U272" s="258">
        <f t="shared" si="100"/>
        <v>5089.5933333333332</v>
      </c>
      <c r="V272" s="256">
        <v>80.37</v>
      </c>
      <c r="W272" s="256">
        <v>500</v>
      </c>
      <c r="X272" s="256">
        <v>53.31</v>
      </c>
      <c r="Y272" s="256">
        <v>5.0599999999999996</v>
      </c>
      <c r="Z272" s="256">
        <v>17.5</v>
      </c>
      <c r="AA272" s="256">
        <v>23.65</v>
      </c>
      <c r="AB272" s="256">
        <v>218.1</v>
      </c>
      <c r="AC272" s="189">
        <f t="shared" si="101"/>
        <v>897.99</v>
      </c>
      <c r="AD272" s="259">
        <f t="shared" si="102"/>
        <v>9787.5833333333339</v>
      </c>
    </row>
    <row r="273" spans="1:30" s="160" customFormat="1">
      <c r="A273" s="250">
        <v>268</v>
      </c>
      <c r="B273" s="251" t="s">
        <v>432</v>
      </c>
      <c r="C273" s="252">
        <v>12</v>
      </c>
      <c r="D273" s="253">
        <v>1900</v>
      </c>
      <c r="E273" s="254">
        <f t="shared" si="99"/>
        <v>22800</v>
      </c>
      <c r="F273" s="255">
        <f t="shared" si="103"/>
        <v>8099.0666666666666</v>
      </c>
      <c r="G273" s="256">
        <f t="shared" si="104"/>
        <v>291.33333333333331</v>
      </c>
      <c r="H273" s="256">
        <f t="shared" si="105"/>
        <v>2330.6666666666665</v>
      </c>
      <c r="I273" s="256">
        <f t="shared" si="106"/>
        <v>1165.3333333333333</v>
      </c>
      <c r="J273" s="256">
        <f t="shared" si="107"/>
        <v>1900</v>
      </c>
      <c r="K273" s="256">
        <f t="shared" si="108"/>
        <v>1900</v>
      </c>
      <c r="L273" s="256">
        <f t="shared" si="109"/>
        <v>633.33333333333337</v>
      </c>
      <c r="M273" s="256">
        <f t="shared" si="110"/>
        <v>1900</v>
      </c>
      <c r="N273" s="255">
        <v>0</v>
      </c>
      <c r="O273" s="256">
        <v>0</v>
      </c>
      <c r="P273" s="256">
        <f>(R273+E273)/210*1.75*1.2</f>
        <v>296.39999999999998</v>
      </c>
      <c r="Q273" s="256">
        <f>P273/6</f>
        <v>49.4</v>
      </c>
      <c r="R273" s="256">
        <f>E273*30%</f>
        <v>6840</v>
      </c>
      <c r="S273" s="257">
        <v>0</v>
      </c>
      <c r="T273" s="256">
        <f t="shared" ref="T273:T275" si="113">(E273+R273+N273+O273)/30*2</f>
        <v>1976</v>
      </c>
      <c r="U273" s="258">
        <f t="shared" si="100"/>
        <v>27381.533333333336</v>
      </c>
      <c r="V273" s="256">
        <v>80.37</v>
      </c>
      <c r="W273" s="256">
        <v>500</v>
      </c>
      <c r="X273" s="256">
        <v>53.31</v>
      </c>
      <c r="Y273" s="256">
        <v>5.0599999999999996</v>
      </c>
      <c r="Z273" s="256">
        <v>17.5</v>
      </c>
      <c r="AA273" s="256">
        <v>23.65</v>
      </c>
      <c r="AB273" s="256">
        <v>218.1</v>
      </c>
      <c r="AC273" s="189">
        <f t="shared" si="101"/>
        <v>897.99</v>
      </c>
      <c r="AD273" s="259">
        <f t="shared" si="102"/>
        <v>51079.523333333338</v>
      </c>
    </row>
    <row r="274" spans="1:30" s="160" customFormat="1">
      <c r="A274" s="250">
        <v>269</v>
      </c>
      <c r="B274" s="251" t="s">
        <v>433</v>
      </c>
      <c r="C274" s="252">
        <v>2</v>
      </c>
      <c r="D274" s="253">
        <v>1900</v>
      </c>
      <c r="E274" s="254">
        <f t="shared" si="99"/>
        <v>3800</v>
      </c>
      <c r="F274" s="255">
        <f t="shared" si="103"/>
        <v>1434.9433333333336</v>
      </c>
      <c r="G274" s="256">
        <f t="shared" si="104"/>
        <v>51.616666666666674</v>
      </c>
      <c r="H274" s="256">
        <f t="shared" si="105"/>
        <v>412.93333333333339</v>
      </c>
      <c r="I274" s="256">
        <f t="shared" si="106"/>
        <v>301.4666666666667</v>
      </c>
      <c r="J274" s="256">
        <f t="shared" si="107"/>
        <v>332.5</v>
      </c>
      <c r="K274" s="256">
        <f t="shared" si="108"/>
        <v>332.5</v>
      </c>
      <c r="L274" s="256">
        <f t="shared" si="109"/>
        <v>174.16666666666666</v>
      </c>
      <c r="M274" s="256">
        <f t="shared" si="110"/>
        <v>332.5</v>
      </c>
      <c r="N274" s="255">
        <f>(R274+E274)/210*20%*160</f>
        <v>752.76190476190482</v>
      </c>
      <c r="O274" s="256">
        <f>N274/6</f>
        <v>125.46031746031747</v>
      </c>
      <c r="P274" s="256">
        <f>(R274+E274)/210*1.75*1.2</f>
        <v>49.400000000000006</v>
      </c>
      <c r="Q274" s="256">
        <f>P274/6</f>
        <v>8.2333333333333343</v>
      </c>
      <c r="R274" s="256">
        <f>E274*30%</f>
        <v>1140</v>
      </c>
      <c r="S274" s="257">
        <v>190</v>
      </c>
      <c r="T274" s="256">
        <f t="shared" si="113"/>
        <v>387.88148148148144</v>
      </c>
      <c r="U274" s="258">
        <f t="shared" si="100"/>
        <v>6026.3637037037033</v>
      </c>
      <c r="V274" s="256">
        <v>80.37</v>
      </c>
      <c r="W274" s="256">
        <v>500</v>
      </c>
      <c r="X274" s="256">
        <v>53.31</v>
      </c>
      <c r="Y274" s="256">
        <v>5.0599999999999996</v>
      </c>
      <c r="Z274" s="256">
        <v>17.5</v>
      </c>
      <c r="AA274" s="256">
        <v>23.65</v>
      </c>
      <c r="AB274" s="256">
        <v>218.1</v>
      </c>
      <c r="AC274" s="189">
        <f t="shared" si="101"/>
        <v>897.99</v>
      </c>
      <c r="AD274" s="259">
        <f t="shared" si="102"/>
        <v>10724.353703703704</v>
      </c>
    </row>
    <row r="275" spans="1:30" s="160" customFormat="1">
      <c r="A275" s="250">
        <v>270</v>
      </c>
      <c r="B275" s="251" t="s">
        <v>434</v>
      </c>
      <c r="C275" s="252">
        <v>6</v>
      </c>
      <c r="D275" s="253">
        <v>1900</v>
      </c>
      <c r="E275" s="254">
        <f t="shared" si="99"/>
        <v>11400</v>
      </c>
      <c r="F275" s="255">
        <f t="shared" si="103"/>
        <v>4049.5333333333333</v>
      </c>
      <c r="G275" s="256">
        <f t="shared" si="104"/>
        <v>145.66666666666666</v>
      </c>
      <c r="H275" s="256">
        <f t="shared" si="105"/>
        <v>1165.3333333333333</v>
      </c>
      <c r="I275" s="256">
        <f t="shared" si="106"/>
        <v>582.66666666666663</v>
      </c>
      <c r="J275" s="256">
        <f t="shared" si="107"/>
        <v>950</v>
      </c>
      <c r="K275" s="256">
        <f t="shared" si="108"/>
        <v>950</v>
      </c>
      <c r="L275" s="256">
        <f t="shared" si="109"/>
        <v>316.66666666666669</v>
      </c>
      <c r="M275" s="256">
        <f t="shared" si="110"/>
        <v>950</v>
      </c>
      <c r="N275" s="255">
        <f>(R275+E275)/210*20%*160</f>
        <v>2258.2857142857142</v>
      </c>
      <c r="O275" s="256">
        <f>N275/6</f>
        <v>376.38095238095235</v>
      </c>
      <c r="P275" s="256">
        <f>(R275+E275)/210*1.75*1.2</f>
        <v>148.19999999999999</v>
      </c>
      <c r="Q275" s="256">
        <f>P275/6</f>
        <v>24.7</v>
      </c>
      <c r="R275" s="256">
        <f>E275*30%</f>
        <v>3420</v>
      </c>
      <c r="S275" s="257">
        <v>0</v>
      </c>
      <c r="T275" s="256">
        <f t="shared" si="113"/>
        <v>1163.6444444444446</v>
      </c>
      <c r="U275" s="258">
        <f t="shared" si="100"/>
        <v>16501.07777777778</v>
      </c>
      <c r="V275" s="256">
        <v>80.37</v>
      </c>
      <c r="W275" s="256">
        <v>500</v>
      </c>
      <c r="X275" s="256">
        <v>53.31</v>
      </c>
      <c r="Y275" s="256">
        <v>5.0599999999999996</v>
      </c>
      <c r="Z275" s="256">
        <v>17.5</v>
      </c>
      <c r="AA275" s="256">
        <v>23.65</v>
      </c>
      <c r="AB275" s="256">
        <v>218.1</v>
      </c>
      <c r="AC275" s="189">
        <f t="shared" si="101"/>
        <v>897.99</v>
      </c>
      <c r="AD275" s="259">
        <f t="shared" si="102"/>
        <v>28799.067777777782</v>
      </c>
    </row>
    <row r="276" spans="1:30" s="160" customFormat="1">
      <c r="A276" s="250">
        <v>271</v>
      </c>
      <c r="B276" s="251" t="s">
        <v>461</v>
      </c>
      <c r="C276" s="252">
        <v>1</v>
      </c>
      <c r="D276" s="253">
        <v>6500</v>
      </c>
      <c r="E276" s="254">
        <f t="shared" si="99"/>
        <v>6500</v>
      </c>
      <c r="F276" s="255">
        <f t="shared" si="103"/>
        <v>2308.9444444444448</v>
      </c>
      <c r="G276" s="256">
        <f t="shared" si="104"/>
        <v>83.055555555555571</v>
      </c>
      <c r="H276" s="256">
        <f t="shared" si="105"/>
        <v>664.44444444444457</v>
      </c>
      <c r="I276" s="256">
        <f t="shared" si="106"/>
        <v>332.22222222222229</v>
      </c>
      <c r="J276" s="256">
        <f t="shared" si="107"/>
        <v>541.66666666666663</v>
      </c>
      <c r="K276" s="256">
        <f t="shared" si="108"/>
        <v>541.66666666666663</v>
      </c>
      <c r="L276" s="256">
        <f t="shared" si="109"/>
        <v>180.55555555555554</v>
      </c>
      <c r="M276" s="256">
        <f t="shared" si="110"/>
        <v>541.66666666666663</v>
      </c>
      <c r="N276" s="255">
        <v>0</v>
      </c>
      <c r="O276" s="256">
        <v>0</v>
      </c>
      <c r="P276" s="256">
        <v>0</v>
      </c>
      <c r="Q276" s="256">
        <v>0</v>
      </c>
      <c r="R276" s="256">
        <v>0</v>
      </c>
      <c r="S276" s="257">
        <v>0</v>
      </c>
      <c r="T276" s="256">
        <v>0</v>
      </c>
      <c r="U276" s="258">
        <f t="shared" si="100"/>
        <v>5194.2222222222235</v>
      </c>
      <c r="V276" s="256">
        <v>0</v>
      </c>
      <c r="W276" s="256">
        <v>500</v>
      </c>
      <c r="X276" s="256">
        <v>53.31</v>
      </c>
      <c r="Y276" s="256">
        <v>5.0599999999999996</v>
      </c>
      <c r="Z276" s="256">
        <v>17.5</v>
      </c>
      <c r="AA276" s="256">
        <v>23.65</v>
      </c>
      <c r="AB276" s="256">
        <v>218.1</v>
      </c>
      <c r="AC276" s="189">
        <f t="shared" si="101"/>
        <v>817.61999999999989</v>
      </c>
      <c r="AD276" s="259">
        <f t="shared" si="102"/>
        <v>12511.842222222222</v>
      </c>
    </row>
    <row r="277" spans="1:30" s="160" customFormat="1">
      <c r="A277" s="250">
        <v>272</v>
      </c>
      <c r="B277" s="251" t="s">
        <v>422</v>
      </c>
      <c r="C277" s="252">
        <v>1</v>
      </c>
      <c r="D277" s="253">
        <v>3773.6</v>
      </c>
      <c r="E277" s="254">
        <f t="shared" si="99"/>
        <v>3773.6</v>
      </c>
      <c r="F277" s="255">
        <f t="shared" si="103"/>
        <v>1340.4665777777775</v>
      </c>
      <c r="G277" s="256">
        <f t="shared" si="104"/>
        <v>48.218222222222209</v>
      </c>
      <c r="H277" s="256">
        <f t="shared" si="105"/>
        <v>385.74577777777768</v>
      </c>
      <c r="I277" s="256">
        <f t="shared" si="106"/>
        <v>192.87288888888884</v>
      </c>
      <c r="J277" s="256">
        <f t="shared" si="107"/>
        <v>314.46666666666664</v>
      </c>
      <c r="K277" s="256">
        <f t="shared" si="108"/>
        <v>314.46666666666664</v>
      </c>
      <c r="L277" s="256">
        <f t="shared" si="109"/>
        <v>104.82222222222221</v>
      </c>
      <c r="M277" s="256">
        <f t="shared" si="110"/>
        <v>314.46666666666664</v>
      </c>
      <c r="N277" s="255">
        <v>0</v>
      </c>
      <c r="O277" s="256">
        <v>0</v>
      </c>
      <c r="P277" s="256">
        <v>0</v>
      </c>
      <c r="Q277" s="256">
        <v>0</v>
      </c>
      <c r="R277" s="256">
        <f>E277*30%</f>
        <v>1132.08</v>
      </c>
      <c r="S277" s="257">
        <v>0</v>
      </c>
      <c r="T277" s="256">
        <v>0</v>
      </c>
      <c r="U277" s="258">
        <f t="shared" si="100"/>
        <v>4147.6056888888888</v>
      </c>
      <c r="V277" s="256">
        <v>0</v>
      </c>
      <c r="W277" s="256">
        <v>500</v>
      </c>
      <c r="X277" s="256">
        <v>53.31</v>
      </c>
      <c r="Y277" s="256">
        <v>5.0599999999999996</v>
      </c>
      <c r="Z277" s="256">
        <v>17.5</v>
      </c>
      <c r="AA277" s="256">
        <v>23.65</v>
      </c>
      <c r="AB277" s="256">
        <v>218.1</v>
      </c>
      <c r="AC277" s="189">
        <f t="shared" si="101"/>
        <v>817.61999999999989</v>
      </c>
      <c r="AD277" s="259">
        <f t="shared" si="102"/>
        <v>8738.82568888889</v>
      </c>
    </row>
    <row r="278" spans="1:30" s="160" customFormat="1">
      <c r="A278" s="250">
        <v>273</v>
      </c>
      <c r="B278" s="251" t="s">
        <v>423</v>
      </c>
      <c r="C278" s="252">
        <v>1</v>
      </c>
      <c r="D278" s="253">
        <v>2600</v>
      </c>
      <c r="E278" s="254">
        <f t="shared" si="99"/>
        <v>2600</v>
      </c>
      <c r="F278" s="255">
        <f t="shared" si="103"/>
        <v>923.57777777777767</v>
      </c>
      <c r="G278" s="256">
        <f t="shared" si="104"/>
        <v>33.222222222222214</v>
      </c>
      <c r="H278" s="256">
        <f t="shared" si="105"/>
        <v>265.77777777777771</v>
      </c>
      <c r="I278" s="256">
        <f t="shared" si="106"/>
        <v>132.88888888888886</v>
      </c>
      <c r="J278" s="256">
        <f t="shared" si="107"/>
        <v>216.66666666666666</v>
      </c>
      <c r="K278" s="256">
        <f t="shared" si="108"/>
        <v>216.66666666666666</v>
      </c>
      <c r="L278" s="256">
        <f t="shared" si="109"/>
        <v>72.222222222222214</v>
      </c>
      <c r="M278" s="256">
        <f t="shared" si="110"/>
        <v>216.66666666666666</v>
      </c>
      <c r="N278" s="255">
        <v>0</v>
      </c>
      <c r="O278" s="256">
        <v>0</v>
      </c>
      <c r="P278" s="256">
        <f>E278/150*1.75</f>
        <v>30.333333333333332</v>
      </c>
      <c r="Q278" s="256">
        <f>P278/25*5</f>
        <v>6.0666666666666664</v>
      </c>
      <c r="R278" s="256">
        <v>0</v>
      </c>
      <c r="S278" s="257">
        <v>0</v>
      </c>
      <c r="T278" s="256">
        <v>0</v>
      </c>
      <c r="U278" s="258">
        <f t="shared" si="100"/>
        <v>2114.088888888889</v>
      </c>
      <c r="V278" s="256">
        <v>99.26</v>
      </c>
      <c r="W278" s="256">
        <v>500</v>
      </c>
      <c r="X278" s="256">
        <v>53.31</v>
      </c>
      <c r="Y278" s="256">
        <v>5.0599999999999996</v>
      </c>
      <c r="Z278" s="256">
        <v>17.5</v>
      </c>
      <c r="AA278" s="256">
        <v>23.65</v>
      </c>
      <c r="AB278" s="256">
        <v>218.1</v>
      </c>
      <c r="AC278" s="189">
        <f t="shared" si="101"/>
        <v>916.87999999999988</v>
      </c>
      <c r="AD278" s="259">
        <f t="shared" si="102"/>
        <v>5630.9688888888895</v>
      </c>
    </row>
    <row r="279" spans="1:30" s="160" customFormat="1">
      <c r="A279" s="250">
        <v>274</v>
      </c>
      <c r="B279" s="251" t="s">
        <v>424</v>
      </c>
      <c r="C279" s="252">
        <v>1</v>
      </c>
      <c r="D279" s="253">
        <v>2600</v>
      </c>
      <c r="E279" s="254">
        <f t="shared" si="99"/>
        <v>2600</v>
      </c>
      <c r="F279" s="255">
        <f t="shared" si="103"/>
        <v>923.57777777777767</v>
      </c>
      <c r="G279" s="256">
        <f t="shared" si="104"/>
        <v>33.222222222222214</v>
      </c>
      <c r="H279" s="256">
        <f t="shared" si="105"/>
        <v>265.77777777777771</v>
      </c>
      <c r="I279" s="256">
        <f t="shared" si="106"/>
        <v>132.88888888888886</v>
      </c>
      <c r="J279" s="256">
        <f t="shared" si="107"/>
        <v>216.66666666666666</v>
      </c>
      <c r="K279" s="256">
        <f t="shared" si="108"/>
        <v>216.66666666666666</v>
      </c>
      <c r="L279" s="256">
        <f t="shared" si="109"/>
        <v>72.222222222222214</v>
      </c>
      <c r="M279" s="256">
        <f t="shared" si="110"/>
        <v>216.66666666666666</v>
      </c>
      <c r="N279" s="255">
        <v>0</v>
      </c>
      <c r="O279" s="256">
        <v>0</v>
      </c>
      <c r="P279" s="256">
        <f t="shared" ref="P279:P286" si="114">E279/150*1.75</f>
        <v>30.333333333333332</v>
      </c>
      <c r="Q279" s="256">
        <f t="shared" ref="Q279:Q286" si="115">P279/25*5</f>
        <v>6.0666666666666664</v>
      </c>
      <c r="R279" s="256">
        <v>0</v>
      </c>
      <c r="S279" s="257">
        <v>0</v>
      </c>
      <c r="T279" s="256">
        <v>0</v>
      </c>
      <c r="U279" s="258">
        <f t="shared" si="100"/>
        <v>2114.088888888889</v>
      </c>
      <c r="V279" s="256">
        <v>99.26</v>
      </c>
      <c r="W279" s="256">
        <v>500</v>
      </c>
      <c r="X279" s="256">
        <v>53.31</v>
      </c>
      <c r="Y279" s="256">
        <v>5.0599999999999996</v>
      </c>
      <c r="Z279" s="256">
        <v>17.5</v>
      </c>
      <c r="AA279" s="256">
        <v>23.65</v>
      </c>
      <c r="AB279" s="256">
        <v>218.1</v>
      </c>
      <c r="AC279" s="189">
        <f t="shared" si="101"/>
        <v>916.87999999999988</v>
      </c>
      <c r="AD279" s="259">
        <f t="shared" si="102"/>
        <v>5630.9688888888895</v>
      </c>
    </row>
    <row r="280" spans="1:30" s="160" customFormat="1">
      <c r="A280" s="250">
        <v>275</v>
      </c>
      <c r="B280" s="251" t="s">
        <v>425</v>
      </c>
      <c r="C280" s="252">
        <v>1</v>
      </c>
      <c r="D280" s="253">
        <v>2600</v>
      </c>
      <c r="E280" s="254">
        <f t="shared" si="99"/>
        <v>2600</v>
      </c>
      <c r="F280" s="255">
        <f t="shared" si="103"/>
        <v>923.57777777777767</v>
      </c>
      <c r="G280" s="256">
        <f t="shared" si="104"/>
        <v>33.222222222222214</v>
      </c>
      <c r="H280" s="256">
        <f t="shared" si="105"/>
        <v>265.77777777777771</v>
      </c>
      <c r="I280" s="256">
        <f t="shared" si="106"/>
        <v>132.88888888888886</v>
      </c>
      <c r="J280" s="256">
        <f t="shared" si="107"/>
        <v>216.66666666666666</v>
      </c>
      <c r="K280" s="256">
        <f t="shared" si="108"/>
        <v>216.66666666666666</v>
      </c>
      <c r="L280" s="256">
        <f t="shared" si="109"/>
        <v>72.222222222222214</v>
      </c>
      <c r="M280" s="256">
        <f t="shared" si="110"/>
        <v>216.66666666666666</v>
      </c>
      <c r="N280" s="255">
        <v>0</v>
      </c>
      <c r="O280" s="256">
        <v>0</v>
      </c>
      <c r="P280" s="256">
        <f t="shared" si="114"/>
        <v>30.333333333333332</v>
      </c>
      <c r="Q280" s="256">
        <f t="shared" si="115"/>
        <v>6.0666666666666664</v>
      </c>
      <c r="R280" s="256">
        <v>0</v>
      </c>
      <c r="S280" s="257">
        <v>0</v>
      </c>
      <c r="T280" s="256">
        <v>0</v>
      </c>
      <c r="U280" s="258">
        <f t="shared" si="100"/>
        <v>2114.088888888889</v>
      </c>
      <c r="V280" s="256">
        <v>99.26</v>
      </c>
      <c r="W280" s="256">
        <v>500</v>
      </c>
      <c r="X280" s="256">
        <v>53.31</v>
      </c>
      <c r="Y280" s="256">
        <v>5.0599999999999996</v>
      </c>
      <c r="Z280" s="256">
        <v>17.5</v>
      </c>
      <c r="AA280" s="256">
        <v>23.65</v>
      </c>
      <c r="AB280" s="256">
        <v>218.1</v>
      </c>
      <c r="AC280" s="189">
        <f t="shared" si="101"/>
        <v>916.87999999999988</v>
      </c>
      <c r="AD280" s="259">
        <f t="shared" si="102"/>
        <v>5630.9688888888895</v>
      </c>
    </row>
    <row r="281" spans="1:30" s="160" customFormat="1">
      <c r="A281" s="250">
        <v>276</v>
      </c>
      <c r="B281" s="251" t="s">
        <v>426</v>
      </c>
      <c r="C281" s="252">
        <v>1</v>
      </c>
      <c r="D281" s="253">
        <v>2600</v>
      </c>
      <c r="E281" s="254">
        <f t="shared" si="99"/>
        <v>2600</v>
      </c>
      <c r="F281" s="255">
        <f t="shared" si="103"/>
        <v>923.57777777777767</v>
      </c>
      <c r="G281" s="256">
        <f t="shared" si="104"/>
        <v>33.222222222222214</v>
      </c>
      <c r="H281" s="256">
        <f t="shared" si="105"/>
        <v>265.77777777777771</v>
      </c>
      <c r="I281" s="256">
        <f t="shared" si="106"/>
        <v>132.88888888888886</v>
      </c>
      <c r="J281" s="256">
        <f t="shared" si="107"/>
        <v>216.66666666666666</v>
      </c>
      <c r="K281" s="256">
        <f t="shared" si="108"/>
        <v>216.66666666666666</v>
      </c>
      <c r="L281" s="256">
        <f t="shared" si="109"/>
        <v>72.222222222222214</v>
      </c>
      <c r="M281" s="256">
        <f t="shared" si="110"/>
        <v>216.66666666666666</v>
      </c>
      <c r="N281" s="255">
        <v>0</v>
      </c>
      <c r="O281" s="256">
        <v>0</v>
      </c>
      <c r="P281" s="256">
        <f t="shared" si="114"/>
        <v>30.333333333333332</v>
      </c>
      <c r="Q281" s="256">
        <f t="shared" si="115"/>
        <v>6.0666666666666664</v>
      </c>
      <c r="R281" s="256">
        <v>0</v>
      </c>
      <c r="S281" s="257">
        <v>0</v>
      </c>
      <c r="T281" s="256">
        <v>0</v>
      </c>
      <c r="U281" s="258">
        <f t="shared" si="100"/>
        <v>2114.088888888889</v>
      </c>
      <c r="V281" s="256">
        <v>99.26</v>
      </c>
      <c r="W281" s="256">
        <v>500</v>
      </c>
      <c r="X281" s="256">
        <v>53.31</v>
      </c>
      <c r="Y281" s="256">
        <v>5.0599999999999996</v>
      </c>
      <c r="Z281" s="256">
        <v>17.5</v>
      </c>
      <c r="AA281" s="256">
        <v>23.65</v>
      </c>
      <c r="AB281" s="256">
        <v>218.1</v>
      </c>
      <c r="AC281" s="189">
        <f t="shared" si="101"/>
        <v>916.87999999999988</v>
      </c>
      <c r="AD281" s="259">
        <f t="shared" si="102"/>
        <v>5630.9688888888895</v>
      </c>
    </row>
    <row r="282" spans="1:30" s="160" customFormat="1">
      <c r="A282" s="250">
        <v>277</v>
      </c>
      <c r="B282" s="251" t="s">
        <v>427</v>
      </c>
      <c r="C282" s="252">
        <v>1</v>
      </c>
      <c r="D282" s="253">
        <v>2600</v>
      </c>
      <c r="E282" s="254">
        <f t="shared" si="99"/>
        <v>2600</v>
      </c>
      <c r="F282" s="255">
        <f t="shared" si="103"/>
        <v>923.57777777777767</v>
      </c>
      <c r="G282" s="256">
        <f t="shared" si="104"/>
        <v>33.222222222222214</v>
      </c>
      <c r="H282" s="256">
        <f t="shared" si="105"/>
        <v>265.77777777777771</v>
      </c>
      <c r="I282" s="256">
        <f t="shared" si="106"/>
        <v>132.88888888888886</v>
      </c>
      <c r="J282" s="256">
        <f t="shared" si="107"/>
        <v>216.66666666666666</v>
      </c>
      <c r="K282" s="256">
        <f t="shared" si="108"/>
        <v>216.66666666666666</v>
      </c>
      <c r="L282" s="256">
        <f t="shared" si="109"/>
        <v>72.222222222222214</v>
      </c>
      <c r="M282" s="256">
        <f t="shared" si="110"/>
        <v>216.66666666666666</v>
      </c>
      <c r="N282" s="255">
        <v>0</v>
      </c>
      <c r="O282" s="256">
        <v>0</v>
      </c>
      <c r="P282" s="256">
        <f t="shared" si="114"/>
        <v>30.333333333333332</v>
      </c>
      <c r="Q282" s="256">
        <f t="shared" si="115"/>
        <v>6.0666666666666664</v>
      </c>
      <c r="R282" s="256">
        <v>0</v>
      </c>
      <c r="S282" s="257">
        <v>0</v>
      </c>
      <c r="T282" s="256">
        <v>0</v>
      </c>
      <c r="U282" s="258">
        <f t="shared" si="100"/>
        <v>2114.088888888889</v>
      </c>
      <c r="V282" s="256">
        <v>99.26</v>
      </c>
      <c r="W282" s="256">
        <v>500</v>
      </c>
      <c r="X282" s="256">
        <v>53.31</v>
      </c>
      <c r="Y282" s="256">
        <v>5.0599999999999996</v>
      </c>
      <c r="Z282" s="256">
        <v>17.5</v>
      </c>
      <c r="AA282" s="256">
        <v>23.65</v>
      </c>
      <c r="AB282" s="256">
        <v>218.1</v>
      </c>
      <c r="AC282" s="189">
        <f t="shared" si="101"/>
        <v>916.87999999999988</v>
      </c>
      <c r="AD282" s="259">
        <f t="shared" si="102"/>
        <v>5630.9688888888895</v>
      </c>
    </row>
    <row r="283" spans="1:30" s="160" customFormat="1">
      <c r="A283" s="250">
        <v>278</v>
      </c>
      <c r="B283" s="251" t="s">
        <v>428</v>
      </c>
      <c r="C283" s="252">
        <v>1</v>
      </c>
      <c r="D283" s="253">
        <v>1750</v>
      </c>
      <c r="E283" s="254">
        <f t="shared" si="99"/>
        <v>1750</v>
      </c>
      <c r="F283" s="255">
        <f t="shared" si="103"/>
        <v>621.63888888888903</v>
      </c>
      <c r="G283" s="256">
        <f t="shared" si="104"/>
        <v>22.361111111111114</v>
      </c>
      <c r="H283" s="256">
        <f t="shared" si="105"/>
        <v>178.88888888888891</v>
      </c>
      <c r="I283" s="256">
        <f t="shared" si="106"/>
        <v>89.444444444444457</v>
      </c>
      <c r="J283" s="256">
        <f t="shared" si="107"/>
        <v>145.83333333333334</v>
      </c>
      <c r="K283" s="256">
        <f t="shared" si="108"/>
        <v>145.83333333333334</v>
      </c>
      <c r="L283" s="256">
        <f t="shared" si="109"/>
        <v>48.611111111111114</v>
      </c>
      <c r="M283" s="256">
        <f t="shared" si="110"/>
        <v>145.83333333333334</v>
      </c>
      <c r="N283" s="255">
        <v>0</v>
      </c>
      <c r="O283" s="256">
        <v>0</v>
      </c>
      <c r="P283" s="256">
        <f t="shared" si="114"/>
        <v>20.416666666666664</v>
      </c>
      <c r="Q283" s="256">
        <f t="shared" si="115"/>
        <v>4.083333333333333</v>
      </c>
      <c r="R283" s="256">
        <v>0</v>
      </c>
      <c r="S283" s="257">
        <v>0</v>
      </c>
      <c r="T283" s="256">
        <v>0</v>
      </c>
      <c r="U283" s="258">
        <f t="shared" si="100"/>
        <v>1422.9444444444443</v>
      </c>
      <c r="V283" s="256">
        <v>99.26</v>
      </c>
      <c r="W283" s="256">
        <v>500</v>
      </c>
      <c r="X283" s="256">
        <v>53.31</v>
      </c>
      <c r="Y283" s="256">
        <v>5.0599999999999996</v>
      </c>
      <c r="Z283" s="256">
        <v>17.5</v>
      </c>
      <c r="AA283" s="256">
        <v>23.65</v>
      </c>
      <c r="AB283" s="256">
        <v>218.1</v>
      </c>
      <c r="AC283" s="189">
        <f t="shared" si="101"/>
        <v>916.87999999999988</v>
      </c>
      <c r="AD283" s="259">
        <f t="shared" si="102"/>
        <v>4089.8244444444445</v>
      </c>
    </row>
    <row r="284" spans="1:30" s="160" customFormat="1">
      <c r="A284" s="250">
        <v>279</v>
      </c>
      <c r="B284" s="251" t="s">
        <v>429</v>
      </c>
      <c r="C284" s="252">
        <v>1</v>
      </c>
      <c r="D284" s="253">
        <v>1642</v>
      </c>
      <c r="E284" s="254">
        <f t="shared" si="99"/>
        <v>1642</v>
      </c>
      <c r="F284" s="255">
        <f t="shared" si="103"/>
        <v>583.27488888888888</v>
      </c>
      <c r="G284" s="256">
        <f t="shared" si="104"/>
        <v>20.981111111111108</v>
      </c>
      <c r="H284" s="256">
        <f t="shared" si="105"/>
        <v>167.84888888888887</v>
      </c>
      <c r="I284" s="256">
        <f t="shared" si="106"/>
        <v>83.924444444444433</v>
      </c>
      <c r="J284" s="256">
        <f t="shared" si="107"/>
        <v>136.83333333333334</v>
      </c>
      <c r="K284" s="256">
        <f t="shared" si="108"/>
        <v>136.83333333333334</v>
      </c>
      <c r="L284" s="256">
        <f t="shared" si="109"/>
        <v>45.611111111111114</v>
      </c>
      <c r="M284" s="256">
        <f t="shared" si="110"/>
        <v>136.83333333333334</v>
      </c>
      <c r="N284" s="255">
        <v>0</v>
      </c>
      <c r="O284" s="256">
        <v>0</v>
      </c>
      <c r="P284" s="256">
        <f t="shared" si="114"/>
        <v>19.156666666666666</v>
      </c>
      <c r="Q284" s="256">
        <f t="shared" si="115"/>
        <v>3.8313333333333333</v>
      </c>
      <c r="R284" s="256">
        <v>0</v>
      </c>
      <c r="S284" s="257">
        <v>0</v>
      </c>
      <c r="T284" s="256">
        <v>0</v>
      </c>
      <c r="U284" s="258">
        <f t="shared" si="100"/>
        <v>1335.1284444444443</v>
      </c>
      <c r="V284" s="256">
        <v>99.26</v>
      </c>
      <c r="W284" s="256">
        <v>500</v>
      </c>
      <c r="X284" s="256">
        <v>53.31</v>
      </c>
      <c r="Y284" s="256">
        <v>5.0599999999999996</v>
      </c>
      <c r="Z284" s="256">
        <v>17.5</v>
      </c>
      <c r="AA284" s="256">
        <v>23.65</v>
      </c>
      <c r="AB284" s="256">
        <v>218.1</v>
      </c>
      <c r="AC284" s="189">
        <f t="shared" si="101"/>
        <v>916.87999999999988</v>
      </c>
      <c r="AD284" s="259">
        <f t="shared" si="102"/>
        <v>3894.0084444444446</v>
      </c>
    </row>
    <row r="285" spans="1:30" s="160" customFormat="1">
      <c r="A285" s="250">
        <v>280</v>
      </c>
      <c r="B285" s="251" t="s">
        <v>430</v>
      </c>
      <c r="C285" s="252">
        <v>1</v>
      </c>
      <c r="D285" s="253">
        <v>1385</v>
      </c>
      <c r="E285" s="254">
        <f t="shared" si="99"/>
        <v>1385</v>
      </c>
      <c r="F285" s="255">
        <f t="shared" si="103"/>
        <v>491.98277777777787</v>
      </c>
      <c r="G285" s="256">
        <f t="shared" si="104"/>
        <v>17.697222222222223</v>
      </c>
      <c r="H285" s="256">
        <f t="shared" si="105"/>
        <v>141.57777777777778</v>
      </c>
      <c r="I285" s="256">
        <f t="shared" si="106"/>
        <v>70.788888888888891</v>
      </c>
      <c r="J285" s="256">
        <f t="shared" si="107"/>
        <v>115.41666666666667</v>
      </c>
      <c r="K285" s="256">
        <f t="shared" si="108"/>
        <v>115.41666666666667</v>
      </c>
      <c r="L285" s="256">
        <f t="shared" si="109"/>
        <v>38.472222222222221</v>
      </c>
      <c r="M285" s="256">
        <f t="shared" si="110"/>
        <v>115.41666666666667</v>
      </c>
      <c r="N285" s="255">
        <v>0</v>
      </c>
      <c r="O285" s="256">
        <v>0</v>
      </c>
      <c r="P285" s="256">
        <f t="shared" si="114"/>
        <v>16.158333333333331</v>
      </c>
      <c r="Q285" s="256">
        <f t="shared" si="115"/>
        <v>3.231666666666666</v>
      </c>
      <c r="R285" s="256">
        <v>0</v>
      </c>
      <c r="S285" s="257">
        <v>0</v>
      </c>
      <c r="T285" s="256">
        <v>0</v>
      </c>
      <c r="U285" s="258">
        <f t="shared" si="100"/>
        <v>1126.1588888888887</v>
      </c>
      <c r="V285" s="256">
        <v>99.26</v>
      </c>
      <c r="W285" s="256">
        <v>500</v>
      </c>
      <c r="X285" s="256">
        <v>53.31</v>
      </c>
      <c r="Y285" s="256">
        <v>5.0599999999999996</v>
      </c>
      <c r="Z285" s="256">
        <v>17.5</v>
      </c>
      <c r="AA285" s="256">
        <v>23.65</v>
      </c>
      <c r="AB285" s="256">
        <v>218.1</v>
      </c>
      <c r="AC285" s="189">
        <f t="shared" si="101"/>
        <v>916.87999999999988</v>
      </c>
      <c r="AD285" s="259">
        <f t="shared" si="102"/>
        <v>3428.0388888888883</v>
      </c>
    </row>
    <row r="286" spans="1:30" s="160" customFormat="1">
      <c r="A286" s="250">
        <v>281</v>
      </c>
      <c r="B286" s="251" t="s">
        <v>431</v>
      </c>
      <c r="C286" s="252">
        <v>1</v>
      </c>
      <c r="D286" s="253">
        <v>1452.39</v>
      </c>
      <c r="E286" s="254">
        <f t="shared" si="99"/>
        <v>1452.39</v>
      </c>
      <c r="F286" s="255">
        <f t="shared" si="103"/>
        <v>515.92120333333344</v>
      </c>
      <c r="G286" s="256">
        <f t="shared" si="104"/>
        <v>18.55831666666667</v>
      </c>
      <c r="H286" s="256">
        <f t="shared" si="105"/>
        <v>148.46653333333336</v>
      </c>
      <c r="I286" s="256">
        <f t="shared" si="106"/>
        <v>74.23326666666668</v>
      </c>
      <c r="J286" s="256">
        <f t="shared" si="107"/>
        <v>121.03250000000001</v>
      </c>
      <c r="K286" s="256">
        <f t="shared" si="108"/>
        <v>121.03250000000001</v>
      </c>
      <c r="L286" s="256">
        <f t="shared" si="109"/>
        <v>40.344166666666673</v>
      </c>
      <c r="M286" s="256">
        <f t="shared" si="110"/>
        <v>121.03250000000001</v>
      </c>
      <c r="N286" s="255">
        <v>0</v>
      </c>
      <c r="O286" s="256">
        <v>0</v>
      </c>
      <c r="P286" s="256">
        <f t="shared" si="114"/>
        <v>16.94455</v>
      </c>
      <c r="Q286" s="256">
        <f t="shared" si="115"/>
        <v>3.3889100000000001</v>
      </c>
      <c r="R286" s="256">
        <v>0</v>
      </c>
      <c r="S286" s="257">
        <v>0</v>
      </c>
      <c r="T286" s="256">
        <v>0</v>
      </c>
      <c r="U286" s="258">
        <f t="shared" si="100"/>
        <v>1180.9544466666669</v>
      </c>
      <c r="V286" s="256">
        <v>99.26</v>
      </c>
      <c r="W286" s="256">
        <v>500</v>
      </c>
      <c r="X286" s="256">
        <v>53.31</v>
      </c>
      <c r="Y286" s="256">
        <v>5.0599999999999996</v>
      </c>
      <c r="Z286" s="256">
        <v>17.5</v>
      </c>
      <c r="AA286" s="256">
        <v>23.65</v>
      </c>
      <c r="AB286" s="256">
        <v>218.1</v>
      </c>
      <c r="AC286" s="189">
        <f t="shared" si="101"/>
        <v>916.87999999999988</v>
      </c>
      <c r="AD286" s="259">
        <f t="shared" si="102"/>
        <v>3550.2244466666671</v>
      </c>
    </row>
    <row r="287" spans="1:30" s="160" customFormat="1">
      <c r="A287" s="250">
        <v>282</v>
      </c>
      <c r="B287" s="251" t="s">
        <v>435</v>
      </c>
      <c r="C287" s="252">
        <v>2</v>
      </c>
      <c r="D287" s="253">
        <v>1900</v>
      </c>
      <c r="E287" s="254">
        <f t="shared" si="99"/>
        <v>3800</v>
      </c>
      <c r="F287" s="255">
        <f t="shared" si="103"/>
        <v>1434.9433333333336</v>
      </c>
      <c r="G287" s="256">
        <f t="shared" si="104"/>
        <v>51.616666666666674</v>
      </c>
      <c r="H287" s="256">
        <f t="shared" si="105"/>
        <v>412.93333333333339</v>
      </c>
      <c r="I287" s="256">
        <f t="shared" si="106"/>
        <v>301.4666666666667</v>
      </c>
      <c r="J287" s="256">
        <f t="shared" si="107"/>
        <v>332.5</v>
      </c>
      <c r="K287" s="256">
        <f t="shared" si="108"/>
        <v>332.5</v>
      </c>
      <c r="L287" s="256">
        <f t="shared" si="109"/>
        <v>174.16666666666666</v>
      </c>
      <c r="M287" s="256">
        <f t="shared" si="110"/>
        <v>332.5</v>
      </c>
      <c r="N287" s="255">
        <v>0</v>
      </c>
      <c r="O287" s="256">
        <v>0</v>
      </c>
      <c r="P287" s="256">
        <f>(R287+E287)/210*1.75*1.2</f>
        <v>49.400000000000006</v>
      </c>
      <c r="Q287" s="256">
        <f>P287/6</f>
        <v>8.2333333333333343</v>
      </c>
      <c r="R287" s="256">
        <f>E287*30%</f>
        <v>1140</v>
      </c>
      <c r="S287" s="257">
        <v>190</v>
      </c>
      <c r="T287" s="256">
        <f>(E287+R287+N287+O287)/30*2</f>
        <v>329.33333333333331</v>
      </c>
      <c r="U287" s="258">
        <f t="shared" si="100"/>
        <v>5089.5933333333332</v>
      </c>
      <c r="V287" s="256">
        <v>67.680000000000007</v>
      </c>
      <c r="W287" s="256">
        <v>500</v>
      </c>
      <c r="X287" s="256">
        <v>53.31</v>
      </c>
      <c r="Y287" s="256">
        <v>5.0599999999999996</v>
      </c>
      <c r="Z287" s="256">
        <v>17.5</v>
      </c>
      <c r="AA287" s="256">
        <v>23.65</v>
      </c>
      <c r="AB287" s="256">
        <v>218.1</v>
      </c>
      <c r="AC287" s="189">
        <f t="shared" si="101"/>
        <v>885.3</v>
      </c>
      <c r="AD287" s="259">
        <f t="shared" si="102"/>
        <v>9774.8933333333334</v>
      </c>
    </row>
    <row r="288" spans="1:30" s="160" customFormat="1">
      <c r="A288" s="250">
        <v>283</v>
      </c>
      <c r="B288" s="251" t="s">
        <v>432</v>
      </c>
      <c r="C288" s="252">
        <v>12</v>
      </c>
      <c r="D288" s="253">
        <v>1900</v>
      </c>
      <c r="E288" s="254">
        <f t="shared" si="99"/>
        <v>22800</v>
      </c>
      <c r="F288" s="255">
        <f t="shared" si="103"/>
        <v>8099.0666666666666</v>
      </c>
      <c r="G288" s="256">
        <f t="shared" si="104"/>
        <v>291.33333333333331</v>
      </c>
      <c r="H288" s="256">
        <f t="shared" si="105"/>
        <v>2330.6666666666665</v>
      </c>
      <c r="I288" s="256">
        <f t="shared" si="106"/>
        <v>1165.3333333333333</v>
      </c>
      <c r="J288" s="256">
        <f t="shared" si="107"/>
        <v>1900</v>
      </c>
      <c r="K288" s="256">
        <f t="shared" si="108"/>
        <v>1900</v>
      </c>
      <c r="L288" s="256">
        <f t="shared" si="109"/>
        <v>633.33333333333337</v>
      </c>
      <c r="M288" s="256">
        <f t="shared" si="110"/>
        <v>1900</v>
      </c>
      <c r="N288" s="255">
        <v>0</v>
      </c>
      <c r="O288" s="256">
        <v>0</v>
      </c>
      <c r="P288" s="256">
        <f>(R288+E288)/210*1.75*1.2</f>
        <v>296.39999999999998</v>
      </c>
      <c r="Q288" s="256">
        <f>P288/6</f>
        <v>49.4</v>
      </c>
      <c r="R288" s="256">
        <f>E288*30%</f>
        <v>6840</v>
      </c>
      <c r="S288" s="257">
        <v>0</v>
      </c>
      <c r="T288" s="256">
        <f t="shared" ref="T288:T290" si="116">(E288+R288+N288+O288)/30*2</f>
        <v>1976</v>
      </c>
      <c r="U288" s="258">
        <f t="shared" si="100"/>
        <v>27381.533333333336</v>
      </c>
      <c r="V288" s="256">
        <v>67.680000000000007</v>
      </c>
      <c r="W288" s="256">
        <v>500</v>
      </c>
      <c r="X288" s="256">
        <v>53.31</v>
      </c>
      <c r="Y288" s="256">
        <v>5.0599999999999996</v>
      </c>
      <c r="Z288" s="256">
        <v>17.5</v>
      </c>
      <c r="AA288" s="256">
        <v>23.65</v>
      </c>
      <c r="AB288" s="256">
        <v>218.1</v>
      </c>
      <c r="AC288" s="189">
        <f t="shared" si="101"/>
        <v>885.3</v>
      </c>
      <c r="AD288" s="259">
        <f t="shared" si="102"/>
        <v>51066.833333333343</v>
      </c>
    </row>
    <row r="289" spans="1:30" s="160" customFormat="1">
      <c r="A289" s="250">
        <v>284</v>
      </c>
      <c r="B289" s="251" t="s">
        <v>433</v>
      </c>
      <c r="C289" s="252">
        <v>2</v>
      </c>
      <c r="D289" s="253">
        <v>1900</v>
      </c>
      <c r="E289" s="254">
        <f t="shared" si="99"/>
        <v>3800</v>
      </c>
      <c r="F289" s="255">
        <f t="shared" si="103"/>
        <v>1434.9433333333336</v>
      </c>
      <c r="G289" s="256">
        <f t="shared" si="104"/>
        <v>51.616666666666674</v>
      </c>
      <c r="H289" s="256">
        <f t="shared" si="105"/>
        <v>412.93333333333339</v>
      </c>
      <c r="I289" s="256">
        <f t="shared" si="106"/>
        <v>301.4666666666667</v>
      </c>
      <c r="J289" s="256">
        <f t="shared" si="107"/>
        <v>332.5</v>
      </c>
      <c r="K289" s="256">
        <f t="shared" si="108"/>
        <v>332.5</v>
      </c>
      <c r="L289" s="256">
        <f t="shared" si="109"/>
        <v>174.16666666666666</v>
      </c>
      <c r="M289" s="256">
        <f t="shared" si="110"/>
        <v>332.5</v>
      </c>
      <c r="N289" s="255">
        <f>(R289+E289)/210*20%*160</f>
        <v>752.76190476190482</v>
      </c>
      <c r="O289" s="256">
        <f>N289/6</f>
        <v>125.46031746031747</v>
      </c>
      <c r="P289" s="256">
        <f>(R289+E289)/210*1.75*1.2</f>
        <v>49.400000000000006</v>
      </c>
      <c r="Q289" s="256">
        <f>P289/6</f>
        <v>8.2333333333333343</v>
      </c>
      <c r="R289" s="256">
        <f>E289*30%</f>
        <v>1140</v>
      </c>
      <c r="S289" s="257">
        <v>190</v>
      </c>
      <c r="T289" s="256">
        <f t="shared" si="116"/>
        <v>387.88148148148144</v>
      </c>
      <c r="U289" s="258">
        <f t="shared" si="100"/>
        <v>6026.3637037037033</v>
      </c>
      <c r="V289" s="256">
        <v>67.680000000000007</v>
      </c>
      <c r="W289" s="256">
        <v>500</v>
      </c>
      <c r="X289" s="256">
        <v>53.31</v>
      </c>
      <c r="Y289" s="256">
        <v>5.0599999999999996</v>
      </c>
      <c r="Z289" s="256">
        <v>17.5</v>
      </c>
      <c r="AA289" s="256">
        <v>23.65</v>
      </c>
      <c r="AB289" s="256">
        <v>218.1</v>
      </c>
      <c r="AC289" s="189">
        <f t="shared" si="101"/>
        <v>885.3</v>
      </c>
      <c r="AD289" s="259">
        <f t="shared" si="102"/>
        <v>10711.663703703704</v>
      </c>
    </row>
    <row r="290" spans="1:30" s="160" customFormat="1">
      <c r="A290" s="250">
        <v>285</v>
      </c>
      <c r="B290" s="251" t="s">
        <v>434</v>
      </c>
      <c r="C290" s="252">
        <v>6</v>
      </c>
      <c r="D290" s="253">
        <v>1900</v>
      </c>
      <c r="E290" s="254">
        <f t="shared" si="99"/>
        <v>11400</v>
      </c>
      <c r="F290" s="255">
        <f t="shared" si="103"/>
        <v>4049.5333333333333</v>
      </c>
      <c r="G290" s="256">
        <f t="shared" si="104"/>
        <v>145.66666666666666</v>
      </c>
      <c r="H290" s="256">
        <f t="shared" si="105"/>
        <v>1165.3333333333333</v>
      </c>
      <c r="I290" s="256">
        <f t="shared" si="106"/>
        <v>582.66666666666663</v>
      </c>
      <c r="J290" s="256">
        <f t="shared" si="107"/>
        <v>950</v>
      </c>
      <c r="K290" s="256">
        <f t="shared" si="108"/>
        <v>950</v>
      </c>
      <c r="L290" s="256">
        <f t="shared" si="109"/>
        <v>316.66666666666669</v>
      </c>
      <c r="M290" s="256">
        <f t="shared" si="110"/>
        <v>950</v>
      </c>
      <c r="N290" s="255">
        <f>(R290+E290)/210*20%*160</f>
        <v>2258.2857142857142</v>
      </c>
      <c r="O290" s="256">
        <f>N290/6</f>
        <v>376.38095238095235</v>
      </c>
      <c r="P290" s="256">
        <f>(R290+E290)/210*1.75*1.2</f>
        <v>148.19999999999999</v>
      </c>
      <c r="Q290" s="256">
        <f>P290/6</f>
        <v>24.7</v>
      </c>
      <c r="R290" s="256">
        <f>E290*30%</f>
        <v>3420</v>
      </c>
      <c r="S290" s="257">
        <v>0</v>
      </c>
      <c r="T290" s="256">
        <f t="shared" si="116"/>
        <v>1163.6444444444446</v>
      </c>
      <c r="U290" s="258">
        <f t="shared" si="100"/>
        <v>16501.07777777778</v>
      </c>
      <c r="V290" s="256">
        <v>67.680000000000007</v>
      </c>
      <c r="W290" s="256">
        <v>500</v>
      </c>
      <c r="X290" s="256">
        <v>53.31</v>
      </c>
      <c r="Y290" s="256">
        <v>5.0599999999999996</v>
      </c>
      <c r="Z290" s="256">
        <v>17.5</v>
      </c>
      <c r="AA290" s="256">
        <v>23.65</v>
      </c>
      <c r="AB290" s="256">
        <v>218.1</v>
      </c>
      <c r="AC290" s="189">
        <f t="shared" si="101"/>
        <v>885.3</v>
      </c>
      <c r="AD290" s="259">
        <f t="shared" si="102"/>
        <v>28786.37777777778</v>
      </c>
    </row>
    <row r="291" spans="1:30" s="160" customFormat="1">
      <c r="A291" s="250">
        <v>286</v>
      </c>
      <c r="B291" s="251" t="s">
        <v>730</v>
      </c>
      <c r="C291" s="252">
        <v>1</v>
      </c>
      <c r="D291" s="253">
        <v>8000</v>
      </c>
      <c r="E291" s="254">
        <f t="shared" si="99"/>
        <v>8000</v>
      </c>
      <c r="F291" s="255">
        <f t="shared" si="103"/>
        <v>3289.666666666667</v>
      </c>
      <c r="G291" s="256">
        <f t="shared" si="104"/>
        <v>118.33333333333334</v>
      </c>
      <c r="H291" s="256">
        <f t="shared" si="105"/>
        <v>946.66666666666674</v>
      </c>
      <c r="I291" s="256">
        <f t="shared" si="106"/>
        <v>973.33333333333337</v>
      </c>
      <c r="J291" s="256">
        <f t="shared" si="107"/>
        <v>750</v>
      </c>
      <c r="K291" s="256">
        <f t="shared" si="108"/>
        <v>750</v>
      </c>
      <c r="L291" s="256">
        <f t="shared" si="109"/>
        <v>583.33333333333337</v>
      </c>
      <c r="M291" s="256">
        <f t="shared" si="110"/>
        <v>750</v>
      </c>
      <c r="N291" s="255">
        <v>0</v>
      </c>
      <c r="O291" s="256">
        <v>0</v>
      </c>
      <c r="P291" s="256">
        <v>0</v>
      </c>
      <c r="Q291" s="256">
        <v>0</v>
      </c>
      <c r="R291" s="256">
        <v>0</v>
      </c>
      <c r="S291" s="257">
        <v>1000</v>
      </c>
      <c r="T291" s="256">
        <v>0</v>
      </c>
      <c r="U291" s="258">
        <f t="shared" si="100"/>
        <v>9161.3333333333321</v>
      </c>
      <c r="V291" s="256">
        <v>0</v>
      </c>
      <c r="W291" s="256">
        <v>500</v>
      </c>
      <c r="X291" s="256">
        <v>53.31</v>
      </c>
      <c r="Y291" s="256">
        <v>5.0599999999999996</v>
      </c>
      <c r="Z291" s="256">
        <v>17.5</v>
      </c>
      <c r="AA291" s="256">
        <v>23.65</v>
      </c>
      <c r="AB291" s="256">
        <v>218.1</v>
      </c>
      <c r="AC291" s="189">
        <f t="shared" si="101"/>
        <v>817.61999999999989</v>
      </c>
      <c r="AD291" s="259">
        <f t="shared" si="102"/>
        <v>17978.953333333331</v>
      </c>
    </row>
    <row r="292" spans="1:30" s="160" customFormat="1">
      <c r="A292" s="250">
        <v>287</v>
      </c>
      <c r="B292" s="251" t="s">
        <v>729</v>
      </c>
      <c r="C292" s="252">
        <v>3</v>
      </c>
      <c r="D292" s="253">
        <v>7000</v>
      </c>
      <c r="E292" s="254">
        <f t="shared" si="99"/>
        <v>21000</v>
      </c>
      <c r="F292" s="255">
        <f t="shared" si="103"/>
        <v>7907.5555555555557</v>
      </c>
      <c r="G292" s="256">
        <f t="shared" si="104"/>
        <v>284.4444444444444</v>
      </c>
      <c r="H292" s="256">
        <f t="shared" si="105"/>
        <v>2275.5555555555552</v>
      </c>
      <c r="I292" s="256">
        <f t="shared" si="106"/>
        <v>1637.7777777777776</v>
      </c>
      <c r="J292" s="256">
        <f t="shared" si="107"/>
        <v>1833.3333333333333</v>
      </c>
      <c r="K292" s="256">
        <f t="shared" si="108"/>
        <v>1833.3333333333333</v>
      </c>
      <c r="L292" s="256">
        <f t="shared" si="109"/>
        <v>944.44444444444434</v>
      </c>
      <c r="M292" s="256">
        <f t="shared" si="110"/>
        <v>1833.3333333333333</v>
      </c>
      <c r="N292" s="255">
        <v>0</v>
      </c>
      <c r="O292" s="256">
        <v>0</v>
      </c>
      <c r="P292" s="256">
        <v>0</v>
      </c>
      <c r="Q292" s="256">
        <v>0</v>
      </c>
      <c r="R292" s="256">
        <v>0</v>
      </c>
      <c r="S292" s="257">
        <v>1000</v>
      </c>
      <c r="T292" s="256">
        <v>0</v>
      </c>
      <c r="U292" s="258">
        <f t="shared" si="100"/>
        <v>19549.777777777777</v>
      </c>
      <c r="V292" s="256">
        <v>0</v>
      </c>
      <c r="W292" s="256">
        <v>500</v>
      </c>
      <c r="X292" s="256">
        <v>53.31</v>
      </c>
      <c r="Y292" s="256">
        <v>5.0599999999999996</v>
      </c>
      <c r="Z292" s="256">
        <v>17.5</v>
      </c>
      <c r="AA292" s="256">
        <v>23.65</v>
      </c>
      <c r="AB292" s="256">
        <v>218.1</v>
      </c>
      <c r="AC292" s="189">
        <f t="shared" si="101"/>
        <v>817.61999999999989</v>
      </c>
      <c r="AD292" s="259">
        <f t="shared" si="102"/>
        <v>41367.397777777784</v>
      </c>
    </row>
    <row r="293" spans="1:30" s="160" customFormat="1">
      <c r="A293" s="250">
        <v>288</v>
      </c>
      <c r="B293" s="251" t="s">
        <v>498</v>
      </c>
      <c r="C293" s="252">
        <v>5</v>
      </c>
      <c r="D293" s="253">
        <v>2800</v>
      </c>
      <c r="E293" s="254">
        <f t="shared" si="99"/>
        <v>14000</v>
      </c>
      <c r="F293" s="255">
        <f t="shared" si="103"/>
        <v>4973.1111111111122</v>
      </c>
      <c r="G293" s="256">
        <f t="shared" si="104"/>
        <v>178.88888888888891</v>
      </c>
      <c r="H293" s="256">
        <f t="shared" si="105"/>
        <v>1431.1111111111113</v>
      </c>
      <c r="I293" s="256">
        <f t="shared" si="106"/>
        <v>715.55555555555566</v>
      </c>
      <c r="J293" s="256">
        <f t="shared" si="107"/>
        <v>1166.6666666666667</v>
      </c>
      <c r="K293" s="256">
        <f t="shared" si="108"/>
        <v>1166.6666666666667</v>
      </c>
      <c r="L293" s="256">
        <f t="shared" si="109"/>
        <v>388.88888888888891</v>
      </c>
      <c r="M293" s="256">
        <f t="shared" si="110"/>
        <v>1166.6666666666667</v>
      </c>
      <c r="N293" s="255">
        <v>0</v>
      </c>
      <c r="O293" s="256">
        <v>0</v>
      </c>
      <c r="P293" s="256">
        <v>0</v>
      </c>
      <c r="Q293" s="256">
        <v>0</v>
      </c>
      <c r="R293" s="256">
        <v>0</v>
      </c>
      <c r="S293" s="257">
        <v>0</v>
      </c>
      <c r="T293" s="256">
        <v>0</v>
      </c>
      <c r="U293" s="258">
        <f t="shared" si="100"/>
        <v>11187.555555555555</v>
      </c>
      <c r="V293" s="256">
        <v>93.06</v>
      </c>
      <c r="W293" s="256">
        <v>500</v>
      </c>
      <c r="X293" s="256">
        <v>53.31</v>
      </c>
      <c r="Y293" s="256">
        <v>5.0599999999999996</v>
      </c>
      <c r="Z293" s="256">
        <v>17.5</v>
      </c>
      <c r="AA293" s="256">
        <v>23.65</v>
      </c>
      <c r="AB293" s="256">
        <v>218.1</v>
      </c>
      <c r="AC293" s="189">
        <f t="shared" si="101"/>
        <v>910.67999999999984</v>
      </c>
      <c r="AD293" s="259">
        <f t="shared" si="102"/>
        <v>26098.235555555555</v>
      </c>
    </row>
    <row r="294" spans="1:30" s="160" customFormat="1" hidden="1">
      <c r="A294" s="250">
        <v>289</v>
      </c>
      <c r="B294" s="251"/>
      <c r="C294" s="252"/>
      <c r="D294" s="253"/>
      <c r="E294" s="254">
        <f t="shared" si="99"/>
        <v>0</v>
      </c>
      <c r="F294" s="255">
        <f t="shared" ref="F294:F325" si="117">(E294+J294+L294+K294+M294)*26.5%</f>
        <v>0</v>
      </c>
      <c r="G294" s="256">
        <f t="shared" ref="G294:G325" si="118">(E294+J294+L294+K294+M294)*1%</f>
        <v>0</v>
      </c>
      <c r="H294" s="256">
        <f t="shared" ref="H294:H325" si="119">(E294+J294+L294+K294+M294)*8%</f>
        <v>0</v>
      </c>
      <c r="I294" s="256">
        <f t="shared" ref="I294:I325" si="120">H294/2</f>
        <v>0</v>
      </c>
      <c r="J294" s="256">
        <f t="shared" ref="J294:J325" si="121">E294/12</f>
        <v>0</v>
      </c>
      <c r="K294" s="256">
        <f t="shared" ref="K294:K325" si="122">E294/12</f>
        <v>0</v>
      </c>
      <c r="L294" s="256">
        <f t="shared" ref="L294:L325" si="123">K294/3</f>
        <v>0</v>
      </c>
      <c r="M294" s="256">
        <f t="shared" ref="M294:M325" si="124">E294/12</f>
        <v>0</v>
      </c>
      <c r="N294" s="255">
        <v>0</v>
      </c>
      <c r="O294" s="256">
        <v>0</v>
      </c>
      <c r="P294" s="256">
        <v>0</v>
      </c>
      <c r="Q294" s="256">
        <v>0</v>
      </c>
      <c r="R294" s="256">
        <v>0</v>
      </c>
      <c r="S294" s="257">
        <v>0</v>
      </c>
      <c r="T294" s="256">
        <v>0</v>
      </c>
      <c r="U294" s="258">
        <f t="shared" si="100"/>
        <v>0</v>
      </c>
      <c r="V294" s="256">
        <v>0</v>
      </c>
      <c r="W294" s="256">
        <v>0</v>
      </c>
      <c r="X294" s="256">
        <v>0</v>
      </c>
      <c r="Y294" s="256">
        <v>0</v>
      </c>
      <c r="Z294" s="256"/>
      <c r="AA294" s="256">
        <v>0</v>
      </c>
      <c r="AB294" s="256">
        <v>0</v>
      </c>
      <c r="AC294" s="189">
        <f t="shared" si="101"/>
        <v>0</v>
      </c>
      <c r="AD294" s="259">
        <f t="shared" si="102"/>
        <v>0</v>
      </c>
    </row>
    <row r="295" spans="1:30" s="160" customFormat="1" hidden="1">
      <c r="A295" s="250">
        <v>290</v>
      </c>
      <c r="B295" s="251"/>
      <c r="C295" s="252"/>
      <c r="D295" s="253"/>
      <c r="E295" s="254">
        <f t="shared" si="99"/>
        <v>0</v>
      </c>
      <c r="F295" s="255">
        <f t="shared" si="117"/>
        <v>0</v>
      </c>
      <c r="G295" s="256">
        <f t="shared" si="118"/>
        <v>0</v>
      </c>
      <c r="H295" s="256">
        <f t="shared" si="119"/>
        <v>0</v>
      </c>
      <c r="I295" s="256">
        <f t="shared" si="120"/>
        <v>0</v>
      </c>
      <c r="J295" s="256">
        <f t="shared" si="121"/>
        <v>0</v>
      </c>
      <c r="K295" s="256">
        <f t="shared" si="122"/>
        <v>0</v>
      </c>
      <c r="L295" s="256">
        <f t="shared" si="123"/>
        <v>0</v>
      </c>
      <c r="M295" s="256">
        <f t="shared" si="124"/>
        <v>0</v>
      </c>
      <c r="N295" s="255">
        <v>0</v>
      </c>
      <c r="O295" s="256">
        <v>0</v>
      </c>
      <c r="P295" s="256">
        <v>0</v>
      </c>
      <c r="Q295" s="256">
        <v>0</v>
      </c>
      <c r="R295" s="256">
        <v>0</v>
      </c>
      <c r="S295" s="257">
        <v>0</v>
      </c>
      <c r="T295" s="256">
        <v>0</v>
      </c>
      <c r="U295" s="258">
        <f t="shared" si="100"/>
        <v>0</v>
      </c>
      <c r="V295" s="256">
        <v>0</v>
      </c>
      <c r="W295" s="256">
        <v>0</v>
      </c>
      <c r="X295" s="256">
        <v>0</v>
      </c>
      <c r="Y295" s="256">
        <v>0</v>
      </c>
      <c r="Z295" s="256">
        <v>0</v>
      </c>
      <c r="AA295" s="256">
        <v>0</v>
      </c>
      <c r="AB295" s="256">
        <v>0</v>
      </c>
      <c r="AC295" s="189">
        <f t="shared" si="101"/>
        <v>0</v>
      </c>
      <c r="AD295" s="259">
        <f t="shared" si="102"/>
        <v>0</v>
      </c>
    </row>
    <row r="296" spans="1:30" s="160" customFormat="1" hidden="1">
      <c r="A296" s="250">
        <v>291</v>
      </c>
      <c r="B296" s="251"/>
      <c r="C296" s="252"/>
      <c r="D296" s="253"/>
      <c r="E296" s="254">
        <f t="shared" si="99"/>
        <v>0</v>
      </c>
      <c r="F296" s="255">
        <f t="shared" si="117"/>
        <v>0</v>
      </c>
      <c r="G296" s="256">
        <f t="shared" si="118"/>
        <v>0</v>
      </c>
      <c r="H296" s="256">
        <f t="shared" si="119"/>
        <v>0</v>
      </c>
      <c r="I296" s="256">
        <f t="shared" si="120"/>
        <v>0</v>
      </c>
      <c r="J296" s="256">
        <f t="shared" si="121"/>
        <v>0</v>
      </c>
      <c r="K296" s="256">
        <f t="shared" si="122"/>
        <v>0</v>
      </c>
      <c r="L296" s="256">
        <f t="shared" si="123"/>
        <v>0</v>
      </c>
      <c r="M296" s="256">
        <f t="shared" si="124"/>
        <v>0</v>
      </c>
      <c r="N296" s="255">
        <v>0</v>
      </c>
      <c r="O296" s="256">
        <v>0</v>
      </c>
      <c r="P296" s="256">
        <v>0</v>
      </c>
      <c r="Q296" s="256">
        <v>0</v>
      </c>
      <c r="R296" s="256">
        <v>0</v>
      </c>
      <c r="S296" s="257">
        <v>0</v>
      </c>
      <c r="T296" s="256">
        <v>0</v>
      </c>
      <c r="U296" s="258">
        <f t="shared" si="100"/>
        <v>0</v>
      </c>
      <c r="V296" s="256">
        <v>0</v>
      </c>
      <c r="W296" s="256">
        <v>0</v>
      </c>
      <c r="X296" s="256">
        <v>0</v>
      </c>
      <c r="Y296" s="256">
        <v>0</v>
      </c>
      <c r="Z296" s="256">
        <v>0</v>
      </c>
      <c r="AA296" s="256">
        <v>0</v>
      </c>
      <c r="AB296" s="256">
        <v>0</v>
      </c>
      <c r="AC296" s="189">
        <f t="shared" si="101"/>
        <v>0</v>
      </c>
      <c r="AD296" s="259">
        <f t="shared" si="102"/>
        <v>0</v>
      </c>
    </row>
    <row r="297" spans="1:30" s="160" customFormat="1" hidden="1">
      <c r="A297" s="250">
        <v>292</v>
      </c>
      <c r="B297" s="251"/>
      <c r="C297" s="252"/>
      <c r="D297" s="253"/>
      <c r="E297" s="254">
        <f t="shared" si="99"/>
        <v>0</v>
      </c>
      <c r="F297" s="255">
        <f t="shared" si="117"/>
        <v>0</v>
      </c>
      <c r="G297" s="256">
        <f t="shared" si="118"/>
        <v>0</v>
      </c>
      <c r="H297" s="256">
        <f t="shared" si="119"/>
        <v>0</v>
      </c>
      <c r="I297" s="256">
        <f t="shared" si="120"/>
        <v>0</v>
      </c>
      <c r="J297" s="256">
        <f t="shared" si="121"/>
        <v>0</v>
      </c>
      <c r="K297" s="256">
        <f t="shared" si="122"/>
        <v>0</v>
      </c>
      <c r="L297" s="256">
        <f t="shared" si="123"/>
        <v>0</v>
      </c>
      <c r="M297" s="256">
        <f t="shared" si="124"/>
        <v>0</v>
      </c>
      <c r="N297" s="255">
        <v>0</v>
      </c>
      <c r="O297" s="256">
        <v>0</v>
      </c>
      <c r="P297" s="256">
        <v>0</v>
      </c>
      <c r="Q297" s="256">
        <v>0</v>
      </c>
      <c r="R297" s="256">
        <v>0</v>
      </c>
      <c r="S297" s="257">
        <v>0</v>
      </c>
      <c r="T297" s="256">
        <v>0</v>
      </c>
      <c r="U297" s="258">
        <f t="shared" si="100"/>
        <v>0</v>
      </c>
      <c r="V297" s="256">
        <v>0</v>
      </c>
      <c r="W297" s="256">
        <v>0</v>
      </c>
      <c r="X297" s="256">
        <v>0</v>
      </c>
      <c r="Y297" s="256">
        <v>0</v>
      </c>
      <c r="Z297" s="256">
        <v>0</v>
      </c>
      <c r="AA297" s="256">
        <v>0</v>
      </c>
      <c r="AB297" s="256">
        <v>0</v>
      </c>
      <c r="AC297" s="189">
        <f t="shared" si="101"/>
        <v>0</v>
      </c>
      <c r="AD297" s="259">
        <f t="shared" si="102"/>
        <v>0</v>
      </c>
    </row>
    <row r="298" spans="1:30" s="160" customFormat="1" hidden="1">
      <c r="A298" s="250">
        <v>293</v>
      </c>
      <c r="B298" s="251"/>
      <c r="C298" s="252"/>
      <c r="D298" s="253"/>
      <c r="E298" s="254">
        <f t="shared" si="99"/>
        <v>0</v>
      </c>
      <c r="F298" s="255">
        <f t="shared" si="117"/>
        <v>0</v>
      </c>
      <c r="G298" s="256">
        <f t="shared" si="118"/>
        <v>0</v>
      </c>
      <c r="H298" s="256">
        <f t="shared" si="119"/>
        <v>0</v>
      </c>
      <c r="I298" s="256">
        <f t="shared" si="120"/>
        <v>0</v>
      </c>
      <c r="J298" s="256">
        <f t="shared" si="121"/>
        <v>0</v>
      </c>
      <c r="K298" s="256">
        <f t="shared" si="122"/>
        <v>0</v>
      </c>
      <c r="L298" s="256">
        <f t="shared" si="123"/>
        <v>0</v>
      </c>
      <c r="M298" s="256">
        <f t="shared" si="124"/>
        <v>0</v>
      </c>
      <c r="N298" s="255">
        <v>0</v>
      </c>
      <c r="O298" s="256">
        <v>0</v>
      </c>
      <c r="P298" s="256">
        <v>0</v>
      </c>
      <c r="Q298" s="256">
        <v>0</v>
      </c>
      <c r="R298" s="256">
        <v>0</v>
      </c>
      <c r="S298" s="257">
        <v>0</v>
      </c>
      <c r="T298" s="256">
        <v>0</v>
      </c>
      <c r="U298" s="258">
        <f t="shared" si="100"/>
        <v>0</v>
      </c>
      <c r="V298" s="256">
        <v>0</v>
      </c>
      <c r="W298" s="256">
        <v>0</v>
      </c>
      <c r="X298" s="256">
        <v>0</v>
      </c>
      <c r="Y298" s="256">
        <v>0</v>
      </c>
      <c r="Z298" s="256">
        <v>0</v>
      </c>
      <c r="AA298" s="256">
        <v>0</v>
      </c>
      <c r="AB298" s="256">
        <v>0</v>
      </c>
      <c r="AC298" s="189">
        <f t="shared" si="101"/>
        <v>0</v>
      </c>
      <c r="AD298" s="259">
        <f t="shared" si="102"/>
        <v>0</v>
      </c>
    </row>
    <row r="299" spans="1:30" s="160" customFormat="1" hidden="1">
      <c r="A299" s="250">
        <v>294</v>
      </c>
      <c r="B299" s="251"/>
      <c r="C299" s="252"/>
      <c r="D299" s="253"/>
      <c r="E299" s="254">
        <f t="shared" si="99"/>
        <v>0</v>
      </c>
      <c r="F299" s="255">
        <f t="shared" si="117"/>
        <v>0</v>
      </c>
      <c r="G299" s="256">
        <f t="shared" si="118"/>
        <v>0</v>
      </c>
      <c r="H299" s="256">
        <f t="shared" si="119"/>
        <v>0</v>
      </c>
      <c r="I299" s="256">
        <f t="shared" si="120"/>
        <v>0</v>
      </c>
      <c r="J299" s="256">
        <f t="shared" si="121"/>
        <v>0</v>
      </c>
      <c r="K299" s="256">
        <f t="shared" si="122"/>
        <v>0</v>
      </c>
      <c r="L299" s="256">
        <f t="shared" si="123"/>
        <v>0</v>
      </c>
      <c r="M299" s="256">
        <f t="shared" si="124"/>
        <v>0</v>
      </c>
      <c r="N299" s="255">
        <v>0</v>
      </c>
      <c r="O299" s="256">
        <v>0</v>
      </c>
      <c r="P299" s="256">
        <v>0</v>
      </c>
      <c r="Q299" s="256">
        <v>0</v>
      </c>
      <c r="R299" s="256">
        <v>0</v>
      </c>
      <c r="S299" s="257">
        <v>0</v>
      </c>
      <c r="T299" s="256">
        <v>0</v>
      </c>
      <c r="U299" s="258">
        <f t="shared" si="100"/>
        <v>0</v>
      </c>
      <c r="V299" s="256">
        <v>0</v>
      </c>
      <c r="W299" s="256">
        <v>0</v>
      </c>
      <c r="X299" s="256">
        <v>0</v>
      </c>
      <c r="Y299" s="256">
        <v>0</v>
      </c>
      <c r="Z299" s="256">
        <v>0</v>
      </c>
      <c r="AA299" s="256">
        <v>0</v>
      </c>
      <c r="AB299" s="256">
        <v>0</v>
      </c>
      <c r="AC299" s="189">
        <f t="shared" si="101"/>
        <v>0</v>
      </c>
      <c r="AD299" s="259">
        <f t="shared" si="102"/>
        <v>0</v>
      </c>
    </row>
    <row r="300" spans="1:30" s="160" customFormat="1" hidden="1">
      <c r="A300" s="250">
        <v>295</v>
      </c>
      <c r="B300" s="251"/>
      <c r="C300" s="252"/>
      <c r="D300" s="253"/>
      <c r="E300" s="254">
        <f t="shared" si="99"/>
        <v>0</v>
      </c>
      <c r="F300" s="255">
        <f t="shared" si="117"/>
        <v>0</v>
      </c>
      <c r="G300" s="256">
        <f t="shared" si="118"/>
        <v>0</v>
      </c>
      <c r="H300" s="256">
        <f t="shared" si="119"/>
        <v>0</v>
      </c>
      <c r="I300" s="256">
        <f t="shared" si="120"/>
        <v>0</v>
      </c>
      <c r="J300" s="256">
        <f t="shared" si="121"/>
        <v>0</v>
      </c>
      <c r="K300" s="256">
        <f t="shared" si="122"/>
        <v>0</v>
      </c>
      <c r="L300" s="256">
        <f t="shared" si="123"/>
        <v>0</v>
      </c>
      <c r="M300" s="256">
        <f t="shared" si="124"/>
        <v>0</v>
      </c>
      <c r="N300" s="255">
        <v>0</v>
      </c>
      <c r="O300" s="256">
        <v>0</v>
      </c>
      <c r="P300" s="256">
        <v>0</v>
      </c>
      <c r="Q300" s="256">
        <v>0</v>
      </c>
      <c r="R300" s="256">
        <v>0</v>
      </c>
      <c r="S300" s="257">
        <v>0</v>
      </c>
      <c r="T300" s="256">
        <v>0</v>
      </c>
      <c r="U300" s="258">
        <f t="shared" si="100"/>
        <v>0</v>
      </c>
      <c r="V300" s="256">
        <v>0</v>
      </c>
      <c r="W300" s="256">
        <v>0</v>
      </c>
      <c r="X300" s="256">
        <v>0</v>
      </c>
      <c r="Y300" s="256">
        <v>0</v>
      </c>
      <c r="Z300" s="256">
        <v>0</v>
      </c>
      <c r="AA300" s="256">
        <v>0</v>
      </c>
      <c r="AB300" s="256">
        <v>0</v>
      </c>
      <c r="AC300" s="189">
        <f t="shared" si="101"/>
        <v>0</v>
      </c>
      <c r="AD300" s="259">
        <f t="shared" si="102"/>
        <v>0</v>
      </c>
    </row>
    <row r="301" spans="1:30" s="160" customFormat="1" hidden="1">
      <c r="A301" s="250">
        <v>296</v>
      </c>
      <c r="B301" s="251"/>
      <c r="C301" s="252"/>
      <c r="D301" s="253"/>
      <c r="E301" s="254">
        <f t="shared" si="99"/>
        <v>0</v>
      </c>
      <c r="F301" s="255">
        <f t="shared" si="117"/>
        <v>0</v>
      </c>
      <c r="G301" s="256">
        <f t="shared" si="118"/>
        <v>0</v>
      </c>
      <c r="H301" s="256">
        <f t="shared" si="119"/>
        <v>0</v>
      </c>
      <c r="I301" s="256">
        <f t="shared" si="120"/>
        <v>0</v>
      </c>
      <c r="J301" s="256">
        <f t="shared" si="121"/>
        <v>0</v>
      </c>
      <c r="K301" s="256">
        <f t="shared" si="122"/>
        <v>0</v>
      </c>
      <c r="L301" s="256">
        <f t="shared" si="123"/>
        <v>0</v>
      </c>
      <c r="M301" s="256">
        <f t="shared" si="124"/>
        <v>0</v>
      </c>
      <c r="N301" s="255">
        <v>0</v>
      </c>
      <c r="O301" s="256">
        <v>0</v>
      </c>
      <c r="P301" s="256">
        <v>0</v>
      </c>
      <c r="Q301" s="256">
        <v>0</v>
      </c>
      <c r="R301" s="256">
        <v>0</v>
      </c>
      <c r="S301" s="257">
        <v>0</v>
      </c>
      <c r="T301" s="256">
        <v>0</v>
      </c>
      <c r="U301" s="258">
        <f t="shared" si="100"/>
        <v>0</v>
      </c>
      <c r="V301" s="256">
        <v>0</v>
      </c>
      <c r="W301" s="256">
        <v>0</v>
      </c>
      <c r="X301" s="256">
        <v>0</v>
      </c>
      <c r="Y301" s="256">
        <v>0</v>
      </c>
      <c r="Z301" s="256">
        <v>0</v>
      </c>
      <c r="AA301" s="256">
        <v>0</v>
      </c>
      <c r="AB301" s="256">
        <v>0</v>
      </c>
      <c r="AC301" s="189">
        <f t="shared" si="101"/>
        <v>0</v>
      </c>
      <c r="AD301" s="259">
        <f t="shared" si="102"/>
        <v>0</v>
      </c>
    </row>
    <row r="302" spans="1:30" s="160" customFormat="1" hidden="1">
      <c r="A302" s="250">
        <v>297</v>
      </c>
      <c r="B302" s="251"/>
      <c r="C302" s="252"/>
      <c r="D302" s="253"/>
      <c r="E302" s="254">
        <f t="shared" si="99"/>
        <v>0</v>
      </c>
      <c r="F302" s="255">
        <f t="shared" si="117"/>
        <v>0</v>
      </c>
      <c r="G302" s="256">
        <f t="shared" si="118"/>
        <v>0</v>
      </c>
      <c r="H302" s="256">
        <f t="shared" si="119"/>
        <v>0</v>
      </c>
      <c r="I302" s="256">
        <f t="shared" si="120"/>
        <v>0</v>
      </c>
      <c r="J302" s="256">
        <f t="shared" si="121"/>
        <v>0</v>
      </c>
      <c r="K302" s="256">
        <f t="shared" si="122"/>
        <v>0</v>
      </c>
      <c r="L302" s="256">
        <f t="shared" si="123"/>
        <v>0</v>
      </c>
      <c r="M302" s="256">
        <f t="shared" si="124"/>
        <v>0</v>
      </c>
      <c r="N302" s="255">
        <v>0</v>
      </c>
      <c r="O302" s="256">
        <v>0</v>
      </c>
      <c r="P302" s="256">
        <v>0</v>
      </c>
      <c r="Q302" s="256">
        <v>0</v>
      </c>
      <c r="R302" s="256">
        <v>0</v>
      </c>
      <c r="S302" s="257">
        <v>0</v>
      </c>
      <c r="T302" s="256">
        <v>0</v>
      </c>
      <c r="U302" s="258">
        <f t="shared" si="100"/>
        <v>0</v>
      </c>
      <c r="V302" s="256">
        <v>0</v>
      </c>
      <c r="W302" s="256">
        <v>0</v>
      </c>
      <c r="X302" s="256">
        <v>0</v>
      </c>
      <c r="Y302" s="256">
        <v>0</v>
      </c>
      <c r="Z302" s="256">
        <v>0</v>
      </c>
      <c r="AA302" s="256">
        <v>0</v>
      </c>
      <c r="AB302" s="256">
        <v>0</v>
      </c>
      <c r="AC302" s="189">
        <f t="shared" si="101"/>
        <v>0</v>
      </c>
      <c r="AD302" s="259">
        <f t="shared" si="102"/>
        <v>0</v>
      </c>
    </row>
    <row r="303" spans="1:30" s="160" customFormat="1" hidden="1">
      <c r="A303" s="250">
        <v>298</v>
      </c>
      <c r="B303" s="251"/>
      <c r="C303" s="252"/>
      <c r="D303" s="253"/>
      <c r="E303" s="254">
        <f t="shared" si="99"/>
        <v>0</v>
      </c>
      <c r="F303" s="255">
        <f t="shared" si="117"/>
        <v>0</v>
      </c>
      <c r="G303" s="256">
        <f t="shared" si="118"/>
        <v>0</v>
      </c>
      <c r="H303" s="256">
        <f t="shared" si="119"/>
        <v>0</v>
      </c>
      <c r="I303" s="256">
        <f t="shared" si="120"/>
        <v>0</v>
      </c>
      <c r="J303" s="256">
        <f t="shared" si="121"/>
        <v>0</v>
      </c>
      <c r="K303" s="256">
        <f t="shared" si="122"/>
        <v>0</v>
      </c>
      <c r="L303" s="256">
        <f t="shared" si="123"/>
        <v>0</v>
      </c>
      <c r="M303" s="256">
        <f t="shared" si="124"/>
        <v>0</v>
      </c>
      <c r="N303" s="255">
        <v>0</v>
      </c>
      <c r="O303" s="256">
        <v>0</v>
      </c>
      <c r="P303" s="256">
        <v>0</v>
      </c>
      <c r="Q303" s="256">
        <v>0</v>
      </c>
      <c r="R303" s="256">
        <v>0</v>
      </c>
      <c r="S303" s="257">
        <v>0</v>
      </c>
      <c r="T303" s="256">
        <v>0</v>
      </c>
      <c r="U303" s="258">
        <f t="shared" si="100"/>
        <v>0</v>
      </c>
      <c r="V303" s="256">
        <v>0</v>
      </c>
      <c r="W303" s="256">
        <v>0</v>
      </c>
      <c r="X303" s="256">
        <v>0</v>
      </c>
      <c r="Y303" s="256">
        <v>0</v>
      </c>
      <c r="Z303" s="256">
        <v>0</v>
      </c>
      <c r="AA303" s="256">
        <v>0</v>
      </c>
      <c r="AB303" s="256">
        <v>0</v>
      </c>
      <c r="AC303" s="189">
        <f t="shared" si="101"/>
        <v>0</v>
      </c>
      <c r="AD303" s="259">
        <f t="shared" si="102"/>
        <v>0</v>
      </c>
    </row>
    <row r="304" spans="1:30" s="160" customFormat="1" hidden="1">
      <c r="A304" s="250">
        <v>299</v>
      </c>
      <c r="B304" s="251"/>
      <c r="C304" s="252"/>
      <c r="D304" s="253"/>
      <c r="E304" s="254">
        <f t="shared" si="99"/>
        <v>0</v>
      </c>
      <c r="F304" s="255">
        <f t="shared" si="117"/>
        <v>0</v>
      </c>
      <c r="G304" s="256">
        <f t="shared" si="118"/>
        <v>0</v>
      </c>
      <c r="H304" s="256">
        <f t="shared" si="119"/>
        <v>0</v>
      </c>
      <c r="I304" s="256">
        <f t="shared" si="120"/>
        <v>0</v>
      </c>
      <c r="J304" s="256">
        <f t="shared" si="121"/>
        <v>0</v>
      </c>
      <c r="K304" s="256">
        <f t="shared" si="122"/>
        <v>0</v>
      </c>
      <c r="L304" s="256">
        <f t="shared" si="123"/>
        <v>0</v>
      </c>
      <c r="M304" s="256">
        <f t="shared" si="124"/>
        <v>0</v>
      </c>
      <c r="N304" s="255">
        <v>0</v>
      </c>
      <c r="O304" s="256">
        <v>0</v>
      </c>
      <c r="P304" s="256">
        <v>0</v>
      </c>
      <c r="Q304" s="256">
        <v>0</v>
      </c>
      <c r="R304" s="256">
        <v>0</v>
      </c>
      <c r="S304" s="257">
        <v>0</v>
      </c>
      <c r="T304" s="256">
        <v>0</v>
      </c>
      <c r="U304" s="258">
        <f t="shared" si="100"/>
        <v>0</v>
      </c>
      <c r="V304" s="256">
        <v>0</v>
      </c>
      <c r="W304" s="256">
        <v>0</v>
      </c>
      <c r="X304" s="256">
        <v>0</v>
      </c>
      <c r="Y304" s="256">
        <v>0</v>
      </c>
      <c r="Z304" s="256">
        <v>0</v>
      </c>
      <c r="AA304" s="256">
        <v>0</v>
      </c>
      <c r="AB304" s="256">
        <v>0</v>
      </c>
      <c r="AC304" s="189">
        <f t="shared" si="101"/>
        <v>0</v>
      </c>
      <c r="AD304" s="259">
        <f t="shared" si="102"/>
        <v>0</v>
      </c>
    </row>
    <row r="305" spans="1:30" s="160" customFormat="1" hidden="1">
      <c r="A305" s="250">
        <v>300</v>
      </c>
      <c r="B305" s="251"/>
      <c r="C305" s="252"/>
      <c r="D305" s="253"/>
      <c r="E305" s="254">
        <f t="shared" si="99"/>
        <v>0</v>
      </c>
      <c r="F305" s="255">
        <f t="shared" si="117"/>
        <v>0</v>
      </c>
      <c r="G305" s="256">
        <f t="shared" si="118"/>
        <v>0</v>
      </c>
      <c r="H305" s="256">
        <f t="shared" si="119"/>
        <v>0</v>
      </c>
      <c r="I305" s="256">
        <f t="shared" si="120"/>
        <v>0</v>
      </c>
      <c r="J305" s="256">
        <f t="shared" si="121"/>
        <v>0</v>
      </c>
      <c r="K305" s="256">
        <f t="shared" si="122"/>
        <v>0</v>
      </c>
      <c r="L305" s="256">
        <f t="shared" si="123"/>
        <v>0</v>
      </c>
      <c r="M305" s="256">
        <f t="shared" si="124"/>
        <v>0</v>
      </c>
      <c r="N305" s="255">
        <v>0</v>
      </c>
      <c r="O305" s="256">
        <v>0</v>
      </c>
      <c r="P305" s="256">
        <v>0</v>
      </c>
      <c r="Q305" s="256">
        <v>0</v>
      </c>
      <c r="R305" s="256">
        <v>0</v>
      </c>
      <c r="S305" s="257">
        <v>0</v>
      </c>
      <c r="T305" s="256">
        <v>0</v>
      </c>
      <c r="U305" s="258">
        <f t="shared" si="100"/>
        <v>0</v>
      </c>
      <c r="V305" s="256">
        <v>0</v>
      </c>
      <c r="W305" s="256">
        <v>0</v>
      </c>
      <c r="X305" s="256">
        <v>0</v>
      </c>
      <c r="Y305" s="256">
        <v>0</v>
      </c>
      <c r="Z305" s="256">
        <v>0</v>
      </c>
      <c r="AA305" s="256">
        <v>0</v>
      </c>
      <c r="AB305" s="256">
        <v>0</v>
      </c>
      <c r="AC305" s="189">
        <f t="shared" si="101"/>
        <v>0</v>
      </c>
      <c r="AD305" s="259">
        <f t="shared" si="102"/>
        <v>0</v>
      </c>
    </row>
    <row r="306" spans="1:30" s="160" customFormat="1" hidden="1">
      <c r="A306" s="250">
        <v>301</v>
      </c>
      <c r="B306" s="251"/>
      <c r="C306" s="252"/>
      <c r="D306" s="253"/>
      <c r="E306" s="254">
        <f t="shared" si="99"/>
        <v>0</v>
      </c>
      <c r="F306" s="255">
        <f t="shared" si="117"/>
        <v>0</v>
      </c>
      <c r="G306" s="256">
        <f t="shared" si="118"/>
        <v>0</v>
      </c>
      <c r="H306" s="256">
        <f t="shared" si="119"/>
        <v>0</v>
      </c>
      <c r="I306" s="256">
        <f t="shared" si="120"/>
        <v>0</v>
      </c>
      <c r="J306" s="256">
        <f t="shared" si="121"/>
        <v>0</v>
      </c>
      <c r="K306" s="256">
        <f t="shared" si="122"/>
        <v>0</v>
      </c>
      <c r="L306" s="256">
        <f t="shared" si="123"/>
        <v>0</v>
      </c>
      <c r="M306" s="256">
        <f t="shared" si="124"/>
        <v>0</v>
      </c>
      <c r="N306" s="255">
        <v>0</v>
      </c>
      <c r="O306" s="256">
        <v>0</v>
      </c>
      <c r="P306" s="256">
        <v>0</v>
      </c>
      <c r="Q306" s="256">
        <v>0</v>
      </c>
      <c r="R306" s="256">
        <v>0</v>
      </c>
      <c r="S306" s="257">
        <v>0</v>
      </c>
      <c r="T306" s="256">
        <v>0</v>
      </c>
      <c r="U306" s="258">
        <f t="shared" si="100"/>
        <v>0</v>
      </c>
      <c r="V306" s="256">
        <v>0</v>
      </c>
      <c r="W306" s="256">
        <v>0</v>
      </c>
      <c r="X306" s="256">
        <v>0</v>
      </c>
      <c r="Y306" s="256">
        <v>0</v>
      </c>
      <c r="Z306" s="256">
        <v>0</v>
      </c>
      <c r="AA306" s="256">
        <v>0</v>
      </c>
      <c r="AB306" s="256">
        <v>0</v>
      </c>
      <c r="AC306" s="189">
        <f t="shared" si="101"/>
        <v>0</v>
      </c>
      <c r="AD306" s="259">
        <f t="shared" si="102"/>
        <v>0</v>
      </c>
    </row>
    <row r="307" spans="1:30" s="160" customFormat="1" hidden="1">
      <c r="A307" s="250">
        <v>302</v>
      </c>
      <c r="B307" s="251"/>
      <c r="C307" s="252"/>
      <c r="D307" s="253"/>
      <c r="E307" s="254">
        <f t="shared" si="99"/>
        <v>0</v>
      </c>
      <c r="F307" s="255">
        <f t="shared" si="117"/>
        <v>0</v>
      </c>
      <c r="G307" s="256">
        <f t="shared" si="118"/>
        <v>0</v>
      </c>
      <c r="H307" s="256">
        <f t="shared" si="119"/>
        <v>0</v>
      </c>
      <c r="I307" s="256">
        <f t="shared" si="120"/>
        <v>0</v>
      </c>
      <c r="J307" s="256">
        <f t="shared" si="121"/>
        <v>0</v>
      </c>
      <c r="K307" s="256">
        <f t="shared" si="122"/>
        <v>0</v>
      </c>
      <c r="L307" s="256">
        <f t="shared" si="123"/>
        <v>0</v>
      </c>
      <c r="M307" s="256">
        <f t="shared" si="124"/>
        <v>0</v>
      </c>
      <c r="N307" s="255">
        <v>0</v>
      </c>
      <c r="O307" s="256">
        <v>0</v>
      </c>
      <c r="P307" s="256">
        <v>0</v>
      </c>
      <c r="Q307" s="256">
        <v>0</v>
      </c>
      <c r="R307" s="256">
        <v>0</v>
      </c>
      <c r="S307" s="257">
        <v>0</v>
      </c>
      <c r="T307" s="256">
        <v>0</v>
      </c>
      <c r="U307" s="258">
        <f t="shared" si="100"/>
        <v>0</v>
      </c>
      <c r="V307" s="256">
        <v>0</v>
      </c>
      <c r="W307" s="256">
        <v>0</v>
      </c>
      <c r="X307" s="256">
        <v>0</v>
      </c>
      <c r="Y307" s="256">
        <v>0</v>
      </c>
      <c r="Z307" s="256">
        <v>0</v>
      </c>
      <c r="AA307" s="256">
        <v>0</v>
      </c>
      <c r="AB307" s="256">
        <v>0</v>
      </c>
      <c r="AC307" s="189">
        <f t="shared" si="101"/>
        <v>0</v>
      </c>
      <c r="AD307" s="259">
        <f t="shared" si="102"/>
        <v>0</v>
      </c>
    </row>
    <row r="308" spans="1:30" s="160" customFormat="1" hidden="1">
      <c r="A308" s="250">
        <v>303</v>
      </c>
      <c r="B308" s="251"/>
      <c r="C308" s="252"/>
      <c r="D308" s="253"/>
      <c r="E308" s="254">
        <f t="shared" si="99"/>
        <v>0</v>
      </c>
      <c r="F308" s="255">
        <f t="shared" si="117"/>
        <v>0</v>
      </c>
      <c r="G308" s="256">
        <f t="shared" si="118"/>
        <v>0</v>
      </c>
      <c r="H308" s="256">
        <f t="shared" si="119"/>
        <v>0</v>
      </c>
      <c r="I308" s="256">
        <f t="shared" si="120"/>
        <v>0</v>
      </c>
      <c r="J308" s="256">
        <f t="shared" si="121"/>
        <v>0</v>
      </c>
      <c r="K308" s="256">
        <f t="shared" si="122"/>
        <v>0</v>
      </c>
      <c r="L308" s="256">
        <f t="shared" si="123"/>
        <v>0</v>
      </c>
      <c r="M308" s="256">
        <f t="shared" si="124"/>
        <v>0</v>
      </c>
      <c r="N308" s="255">
        <v>0</v>
      </c>
      <c r="O308" s="256">
        <v>0</v>
      </c>
      <c r="P308" s="256">
        <v>0</v>
      </c>
      <c r="Q308" s="256">
        <v>0</v>
      </c>
      <c r="R308" s="256">
        <v>0</v>
      </c>
      <c r="S308" s="257">
        <v>0</v>
      </c>
      <c r="T308" s="256">
        <v>0</v>
      </c>
      <c r="U308" s="258">
        <f t="shared" si="100"/>
        <v>0</v>
      </c>
      <c r="V308" s="256">
        <v>0</v>
      </c>
      <c r="W308" s="256">
        <v>0</v>
      </c>
      <c r="X308" s="256">
        <v>0</v>
      </c>
      <c r="Y308" s="256">
        <v>0</v>
      </c>
      <c r="Z308" s="256">
        <v>0</v>
      </c>
      <c r="AA308" s="256">
        <v>0</v>
      </c>
      <c r="AB308" s="256">
        <v>0</v>
      </c>
      <c r="AC308" s="189">
        <f t="shared" si="101"/>
        <v>0</v>
      </c>
      <c r="AD308" s="259">
        <f t="shared" si="102"/>
        <v>0</v>
      </c>
    </row>
    <row r="309" spans="1:30" s="160" customFormat="1" hidden="1">
      <c r="A309" s="250">
        <v>304</v>
      </c>
      <c r="B309" s="251"/>
      <c r="C309" s="252"/>
      <c r="D309" s="253"/>
      <c r="E309" s="254">
        <f t="shared" si="99"/>
        <v>0</v>
      </c>
      <c r="F309" s="255">
        <f t="shared" si="117"/>
        <v>0</v>
      </c>
      <c r="G309" s="256">
        <f t="shared" si="118"/>
        <v>0</v>
      </c>
      <c r="H309" s="256">
        <f t="shared" si="119"/>
        <v>0</v>
      </c>
      <c r="I309" s="256">
        <f t="shared" si="120"/>
        <v>0</v>
      </c>
      <c r="J309" s="256">
        <f t="shared" si="121"/>
        <v>0</v>
      </c>
      <c r="K309" s="256">
        <f t="shared" si="122"/>
        <v>0</v>
      </c>
      <c r="L309" s="256">
        <f t="shared" si="123"/>
        <v>0</v>
      </c>
      <c r="M309" s="256">
        <f t="shared" si="124"/>
        <v>0</v>
      </c>
      <c r="N309" s="255">
        <v>0</v>
      </c>
      <c r="O309" s="256">
        <v>0</v>
      </c>
      <c r="P309" s="256">
        <v>0</v>
      </c>
      <c r="Q309" s="256">
        <v>0</v>
      </c>
      <c r="R309" s="256">
        <v>0</v>
      </c>
      <c r="S309" s="257">
        <v>0</v>
      </c>
      <c r="T309" s="256">
        <v>0</v>
      </c>
      <c r="U309" s="258">
        <f t="shared" si="100"/>
        <v>0</v>
      </c>
      <c r="V309" s="256">
        <v>0</v>
      </c>
      <c r="W309" s="256">
        <v>0</v>
      </c>
      <c r="X309" s="256">
        <v>0</v>
      </c>
      <c r="Y309" s="256">
        <v>0</v>
      </c>
      <c r="Z309" s="256">
        <v>0</v>
      </c>
      <c r="AA309" s="256">
        <v>0</v>
      </c>
      <c r="AB309" s="256">
        <v>0</v>
      </c>
      <c r="AC309" s="189">
        <f t="shared" si="101"/>
        <v>0</v>
      </c>
      <c r="AD309" s="259">
        <f t="shared" si="102"/>
        <v>0</v>
      </c>
    </row>
    <row r="310" spans="1:30" s="160" customFormat="1" hidden="1">
      <c r="A310" s="250">
        <v>305</v>
      </c>
      <c r="B310" s="251"/>
      <c r="C310" s="252"/>
      <c r="D310" s="253"/>
      <c r="E310" s="254">
        <f t="shared" si="99"/>
        <v>0</v>
      </c>
      <c r="F310" s="255">
        <f t="shared" si="117"/>
        <v>0</v>
      </c>
      <c r="G310" s="256">
        <f t="shared" si="118"/>
        <v>0</v>
      </c>
      <c r="H310" s="256">
        <f t="shared" si="119"/>
        <v>0</v>
      </c>
      <c r="I310" s="256">
        <f t="shared" si="120"/>
        <v>0</v>
      </c>
      <c r="J310" s="256">
        <f t="shared" si="121"/>
        <v>0</v>
      </c>
      <c r="K310" s="256">
        <f t="shared" si="122"/>
        <v>0</v>
      </c>
      <c r="L310" s="256">
        <f t="shared" si="123"/>
        <v>0</v>
      </c>
      <c r="M310" s="256">
        <f t="shared" si="124"/>
        <v>0</v>
      </c>
      <c r="N310" s="255">
        <v>0</v>
      </c>
      <c r="O310" s="256">
        <v>0</v>
      </c>
      <c r="P310" s="256">
        <v>0</v>
      </c>
      <c r="Q310" s="256">
        <v>0</v>
      </c>
      <c r="R310" s="256">
        <v>0</v>
      </c>
      <c r="S310" s="257">
        <v>0</v>
      </c>
      <c r="T310" s="256">
        <v>0</v>
      </c>
      <c r="U310" s="258">
        <f t="shared" si="100"/>
        <v>0</v>
      </c>
      <c r="V310" s="256">
        <v>0</v>
      </c>
      <c r="W310" s="256">
        <v>0</v>
      </c>
      <c r="X310" s="256">
        <v>0</v>
      </c>
      <c r="Y310" s="256">
        <v>0</v>
      </c>
      <c r="Z310" s="256">
        <v>0</v>
      </c>
      <c r="AA310" s="256">
        <v>0</v>
      </c>
      <c r="AB310" s="256">
        <v>0</v>
      </c>
      <c r="AC310" s="189">
        <f t="shared" si="101"/>
        <v>0</v>
      </c>
      <c r="AD310" s="259">
        <f t="shared" si="102"/>
        <v>0</v>
      </c>
    </row>
    <row r="311" spans="1:30" s="160" customFormat="1" hidden="1">
      <c r="A311" s="250">
        <v>306</v>
      </c>
      <c r="B311" s="251"/>
      <c r="C311" s="252"/>
      <c r="D311" s="253"/>
      <c r="E311" s="254">
        <f t="shared" si="99"/>
        <v>0</v>
      </c>
      <c r="F311" s="255">
        <f t="shared" si="117"/>
        <v>0</v>
      </c>
      <c r="G311" s="256">
        <f t="shared" si="118"/>
        <v>0</v>
      </c>
      <c r="H311" s="256">
        <f t="shared" si="119"/>
        <v>0</v>
      </c>
      <c r="I311" s="256">
        <f t="shared" si="120"/>
        <v>0</v>
      </c>
      <c r="J311" s="256">
        <f t="shared" si="121"/>
        <v>0</v>
      </c>
      <c r="K311" s="256">
        <f t="shared" si="122"/>
        <v>0</v>
      </c>
      <c r="L311" s="256">
        <f t="shared" si="123"/>
        <v>0</v>
      </c>
      <c r="M311" s="256">
        <f t="shared" si="124"/>
        <v>0</v>
      </c>
      <c r="N311" s="255">
        <v>0</v>
      </c>
      <c r="O311" s="256">
        <v>0</v>
      </c>
      <c r="P311" s="256">
        <v>0</v>
      </c>
      <c r="Q311" s="256">
        <v>0</v>
      </c>
      <c r="R311" s="256">
        <v>0</v>
      </c>
      <c r="S311" s="257">
        <v>0</v>
      </c>
      <c r="T311" s="256">
        <v>0</v>
      </c>
      <c r="U311" s="258">
        <f t="shared" si="100"/>
        <v>0</v>
      </c>
      <c r="V311" s="256">
        <v>0</v>
      </c>
      <c r="W311" s="256">
        <v>0</v>
      </c>
      <c r="X311" s="256">
        <v>0</v>
      </c>
      <c r="Y311" s="256">
        <v>0</v>
      </c>
      <c r="Z311" s="256">
        <v>0</v>
      </c>
      <c r="AA311" s="256">
        <v>0</v>
      </c>
      <c r="AB311" s="256">
        <v>0</v>
      </c>
      <c r="AC311" s="189">
        <f t="shared" si="101"/>
        <v>0</v>
      </c>
      <c r="AD311" s="259">
        <f t="shared" si="102"/>
        <v>0</v>
      </c>
    </row>
    <row r="312" spans="1:30" s="160" customFormat="1" hidden="1">
      <c r="A312" s="250">
        <v>307</v>
      </c>
      <c r="B312" s="251"/>
      <c r="C312" s="252"/>
      <c r="D312" s="253"/>
      <c r="E312" s="254">
        <f t="shared" si="99"/>
        <v>0</v>
      </c>
      <c r="F312" s="255">
        <f t="shared" si="117"/>
        <v>0</v>
      </c>
      <c r="G312" s="256">
        <f t="shared" si="118"/>
        <v>0</v>
      </c>
      <c r="H312" s="256">
        <f t="shared" si="119"/>
        <v>0</v>
      </c>
      <c r="I312" s="256">
        <f t="shared" si="120"/>
        <v>0</v>
      </c>
      <c r="J312" s="256">
        <f t="shared" si="121"/>
        <v>0</v>
      </c>
      <c r="K312" s="256">
        <f t="shared" si="122"/>
        <v>0</v>
      </c>
      <c r="L312" s="256">
        <f t="shared" si="123"/>
        <v>0</v>
      </c>
      <c r="M312" s="256">
        <f t="shared" si="124"/>
        <v>0</v>
      </c>
      <c r="N312" s="255">
        <v>0</v>
      </c>
      <c r="O312" s="256">
        <v>0</v>
      </c>
      <c r="P312" s="256">
        <v>0</v>
      </c>
      <c r="Q312" s="256">
        <v>0</v>
      </c>
      <c r="R312" s="256">
        <v>0</v>
      </c>
      <c r="S312" s="257">
        <v>0</v>
      </c>
      <c r="T312" s="256">
        <v>0</v>
      </c>
      <c r="U312" s="258">
        <f t="shared" si="100"/>
        <v>0</v>
      </c>
      <c r="V312" s="256">
        <v>0</v>
      </c>
      <c r="W312" s="256">
        <v>0</v>
      </c>
      <c r="X312" s="256">
        <v>0</v>
      </c>
      <c r="Y312" s="256">
        <v>0</v>
      </c>
      <c r="Z312" s="256">
        <v>0</v>
      </c>
      <c r="AA312" s="256">
        <v>0</v>
      </c>
      <c r="AB312" s="256">
        <v>0</v>
      </c>
      <c r="AC312" s="189">
        <f t="shared" si="101"/>
        <v>0</v>
      </c>
      <c r="AD312" s="259">
        <f t="shared" si="102"/>
        <v>0</v>
      </c>
    </row>
    <row r="313" spans="1:30" s="160" customFormat="1" hidden="1">
      <c r="A313" s="250">
        <v>308</v>
      </c>
      <c r="B313" s="251"/>
      <c r="C313" s="252"/>
      <c r="D313" s="253"/>
      <c r="E313" s="254">
        <f t="shared" si="99"/>
        <v>0</v>
      </c>
      <c r="F313" s="255">
        <f t="shared" si="117"/>
        <v>0</v>
      </c>
      <c r="G313" s="256">
        <f t="shared" si="118"/>
        <v>0</v>
      </c>
      <c r="H313" s="256">
        <f t="shared" si="119"/>
        <v>0</v>
      </c>
      <c r="I313" s="256">
        <f t="shared" si="120"/>
        <v>0</v>
      </c>
      <c r="J313" s="256">
        <f t="shared" si="121"/>
        <v>0</v>
      </c>
      <c r="K313" s="256">
        <f t="shared" si="122"/>
        <v>0</v>
      </c>
      <c r="L313" s="256">
        <f t="shared" si="123"/>
        <v>0</v>
      </c>
      <c r="M313" s="256">
        <f t="shared" si="124"/>
        <v>0</v>
      </c>
      <c r="N313" s="255">
        <v>0</v>
      </c>
      <c r="O313" s="256">
        <v>0</v>
      </c>
      <c r="P313" s="256">
        <v>0</v>
      </c>
      <c r="Q313" s="256">
        <v>0</v>
      </c>
      <c r="R313" s="256">
        <v>0</v>
      </c>
      <c r="S313" s="257">
        <v>0</v>
      </c>
      <c r="T313" s="256">
        <v>0</v>
      </c>
      <c r="U313" s="258">
        <f t="shared" si="100"/>
        <v>0</v>
      </c>
      <c r="V313" s="256">
        <v>0</v>
      </c>
      <c r="W313" s="256">
        <v>0</v>
      </c>
      <c r="X313" s="256">
        <v>0</v>
      </c>
      <c r="Y313" s="256">
        <v>0</v>
      </c>
      <c r="Z313" s="256">
        <v>0</v>
      </c>
      <c r="AA313" s="256">
        <v>0</v>
      </c>
      <c r="AB313" s="256">
        <v>0</v>
      </c>
      <c r="AC313" s="189">
        <f t="shared" si="101"/>
        <v>0</v>
      </c>
      <c r="AD313" s="259">
        <f t="shared" si="102"/>
        <v>0</v>
      </c>
    </row>
    <row r="314" spans="1:30" s="160" customFormat="1" hidden="1">
      <c r="A314" s="250">
        <v>309</v>
      </c>
      <c r="B314" s="251"/>
      <c r="C314" s="252"/>
      <c r="D314" s="253"/>
      <c r="E314" s="254">
        <f t="shared" si="99"/>
        <v>0</v>
      </c>
      <c r="F314" s="255">
        <f t="shared" si="117"/>
        <v>0</v>
      </c>
      <c r="G314" s="256">
        <f t="shared" si="118"/>
        <v>0</v>
      </c>
      <c r="H314" s="256">
        <f t="shared" si="119"/>
        <v>0</v>
      </c>
      <c r="I314" s="256">
        <f t="shared" si="120"/>
        <v>0</v>
      </c>
      <c r="J314" s="256">
        <f t="shared" si="121"/>
        <v>0</v>
      </c>
      <c r="K314" s="256">
        <f t="shared" si="122"/>
        <v>0</v>
      </c>
      <c r="L314" s="256">
        <f t="shared" si="123"/>
        <v>0</v>
      </c>
      <c r="M314" s="256">
        <f t="shared" si="124"/>
        <v>0</v>
      </c>
      <c r="N314" s="255">
        <v>0</v>
      </c>
      <c r="O314" s="256">
        <v>0</v>
      </c>
      <c r="P314" s="256">
        <v>0</v>
      </c>
      <c r="Q314" s="256">
        <v>0</v>
      </c>
      <c r="R314" s="256">
        <v>0</v>
      </c>
      <c r="S314" s="257">
        <v>0</v>
      </c>
      <c r="T314" s="256">
        <v>0</v>
      </c>
      <c r="U314" s="258">
        <f t="shared" si="100"/>
        <v>0</v>
      </c>
      <c r="V314" s="256">
        <v>0</v>
      </c>
      <c r="W314" s="256">
        <v>0</v>
      </c>
      <c r="X314" s="256">
        <v>0</v>
      </c>
      <c r="Y314" s="256">
        <v>0</v>
      </c>
      <c r="Z314" s="256">
        <v>0</v>
      </c>
      <c r="AA314" s="256">
        <v>0</v>
      </c>
      <c r="AB314" s="256">
        <v>0</v>
      </c>
      <c r="AC314" s="189">
        <f t="shared" si="101"/>
        <v>0</v>
      </c>
      <c r="AD314" s="259">
        <f t="shared" si="102"/>
        <v>0</v>
      </c>
    </row>
    <row r="315" spans="1:30" s="160" customFormat="1" hidden="1">
      <c r="A315" s="250">
        <v>310</v>
      </c>
      <c r="B315" s="251"/>
      <c r="C315" s="252"/>
      <c r="D315" s="253"/>
      <c r="E315" s="254">
        <f t="shared" si="99"/>
        <v>0</v>
      </c>
      <c r="F315" s="255">
        <f t="shared" si="117"/>
        <v>0</v>
      </c>
      <c r="G315" s="256">
        <f t="shared" si="118"/>
        <v>0</v>
      </c>
      <c r="H315" s="256">
        <f t="shared" si="119"/>
        <v>0</v>
      </c>
      <c r="I315" s="256">
        <f t="shared" si="120"/>
        <v>0</v>
      </c>
      <c r="J315" s="256">
        <f t="shared" si="121"/>
        <v>0</v>
      </c>
      <c r="K315" s="256">
        <f t="shared" si="122"/>
        <v>0</v>
      </c>
      <c r="L315" s="256">
        <f t="shared" si="123"/>
        <v>0</v>
      </c>
      <c r="M315" s="256">
        <f t="shared" si="124"/>
        <v>0</v>
      </c>
      <c r="N315" s="255">
        <v>0</v>
      </c>
      <c r="O315" s="256">
        <v>0</v>
      </c>
      <c r="P315" s="256">
        <v>0</v>
      </c>
      <c r="Q315" s="256">
        <v>0</v>
      </c>
      <c r="R315" s="256">
        <v>0</v>
      </c>
      <c r="S315" s="257">
        <v>0</v>
      </c>
      <c r="T315" s="256">
        <v>0</v>
      </c>
      <c r="U315" s="258">
        <f t="shared" si="100"/>
        <v>0</v>
      </c>
      <c r="V315" s="256">
        <v>0</v>
      </c>
      <c r="W315" s="256">
        <v>0</v>
      </c>
      <c r="X315" s="256">
        <v>0</v>
      </c>
      <c r="Y315" s="256">
        <v>0</v>
      </c>
      <c r="Z315" s="256">
        <v>0</v>
      </c>
      <c r="AA315" s="256">
        <v>0</v>
      </c>
      <c r="AB315" s="256">
        <v>0</v>
      </c>
      <c r="AC315" s="189">
        <f t="shared" si="101"/>
        <v>0</v>
      </c>
      <c r="AD315" s="259">
        <f t="shared" si="102"/>
        <v>0</v>
      </c>
    </row>
    <row r="316" spans="1:30" s="160" customFormat="1" hidden="1">
      <c r="A316" s="250">
        <v>311</v>
      </c>
      <c r="B316" s="251"/>
      <c r="C316" s="252"/>
      <c r="D316" s="253"/>
      <c r="E316" s="254">
        <f t="shared" si="99"/>
        <v>0</v>
      </c>
      <c r="F316" s="255">
        <f t="shared" si="117"/>
        <v>0</v>
      </c>
      <c r="G316" s="256">
        <f t="shared" si="118"/>
        <v>0</v>
      </c>
      <c r="H316" s="256">
        <f t="shared" si="119"/>
        <v>0</v>
      </c>
      <c r="I316" s="256">
        <f t="shared" si="120"/>
        <v>0</v>
      </c>
      <c r="J316" s="256">
        <f t="shared" si="121"/>
        <v>0</v>
      </c>
      <c r="K316" s="256">
        <f t="shared" si="122"/>
        <v>0</v>
      </c>
      <c r="L316" s="256">
        <f t="shared" si="123"/>
        <v>0</v>
      </c>
      <c r="M316" s="256">
        <f t="shared" si="124"/>
        <v>0</v>
      </c>
      <c r="N316" s="255">
        <v>0</v>
      </c>
      <c r="O316" s="256">
        <v>0</v>
      </c>
      <c r="P316" s="256">
        <v>0</v>
      </c>
      <c r="Q316" s="256">
        <v>0</v>
      </c>
      <c r="R316" s="256">
        <v>0</v>
      </c>
      <c r="S316" s="257">
        <v>0</v>
      </c>
      <c r="T316" s="256">
        <v>0</v>
      </c>
      <c r="U316" s="258">
        <f t="shared" si="100"/>
        <v>0</v>
      </c>
      <c r="V316" s="256">
        <v>0</v>
      </c>
      <c r="W316" s="256">
        <v>0</v>
      </c>
      <c r="X316" s="256">
        <v>0</v>
      </c>
      <c r="Y316" s="256">
        <v>0</v>
      </c>
      <c r="Z316" s="256">
        <v>0</v>
      </c>
      <c r="AA316" s="256">
        <v>0</v>
      </c>
      <c r="AB316" s="256">
        <v>0</v>
      </c>
      <c r="AC316" s="189">
        <f t="shared" si="101"/>
        <v>0</v>
      </c>
      <c r="AD316" s="259">
        <f t="shared" si="102"/>
        <v>0</v>
      </c>
    </row>
    <row r="317" spans="1:30" s="160" customFormat="1" hidden="1">
      <c r="A317" s="250">
        <v>312</v>
      </c>
      <c r="B317" s="251"/>
      <c r="C317" s="252"/>
      <c r="D317" s="253"/>
      <c r="E317" s="254">
        <f t="shared" si="99"/>
        <v>0</v>
      </c>
      <c r="F317" s="255">
        <f t="shared" si="117"/>
        <v>0</v>
      </c>
      <c r="G317" s="256">
        <f t="shared" si="118"/>
        <v>0</v>
      </c>
      <c r="H317" s="256">
        <f t="shared" si="119"/>
        <v>0</v>
      </c>
      <c r="I317" s="256">
        <f t="shared" si="120"/>
        <v>0</v>
      </c>
      <c r="J317" s="256">
        <f t="shared" si="121"/>
        <v>0</v>
      </c>
      <c r="K317" s="256">
        <f t="shared" si="122"/>
        <v>0</v>
      </c>
      <c r="L317" s="256">
        <f t="shared" si="123"/>
        <v>0</v>
      </c>
      <c r="M317" s="256">
        <f t="shared" si="124"/>
        <v>0</v>
      </c>
      <c r="N317" s="255">
        <v>0</v>
      </c>
      <c r="O317" s="256">
        <v>0</v>
      </c>
      <c r="P317" s="256">
        <v>0</v>
      </c>
      <c r="Q317" s="256">
        <v>0</v>
      </c>
      <c r="R317" s="256">
        <v>0</v>
      </c>
      <c r="S317" s="257">
        <v>0</v>
      </c>
      <c r="T317" s="256">
        <v>0</v>
      </c>
      <c r="U317" s="258">
        <f t="shared" si="100"/>
        <v>0</v>
      </c>
      <c r="V317" s="256">
        <v>0</v>
      </c>
      <c r="W317" s="256">
        <v>0</v>
      </c>
      <c r="X317" s="256">
        <v>0</v>
      </c>
      <c r="Y317" s="256">
        <v>0</v>
      </c>
      <c r="Z317" s="256">
        <v>0</v>
      </c>
      <c r="AA317" s="256">
        <v>0</v>
      </c>
      <c r="AB317" s="256">
        <v>0</v>
      </c>
      <c r="AC317" s="189">
        <f t="shared" si="101"/>
        <v>0</v>
      </c>
      <c r="AD317" s="259">
        <f t="shared" si="102"/>
        <v>0</v>
      </c>
    </row>
    <row r="318" spans="1:30" s="160" customFormat="1" hidden="1">
      <c r="A318" s="250">
        <v>313</v>
      </c>
      <c r="B318" s="251"/>
      <c r="C318" s="252"/>
      <c r="D318" s="253"/>
      <c r="E318" s="254">
        <f t="shared" si="99"/>
        <v>0</v>
      </c>
      <c r="F318" s="255">
        <f t="shared" si="117"/>
        <v>0</v>
      </c>
      <c r="G318" s="256">
        <f t="shared" si="118"/>
        <v>0</v>
      </c>
      <c r="H318" s="256">
        <f t="shared" si="119"/>
        <v>0</v>
      </c>
      <c r="I318" s="256">
        <f t="shared" si="120"/>
        <v>0</v>
      </c>
      <c r="J318" s="256">
        <f t="shared" si="121"/>
        <v>0</v>
      </c>
      <c r="K318" s="256">
        <f t="shared" si="122"/>
        <v>0</v>
      </c>
      <c r="L318" s="256">
        <f t="shared" si="123"/>
        <v>0</v>
      </c>
      <c r="M318" s="256">
        <f t="shared" si="124"/>
        <v>0</v>
      </c>
      <c r="N318" s="255">
        <v>0</v>
      </c>
      <c r="O318" s="256">
        <v>0</v>
      </c>
      <c r="P318" s="256">
        <v>0</v>
      </c>
      <c r="Q318" s="256">
        <v>0</v>
      </c>
      <c r="R318" s="256">
        <v>0</v>
      </c>
      <c r="S318" s="257">
        <v>0</v>
      </c>
      <c r="T318" s="256">
        <v>0</v>
      </c>
      <c r="U318" s="258">
        <f t="shared" si="100"/>
        <v>0</v>
      </c>
      <c r="V318" s="256">
        <v>0</v>
      </c>
      <c r="W318" s="256">
        <v>0</v>
      </c>
      <c r="X318" s="256">
        <v>0</v>
      </c>
      <c r="Y318" s="256">
        <v>0</v>
      </c>
      <c r="Z318" s="256">
        <v>0</v>
      </c>
      <c r="AA318" s="256">
        <v>0</v>
      </c>
      <c r="AB318" s="256">
        <v>0</v>
      </c>
      <c r="AC318" s="189">
        <f t="shared" si="101"/>
        <v>0</v>
      </c>
      <c r="AD318" s="259">
        <f t="shared" si="102"/>
        <v>0</v>
      </c>
    </row>
    <row r="319" spans="1:30" s="160" customFormat="1" hidden="1">
      <c r="A319" s="250">
        <v>314</v>
      </c>
      <c r="B319" s="251"/>
      <c r="C319" s="252"/>
      <c r="D319" s="253"/>
      <c r="E319" s="254">
        <f t="shared" si="99"/>
        <v>0</v>
      </c>
      <c r="F319" s="255">
        <f t="shared" si="117"/>
        <v>0</v>
      </c>
      <c r="G319" s="256">
        <f t="shared" si="118"/>
        <v>0</v>
      </c>
      <c r="H319" s="256">
        <f t="shared" si="119"/>
        <v>0</v>
      </c>
      <c r="I319" s="256">
        <f t="shared" si="120"/>
        <v>0</v>
      </c>
      <c r="J319" s="256">
        <f t="shared" si="121"/>
        <v>0</v>
      </c>
      <c r="K319" s="256">
        <f t="shared" si="122"/>
        <v>0</v>
      </c>
      <c r="L319" s="256">
        <f t="shared" si="123"/>
        <v>0</v>
      </c>
      <c r="M319" s="256">
        <f t="shared" si="124"/>
        <v>0</v>
      </c>
      <c r="N319" s="255">
        <v>0</v>
      </c>
      <c r="O319" s="256">
        <v>0</v>
      </c>
      <c r="P319" s="256">
        <v>0</v>
      </c>
      <c r="Q319" s="256">
        <v>0</v>
      </c>
      <c r="R319" s="256">
        <v>0</v>
      </c>
      <c r="S319" s="257">
        <v>0</v>
      </c>
      <c r="T319" s="256">
        <v>0</v>
      </c>
      <c r="U319" s="258">
        <f t="shared" si="100"/>
        <v>0</v>
      </c>
      <c r="V319" s="256">
        <v>0</v>
      </c>
      <c r="W319" s="256">
        <v>0</v>
      </c>
      <c r="X319" s="256">
        <v>0</v>
      </c>
      <c r="Y319" s="256">
        <v>0</v>
      </c>
      <c r="Z319" s="256">
        <v>0</v>
      </c>
      <c r="AA319" s="256">
        <v>0</v>
      </c>
      <c r="AB319" s="256">
        <v>0</v>
      </c>
      <c r="AC319" s="189">
        <f t="shared" si="101"/>
        <v>0</v>
      </c>
      <c r="AD319" s="259">
        <f t="shared" si="102"/>
        <v>0</v>
      </c>
    </row>
    <row r="320" spans="1:30" s="160" customFormat="1" hidden="1">
      <c r="A320" s="250">
        <v>315</v>
      </c>
      <c r="B320" s="251"/>
      <c r="C320" s="252"/>
      <c r="D320" s="253"/>
      <c r="E320" s="254">
        <f t="shared" si="99"/>
        <v>0</v>
      </c>
      <c r="F320" s="255">
        <f t="shared" si="117"/>
        <v>0</v>
      </c>
      <c r="G320" s="256">
        <f t="shared" si="118"/>
        <v>0</v>
      </c>
      <c r="H320" s="256">
        <f t="shared" si="119"/>
        <v>0</v>
      </c>
      <c r="I320" s="256">
        <f t="shared" si="120"/>
        <v>0</v>
      </c>
      <c r="J320" s="256">
        <f t="shared" si="121"/>
        <v>0</v>
      </c>
      <c r="K320" s="256">
        <f t="shared" si="122"/>
        <v>0</v>
      </c>
      <c r="L320" s="256">
        <f t="shared" si="123"/>
        <v>0</v>
      </c>
      <c r="M320" s="256">
        <f t="shared" si="124"/>
        <v>0</v>
      </c>
      <c r="N320" s="255">
        <v>0</v>
      </c>
      <c r="O320" s="256">
        <v>0</v>
      </c>
      <c r="P320" s="256">
        <v>0</v>
      </c>
      <c r="Q320" s="256">
        <v>0</v>
      </c>
      <c r="R320" s="256">
        <v>0</v>
      </c>
      <c r="S320" s="257">
        <v>0</v>
      </c>
      <c r="T320" s="256">
        <v>0</v>
      </c>
      <c r="U320" s="258">
        <f t="shared" si="100"/>
        <v>0</v>
      </c>
      <c r="V320" s="256">
        <v>0</v>
      </c>
      <c r="W320" s="256">
        <v>0</v>
      </c>
      <c r="X320" s="256">
        <v>0</v>
      </c>
      <c r="Y320" s="256">
        <v>0</v>
      </c>
      <c r="Z320" s="256">
        <v>0</v>
      </c>
      <c r="AA320" s="256">
        <v>0</v>
      </c>
      <c r="AB320" s="256">
        <v>0</v>
      </c>
      <c r="AC320" s="189">
        <f t="shared" si="101"/>
        <v>0</v>
      </c>
      <c r="AD320" s="259">
        <f t="shared" si="102"/>
        <v>0</v>
      </c>
    </row>
    <row r="321" spans="1:30" s="160" customFormat="1" hidden="1">
      <c r="A321" s="250">
        <v>316</v>
      </c>
      <c r="B321" s="251"/>
      <c r="C321" s="252"/>
      <c r="D321" s="253"/>
      <c r="E321" s="254">
        <f t="shared" si="99"/>
        <v>0</v>
      </c>
      <c r="F321" s="255">
        <f t="shared" si="117"/>
        <v>0</v>
      </c>
      <c r="G321" s="256">
        <f t="shared" si="118"/>
        <v>0</v>
      </c>
      <c r="H321" s="256">
        <f t="shared" si="119"/>
        <v>0</v>
      </c>
      <c r="I321" s="256">
        <f t="shared" si="120"/>
        <v>0</v>
      </c>
      <c r="J321" s="256">
        <f t="shared" si="121"/>
        <v>0</v>
      </c>
      <c r="K321" s="256">
        <f t="shared" si="122"/>
        <v>0</v>
      </c>
      <c r="L321" s="256">
        <f t="shared" si="123"/>
        <v>0</v>
      </c>
      <c r="M321" s="256">
        <f t="shared" si="124"/>
        <v>0</v>
      </c>
      <c r="N321" s="255">
        <v>0</v>
      </c>
      <c r="O321" s="256">
        <v>0</v>
      </c>
      <c r="P321" s="256">
        <v>0</v>
      </c>
      <c r="Q321" s="256">
        <v>0</v>
      </c>
      <c r="R321" s="256">
        <v>0</v>
      </c>
      <c r="S321" s="257">
        <v>0</v>
      </c>
      <c r="T321" s="256">
        <v>0</v>
      </c>
      <c r="U321" s="258">
        <f t="shared" si="100"/>
        <v>0</v>
      </c>
      <c r="V321" s="256">
        <v>0</v>
      </c>
      <c r="W321" s="256">
        <v>0</v>
      </c>
      <c r="X321" s="256">
        <v>0</v>
      </c>
      <c r="Y321" s="256">
        <v>0</v>
      </c>
      <c r="Z321" s="256">
        <v>0</v>
      </c>
      <c r="AA321" s="256">
        <v>0</v>
      </c>
      <c r="AB321" s="256">
        <v>0</v>
      </c>
      <c r="AC321" s="189">
        <f t="shared" si="101"/>
        <v>0</v>
      </c>
      <c r="AD321" s="259">
        <f t="shared" si="102"/>
        <v>0</v>
      </c>
    </row>
    <row r="322" spans="1:30" s="160" customFormat="1" hidden="1">
      <c r="A322" s="250">
        <v>317</v>
      </c>
      <c r="B322" s="251"/>
      <c r="C322" s="252"/>
      <c r="D322" s="253"/>
      <c r="E322" s="254">
        <f t="shared" si="99"/>
        <v>0</v>
      </c>
      <c r="F322" s="255">
        <f t="shared" si="117"/>
        <v>0</v>
      </c>
      <c r="G322" s="256">
        <f t="shared" si="118"/>
        <v>0</v>
      </c>
      <c r="H322" s="256">
        <f t="shared" si="119"/>
        <v>0</v>
      </c>
      <c r="I322" s="256">
        <f t="shared" si="120"/>
        <v>0</v>
      </c>
      <c r="J322" s="256">
        <f t="shared" si="121"/>
        <v>0</v>
      </c>
      <c r="K322" s="256">
        <f t="shared" si="122"/>
        <v>0</v>
      </c>
      <c r="L322" s="256">
        <f t="shared" si="123"/>
        <v>0</v>
      </c>
      <c r="M322" s="256">
        <f t="shared" si="124"/>
        <v>0</v>
      </c>
      <c r="N322" s="255">
        <v>0</v>
      </c>
      <c r="O322" s="256">
        <v>0</v>
      </c>
      <c r="P322" s="256">
        <v>0</v>
      </c>
      <c r="Q322" s="256">
        <v>0</v>
      </c>
      <c r="R322" s="256">
        <v>0</v>
      </c>
      <c r="S322" s="257">
        <v>0</v>
      </c>
      <c r="T322" s="256">
        <v>0</v>
      </c>
      <c r="U322" s="258">
        <f t="shared" si="100"/>
        <v>0</v>
      </c>
      <c r="V322" s="256">
        <v>0</v>
      </c>
      <c r="W322" s="256">
        <v>0</v>
      </c>
      <c r="X322" s="256">
        <v>0</v>
      </c>
      <c r="Y322" s="256">
        <v>0</v>
      </c>
      <c r="Z322" s="256">
        <v>0</v>
      </c>
      <c r="AA322" s="256">
        <v>0</v>
      </c>
      <c r="AB322" s="256">
        <v>0</v>
      </c>
      <c r="AC322" s="189">
        <f t="shared" si="101"/>
        <v>0</v>
      </c>
      <c r="AD322" s="259">
        <f t="shared" si="102"/>
        <v>0</v>
      </c>
    </row>
    <row r="323" spans="1:30" s="160" customFormat="1" hidden="1">
      <c r="A323" s="250">
        <v>318</v>
      </c>
      <c r="B323" s="251"/>
      <c r="C323" s="252"/>
      <c r="D323" s="253"/>
      <c r="E323" s="254">
        <f t="shared" si="99"/>
        <v>0</v>
      </c>
      <c r="F323" s="255">
        <f t="shared" si="117"/>
        <v>0</v>
      </c>
      <c r="G323" s="256">
        <f t="shared" si="118"/>
        <v>0</v>
      </c>
      <c r="H323" s="256">
        <f t="shared" si="119"/>
        <v>0</v>
      </c>
      <c r="I323" s="256">
        <f t="shared" si="120"/>
        <v>0</v>
      </c>
      <c r="J323" s="256">
        <f t="shared" si="121"/>
        <v>0</v>
      </c>
      <c r="K323" s="256">
        <f t="shared" si="122"/>
        <v>0</v>
      </c>
      <c r="L323" s="256">
        <f t="shared" si="123"/>
        <v>0</v>
      </c>
      <c r="M323" s="256">
        <f t="shared" si="124"/>
        <v>0</v>
      </c>
      <c r="N323" s="255">
        <v>0</v>
      </c>
      <c r="O323" s="256">
        <v>0</v>
      </c>
      <c r="P323" s="256">
        <v>0</v>
      </c>
      <c r="Q323" s="256">
        <v>0</v>
      </c>
      <c r="R323" s="256">
        <v>0</v>
      </c>
      <c r="S323" s="257">
        <v>0</v>
      </c>
      <c r="T323" s="256">
        <v>0</v>
      </c>
      <c r="U323" s="258">
        <f t="shared" si="100"/>
        <v>0</v>
      </c>
      <c r="V323" s="256">
        <v>0</v>
      </c>
      <c r="W323" s="256">
        <v>0</v>
      </c>
      <c r="X323" s="256">
        <v>0</v>
      </c>
      <c r="Y323" s="256">
        <v>0</v>
      </c>
      <c r="Z323" s="256">
        <v>0</v>
      </c>
      <c r="AA323" s="256">
        <v>0</v>
      </c>
      <c r="AB323" s="256">
        <v>0</v>
      </c>
      <c r="AC323" s="189">
        <f t="shared" si="101"/>
        <v>0</v>
      </c>
      <c r="AD323" s="259">
        <f t="shared" si="102"/>
        <v>0</v>
      </c>
    </row>
    <row r="324" spans="1:30" s="160" customFormat="1" hidden="1">
      <c r="A324" s="250">
        <v>319</v>
      </c>
      <c r="B324" s="251"/>
      <c r="C324" s="252"/>
      <c r="D324" s="253"/>
      <c r="E324" s="254">
        <f t="shared" si="99"/>
        <v>0</v>
      </c>
      <c r="F324" s="255">
        <f t="shared" si="117"/>
        <v>0</v>
      </c>
      <c r="G324" s="256">
        <f t="shared" si="118"/>
        <v>0</v>
      </c>
      <c r="H324" s="256">
        <f t="shared" si="119"/>
        <v>0</v>
      </c>
      <c r="I324" s="256">
        <f t="shared" si="120"/>
        <v>0</v>
      </c>
      <c r="J324" s="256">
        <f t="shared" si="121"/>
        <v>0</v>
      </c>
      <c r="K324" s="256">
        <f t="shared" si="122"/>
        <v>0</v>
      </c>
      <c r="L324" s="256">
        <f t="shared" si="123"/>
        <v>0</v>
      </c>
      <c r="M324" s="256">
        <f t="shared" si="124"/>
        <v>0</v>
      </c>
      <c r="N324" s="255">
        <v>0</v>
      </c>
      <c r="O324" s="256">
        <v>0</v>
      </c>
      <c r="P324" s="256">
        <v>0</v>
      </c>
      <c r="Q324" s="256">
        <v>0</v>
      </c>
      <c r="R324" s="256">
        <v>0</v>
      </c>
      <c r="S324" s="257">
        <v>0</v>
      </c>
      <c r="T324" s="256">
        <v>0</v>
      </c>
      <c r="U324" s="258">
        <f t="shared" si="100"/>
        <v>0</v>
      </c>
      <c r="V324" s="256">
        <v>0</v>
      </c>
      <c r="W324" s="256">
        <v>0</v>
      </c>
      <c r="X324" s="256">
        <v>0</v>
      </c>
      <c r="Y324" s="256">
        <v>0</v>
      </c>
      <c r="Z324" s="256">
        <v>0</v>
      </c>
      <c r="AA324" s="256">
        <v>0</v>
      </c>
      <c r="AB324" s="256">
        <v>0</v>
      </c>
      <c r="AC324" s="189">
        <f t="shared" si="101"/>
        <v>0</v>
      </c>
      <c r="AD324" s="259">
        <f t="shared" si="102"/>
        <v>0</v>
      </c>
    </row>
    <row r="325" spans="1:30" s="160" customFormat="1" hidden="1">
      <c r="A325" s="250">
        <v>320</v>
      </c>
      <c r="B325" s="251"/>
      <c r="C325" s="252"/>
      <c r="D325" s="253"/>
      <c r="E325" s="254">
        <f t="shared" si="99"/>
        <v>0</v>
      </c>
      <c r="F325" s="255">
        <f t="shared" si="117"/>
        <v>0</v>
      </c>
      <c r="G325" s="256">
        <f t="shared" si="118"/>
        <v>0</v>
      </c>
      <c r="H325" s="256">
        <f t="shared" si="119"/>
        <v>0</v>
      </c>
      <c r="I325" s="256">
        <f t="shared" si="120"/>
        <v>0</v>
      </c>
      <c r="J325" s="256">
        <f t="shared" si="121"/>
        <v>0</v>
      </c>
      <c r="K325" s="256">
        <f t="shared" si="122"/>
        <v>0</v>
      </c>
      <c r="L325" s="256">
        <f t="shared" si="123"/>
        <v>0</v>
      </c>
      <c r="M325" s="256">
        <f t="shared" si="124"/>
        <v>0</v>
      </c>
      <c r="N325" s="255">
        <v>0</v>
      </c>
      <c r="O325" s="256">
        <v>0</v>
      </c>
      <c r="P325" s="256">
        <v>0</v>
      </c>
      <c r="Q325" s="256">
        <v>0</v>
      </c>
      <c r="R325" s="256">
        <v>0</v>
      </c>
      <c r="S325" s="257">
        <v>0</v>
      </c>
      <c r="T325" s="256">
        <v>0</v>
      </c>
      <c r="U325" s="258">
        <f t="shared" si="100"/>
        <v>0</v>
      </c>
      <c r="V325" s="256">
        <v>0</v>
      </c>
      <c r="W325" s="256">
        <v>0</v>
      </c>
      <c r="X325" s="256">
        <v>0</v>
      </c>
      <c r="Y325" s="256">
        <v>0</v>
      </c>
      <c r="Z325" s="256">
        <v>0</v>
      </c>
      <c r="AA325" s="256">
        <v>0</v>
      </c>
      <c r="AB325" s="256">
        <v>0</v>
      </c>
      <c r="AC325" s="189">
        <f t="shared" si="101"/>
        <v>0</v>
      </c>
      <c r="AD325" s="259">
        <f t="shared" si="102"/>
        <v>0</v>
      </c>
    </row>
    <row r="326" spans="1:30" s="160" customFormat="1" hidden="1">
      <c r="A326" s="250">
        <v>321</v>
      </c>
      <c r="B326" s="251"/>
      <c r="C326" s="252"/>
      <c r="D326" s="253"/>
      <c r="E326" s="254">
        <f t="shared" ref="E326:E389" si="125">C326*D326</f>
        <v>0</v>
      </c>
      <c r="F326" s="255">
        <f t="shared" ref="F326:F389" si="126">(E326+J326+L326+K326+M326)*26.5%</f>
        <v>0</v>
      </c>
      <c r="G326" s="256">
        <f t="shared" ref="G326:G389" si="127">(E326+J326+L326+K326+M326)*1%</f>
        <v>0</v>
      </c>
      <c r="H326" s="256">
        <f t="shared" ref="H326:H389" si="128">(E326+J326+L326+K326+M326)*8%</f>
        <v>0</v>
      </c>
      <c r="I326" s="256">
        <f t="shared" ref="I326:I389" si="129">H326/2</f>
        <v>0</v>
      </c>
      <c r="J326" s="256">
        <f t="shared" ref="J326:J389" si="130">E326/12</f>
        <v>0</v>
      </c>
      <c r="K326" s="256">
        <f t="shared" ref="K326:K389" si="131">E326/12</f>
        <v>0</v>
      </c>
      <c r="L326" s="256">
        <f t="shared" ref="L326:L389" si="132">K326/3</f>
        <v>0</v>
      </c>
      <c r="M326" s="256">
        <f t="shared" ref="M326:M389" si="133">E326/12</f>
        <v>0</v>
      </c>
      <c r="N326" s="255">
        <v>0</v>
      </c>
      <c r="O326" s="256">
        <v>0</v>
      </c>
      <c r="P326" s="256">
        <v>0</v>
      </c>
      <c r="Q326" s="256">
        <v>0</v>
      </c>
      <c r="R326" s="256">
        <v>0</v>
      </c>
      <c r="S326" s="257">
        <v>0</v>
      </c>
      <c r="T326" s="256">
        <v>0</v>
      </c>
      <c r="U326" s="258">
        <f t="shared" ref="U326:U389" si="134">SUM(F326:T326)</f>
        <v>0</v>
      </c>
      <c r="V326" s="256">
        <v>0</v>
      </c>
      <c r="W326" s="256">
        <v>0</v>
      </c>
      <c r="X326" s="256">
        <v>0</v>
      </c>
      <c r="Y326" s="256">
        <v>0</v>
      </c>
      <c r="Z326" s="256">
        <v>0</v>
      </c>
      <c r="AA326" s="256">
        <v>0</v>
      </c>
      <c r="AB326" s="256">
        <v>0</v>
      </c>
      <c r="AC326" s="189">
        <f t="shared" ref="AC326:AC389" si="135">SUM(V326:AB326)</f>
        <v>0</v>
      </c>
      <c r="AD326" s="259">
        <f t="shared" ref="AD326:AD389" si="136">E326+U326+AC326</f>
        <v>0</v>
      </c>
    </row>
    <row r="327" spans="1:30" s="160" customFormat="1" hidden="1">
      <c r="A327" s="250">
        <v>322</v>
      </c>
      <c r="B327" s="251"/>
      <c r="C327" s="252"/>
      <c r="D327" s="253"/>
      <c r="E327" s="254">
        <f t="shared" si="125"/>
        <v>0</v>
      </c>
      <c r="F327" s="255">
        <f t="shared" si="126"/>
        <v>0</v>
      </c>
      <c r="G327" s="256">
        <f t="shared" si="127"/>
        <v>0</v>
      </c>
      <c r="H327" s="256">
        <f t="shared" si="128"/>
        <v>0</v>
      </c>
      <c r="I327" s="256">
        <f t="shared" si="129"/>
        <v>0</v>
      </c>
      <c r="J327" s="256">
        <f t="shared" si="130"/>
        <v>0</v>
      </c>
      <c r="K327" s="256">
        <f t="shared" si="131"/>
        <v>0</v>
      </c>
      <c r="L327" s="256">
        <f t="shared" si="132"/>
        <v>0</v>
      </c>
      <c r="M327" s="256">
        <f t="shared" si="133"/>
        <v>0</v>
      </c>
      <c r="N327" s="255">
        <v>0</v>
      </c>
      <c r="O327" s="256">
        <v>0</v>
      </c>
      <c r="P327" s="256">
        <v>0</v>
      </c>
      <c r="Q327" s="256">
        <v>0</v>
      </c>
      <c r="R327" s="256">
        <v>0</v>
      </c>
      <c r="S327" s="257">
        <v>0</v>
      </c>
      <c r="T327" s="256">
        <v>0</v>
      </c>
      <c r="U327" s="258">
        <f t="shared" si="134"/>
        <v>0</v>
      </c>
      <c r="V327" s="256">
        <v>0</v>
      </c>
      <c r="W327" s="256">
        <v>0</v>
      </c>
      <c r="X327" s="256">
        <v>0</v>
      </c>
      <c r="Y327" s="256">
        <v>0</v>
      </c>
      <c r="Z327" s="256">
        <v>0</v>
      </c>
      <c r="AA327" s="256">
        <v>0</v>
      </c>
      <c r="AB327" s="256">
        <v>0</v>
      </c>
      <c r="AC327" s="189">
        <f t="shared" si="135"/>
        <v>0</v>
      </c>
      <c r="AD327" s="259">
        <f t="shared" si="136"/>
        <v>0</v>
      </c>
    </row>
    <row r="328" spans="1:30" s="160" customFormat="1" hidden="1">
      <c r="A328" s="250">
        <v>323</v>
      </c>
      <c r="B328" s="251"/>
      <c r="C328" s="252"/>
      <c r="D328" s="253"/>
      <c r="E328" s="254">
        <f t="shared" si="125"/>
        <v>0</v>
      </c>
      <c r="F328" s="255">
        <f t="shared" si="126"/>
        <v>0</v>
      </c>
      <c r="G328" s="256">
        <f t="shared" si="127"/>
        <v>0</v>
      </c>
      <c r="H328" s="256">
        <f t="shared" si="128"/>
        <v>0</v>
      </c>
      <c r="I328" s="256">
        <f t="shared" si="129"/>
        <v>0</v>
      </c>
      <c r="J328" s="256">
        <f t="shared" si="130"/>
        <v>0</v>
      </c>
      <c r="K328" s="256">
        <f t="shared" si="131"/>
        <v>0</v>
      </c>
      <c r="L328" s="256">
        <f t="shared" si="132"/>
        <v>0</v>
      </c>
      <c r="M328" s="256">
        <f t="shared" si="133"/>
        <v>0</v>
      </c>
      <c r="N328" s="255">
        <v>0</v>
      </c>
      <c r="O328" s="256">
        <v>0</v>
      </c>
      <c r="P328" s="256">
        <v>0</v>
      </c>
      <c r="Q328" s="256">
        <v>0</v>
      </c>
      <c r="R328" s="256">
        <v>0</v>
      </c>
      <c r="S328" s="257">
        <v>0</v>
      </c>
      <c r="T328" s="256">
        <v>0</v>
      </c>
      <c r="U328" s="258">
        <f t="shared" si="134"/>
        <v>0</v>
      </c>
      <c r="V328" s="256">
        <v>0</v>
      </c>
      <c r="W328" s="256">
        <v>0</v>
      </c>
      <c r="X328" s="256">
        <v>0</v>
      </c>
      <c r="Y328" s="256">
        <v>0</v>
      </c>
      <c r="Z328" s="256">
        <v>0</v>
      </c>
      <c r="AA328" s="256">
        <v>0</v>
      </c>
      <c r="AB328" s="256">
        <v>0</v>
      </c>
      <c r="AC328" s="189">
        <f t="shared" si="135"/>
        <v>0</v>
      </c>
      <c r="AD328" s="259">
        <f t="shared" si="136"/>
        <v>0</v>
      </c>
    </row>
    <row r="329" spans="1:30" s="160" customFormat="1" hidden="1">
      <c r="A329" s="250">
        <v>324</v>
      </c>
      <c r="B329" s="251"/>
      <c r="C329" s="252"/>
      <c r="D329" s="253"/>
      <c r="E329" s="254">
        <f t="shared" si="125"/>
        <v>0</v>
      </c>
      <c r="F329" s="255">
        <f t="shared" si="126"/>
        <v>0</v>
      </c>
      <c r="G329" s="256">
        <f t="shared" si="127"/>
        <v>0</v>
      </c>
      <c r="H329" s="256">
        <f t="shared" si="128"/>
        <v>0</v>
      </c>
      <c r="I329" s="256">
        <f t="shared" si="129"/>
        <v>0</v>
      </c>
      <c r="J329" s="256">
        <f t="shared" si="130"/>
        <v>0</v>
      </c>
      <c r="K329" s="256">
        <f t="shared" si="131"/>
        <v>0</v>
      </c>
      <c r="L329" s="256">
        <f t="shared" si="132"/>
        <v>0</v>
      </c>
      <c r="M329" s="256">
        <f t="shared" si="133"/>
        <v>0</v>
      </c>
      <c r="N329" s="255">
        <v>0</v>
      </c>
      <c r="O329" s="256">
        <v>0</v>
      </c>
      <c r="P329" s="256">
        <v>0</v>
      </c>
      <c r="Q329" s="256">
        <v>0</v>
      </c>
      <c r="R329" s="256">
        <v>0</v>
      </c>
      <c r="S329" s="257">
        <v>0</v>
      </c>
      <c r="T329" s="256">
        <v>0</v>
      </c>
      <c r="U329" s="258">
        <f t="shared" si="134"/>
        <v>0</v>
      </c>
      <c r="V329" s="256">
        <v>0</v>
      </c>
      <c r="W329" s="256">
        <v>0</v>
      </c>
      <c r="X329" s="256">
        <v>0</v>
      </c>
      <c r="Y329" s="256">
        <v>0</v>
      </c>
      <c r="Z329" s="256">
        <v>0</v>
      </c>
      <c r="AA329" s="256">
        <v>0</v>
      </c>
      <c r="AB329" s="256">
        <v>0</v>
      </c>
      <c r="AC329" s="189">
        <f t="shared" si="135"/>
        <v>0</v>
      </c>
      <c r="AD329" s="259">
        <f t="shared" si="136"/>
        <v>0</v>
      </c>
    </row>
    <row r="330" spans="1:30" s="160" customFormat="1" hidden="1">
      <c r="A330" s="250">
        <v>325</v>
      </c>
      <c r="B330" s="251"/>
      <c r="C330" s="252"/>
      <c r="D330" s="253"/>
      <c r="E330" s="254">
        <f t="shared" si="125"/>
        <v>0</v>
      </c>
      <c r="F330" s="255">
        <f t="shared" si="126"/>
        <v>0</v>
      </c>
      <c r="G330" s="256">
        <f t="shared" si="127"/>
        <v>0</v>
      </c>
      <c r="H330" s="256">
        <f t="shared" si="128"/>
        <v>0</v>
      </c>
      <c r="I330" s="256">
        <f t="shared" si="129"/>
        <v>0</v>
      </c>
      <c r="J330" s="256">
        <f t="shared" si="130"/>
        <v>0</v>
      </c>
      <c r="K330" s="256">
        <f t="shared" si="131"/>
        <v>0</v>
      </c>
      <c r="L330" s="256">
        <f t="shared" si="132"/>
        <v>0</v>
      </c>
      <c r="M330" s="256">
        <f t="shared" si="133"/>
        <v>0</v>
      </c>
      <c r="N330" s="255">
        <v>0</v>
      </c>
      <c r="O330" s="256">
        <v>0</v>
      </c>
      <c r="P330" s="256">
        <v>0</v>
      </c>
      <c r="Q330" s="256">
        <v>0</v>
      </c>
      <c r="R330" s="256">
        <v>0</v>
      </c>
      <c r="S330" s="257">
        <v>0</v>
      </c>
      <c r="T330" s="256">
        <v>0</v>
      </c>
      <c r="U330" s="258">
        <f t="shared" si="134"/>
        <v>0</v>
      </c>
      <c r="V330" s="256">
        <v>0</v>
      </c>
      <c r="W330" s="256">
        <v>0</v>
      </c>
      <c r="X330" s="256">
        <v>0</v>
      </c>
      <c r="Y330" s="256">
        <v>0</v>
      </c>
      <c r="Z330" s="256">
        <v>0</v>
      </c>
      <c r="AA330" s="256">
        <v>0</v>
      </c>
      <c r="AB330" s="256">
        <v>0</v>
      </c>
      <c r="AC330" s="189">
        <f t="shared" si="135"/>
        <v>0</v>
      </c>
      <c r="AD330" s="259">
        <f t="shared" si="136"/>
        <v>0</v>
      </c>
    </row>
    <row r="331" spans="1:30" s="160" customFormat="1" hidden="1">
      <c r="A331" s="250">
        <v>326</v>
      </c>
      <c r="B331" s="251"/>
      <c r="C331" s="252"/>
      <c r="D331" s="253"/>
      <c r="E331" s="254">
        <f t="shared" si="125"/>
        <v>0</v>
      </c>
      <c r="F331" s="255">
        <f t="shared" si="126"/>
        <v>0</v>
      </c>
      <c r="G331" s="256">
        <f t="shared" si="127"/>
        <v>0</v>
      </c>
      <c r="H331" s="256">
        <f t="shared" si="128"/>
        <v>0</v>
      </c>
      <c r="I331" s="256">
        <f t="shared" si="129"/>
        <v>0</v>
      </c>
      <c r="J331" s="256">
        <f t="shared" si="130"/>
        <v>0</v>
      </c>
      <c r="K331" s="256">
        <f t="shared" si="131"/>
        <v>0</v>
      </c>
      <c r="L331" s="256">
        <f t="shared" si="132"/>
        <v>0</v>
      </c>
      <c r="M331" s="256">
        <f t="shared" si="133"/>
        <v>0</v>
      </c>
      <c r="N331" s="255">
        <v>0</v>
      </c>
      <c r="O331" s="256">
        <v>0</v>
      </c>
      <c r="P331" s="256">
        <v>0</v>
      </c>
      <c r="Q331" s="256">
        <v>0</v>
      </c>
      <c r="R331" s="256">
        <v>0</v>
      </c>
      <c r="S331" s="257">
        <v>0</v>
      </c>
      <c r="T331" s="256">
        <v>0</v>
      </c>
      <c r="U331" s="258">
        <f t="shared" si="134"/>
        <v>0</v>
      </c>
      <c r="V331" s="256">
        <v>0</v>
      </c>
      <c r="W331" s="256">
        <v>0</v>
      </c>
      <c r="X331" s="256">
        <v>0</v>
      </c>
      <c r="Y331" s="256">
        <v>0</v>
      </c>
      <c r="Z331" s="256">
        <v>0</v>
      </c>
      <c r="AA331" s="256">
        <v>0</v>
      </c>
      <c r="AB331" s="256">
        <v>0</v>
      </c>
      <c r="AC331" s="189">
        <f t="shared" si="135"/>
        <v>0</v>
      </c>
      <c r="AD331" s="259">
        <f t="shared" si="136"/>
        <v>0</v>
      </c>
    </row>
    <row r="332" spans="1:30" s="160" customFormat="1" hidden="1">
      <c r="A332" s="250">
        <v>327</v>
      </c>
      <c r="B332" s="251"/>
      <c r="C332" s="252"/>
      <c r="D332" s="253"/>
      <c r="E332" s="254">
        <f t="shared" si="125"/>
        <v>0</v>
      </c>
      <c r="F332" s="255">
        <f t="shared" si="126"/>
        <v>0</v>
      </c>
      <c r="G332" s="256">
        <f t="shared" si="127"/>
        <v>0</v>
      </c>
      <c r="H332" s="256">
        <f t="shared" si="128"/>
        <v>0</v>
      </c>
      <c r="I332" s="256">
        <f t="shared" si="129"/>
        <v>0</v>
      </c>
      <c r="J332" s="256">
        <f t="shared" si="130"/>
        <v>0</v>
      </c>
      <c r="K332" s="256">
        <f t="shared" si="131"/>
        <v>0</v>
      </c>
      <c r="L332" s="256">
        <f t="shared" si="132"/>
        <v>0</v>
      </c>
      <c r="M332" s="256">
        <f t="shared" si="133"/>
        <v>0</v>
      </c>
      <c r="N332" s="255">
        <v>0</v>
      </c>
      <c r="O332" s="256">
        <v>0</v>
      </c>
      <c r="P332" s="256">
        <v>0</v>
      </c>
      <c r="Q332" s="256">
        <v>0</v>
      </c>
      <c r="R332" s="256">
        <v>0</v>
      </c>
      <c r="S332" s="257">
        <v>0</v>
      </c>
      <c r="T332" s="256">
        <v>0</v>
      </c>
      <c r="U332" s="258">
        <f t="shared" si="134"/>
        <v>0</v>
      </c>
      <c r="V332" s="256">
        <v>0</v>
      </c>
      <c r="W332" s="256">
        <v>0</v>
      </c>
      <c r="X332" s="256">
        <v>0</v>
      </c>
      <c r="Y332" s="256">
        <v>0</v>
      </c>
      <c r="Z332" s="256">
        <v>0</v>
      </c>
      <c r="AA332" s="256">
        <v>0</v>
      </c>
      <c r="AB332" s="256">
        <v>0</v>
      </c>
      <c r="AC332" s="189">
        <f t="shared" si="135"/>
        <v>0</v>
      </c>
      <c r="AD332" s="259">
        <f t="shared" si="136"/>
        <v>0</v>
      </c>
    </row>
    <row r="333" spans="1:30" s="160" customFormat="1" hidden="1">
      <c r="A333" s="250">
        <v>328</v>
      </c>
      <c r="B333" s="251"/>
      <c r="C333" s="252"/>
      <c r="D333" s="253"/>
      <c r="E333" s="254">
        <f t="shared" si="125"/>
        <v>0</v>
      </c>
      <c r="F333" s="255">
        <f t="shared" si="126"/>
        <v>0</v>
      </c>
      <c r="G333" s="256">
        <f t="shared" si="127"/>
        <v>0</v>
      </c>
      <c r="H333" s="256">
        <f t="shared" si="128"/>
        <v>0</v>
      </c>
      <c r="I333" s="256">
        <f t="shared" si="129"/>
        <v>0</v>
      </c>
      <c r="J333" s="256">
        <f t="shared" si="130"/>
        <v>0</v>
      </c>
      <c r="K333" s="256">
        <f t="shared" si="131"/>
        <v>0</v>
      </c>
      <c r="L333" s="256">
        <f t="shared" si="132"/>
        <v>0</v>
      </c>
      <c r="M333" s="256">
        <f t="shared" si="133"/>
        <v>0</v>
      </c>
      <c r="N333" s="255">
        <v>0</v>
      </c>
      <c r="O333" s="256">
        <v>0</v>
      </c>
      <c r="P333" s="256">
        <v>0</v>
      </c>
      <c r="Q333" s="256">
        <v>0</v>
      </c>
      <c r="R333" s="256">
        <v>0</v>
      </c>
      <c r="S333" s="257">
        <v>0</v>
      </c>
      <c r="T333" s="256">
        <v>0</v>
      </c>
      <c r="U333" s="258">
        <f t="shared" si="134"/>
        <v>0</v>
      </c>
      <c r="V333" s="256">
        <v>0</v>
      </c>
      <c r="W333" s="256">
        <v>0</v>
      </c>
      <c r="X333" s="256">
        <v>0</v>
      </c>
      <c r="Y333" s="256">
        <v>0</v>
      </c>
      <c r="Z333" s="256">
        <v>0</v>
      </c>
      <c r="AA333" s="256">
        <v>0</v>
      </c>
      <c r="AB333" s="256">
        <v>0</v>
      </c>
      <c r="AC333" s="189">
        <f t="shared" si="135"/>
        <v>0</v>
      </c>
      <c r="AD333" s="259">
        <f t="shared" si="136"/>
        <v>0</v>
      </c>
    </row>
    <row r="334" spans="1:30" s="160" customFormat="1" hidden="1">
      <c r="A334" s="250">
        <v>329</v>
      </c>
      <c r="B334" s="251"/>
      <c r="C334" s="252"/>
      <c r="D334" s="253"/>
      <c r="E334" s="254">
        <f t="shared" si="125"/>
        <v>0</v>
      </c>
      <c r="F334" s="255">
        <f t="shared" si="126"/>
        <v>0</v>
      </c>
      <c r="G334" s="256">
        <f t="shared" si="127"/>
        <v>0</v>
      </c>
      <c r="H334" s="256">
        <f t="shared" si="128"/>
        <v>0</v>
      </c>
      <c r="I334" s="256">
        <f t="shared" si="129"/>
        <v>0</v>
      </c>
      <c r="J334" s="256">
        <f t="shared" si="130"/>
        <v>0</v>
      </c>
      <c r="K334" s="256">
        <f t="shared" si="131"/>
        <v>0</v>
      </c>
      <c r="L334" s="256">
        <f t="shared" si="132"/>
        <v>0</v>
      </c>
      <c r="M334" s="256">
        <f t="shared" si="133"/>
        <v>0</v>
      </c>
      <c r="N334" s="255">
        <v>0</v>
      </c>
      <c r="O334" s="256">
        <v>0</v>
      </c>
      <c r="P334" s="256">
        <v>0</v>
      </c>
      <c r="Q334" s="256">
        <v>0</v>
      </c>
      <c r="R334" s="256">
        <v>0</v>
      </c>
      <c r="S334" s="257">
        <v>0</v>
      </c>
      <c r="T334" s="256">
        <v>0</v>
      </c>
      <c r="U334" s="258">
        <f t="shared" si="134"/>
        <v>0</v>
      </c>
      <c r="V334" s="256">
        <v>0</v>
      </c>
      <c r="W334" s="256">
        <v>0</v>
      </c>
      <c r="X334" s="256">
        <v>0</v>
      </c>
      <c r="Y334" s="256">
        <v>0</v>
      </c>
      <c r="Z334" s="256">
        <v>0</v>
      </c>
      <c r="AA334" s="256">
        <v>0</v>
      </c>
      <c r="AB334" s="256">
        <v>0</v>
      </c>
      <c r="AC334" s="189">
        <f t="shared" si="135"/>
        <v>0</v>
      </c>
      <c r="AD334" s="259">
        <f t="shared" si="136"/>
        <v>0</v>
      </c>
    </row>
    <row r="335" spans="1:30" s="160" customFormat="1" hidden="1">
      <c r="A335" s="250">
        <v>330</v>
      </c>
      <c r="B335" s="251"/>
      <c r="C335" s="252"/>
      <c r="D335" s="253"/>
      <c r="E335" s="254">
        <f t="shared" si="125"/>
        <v>0</v>
      </c>
      <c r="F335" s="255">
        <f t="shared" si="126"/>
        <v>0</v>
      </c>
      <c r="G335" s="256">
        <f t="shared" si="127"/>
        <v>0</v>
      </c>
      <c r="H335" s="256">
        <f t="shared" si="128"/>
        <v>0</v>
      </c>
      <c r="I335" s="256">
        <f t="shared" si="129"/>
        <v>0</v>
      </c>
      <c r="J335" s="256">
        <f t="shared" si="130"/>
        <v>0</v>
      </c>
      <c r="K335" s="256">
        <f t="shared" si="131"/>
        <v>0</v>
      </c>
      <c r="L335" s="256">
        <f t="shared" si="132"/>
        <v>0</v>
      </c>
      <c r="M335" s="256">
        <f t="shared" si="133"/>
        <v>0</v>
      </c>
      <c r="N335" s="255">
        <v>0</v>
      </c>
      <c r="O335" s="256">
        <v>0</v>
      </c>
      <c r="P335" s="256">
        <v>0</v>
      </c>
      <c r="Q335" s="256">
        <v>0</v>
      </c>
      <c r="R335" s="256">
        <v>0</v>
      </c>
      <c r="S335" s="257">
        <v>0</v>
      </c>
      <c r="T335" s="256">
        <v>0</v>
      </c>
      <c r="U335" s="258">
        <f t="shared" si="134"/>
        <v>0</v>
      </c>
      <c r="V335" s="256">
        <v>0</v>
      </c>
      <c r="W335" s="256">
        <v>0</v>
      </c>
      <c r="X335" s="256">
        <v>0</v>
      </c>
      <c r="Y335" s="256">
        <v>0</v>
      </c>
      <c r="Z335" s="256">
        <v>0</v>
      </c>
      <c r="AA335" s="256">
        <v>0</v>
      </c>
      <c r="AB335" s="256">
        <v>0</v>
      </c>
      <c r="AC335" s="189">
        <f t="shared" si="135"/>
        <v>0</v>
      </c>
      <c r="AD335" s="259">
        <f t="shared" si="136"/>
        <v>0</v>
      </c>
    </row>
    <row r="336" spans="1:30" s="160" customFormat="1" hidden="1">
      <c r="A336" s="250">
        <v>331</v>
      </c>
      <c r="B336" s="251"/>
      <c r="C336" s="252"/>
      <c r="D336" s="253"/>
      <c r="E336" s="254">
        <f t="shared" si="125"/>
        <v>0</v>
      </c>
      <c r="F336" s="255">
        <f t="shared" si="126"/>
        <v>0</v>
      </c>
      <c r="G336" s="256">
        <f t="shared" si="127"/>
        <v>0</v>
      </c>
      <c r="H336" s="256">
        <f t="shared" si="128"/>
        <v>0</v>
      </c>
      <c r="I336" s="256">
        <f t="shared" si="129"/>
        <v>0</v>
      </c>
      <c r="J336" s="256">
        <f t="shared" si="130"/>
        <v>0</v>
      </c>
      <c r="K336" s="256">
        <f t="shared" si="131"/>
        <v>0</v>
      </c>
      <c r="L336" s="256">
        <f t="shared" si="132"/>
        <v>0</v>
      </c>
      <c r="M336" s="256">
        <f t="shared" si="133"/>
        <v>0</v>
      </c>
      <c r="N336" s="255">
        <v>0</v>
      </c>
      <c r="O336" s="256">
        <v>0</v>
      </c>
      <c r="P336" s="256">
        <v>0</v>
      </c>
      <c r="Q336" s="256">
        <v>0</v>
      </c>
      <c r="R336" s="256">
        <v>0</v>
      </c>
      <c r="S336" s="257">
        <v>0</v>
      </c>
      <c r="T336" s="256">
        <v>0</v>
      </c>
      <c r="U336" s="258">
        <f t="shared" si="134"/>
        <v>0</v>
      </c>
      <c r="V336" s="256">
        <v>0</v>
      </c>
      <c r="W336" s="256">
        <v>0</v>
      </c>
      <c r="X336" s="256">
        <v>0</v>
      </c>
      <c r="Y336" s="256">
        <v>0</v>
      </c>
      <c r="Z336" s="256">
        <v>0</v>
      </c>
      <c r="AA336" s="256">
        <v>0</v>
      </c>
      <c r="AB336" s="256">
        <v>0</v>
      </c>
      <c r="AC336" s="189">
        <f t="shared" si="135"/>
        <v>0</v>
      </c>
      <c r="AD336" s="259">
        <f t="shared" si="136"/>
        <v>0</v>
      </c>
    </row>
    <row r="337" spans="1:30" s="160" customFormat="1" hidden="1">
      <c r="A337" s="250">
        <v>332</v>
      </c>
      <c r="B337" s="251"/>
      <c r="C337" s="252"/>
      <c r="D337" s="253"/>
      <c r="E337" s="254">
        <f t="shared" si="125"/>
        <v>0</v>
      </c>
      <c r="F337" s="255">
        <f t="shared" si="126"/>
        <v>0</v>
      </c>
      <c r="G337" s="256">
        <f t="shared" si="127"/>
        <v>0</v>
      </c>
      <c r="H337" s="256">
        <f t="shared" si="128"/>
        <v>0</v>
      </c>
      <c r="I337" s="256">
        <f t="shared" si="129"/>
        <v>0</v>
      </c>
      <c r="J337" s="256">
        <f t="shared" si="130"/>
        <v>0</v>
      </c>
      <c r="K337" s="256">
        <f t="shared" si="131"/>
        <v>0</v>
      </c>
      <c r="L337" s="256">
        <f t="shared" si="132"/>
        <v>0</v>
      </c>
      <c r="M337" s="256">
        <f t="shared" si="133"/>
        <v>0</v>
      </c>
      <c r="N337" s="255">
        <v>0</v>
      </c>
      <c r="O337" s="256">
        <v>0</v>
      </c>
      <c r="P337" s="256">
        <v>0</v>
      </c>
      <c r="Q337" s="256">
        <v>0</v>
      </c>
      <c r="R337" s="256">
        <v>0</v>
      </c>
      <c r="S337" s="257">
        <v>0</v>
      </c>
      <c r="T337" s="256">
        <v>0</v>
      </c>
      <c r="U337" s="258">
        <f t="shared" si="134"/>
        <v>0</v>
      </c>
      <c r="V337" s="256">
        <v>0</v>
      </c>
      <c r="W337" s="256">
        <v>0</v>
      </c>
      <c r="X337" s="256">
        <v>0</v>
      </c>
      <c r="Y337" s="256">
        <v>0</v>
      </c>
      <c r="Z337" s="256">
        <v>0</v>
      </c>
      <c r="AA337" s="256">
        <v>0</v>
      </c>
      <c r="AB337" s="256">
        <v>0</v>
      </c>
      <c r="AC337" s="189">
        <f t="shared" si="135"/>
        <v>0</v>
      </c>
      <c r="AD337" s="259">
        <f t="shared" si="136"/>
        <v>0</v>
      </c>
    </row>
    <row r="338" spans="1:30" s="160" customFormat="1" hidden="1">
      <c r="A338" s="250">
        <v>333</v>
      </c>
      <c r="B338" s="251"/>
      <c r="C338" s="252"/>
      <c r="D338" s="253"/>
      <c r="E338" s="254">
        <f t="shared" si="125"/>
        <v>0</v>
      </c>
      <c r="F338" s="255">
        <f t="shared" si="126"/>
        <v>0</v>
      </c>
      <c r="G338" s="256">
        <f t="shared" si="127"/>
        <v>0</v>
      </c>
      <c r="H338" s="256">
        <f t="shared" si="128"/>
        <v>0</v>
      </c>
      <c r="I338" s="256">
        <f t="shared" si="129"/>
        <v>0</v>
      </c>
      <c r="J338" s="256">
        <f t="shared" si="130"/>
        <v>0</v>
      </c>
      <c r="K338" s="256">
        <f t="shared" si="131"/>
        <v>0</v>
      </c>
      <c r="L338" s="256">
        <f t="shared" si="132"/>
        <v>0</v>
      </c>
      <c r="M338" s="256">
        <f t="shared" si="133"/>
        <v>0</v>
      </c>
      <c r="N338" s="255">
        <v>0</v>
      </c>
      <c r="O338" s="256">
        <v>0</v>
      </c>
      <c r="P338" s="256">
        <v>0</v>
      </c>
      <c r="Q338" s="256">
        <v>0</v>
      </c>
      <c r="R338" s="256">
        <v>0</v>
      </c>
      <c r="S338" s="257">
        <v>0</v>
      </c>
      <c r="T338" s="256">
        <v>0</v>
      </c>
      <c r="U338" s="258">
        <f t="shared" si="134"/>
        <v>0</v>
      </c>
      <c r="V338" s="256">
        <v>0</v>
      </c>
      <c r="W338" s="256">
        <v>0</v>
      </c>
      <c r="X338" s="256">
        <v>0</v>
      </c>
      <c r="Y338" s="256">
        <v>0</v>
      </c>
      <c r="Z338" s="256">
        <v>0</v>
      </c>
      <c r="AA338" s="256">
        <v>0</v>
      </c>
      <c r="AB338" s="256">
        <v>0</v>
      </c>
      <c r="AC338" s="189">
        <f t="shared" si="135"/>
        <v>0</v>
      </c>
      <c r="AD338" s="259">
        <f t="shared" si="136"/>
        <v>0</v>
      </c>
    </row>
    <row r="339" spans="1:30" s="160" customFormat="1" hidden="1">
      <c r="A339" s="250">
        <v>334</v>
      </c>
      <c r="B339" s="251"/>
      <c r="C339" s="252"/>
      <c r="D339" s="253"/>
      <c r="E339" s="254">
        <f t="shared" si="125"/>
        <v>0</v>
      </c>
      <c r="F339" s="255">
        <f t="shared" si="126"/>
        <v>0</v>
      </c>
      <c r="G339" s="256">
        <f t="shared" si="127"/>
        <v>0</v>
      </c>
      <c r="H339" s="256">
        <f t="shared" si="128"/>
        <v>0</v>
      </c>
      <c r="I339" s="256">
        <f t="shared" si="129"/>
        <v>0</v>
      </c>
      <c r="J339" s="256">
        <f t="shared" si="130"/>
        <v>0</v>
      </c>
      <c r="K339" s="256">
        <f t="shared" si="131"/>
        <v>0</v>
      </c>
      <c r="L339" s="256">
        <f t="shared" si="132"/>
        <v>0</v>
      </c>
      <c r="M339" s="256">
        <f t="shared" si="133"/>
        <v>0</v>
      </c>
      <c r="N339" s="255">
        <v>0</v>
      </c>
      <c r="O339" s="256">
        <v>0</v>
      </c>
      <c r="P339" s="256">
        <v>0</v>
      </c>
      <c r="Q339" s="256">
        <v>0</v>
      </c>
      <c r="R339" s="256">
        <v>0</v>
      </c>
      <c r="S339" s="257">
        <v>0</v>
      </c>
      <c r="T339" s="256">
        <v>0</v>
      </c>
      <c r="U339" s="258">
        <f t="shared" si="134"/>
        <v>0</v>
      </c>
      <c r="V339" s="256">
        <v>0</v>
      </c>
      <c r="W339" s="256">
        <v>0</v>
      </c>
      <c r="X339" s="256">
        <v>0</v>
      </c>
      <c r="Y339" s="256">
        <v>0</v>
      </c>
      <c r="Z339" s="256">
        <v>0</v>
      </c>
      <c r="AA339" s="256">
        <v>0</v>
      </c>
      <c r="AB339" s="256">
        <v>0</v>
      </c>
      <c r="AC339" s="189">
        <f t="shared" si="135"/>
        <v>0</v>
      </c>
      <c r="AD339" s="259">
        <f t="shared" si="136"/>
        <v>0</v>
      </c>
    </row>
    <row r="340" spans="1:30" s="160" customFormat="1" hidden="1">
      <c r="A340" s="250">
        <v>335</v>
      </c>
      <c r="B340" s="251"/>
      <c r="C340" s="252"/>
      <c r="D340" s="253"/>
      <c r="E340" s="254">
        <f t="shared" si="125"/>
        <v>0</v>
      </c>
      <c r="F340" s="255">
        <f t="shared" si="126"/>
        <v>0</v>
      </c>
      <c r="G340" s="256">
        <f t="shared" si="127"/>
        <v>0</v>
      </c>
      <c r="H340" s="256">
        <f t="shared" si="128"/>
        <v>0</v>
      </c>
      <c r="I340" s="256">
        <f t="shared" si="129"/>
        <v>0</v>
      </c>
      <c r="J340" s="256">
        <f t="shared" si="130"/>
        <v>0</v>
      </c>
      <c r="K340" s="256">
        <f t="shared" si="131"/>
        <v>0</v>
      </c>
      <c r="L340" s="256">
        <f t="shared" si="132"/>
        <v>0</v>
      </c>
      <c r="M340" s="256">
        <f t="shared" si="133"/>
        <v>0</v>
      </c>
      <c r="N340" s="255">
        <v>0</v>
      </c>
      <c r="O340" s="256">
        <v>0</v>
      </c>
      <c r="P340" s="256">
        <v>0</v>
      </c>
      <c r="Q340" s="256">
        <v>0</v>
      </c>
      <c r="R340" s="256">
        <v>0</v>
      </c>
      <c r="S340" s="257">
        <v>0</v>
      </c>
      <c r="T340" s="256">
        <v>0</v>
      </c>
      <c r="U340" s="258">
        <f t="shared" si="134"/>
        <v>0</v>
      </c>
      <c r="V340" s="256">
        <v>0</v>
      </c>
      <c r="W340" s="256">
        <v>0</v>
      </c>
      <c r="X340" s="256">
        <v>0</v>
      </c>
      <c r="Y340" s="256">
        <v>0</v>
      </c>
      <c r="Z340" s="256">
        <v>0</v>
      </c>
      <c r="AA340" s="256">
        <v>0</v>
      </c>
      <c r="AB340" s="256">
        <v>0</v>
      </c>
      <c r="AC340" s="189">
        <f t="shared" si="135"/>
        <v>0</v>
      </c>
      <c r="AD340" s="259">
        <f t="shared" si="136"/>
        <v>0</v>
      </c>
    </row>
    <row r="341" spans="1:30" s="160" customFormat="1" hidden="1">
      <c r="A341" s="250">
        <v>336</v>
      </c>
      <c r="B341" s="251"/>
      <c r="C341" s="252"/>
      <c r="D341" s="253"/>
      <c r="E341" s="254">
        <f t="shared" si="125"/>
        <v>0</v>
      </c>
      <c r="F341" s="255">
        <f t="shared" si="126"/>
        <v>0</v>
      </c>
      <c r="G341" s="256">
        <f t="shared" si="127"/>
        <v>0</v>
      </c>
      <c r="H341" s="256">
        <f t="shared" si="128"/>
        <v>0</v>
      </c>
      <c r="I341" s="256">
        <f t="shared" si="129"/>
        <v>0</v>
      </c>
      <c r="J341" s="256">
        <f t="shared" si="130"/>
        <v>0</v>
      </c>
      <c r="K341" s="256">
        <f t="shared" si="131"/>
        <v>0</v>
      </c>
      <c r="L341" s="256">
        <f t="shared" si="132"/>
        <v>0</v>
      </c>
      <c r="M341" s="256">
        <f t="shared" si="133"/>
        <v>0</v>
      </c>
      <c r="N341" s="255">
        <v>0</v>
      </c>
      <c r="O341" s="256">
        <v>0</v>
      </c>
      <c r="P341" s="256">
        <v>0</v>
      </c>
      <c r="Q341" s="256">
        <v>0</v>
      </c>
      <c r="R341" s="256">
        <v>0</v>
      </c>
      <c r="S341" s="257">
        <v>0</v>
      </c>
      <c r="T341" s="256">
        <v>0</v>
      </c>
      <c r="U341" s="258">
        <f t="shared" si="134"/>
        <v>0</v>
      </c>
      <c r="V341" s="256">
        <v>0</v>
      </c>
      <c r="W341" s="256">
        <v>0</v>
      </c>
      <c r="X341" s="256">
        <v>0</v>
      </c>
      <c r="Y341" s="256">
        <v>0</v>
      </c>
      <c r="Z341" s="256">
        <v>0</v>
      </c>
      <c r="AA341" s="256">
        <v>0</v>
      </c>
      <c r="AB341" s="256">
        <v>0</v>
      </c>
      <c r="AC341" s="189">
        <f t="shared" si="135"/>
        <v>0</v>
      </c>
      <c r="AD341" s="259">
        <f t="shared" si="136"/>
        <v>0</v>
      </c>
    </row>
    <row r="342" spans="1:30" s="160" customFormat="1" hidden="1">
      <c r="A342" s="250">
        <v>337</v>
      </c>
      <c r="B342" s="251"/>
      <c r="C342" s="252"/>
      <c r="D342" s="253"/>
      <c r="E342" s="254">
        <f t="shared" si="125"/>
        <v>0</v>
      </c>
      <c r="F342" s="255">
        <f t="shared" si="126"/>
        <v>0</v>
      </c>
      <c r="G342" s="256">
        <f t="shared" si="127"/>
        <v>0</v>
      </c>
      <c r="H342" s="256">
        <f t="shared" si="128"/>
        <v>0</v>
      </c>
      <c r="I342" s="256">
        <f t="shared" si="129"/>
        <v>0</v>
      </c>
      <c r="J342" s="256">
        <f t="shared" si="130"/>
        <v>0</v>
      </c>
      <c r="K342" s="256">
        <f t="shared" si="131"/>
        <v>0</v>
      </c>
      <c r="L342" s="256">
        <f t="shared" si="132"/>
        <v>0</v>
      </c>
      <c r="M342" s="256">
        <f t="shared" si="133"/>
        <v>0</v>
      </c>
      <c r="N342" s="255">
        <v>0</v>
      </c>
      <c r="O342" s="256">
        <v>0</v>
      </c>
      <c r="P342" s="256">
        <v>0</v>
      </c>
      <c r="Q342" s="256">
        <v>0</v>
      </c>
      <c r="R342" s="256">
        <v>0</v>
      </c>
      <c r="S342" s="257">
        <v>0</v>
      </c>
      <c r="T342" s="256">
        <v>0</v>
      </c>
      <c r="U342" s="258">
        <f t="shared" si="134"/>
        <v>0</v>
      </c>
      <c r="V342" s="256">
        <v>0</v>
      </c>
      <c r="W342" s="256">
        <v>0</v>
      </c>
      <c r="X342" s="256">
        <v>0</v>
      </c>
      <c r="Y342" s="256">
        <v>0</v>
      </c>
      <c r="Z342" s="256">
        <v>0</v>
      </c>
      <c r="AA342" s="256">
        <v>0</v>
      </c>
      <c r="AB342" s="256">
        <v>0</v>
      </c>
      <c r="AC342" s="189">
        <f t="shared" si="135"/>
        <v>0</v>
      </c>
      <c r="AD342" s="259">
        <f t="shared" si="136"/>
        <v>0</v>
      </c>
    </row>
    <row r="343" spans="1:30" s="160" customFormat="1" hidden="1">
      <c r="A343" s="250">
        <v>338</v>
      </c>
      <c r="B343" s="251"/>
      <c r="C343" s="252"/>
      <c r="D343" s="253"/>
      <c r="E343" s="254">
        <f t="shared" si="125"/>
        <v>0</v>
      </c>
      <c r="F343" s="255">
        <f t="shared" si="126"/>
        <v>0</v>
      </c>
      <c r="G343" s="256">
        <f t="shared" si="127"/>
        <v>0</v>
      </c>
      <c r="H343" s="256">
        <f t="shared" si="128"/>
        <v>0</v>
      </c>
      <c r="I343" s="256">
        <f t="shared" si="129"/>
        <v>0</v>
      </c>
      <c r="J343" s="256">
        <f t="shared" si="130"/>
        <v>0</v>
      </c>
      <c r="K343" s="256">
        <f t="shared" si="131"/>
        <v>0</v>
      </c>
      <c r="L343" s="256">
        <f t="shared" si="132"/>
        <v>0</v>
      </c>
      <c r="M343" s="256">
        <f t="shared" si="133"/>
        <v>0</v>
      </c>
      <c r="N343" s="255">
        <v>0</v>
      </c>
      <c r="O343" s="256">
        <v>0</v>
      </c>
      <c r="P343" s="256">
        <v>0</v>
      </c>
      <c r="Q343" s="256">
        <v>0</v>
      </c>
      <c r="R343" s="256">
        <v>0</v>
      </c>
      <c r="S343" s="257">
        <v>0</v>
      </c>
      <c r="T343" s="256">
        <v>0</v>
      </c>
      <c r="U343" s="258">
        <f t="shared" si="134"/>
        <v>0</v>
      </c>
      <c r="V343" s="256">
        <v>0</v>
      </c>
      <c r="W343" s="256">
        <v>0</v>
      </c>
      <c r="X343" s="256">
        <v>0</v>
      </c>
      <c r="Y343" s="256">
        <v>0</v>
      </c>
      <c r="Z343" s="256">
        <v>0</v>
      </c>
      <c r="AA343" s="256">
        <v>0</v>
      </c>
      <c r="AB343" s="256">
        <v>0</v>
      </c>
      <c r="AC343" s="189">
        <f t="shared" si="135"/>
        <v>0</v>
      </c>
      <c r="AD343" s="259">
        <f t="shared" si="136"/>
        <v>0</v>
      </c>
    </row>
    <row r="344" spans="1:30" s="160" customFormat="1" hidden="1">
      <c r="A344" s="250">
        <v>339</v>
      </c>
      <c r="B344" s="251"/>
      <c r="C344" s="252"/>
      <c r="D344" s="253"/>
      <c r="E344" s="254">
        <f t="shared" si="125"/>
        <v>0</v>
      </c>
      <c r="F344" s="255">
        <f t="shared" si="126"/>
        <v>0</v>
      </c>
      <c r="G344" s="256">
        <f t="shared" si="127"/>
        <v>0</v>
      </c>
      <c r="H344" s="256">
        <f t="shared" si="128"/>
        <v>0</v>
      </c>
      <c r="I344" s="256">
        <f t="shared" si="129"/>
        <v>0</v>
      </c>
      <c r="J344" s="256">
        <f t="shared" si="130"/>
        <v>0</v>
      </c>
      <c r="K344" s="256">
        <f t="shared" si="131"/>
        <v>0</v>
      </c>
      <c r="L344" s="256">
        <f t="shared" si="132"/>
        <v>0</v>
      </c>
      <c r="M344" s="256">
        <f t="shared" si="133"/>
        <v>0</v>
      </c>
      <c r="N344" s="255">
        <v>0</v>
      </c>
      <c r="O344" s="256">
        <v>0</v>
      </c>
      <c r="P344" s="256">
        <v>0</v>
      </c>
      <c r="Q344" s="256">
        <v>0</v>
      </c>
      <c r="R344" s="256">
        <v>0</v>
      </c>
      <c r="S344" s="257">
        <v>0</v>
      </c>
      <c r="T344" s="256">
        <v>0</v>
      </c>
      <c r="U344" s="258">
        <f t="shared" si="134"/>
        <v>0</v>
      </c>
      <c r="V344" s="256">
        <v>0</v>
      </c>
      <c r="W344" s="256">
        <v>0</v>
      </c>
      <c r="X344" s="256">
        <v>0</v>
      </c>
      <c r="Y344" s="256">
        <v>0</v>
      </c>
      <c r="Z344" s="256">
        <v>0</v>
      </c>
      <c r="AA344" s="256">
        <v>0</v>
      </c>
      <c r="AB344" s="256">
        <v>0</v>
      </c>
      <c r="AC344" s="189">
        <f t="shared" si="135"/>
        <v>0</v>
      </c>
      <c r="AD344" s="259">
        <f t="shared" si="136"/>
        <v>0</v>
      </c>
    </row>
    <row r="345" spans="1:30" s="160" customFormat="1" hidden="1">
      <c r="A345" s="250">
        <v>340</v>
      </c>
      <c r="B345" s="251"/>
      <c r="C345" s="252"/>
      <c r="D345" s="253"/>
      <c r="E345" s="254">
        <f t="shared" si="125"/>
        <v>0</v>
      </c>
      <c r="F345" s="255">
        <f t="shared" si="126"/>
        <v>0</v>
      </c>
      <c r="G345" s="256">
        <f t="shared" si="127"/>
        <v>0</v>
      </c>
      <c r="H345" s="256">
        <f t="shared" si="128"/>
        <v>0</v>
      </c>
      <c r="I345" s="256">
        <f t="shared" si="129"/>
        <v>0</v>
      </c>
      <c r="J345" s="256">
        <f t="shared" si="130"/>
        <v>0</v>
      </c>
      <c r="K345" s="256">
        <f t="shared" si="131"/>
        <v>0</v>
      </c>
      <c r="L345" s="256">
        <f t="shared" si="132"/>
        <v>0</v>
      </c>
      <c r="M345" s="256">
        <f t="shared" si="133"/>
        <v>0</v>
      </c>
      <c r="N345" s="255">
        <v>0</v>
      </c>
      <c r="O345" s="256">
        <v>0</v>
      </c>
      <c r="P345" s="256">
        <v>0</v>
      </c>
      <c r="Q345" s="256">
        <v>0</v>
      </c>
      <c r="R345" s="256">
        <v>0</v>
      </c>
      <c r="S345" s="257">
        <v>0</v>
      </c>
      <c r="T345" s="256">
        <v>0</v>
      </c>
      <c r="U345" s="258">
        <f t="shared" si="134"/>
        <v>0</v>
      </c>
      <c r="V345" s="256">
        <v>0</v>
      </c>
      <c r="W345" s="256">
        <v>0</v>
      </c>
      <c r="X345" s="256">
        <v>0</v>
      </c>
      <c r="Y345" s="256">
        <v>0</v>
      </c>
      <c r="Z345" s="256">
        <v>0</v>
      </c>
      <c r="AA345" s="256">
        <v>0</v>
      </c>
      <c r="AB345" s="256">
        <v>0</v>
      </c>
      <c r="AC345" s="189">
        <f t="shared" si="135"/>
        <v>0</v>
      </c>
      <c r="AD345" s="259">
        <f t="shared" si="136"/>
        <v>0</v>
      </c>
    </row>
    <row r="346" spans="1:30" s="160" customFormat="1" hidden="1">
      <c r="A346" s="250">
        <v>341</v>
      </c>
      <c r="B346" s="251"/>
      <c r="C346" s="252"/>
      <c r="D346" s="253"/>
      <c r="E346" s="254">
        <f t="shared" si="125"/>
        <v>0</v>
      </c>
      <c r="F346" s="255">
        <f t="shared" si="126"/>
        <v>0</v>
      </c>
      <c r="G346" s="256">
        <f t="shared" si="127"/>
        <v>0</v>
      </c>
      <c r="H346" s="256">
        <f t="shared" si="128"/>
        <v>0</v>
      </c>
      <c r="I346" s="256">
        <f t="shared" si="129"/>
        <v>0</v>
      </c>
      <c r="J346" s="256">
        <f t="shared" si="130"/>
        <v>0</v>
      </c>
      <c r="K346" s="256">
        <f t="shared" si="131"/>
        <v>0</v>
      </c>
      <c r="L346" s="256">
        <f t="shared" si="132"/>
        <v>0</v>
      </c>
      <c r="M346" s="256">
        <f t="shared" si="133"/>
        <v>0</v>
      </c>
      <c r="N346" s="255">
        <v>0</v>
      </c>
      <c r="O346" s="256">
        <v>0</v>
      </c>
      <c r="P346" s="256">
        <v>0</v>
      </c>
      <c r="Q346" s="256">
        <v>0</v>
      </c>
      <c r="R346" s="256">
        <v>0</v>
      </c>
      <c r="S346" s="257">
        <v>0</v>
      </c>
      <c r="T346" s="256">
        <v>0</v>
      </c>
      <c r="U346" s="258">
        <f t="shared" si="134"/>
        <v>0</v>
      </c>
      <c r="V346" s="256">
        <v>0</v>
      </c>
      <c r="W346" s="256">
        <v>0</v>
      </c>
      <c r="X346" s="256">
        <v>0</v>
      </c>
      <c r="Y346" s="256">
        <v>0</v>
      </c>
      <c r="Z346" s="256">
        <v>0</v>
      </c>
      <c r="AA346" s="256">
        <v>0</v>
      </c>
      <c r="AB346" s="256">
        <v>0</v>
      </c>
      <c r="AC346" s="189">
        <f t="shared" si="135"/>
        <v>0</v>
      </c>
      <c r="AD346" s="259">
        <f t="shared" si="136"/>
        <v>0</v>
      </c>
    </row>
    <row r="347" spans="1:30" s="160" customFormat="1" hidden="1">
      <c r="A347" s="250">
        <v>342</v>
      </c>
      <c r="B347" s="251"/>
      <c r="C347" s="252"/>
      <c r="D347" s="253"/>
      <c r="E347" s="254">
        <f t="shared" si="125"/>
        <v>0</v>
      </c>
      <c r="F347" s="255">
        <f t="shared" si="126"/>
        <v>0</v>
      </c>
      <c r="G347" s="256">
        <f t="shared" si="127"/>
        <v>0</v>
      </c>
      <c r="H347" s="256">
        <f t="shared" si="128"/>
        <v>0</v>
      </c>
      <c r="I347" s="256">
        <f t="shared" si="129"/>
        <v>0</v>
      </c>
      <c r="J347" s="256">
        <f t="shared" si="130"/>
        <v>0</v>
      </c>
      <c r="K347" s="256">
        <f t="shared" si="131"/>
        <v>0</v>
      </c>
      <c r="L347" s="256">
        <f t="shared" si="132"/>
        <v>0</v>
      </c>
      <c r="M347" s="256">
        <f t="shared" si="133"/>
        <v>0</v>
      </c>
      <c r="N347" s="255">
        <v>0</v>
      </c>
      <c r="O347" s="256">
        <v>0</v>
      </c>
      <c r="P347" s="256">
        <v>0</v>
      </c>
      <c r="Q347" s="256">
        <v>0</v>
      </c>
      <c r="R347" s="256">
        <v>0</v>
      </c>
      <c r="S347" s="257">
        <v>0</v>
      </c>
      <c r="T347" s="256">
        <v>0</v>
      </c>
      <c r="U347" s="258">
        <f t="shared" si="134"/>
        <v>0</v>
      </c>
      <c r="V347" s="256">
        <v>0</v>
      </c>
      <c r="W347" s="256">
        <v>0</v>
      </c>
      <c r="X347" s="256">
        <v>0</v>
      </c>
      <c r="Y347" s="256">
        <v>0</v>
      </c>
      <c r="Z347" s="256">
        <v>0</v>
      </c>
      <c r="AA347" s="256">
        <v>0</v>
      </c>
      <c r="AB347" s="256">
        <v>0</v>
      </c>
      <c r="AC347" s="189">
        <f t="shared" si="135"/>
        <v>0</v>
      </c>
      <c r="AD347" s="259">
        <f t="shared" si="136"/>
        <v>0</v>
      </c>
    </row>
    <row r="348" spans="1:30" s="160" customFormat="1" hidden="1">
      <c r="A348" s="250">
        <v>343</v>
      </c>
      <c r="B348" s="251"/>
      <c r="C348" s="252"/>
      <c r="D348" s="253"/>
      <c r="E348" s="254">
        <f t="shared" si="125"/>
        <v>0</v>
      </c>
      <c r="F348" s="255">
        <f t="shared" si="126"/>
        <v>0</v>
      </c>
      <c r="G348" s="256">
        <f t="shared" si="127"/>
        <v>0</v>
      </c>
      <c r="H348" s="256">
        <f t="shared" si="128"/>
        <v>0</v>
      </c>
      <c r="I348" s="256">
        <f t="shared" si="129"/>
        <v>0</v>
      </c>
      <c r="J348" s="256">
        <f t="shared" si="130"/>
        <v>0</v>
      </c>
      <c r="K348" s="256">
        <f t="shared" si="131"/>
        <v>0</v>
      </c>
      <c r="L348" s="256">
        <f t="shared" si="132"/>
        <v>0</v>
      </c>
      <c r="M348" s="256">
        <f t="shared" si="133"/>
        <v>0</v>
      </c>
      <c r="N348" s="255">
        <v>0</v>
      </c>
      <c r="O348" s="256">
        <v>0</v>
      </c>
      <c r="P348" s="256">
        <v>0</v>
      </c>
      <c r="Q348" s="256">
        <v>0</v>
      </c>
      <c r="R348" s="256">
        <v>0</v>
      </c>
      <c r="S348" s="257">
        <v>0</v>
      </c>
      <c r="T348" s="256">
        <v>0</v>
      </c>
      <c r="U348" s="258">
        <f t="shared" si="134"/>
        <v>0</v>
      </c>
      <c r="V348" s="256">
        <v>0</v>
      </c>
      <c r="W348" s="256">
        <v>0</v>
      </c>
      <c r="X348" s="256">
        <v>0</v>
      </c>
      <c r="Y348" s="256">
        <v>0</v>
      </c>
      <c r="Z348" s="256">
        <v>0</v>
      </c>
      <c r="AA348" s="256">
        <v>0</v>
      </c>
      <c r="AB348" s="256">
        <v>0</v>
      </c>
      <c r="AC348" s="189">
        <f t="shared" si="135"/>
        <v>0</v>
      </c>
      <c r="AD348" s="259">
        <f t="shared" si="136"/>
        <v>0</v>
      </c>
    </row>
    <row r="349" spans="1:30" s="160" customFormat="1" hidden="1">
      <c r="A349" s="250">
        <v>344</v>
      </c>
      <c r="B349" s="251"/>
      <c r="C349" s="252"/>
      <c r="D349" s="253"/>
      <c r="E349" s="254">
        <f t="shared" si="125"/>
        <v>0</v>
      </c>
      <c r="F349" s="255">
        <f t="shared" si="126"/>
        <v>0</v>
      </c>
      <c r="G349" s="256">
        <f t="shared" si="127"/>
        <v>0</v>
      </c>
      <c r="H349" s="256">
        <f t="shared" si="128"/>
        <v>0</v>
      </c>
      <c r="I349" s="256">
        <f t="shared" si="129"/>
        <v>0</v>
      </c>
      <c r="J349" s="256">
        <f t="shared" si="130"/>
        <v>0</v>
      </c>
      <c r="K349" s="256">
        <f t="shared" si="131"/>
        <v>0</v>
      </c>
      <c r="L349" s="256">
        <f t="shared" si="132"/>
        <v>0</v>
      </c>
      <c r="M349" s="256">
        <f t="shared" si="133"/>
        <v>0</v>
      </c>
      <c r="N349" s="255">
        <v>0</v>
      </c>
      <c r="O349" s="256">
        <v>0</v>
      </c>
      <c r="P349" s="256">
        <v>0</v>
      </c>
      <c r="Q349" s="256">
        <v>0</v>
      </c>
      <c r="R349" s="256">
        <v>0</v>
      </c>
      <c r="S349" s="257">
        <v>0</v>
      </c>
      <c r="T349" s="256">
        <v>0</v>
      </c>
      <c r="U349" s="258">
        <f t="shared" si="134"/>
        <v>0</v>
      </c>
      <c r="V349" s="256">
        <v>0</v>
      </c>
      <c r="W349" s="256">
        <v>0</v>
      </c>
      <c r="X349" s="256">
        <v>0</v>
      </c>
      <c r="Y349" s="256">
        <v>0</v>
      </c>
      <c r="Z349" s="256">
        <v>0</v>
      </c>
      <c r="AA349" s="256">
        <v>0</v>
      </c>
      <c r="AB349" s="256">
        <v>0</v>
      </c>
      <c r="AC349" s="189">
        <f t="shared" si="135"/>
        <v>0</v>
      </c>
      <c r="AD349" s="259">
        <f t="shared" si="136"/>
        <v>0</v>
      </c>
    </row>
    <row r="350" spans="1:30" s="160" customFormat="1" hidden="1">
      <c r="A350" s="250">
        <v>345</v>
      </c>
      <c r="B350" s="251"/>
      <c r="C350" s="252"/>
      <c r="D350" s="253"/>
      <c r="E350" s="254">
        <f t="shared" si="125"/>
        <v>0</v>
      </c>
      <c r="F350" s="255">
        <f t="shared" si="126"/>
        <v>0</v>
      </c>
      <c r="G350" s="256">
        <f t="shared" si="127"/>
        <v>0</v>
      </c>
      <c r="H350" s="256">
        <f t="shared" si="128"/>
        <v>0</v>
      </c>
      <c r="I350" s="256">
        <f t="shared" si="129"/>
        <v>0</v>
      </c>
      <c r="J350" s="256">
        <f t="shared" si="130"/>
        <v>0</v>
      </c>
      <c r="K350" s="256">
        <f t="shared" si="131"/>
        <v>0</v>
      </c>
      <c r="L350" s="256">
        <f t="shared" si="132"/>
        <v>0</v>
      </c>
      <c r="M350" s="256">
        <f t="shared" si="133"/>
        <v>0</v>
      </c>
      <c r="N350" s="255">
        <v>0</v>
      </c>
      <c r="O350" s="256">
        <v>0</v>
      </c>
      <c r="P350" s="256">
        <v>0</v>
      </c>
      <c r="Q350" s="256">
        <v>0</v>
      </c>
      <c r="R350" s="256">
        <v>0</v>
      </c>
      <c r="S350" s="257">
        <v>0</v>
      </c>
      <c r="T350" s="256">
        <v>0</v>
      </c>
      <c r="U350" s="258">
        <f t="shared" si="134"/>
        <v>0</v>
      </c>
      <c r="V350" s="256">
        <v>0</v>
      </c>
      <c r="W350" s="256">
        <v>0</v>
      </c>
      <c r="X350" s="256">
        <v>0</v>
      </c>
      <c r="Y350" s="256">
        <v>0</v>
      </c>
      <c r="Z350" s="256">
        <v>0</v>
      </c>
      <c r="AA350" s="256">
        <v>0</v>
      </c>
      <c r="AB350" s="256">
        <v>0</v>
      </c>
      <c r="AC350" s="189">
        <f t="shared" si="135"/>
        <v>0</v>
      </c>
      <c r="AD350" s="259">
        <f t="shared" si="136"/>
        <v>0</v>
      </c>
    </row>
    <row r="351" spans="1:30" s="160" customFormat="1" hidden="1">
      <c r="A351" s="250">
        <v>346</v>
      </c>
      <c r="B351" s="251"/>
      <c r="C351" s="252"/>
      <c r="D351" s="253"/>
      <c r="E351" s="254">
        <f t="shared" si="125"/>
        <v>0</v>
      </c>
      <c r="F351" s="255">
        <f t="shared" si="126"/>
        <v>0</v>
      </c>
      <c r="G351" s="256">
        <f t="shared" si="127"/>
        <v>0</v>
      </c>
      <c r="H351" s="256">
        <f t="shared" si="128"/>
        <v>0</v>
      </c>
      <c r="I351" s="256">
        <f t="shared" si="129"/>
        <v>0</v>
      </c>
      <c r="J351" s="256">
        <f t="shared" si="130"/>
        <v>0</v>
      </c>
      <c r="K351" s="256">
        <f t="shared" si="131"/>
        <v>0</v>
      </c>
      <c r="L351" s="256">
        <f t="shared" si="132"/>
        <v>0</v>
      </c>
      <c r="M351" s="256">
        <f t="shared" si="133"/>
        <v>0</v>
      </c>
      <c r="N351" s="255">
        <v>0</v>
      </c>
      <c r="O351" s="256">
        <v>0</v>
      </c>
      <c r="P351" s="256">
        <v>0</v>
      </c>
      <c r="Q351" s="256">
        <v>0</v>
      </c>
      <c r="R351" s="256">
        <v>0</v>
      </c>
      <c r="S351" s="257">
        <v>0</v>
      </c>
      <c r="T351" s="256">
        <v>0</v>
      </c>
      <c r="U351" s="258">
        <f t="shared" si="134"/>
        <v>0</v>
      </c>
      <c r="V351" s="256">
        <v>0</v>
      </c>
      <c r="W351" s="256">
        <v>0</v>
      </c>
      <c r="X351" s="256">
        <v>0</v>
      </c>
      <c r="Y351" s="256">
        <v>0</v>
      </c>
      <c r="Z351" s="256">
        <v>0</v>
      </c>
      <c r="AA351" s="256">
        <v>0</v>
      </c>
      <c r="AB351" s="256">
        <v>0</v>
      </c>
      <c r="AC351" s="189">
        <f t="shared" si="135"/>
        <v>0</v>
      </c>
      <c r="AD351" s="259">
        <f t="shared" si="136"/>
        <v>0</v>
      </c>
    </row>
    <row r="352" spans="1:30" s="160" customFormat="1" hidden="1">
      <c r="A352" s="250">
        <v>347</v>
      </c>
      <c r="B352" s="251"/>
      <c r="C352" s="252"/>
      <c r="D352" s="253"/>
      <c r="E352" s="254">
        <f t="shared" si="125"/>
        <v>0</v>
      </c>
      <c r="F352" s="255">
        <f t="shared" si="126"/>
        <v>0</v>
      </c>
      <c r="G352" s="256">
        <f t="shared" si="127"/>
        <v>0</v>
      </c>
      <c r="H352" s="256">
        <f t="shared" si="128"/>
        <v>0</v>
      </c>
      <c r="I352" s="256">
        <f t="shared" si="129"/>
        <v>0</v>
      </c>
      <c r="J352" s="256">
        <f t="shared" si="130"/>
        <v>0</v>
      </c>
      <c r="K352" s="256">
        <f t="shared" si="131"/>
        <v>0</v>
      </c>
      <c r="L352" s="256">
        <f t="shared" si="132"/>
        <v>0</v>
      </c>
      <c r="M352" s="256">
        <f t="shared" si="133"/>
        <v>0</v>
      </c>
      <c r="N352" s="255">
        <v>0</v>
      </c>
      <c r="O352" s="256">
        <v>0</v>
      </c>
      <c r="P352" s="256">
        <v>0</v>
      </c>
      <c r="Q352" s="256">
        <v>0</v>
      </c>
      <c r="R352" s="256">
        <v>0</v>
      </c>
      <c r="S352" s="257">
        <v>0</v>
      </c>
      <c r="T352" s="256">
        <v>0</v>
      </c>
      <c r="U352" s="258">
        <f t="shared" si="134"/>
        <v>0</v>
      </c>
      <c r="V352" s="256">
        <v>0</v>
      </c>
      <c r="W352" s="256">
        <v>0</v>
      </c>
      <c r="X352" s="256">
        <v>0</v>
      </c>
      <c r="Y352" s="256">
        <v>0</v>
      </c>
      <c r="Z352" s="256">
        <v>0</v>
      </c>
      <c r="AA352" s="256">
        <v>0</v>
      </c>
      <c r="AB352" s="256">
        <v>0</v>
      </c>
      <c r="AC352" s="189">
        <f t="shared" si="135"/>
        <v>0</v>
      </c>
      <c r="AD352" s="259">
        <f t="shared" si="136"/>
        <v>0</v>
      </c>
    </row>
    <row r="353" spans="1:30" s="160" customFormat="1" hidden="1">
      <c r="A353" s="250">
        <v>348</v>
      </c>
      <c r="B353" s="251"/>
      <c r="C353" s="252"/>
      <c r="D353" s="253"/>
      <c r="E353" s="254">
        <f t="shared" si="125"/>
        <v>0</v>
      </c>
      <c r="F353" s="255">
        <f t="shared" si="126"/>
        <v>0</v>
      </c>
      <c r="G353" s="256">
        <f t="shared" si="127"/>
        <v>0</v>
      </c>
      <c r="H353" s="256">
        <f t="shared" si="128"/>
        <v>0</v>
      </c>
      <c r="I353" s="256">
        <f t="shared" si="129"/>
        <v>0</v>
      </c>
      <c r="J353" s="256">
        <f t="shared" si="130"/>
        <v>0</v>
      </c>
      <c r="K353" s="256">
        <f t="shared" si="131"/>
        <v>0</v>
      </c>
      <c r="L353" s="256">
        <f t="shared" si="132"/>
        <v>0</v>
      </c>
      <c r="M353" s="256">
        <f t="shared" si="133"/>
        <v>0</v>
      </c>
      <c r="N353" s="255">
        <v>0</v>
      </c>
      <c r="O353" s="256">
        <v>0</v>
      </c>
      <c r="P353" s="256">
        <v>0</v>
      </c>
      <c r="Q353" s="256">
        <v>0</v>
      </c>
      <c r="R353" s="256">
        <v>0</v>
      </c>
      <c r="S353" s="257">
        <v>0</v>
      </c>
      <c r="T353" s="256">
        <v>0</v>
      </c>
      <c r="U353" s="258">
        <f t="shared" si="134"/>
        <v>0</v>
      </c>
      <c r="V353" s="256">
        <v>0</v>
      </c>
      <c r="W353" s="256">
        <v>0</v>
      </c>
      <c r="X353" s="256">
        <v>0</v>
      </c>
      <c r="Y353" s="256">
        <v>0</v>
      </c>
      <c r="Z353" s="256">
        <v>0</v>
      </c>
      <c r="AA353" s="256">
        <v>0</v>
      </c>
      <c r="AB353" s="256">
        <v>0</v>
      </c>
      <c r="AC353" s="189">
        <f t="shared" si="135"/>
        <v>0</v>
      </c>
      <c r="AD353" s="259">
        <f t="shared" si="136"/>
        <v>0</v>
      </c>
    </row>
    <row r="354" spans="1:30" s="160" customFormat="1" hidden="1">
      <c r="A354" s="250">
        <v>349</v>
      </c>
      <c r="B354" s="251"/>
      <c r="C354" s="252"/>
      <c r="D354" s="253"/>
      <c r="E354" s="254">
        <f t="shared" si="125"/>
        <v>0</v>
      </c>
      <c r="F354" s="255">
        <f t="shared" si="126"/>
        <v>0</v>
      </c>
      <c r="G354" s="256">
        <f t="shared" si="127"/>
        <v>0</v>
      </c>
      <c r="H354" s="256">
        <f t="shared" si="128"/>
        <v>0</v>
      </c>
      <c r="I354" s="256">
        <f t="shared" si="129"/>
        <v>0</v>
      </c>
      <c r="J354" s="256">
        <f t="shared" si="130"/>
        <v>0</v>
      </c>
      <c r="K354" s="256">
        <f t="shared" si="131"/>
        <v>0</v>
      </c>
      <c r="L354" s="256">
        <f t="shared" si="132"/>
        <v>0</v>
      </c>
      <c r="M354" s="256">
        <f t="shared" si="133"/>
        <v>0</v>
      </c>
      <c r="N354" s="255">
        <v>0</v>
      </c>
      <c r="O354" s="256">
        <v>0</v>
      </c>
      <c r="P354" s="256">
        <v>0</v>
      </c>
      <c r="Q354" s="256">
        <v>0</v>
      </c>
      <c r="R354" s="256">
        <v>0</v>
      </c>
      <c r="S354" s="257">
        <v>0</v>
      </c>
      <c r="T354" s="256">
        <v>0</v>
      </c>
      <c r="U354" s="258">
        <f t="shared" si="134"/>
        <v>0</v>
      </c>
      <c r="V354" s="256">
        <v>0</v>
      </c>
      <c r="W354" s="256">
        <v>0</v>
      </c>
      <c r="X354" s="256">
        <v>0</v>
      </c>
      <c r="Y354" s="256">
        <v>0</v>
      </c>
      <c r="Z354" s="256">
        <v>0</v>
      </c>
      <c r="AA354" s="256">
        <v>0</v>
      </c>
      <c r="AB354" s="256">
        <v>0</v>
      </c>
      <c r="AC354" s="189">
        <f t="shared" si="135"/>
        <v>0</v>
      </c>
      <c r="AD354" s="259">
        <f t="shared" si="136"/>
        <v>0</v>
      </c>
    </row>
    <row r="355" spans="1:30" s="160" customFormat="1" hidden="1">
      <c r="A355" s="250">
        <v>350</v>
      </c>
      <c r="B355" s="251"/>
      <c r="C355" s="252"/>
      <c r="D355" s="253"/>
      <c r="E355" s="254">
        <f t="shared" si="125"/>
        <v>0</v>
      </c>
      <c r="F355" s="255">
        <f t="shared" si="126"/>
        <v>0</v>
      </c>
      <c r="G355" s="256">
        <f t="shared" si="127"/>
        <v>0</v>
      </c>
      <c r="H355" s="256">
        <f t="shared" si="128"/>
        <v>0</v>
      </c>
      <c r="I355" s="256">
        <f t="shared" si="129"/>
        <v>0</v>
      </c>
      <c r="J355" s="256">
        <f t="shared" si="130"/>
        <v>0</v>
      </c>
      <c r="K355" s="256">
        <f t="shared" si="131"/>
        <v>0</v>
      </c>
      <c r="L355" s="256">
        <f t="shared" si="132"/>
        <v>0</v>
      </c>
      <c r="M355" s="256">
        <f t="shared" si="133"/>
        <v>0</v>
      </c>
      <c r="N355" s="255">
        <v>0</v>
      </c>
      <c r="O355" s="256">
        <v>0</v>
      </c>
      <c r="P355" s="256">
        <v>0</v>
      </c>
      <c r="Q355" s="256">
        <v>0</v>
      </c>
      <c r="R355" s="256">
        <v>0</v>
      </c>
      <c r="S355" s="257">
        <v>0</v>
      </c>
      <c r="T355" s="256">
        <v>0</v>
      </c>
      <c r="U355" s="258">
        <f t="shared" si="134"/>
        <v>0</v>
      </c>
      <c r="V355" s="256">
        <v>0</v>
      </c>
      <c r="W355" s="256">
        <v>0</v>
      </c>
      <c r="X355" s="256">
        <v>0</v>
      </c>
      <c r="Y355" s="256">
        <v>0</v>
      </c>
      <c r="Z355" s="256">
        <v>0</v>
      </c>
      <c r="AA355" s="256">
        <v>0</v>
      </c>
      <c r="AB355" s="256">
        <v>0</v>
      </c>
      <c r="AC355" s="189">
        <f t="shared" si="135"/>
        <v>0</v>
      </c>
      <c r="AD355" s="259">
        <f t="shared" si="136"/>
        <v>0</v>
      </c>
    </row>
    <row r="356" spans="1:30" s="160" customFormat="1" hidden="1">
      <c r="A356" s="250">
        <v>351</v>
      </c>
      <c r="B356" s="251"/>
      <c r="C356" s="252"/>
      <c r="D356" s="253"/>
      <c r="E356" s="254">
        <f t="shared" si="125"/>
        <v>0</v>
      </c>
      <c r="F356" s="255">
        <f t="shared" si="126"/>
        <v>0</v>
      </c>
      <c r="G356" s="256">
        <f t="shared" si="127"/>
        <v>0</v>
      </c>
      <c r="H356" s="256">
        <f t="shared" si="128"/>
        <v>0</v>
      </c>
      <c r="I356" s="256">
        <f t="shared" si="129"/>
        <v>0</v>
      </c>
      <c r="J356" s="256">
        <f t="shared" si="130"/>
        <v>0</v>
      </c>
      <c r="K356" s="256">
        <f t="shared" si="131"/>
        <v>0</v>
      </c>
      <c r="L356" s="256">
        <f t="shared" si="132"/>
        <v>0</v>
      </c>
      <c r="M356" s="256">
        <f t="shared" si="133"/>
        <v>0</v>
      </c>
      <c r="N356" s="255">
        <v>0</v>
      </c>
      <c r="O356" s="256">
        <v>0</v>
      </c>
      <c r="P356" s="256">
        <v>0</v>
      </c>
      <c r="Q356" s="256">
        <v>0</v>
      </c>
      <c r="R356" s="256">
        <v>0</v>
      </c>
      <c r="S356" s="257">
        <v>0</v>
      </c>
      <c r="T356" s="256">
        <v>0</v>
      </c>
      <c r="U356" s="258">
        <f t="shared" si="134"/>
        <v>0</v>
      </c>
      <c r="V356" s="256">
        <v>0</v>
      </c>
      <c r="W356" s="256">
        <v>0</v>
      </c>
      <c r="X356" s="256">
        <v>0</v>
      </c>
      <c r="Y356" s="256">
        <v>0</v>
      </c>
      <c r="Z356" s="256">
        <v>0</v>
      </c>
      <c r="AA356" s="256">
        <v>0</v>
      </c>
      <c r="AB356" s="256">
        <v>0</v>
      </c>
      <c r="AC356" s="189">
        <f t="shared" si="135"/>
        <v>0</v>
      </c>
      <c r="AD356" s="259">
        <f t="shared" si="136"/>
        <v>0</v>
      </c>
    </row>
    <row r="357" spans="1:30" s="160" customFormat="1" hidden="1">
      <c r="A357" s="250">
        <v>352</v>
      </c>
      <c r="B357" s="251"/>
      <c r="C357" s="252"/>
      <c r="D357" s="253"/>
      <c r="E357" s="254">
        <f t="shared" si="125"/>
        <v>0</v>
      </c>
      <c r="F357" s="255">
        <f t="shared" si="126"/>
        <v>0</v>
      </c>
      <c r="G357" s="256">
        <f t="shared" si="127"/>
        <v>0</v>
      </c>
      <c r="H357" s="256">
        <f t="shared" si="128"/>
        <v>0</v>
      </c>
      <c r="I357" s="256">
        <f t="shared" si="129"/>
        <v>0</v>
      </c>
      <c r="J357" s="256">
        <f t="shared" si="130"/>
        <v>0</v>
      </c>
      <c r="K357" s="256">
        <f t="shared" si="131"/>
        <v>0</v>
      </c>
      <c r="L357" s="256">
        <f t="shared" si="132"/>
        <v>0</v>
      </c>
      <c r="M357" s="256">
        <f t="shared" si="133"/>
        <v>0</v>
      </c>
      <c r="N357" s="255">
        <v>0</v>
      </c>
      <c r="O357" s="256">
        <v>0</v>
      </c>
      <c r="P357" s="256">
        <v>0</v>
      </c>
      <c r="Q357" s="256">
        <v>0</v>
      </c>
      <c r="R357" s="256">
        <v>0</v>
      </c>
      <c r="S357" s="257">
        <v>0</v>
      </c>
      <c r="T357" s="256">
        <v>0</v>
      </c>
      <c r="U357" s="258">
        <f t="shared" si="134"/>
        <v>0</v>
      </c>
      <c r="V357" s="256">
        <v>0</v>
      </c>
      <c r="W357" s="256">
        <v>0</v>
      </c>
      <c r="X357" s="256">
        <v>0</v>
      </c>
      <c r="Y357" s="256">
        <v>0</v>
      </c>
      <c r="Z357" s="256">
        <v>0</v>
      </c>
      <c r="AA357" s="256">
        <v>0</v>
      </c>
      <c r="AB357" s="256">
        <v>0</v>
      </c>
      <c r="AC357" s="189">
        <f t="shared" si="135"/>
        <v>0</v>
      </c>
      <c r="AD357" s="259">
        <f t="shared" si="136"/>
        <v>0</v>
      </c>
    </row>
    <row r="358" spans="1:30" s="160" customFormat="1" hidden="1">
      <c r="A358" s="250">
        <v>353</v>
      </c>
      <c r="B358" s="251"/>
      <c r="C358" s="252"/>
      <c r="D358" s="253"/>
      <c r="E358" s="254">
        <f t="shared" si="125"/>
        <v>0</v>
      </c>
      <c r="F358" s="255">
        <f t="shared" si="126"/>
        <v>0</v>
      </c>
      <c r="G358" s="256">
        <f t="shared" si="127"/>
        <v>0</v>
      </c>
      <c r="H358" s="256">
        <f t="shared" si="128"/>
        <v>0</v>
      </c>
      <c r="I358" s="256">
        <f t="shared" si="129"/>
        <v>0</v>
      </c>
      <c r="J358" s="256">
        <f t="shared" si="130"/>
        <v>0</v>
      </c>
      <c r="K358" s="256">
        <f t="shared" si="131"/>
        <v>0</v>
      </c>
      <c r="L358" s="256">
        <f t="shared" si="132"/>
        <v>0</v>
      </c>
      <c r="M358" s="256">
        <f t="shared" si="133"/>
        <v>0</v>
      </c>
      <c r="N358" s="255">
        <v>0</v>
      </c>
      <c r="O358" s="256">
        <v>0</v>
      </c>
      <c r="P358" s="256">
        <v>0</v>
      </c>
      <c r="Q358" s="256">
        <v>0</v>
      </c>
      <c r="R358" s="256">
        <v>0</v>
      </c>
      <c r="S358" s="257">
        <v>0</v>
      </c>
      <c r="T358" s="256">
        <v>0</v>
      </c>
      <c r="U358" s="258">
        <f t="shared" si="134"/>
        <v>0</v>
      </c>
      <c r="V358" s="256">
        <v>0</v>
      </c>
      <c r="W358" s="256">
        <v>0</v>
      </c>
      <c r="X358" s="256">
        <v>0</v>
      </c>
      <c r="Y358" s="256">
        <v>0</v>
      </c>
      <c r="Z358" s="256">
        <v>0</v>
      </c>
      <c r="AA358" s="256">
        <v>0</v>
      </c>
      <c r="AB358" s="256">
        <v>0</v>
      </c>
      <c r="AC358" s="189">
        <f t="shared" si="135"/>
        <v>0</v>
      </c>
      <c r="AD358" s="259">
        <f t="shared" si="136"/>
        <v>0</v>
      </c>
    </row>
    <row r="359" spans="1:30" s="160" customFormat="1" hidden="1">
      <c r="A359" s="250">
        <v>354</v>
      </c>
      <c r="B359" s="251"/>
      <c r="C359" s="252"/>
      <c r="D359" s="253"/>
      <c r="E359" s="254">
        <f t="shared" si="125"/>
        <v>0</v>
      </c>
      <c r="F359" s="255">
        <f t="shared" si="126"/>
        <v>0</v>
      </c>
      <c r="G359" s="256">
        <f t="shared" si="127"/>
        <v>0</v>
      </c>
      <c r="H359" s="256">
        <f t="shared" si="128"/>
        <v>0</v>
      </c>
      <c r="I359" s="256">
        <f t="shared" si="129"/>
        <v>0</v>
      </c>
      <c r="J359" s="256">
        <f t="shared" si="130"/>
        <v>0</v>
      </c>
      <c r="K359" s="256">
        <f t="shared" si="131"/>
        <v>0</v>
      </c>
      <c r="L359" s="256">
        <f t="shared" si="132"/>
        <v>0</v>
      </c>
      <c r="M359" s="256">
        <f t="shared" si="133"/>
        <v>0</v>
      </c>
      <c r="N359" s="255">
        <v>0</v>
      </c>
      <c r="O359" s="256">
        <v>0</v>
      </c>
      <c r="P359" s="256">
        <v>0</v>
      </c>
      <c r="Q359" s="256">
        <v>0</v>
      </c>
      <c r="R359" s="256">
        <v>0</v>
      </c>
      <c r="S359" s="257">
        <v>0</v>
      </c>
      <c r="T359" s="256">
        <v>0</v>
      </c>
      <c r="U359" s="258">
        <f t="shared" si="134"/>
        <v>0</v>
      </c>
      <c r="V359" s="256">
        <v>0</v>
      </c>
      <c r="W359" s="256">
        <v>0</v>
      </c>
      <c r="X359" s="256">
        <v>0</v>
      </c>
      <c r="Y359" s="256">
        <v>0</v>
      </c>
      <c r="Z359" s="256">
        <v>0</v>
      </c>
      <c r="AA359" s="256">
        <v>0</v>
      </c>
      <c r="AB359" s="256">
        <v>0</v>
      </c>
      <c r="AC359" s="189">
        <f t="shared" si="135"/>
        <v>0</v>
      </c>
      <c r="AD359" s="259">
        <f t="shared" si="136"/>
        <v>0</v>
      </c>
    </row>
    <row r="360" spans="1:30" s="160" customFormat="1" hidden="1">
      <c r="A360" s="250">
        <v>355</v>
      </c>
      <c r="B360" s="251"/>
      <c r="C360" s="252"/>
      <c r="D360" s="253"/>
      <c r="E360" s="254">
        <f t="shared" si="125"/>
        <v>0</v>
      </c>
      <c r="F360" s="255">
        <f t="shared" si="126"/>
        <v>0</v>
      </c>
      <c r="G360" s="256">
        <f t="shared" si="127"/>
        <v>0</v>
      </c>
      <c r="H360" s="256">
        <f t="shared" si="128"/>
        <v>0</v>
      </c>
      <c r="I360" s="256">
        <f t="shared" si="129"/>
        <v>0</v>
      </c>
      <c r="J360" s="256">
        <f t="shared" si="130"/>
        <v>0</v>
      </c>
      <c r="K360" s="256">
        <f t="shared" si="131"/>
        <v>0</v>
      </c>
      <c r="L360" s="256">
        <f t="shared" si="132"/>
        <v>0</v>
      </c>
      <c r="M360" s="256">
        <f t="shared" si="133"/>
        <v>0</v>
      </c>
      <c r="N360" s="255">
        <v>0</v>
      </c>
      <c r="O360" s="256">
        <v>0</v>
      </c>
      <c r="P360" s="256">
        <v>0</v>
      </c>
      <c r="Q360" s="256">
        <v>0</v>
      </c>
      <c r="R360" s="256">
        <v>0</v>
      </c>
      <c r="S360" s="257">
        <v>0</v>
      </c>
      <c r="T360" s="256">
        <v>0</v>
      </c>
      <c r="U360" s="258">
        <f t="shared" si="134"/>
        <v>0</v>
      </c>
      <c r="V360" s="256">
        <v>0</v>
      </c>
      <c r="W360" s="256">
        <v>0</v>
      </c>
      <c r="X360" s="256">
        <v>0</v>
      </c>
      <c r="Y360" s="256">
        <v>0</v>
      </c>
      <c r="Z360" s="256">
        <v>0</v>
      </c>
      <c r="AA360" s="256">
        <v>0</v>
      </c>
      <c r="AB360" s="256">
        <v>0</v>
      </c>
      <c r="AC360" s="189">
        <f t="shared" si="135"/>
        <v>0</v>
      </c>
      <c r="AD360" s="259">
        <f t="shared" si="136"/>
        <v>0</v>
      </c>
    </row>
    <row r="361" spans="1:30" s="160" customFormat="1" hidden="1">
      <c r="A361" s="250">
        <v>356</v>
      </c>
      <c r="B361" s="251"/>
      <c r="C361" s="252"/>
      <c r="D361" s="253"/>
      <c r="E361" s="254">
        <f t="shared" si="125"/>
        <v>0</v>
      </c>
      <c r="F361" s="255">
        <f t="shared" si="126"/>
        <v>0</v>
      </c>
      <c r="G361" s="256">
        <f t="shared" si="127"/>
        <v>0</v>
      </c>
      <c r="H361" s="256">
        <f t="shared" si="128"/>
        <v>0</v>
      </c>
      <c r="I361" s="256">
        <f t="shared" si="129"/>
        <v>0</v>
      </c>
      <c r="J361" s="256">
        <f t="shared" si="130"/>
        <v>0</v>
      </c>
      <c r="K361" s="256">
        <f t="shared" si="131"/>
        <v>0</v>
      </c>
      <c r="L361" s="256">
        <f t="shared" si="132"/>
        <v>0</v>
      </c>
      <c r="M361" s="256">
        <f t="shared" si="133"/>
        <v>0</v>
      </c>
      <c r="N361" s="255">
        <v>0</v>
      </c>
      <c r="O361" s="256">
        <v>0</v>
      </c>
      <c r="P361" s="256">
        <v>0</v>
      </c>
      <c r="Q361" s="256">
        <v>0</v>
      </c>
      <c r="R361" s="256">
        <v>0</v>
      </c>
      <c r="S361" s="257">
        <v>0</v>
      </c>
      <c r="T361" s="256">
        <v>0</v>
      </c>
      <c r="U361" s="258">
        <f t="shared" si="134"/>
        <v>0</v>
      </c>
      <c r="V361" s="256">
        <v>0</v>
      </c>
      <c r="W361" s="256">
        <v>0</v>
      </c>
      <c r="X361" s="256">
        <v>0</v>
      </c>
      <c r="Y361" s="256">
        <v>0</v>
      </c>
      <c r="Z361" s="256">
        <v>0</v>
      </c>
      <c r="AA361" s="256">
        <v>0</v>
      </c>
      <c r="AB361" s="256">
        <v>0</v>
      </c>
      <c r="AC361" s="189">
        <f t="shared" si="135"/>
        <v>0</v>
      </c>
      <c r="AD361" s="259">
        <f t="shared" si="136"/>
        <v>0</v>
      </c>
    </row>
    <row r="362" spans="1:30" s="160" customFormat="1" hidden="1">
      <c r="A362" s="250">
        <v>357</v>
      </c>
      <c r="B362" s="251"/>
      <c r="C362" s="252"/>
      <c r="D362" s="253"/>
      <c r="E362" s="254">
        <f t="shared" si="125"/>
        <v>0</v>
      </c>
      <c r="F362" s="255">
        <f t="shared" si="126"/>
        <v>0</v>
      </c>
      <c r="G362" s="256">
        <f t="shared" si="127"/>
        <v>0</v>
      </c>
      <c r="H362" s="256">
        <f t="shared" si="128"/>
        <v>0</v>
      </c>
      <c r="I362" s="256">
        <f t="shared" si="129"/>
        <v>0</v>
      </c>
      <c r="J362" s="256">
        <f t="shared" si="130"/>
        <v>0</v>
      </c>
      <c r="K362" s="256">
        <f t="shared" si="131"/>
        <v>0</v>
      </c>
      <c r="L362" s="256">
        <f t="shared" si="132"/>
        <v>0</v>
      </c>
      <c r="M362" s="256">
        <f t="shared" si="133"/>
        <v>0</v>
      </c>
      <c r="N362" s="255">
        <v>0</v>
      </c>
      <c r="O362" s="256">
        <v>0</v>
      </c>
      <c r="P362" s="256">
        <v>0</v>
      </c>
      <c r="Q362" s="256">
        <v>0</v>
      </c>
      <c r="R362" s="256">
        <v>0</v>
      </c>
      <c r="S362" s="257">
        <v>0</v>
      </c>
      <c r="T362" s="256">
        <v>0</v>
      </c>
      <c r="U362" s="258">
        <f t="shared" si="134"/>
        <v>0</v>
      </c>
      <c r="V362" s="256">
        <v>0</v>
      </c>
      <c r="W362" s="256">
        <v>0</v>
      </c>
      <c r="X362" s="256">
        <v>0</v>
      </c>
      <c r="Y362" s="256">
        <v>0</v>
      </c>
      <c r="Z362" s="256">
        <v>0</v>
      </c>
      <c r="AA362" s="256">
        <v>0</v>
      </c>
      <c r="AB362" s="256">
        <v>0</v>
      </c>
      <c r="AC362" s="189">
        <f t="shared" si="135"/>
        <v>0</v>
      </c>
      <c r="AD362" s="259">
        <f t="shared" si="136"/>
        <v>0</v>
      </c>
    </row>
    <row r="363" spans="1:30" s="160" customFormat="1" hidden="1">
      <c r="A363" s="250">
        <v>358</v>
      </c>
      <c r="B363" s="251"/>
      <c r="C363" s="252"/>
      <c r="D363" s="253"/>
      <c r="E363" s="254">
        <f t="shared" si="125"/>
        <v>0</v>
      </c>
      <c r="F363" s="255">
        <f t="shared" si="126"/>
        <v>0</v>
      </c>
      <c r="G363" s="256">
        <f t="shared" si="127"/>
        <v>0</v>
      </c>
      <c r="H363" s="256">
        <f t="shared" si="128"/>
        <v>0</v>
      </c>
      <c r="I363" s="256">
        <f t="shared" si="129"/>
        <v>0</v>
      </c>
      <c r="J363" s="256">
        <f t="shared" si="130"/>
        <v>0</v>
      </c>
      <c r="K363" s="256">
        <f t="shared" si="131"/>
        <v>0</v>
      </c>
      <c r="L363" s="256">
        <f t="shared" si="132"/>
        <v>0</v>
      </c>
      <c r="M363" s="256">
        <f t="shared" si="133"/>
        <v>0</v>
      </c>
      <c r="N363" s="255">
        <v>0</v>
      </c>
      <c r="O363" s="256">
        <v>0</v>
      </c>
      <c r="P363" s="256">
        <v>0</v>
      </c>
      <c r="Q363" s="256">
        <v>0</v>
      </c>
      <c r="R363" s="256">
        <v>0</v>
      </c>
      <c r="S363" s="257">
        <v>0</v>
      </c>
      <c r="T363" s="256">
        <v>0</v>
      </c>
      <c r="U363" s="258">
        <f t="shared" si="134"/>
        <v>0</v>
      </c>
      <c r="V363" s="256">
        <v>0</v>
      </c>
      <c r="W363" s="256">
        <v>0</v>
      </c>
      <c r="X363" s="256">
        <v>0</v>
      </c>
      <c r="Y363" s="256">
        <v>0</v>
      </c>
      <c r="Z363" s="256">
        <v>0</v>
      </c>
      <c r="AA363" s="256">
        <v>0</v>
      </c>
      <c r="AB363" s="256">
        <v>0</v>
      </c>
      <c r="AC363" s="189">
        <f t="shared" si="135"/>
        <v>0</v>
      </c>
      <c r="AD363" s="259">
        <f t="shared" si="136"/>
        <v>0</v>
      </c>
    </row>
    <row r="364" spans="1:30" s="160" customFormat="1" hidden="1">
      <c r="A364" s="250">
        <v>359</v>
      </c>
      <c r="B364" s="251"/>
      <c r="C364" s="252"/>
      <c r="D364" s="253"/>
      <c r="E364" s="254">
        <f t="shared" si="125"/>
        <v>0</v>
      </c>
      <c r="F364" s="255">
        <f t="shared" si="126"/>
        <v>0</v>
      </c>
      <c r="G364" s="256">
        <f t="shared" si="127"/>
        <v>0</v>
      </c>
      <c r="H364" s="256">
        <f t="shared" si="128"/>
        <v>0</v>
      </c>
      <c r="I364" s="256">
        <f t="shared" si="129"/>
        <v>0</v>
      </c>
      <c r="J364" s="256">
        <f t="shared" si="130"/>
        <v>0</v>
      </c>
      <c r="K364" s="256">
        <f t="shared" si="131"/>
        <v>0</v>
      </c>
      <c r="L364" s="256">
        <f t="shared" si="132"/>
        <v>0</v>
      </c>
      <c r="M364" s="256">
        <f t="shared" si="133"/>
        <v>0</v>
      </c>
      <c r="N364" s="255">
        <v>0</v>
      </c>
      <c r="O364" s="256">
        <v>0</v>
      </c>
      <c r="P364" s="256">
        <v>0</v>
      </c>
      <c r="Q364" s="256">
        <v>0</v>
      </c>
      <c r="R364" s="256">
        <v>0</v>
      </c>
      <c r="S364" s="257">
        <v>0</v>
      </c>
      <c r="T364" s="256">
        <v>0</v>
      </c>
      <c r="U364" s="258">
        <f t="shared" si="134"/>
        <v>0</v>
      </c>
      <c r="V364" s="256">
        <v>0</v>
      </c>
      <c r="W364" s="256">
        <v>0</v>
      </c>
      <c r="X364" s="256">
        <v>0</v>
      </c>
      <c r="Y364" s="256">
        <v>0</v>
      </c>
      <c r="Z364" s="256">
        <v>0</v>
      </c>
      <c r="AA364" s="256">
        <v>0</v>
      </c>
      <c r="AB364" s="256">
        <v>0</v>
      </c>
      <c r="AC364" s="189">
        <f t="shared" si="135"/>
        <v>0</v>
      </c>
      <c r="AD364" s="259">
        <f t="shared" si="136"/>
        <v>0</v>
      </c>
    </row>
    <row r="365" spans="1:30" s="160" customFormat="1" hidden="1">
      <c r="A365" s="250">
        <v>360</v>
      </c>
      <c r="B365" s="251"/>
      <c r="C365" s="252"/>
      <c r="D365" s="253"/>
      <c r="E365" s="254">
        <f t="shared" si="125"/>
        <v>0</v>
      </c>
      <c r="F365" s="255">
        <f t="shared" si="126"/>
        <v>0</v>
      </c>
      <c r="G365" s="256">
        <f t="shared" si="127"/>
        <v>0</v>
      </c>
      <c r="H365" s="256">
        <f t="shared" si="128"/>
        <v>0</v>
      </c>
      <c r="I365" s="256">
        <f t="shared" si="129"/>
        <v>0</v>
      </c>
      <c r="J365" s="256">
        <f t="shared" si="130"/>
        <v>0</v>
      </c>
      <c r="K365" s="256">
        <f t="shared" si="131"/>
        <v>0</v>
      </c>
      <c r="L365" s="256">
        <f t="shared" si="132"/>
        <v>0</v>
      </c>
      <c r="M365" s="256">
        <f t="shared" si="133"/>
        <v>0</v>
      </c>
      <c r="N365" s="255">
        <v>0</v>
      </c>
      <c r="O365" s="256">
        <v>0</v>
      </c>
      <c r="P365" s="256">
        <v>0</v>
      </c>
      <c r="Q365" s="256">
        <v>0</v>
      </c>
      <c r="R365" s="256">
        <v>0</v>
      </c>
      <c r="S365" s="257">
        <v>0</v>
      </c>
      <c r="T365" s="256">
        <v>0</v>
      </c>
      <c r="U365" s="258">
        <f t="shared" si="134"/>
        <v>0</v>
      </c>
      <c r="V365" s="256">
        <v>0</v>
      </c>
      <c r="W365" s="256">
        <v>0</v>
      </c>
      <c r="X365" s="256">
        <v>0</v>
      </c>
      <c r="Y365" s="256">
        <v>0</v>
      </c>
      <c r="Z365" s="256">
        <v>0</v>
      </c>
      <c r="AA365" s="256">
        <v>0</v>
      </c>
      <c r="AB365" s="256">
        <v>0</v>
      </c>
      <c r="AC365" s="189">
        <f t="shared" si="135"/>
        <v>0</v>
      </c>
      <c r="AD365" s="259">
        <f t="shared" si="136"/>
        <v>0</v>
      </c>
    </row>
    <row r="366" spans="1:30" s="160" customFormat="1" hidden="1">
      <c r="A366" s="250">
        <v>361</v>
      </c>
      <c r="B366" s="251"/>
      <c r="C366" s="252"/>
      <c r="D366" s="253"/>
      <c r="E366" s="254">
        <f t="shared" si="125"/>
        <v>0</v>
      </c>
      <c r="F366" s="255">
        <f t="shared" si="126"/>
        <v>0</v>
      </c>
      <c r="G366" s="256">
        <f t="shared" si="127"/>
        <v>0</v>
      </c>
      <c r="H366" s="256">
        <f t="shared" si="128"/>
        <v>0</v>
      </c>
      <c r="I366" s="256">
        <f t="shared" si="129"/>
        <v>0</v>
      </c>
      <c r="J366" s="256">
        <f t="shared" si="130"/>
        <v>0</v>
      </c>
      <c r="K366" s="256">
        <f t="shared" si="131"/>
        <v>0</v>
      </c>
      <c r="L366" s="256">
        <f t="shared" si="132"/>
        <v>0</v>
      </c>
      <c r="M366" s="256">
        <f t="shared" si="133"/>
        <v>0</v>
      </c>
      <c r="N366" s="255">
        <v>0</v>
      </c>
      <c r="O366" s="256">
        <v>0</v>
      </c>
      <c r="P366" s="256">
        <v>0</v>
      </c>
      <c r="Q366" s="256">
        <v>0</v>
      </c>
      <c r="R366" s="256">
        <v>0</v>
      </c>
      <c r="S366" s="257">
        <v>0</v>
      </c>
      <c r="T366" s="256">
        <v>0</v>
      </c>
      <c r="U366" s="258">
        <f t="shared" si="134"/>
        <v>0</v>
      </c>
      <c r="V366" s="256">
        <v>0</v>
      </c>
      <c r="W366" s="256">
        <v>0</v>
      </c>
      <c r="X366" s="256">
        <v>0</v>
      </c>
      <c r="Y366" s="256">
        <v>0</v>
      </c>
      <c r="Z366" s="256">
        <v>0</v>
      </c>
      <c r="AA366" s="256">
        <v>0</v>
      </c>
      <c r="AB366" s="256">
        <v>0</v>
      </c>
      <c r="AC366" s="189">
        <f t="shared" si="135"/>
        <v>0</v>
      </c>
      <c r="AD366" s="259">
        <f t="shared" si="136"/>
        <v>0</v>
      </c>
    </row>
    <row r="367" spans="1:30" s="160" customFormat="1" hidden="1">
      <c r="A367" s="250">
        <v>362</v>
      </c>
      <c r="B367" s="251"/>
      <c r="C367" s="252"/>
      <c r="D367" s="253"/>
      <c r="E367" s="254">
        <f t="shared" si="125"/>
        <v>0</v>
      </c>
      <c r="F367" s="255">
        <f t="shared" si="126"/>
        <v>0</v>
      </c>
      <c r="G367" s="256">
        <f t="shared" si="127"/>
        <v>0</v>
      </c>
      <c r="H367" s="256">
        <f t="shared" si="128"/>
        <v>0</v>
      </c>
      <c r="I367" s="256">
        <f t="shared" si="129"/>
        <v>0</v>
      </c>
      <c r="J367" s="256">
        <f t="shared" si="130"/>
        <v>0</v>
      </c>
      <c r="K367" s="256">
        <f t="shared" si="131"/>
        <v>0</v>
      </c>
      <c r="L367" s="256">
        <f t="shared" si="132"/>
        <v>0</v>
      </c>
      <c r="M367" s="256">
        <f t="shared" si="133"/>
        <v>0</v>
      </c>
      <c r="N367" s="255">
        <v>0</v>
      </c>
      <c r="O367" s="256">
        <v>0</v>
      </c>
      <c r="P367" s="256">
        <v>0</v>
      </c>
      <c r="Q367" s="256">
        <v>0</v>
      </c>
      <c r="R367" s="256">
        <v>0</v>
      </c>
      <c r="S367" s="257">
        <v>0</v>
      </c>
      <c r="T367" s="256">
        <v>0</v>
      </c>
      <c r="U367" s="258">
        <f t="shared" si="134"/>
        <v>0</v>
      </c>
      <c r="V367" s="256">
        <v>0</v>
      </c>
      <c r="W367" s="256">
        <v>0</v>
      </c>
      <c r="X367" s="256">
        <v>0</v>
      </c>
      <c r="Y367" s="256">
        <v>0</v>
      </c>
      <c r="Z367" s="256">
        <v>0</v>
      </c>
      <c r="AA367" s="256">
        <v>0</v>
      </c>
      <c r="AB367" s="256">
        <v>0</v>
      </c>
      <c r="AC367" s="189">
        <f t="shared" si="135"/>
        <v>0</v>
      </c>
      <c r="AD367" s="259">
        <f t="shared" si="136"/>
        <v>0</v>
      </c>
    </row>
    <row r="368" spans="1:30" s="160" customFormat="1" hidden="1">
      <c r="A368" s="250">
        <v>363</v>
      </c>
      <c r="B368" s="251"/>
      <c r="C368" s="252"/>
      <c r="D368" s="253"/>
      <c r="E368" s="254">
        <f t="shared" si="125"/>
        <v>0</v>
      </c>
      <c r="F368" s="255">
        <f t="shared" si="126"/>
        <v>0</v>
      </c>
      <c r="G368" s="256">
        <f t="shared" si="127"/>
        <v>0</v>
      </c>
      <c r="H368" s="256">
        <f t="shared" si="128"/>
        <v>0</v>
      </c>
      <c r="I368" s="256">
        <f t="shared" si="129"/>
        <v>0</v>
      </c>
      <c r="J368" s="256">
        <f t="shared" si="130"/>
        <v>0</v>
      </c>
      <c r="K368" s="256">
        <f t="shared" si="131"/>
        <v>0</v>
      </c>
      <c r="L368" s="256">
        <f t="shared" si="132"/>
        <v>0</v>
      </c>
      <c r="M368" s="256">
        <f t="shared" si="133"/>
        <v>0</v>
      </c>
      <c r="N368" s="255">
        <v>0</v>
      </c>
      <c r="O368" s="256">
        <v>0</v>
      </c>
      <c r="P368" s="256">
        <v>0</v>
      </c>
      <c r="Q368" s="256">
        <v>0</v>
      </c>
      <c r="R368" s="256">
        <v>0</v>
      </c>
      <c r="S368" s="257">
        <v>0</v>
      </c>
      <c r="T368" s="256">
        <v>0</v>
      </c>
      <c r="U368" s="258">
        <f t="shared" si="134"/>
        <v>0</v>
      </c>
      <c r="V368" s="256">
        <v>0</v>
      </c>
      <c r="W368" s="256">
        <v>0</v>
      </c>
      <c r="X368" s="256">
        <v>0</v>
      </c>
      <c r="Y368" s="256">
        <v>0</v>
      </c>
      <c r="Z368" s="256">
        <v>0</v>
      </c>
      <c r="AA368" s="256">
        <v>0</v>
      </c>
      <c r="AB368" s="256">
        <v>0</v>
      </c>
      <c r="AC368" s="189">
        <f t="shared" si="135"/>
        <v>0</v>
      </c>
      <c r="AD368" s="259">
        <f t="shared" si="136"/>
        <v>0</v>
      </c>
    </row>
    <row r="369" spans="1:30" s="160" customFormat="1" hidden="1">
      <c r="A369" s="250">
        <v>364</v>
      </c>
      <c r="B369" s="251"/>
      <c r="C369" s="252"/>
      <c r="D369" s="253"/>
      <c r="E369" s="254">
        <f t="shared" si="125"/>
        <v>0</v>
      </c>
      <c r="F369" s="255">
        <f t="shared" si="126"/>
        <v>0</v>
      </c>
      <c r="G369" s="256">
        <f t="shared" si="127"/>
        <v>0</v>
      </c>
      <c r="H369" s="256">
        <f t="shared" si="128"/>
        <v>0</v>
      </c>
      <c r="I369" s="256">
        <f t="shared" si="129"/>
        <v>0</v>
      </c>
      <c r="J369" s="256">
        <f t="shared" si="130"/>
        <v>0</v>
      </c>
      <c r="K369" s="256">
        <f t="shared" si="131"/>
        <v>0</v>
      </c>
      <c r="L369" s="256">
        <f t="shared" si="132"/>
        <v>0</v>
      </c>
      <c r="M369" s="256">
        <f t="shared" si="133"/>
        <v>0</v>
      </c>
      <c r="N369" s="255">
        <v>0</v>
      </c>
      <c r="O369" s="256">
        <v>0</v>
      </c>
      <c r="P369" s="256">
        <v>0</v>
      </c>
      <c r="Q369" s="256">
        <v>0</v>
      </c>
      <c r="R369" s="256">
        <v>0</v>
      </c>
      <c r="S369" s="257">
        <v>0</v>
      </c>
      <c r="T369" s="256">
        <v>0</v>
      </c>
      <c r="U369" s="258">
        <f t="shared" si="134"/>
        <v>0</v>
      </c>
      <c r="V369" s="256">
        <v>0</v>
      </c>
      <c r="W369" s="256">
        <v>0</v>
      </c>
      <c r="X369" s="256">
        <v>0</v>
      </c>
      <c r="Y369" s="256">
        <v>0</v>
      </c>
      <c r="Z369" s="256">
        <v>0</v>
      </c>
      <c r="AA369" s="256">
        <v>0</v>
      </c>
      <c r="AB369" s="256">
        <v>0</v>
      </c>
      <c r="AC369" s="189">
        <f t="shared" si="135"/>
        <v>0</v>
      </c>
      <c r="AD369" s="259">
        <f t="shared" si="136"/>
        <v>0</v>
      </c>
    </row>
    <row r="370" spans="1:30" s="160" customFormat="1" hidden="1">
      <c r="A370" s="250">
        <v>365</v>
      </c>
      <c r="B370" s="251"/>
      <c r="C370" s="252"/>
      <c r="D370" s="253"/>
      <c r="E370" s="254">
        <f t="shared" si="125"/>
        <v>0</v>
      </c>
      <c r="F370" s="255">
        <f t="shared" si="126"/>
        <v>0</v>
      </c>
      <c r="G370" s="256">
        <f t="shared" si="127"/>
        <v>0</v>
      </c>
      <c r="H370" s="256">
        <f t="shared" si="128"/>
        <v>0</v>
      </c>
      <c r="I370" s="256">
        <f t="shared" si="129"/>
        <v>0</v>
      </c>
      <c r="J370" s="256">
        <f t="shared" si="130"/>
        <v>0</v>
      </c>
      <c r="K370" s="256">
        <f t="shared" si="131"/>
        <v>0</v>
      </c>
      <c r="L370" s="256">
        <f t="shared" si="132"/>
        <v>0</v>
      </c>
      <c r="M370" s="256">
        <f t="shared" si="133"/>
        <v>0</v>
      </c>
      <c r="N370" s="255">
        <v>0</v>
      </c>
      <c r="O370" s="256">
        <v>0</v>
      </c>
      <c r="P370" s="256">
        <v>0</v>
      </c>
      <c r="Q370" s="256">
        <v>0</v>
      </c>
      <c r="R370" s="256">
        <v>0</v>
      </c>
      <c r="S370" s="257">
        <v>0</v>
      </c>
      <c r="T370" s="256">
        <v>0</v>
      </c>
      <c r="U370" s="258">
        <f t="shared" si="134"/>
        <v>0</v>
      </c>
      <c r="V370" s="256">
        <v>0</v>
      </c>
      <c r="W370" s="256">
        <v>0</v>
      </c>
      <c r="X370" s="256">
        <v>0</v>
      </c>
      <c r="Y370" s="256">
        <v>0</v>
      </c>
      <c r="Z370" s="256">
        <v>0</v>
      </c>
      <c r="AA370" s="256">
        <v>0</v>
      </c>
      <c r="AB370" s="256">
        <v>0</v>
      </c>
      <c r="AC370" s="189">
        <f t="shared" si="135"/>
        <v>0</v>
      </c>
      <c r="AD370" s="259">
        <f t="shared" si="136"/>
        <v>0</v>
      </c>
    </row>
    <row r="371" spans="1:30" s="160" customFormat="1" hidden="1">
      <c r="A371" s="250">
        <v>366</v>
      </c>
      <c r="B371" s="251"/>
      <c r="C371" s="252"/>
      <c r="D371" s="253"/>
      <c r="E371" s="254">
        <f t="shared" si="125"/>
        <v>0</v>
      </c>
      <c r="F371" s="255">
        <f t="shared" si="126"/>
        <v>0</v>
      </c>
      <c r="G371" s="256">
        <f t="shared" si="127"/>
        <v>0</v>
      </c>
      <c r="H371" s="256">
        <f t="shared" si="128"/>
        <v>0</v>
      </c>
      <c r="I371" s="256">
        <f t="shared" si="129"/>
        <v>0</v>
      </c>
      <c r="J371" s="256">
        <f t="shared" si="130"/>
        <v>0</v>
      </c>
      <c r="K371" s="256">
        <f t="shared" si="131"/>
        <v>0</v>
      </c>
      <c r="L371" s="256">
        <f t="shared" si="132"/>
        <v>0</v>
      </c>
      <c r="M371" s="256">
        <f t="shared" si="133"/>
        <v>0</v>
      </c>
      <c r="N371" s="255">
        <v>0</v>
      </c>
      <c r="O371" s="256">
        <v>0</v>
      </c>
      <c r="P371" s="256">
        <v>0</v>
      </c>
      <c r="Q371" s="256">
        <v>0</v>
      </c>
      <c r="R371" s="256">
        <v>0</v>
      </c>
      <c r="S371" s="257">
        <v>0</v>
      </c>
      <c r="T371" s="256">
        <v>0</v>
      </c>
      <c r="U371" s="258">
        <f t="shared" si="134"/>
        <v>0</v>
      </c>
      <c r="V371" s="256">
        <v>0</v>
      </c>
      <c r="W371" s="256">
        <v>0</v>
      </c>
      <c r="X371" s="256">
        <v>0</v>
      </c>
      <c r="Y371" s="256">
        <v>0</v>
      </c>
      <c r="Z371" s="256">
        <v>0</v>
      </c>
      <c r="AA371" s="256">
        <v>0</v>
      </c>
      <c r="AB371" s="256">
        <v>0</v>
      </c>
      <c r="AC371" s="189">
        <f t="shared" si="135"/>
        <v>0</v>
      </c>
      <c r="AD371" s="259">
        <f t="shared" si="136"/>
        <v>0</v>
      </c>
    </row>
    <row r="372" spans="1:30" s="160" customFormat="1" hidden="1">
      <c r="A372" s="250">
        <v>367</v>
      </c>
      <c r="B372" s="251"/>
      <c r="C372" s="252"/>
      <c r="D372" s="253"/>
      <c r="E372" s="254">
        <f t="shared" si="125"/>
        <v>0</v>
      </c>
      <c r="F372" s="255">
        <f t="shared" si="126"/>
        <v>0</v>
      </c>
      <c r="G372" s="256">
        <f t="shared" si="127"/>
        <v>0</v>
      </c>
      <c r="H372" s="256">
        <f t="shared" si="128"/>
        <v>0</v>
      </c>
      <c r="I372" s="256">
        <f t="shared" si="129"/>
        <v>0</v>
      </c>
      <c r="J372" s="256">
        <f t="shared" si="130"/>
        <v>0</v>
      </c>
      <c r="K372" s="256">
        <f t="shared" si="131"/>
        <v>0</v>
      </c>
      <c r="L372" s="256">
        <f t="shared" si="132"/>
        <v>0</v>
      </c>
      <c r="M372" s="256">
        <f t="shared" si="133"/>
        <v>0</v>
      </c>
      <c r="N372" s="255">
        <v>0</v>
      </c>
      <c r="O372" s="256">
        <v>0</v>
      </c>
      <c r="P372" s="256">
        <v>0</v>
      </c>
      <c r="Q372" s="256">
        <v>0</v>
      </c>
      <c r="R372" s="256">
        <v>0</v>
      </c>
      <c r="S372" s="257">
        <v>0</v>
      </c>
      <c r="T372" s="256">
        <v>0</v>
      </c>
      <c r="U372" s="258">
        <f t="shared" si="134"/>
        <v>0</v>
      </c>
      <c r="V372" s="256">
        <v>0</v>
      </c>
      <c r="W372" s="256">
        <v>0</v>
      </c>
      <c r="X372" s="256">
        <v>0</v>
      </c>
      <c r="Y372" s="256">
        <v>0</v>
      </c>
      <c r="Z372" s="256">
        <v>0</v>
      </c>
      <c r="AA372" s="256">
        <v>0</v>
      </c>
      <c r="AB372" s="256">
        <v>0</v>
      </c>
      <c r="AC372" s="189">
        <f t="shared" si="135"/>
        <v>0</v>
      </c>
      <c r="AD372" s="259">
        <f t="shared" si="136"/>
        <v>0</v>
      </c>
    </row>
    <row r="373" spans="1:30" s="160" customFormat="1" hidden="1">
      <c r="A373" s="250">
        <v>368</v>
      </c>
      <c r="B373" s="251"/>
      <c r="C373" s="252"/>
      <c r="D373" s="253"/>
      <c r="E373" s="254">
        <f t="shared" si="125"/>
        <v>0</v>
      </c>
      <c r="F373" s="255">
        <f t="shared" si="126"/>
        <v>0</v>
      </c>
      <c r="G373" s="256">
        <f t="shared" si="127"/>
        <v>0</v>
      </c>
      <c r="H373" s="256">
        <f t="shared" si="128"/>
        <v>0</v>
      </c>
      <c r="I373" s="256">
        <f t="shared" si="129"/>
        <v>0</v>
      </c>
      <c r="J373" s="256">
        <f t="shared" si="130"/>
        <v>0</v>
      </c>
      <c r="K373" s="256">
        <f t="shared" si="131"/>
        <v>0</v>
      </c>
      <c r="L373" s="256">
        <f t="shared" si="132"/>
        <v>0</v>
      </c>
      <c r="M373" s="256">
        <f t="shared" si="133"/>
        <v>0</v>
      </c>
      <c r="N373" s="255">
        <v>0</v>
      </c>
      <c r="O373" s="256">
        <v>0</v>
      </c>
      <c r="P373" s="256">
        <v>0</v>
      </c>
      <c r="Q373" s="256">
        <v>0</v>
      </c>
      <c r="R373" s="256">
        <v>0</v>
      </c>
      <c r="S373" s="257">
        <v>0</v>
      </c>
      <c r="T373" s="256">
        <v>0</v>
      </c>
      <c r="U373" s="258">
        <f t="shared" si="134"/>
        <v>0</v>
      </c>
      <c r="V373" s="256">
        <v>0</v>
      </c>
      <c r="W373" s="256">
        <v>0</v>
      </c>
      <c r="X373" s="256">
        <v>0</v>
      </c>
      <c r="Y373" s="256">
        <v>0</v>
      </c>
      <c r="Z373" s="256">
        <v>0</v>
      </c>
      <c r="AA373" s="256">
        <v>0</v>
      </c>
      <c r="AB373" s="256">
        <v>0</v>
      </c>
      <c r="AC373" s="189">
        <f t="shared" si="135"/>
        <v>0</v>
      </c>
      <c r="AD373" s="259">
        <f t="shared" si="136"/>
        <v>0</v>
      </c>
    </row>
    <row r="374" spans="1:30" s="160" customFormat="1" hidden="1">
      <c r="A374" s="250">
        <v>369</v>
      </c>
      <c r="B374" s="251"/>
      <c r="C374" s="252"/>
      <c r="D374" s="253"/>
      <c r="E374" s="254">
        <f t="shared" si="125"/>
        <v>0</v>
      </c>
      <c r="F374" s="255">
        <f t="shared" si="126"/>
        <v>0</v>
      </c>
      <c r="G374" s="256">
        <f t="shared" si="127"/>
        <v>0</v>
      </c>
      <c r="H374" s="256">
        <f t="shared" si="128"/>
        <v>0</v>
      </c>
      <c r="I374" s="256">
        <f t="shared" si="129"/>
        <v>0</v>
      </c>
      <c r="J374" s="256">
        <f t="shared" si="130"/>
        <v>0</v>
      </c>
      <c r="K374" s="256">
        <f t="shared" si="131"/>
        <v>0</v>
      </c>
      <c r="L374" s="256">
        <f t="shared" si="132"/>
        <v>0</v>
      </c>
      <c r="M374" s="256">
        <f t="shared" si="133"/>
        <v>0</v>
      </c>
      <c r="N374" s="255">
        <v>0</v>
      </c>
      <c r="O374" s="256">
        <v>0</v>
      </c>
      <c r="P374" s="256">
        <v>0</v>
      </c>
      <c r="Q374" s="256">
        <v>0</v>
      </c>
      <c r="R374" s="256">
        <v>0</v>
      </c>
      <c r="S374" s="257">
        <v>0</v>
      </c>
      <c r="T374" s="256">
        <v>0</v>
      </c>
      <c r="U374" s="258">
        <f t="shared" si="134"/>
        <v>0</v>
      </c>
      <c r="V374" s="256">
        <v>0</v>
      </c>
      <c r="W374" s="256">
        <v>0</v>
      </c>
      <c r="X374" s="256">
        <v>0</v>
      </c>
      <c r="Y374" s="256">
        <v>0</v>
      </c>
      <c r="Z374" s="256">
        <v>0</v>
      </c>
      <c r="AA374" s="256">
        <v>0</v>
      </c>
      <c r="AB374" s="256">
        <v>0</v>
      </c>
      <c r="AC374" s="189">
        <f t="shared" si="135"/>
        <v>0</v>
      </c>
      <c r="AD374" s="259">
        <f t="shared" si="136"/>
        <v>0</v>
      </c>
    </row>
    <row r="375" spans="1:30" s="160" customFormat="1" hidden="1">
      <c r="A375" s="250">
        <v>370</v>
      </c>
      <c r="B375" s="251"/>
      <c r="C375" s="252"/>
      <c r="D375" s="253"/>
      <c r="E375" s="254">
        <f t="shared" si="125"/>
        <v>0</v>
      </c>
      <c r="F375" s="255">
        <f t="shared" si="126"/>
        <v>0</v>
      </c>
      <c r="G375" s="256">
        <f t="shared" si="127"/>
        <v>0</v>
      </c>
      <c r="H375" s="256">
        <f t="shared" si="128"/>
        <v>0</v>
      </c>
      <c r="I375" s="256">
        <f t="shared" si="129"/>
        <v>0</v>
      </c>
      <c r="J375" s="256">
        <f t="shared" si="130"/>
        <v>0</v>
      </c>
      <c r="K375" s="256">
        <f t="shared" si="131"/>
        <v>0</v>
      </c>
      <c r="L375" s="256">
        <f t="shared" si="132"/>
        <v>0</v>
      </c>
      <c r="M375" s="256">
        <f t="shared" si="133"/>
        <v>0</v>
      </c>
      <c r="N375" s="255">
        <v>0</v>
      </c>
      <c r="O375" s="256">
        <v>0</v>
      </c>
      <c r="P375" s="256">
        <v>0</v>
      </c>
      <c r="Q375" s="256">
        <v>0</v>
      </c>
      <c r="R375" s="256">
        <v>0</v>
      </c>
      <c r="S375" s="257">
        <v>0</v>
      </c>
      <c r="T375" s="256">
        <v>0</v>
      </c>
      <c r="U375" s="258">
        <f t="shared" si="134"/>
        <v>0</v>
      </c>
      <c r="V375" s="256">
        <v>0</v>
      </c>
      <c r="W375" s="256">
        <v>0</v>
      </c>
      <c r="X375" s="256">
        <v>0</v>
      </c>
      <c r="Y375" s="256">
        <v>0</v>
      </c>
      <c r="Z375" s="256">
        <v>0</v>
      </c>
      <c r="AA375" s="256">
        <v>0</v>
      </c>
      <c r="AB375" s="256">
        <v>0</v>
      </c>
      <c r="AC375" s="189">
        <f t="shared" si="135"/>
        <v>0</v>
      </c>
      <c r="AD375" s="259">
        <f t="shared" si="136"/>
        <v>0</v>
      </c>
    </row>
    <row r="376" spans="1:30" s="160" customFormat="1" hidden="1">
      <c r="A376" s="250">
        <v>371</v>
      </c>
      <c r="B376" s="251"/>
      <c r="C376" s="252"/>
      <c r="D376" s="253"/>
      <c r="E376" s="254">
        <f t="shared" si="125"/>
        <v>0</v>
      </c>
      <c r="F376" s="255">
        <f t="shared" si="126"/>
        <v>0</v>
      </c>
      <c r="G376" s="256">
        <f t="shared" si="127"/>
        <v>0</v>
      </c>
      <c r="H376" s="256">
        <f t="shared" si="128"/>
        <v>0</v>
      </c>
      <c r="I376" s="256">
        <f t="shared" si="129"/>
        <v>0</v>
      </c>
      <c r="J376" s="256">
        <f t="shared" si="130"/>
        <v>0</v>
      </c>
      <c r="K376" s="256">
        <f t="shared" si="131"/>
        <v>0</v>
      </c>
      <c r="L376" s="256">
        <f t="shared" si="132"/>
        <v>0</v>
      </c>
      <c r="M376" s="256">
        <f t="shared" si="133"/>
        <v>0</v>
      </c>
      <c r="N376" s="255">
        <v>0</v>
      </c>
      <c r="O376" s="256">
        <v>0</v>
      </c>
      <c r="P376" s="256">
        <v>0</v>
      </c>
      <c r="Q376" s="256">
        <v>0</v>
      </c>
      <c r="R376" s="256">
        <v>0</v>
      </c>
      <c r="S376" s="257">
        <v>0</v>
      </c>
      <c r="T376" s="256">
        <v>0</v>
      </c>
      <c r="U376" s="258">
        <f t="shared" si="134"/>
        <v>0</v>
      </c>
      <c r="V376" s="256">
        <v>0</v>
      </c>
      <c r="W376" s="256">
        <v>0</v>
      </c>
      <c r="X376" s="256">
        <v>0</v>
      </c>
      <c r="Y376" s="256">
        <v>0</v>
      </c>
      <c r="Z376" s="256">
        <v>0</v>
      </c>
      <c r="AA376" s="256">
        <v>0</v>
      </c>
      <c r="AB376" s="256">
        <v>0</v>
      </c>
      <c r="AC376" s="189">
        <f t="shared" si="135"/>
        <v>0</v>
      </c>
      <c r="AD376" s="259">
        <f t="shared" si="136"/>
        <v>0</v>
      </c>
    </row>
    <row r="377" spans="1:30" s="160" customFormat="1" hidden="1">
      <c r="A377" s="250">
        <v>372</v>
      </c>
      <c r="B377" s="251"/>
      <c r="C377" s="252"/>
      <c r="D377" s="253"/>
      <c r="E377" s="254">
        <f t="shared" si="125"/>
        <v>0</v>
      </c>
      <c r="F377" s="255">
        <f t="shared" si="126"/>
        <v>0</v>
      </c>
      <c r="G377" s="256">
        <f t="shared" si="127"/>
        <v>0</v>
      </c>
      <c r="H377" s="256">
        <f t="shared" si="128"/>
        <v>0</v>
      </c>
      <c r="I377" s="256">
        <f t="shared" si="129"/>
        <v>0</v>
      </c>
      <c r="J377" s="256">
        <f t="shared" si="130"/>
        <v>0</v>
      </c>
      <c r="K377" s="256">
        <f t="shared" si="131"/>
        <v>0</v>
      </c>
      <c r="L377" s="256">
        <f t="shared" si="132"/>
        <v>0</v>
      </c>
      <c r="M377" s="256">
        <f t="shared" si="133"/>
        <v>0</v>
      </c>
      <c r="N377" s="255">
        <v>0</v>
      </c>
      <c r="O377" s="256">
        <v>0</v>
      </c>
      <c r="P377" s="256">
        <v>0</v>
      </c>
      <c r="Q377" s="256">
        <v>0</v>
      </c>
      <c r="R377" s="256">
        <v>0</v>
      </c>
      <c r="S377" s="257">
        <v>0</v>
      </c>
      <c r="T377" s="256">
        <v>0</v>
      </c>
      <c r="U377" s="258">
        <f t="shared" si="134"/>
        <v>0</v>
      </c>
      <c r="V377" s="256">
        <v>0</v>
      </c>
      <c r="W377" s="256">
        <v>0</v>
      </c>
      <c r="X377" s="256">
        <v>0</v>
      </c>
      <c r="Y377" s="256">
        <v>0</v>
      </c>
      <c r="Z377" s="256">
        <v>0</v>
      </c>
      <c r="AA377" s="256">
        <v>0</v>
      </c>
      <c r="AB377" s="256">
        <v>0</v>
      </c>
      <c r="AC377" s="189">
        <f t="shared" si="135"/>
        <v>0</v>
      </c>
      <c r="AD377" s="259">
        <f t="shared" si="136"/>
        <v>0</v>
      </c>
    </row>
    <row r="378" spans="1:30" s="160" customFormat="1" hidden="1">
      <c r="A378" s="250">
        <v>373</v>
      </c>
      <c r="B378" s="251"/>
      <c r="C378" s="252"/>
      <c r="D378" s="253"/>
      <c r="E378" s="254">
        <f t="shared" si="125"/>
        <v>0</v>
      </c>
      <c r="F378" s="255">
        <f t="shared" si="126"/>
        <v>0</v>
      </c>
      <c r="G378" s="256">
        <f t="shared" si="127"/>
        <v>0</v>
      </c>
      <c r="H378" s="256">
        <f t="shared" si="128"/>
        <v>0</v>
      </c>
      <c r="I378" s="256">
        <f t="shared" si="129"/>
        <v>0</v>
      </c>
      <c r="J378" s="256">
        <f t="shared" si="130"/>
        <v>0</v>
      </c>
      <c r="K378" s="256">
        <f t="shared" si="131"/>
        <v>0</v>
      </c>
      <c r="L378" s="256">
        <f t="shared" si="132"/>
        <v>0</v>
      </c>
      <c r="M378" s="256">
        <f t="shared" si="133"/>
        <v>0</v>
      </c>
      <c r="N378" s="255">
        <v>0</v>
      </c>
      <c r="O378" s="256">
        <v>0</v>
      </c>
      <c r="P378" s="256">
        <v>0</v>
      </c>
      <c r="Q378" s="256">
        <v>0</v>
      </c>
      <c r="R378" s="256">
        <v>0</v>
      </c>
      <c r="S378" s="257">
        <v>0</v>
      </c>
      <c r="T378" s="256">
        <v>0</v>
      </c>
      <c r="U378" s="258">
        <f t="shared" si="134"/>
        <v>0</v>
      </c>
      <c r="V378" s="256">
        <v>0</v>
      </c>
      <c r="W378" s="256">
        <v>0</v>
      </c>
      <c r="X378" s="256">
        <v>0</v>
      </c>
      <c r="Y378" s="256">
        <v>0</v>
      </c>
      <c r="Z378" s="256">
        <v>0</v>
      </c>
      <c r="AA378" s="256">
        <v>0</v>
      </c>
      <c r="AB378" s="256">
        <v>0</v>
      </c>
      <c r="AC378" s="189">
        <f t="shared" si="135"/>
        <v>0</v>
      </c>
      <c r="AD378" s="259">
        <f t="shared" si="136"/>
        <v>0</v>
      </c>
    </row>
    <row r="379" spans="1:30" s="160" customFormat="1" hidden="1">
      <c r="A379" s="250">
        <v>374</v>
      </c>
      <c r="B379" s="251"/>
      <c r="C379" s="252"/>
      <c r="D379" s="253"/>
      <c r="E379" s="254">
        <f t="shared" si="125"/>
        <v>0</v>
      </c>
      <c r="F379" s="255">
        <f t="shared" si="126"/>
        <v>0</v>
      </c>
      <c r="G379" s="256">
        <f t="shared" si="127"/>
        <v>0</v>
      </c>
      <c r="H379" s="256">
        <f t="shared" si="128"/>
        <v>0</v>
      </c>
      <c r="I379" s="256">
        <f t="shared" si="129"/>
        <v>0</v>
      </c>
      <c r="J379" s="256">
        <f t="shared" si="130"/>
        <v>0</v>
      </c>
      <c r="K379" s="256">
        <f t="shared" si="131"/>
        <v>0</v>
      </c>
      <c r="L379" s="256">
        <f t="shared" si="132"/>
        <v>0</v>
      </c>
      <c r="M379" s="256">
        <f t="shared" si="133"/>
        <v>0</v>
      </c>
      <c r="N379" s="255">
        <v>0</v>
      </c>
      <c r="O379" s="256">
        <v>0</v>
      </c>
      <c r="P379" s="256">
        <v>0</v>
      </c>
      <c r="Q379" s="256">
        <v>0</v>
      </c>
      <c r="R379" s="256">
        <v>0</v>
      </c>
      <c r="S379" s="257">
        <v>0</v>
      </c>
      <c r="T379" s="256">
        <v>0</v>
      </c>
      <c r="U379" s="258">
        <f t="shared" si="134"/>
        <v>0</v>
      </c>
      <c r="V379" s="256">
        <v>0</v>
      </c>
      <c r="W379" s="256">
        <v>0</v>
      </c>
      <c r="X379" s="256">
        <v>0</v>
      </c>
      <c r="Y379" s="256">
        <v>0</v>
      </c>
      <c r="Z379" s="256">
        <v>0</v>
      </c>
      <c r="AA379" s="256">
        <v>0</v>
      </c>
      <c r="AB379" s="256">
        <v>0</v>
      </c>
      <c r="AC379" s="189">
        <f t="shared" si="135"/>
        <v>0</v>
      </c>
      <c r="AD379" s="259">
        <f t="shared" si="136"/>
        <v>0</v>
      </c>
    </row>
    <row r="380" spans="1:30" s="160" customFormat="1" hidden="1">
      <c r="A380" s="250">
        <v>375</v>
      </c>
      <c r="B380" s="251"/>
      <c r="C380" s="252"/>
      <c r="D380" s="253"/>
      <c r="E380" s="254">
        <f t="shared" si="125"/>
        <v>0</v>
      </c>
      <c r="F380" s="255">
        <f t="shared" si="126"/>
        <v>0</v>
      </c>
      <c r="G380" s="256">
        <f t="shared" si="127"/>
        <v>0</v>
      </c>
      <c r="H380" s="256">
        <f t="shared" si="128"/>
        <v>0</v>
      </c>
      <c r="I380" s="256">
        <f t="shared" si="129"/>
        <v>0</v>
      </c>
      <c r="J380" s="256">
        <f t="shared" si="130"/>
        <v>0</v>
      </c>
      <c r="K380" s="256">
        <f t="shared" si="131"/>
        <v>0</v>
      </c>
      <c r="L380" s="256">
        <f t="shared" si="132"/>
        <v>0</v>
      </c>
      <c r="M380" s="256">
        <f t="shared" si="133"/>
        <v>0</v>
      </c>
      <c r="N380" s="255">
        <v>0</v>
      </c>
      <c r="O380" s="256">
        <v>0</v>
      </c>
      <c r="P380" s="256">
        <v>0</v>
      </c>
      <c r="Q380" s="256">
        <v>0</v>
      </c>
      <c r="R380" s="256">
        <v>0</v>
      </c>
      <c r="S380" s="257">
        <v>0</v>
      </c>
      <c r="T380" s="256">
        <v>0</v>
      </c>
      <c r="U380" s="258">
        <f t="shared" si="134"/>
        <v>0</v>
      </c>
      <c r="V380" s="256">
        <v>0</v>
      </c>
      <c r="W380" s="256">
        <v>0</v>
      </c>
      <c r="X380" s="256">
        <v>0</v>
      </c>
      <c r="Y380" s="256">
        <v>0</v>
      </c>
      <c r="Z380" s="256">
        <v>0</v>
      </c>
      <c r="AA380" s="256">
        <v>0</v>
      </c>
      <c r="AB380" s="256">
        <v>0</v>
      </c>
      <c r="AC380" s="189">
        <f t="shared" si="135"/>
        <v>0</v>
      </c>
      <c r="AD380" s="259">
        <f t="shared" si="136"/>
        <v>0</v>
      </c>
    </row>
    <row r="381" spans="1:30" s="160" customFormat="1" hidden="1">
      <c r="A381" s="250">
        <v>376</v>
      </c>
      <c r="B381" s="251"/>
      <c r="C381" s="252"/>
      <c r="D381" s="253"/>
      <c r="E381" s="254">
        <f t="shared" si="125"/>
        <v>0</v>
      </c>
      <c r="F381" s="255">
        <f t="shared" si="126"/>
        <v>0</v>
      </c>
      <c r="G381" s="256">
        <f t="shared" si="127"/>
        <v>0</v>
      </c>
      <c r="H381" s="256">
        <f t="shared" si="128"/>
        <v>0</v>
      </c>
      <c r="I381" s="256">
        <f t="shared" si="129"/>
        <v>0</v>
      </c>
      <c r="J381" s="256">
        <f t="shared" si="130"/>
        <v>0</v>
      </c>
      <c r="K381" s="256">
        <f t="shared" si="131"/>
        <v>0</v>
      </c>
      <c r="L381" s="256">
        <f t="shared" si="132"/>
        <v>0</v>
      </c>
      <c r="M381" s="256">
        <f t="shared" si="133"/>
        <v>0</v>
      </c>
      <c r="N381" s="255">
        <v>0</v>
      </c>
      <c r="O381" s="256">
        <v>0</v>
      </c>
      <c r="P381" s="256">
        <v>0</v>
      </c>
      <c r="Q381" s="256">
        <v>0</v>
      </c>
      <c r="R381" s="256">
        <v>0</v>
      </c>
      <c r="S381" s="257">
        <v>0</v>
      </c>
      <c r="T381" s="256">
        <v>0</v>
      </c>
      <c r="U381" s="258">
        <f t="shared" si="134"/>
        <v>0</v>
      </c>
      <c r="V381" s="256">
        <v>0</v>
      </c>
      <c r="W381" s="256">
        <v>0</v>
      </c>
      <c r="X381" s="256">
        <v>0</v>
      </c>
      <c r="Y381" s="256">
        <v>0</v>
      </c>
      <c r="Z381" s="256">
        <v>0</v>
      </c>
      <c r="AA381" s="256">
        <v>0</v>
      </c>
      <c r="AB381" s="256">
        <v>0</v>
      </c>
      <c r="AC381" s="189">
        <f t="shared" si="135"/>
        <v>0</v>
      </c>
      <c r="AD381" s="259">
        <f t="shared" si="136"/>
        <v>0</v>
      </c>
    </row>
    <row r="382" spans="1:30" s="160" customFormat="1" hidden="1">
      <c r="A382" s="250">
        <v>377</v>
      </c>
      <c r="B382" s="251"/>
      <c r="C382" s="252"/>
      <c r="D382" s="253"/>
      <c r="E382" s="254">
        <f t="shared" si="125"/>
        <v>0</v>
      </c>
      <c r="F382" s="255">
        <f t="shared" si="126"/>
        <v>0</v>
      </c>
      <c r="G382" s="256">
        <f t="shared" si="127"/>
        <v>0</v>
      </c>
      <c r="H382" s="256">
        <f t="shared" si="128"/>
        <v>0</v>
      </c>
      <c r="I382" s="256">
        <f t="shared" si="129"/>
        <v>0</v>
      </c>
      <c r="J382" s="256">
        <f t="shared" si="130"/>
        <v>0</v>
      </c>
      <c r="K382" s="256">
        <f t="shared" si="131"/>
        <v>0</v>
      </c>
      <c r="L382" s="256">
        <f t="shared" si="132"/>
        <v>0</v>
      </c>
      <c r="M382" s="256">
        <f t="shared" si="133"/>
        <v>0</v>
      </c>
      <c r="N382" s="255">
        <v>0</v>
      </c>
      <c r="O382" s="256">
        <v>0</v>
      </c>
      <c r="P382" s="256">
        <v>0</v>
      </c>
      <c r="Q382" s="256">
        <v>0</v>
      </c>
      <c r="R382" s="256">
        <v>0</v>
      </c>
      <c r="S382" s="257">
        <v>0</v>
      </c>
      <c r="T382" s="256">
        <v>0</v>
      </c>
      <c r="U382" s="258">
        <f t="shared" si="134"/>
        <v>0</v>
      </c>
      <c r="V382" s="256">
        <v>0</v>
      </c>
      <c r="W382" s="256">
        <v>0</v>
      </c>
      <c r="X382" s="256">
        <v>0</v>
      </c>
      <c r="Y382" s="256">
        <v>0</v>
      </c>
      <c r="Z382" s="256">
        <v>0</v>
      </c>
      <c r="AA382" s="256">
        <v>0</v>
      </c>
      <c r="AB382" s="256">
        <v>0</v>
      </c>
      <c r="AC382" s="189">
        <f t="shared" si="135"/>
        <v>0</v>
      </c>
      <c r="AD382" s="259">
        <f t="shared" si="136"/>
        <v>0</v>
      </c>
    </row>
    <row r="383" spans="1:30" s="160" customFormat="1" hidden="1">
      <c r="A383" s="250">
        <v>378</v>
      </c>
      <c r="B383" s="251"/>
      <c r="C383" s="252"/>
      <c r="D383" s="253"/>
      <c r="E383" s="254">
        <f t="shared" si="125"/>
        <v>0</v>
      </c>
      <c r="F383" s="255">
        <f t="shared" si="126"/>
        <v>0</v>
      </c>
      <c r="G383" s="256">
        <f t="shared" si="127"/>
        <v>0</v>
      </c>
      <c r="H383" s="256">
        <f t="shared" si="128"/>
        <v>0</v>
      </c>
      <c r="I383" s="256">
        <f t="shared" si="129"/>
        <v>0</v>
      </c>
      <c r="J383" s="256">
        <f t="shared" si="130"/>
        <v>0</v>
      </c>
      <c r="K383" s="256">
        <f t="shared" si="131"/>
        <v>0</v>
      </c>
      <c r="L383" s="256">
        <f t="shared" si="132"/>
        <v>0</v>
      </c>
      <c r="M383" s="256">
        <f t="shared" si="133"/>
        <v>0</v>
      </c>
      <c r="N383" s="255">
        <v>0</v>
      </c>
      <c r="O383" s="256">
        <v>0</v>
      </c>
      <c r="P383" s="256">
        <v>0</v>
      </c>
      <c r="Q383" s="256">
        <v>0</v>
      </c>
      <c r="R383" s="256">
        <v>0</v>
      </c>
      <c r="S383" s="257">
        <v>0</v>
      </c>
      <c r="T383" s="256">
        <v>0</v>
      </c>
      <c r="U383" s="258">
        <f t="shared" si="134"/>
        <v>0</v>
      </c>
      <c r="V383" s="256">
        <v>0</v>
      </c>
      <c r="W383" s="256">
        <v>0</v>
      </c>
      <c r="X383" s="256">
        <v>0</v>
      </c>
      <c r="Y383" s="256">
        <v>0</v>
      </c>
      <c r="Z383" s="256">
        <v>0</v>
      </c>
      <c r="AA383" s="256">
        <v>0</v>
      </c>
      <c r="AB383" s="256">
        <v>0</v>
      </c>
      <c r="AC383" s="189">
        <f t="shared" si="135"/>
        <v>0</v>
      </c>
      <c r="AD383" s="259">
        <f t="shared" si="136"/>
        <v>0</v>
      </c>
    </row>
    <row r="384" spans="1:30" s="160" customFormat="1" hidden="1">
      <c r="A384" s="250">
        <v>379</v>
      </c>
      <c r="B384" s="251"/>
      <c r="C384" s="252"/>
      <c r="D384" s="253"/>
      <c r="E384" s="254">
        <f t="shared" si="125"/>
        <v>0</v>
      </c>
      <c r="F384" s="255">
        <f t="shared" si="126"/>
        <v>0</v>
      </c>
      <c r="G384" s="256">
        <f t="shared" si="127"/>
        <v>0</v>
      </c>
      <c r="H384" s="256">
        <f t="shared" si="128"/>
        <v>0</v>
      </c>
      <c r="I384" s="256">
        <f t="shared" si="129"/>
        <v>0</v>
      </c>
      <c r="J384" s="256">
        <f t="shared" si="130"/>
        <v>0</v>
      </c>
      <c r="K384" s="256">
        <f t="shared" si="131"/>
        <v>0</v>
      </c>
      <c r="L384" s="256">
        <f t="shared" si="132"/>
        <v>0</v>
      </c>
      <c r="M384" s="256">
        <f t="shared" si="133"/>
        <v>0</v>
      </c>
      <c r="N384" s="255">
        <v>0</v>
      </c>
      <c r="O384" s="256">
        <v>0</v>
      </c>
      <c r="P384" s="256">
        <v>0</v>
      </c>
      <c r="Q384" s="256">
        <v>0</v>
      </c>
      <c r="R384" s="256">
        <v>0</v>
      </c>
      <c r="S384" s="257">
        <v>0</v>
      </c>
      <c r="T384" s="256">
        <v>0</v>
      </c>
      <c r="U384" s="258">
        <f t="shared" si="134"/>
        <v>0</v>
      </c>
      <c r="V384" s="256">
        <v>0</v>
      </c>
      <c r="W384" s="256">
        <v>0</v>
      </c>
      <c r="X384" s="256">
        <v>0</v>
      </c>
      <c r="Y384" s="256">
        <v>0</v>
      </c>
      <c r="Z384" s="256">
        <v>0</v>
      </c>
      <c r="AA384" s="256">
        <v>0</v>
      </c>
      <c r="AB384" s="256">
        <v>0</v>
      </c>
      <c r="AC384" s="189">
        <f t="shared" si="135"/>
        <v>0</v>
      </c>
      <c r="AD384" s="259">
        <f t="shared" si="136"/>
        <v>0</v>
      </c>
    </row>
    <row r="385" spans="1:30" s="160" customFormat="1" hidden="1">
      <c r="A385" s="250">
        <v>380</v>
      </c>
      <c r="B385" s="251"/>
      <c r="C385" s="252"/>
      <c r="D385" s="253"/>
      <c r="E385" s="254">
        <f t="shared" si="125"/>
        <v>0</v>
      </c>
      <c r="F385" s="255">
        <f t="shared" si="126"/>
        <v>0</v>
      </c>
      <c r="G385" s="256">
        <f t="shared" si="127"/>
        <v>0</v>
      </c>
      <c r="H385" s="256">
        <f t="shared" si="128"/>
        <v>0</v>
      </c>
      <c r="I385" s="256">
        <f t="shared" si="129"/>
        <v>0</v>
      </c>
      <c r="J385" s="256">
        <f t="shared" si="130"/>
        <v>0</v>
      </c>
      <c r="K385" s="256">
        <f t="shared" si="131"/>
        <v>0</v>
      </c>
      <c r="L385" s="256">
        <f t="shared" si="132"/>
        <v>0</v>
      </c>
      <c r="M385" s="256">
        <f t="shared" si="133"/>
        <v>0</v>
      </c>
      <c r="N385" s="255">
        <v>0</v>
      </c>
      <c r="O385" s="256">
        <v>0</v>
      </c>
      <c r="P385" s="256">
        <v>0</v>
      </c>
      <c r="Q385" s="256">
        <v>0</v>
      </c>
      <c r="R385" s="256">
        <v>0</v>
      </c>
      <c r="S385" s="257">
        <v>0</v>
      </c>
      <c r="T385" s="256">
        <v>0</v>
      </c>
      <c r="U385" s="258">
        <f t="shared" si="134"/>
        <v>0</v>
      </c>
      <c r="V385" s="256">
        <v>0</v>
      </c>
      <c r="W385" s="256">
        <v>0</v>
      </c>
      <c r="X385" s="256">
        <v>0</v>
      </c>
      <c r="Y385" s="256">
        <v>0</v>
      </c>
      <c r="Z385" s="256">
        <v>0</v>
      </c>
      <c r="AA385" s="256">
        <v>0</v>
      </c>
      <c r="AB385" s="256">
        <v>0</v>
      </c>
      <c r="AC385" s="189">
        <f t="shared" si="135"/>
        <v>0</v>
      </c>
      <c r="AD385" s="259">
        <f t="shared" si="136"/>
        <v>0</v>
      </c>
    </row>
    <row r="386" spans="1:30" s="160" customFormat="1" hidden="1">
      <c r="A386" s="250">
        <v>381</v>
      </c>
      <c r="B386" s="251"/>
      <c r="C386" s="252"/>
      <c r="D386" s="253"/>
      <c r="E386" s="254">
        <f t="shared" si="125"/>
        <v>0</v>
      </c>
      <c r="F386" s="255">
        <f t="shared" si="126"/>
        <v>0</v>
      </c>
      <c r="G386" s="256">
        <f t="shared" si="127"/>
        <v>0</v>
      </c>
      <c r="H386" s="256">
        <f t="shared" si="128"/>
        <v>0</v>
      </c>
      <c r="I386" s="256">
        <f t="shared" si="129"/>
        <v>0</v>
      </c>
      <c r="J386" s="256">
        <f t="shared" si="130"/>
        <v>0</v>
      </c>
      <c r="K386" s="256">
        <f t="shared" si="131"/>
        <v>0</v>
      </c>
      <c r="L386" s="256">
        <f t="shared" si="132"/>
        <v>0</v>
      </c>
      <c r="M386" s="256">
        <f t="shared" si="133"/>
        <v>0</v>
      </c>
      <c r="N386" s="255">
        <v>0</v>
      </c>
      <c r="O386" s="256">
        <v>0</v>
      </c>
      <c r="P386" s="256">
        <v>0</v>
      </c>
      <c r="Q386" s="256">
        <v>0</v>
      </c>
      <c r="R386" s="256">
        <v>0</v>
      </c>
      <c r="S386" s="257">
        <v>0</v>
      </c>
      <c r="T386" s="256">
        <v>0</v>
      </c>
      <c r="U386" s="258">
        <f t="shared" si="134"/>
        <v>0</v>
      </c>
      <c r="V386" s="256">
        <v>0</v>
      </c>
      <c r="W386" s="256">
        <v>0</v>
      </c>
      <c r="X386" s="256">
        <v>0</v>
      </c>
      <c r="Y386" s="256">
        <v>0</v>
      </c>
      <c r="Z386" s="256">
        <v>0</v>
      </c>
      <c r="AA386" s="256">
        <v>0</v>
      </c>
      <c r="AB386" s="256">
        <v>0</v>
      </c>
      <c r="AC386" s="189">
        <f t="shared" si="135"/>
        <v>0</v>
      </c>
      <c r="AD386" s="259">
        <f t="shared" si="136"/>
        <v>0</v>
      </c>
    </row>
    <row r="387" spans="1:30" s="160" customFormat="1" hidden="1">
      <c r="A387" s="250">
        <v>382</v>
      </c>
      <c r="B387" s="251"/>
      <c r="C387" s="252"/>
      <c r="D387" s="253"/>
      <c r="E387" s="254">
        <f t="shared" si="125"/>
        <v>0</v>
      </c>
      <c r="F387" s="255">
        <f t="shared" si="126"/>
        <v>0</v>
      </c>
      <c r="G387" s="256">
        <f t="shared" si="127"/>
        <v>0</v>
      </c>
      <c r="H387" s="256">
        <f t="shared" si="128"/>
        <v>0</v>
      </c>
      <c r="I387" s="256">
        <f t="shared" si="129"/>
        <v>0</v>
      </c>
      <c r="J387" s="256">
        <f t="shared" si="130"/>
        <v>0</v>
      </c>
      <c r="K387" s="256">
        <f t="shared" si="131"/>
        <v>0</v>
      </c>
      <c r="L387" s="256">
        <f t="shared" si="132"/>
        <v>0</v>
      </c>
      <c r="M387" s="256">
        <f t="shared" si="133"/>
        <v>0</v>
      </c>
      <c r="N387" s="255">
        <v>0</v>
      </c>
      <c r="O387" s="256">
        <v>0</v>
      </c>
      <c r="P387" s="256">
        <v>0</v>
      </c>
      <c r="Q387" s="256">
        <v>0</v>
      </c>
      <c r="R387" s="256">
        <v>0</v>
      </c>
      <c r="S387" s="257">
        <v>0</v>
      </c>
      <c r="T387" s="256">
        <v>0</v>
      </c>
      <c r="U387" s="258">
        <f t="shared" si="134"/>
        <v>0</v>
      </c>
      <c r="V387" s="256">
        <v>0</v>
      </c>
      <c r="W387" s="256">
        <v>0</v>
      </c>
      <c r="X387" s="256">
        <v>0</v>
      </c>
      <c r="Y387" s="256">
        <v>0</v>
      </c>
      <c r="Z387" s="256">
        <v>0</v>
      </c>
      <c r="AA387" s="256">
        <v>0</v>
      </c>
      <c r="AB387" s="256">
        <v>0</v>
      </c>
      <c r="AC387" s="189">
        <f t="shared" si="135"/>
        <v>0</v>
      </c>
      <c r="AD387" s="259">
        <f t="shared" si="136"/>
        <v>0</v>
      </c>
    </row>
    <row r="388" spans="1:30" s="160" customFormat="1" hidden="1">
      <c r="A388" s="250">
        <v>383</v>
      </c>
      <c r="B388" s="251"/>
      <c r="C388" s="252"/>
      <c r="D388" s="253"/>
      <c r="E388" s="254">
        <f t="shared" si="125"/>
        <v>0</v>
      </c>
      <c r="F388" s="255">
        <f t="shared" si="126"/>
        <v>0</v>
      </c>
      <c r="G388" s="256">
        <f t="shared" si="127"/>
        <v>0</v>
      </c>
      <c r="H388" s="256">
        <f t="shared" si="128"/>
        <v>0</v>
      </c>
      <c r="I388" s="256">
        <f t="shared" si="129"/>
        <v>0</v>
      </c>
      <c r="J388" s="256">
        <f t="shared" si="130"/>
        <v>0</v>
      </c>
      <c r="K388" s="256">
        <f t="shared" si="131"/>
        <v>0</v>
      </c>
      <c r="L388" s="256">
        <f t="shared" si="132"/>
        <v>0</v>
      </c>
      <c r="M388" s="256">
        <f t="shared" si="133"/>
        <v>0</v>
      </c>
      <c r="N388" s="255">
        <v>0</v>
      </c>
      <c r="O388" s="256">
        <v>0</v>
      </c>
      <c r="P388" s="256">
        <v>0</v>
      </c>
      <c r="Q388" s="256">
        <v>0</v>
      </c>
      <c r="R388" s="256">
        <v>0</v>
      </c>
      <c r="S388" s="257">
        <v>0</v>
      </c>
      <c r="T388" s="256">
        <v>0</v>
      </c>
      <c r="U388" s="258">
        <f t="shared" si="134"/>
        <v>0</v>
      </c>
      <c r="V388" s="256">
        <v>0</v>
      </c>
      <c r="W388" s="256">
        <v>0</v>
      </c>
      <c r="X388" s="256">
        <v>0</v>
      </c>
      <c r="Y388" s="256">
        <v>0</v>
      </c>
      <c r="Z388" s="256">
        <v>0</v>
      </c>
      <c r="AA388" s="256">
        <v>0</v>
      </c>
      <c r="AB388" s="256">
        <v>0</v>
      </c>
      <c r="AC388" s="189">
        <f t="shared" si="135"/>
        <v>0</v>
      </c>
      <c r="AD388" s="259">
        <f t="shared" si="136"/>
        <v>0</v>
      </c>
    </row>
    <row r="389" spans="1:30" s="160" customFormat="1" hidden="1">
      <c r="A389" s="250">
        <v>384</v>
      </c>
      <c r="B389" s="251"/>
      <c r="C389" s="252"/>
      <c r="D389" s="253"/>
      <c r="E389" s="254">
        <f t="shared" si="125"/>
        <v>0</v>
      </c>
      <c r="F389" s="255">
        <f t="shared" si="126"/>
        <v>0</v>
      </c>
      <c r="G389" s="256">
        <f t="shared" si="127"/>
        <v>0</v>
      </c>
      <c r="H389" s="256">
        <f t="shared" si="128"/>
        <v>0</v>
      </c>
      <c r="I389" s="256">
        <f t="shared" si="129"/>
        <v>0</v>
      </c>
      <c r="J389" s="256">
        <f t="shared" si="130"/>
        <v>0</v>
      </c>
      <c r="K389" s="256">
        <f t="shared" si="131"/>
        <v>0</v>
      </c>
      <c r="L389" s="256">
        <f t="shared" si="132"/>
        <v>0</v>
      </c>
      <c r="M389" s="256">
        <f t="shared" si="133"/>
        <v>0</v>
      </c>
      <c r="N389" s="255">
        <v>0</v>
      </c>
      <c r="O389" s="256">
        <v>0</v>
      </c>
      <c r="P389" s="256">
        <v>0</v>
      </c>
      <c r="Q389" s="256">
        <v>0</v>
      </c>
      <c r="R389" s="256">
        <v>0</v>
      </c>
      <c r="S389" s="257">
        <v>0</v>
      </c>
      <c r="T389" s="256">
        <v>0</v>
      </c>
      <c r="U389" s="258">
        <f t="shared" si="134"/>
        <v>0</v>
      </c>
      <c r="V389" s="256">
        <v>0</v>
      </c>
      <c r="W389" s="256">
        <v>0</v>
      </c>
      <c r="X389" s="256">
        <v>0</v>
      </c>
      <c r="Y389" s="256">
        <v>0</v>
      </c>
      <c r="Z389" s="256">
        <v>0</v>
      </c>
      <c r="AA389" s="256">
        <v>0</v>
      </c>
      <c r="AB389" s="256">
        <v>0</v>
      </c>
      <c r="AC389" s="189">
        <f t="shared" si="135"/>
        <v>0</v>
      </c>
      <c r="AD389" s="259">
        <f t="shared" si="136"/>
        <v>0</v>
      </c>
    </row>
    <row r="390" spans="1:30" s="160" customFormat="1" hidden="1">
      <c r="A390" s="250">
        <v>385</v>
      </c>
      <c r="B390" s="251"/>
      <c r="C390" s="252"/>
      <c r="D390" s="253"/>
      <c r="E390" s="254">
        <f t="shared" ref="E390:E453" si="137">C390*D390</f>
        <v>0</v>
      </c>
      <c r="F390" s="255">
        <f t="shared" ref="F390:F453" si="138">(E390+J390+L390+K390+M390)*26.5%</f>
        <v>0</v>
      </c>
      <c r="G390" s="256">
        <f t="shared" ref="G390:G453" si="139">(E390+J390+L390+K390+M390)*1%</f>
        <v>0</v>
      </c>
      <c r="H390" s="256">
        <f t="shared" ref="H390:H453" si="140">(E390+J390+L390+K390+M390)*8%</f>
        <v>0</v>
      </c>
      <c r="I390" s="256">
        <f t="shared" ref="I390:I453" si="141">H390/2</f>
        <v>0</v>
      </c>
      <c r="J390" s="256">
        <f t="shared" ref="J390:J453" si="142">E390/12</f>
        <v>0</v>
      </c>
      <c r="K390" s="256">
        <f t="shared" ref="K390:K453" si="143">E390/12</f>
        <v>0</v>
      </c>
      <c r="L390" s="256">
        <f t="shared" ref="L390:L453" si="144">K390/3</f>
        <v>0</v>
      </c>
      <c r="M390" s="256">
        <f t="shared" ref="M390:M453" si="145">E390/12</f>
        <v>0</v>
      </c>
      <c r="N390" s="255">
        <v>0</v>
      </c>
      <c r="O390" s="256">
        <v>0</v>
      </c>
      <c r="P390" s="256">
        <v>0</v>
      </c>
      <c r="Q390" s="256">
        <v>0</v>
      </c>
      <c r="R390" s="256">
        <v>0</v>
      </c>
      <c r="S390" s="257">
        <v>0</v>
      </c>
      <c r="T390" s="256">
        <v>0</v>
      </c>
      <c r="U390" s="258">
        <f t="shared" ref="U390:U453" si="146">SUM(F390:T390)</f>
        <v>0</v>
      </c>
      <c r="V390" s="256">
        <v>0</v>
      </c>
      <c r="W390" s="256">
        <v>0</v>
      </c>
      <c r="X390" s="256">
        <v>0</v>
      </c>
      <c r="Y390" s="256">
        <v>0</v>
      </c>
      <c r="Z390" s="256">
        <v>0</v>
      </c>
      <c r="AA390" s="256">
        <v>0</v>
      </c>
      <c r="AB390" s="256">
        <v>0</v>
      </c>
      <c r="AC390" s="189">
        <f t="shared" ref="AC390:AC453" si="147">SUM(V390:AB390)</f>
        <v>0</v>
      </c>
      <c r="AD390" s="259">
        <f t="shared" ref="AD390:AD453" si="148">E390+U390+AC390</f>
        <v>0</v>
      </c>
    </row>
    <row r="391" spans="1:30" s="160" customFormat="1" hidden="1">
      <c r="A391" s="250">
        <v>386</v>
      </c>
      <c r="B391" s="251"/>
      <c r="C391" s="252"/>
      <c r="D391" s="253"/>
      <c r="E391" s="254">
        <f t="shared" si="137"/>
        <v>0</v>
      </c>
      <c r="F391" s="255">
        <f t="shared" si="138"/>
        <v>0</v>
      </c>
      <c r="G391" s="256">
        <f t="shared" si="139"/>
        <v>0</v>
      </c>
      <c r="H391" s="256">
        <f t="shared" si="140"/>
        <v>0</v>
      </c>
      <c r="I391" s="256">
        <f t="shared" si="141"/>
        <v>0</v>
      </c>
      <c r="J391" s="256">
        <f t="shared" si="142"/>
        <v>0</v>
      </c>
      <c r="K391" s="256">
        <f t="shared" si="143"/>
        <v>0</v>
      </c>
      <c r="L391" s="256">
        <f t="shared" si="144"/>
        <v>0</v>
      </c>
      <c r="M391" s="256">
        <f t="shared" si="145"/>
        <v>0</v>
      </c>
      <c r="N391" s="255">
        <v>0</v>
      </c>
      <c r="O391" s="256">
        <v>0</v>
      </c>
      <c r="P391" s="256">
        <v>0</v>
      </c>
      <c r="Q391" s="256">
        <v>0</v>
      </c>
      <c r="R391" s="256">
        <v>0</v>
      </c>
      <c r="S391" s="257">
        <v>0</v>
      </c>
      <c r="T391" s="256">
        <v>0</v>
      </c>
      <c r="U391" s="258">
        <f t="shared" si="146"/>
        <v>0</v>
      </c>
      <c r="V391" s="256">
        <v>0</v>
      </c>
      <c r="W391" s="256">
        <v>0</v>
      </c>
      <c r="X391" s="256">
        <v>0</v>
      </c>
      <c r="Y391" s="256">
        <v>0</v>
      </c>
      <c r="Z391" s="256">
        <v>0</v>
      </c>
      <c r="AA391" s="256">
        <v>0</v>
      </c>
      <c r="AB391" s="256">
        <v>0</v>
      </c>
      <c r="AC391" s="189">
        <f t="shared" si="147"/>
        <v>0</v>
      </c>
      <c r="AD391" s="259">
        <f t="shared" si="148"/>
        <v>0</v>
      </c>
    </row>
    <row r="392" spans="1:30" s="160" customFormat="1" hidden="1">
      <c r="A392" s="250">
        <v>387</v>
      </c>
      <c r="B392" s="251"/>
      <c r="C392" s="252"/>
      <c r="D392" s="253"/>
      <c r="E392" s="254">
        <f t="shared" si="137"/>
        <v>0</v>
      </c>
      <c r="F392" s="255">
        <f t="shared" si="138"/>
        <v>0</v>
      </c>
      <c r="G392" s="256">
        <f t="shared" si="139"/>
        <v>0</v>
      </c>
      <c r="H392" s="256">
        <f t="shared" si="140"/>
        <v>0</v>
      </c>
      <c r="I392" s="256">
        <f t="shared" si="141"/>
        <v>0</v>
      </c>
      <c r="J392" s="256">
        <f t="shared" si="142"/>
        <v>0</v>
      </c>
      <c r="K392" s="256">
        <f t="shared" si="143"/>
        <v>0</v>
      </c>
      <c r="L392" s="256">
        <f t="shared" si="144"/>
        <v>0</v>
      </c>
      <c r="M392" s="256">
        <f t="shared" si="145"/>
        <v>0</v>
      </c>
      <c r="N392" s="255">
        <v>0</v>
      </c>
      <c r="O392" s="256">
        <v>0</v>
      </c>
      <c r="P392" s="256">
        <v>0</v>
      </c>
      <c r="Q392" s="256">
        <v>0</v>
      </c>
      <c r="R392" s="256">
        <v>0</v>
      </c>
      <c r="S392" s="257">
        <v>0</v>
      </c>
      <c r="T392" s="256">
        <v>0</v>
      </c>
      <c r="U392" s="258">
        <f t="shared" si="146"/>
        <v>0</v>
      </c>
      <c r="V392" s="256">
        <v>0</v>
      </c>
      <c r="W392" s="256">
        <v>0</v>
      </c>
      <c r="X392" s="256">
        <v>0</v>
      </c>
      <c r="Y392" s="256">
        <v>0</v>
      </c>
      <c r="Z392" s="256">
        <v>0</v>
      </c>
      <c r="AA392" s="256">
        <v>0</v>
      </c>
      <c r="AB392" s="256">
        <v>0</v>
      </c>
      <c r="AC392" s="189">
        <f t="shared" si="147"/>
        <v>0</v>
      </c>
      <c r="AD392" s="259">
        <f t="shared" si="148"/>
        <v>0</v>
      </c>
    </row>
    <row r="393" spans="1:30" s="160" customFormat="1" hidden="1">
      <c r="A393" s="250">
        <v>388</v>
      </c>
      <c r="B393" s="251"/>
      <c r="C393" s="252"/>
      <c r="D393" s="253"/>
      <c r="E393" s="254">
        <f t="shared" si="137"/>
        <v>0</v>
      </c>
      <c r="F393" s="255">
        <f t="shared" si="138"/>
        <v>0</v>
      </c>
      <c r="G393" s="256">
        <f t="shared" si="139"/>
        <v>0</v>
      </c>
      <c r="H393" s="256">
        <f t="shared" si="140"/>
        <v>0</v>
      </c>
      <c r="I393" s="256">
        <f t="shared" si="141"/>
        <v>0</v>
      </c>
      <c r="J393" s="256">
        <f t="shared" si="142"/>
        <v>0</v>
      </c>
      <c r="K393" s="256">
        <f t="shared" si="143"/>
        <v>0</v>
      </c>
      <c r="L393" s="256">
        <f t="shared" si="144"/>
        <v>0</v>
      </c>
      <c r="M393" s="256">
        <f t="shared" si="145"/>
        <v>0</v>
      </c>
      <c r="N393" s="255">
        <v>0</v>
      </c>
      <c r="O393" s="256">
        <v>0</v>
      </c>
      <c r="P393" s="256">
        <v>0</v>
      </c>
      <c r="Q393" s="256">
        <v>0</v>
      </c>
      <c r="R393" s="256">
        <v>0</v>
      </c>
      <c r="S393" s="257">
        <v>0</v>
      </c>
      <c r="T393" s="256">
        <v>0</v>
      </c>
      <c r="U393" s="258">
        <f t="shared" si="146"/>
        <v>0</v>
      </c>
      <c r="V393" s="256">
        <v>0</v>
      </c>
      <c r="W393" s="256">
        <v>0</v>
      </c>
      <c r="X393" s="256">
        <v>0</v>
      </c>
      <c r="Y393" s="256">
        <v>0</v>
      </c>
      <c r="Z393" s="256">
        <v>0</v>
      </c>
      <c r="AA393" s="256">
        <v>0</v>
      </c>
      <c r="AB393" s="256">
        <v>0</v>
      </c>
      <c r="AC393" s="189">
        <f t="shared" si="147"/>
        <v>0</v>
      </c>
      <c r="AD393" s="259">
        <f t="shared" si="148"/>
        <v>0</v>
      </c>
    </row>
    <row r="394" spans="1:30" s="160" customFormat="1" hidden="1">
      <c r="A394" s="250">
        <v>389</v>
      </c>
      <c r="B394" s="251"/>
      <c r="C394" s="252"/>
      <c r="D394" s="253"/>
      <c r="E394" s="254">
        <f t="shared" si="137"/>
        <v>0</v>
      </c>
      <c r="F394" s="255">
        <f t="shared" si="138"/>
        <v>0</v>
      </c>
      <c r="G394" s="256">
        <f t="shared" si="139"/>
        <v>0</v>
      </c>
      <c r="H394" s="256">
        <f t="shared" si="140"/>
        <v>0</v>
      </c>
      <c r="I394" s="256">
        <f t="shared" si="141"/>
        <v>0</v>
      </c>
      <c r="J394" s="256">
        <f t="shared" si="142"/>
        <v>0</v>
      </c>
      <c r="K394" s="256">
        <f t="shared" si="143"/>
        <v>0</v>
      </c>
      <c r="L394" s="256">
        <f t="shared" si="144"/>
        <v>0</v>
      </c>
      <c r="M394" s="256">
        <f t="shared" si="145"/>
        <v>0</v>
      </c>
      <c r="N394" s="255">
        <v>0</v>
      </c>
      <c r="O394" s="256">
        <v>0</v>
      </c>
      <c r="P394" s="256">
        <v>0</v>
      </c>
      <c r="Q394" s="256">
        <v>0</v>
      </c>
      <c r="R394" s="256">
        <v>0</v>
      </c>
      <c r="S394" s="257">
        <v>0</v>
      </c>
      <c r="T394" s="256">
        <v>0</v>
      </c>
      <c r="U394" s="258">
        <f t="shared" si="146"/>
        <v>0</v>
      </c>
      <c r="V394" s="256">
        <v>0</v>
      </c>
      <c r="W394" s="256">
        <v>0</v>
      </c>
      <c r="X394" s="256">
        <v>0</v>
      </c>
      <c r="Y394" s="256">
        <v>0</v>
      </c>
      <c r="Z394" s="256">
        <v>0</v>
      </c>
      <c r="AA394" s="256">
        <v>0</v>
      </c>
      <c r="AB394" s="256">
        <v>0</v>
      </c>
      <c r="AC394" s="189">
        <f t="shared" si="147"/>
        <v>0</v>
      </c>
      <c r="AD394" s="259">
        <f t="shared" si="148"/>
        <v>0</v>
      </c>
    </row>
    <row r="395" spans="1:30" s="160" customFormat="1" hidden="1">
      <c r="A395" s="250">
        <v>390</v>
      </c>
      <c r="B395" s="251"/>
      <c r="C395" s="252"/>
      <c r="D395" s="253"/>
      <c r="E395" s="254">
        <f t="shared" si="137"/>
        <v>0</v>
      </c>
      <c r="F395" s="255">
        <f t="shared" si="138"/>
        <v>0</v>
      </c>
      <c r="G395" s="256">
        <f t="shared" si="139"/>
        <v>0</v>
      </c>
      <c r="H395" s="256">
        <f t="shared" si="140"/>
        <v>0</v>
      </c>
      <c r="I395" s="256">
        <f t="shared" si="141"/>
        <v>0</v>
      </c>
      <c r="J395" s="256">
        <f t="shared" si="142"/>
        <v>0</v>
      </c>
      <c r="K395" s="256">
        <f t="shared" si="143"/>
        <v>0</v>
      </c>
      <c r="L395" s="256">
        <f t="shared" si="144"/>
        <v>0</v>
      </c>
      <c r="M395" s="256">
        <f t="shared" si="145"/>
        <v>0</v>
      </c>
      <c r="N395" s="255">
        <v>0</v>
      </c>
      <c r="O395" s="256">
        <v>0</v>
      </c>
      <c r="P395" s="256">
        <v>0</v>
      </c>
      <c r="Q395" s="256">
        <v>0</v>
      </c>
      <c r="R395" s="256">
        <v>0</v>
      </c>
      <c r="S395" s="257">
        <v>0</v>
      </c>
      <c r="T395" s="256">
        <v>0</v>
      </c>
      <c r="U395" s="258">
        <f t="shared" si="146"/>
        <v>0</v>
      </c>
      <c r="V395" s="256">
        <v>0</v>
      </c>
      <c r="W395" s="256">
        <v>0</v>
      </c>
      <c r="X395" s="256">
        <v>0</v>
      </c>
      <c r="Y395" s="256">
        <v>0</v>
      </c>
      <c r="Z395" s="256">
        <v>0</v>
      </c>
      <c r="AA395" s="256">
        <v>0</v>
      </c>
      <c r="AB395" s="256">
        <v>0</v>
      </c>
      <c r="AC395" s="189">
        <f t="shared" si="147"/>
        <v>0</v>
      </c>
      <c r="AD395" s="259">
        <f t="shared" si="148"/>
        <v>0</v>
      </c>
    </row>
    <row r="396" spans="1:30" s="160" customFormat="1" hidden="1">
      <c r="A396" s="250">
        <v>391</v>
      </c>
      <c r="B396" s="251"/>
      <c r="C396" s="252"/>
      <c r="D396" s="253"/>
      <c r="E396" s="254">
        <f t="shared" si="137"/>
        <v>0</v>
      </c>
      <c r="F396" s="255">
        <f t="shared" si="138"/>
        <v>0</v>
      </c>
      <c r="G396" s="256">
        <f t="shared" si="139"/>
        <v>0</v>
      </c>
      <c r="H396" s="256">
        <f t="shared" si="140"/>
        <v>0</v>
      </c>
      <c r="I396" s="256">
        <f t="shared" si="141"/>
        <v>0</v>
      </c>
      <c r="J396" s="256">
        <f t="shared" si="142"/>
        <v>0</v>
      </c>
      <c r="K396" s="256">
        <f t="shared" si="143"/>
        <v>0</v>
      </c>
      <c r="L396" s="256">
        <f t="shared" si="144"/>
        <v>0</v>
      </c>
      <c r="M396" s="256">
        <f t="shared" si="145"/>
        <v>0</v>
      </c>
      <c r="N396" s="255">
        <v>0</v>
      </c>
      <c r="O396" s="256">
        <v>0</v>
      </c>
      <c r="P396" s="256">
        <v>0</v>
      </c>
      <c r="Q396" s="256">
        <v>0</v>
      </c>
      <c r="R396" s="256">
        <v>0</v>
      </c>
      <c r="S396" s="257">
        <v>0</v>
      </c>
      <c r="T396" s="256">
        <v>0</v>
      </c>
      <c r="U396" s="258">
        <f t="shared" si="146"/>
        <v>0</v>
      </c>
      <c r="V396" s="256">
        <v>0</v>
      </c>
      <c r="W396" s="256">
        <v>0</v>
      </c>
      <c r="X396" s="256">
        <v>0</v>
      </c>
      <c r="Y396" s="256">
        <v>0</v>
      </c>
      <c r="Z396" s="256">
        <v>0</v>
      </c>
      <c r="AA396" s="256">
        <v>0</v>
      </c>
      <c r="AB396" s="256">
        <v>0</v>
      </c>
      <c r="AC396" s="189">
        <f t="shared" si="147"/>
        <v>0</v>
      </c>
      <c r="AD396" s="259">
        <f t="shared" si="148"/>
        <v>0</v>
      </c>
    </row>
    <row r="397" spans="1:30" s="160" customFormat="1" hidden="1">
      <c r="A397" s="250">
        <v>392</v>
      </c>
      <c r="B397" s="251"/>
      <c r="C397" s="252"/>
      <c r="D397" s="253"/>
      <c r="E397" s="254">
        <f t="shared" si="137"/>
        <v>0</v>
      </c>
      <c r="F397" s="255">
        <f t="shared" si="138"/>
        <v>0</v>
      </c>
      <c r="G397" s="256">
        <f t="shared" si="139"/>
        <v>0</v>
      </c>
      <c r="H397" s="256">
        <f t="shared" si="140"/>
        <v>0</v>
      </c>
      <c r="I397" s="256">
        <f t="shared" si="141"/>
        <v>0</v>
      </c>
      <c r="J397" s="256">
        <f t="shared" si="142"/>
        <v>0</v>
      </c>
      <c r="K397" s="256">
        <f t="shared" si="143"/>
        <v>0</v>
      </c>
      <c r="L397" s="256">
        <f t="shared" si="144"/>
        <v>0</v>
      </c>
      <c r="M397" s="256">
        <f t="shared" si="145"/>
        <v>0</v>
      </c>
      <c r="N397" s="255">
        <v>0</v>
      </c>
      <c r="O397" s="256">
        <v>0</v>
      </c>
      <c r="P397" s="256">
        <v>0</v>
      </c>
      <c r="Q397" s="256">
        <v>0</v>
      </c>
      <c r="R397" s="256">
        <v>0</v>
      </c>
      <c r="S397" s="257">
        <v>0</v>
      </c>
      <c r="T397" s="256">
        <v>0</v>
      </c>
      <c r="U397" s="258">
        <f t="shared" si="146"/>
        <v>0</v>
      </c>
      <c r="V397" s="256">
        <v>0</v>
      </c>
      <c r="W397" s="256">
        <v>0</v>
      </c>
      <c r="X397" s="256">
        <v>0</v>
      </c>
      <c r="Y397" s="256">
        <v>0</v>
      </c>
      <c r="Z397" s="256">
        <v>0</v>
      </c>
      <c r="AA397" s="256">
        <v>0</v>
      </c>
      <c r="AB397" s="256">
        <v>0</v>
      </c>
      <c r="AC397" s="189">
        <f t="shared" si="147"/>
        <v>0</v>
      </c>
      <c r="AD397" s="259">
        <f t="shared" si="148"/>
        <v>0</v>
      </c>
    </row>
    <row r="398" spans="1:30" s="160" customFormat="1" hidden="1">
      <c r="A398" s="250">
        <v>393</v>
      </c>
      <c r="B398" s="251"/>
      <c r="C398" s="252"/>
      <c r="D398" s="253"/>
      <c r="E398" s="254">
        <f t="shared" si="137"/>
        <v>0</v>
      </c>
      <c r="F398" s="255">
        <f t="shared" si="138"/>
        <v>0</v>
      </c>
      <c r="G398" s="256">
        <f t="shared" si="139"/>
        <v>0</v>
      </c>
      <c r="H398" s="256">
        <f t="shared" si="140"/>
        <v>0</v>
      </c>
      <c r="I398" s="256">
        <f t="shared" si="141"/>
        <v>0</v>
      </c>
      <c r="J398" s="256">
        <f t="shared" si="142"/>
        <v>0</v>
      </c>
      <c r="K398" s="256">
        <f t="shared" si="143"/>
        <v>0</v>
      </c>
      <c r="L398" s="256">
        <f t="shared" si="144"/>
        <v>0</v>
      </c>
      <c r="M398" s="256">
        <f t="shared" si="145"/>
        <v>0</v>
      </c>
      <c r="N398" s="255">
        <v>0</v>
      </c>
      <c r="O398" s="256">
        <v>0</v>
      </c>
      <c r="P398" s="256">
        <v>0</v>
      </c>
      <c r="Q398" s="256">
        <v>0</v>
      </c>
      <c r="R398" s="256">
        <v>0</v>
      </c>
      <c r="S398" s="257">
        <v>0</v>
      </c>
      <c r="T398" s="256">
        <v>0</v>
      </c>
      <c r="U398" s="258">
        <f t="shared" si="146"/>
        <v>0</v>
      </c>
      <c r="V398" s="256">
        <v>0</v>
      </c>
      <c r="W398" s="256">
        <v>0</v>
      </c>
      <c r="X398" s="256">
        <v>0</v>
      </c>
      <c r="Y398" s="256">
        <v>0</v>
      </c>
      <c r="Z398" s="256">
        <v>0</v>
      </c>
      <c r="AA398" s="256">
        <v>0</v>
      </c>
      <c r="AB398" s="256">
        <v>0</v>
      </c>
      <c r="AC398" s="189">
        <f t="shared" si="147"/>
        <v>0</v>
      </c>
      <c r="AD398" s="259">
        <f t="shared" si="148"/>
        <v>0</v>
      </c>
    </row>
    <row r="399" spans="1:30" s="160" customFormat="1" hidden="1">
      <c r="A399" s="250">
        <v>394</v>
      </c>
      <c r="B399" s="251"/>
      <c r="C399" s="252"/>
      <c r="D399" s="253"/>
      <c r="E399" s="254">
        <f t="shared" si="137"/>
        <v>0</v>
      </c>
      <c r="F399" s="255">
        <f t="shared" si="138"/>
        <v>0</v>
      </c>
      <c r="G399" s="256">
        <f t="shared" si="139"/>
        <v>0</v>
      </c>
      <c r="H399" s="256">
        <f t="shared" si="140"/>
        <v>0</v>
      </c>
      <c r="I399" s="256">
        <f t="shared" si="141"/>
        <v>0</v>
      </c>
      <c r="J399" s="256">
        <f t="shared" si="142"/>
        <v>0</v>
      </c>
      <c r="K399" s="256">
        <f t="shared" si="143"/>
        <v>0</v>
      </c>
      <c r="L399" s="256">
        <f t="shared" si="144"/>
        <v>0</v>
      </c>
      <c r="M399" s="256">
        <f t="shared" si="145"/>
        <v>0</v>
      </c>
      <c r="N399" s="255">
        <v>0</v>
      </c>
      <c r="O399" s="256">
        <v>0</v>
      </c>
      <c r="P399" s="256">
        <v>0</v>
      </c>
      <c r="Q399" s="256">
        <v>0</v>
      </c>
      <c r="R399" s="256">
        <v>0</v>
      </c>
      <c r="S399" s="257">
        <v>0</v>
      </c>
      <c r="T399" s="256">
        <v>0</v>
      </c>
      <c r="U399" s="258">
        <f t="shared" si="146"/>
        <v>0</v>
      </c>
      <c r="V399" s="256">
        <v>0</v>
      </c>
      <c r="W399" s="256">
        <v>0</v>
      </c>
      <c r="X399" s="256">
        <v>0</v>
      </c>
      <c r="Y399" s="256">
        <v>0</v>
      </c>
      <c r="Z399" s="256">
        <v>0</v>
      </c>
      <c r="AA399" s="256">
        <v>0</v>
      </c>
      <c r="AB399" s="256">
        <v>0</v>
      </c>
      <c r="AC399" s="189">
        <f t="shared" si="147"/>
        <v>0</v>
      </c>
      <c r="AD399" s="259">
        <f t="shared" si="148"/>
        <v>0</v>
      </c>
    </row>
    <row r="400" spans="1:30" s="160" customFormat="1" hidden="1">
      <c r="A400" s="250">
        <v>395</v>
      </c>
      <c r="B400" s="251"/>
      <c r="C400" s="252"/>
      <c r="D400" s="253"/>
      <c r="E400" s="254">
        <f t="shared" si="137"/>
        <v>0</v>
      </c>
      <c r="F400" s="255">
        <f t="shared" si="138"/>
        <v>0</v>
      </c>
      <c r="G400" s="256">
        <f t="shared" si="139"/>
        <v>0</v>
      </c>
      <c r="H400" s="256">
        <f t="shared" si="140"/>
        <v>0</v>
      </c>
      <c r="I400" s="256">
        <f t="shared" si="141"/>
        <v>0</v>
      </c>
      <c r="J400" s="256">
        <f t="shared" si="142"/>
        <v>0</v>
      </c>
      <c r="K400" s="256">
        <f t="shared" si="143"/>
        <v>0</v>
      </c>
      <c r="L400" s="256">
        <f t="shared" si="144"/>
        <v>0</v>
      </c>
      <c r="M400" s="256">
        <f t="shared" si="145"/>
        <v>0</v>
      </c>
      <c r="N400" s="255">
        <v>0</v>
      </c>
      <c r="O400" s="256">
        <v>0</v>
      </c>
      <c r="P400" s="256">
        <v>0</v>
      </c>
      <c r="Q400" s="256">
        <v>0</v>
      </c>
      <c r="R400" s="256">
        <v>0</v>
      </c>
      <c r="S400" s="257">
        <v>0</v>
      </c>
      <c r="T400" s="256">
        <v>0</v>
      </c>
      <c r="U400" s="258">
        <f t="shared" si="146"/>
        <v>0</v>
      </c>
      <c r="V400" s="256">
        <v>0</v>
      </c>
      <c r="W400" s="256">
        <v>0</v>
      </c>
      <c r="X400" s="256">
        <v>0</v>
      </c>
      <c r="Y400" s="256">
        <v>0</v>
      </c>
      <c r="Z400" s="256">
        <v>0</v>
      </c>
      <c r="AA400" s="256">
        <v>0</v>
      </c>
      <c r="AB400" s="256">
        <v>0</v>
      </c>
      <c r="AC400" s="189">
        <f t="shared" si="147"/>
        <v>0</v>
      </c>
      <c r="AD400" s="259">
        <f t="shared" si="148"/>
        <v>0</v>
      </c>
    </row>
    <row r="401" spans="1:30" s="160" customFormat="1" hidden="1">
      <c r="A401" s="250">
        <v>396</v>
      </c>
      <c r="B401" s="251"/>
      <c r="C401" s="252"/>
      <c r="D401" s="253"/>
      <c r="E401" s="254">
        <f t="shared" si="137"/>
        <v>0</v>
      </c>
      <c r="F401" s="255">
        <f t="shared" si="138"/>
        <v>0</v>
      </c>
      <c r="G401" s="256">
        <f t="shared" si="139"/>
        <v>0</v>
      </c>
      <c r="H401" s="256">
        <f t="shared" si="140"/>
        <v>0</v>
      </c>
      <c r="I401" s="256">
        <f t="shared" si="141"/>
        <v>0</v>
      </c>
      <c r="J401" s="256">
        <f t="shared" si="142"/>
        <v>0</v>
      </c>
      <c r="K401" s="256">
        <f t="shared" si="143"/>
        <v>0</v>
      </c>
      <c r="L401" s="256">
        <f t="shared" si="144"/>
        <v>0</v>
      </c>
      <c r="M401" s="256">
        <f t="shared" si="145"/>
        <v>0</v>
      </c>
      <c r="N401" s="255">
        <v>0</v>
      </c>
      <c r="O401" s="256">
        <v>0</v>
      </c>
      <c r="P401" s="256">
        <v>0</v>
      </c>
      <c r="Q401" s="256">
        <v>0</v>
      </c>
      <c r="R401" s="256">
        <v>0</v>
      </c>
      <c r="S401" s="257">
        <v>0</v>
      </c>
      <c r="T401" s="256">
        <v>0</v>
      </c>
      <c r="U401" s="258">
        <f t="shared" si="146"/>
        <v>0</v>
      </c>
      <c r="V401" s="256">
        <v>0</v>
      </c>
      <c r="W401" s="256">
        <v>0</v>
      </c>
      <c r="X401" s="256">
        <v>0</v>
      </c>
      <c r="Y401" s="256">
        <v>0</v>
      </c>
      <c r="Z401" s="256">
        <v>0</v>
      </c>
      <c r="AA401" s="256">
        <v>0</v>
      </c>
      <c r="AB401" s="256">
        <v>0</v>
      </c>
      <c r="AC401" s="189">
        <f t="shared" si="147"/>
        <v>0</v>
      </c>
      <c r="AD401" s="259">
        <f t="shared" si="148"/>
        <v>0</v>
      </c>
    </row>
    <row r="402" spans="1:30" s="160" customFormat="1" hidden="1">
      <c r="A402" s="250">
        <v>397</v>
      </c>
      <c r="B402" s="251"/>
      <c r="C402" s="252"/>
      <c r="D402" s="253"/>
      <c r="E402" s="254">
        <f t="shared" si="137"/>
        <v>0</v>
      </c>
      <c r="F402" s="255">
        <f t="shared" si="138"/>
        <v>0</v>
      </c>
      <c r="G402" s="256">
        <f t="shared" si="139"/>
        <v>0</v>
      </c>
      <c r="H402" s="256">
        <f t="shared" si="140"/>
        <v>0</v>
      </c>
      <c r="I402" s="256">
        <f t="shared" si="141"/>
        <v>0</v>
      </c>
      <c r="J402" s="256">
        <f t="shared" si="142"/>
        <v>0</v>
      </c>
      <c r="K402" s="256">
        <f t="shared" si="143"/>
        <v>0</v>
      </c>
      <c r="L402" s="256">
        <f t="shared" si="144"/>
        <v>0</v>
      </c>
      <c r="M402" s="256">
        <f t="shared" si="145"/>
        <v>0</v>
      </c>
      <c r="N402" s="255">
        <v>0</v>
      </c>
      <c r="O402" s="256">
        <v>0</v>
      </c>
      <c r="P402" s="256">
        <v>0</v>
      </c>
      <c r="Q402" s="256">
        <v>0</v>
      </c>
      <c r="R402" s="256">
        <v>0</v>
      </c>
      <c r="S402" s="257">
        <v>0</v>
      </c>
      <c r="T402" s="256">
        <v>0</v>
      </c>
      <c r="U402" s="258">
        <f t="shared" si="146"/>
        <v>0</v>
      </c>
      <c r="V402" s="256">
        <v>0</v>
      </c>
      <c r="W402" s="256">
        <v>0</v>
      </c>
      <c r="X402" s="256">
        <v>0</v>
      </c>
      <c r="Y402" s="256">
        <v>0</v>
      </c>
      <c r="Z402" s="256">
        <v>0</v>
      </c>
      <c r="AA402" s="256">
        <v>0</v>
      </c>
      <c r="AB402" s="256">
        <v>0</v>
      </c>
      <c r="AC402" s="189">
        <f t="shared" si="147"/>
        <v>0</v>
      </c>
      <c r="AD402" s="259">
        <f t="shared" si="148"/>
        <v>0</v>
      </c>
    </row>
    <row r="403" spans="1:30" s="160" customFormat="1" hidden="1">
      <c r="A403" s="250">
        <v>398</v>
      </c>
      <c r="B403" s="251"/>
      <c r="C403" s="252"/>
      <c r="D403" s="253"/>
      <c r="E403" s="254">
        <f t="shared" si="137"/>
        <v>0</v>
      </c>
      <c r="F403" s="255">
        <f t="shared" si="138"/>
        <v>0</v>
      </c>
      <c r="G403" s="256">
        <f t="shared" si="139"/>
        <v>0</v>
      </c>
      <c r="H403" s="256">
        <f t="shared" si="140"/>
        <v>0</v>
      </c>
      <c r="I403" s="256">
        <f t="shared" si="141"/>
        <v>0</v>
      </c>
      <c r="J403" s="256">
        <f t="shared" si="142"/>
        <v>0</v>
      </c>
      <c r="K403" s="256">
        <f t="shared" si="143"/>
        <v>0</v>
      </c>
      <c r="L403" s="256">
        <f t="shared" si="144"/>
        <v>0</v>
      </c>
      <c r="M403" s="256">
        <f t="shared" si="145"/>
        <v>0</v>
      </c>
      <c r="N403" s="255">
        <v>0</v>
      </c>
      <c r="O403" s="256">
        <v>0</v>
      </c>
      <c r="P403" s="256">
        <v>0</v>
      </c>
      <c r="Q403" s="256">
        <v>0</v>
      </c>
      <c r="R403" s="256">
        <v>0</v>
      </c>
      <c r="S403" s="257">
        <v>0</v>
      </c>
      <c r="T403" s="256">
        <v>0</v>
      </c>
      <c r="U403" s="258">
        <f t="shared" si="146"/>
        <v>0</v>
      </c>
      <c r="V403" s="256">
        <v>0</v>
      </c>
      <c r="W403" s="256">
        <v>0</v>
      </c>
      <c r="X403" s="256">
        <v>0</v>
      </c>
      <c r="Y403" s="256">
        <v>0</v>
      </c>
      <c r="Z403" s="256">
        <v>0</v>
      </c>
      <c r="AA403" s="256">
        <v>0</v>
      </c>
      <c r="AB403" s="256">
        <v>0</v>
      </c>
      <c r="AC403" s="189">
        <f t="shared" si="147"/>
        <v>0</v>
      </c>
      <c r="AD403" s="259">
        <f t="shared" si="148"/>
        <v>0</v>
      </c>
    </row>
    <row r="404" spans="1:30" s="160" customFormat="1" hidden="1">
      <c r="A404" s="250">
        <v>399</v>
      </c>
      <c r="B404" s="251"/>
      <c r="C404" s="252"/>
      <c r="D404" s="253"/>
      <c r="E404" s="254">
        <f t="shared" si="137"/>
        <v>0</v>
      </c>
      <c r="F404" s="255">
        <f t="shared" si="138"/>
        <v>0</v>
      </c>
      <c r="G404" s="256">
        <f t="shared" si="139"/>
        <v>0</v>
      </c>
      <c r="H404" s="256">
        <f t="shared" si="140"/>
        <v>0</v>
      </c>
      <c r="I404" s="256">
        <f t="shared" si="141"/>
        <v>0</v>
      </c>
      <c r="J404" s="256">
        <f t="shared" si="142"/>
        <v>0</v>
      </c>
      <c r="K404" s="256">
        <f t="shared" si="143"/>
        <v>0</v>
      </c>
      <c r="L404" s="256">
        <f t="shared" si="144"/>
        <v>0</v>
      </c>
      <c r="M404" s="256">
        <f t="shared" si="145"/>
        <v>0</v>
      </c>
      <c r="N404" s="255">
        <v>0</v>
      </c>
      <c r="O404" s="256">
        <v>0</v>
      </c>
      <c r="P404" s="256">
        <v>0</v>
      </c>
      <c r="Q404" s="256">
        <v>0</v>
      </c>
      <c r="R404" s="256">
        <v>0</v>
      </c>
      <c r="S404" s="257">
        <v>0</v>
      </c>
      <c r="T404" s="256">
        <v>0</v>
      </c>
      <c r="U404" s="258">
        <f t="shared" si="146"/>
        <v>0</v>
      </c>
      <c r="V404" s="256">
        <v>0</v>
      </c>
      <c r="W404" s="256">
        <v>0</v>
      </c>
      <c r="X404" s="256">
        <v>0</v>
      </c>
      <c r="Y404" s="256">
        <v>0</v>
      </c>
      <c r="Z404" s="256">
        <v>0</v>
      </c>
      <c r="AA404" s="256">
        <v>0</v>
      </c>
      <c r="AB404" s="256">
        <v>0</v>
      </c>
      <c r="AC404" s="189">
        <f t="shared" si="147"/>
        <v>0</v>
      </c>
      <c r="AD404" s="259">
        <f t="shared" si="148"/>
        <v>0</v>
      </c>
    </row>
    <row r="405" spans="1:30" s="160" customFormat="1" hidden="1">
      <c r="A405" s="250">
        <v>400</v>
      </c>
      <c r="B405" s="251"/>
      <c r="C405" s="252"/>
      <c r="D405" s="253"/>
      <c r="E405" s="254">
        <f t="shared" si="137"/>
        <v>0</v>
      </c>
      <c r="F405" s="255">
        <f t="shared" si="138"/>
        <v>0</v>
      </c>
      <c r="G405" s="256">
        <f t="shared" si="139"/>
        <v>0</v>
      </c>
      <c r="H405" s="256">
        <f t="shared" si="140"/>
        <v>0</v>
      </c>
      <c r="I405" s="256">
        <f t="shared" si="141"/>
        <v>0</v>
      </c>
      <c r="J405" s="256">
        <f t="shared" si="142"/>
        <v>0</v>
      </c>
      <c r="K405" s="256">
        <f t="shared" si="143"/>
        <v>0</v>
      </c>
      <c r="L405" s="256">
        <f t="shared" si="144"/>
        <v>0</v>
      </c>
      <c r="M405" s="256">
        <f t="shared" si="145"/>
        <v>0</v>
      </c>
      <c r="N405" s="255">
        <v>0</v>
      </c>
      <c r="O405" s="256">
        <v>0</v>
      </c>
      <c r="P405" s="256">
        <v>0</v>
      </c>
      <c r="Q405" s="256">
        <v>0</v>
      </c>
      <c r="R405" s="256">
        <v>0</v>
      </c>
      <c r="S405" s="257">
        <v>0</v>
      </c>
      <c r="T405" s="256">
        <v>0</v>
      </c>
      <c r="U405" s="258">
        <f t="shared" si="146"/>
        <v>0</v>
      </c>
      <c r="V405" s="256">
        <v>0</v>
      </c>
      <c r="W405" s="256">
        <v>0</v>
      </c>
      <c r="X405" s="256">
        <v>0</v>
      </c>
      <c r="Y405" s="256">
        <v>0</v>
      </c>
      <c r="Z405" s="256">
        <v>0</v>
      </c>
      <c r="AA405" s="256">
        <v>0</v>
      </c>
      <c r="AB405" s="256">
        <v>0</v>
      </c>
      <c r="AC405" s="189">
        <f t="shared" si="147"/>
        <v>0</v>
      </c>
      <c r="AD405" s="259">
        <f t="shared" si="148"/>
        <v>0</v>
      </c>
    </row>
    <row r="406" spans="1:30" s="160" customFormat="1" hidden="1">
      <c r="A406" s="250">
        <v>401</v>
      </c>
      <c r="B406" s="251"/>
      <c r="C406" s="252"/>
      <c r="D406" s="253"/>
      <c r="E406" s="254">
        <f t="shared" si="137"/>
        <v>0</v>
      </c>
      <c r="F406" s="255">
        <f t="shared" si="138"/>
        <v>0</v>
      </c>
      <c r="G406" s="256">
        <f t="shared" si="139"/>
        <v>0</v>
      </c>
      <c r="H406" s="256">
        <f t="shared" si="140"/>
        <v>0</v>
      </c>
      <c r="I406" s="256">
        <f t="shared" si="141"/>
        <v>0</v>
      </c>
      <c r="J406" s="256">
        <f t="shared" si="142"/>
        <v>0</v>
      </c>
      <c r="K406" s="256">
        <f t="shared" si="143"/>
        <v>0</v>
      </c>
      <c r="L406" s="256">
        <f t="shared" si="144"/>
        <v>0</v>
      </c>
      <c r="M406" s="256">
        <f t="shared" si="145"/>
        <v>0</v>
      </c>
      <c r="N406" s="255">
        <v>0</v>
      </c>
      <c r="O406" s="256">
        <v>0</v>
      </c>
      <c r="P406" s="256">
        <v>0</v>
      </c>
      <c r="Q406" s="256">
        <v>0</v>
      </c>
      <c r="R406" s="256">
        <v>0</v>
      </c>
      <c r="S406" s="257">
        <v>0</v>
      </c>
      <c r="T406" s="256">
        <v>0</v>
      </c>
      <c r="U406" s="258">
        <f t="shared" si="146"/>
        <v>0</v>
      </c>
      <c r="V406" s="256">
        <v>0</v>
      </c>
      <c r="W406" s="256">
        <v>0</v>
      </c>
      <c r="X406" s="256">
        <v>0</v>
      </c>
      <c r="Y406" s="256">
        <v>0</v>
      </c>
      <c r="Z406" s="256">
        <v>0</v>
      </c>
      <c r="AA406" s="256">
        <v>0</v>
      </c>
      <c r="AB406" s="256">
        <v>0</v>
      </c>
      <c r="AC406" s="189">
        <f t="shared" si="147"/>
        <v>0</v>
      </c>
      <c r="AD406" s="259">
        <f t="shared" si="148"/>
        <v>0</v>
      </c>
    </row>
    <row r="407" spans="1:30" s="160" customFormat="1" hidden="1">
      <c r="A407" s="250">
        <v>402</v>
      </c>
      <c r="B407" s="251"/>
      <c r="C407" s="252"/>
      <c r="D407" s="253"/>
      <c r="E407" s="254">
        <f t="shared" si="137"/>
        <v>0</v>
      </c>
      <c r="F407" s="255">
        <f t="shared" si="138"/>
        <v>0</v>
      </c>
      <c r="G407" s="256">
        <f t="shared" si="139"/>
        <v>0</v>
      </c>
      <c r="H407" s="256">
        <f t="shared" si="140"/>
        <v>0</v>
      </c>
      <c r="I407" s="256">
        <f t="shared" si="141"/>
        <v>0</v>
      </c>
      <c r="J407" s="256">
        <f t="shared" si="142"/>
        <v>0</v>
      </c>
      <c r="K407" s="256">
        <f t="shared" si="143"/>
        <v>0</v>
      </c>
      <c r="L407" s="256">
        <f t="shared" si="144"/>
        <v>0</v>
      </c>
      <c r="M407" s="256">
        <f t="shared" si="145"/>
        <v>0</v>
      </c>
      <c r="N407" s="255">
        <v>0</v>
      </c>
      <c r="O407" s="256">
        <v>0</v>
      </c>
      <c r="P407" s="256">
        <v>0</v>
      </c>
      <c r="Q407" s="256">
        <v>0</v>
      </c>
      <c r="R407" s="256">
        <v>0</v>
      </c>
      <c r="S407" s="257">
        <v>0</v>
      </c>
      <c r="T407" s="256">
        <v>0</v>
      </c>
      <c r="U407" s="258">
        <f t="shared" si="146"/>
        <v>0</v>
      </c>
      <c r="V407" s="256">
        <v>0</v>
      </c>
      <c r="W407" s="256">
        <v>0</v>
      </c>
      <c r="X407" s="256">
        <v>0</v>
      </c>
      <c r="Y407" s="256">
        <v>0</v>
      </c>
      <c r="Z407" s="256">
        <v>0</v>
      </c>
      <c r="AA407" s="256">
        <v>0</v>
      </c>
      <c r="AB407" s="256">
        <v>0</v>
      </c>
      <c r="AC407" s="189">
        <f t="shared" si="147"/>
        <v>0</v>
      </c>
      <c r="AD407" s="259">
        <f t="shared" si="148"/>
        <v>0</v>
      </c>
    </row>
    <row r="408" spans="1:30" s="160" customFormat="1" hidden="1">
      <c r="A408" s="250">
        <v>403</v>
      </c>
      <c r="B408" s="251"/>
      <c r="C408" s="252"/>
      <c r="D408" s="253"/>
      <c r="E408" s="254">
        <f t="shared" si="137"/>
        <v>0</v>
      </c>
      <c r="F408" s="255">
        <f t="shared" si="138"/>
        <v>0</v>
      </c>
      <c r="G408" s="256">
        <f t="shared" si="139"/>
        <v>0</v>
      </c>
      <c r="H408" s="256">
        <f t="shared" si="140"/>
        <v>0</v>
      </c>
      <c r="I408" s="256">
        <f t="shared" si="141"/>
        <v>0</v>
      </c>
      <c r="J408" s="256">
        <f t="shared" si="142"/>
        <v>0</v>
      </c>
      <c r="K408" s="256">
        <f t="shared" si="143"/>
        <v>0</v>
      </c>
      <c r="L408" s="256">
        <f t="shared" si="144"/>
        <v>0</v>
      </c>
      <c r="M408" s="256">
        <f t="shared" si="145"/>
        <v>0</v>
      </c>
      <c r="N408" s="255">
        <v>0</v>
      </c>
      <c r="O408" s="256">
        <v>0</v>
      </c>
      <c r="P408" s="256">
        <v>0</v>
      </c>
      <c r="Q408" s="256">
        <v>0</v>
      </c>
      <c r="R408" s="256">
        <v>0</v>
      </c>
      <c r="S408" s="257">
        <v>0</v>
      </c>
      <c r="T408" s="256">
        <v>0</v>
      </c>
      <c r="U408" s="258">
        <f t="shared" si="146"/>
        <v>0</v>
      </c>
      <c r="V408" s="256">
        <v>0</v>
      </c>
      <c r="W408" s="256">
        <v>0</v>
      </c>
      <c r="X408" s="256">
        <v>0</v>
      </c>
      <c r="Y408" s="256">
        <v>0</v>
      </c>
      <c r="Z408" s="256">
        <v>0</v>
      </c>
      <c r="AA408" s="256">
        <v>0</v>
      </c>
      <c r="AB408" s="256">
        <v>0</v>
      </c>
      <c r="AC408" s="189">
        <f t="shared" si="147"/>
        <v>0</v>
      </c>
      <c r="AD408" s="259">
        <f t="shared" si="148"/>
        <v>0</v>
      </c>
    </row>
    <row r="409" spans="1:30" s="160" customFormat="1" hidden="1">
      <c r="A409" s="250">
        <v>404</v>
      </c>
      <c r="B409" s="251"/>
      <c r="C409" s="252"/>
      <c r="D409" s="253"/>
      <c r="E409" s="254">
        <f t="shared" si="137"/>
        <v>0</v>
      </c>
      <c r="F409" s="255">
        <f t="shared" si="138"/>
        <v>0</v>
      </c>
      <c r="G409" s="256">
        <f t="shared" si="139"/>
        <v>0</v>
      </c>
      <c r="H409" s="256">
        <f t="shared" si="140"/>
        <v>0</v>
      </c>
      <c r="I409" s="256">
        <f t="shared" si="141"/>
        <v>0</v>
      </c>
      <c r="J409" s="256">
        <f t="shared" si="142"/>
        <v>0</v>
      </c>
      <c r="K409" s="256">
        <f t="shared" si="143"/>
        <v>0</v>
      </c>
      <c r="L409" s="256">
        <f t="shared" si="144"/>
        <v>0</v>
      </c>
      <c r="M409" s="256">
        <f t="shared" si="145"/>
        <v>0</v>
      </c>
      <c r="N409" s="255">
        <v>0</v>
      </c>
      <c r="O409" s="256">
        <v>0</v>
      </c>
      <c r="P409" s="256">
        <v>0</v>
      </c>
      <c r="Q409" s="256">
        <v>0</v>
      </c>
      <c r="R409" s="256">
        <v>0</v>
      </c>
      <c r="S409" s="257">
        <v>0</v>
      </c>
      <c r="T409" s="256">
        <v>0</v>
      </c>
      <c r="U409" s="258">
        <f t="shared" si="146"/>
        <v>0</v>
      </c>
      <c r="V409" s="256">
        <v>0</v>
      </c>
      <c r="W409" s="256">
        <v>0</v>
      </c>
      <c r="X409" s="256">
        <v>0</v>
      </c>
      <c r="Y409" s="256">
        <v>0</v>
      </c>
      <c r="Z409" s="256">
        <v>0</v>
      </c>
      <c r="AA409" s="256">
        <v>0</v>
      </c>
      <c r="AB409" s="256">
        <v>0</v>
      </c>
      <c r="AC409" s="189">
        <f t="shared" si="147"/>
        <v>0</v>
      </c>
      <c r="AD409" s="259">
        <f t="shared" si="148"/>
        <v>0</v>
      </c>
    </row>
    <row r="410" spans="1:30" s="160" customFormat="1" hidden="1">
      <c r="A410" s="250">
        <v>405</v>
      </c>
      <c r="B410" s="251"/>
      <c r="C410" s="252"/>
      <c r="D410" s="253"/>
      <c r="E410" s="254">
        <f t="shared" si="137"/>
        <v>0</v>
      </c>
      <c r="F410" s="255">
        <f t="shared" si="138"/>
        <v>0</v>
      </c>
      <c r="G410" s="256">
        <f t="shared" si="139"/>
        <v>0</v>
      </c>
      <c r="H410" s="256">
        <f t="shared" si="140"/>
        <v>0</v>
      </c>
      <c r="I410" s="256">
        <f t="shared" si="141"/>
        <v>0</v>
      </c>
      <c r="J410" s="256">
        <f t="shared" si="142"/>
        <v>0</v>
      </c>
      <c r="K410" s="256">
        <f t="shared" si="143"/>
        <v>0</v>
      </c>
      <c r="L410" s="256">
        <f t="shared" si="144"/>
        <v>0</v>
      </c>
      <c r="M410" s="256">
        <f t="shared" si="145"/>
        <v>0</v>
      </c>
      <c r="N410" s="255">
        <v>0</v>
      </c>
      <c r="O410" s="256">
        <v>0</v>
      </c>
      <c r="P410" s="256">
        <v>0</v>
      </c>
      <c r="Q410" s="256">
        <v>0</v>
      </c>
      <c r="R410" s="256">
        <v>0</v>
      </c>
      <c r="S410" s="257">
        <v>0</v>
      </c>
      <c r="T410" s="256">
        <v>0</v>
      </c>
      <c r="U410" s="258">
        <f t="shared" si="146"/>
        <v>0</v>
      </c>
      <c r="V410" s="256">
        <v>0</v>
      </c>
      <c r="W410" s="256">
        <v>0</v>
      </c>
      <c r="X410" s="256">
        <v>0</v>
      </c>
      <c r="Y410" s="256">
        <v>0</v>
      </c>
      <c r="Z410" s="256">
        <v>0</v>
      </c>
      <c r="AA410" s="256">
        <v>0</v>
      </c>
      <c r="AB410" s="256">
        <v>0</v>
      </c>
      <c r="AC410" s="189">
        <f t="shared" si="147"/>
        <v>0</v>
      </c>
      <c r="AD410" s="259">
        <f t="shared" si="148"/>
        <v>0</v>
      </c>
    </row>
    <row r="411" spans="1:30" s="160" customFormat="1" hidden="1">
      <c r="A411" s="250">
        <v>406</v>
      </c>
      <c r="B411" s="251"/>
      <c r="C411" s="252"/>
      <c r="D411" s="253"/>
      <c r="E411" s="254">
        <f t="shared" si="137"/>
        <v>0</v>
      </c>
      <c r="F411" s="255">
        <f t="shared" si="138"/>
        <v>0</v>
      </c>
      <c r="G411" s="256">
        <f t="shared" si="139"/>
        <v>0</v>
      </c>
      <c r="H411" s="256">
        <f t="shared" si="140"/>
        <v>0</v>
      </c>
      <c r="I411" s="256">
        <f t="shared" si="141"/>
        <v>0</v>
      </c>
      <c r="J411" s="256">
        <f t="shared" si="142"/>
        <v>0</v>
      </c>
      <c r="K411" s="256">
        <f t="shared" si="143"/>
        <v>0</v>
      </c>
      <c r="L411" s="256">
        <f t="shared" si="144"/>
        <v>0</v>
      </c>
      <c r="M411" s="256">
        <f t="shared" si="145"/>
        <v>0</v>
      </c>
      <c r="N411" s="255">
        <v>0</v>
      </c>
      <c r="O411" s="256">
        <v>0</v>
      </c>
      <c r="P411" s="256">
        <v>0</v>
      </c>
      <c r="Q411" s="256">
        <v>0</v>
      </c>
      <c r="R411" s="256">
        <v>0</v>
      </c>
      <c r="S411" s="257">
        <v>0</v>
      </c>
      <c r="T411" s="256">
        <v>0</v>
      </c>
      <c r="U411" s="258">
        <f t="shared" si="146"/>
        <v>0</v>
      </c>
      <c r="V411" s="256">
        <v>0</v>
      </c>
      <c r="W411" s="256">
        <v>0</v>
      </c>
      <c r="X411" s="256">
        <v>0</v>
      </c>
      <c r="Y411" s="256">
        <v>0</v>
      </c>
      <c r="Z411" s="256">
        <v>0</v>
      </c>
      <c r="AA411" s="256">
        <v>0</v>
      </c>
      <c r="AB411" s="256">
        <v>0</v>
      </c>
      <c r="AC411" s="189">
        <f t="shared" si="147"/>
        <v>0</v>
      </c>
      <c r="AD411" s="259">
        <f t="shared" si="148"/>
        <v>0</v>
      </c>
    </row>
    <row r="412" spans="1:30" s="160" customFormat="1" hidden="1">
      <c r="A412" s="250">
        <v>407</v>
      </c>
      <c r="B412" s="251"/>
      <c r="C412" s="252"/>
      <c r="D412" s="253"/>
      <c r="E412" s="254">
        <f t="shared" si="137"/>
        <v>0</v>
      </c>
      <c r="F412" s="255">
        <f t="shared" si="138"/>
        <v>0</v>
      </c>
      <c r="G412" s="256">
        <f t="shared" si="139"/>
        <v>0</v>
      </c>
      <c r="H412" s="256">
        <f t="shared" si="140"/>
        <v>0</v>
      </c>
      <c r="I412" s="256">
        <f t="shared" si="141"/>
        <v>0</v>
      </c>
      <c r="J412" s="256">
        <f t="shared" si="142"/>
        <v>0</v>
      </c>
      <c r="K412" s="256">
        <f t="shared" si="143"/>
        <v>0</v>
      </c>
      <c r="L412" s="256">
        <f t="shared" si="144"/>
        <v>0</v>
      </c>
      <c r="M412" s="256">
        <f t="shared" si="145"/>
        <v>0</v>
      </c>
      <c r="N412" s="255">
        <v>0</v>
      </c>
      <c r="O412" s="256">
        <v>0</v>
      </c>
      <c r="P412" s="256">
        <v>0</v>
      </c>
      <c r="Q412" s="256">
        <v>0</v>
      </c>
      <c r="R412" s="256">
        <v>0</v>
      </c>
      <c r="S412" s="257">
        <v>0</v>
      </c>
      <c r="T412" s="256">
        <v>0</v>
      </c>
      <c r="U412" s="258">
        <f t="shared" si="146"/>
        <v>0</v>
      </c>
      <c r="V412" s="256">
        <v>0</v>
      </c>
      <c r="W412" s="256">
        <v>0</v>
      </c>
      <c r="X412" s="256">
        <v>0</v>
      </c>
      <c r="Y412" s="256">
        <v>0</v>
      </c>
      <c r="Z412" s="256">
        <v>0</v>
      </c>
      <c r="AA412" s="256">
        <v>0</v>
      </c>
      <c r="AB412" s="256">
        <v>0</v>
      </c>
      <c r="AC412" s="189">
        <f t="shared" si="147"/>
        <v>0</v>
      </c>
      <c r="AD412" s="259">
        <f t="shared" si="148"/>
        <v>0</v>
      </c>
    </row>
    <row r="413" spans="1:30" s="160" customFormat="1" hidden="1">
      <c r="A413" s="250">
        <v>408</v>
      </c>
      <c r="B413" s="251"/>
      <c r="C413" s="252"/>
      <c r="D413" s="253"/>
      <c r="E413" s="254">
        <f t="shared" si="137"/>
        <v>0</v>
      </c>
      <c r="F413" s="255">
        <f t="shared" si="138"/>
        <v>0</v>
      </c>
      <c r="G413" s="256">
        <f t="shared" si="139"/>
        <v>0</v>
      </c>
      <c r="H413" s="256">
        <f t="shared" si="140"/>
        <v>0</v>
      </c>
      <c r="I413" s="256">
        <f t="shared" si="141"/>
        <v>0</v>
      </c>
      <c r="J413" s="256">
        <f t="shared" si="142"/>
        <v>0</v>
      </c>
      <c r="K413" s="256">
        <f t="shared" si="143"/>
        <v>0</v>
      </c>
      <c r="L413" s="256">
        <f t="shared" si="144"/>
        <v>0</v>
      </c>
      <c r="M413" s="256">
        <f t="shared" si="145"/>
        <v>0</v>
      </c>
      <c r="N413" s="255">
        <v>0</v>
      </c>
      <c r="O413" s="256">
        <v>0</v>
      </c>
      <c r="P413" s="256">
        <v>0</v>
      </c>
      <c r="Q413" s="256">
        <v>0</v>
      </c>
      <c r="R413" s="256">
        <v>0</v>
      </c>
      <c r="S413" s="257">
        <v>0</v>
      </c>
      <c r="T413" s="256">
        <v>0</v>
      </c>
      <c r="U413" s="258">
        <f t="shared" si="146"/>
        <v>0</v>
      </c>
      <c r="V413" s="256">
        <v>0</v>
      </c>
      <c r="W413" s="256">
        <v>0</v>
      </c>
      <c r="X413" s="256">
        <v>0</v>
      </c>
      <c r="Y413" s="256">
        <v>0</v>
      </c>
      <c r="Z413" s="256">
        <v>0</v>
      </c>
      <c r="AA413" s="256">
        <v>0</v>
      </c>
      <c r="AB413" s="256">
        <v>0</v>
      </c>
      <c r="AC413" s="189">
        <f t="shared" si="147"/>
        <v>0</v>
      </c>
      <c r="AD413" s="259">
        <f t="shared" si="148"/>
        <v>0</v>
      </c>
    </row>
    <row r="414" spans="1:30" s="160" customFormat="1" hidden="1">
      <c r="A414" s="250">
        <v>409</v>
      </c>
      <c r="B414" s="251"/>
      <c r="C414" s="252"/>
      <c r="D414" s="253"/>
      <c r="E414" s="254">
        <f t="shared" si="137"/>
        <v>0</v>
      </c>
      <c r="F414" s="255">
        <f t="shared" si="138"/>
        <v>0</v>
      </c>
      <c r="G414" s="256">
        <f t="shared" si="139"/>
        <v>0</v>
      </c>
      <c r="H414" s="256">
        <f t="shared" si="140"/>
        <v>0</v>
      </c>
      <c r="I414" s="256">
        <f t="shared" si="141"/>
        <v>0</v>
      </c>
      <c r="J414" s="256">
        <f t="shared" si="142"/>
        <v>0</v>
      </c>
      <c r="K414" s="256">
        <f t="shared" si="143"/>
        <v>0</v>
      </c>
      <c r="L414" s="256">
        <f t="shared" si="144"/>
        <v>0</v>
      </c>
      <c r="M414" s="256">
        <f t="shared" si="145"/>
        <v>0</v>
      </c>
      <c r="N414" s="255">
        <v>0</v>
      </c>
      <c r="O414" s="256">
        <v>0</v>
      </c>
      <c r="P414" s="256">
        <v>0</v>
      </c>
      <c r="Q414" s="256">
        <v>0</v>
      </c>
      <c r="R414" s="256">
        <v>0</v>
      </c>
      <c r="S414" s="257">
        <v>0</v>
      </c>
      <c r="T414" s="256">
        <v>0</v>
      </c>
      <c r="U414" s="258">
        <f t="shared" si="146"/>
        <v>0</v>
      </c>
      <c r="V414" s="256">
        <v>0</v>
      </c>
      <c r="W414" s="256">
        <v>0</v>
      </c>
      <c r="X414" s="256">
        <v>0</v>
      </c>
      <c r="Y414" s="256">
        <v>0</v>
      </c>
      <c r="Z414" s="256">
        <v>0</v>
      </c>
      <c r="AA414" s="256">
        <v>0</v>
      </c>
      <c r="AB414" s="256">
        <v>0</v>
      </c>
      <c r="AC414" s="189">
        <f t="shared" si="147"/>
        <v>0</v>
      </c>
      <c r="AD414" s="259">
        <f t="shared" si="148"/>
        <v>0</v>
      </c>
    </row>
    <row r="415" spans="1:30" s="160" customFormat="1" hidden="1">
      <c r="A415" s="250">
        <v>410</v>
      </c>
      <c r="B415" s="251"/>
      <c r="C415" s="252"/>
      <c r="D415" s="253"/>
      <c r="E415" s="254">
        <f t="shared" si="137"/>
        <v>0</v>
      </c>
      <c r="F415" s="255">
        <f t="shared" si="138"/>
        <v>0</v>
      </c>
      <c r="G415" s="256">
        <f t="shared" si="139"/>
        <v>0</v>
      </c>
      <c r="H415" s="256">
        <f t="shared" si="140"/>
        <v>0</v>
      </c>
      <c r="I415" s="256">
        <f t="shared" si="141"/>
        <v>0</v>
      </c>
      <c r="J415" s="256">
        <f t="shared" si="142"/>
        <v>0</v>
      </c>
      <c r="K415" s="256">
        <f t="shared" si="143"/>
        <v>0</v>
      </c>
      <c r="L415" s="256">
        <f t="shared" si="144"/>
        <v>0</v>
      </c>
      <c r="M415" s="256">
        <f t="shared" si="145"/>
        <v>0</v>
      </c>
      <c r="N415" s="255">
        <v>0</v>
      </c>
      <c r="O415" s="256">
        <v>0</v>
      </c>
      <c r="P415" s="256">
        <v>0</v>
      </c>
      <c r="Q415" s="256">
        <v>0</v>
      </c>
      <c r="R415" s="256">
        <v>0</v>
      </c>
      <c r="S415" s="257">
        <v>0</v>
      </c>
      <c r="T415" s="256">
        <v>0</v>
      </c>
      <c r="U415" s="258">
        <f t="shared" si="146"/>
        <v>0</v>
      </c>
      <c r="V415" s="256">
        <v>0</v>
      </c>
      <c r="W415" s="256">
        <v>0</v>
      </c>
      <c r="X415" s="256">
        <v>0</v>
      </c>
      <c r="Y415" s="256">
        <v>0</v>
      </c>
      <c r="Z415" s="256">
        <v>0</v>
      </c>
      <c r="AA415" s="256">
        <v>0</v>
      </c>
      <c r="AB415" s="256">
        <v>0</v>
      </c>
      <c r="AC415" s="189">
        <f t="shared" si="147"/>
        <v>0</v>
      </c>
      <c r="AD415" s="259">
        <f t="shared" si="148"/>
        <v>0</v>
      </c>
    </row>
    <row r="416" spans="1:30" s="160" customFormat="1" hidden="1">
      <c r="A416" s="250">
        <v>411</v>
      </c>
      <c r="B416" s="251"/>
      <c r="C416" s="252"/>
      <c r="D416" s="253"/>
      <c r="E416" s="254">
        <f t="shared" si="137"/>
        <v>0</v>
      </c>
      <c r="F416" s="255">
        <f t="shared" si="138"/>
        <v>0</v>
      </c>
      <c r="G416" s="256">
        <f t="shared" si="139"/>
        <v>0</v>
      </c>
      <c r="H416" s="256">
        <f t="shared" si="140"/>
        <v>0</v>
      </c>
      <c r="I416" s="256">
        <f t="shared" si="141"/>
        <v>0</v>
      </c>
      <c r="J416" s="256">
        <f t="shared" si="142"/>
        <v>0</v>
      </c>
      <c r="K416" s="256">
        <f t="shared" si="143"/>
        <v>0</v>
      </c>
      <c r="L416" s="256">
        <f t="shared" si="144"/>
        <v>0</v>
      </c>
      <c r="M416" s="256">
        <f t="shared" si="145"/>
        <v>0</v>
      </c>
      <c r="N416" s="255">
        <v>0</v>
      </c>
      <c r="O416" s="256">
        <v>0</v>
      </c>
      <c r="P416" s="256">
        <v>0</v>
      </c>
      <c r="Q416" s="256">
        <v>0</v>
      </c>
      <c r="R416" s="256">
        <v>0</v>
      </c>
      <c r="S416" s="257">
        <v>0</v>
      </c>
      <c r="T416" s="256">
        <v>0</v>
      </c>
      <c r="U416" s="258">
        <f t="shared" si="146"/>
        <v>0</v>
      </c>
      <c r="V416" s="256">
        <v>0</v>
      </c>
      <c r="W416" s="256">
        <v>0</v>
      </c>
      <c r="X416" s="256">
        <v>0</v>
      </c>
      <c r="Y416" s="256">
        <v>0</v>
      </c>
      <c r="Z416" s="256">
        <v>0</v>
      </c>
      <c r="AA416" s="256">
        <v>0</v>
      </c>
      <c r="AB416" s="256">
        <v>0</v>
      </c>
      <c r="AC416" s="189">
        <f t="shared" si="147"/>
        <v>0</v>
      </c>
      <c r="AD416" s="259">
        <f t="shared" si="148"/>
        <v>0</v>
      </c>
    </row>
    <row r="417" spans="1:30" s="160" customFormat="1" hidden="1">
      <c r="A417" s="250">
        <v>412</v>
      </c>
      <c r="B417" s="251"/>
      <c r="C417" s="252"/>
      <c r="D417" s="253"/>
      <c r="E417" s="254">
        <f t="shared" si="137"/>
        <v>0</v>
      </c>
      <c r="F417" s="255">
        <f t="shared" si="138"/>
        <v>0</v>
      </c>
      <c r="G417" s="256">
        <f t="shared" si="139"/>
        <v>0</v>
      </c>
      <c r="H417" s="256">
        <f t="shared" si="140"/>
        <v>0</v>
      </c>
      <c r="I417" s="256">
        <f t="shared" si="141"/>
        <v>0</v>
      </c>
      <c r="J417" s="256">
        <f t="shared" si="142"/>
        <v>0</v>
      </c>
      <c r="K417" s="256">
        <f t="shared" si="143"/>
        <v>0</v>
      </c>
      <c r="L417" s="256">
        <f t="shared" si="144"/>
        <v>0</v>
      </c>
      <c r="M417" s="256">
        <f t="shared" si="145"/>
        <v>0</v>
      </c>
      <c r="N417" s="255">
        <v>0</v>
      </c>
      <c r="O417" s="256">
        <v>0</v>
      </c>
      <c r="P417" s="256">
        <v>0</v>
      </c>
      <c r="Q417" s="256">
        <v>0</v>
      </c>
      <c r="R417" s="256">
        <v>0</v>
      </c>
      <c r="S417" s="257">
        <v>0</v>
      </c>
      <c r="T417" s="256">
        <v>0</v>
      </c>
      <c r="U417" s="258">
        <f t="shared" si="146"/>
        <v>0</v>
      </c>
      <c r="V417" s="256">
        <v>0</v>
      </c>
      <c r="W417" s="256">
        <v>0</v>
      </c>
      <c r="X417" s="256">
        <v>0</v>
      </c>
      <c r="Y417" s="256">
        <v>0</v>
      </c>
      <c r="Z417" s="256">
        <v>0</v>
      </c>
      <c r="AA417" s="256">
        <v>0</v>
      </c>
      <c r="AB417" s="256">
        <v>0</v>
      </c>
      <c r="AC417" s="189">
        <f t="shared" si="147"/>
        <v>0</v>
      </c>
      <c r="AD417" s="259">
        <f t="shared" si="148"/>
        <v>0</v>
      </c>
    </row>
    <row r="418" spans="1:30" s="160" customFormat="1" hidden="1">
      <c r="A418" s="250">
        <v>413</v>
      </c>
      <c r="B418" s="251"/>
      <c r="C418" s="252"/>
      <c r="D418" s="253"/>
      <c r="E418" s="254">
        <f t="shared" si="137"/>
        <v>0</v>
      </c>
      <c r="F418" s="255">
        <f t="shared" si="138"/>
        <v>0</v>
      </c>
      <c r="G418" s="256">
        <f t="shared" si="139"/>
        <v>0</v>
      </c>
      <c r="H418" s="256">
        <f t="shared" si="140"/>
        <v>0</v>
      </c>
      <c r="I418" s="256">
        <f t="shared" si="141"/>
        <v>0</v>
      </c>
      <c r="J418" s="256">
        <f t="shared" si="142"/>
        <v>0</v>
      </c>
      <c r="K418" s="256">
        <f t="shared" si="143"/>
        <v>0</v>
      </c>
      <c r="L418" s="256">
        <f t="shared" si="144"/>
        <v>0</v>
      </c>
      <c r="M418" s="256">
        <f t="shared" si="145"/>
        <v>0</v>
      </c>
      <c r="N418" s="255">
        <v>0</v>
      </c>
      <c r="O418" s="256">
        <v>0</v>
      </c>
      <c r="P418" s="256">
        <v>0</v>
      </c>
      <c r="Q418" s="256">
        <v>0</v>
      </c>
      <c r="R418" s="256">
        <v>0</v>
      </c>
      <c r="S418" s="257">
        <v>0</v>
      </c>
      <c r="T418" s="256">
        <v>0</v>
      </c>
      <c r="U418" s="258">
        <f t="shared" si="146"/>
        <v>0</v>
      </c>
      <c r="V418" s="256">
        <v>0</v>
      </c>
      <c r="W418" s="256">
        <v>0</v>
      </c>
      <c r="X418" s="256">
        <v>0</v>
      </c>
      <c r="Y418" s="256">
        <v>0</v>
      </c>
      <c r="Z418" s="256">
        <v>0</v>
      </c>
      <c r="AA418" s="256">
        <v>0</v>
      </c>
      <c r="AB418" s="256">
        <v>0</v>
      </c>
      <c r="AC418" s="189">
        <f t="shared" si="147"/>
        <v>0</v>
      </c>
      <c r="AD418" s="259">
        <f t="shared" si="148"/>
        <v>0</v>
      </c>
    </row>
    <row r="419" spans="1:30" s="160" customFormat="1" hidden="1">
      <c r="A419" s="250">
        <v>414</v>
      </c>
      <c r="B419" s="251"/>
      <c r="C419" s="252"/>
      <c r="D419" s="253"/>
      <c r="E419" s="254">
        <f t="shared" si="137"/>
        <v>0</v>
      </c>
      <c r="F419" s="255">
        <f t="shared" si="138"/>
        <v>0</v>
      </c>
      <c r="G419" s="256">
        <f t="shared" si="139"/>
        <v>0</v>
      </c>
      <c r="H419" s="256">
        <f t="shared" si="140"/>
        <v>0</v>
      </c>
      <c r="I419" s="256">
        <f t="shared" si="141"/>
        <v>0</v>
      </c>
      <c r="J419" s="256">
        <f t="shared" si="142"/>
        <v>0</v>
      </c>
      <c r="K419" s="256">
        <f t="shared" si="143"/>
        <v>0</v>
      </c>
      <c r="L419" s="256">
        <f t="shared" si="144"/>
        <v>0</v>
      </c>
      <c r="M419" s="256">
        <f t="shared" si="145"/>
        <v>0</v>
      </c>
      <c r="N419" s="255">
        <v>0</v>
      </c>
      <c r="O419" s="256">
        <v>0</v>
      </c>
      <c r="P419" s="256">
        <v>0</v>
      </c>
      <c r="Q419" s="256">
        <v>0</v>
      </c>
      <c r="R419" s="256">
        <v>0</v>
      </c>
      <c r="S419" s="257">
        <v>0</v>
      </c>
      <c r="T419" s="256">
        <v>0</v>
      </c>
      <c r="U419" s="258">
        <f t="shared" si="146"/>
        <v>0</v>
      </c>
      <c r="V419" s="256">
        <v>0</v>
      </c>
      <c r="W419" s="256">
        <v>0</v>
      </c>
      <c r="X419" s="256">
        <v>0</v>
      </c>
      <c r="Y419" s="256">
        <v>0</v>
      </c>
      <c r="Z419" s="256">
        <v>0</v>
      </c>
      <c r="AA419" s="256">
        <v>0</v>
      </c>
      <c r="AB419" s="256">
        <v>0</v>
      </c>
      <c r="AC419" s="189">
        <f t="shared" si="147"/>
        <v>0</v>
      </c>
      <c r="AD419" s="259">
        <f t="shared" si="148"/>
        <v>0</v>
      </c>
    </row>
    <row r="420" spans="1:30" s="160" customFormat="1" hidden="1">
      <c r="A420" s="250">
        <v>415</v>
      </c>
      <c r="B420" s="251"/>
      <c r="C420" s="252"/>
      <c r="D420" s="253"/>
      <c r="E420" s="254">
        <f t="shared" si="137"/>
        <v>0</v>
      </c>
      <c r="F420" s="255">
        <f t="shared" si="138"/>
        <v>0</v>
      </c>
      <c r="G420" s="256">
        <f t="shared" si="139"/>
        <v>0</v>
      </c>
      <c r="H420" s="256">
        <f t="shared" si="140"/>
        <v>0</v>
      </c>
      <c r="I420" s="256">
        <f t="shared" si="141"/>
        <v>0</v>
      </c>
      <c r="J420" s="256">
        <f t="shared" si="142"/>
        <v>0</v>
      </c>
      <c r="K420" s="256">
        <f t="shared" si="143"/>
        <v>0</v>
      </c>
      <c r="L420" s="256">
        <f t="shared" si="144"/>
        <v>0</v>
      </c>
      <c r="M420" s="256">
        <f t="shared" si="145"/>
        <v>0</v>
      </c>
      <c r="N420" s="255">
        <v>0</v>
      </c>
      <c r="O420" s="256">
        <v>0</v>
      </c>
      <c r="P420" s="256">
        <v>0</v>
      </c>
      <c r="Q420" s="256">
        <v>0</v>
      </c>
      <c r="R420" s="256">
        <v>0</v>
      </c>
      <c r="S420" s="257">
        <v>0</v>
      </c>
      <c r="T420" s="256">
        <v>0</v>
      </c>
      <c r="U420" s="258">
        <f t="shared" si="146"/>
        <v>0</v>
      </c>
      <c r="V420" s="256">
        <v>0</v>
      </c>
      <c r="W420" s="256">
        <v>0</v>
      </c>
      <c r="X420" s="256">
        <v>0</v>
      </c>
      <c r="Y420" s="256">
        <v>0</v>
      </c>
      <c r="Z420" s="256">
        <v>0</v>
      </c>
      <c r="AA420" s="256">
        <v>0</v>
      </c>
      <c r="AB420" s="256">
        <v>0</v>
      </c>
      <c r="AC420" s="189">
        <f t="shared" si="147"/>
        <v>0</v>
      </c>
      <c r="AD420" s="259">
        <f t="shared" si="148"/>
        <v>0</v>
      </c>
    </row>
    <row r="421" spans="1:30" s="160" customFormat="1" hidden="1">
      <c r="A421" s="250">
        <v>416</v>
      </c>
      <c r="B421" s="251"/>
      <c r="C421" s="252"/>
      <c r="D421" s="253"/>
      <c r="E421" s="254">
        <f t="shared" si="137"/>
        <v>0</v>
      </c>
      <c r="F421" s="255">
        <f t="shared" si="138"/>
        <v>0</v>
      </c>
      <c r="G421" s="256">
        <f t="shared" si="139"/>
        <v>0</v>
      </c>
      <c r="H421" s="256">
        <f t="shared" si="140"/>
        <v>0</v>
      </c>
      <c r="I421" s="256">
        <f t="shared" si="141"/>
        <v>0</v>
      </c>
      <c r="J421" s="256">
        <f t="shared" si="142"/>
        <v>0</v>
      </c>
      <c r="K421" s="256">
        <f t="shared" si="143"/>
        <v>0</v>
      </c>
      <c r="L421" s="256">
        <f t="shared" si="144"/>
        <v>0</v>
      </c>
      <c r="M421" s="256">
        <f t="shared" si="145"/>
        <v>0</v>
      </c>
      <c r="N421" s="255">
        <v>0</v>
      </c>
      <c r="O421" s="256">
        <v>0</v>
      </c>
      <c r="P421" s="256">
        <v>0</v>
      </c>
      <c r="Q421" s="256">
        <v>0</v>
      </c>
      <c r="R421" s="256">
        <v>0</v>
      </c>
      <c r="S421" s="257">
        <v>0</v>
      </c>
      <c r="T421" s="256">
        <v>0</v>
      </c>
      <c r="U421" s="258">
        <f t="shared" si="146"/>
        <v>0</v>
      </c>
      <c r="V421" s="256">
        <v>0</v>
      </c>
      <c r="W421" s="256">
        <v>0</v>
      </c>
      <c r="X421" s="256">
        <v>0</v>
      </c>
      <c r="Y421" s="256">
        <v>0</v>
      </c>
      <c r="Z421" s="256">
        <v>0</v>
      </c>
      <c r="AA421" s="256">
        <v>0</v>
      </c>
      <c r="AB421" s="256">
        <v>0</v>
      </c>
      <c r="AC421" s="189">
        <f t="shared" si="147"/>
        <v>0</v>
      </c>
      <c r="AD421" s="259">
        <f t="shared" si="148"/>
        <v>0</v>
      </c>
    </row>
    <row r="422" spans="1:30" s="160" customFormat="1" hidden="1">
      <c r="A422" s="250">
        <v>417</v>
      </c>
      <c r="B422" s="251"/>
      <c r="C422" s="252"/>
      <c r="D422" s="253"/>
      <c r="E422" s="254">
        <f t="shared" si="137"/>
        <v>0</v>
      </c>
      <c r="F422" s="255">
        <f t="shared" si="138"/>
        <v>0</v>
      </c>
      <c r="G422" s="256">
        <f t="shared" si="139"/>
        <v>0</v>
      </c>
      <c r="H422" s="256">
        <f t="shared" si="140"/>
        <v>0</v>
      </c>
      <c r="I422" s="256">
        <f t="shared" si="141"/>
        <v>0</v>
      </c>
      <c r="J422" s="256">
        <f t="shared" si="142"/>
        <v>0</v>
      </c>
      <c r="K422" s="256">
        <f t="shared" si="143"/>
        <v>0</v>
      </c>
      <c r="L422" s="256">
        <f t="shared" si="144"/>
        <v>0</v>
      </c>
      <c r="M422" s="256">
        <f t="shared" si="145"/>
        <v>0</v>
      </c>
      <c r="N422" s="255">
        <v>0</v>
      </c>
      <c r="O422" s="256">
        <v>0</v>
      </c>
      <c r="P422" s="256">
        <v>0</v>
      </c>
      <c r="Q422" s="256">
        <v>0</v>
      </c>
      <c r="R422" s="256">
        <v>0</v>
      </c>
      <c r="S422" s="257">
        <v>0</v>
      </c>
      <c r="T422" s="256">
        <v>0</v>
      </c>
      <c r="U422" s="258">
        <f t="shared" si="146"/>
        <v>0</v>
      </c>
      <c r="V422" s="256">
        <v>0</v>
      </c>
      <c r="W422" s="256">
        <v>0</v>
      </c>
      <c r="X422" s="256">
        <v>0</v>
      </c>
      <c r="Y422" s="256">
        <v>0</v>
      </c>
      <c r="Z422" s="256">
        <v>0</v>
      </c>
      <c r="AA422" s="256">
        <v>0</v>
      </c>
      <c r="AB422" s="256">
        <v>0</v>
      </c>
      <c r="AC422" s="189">
        <f t="shared" si="147"/>
        <v>0</v>
      </c>
      <c r="AD422" s="259">
        <f t="shared" si="148"/>
        <v>0</v>
      </c>
    </row>
    <row r="423" spans="1:30" s="160" customFormat="1" hidden="1">
      <c r="A423" s="250">
        <v>418</v>
      </c>
      <c r="B423" s="251"/>
      <c r="C423" s="252"/>
      <c r="D423" s="253"/>
      <c r="E423" s="254">
        <f t="shared" si="137"/>
        <v>0</v>
      </c>
      <c r="F423" s="255">
        <f t="shared" si="138"/>
        <v>0</v>
      </c>
      <c r="G423" s="256">
        <f t="shared" si="139"/>
        <v>0</v>
      </c>
      <c r="H423" s="256">
        <f t="shared" si="140"/>
        <v>0</v>
      </c>
      <c r="I423" s="256">
        <f t="shared" si="141"/>
        <v>0</v>
      </c>
      <c r="J423" s="256">
        <f t="shared" si="142"/>
        <v>0</v>
      </c>
      <c r="K423" s="256">
        <f t="shared" si="143"/>
        <v>0</v>
      </c>
      <c r="L423" s="256">
        <f t="shared" si="144"/>
        <v>0</v>
      </c>
      <c r="M423" s="256">
        <f t="shared" si="145"/>
        <v>0</v>
      </c>
      <c r="N423" s="255">
        <v>0</v>
      </c>
      <c r="O423" s="256">
        <v>0</v>
      </c>
      <c r="P423" s="256">
        <v>0</v>
      </c>
      <c r="Q423" s="256">
        <v>0</v>
      </c>
      <c r="R423" s="256">
        <v>0</v>
      </c>
      <c r="S423" s="257">
        <v>0</v>
      </c>
      <c r="T423" s="256">
        <v>0</v>
      </c>
      <c r="U423" s="258">
        <f t="shared" si="146"/>
        <v>0</v>
      </c>
      <c r="V423" s="256">
        <v>0</v>
      </c>
      <c r="W423" s="256">
        <v>0</v>
      </c>
      <c r="X423" s="256">
        <v>0</v>
      </c>
      <c r="Y423" s="256">
        <v>0</v>
      </c>
      <c r="Z423" s="256">
        <v>0</v>
      </c>
      <c r="AA423" s="256">
        <v>0</v>
      </c>
      <c r="AB423" s="256">
        <v>0</v>
      </c>
      <c r="AC423" s="189">
        <f t="shared" si="147"/>
        <v>0</v>
      </c>
      <c r="AD423" s="259">
        <f t="shared" si="148"/>
        <v>0</v>
      </c>
    </row>
    <row r="424" spans="1:30" s="160" customFormat="1" hidden="1">
      <c r="A424" s="250">
        <v>419</v>
      </c>
      <c r="B424" s="251"/>
      <c r="C424" s="252"/>
      <c r="D424" s="253"/>
      <c r="E424" s="254">
        <f t="shared" si="137"/>
        <v>0</v>
      </c>
      <c r="F424" s="255">
        <f t="shared" si="138"/>
        <v>0</v>
      </c>
      <c r="G424" s="256">
        <f t="shared" si="139"/>
        <v>0</v>
      </c>
      <c r="H424" s="256">
        <f t="shared" si="140"/>
        <v>0</v>
      </c>
      <c r="I424" s="256">
        <f t="shared" si="141"/>
        <v>0</v>
      </c>
      <c r="J424" s="256">
        <f t="shared" si="142"/>
        <v>0</v>
      </c>
      <c r="K424" s="256">
        <f t="shared" si="143"/>
        <v>0</v>
      </c>
      <c r="L424" s="256">
        <f t="shared" si="144"/>
        <v>0</v>
      </c>
      <c r="M424" s="256">
        <f t="shared" si="145"/>
        <v>0</v>
      </c>
      <c r="N424" s="255">
        <v>0</v>
      </c>
      <c r="O424" s="256">
        <v>0</v>
      </c>
      <c r="P424" s="256">
        <v>0</v>
      </c>
      <c r="Q424" s="256">
        <v>0</v>
      </c>
      <c r="R424" s="256">
        <v>0</v>
      </c>
      <c r="S424" s="257">
        <v>0</v>
      </c>
      <c r="T424" s="256">
        <v>0</v>
      </c>
      <c r="U424" s="258">
        <f t="shared" si="146"/>
        <v>0</v>
      </c>
      <c r="V424" s="256">
        <v>0</v>
      </c>
      <c r="W424" s="256">
        <v>0</v>
      </c>
      <c r="X424" s="256">
        <v>0</v>
      </c>
      <c r="Y424" s="256">
        <v>0</v>
      </c>
      <c r="Z424" s="256">
        <v>0</v>
      </c>
      <c r="AA424" s="256">
        <v>0</v>
      </c>
      <c r="AB424" s="256">
        <v>0</v>
      </c>
      <c r="AC424" s="189">
        <f t="shared" si="147"/>
        <v>0</v>
      </c>
      <c r="AD424" s="259">
        <f t="shared" si="148"/>
        <v>0</v>
      </c>
    </row>
    <row r="425" spans="1:30" s="160" customFormat="1" hidden="1">
      <c r="A425" s="250">
        <v>420</v>
      </c>
      <c r="B425" s="251"/>
      <c r="C425" s="252"/>
      <c r="D425" s="253"/>
      <c r="E425" s="254">
        <f t="shared" si="137"/>
        <v>0</v>
      </c>
      <c r="F425" s="255">
        <f t="shared" si="138"/>
        <v>0</v>
      </c>
      <c r="G425" s="256">
        <f t="shared" si="139"/>
        <v>0</v>
      </c>
      <c r="H425" s="256">
        <f t="shared" si="140"/>
        <v>0</v>
      </c>
      <c r="I425" s="256">
        <f t="shared" si="141"/>
        <v>0</v>
      </c>
      <c r="J425" s="256">
        <f t="shared" si="142"/>
        <v>0</v>
      </c>
      <c r="K425" s="256">
        <f t="shared" si="143"/>
        <v>0</v>
      </c>
      <c r="L425" s="256">
        <f t="shared" si="144"/>
        <v>0</v>
      </c>
      <c r="M425" s="256">
        <f t="shared" si="145"/>
        <v>0</v>
      </c>
      <c r="N425" s="255">
        <v>0</v>
      </c>
      <c r="O425" s="256">
        <v>0</v>
      </c>
      <c r="P425" s="256">
        <v>0</v>
      </c>
      <c r="Q425" s="256">
        <v>0</v>
      </c>
      <c r="R425" s="256">
        <v>0</v>
      </c>
      <c r="S425" s="257">
        <v>0</v>
      </c>
      <c r="T425" s="256">
        <v>0</v>
      </c>
      <c r="U425" s="258">
        <f t="shared" si="146"/>
        <v>0</v>
      </c>
      <c r="V425" s="256">
        <v>0</v>
      </c>
      <c r="W425" s="256">
        <v>0</v>
      </c>
      <c r="X425" s="256">
        <v>0</v>
      </c>
      <c r="Y425" s="256">
        <v>0</v>
      </c>
      <c r="Z425" s="256">
        <v>0</v>
      </c>
      <c r="AA425" s="256">
        <v>0</v>
      </c>
      <c r="AB425" s="256">
        <v>0</v>
      </c>
      <c r="AC425" s="189">
        <f t="shared" si="147"/>
        <v>0</v>
      </c>
      <c r="AD425" s="259">
        <f t="shared" si="148"/>
        <v>0</v>
      </c>
    </row>
    <row r="426" spans="1:30" s="160" customFormat="1" hidden="1">
      <c r="A426" s="250">
        <v>421</v>
      </c>
      <c r="B426" s="251"/>
      <c r="C426" s="252"/>
      <c r="D426" s="253"/>
      <c r="E426" s="254">
        <f t="shared" si="137"/>
        <v>0</v>
      </c>
      <c r="F426" s="255">
        <f t="shared" si="138"/>
        <v>0</v>
      </c>
      <c r="G426" s="256">
        <f t="shared" si="139"/>
        <v>0</v>
      </c>
      <c r="H426" s="256">
        <f t="shared" si="140"/>
        <v>0</v>
      </c>
      <c r="I426" s="256">
        <f t="shared" si="141"/>
        <v>0</v>
      </c>
      <c r="J426" s="256">
        <f t="shared" si="142"/>
        <v>0</v>
      </c>
      <c r="K426" s="256">
        <f t="shared" si="143"/>
        <v>0</v>
      </c>
      <c r="L426" s="256">
        <f t="shared" si="144"/>
        <v>0</v>
      </c>
      <c r="M426" s="256">
        <f t="shared" si="145"/>
        <v>0</v>
      </c>
      <c r="N426" s="255">
        <v>0</v>
      </c>
      <c r="O426" s="256">
        <v>0</v>
      </c>
      <c r="P426" s="256">
        <v>0</v>
      </c>
      <c r="Q426" s="256">
        <v>0</v>
      </c>
      <c r="R426" s="256">
        <v>0</v>
      </c>
      <c r="S426" s="257">
        <v>0</v>
      </c>
      <c r="T426" s="256">
        <v>0</v>
      </c>
      <c r="U426" s="258">
        <f t="shared" si="146"/>
        <v>0</v>
      </c>
      <c r="V426" s="256">
        <v>0</v>
      </c>
      <c r="W426" s="256">
        <v>0</v>
      </c>
      <c r="X426" s="256">
        <v>0</v>
      </c>
      <c r="Y426" s="256">
        <v>0</v>
      </c>
      <c r="Z426" s="256">
        <v>0</v>
      </c>
      <c r="AA426" s="256">
        <v>0</v>
      </c>
      <c r="AB426" s="256">
        <v>0</v>
      </c>
      <c r="AC426" s="189">
        <f t="shared" si="147"/>
        <v>0</v>
      </c>
      <c r="AD426" s="259">
        <f t="shared" si="148"/>
        <v>0</v>
      </c>
    </row>
    <row r="427" spans="1:30" s="160" customFormat="1" hidden="1">
      <c r="A427" s="250">
        <v>422</v>
      </c>
      <c r="B427" s="251"/>
      <c r="C427" s="252"/>
      <c r="D427" s="253"/>
      <c r="E427" s="254">
        <f t="shared" si="137"/>
        <v>0</v>
      </c>
      <c r="F427" s="255">
        <f t="shared" si="138"/>
        <v>0</v>
      </c>
      <c r="G427" s="256">
        <f t="shared" si="139"/>
        <v>0</v>
      </c>
      <c r="H427" s="256">
        <f t="shared" si="140"/>
        <v>0</v>
      </c>
      <c r="I427" s="256">
        <f t="shared" si="141"/>
        <v>0</v>
      </c>
      <c r="J427" s="256">
        <f t="shared" si="142"/>
        <v>0</v>
      </c>
      <c r="K427" s="256">
        <f t="shared" si="143"/>
        <v>0</v>
      </c>
      <c r="L427" s="256">
        <f t="shared" si="144"/>
        <v>0</v>
      </c>
      <c r="M427" s="256">
        <f t="shared" si="145"/>
        <v>0</v>
      </c>
      <c r="N427" s="255">
        <v>0</v>
      </c>
      <c r="O427" s="256">
        <v>0</v>
      </c>
      <c r="P427" s="256">
        <v>0</v>
      </c>
      <c r="Q427" s="256">
        <v>0</v>
      </c>
      <c r="R427" s="256">
        <v>0</v>
      </c>
      <c r="S427" s="257">
        <v>0</v>
      </c>
      <c r="T427" s="256">
        <v>0</v>
      </c>
      <c r="U427" s="258">
        <f t="shared" si="146"/>
        <v>0</v>
      </c>
      <c r="V427" s="256">
        <v>0</v>
      </c>
      <c r="W427" s="256">
        <v>0</v>
      </c>
      <c r="X427" s="256">
        <v>0</v>
      </c>
      <c r="Y427" s="256">
        <v>0</v>
      </c>
      <c r="Z427" s="256">
        <v>0</v>
      </c>
      <c r="AA427" s="256">
        <v>0</v>
      </c>
      <c r="AB427" s="256">
        <v>0</v>
      </c>
      <c r="AC427" s="189">
        <f t="shared" si="147"/>
        <v>0</v>
      </c>
      <c r="AD427" s="259">
        <f t="shared" si="148"/>
        <v>0</v>
      </c>
    </row>
    <row r="428" spans="1:30" s="160" customFormat="1" hidden="1">
      <c r="A428" s="250">
        <v>423</v>
      </c>
      <c r="B428" s="251"/>
      <c r="C428" s="252"/>
      <c r="D428" s="253"/>
      <c r="E428" s="254">
        <f t="shared" si="137"/>
        <v>0</v>
      </c>
      <c r="F428" s="255">
        <f t="shared" si="138"/>
        <v>0</v>
      </c>
      <c r="G428" s="256">
        <f t="shared" si="139"/>
        <v>0</v>
      </c>
      <c r="H428" s="256">
        <f t="shared" si="140"/>
        <v>0</v>
      </c>
      <c r="I428" s="256">
        <f t="shared" si="141"/>
        <v>0</v>
      </c>
      <c r="J428" s="256">
        <f t="shared" si="142"/>
        <v>0</v>
      </c>
      <c r="K428" s="256">
        <f t="shared" si="143"/>
        <v>0</v>
      </c>
      <c r="L428" s="256">
        <f t="shared" si="144"/>
        <v>0</v>
      </c>
      <c r="M428" s="256">
        <f t="shared" si="145"/>
        <v>0</v>
      </c>
      <c r="N428" s="255">
        <v>0</v>
      </c>
      <c r="O428" s="256">
        <v>0</v>
      </c>
      <c r="P428" s="256">
        <v>0</v>
      </c>
      <c r="Q428" s="256">
        <v>0</v>
      </c>
      <c r="R428" s="256">
        <v>0</v>
      </c>
      <c r="S428" s="257">
        <v>0</v>
      </c>
      <c r="T428" s="256">
        <v>0</v>
      </c>
      <c r="U428" s="258">
        <f t="shared" si="146"/>
        <v>0</v>
      </c>
      <c r="V428" s="256">
        <v>0</v>
      </c>
      <c r="W428" s="256">
        <v>0</v>
      </c>
      <c r="X428" s="256">
        <v>0</v>
      </c>
      <c r="Y428" s="256">
        <v>0</v>
      </c>
      <c r="Z428" s="256">
        <v>0</v>
      </c>
      <c r="AA428" s="256">
        <v>0</v>
      </c>
      <c r="AB428" s="256">
        <v>0</v>
      </c>
      <c r="AC428" s="189">
        <f t="shared" si="147"/>
        <v>0</v>
      </c>
      <c r="AD428" s="259">
        <f t="shared" si="148"/>
        <v>0</v>
      </c>
    </row>
    <row r="429" spans="1:30" s="160" customFormat="1" hidden="1">
      <c r="A429" s="250">
        <v>424</v>
      </c>
      <c r="B429" s="251"/>
      <c r="C429" s="252"/>
      <c r="D429" s="253"/>
      <c r="E429" s="254">
        <f t="shared" si="137"/>
        <v>0</v>
      </c>
      <c r="F429" s="255">
        <f t="shared" si="138"/>
        <v>0</v>
      </c>
      <c r="G429" s="256">
        <f t="shared" si="139"/>
        <v>0</v>
      </c>
      <c r="H429" s="256">
        <f t="shared" si="140"/>
        <v>0</v>
      </c>
      <c r="I429" s="256">
        <f t="shared" si="141"/>
        <v>0</v>
      </c>
      <c r="J429" s="256">
        <f t="shared" si="142"/>
        <v>0</v>
      </c>
      <c r="K429" s="256">
        <f t="shared" si="143"/>
        <v>0</v>
      </c>
      <c r="L429" s="256">
        <f t="shared" si="144"/>
        <v>0</v>
      </c>
      <c r="M429" s="256">
        <f t="shared" si="145"/>
        <v>0</v>
      </c>
      <c r="N429" s="255">
        <v>0</v>
      </c>
      <c r="O429" s="256">
        <v>0</v>
      </c>
      <c r="P429" s="256">
        <v>0</v>
      </c>
      <c r="Q429" s="256">
        <v>0</v>
      </c>
      <c r="R429" s="256">
        <v>0</v>
      </c>
      <c r="S429" s="257">
        <v>0</v>
      </c>
      <c r="T429" s="256">
        <v>0</v>
      </c>
      <c r="U429" s="258">
        <f t="shared" si="146"/>
        <v>0</v>
      </c>
      <c r="V429" s="256">
        <v>0</v>
      </c>
      <c r="W429" s="256">
        <v>0</v>
      </c>
      <c r="X429" s="256">
        <v>0</v>
      </c>
      <c r="Y429" s="256">
        <v>0</v>
      </c>
      <c r="Z429" s="256">
        <v>0</v>
      </c>
      <c r="AA429" s="256">
        <v>0</v>
      </c>
      <c r="AB429" s="256">
        <v>0</v>
      </c>
      <c r="AC429" s="189">
        <f t="shared" si="147"/>
        <v>0</v>
      </c>
      <c r="AD429" s="259">
        <f t="shared" si="148"/>
        <v>0</v>
      </c>
    </row>
    <row r="430" spans="1:30" s="160" customFormat="1" hidden="1">
      <c r="A430" s="250">
        <v>425</v>
      </c>
      <c r="B430" s="251"/>
      <c r="C430" s="252"/>
      <c r="D430" s="253"/>
      <c r="E430" s="254">
        <f t="shared" si="137"/>
        <v>0</v>
      </c>
      <c r="F430" s="255">
        <f t="shared" si="138"/>
        <v>0</v>
      </c>
      <c r="G430" s="256">
        <f t="shared" si="139"/>
        <v>0</v>
      </c>
      <c r="H430" s="256">
        <f t="shared" si="140"/>
        <v>0</v>
      </c>
      <c r="I430" s="256">
        <f t="shared" si="141"/>
        <v>0</v>
      </c>
      <c r="J430" s="256">
        <f t="shared" si="142"/>
        <v>0</v>
      </c>
      <c r="K430" s="256">
        <f t="shared" si="143"/>
        <v>0</v>
      </c>
      <c r="L430" s="256">
        <f t="shared" si="144"/>
        <v>0</v>
      </c>
      <c r="M430" s="256">
        <f t="shared" si="145"/>
        <v>0</v>
      </c>
      <c r="N430" s="255">
        <v>0</v>
      </c>
      <c r="O430" s="256">
        <v>0</v>
      </c>
      <c r="P430" s="256">
        <v>0</v>
      </c>
      <c r="Q430" s="256">
        <v>0</v>
      </c>
      <c r="R430" s="256">
        <v>0</v>
      </c>
      <c r="S430" s="257">
        <v>0</v>
      </c>
      <c r="T430" s="256">
        <v>0</v>
      </c>
      <c r="U430" s="258">
        <f t="shared" si="146"/>
        <v>0</v>
      </c>
      <c r="V430" s="256">
        <v>0</v>
      </c>
      <c r="W430" s="256">
        <v>0</v>
      </c>
      <c r="X430" s="256">
        <v>0</v>
      </c>
      <c r="Y430" s="256">
        <v>0</v>
      </c>
      <c r="Z430" s="256">
        <v>0</v>
      </c>
      <c r="AA430" s="256">
        <v>0</v>
      </c>
      <c r="AB430" s="256">
        <v>0</v>
      </c>
      <c r="AC430" s="189">
        <f t="shared" si="147"/>
        <v>0</v>
      </c>
      <c r="AD430" s="259">
        <f t="shared" si="148"/>
        <v>0</v>
      </c>
    </row>
    <row r="431" spans="1:30" s="160" customFormat="1" hidden="1">
      <c r="A431" s="250">
        <v>426</v>
      </c>
      <c r="B431" s="251"/>
      <c r="C431" s="252"/>
      <c r="D431" s="253"/>
      <c r="E431" s="254">
        <f t="shared" si="137"/>
        <v>0</v>
      </c>
      <c r="F431" s="255">
        <f t="shared" si="138"/>
        <v>0</v>
      </c>
      <c r="G431" s="256">
        <f t="shared" si="139"/>
        <v>0</v>
      </c>
      <c r="H431" s="256">
        <f t="shared" si="140"/>
        <v>0</v>
      </c>
      <c r="I431" s="256">
        <f t="shared" si="141"/>
        <v>0</v>
      </c>
      <c r="J431" s="256">
        <f t="shared" si="142"/>
        <v>0</v>
      </c>
      <c r="K431" s="256">
        <f t="shared" si="143"/>
        <v>0</v>
      </c>
      <c r="L431" s="256">
        <f t="shared" si="144"/>
        <v>0</v>
      </c>
      <c r="M431" s="256">
        <f t="shared" si="145"/>
        <v>0</v>
      </c>
      <c r="N431" s="255">
        <v>0</v>
      </c>
      <c r="O431" s="256">
        <v>0</v>
      </c>
      <c r="P431" s="256">
        <v>0</v>
      </c>
      <c r="Q431" s="256">
        <v>0</v>
      </c>
      <c r="R431" s="256">
        <v>0</v>
      </c>
      <c r="S431" s="257">
        <v>0</v>
      </c>
      <c r="T431" s="256">
        <v>0</v>
      </c>
      <c r="U431" s="258">
        <f t="shared" si="146"/>
        <v>0</v>
      </c>
      <c r="V431" s="256">
        <v>0</v>
      </c>
      <c r="W431" s="256">
        <v>0</v>
      </c>
      <c r="X431" s="256">
        <v>0</v>
      </c>
      <c r="Y431" s="256">
        <v>0</v>
      </c>
      <c r="Z431" s="256">
        <v>0</v>
      </c>
      <c r="AA431" s="256">
        <v>0</v>
      </c>
      <c r="AB431" s="256">
        <v>0</v>
      </c>
      <c r="AC431" s="189">
        <f t="shared" si="147"/>
        <v>0</v>
      </c>
      <c r="AD431" s="259">
        <f t="shared" si="148"/>
        <v>0</v>
      </c>
    </row>
    <row r="432" spans="1:30" s="160" customFormat="1" hidden="1">
      <c r="A432" s="250">
        <v>427</v>
      </c>
      <c r="B432" s="251"/>
      <c r="C432" s="252"/>
      <c r="D432" s="253"/>
      <c r="E432" s="254">
        <f t="shared" si="137"/>
        <v>0</v>
      </c>
      <c r="F432" s="255">
        <f t="shared" si="138"/>
        <v>0</v>
      </c>
      <c r="G432" s="256">
        <f t="shared" si="139"/>
        <v>0</v>
      </c>
      <c r="H432" s="256">
        <f t="shared" si="140"/>
        <v>0</v>
      </c>
      <c r="I432" s="256">
        <f t="shared" si="141"/>
        <v>0</v>
      </c>
      <c r="J432" s="256">
        <f t="shared" si="142"/>
        <v>0</v>
      </c>
      <c r="K432" s="256">
        <f t="shared" si="143"/>
        <v>0</v>
      </c>
      <c r="L432" s="256">
        <f t="shared" si="144"/>
        <v>0</v>
      </c>
      <c r="M432" s="256">
        <f t="shared" si="145"/>
        <v>0</v>
      </c>
      <c r="N432" s="255">
        <v>0</v>
      </c>
      <c r="O432" s="256">
        <v>0</v>
      </c>
      <c r="P432" s="256">
        <v>0</v>
      </c>
      <c r="Q432" s="256">
        <v>0</v>
      </c>
      <c r="R432" s="256">
        <v>0</v>
      </c>
      <c r="S432" s="257">
        <v>0</v>
      </c>
      <c r="T432" s="256">
        <v>0</v>
      </c>
      <c r="U432" s="258">
        <f t="shared" si="146"/>
        <v>0</v>
      </c>
      <c r="V432" s="256">
        <v>0</v>
      </c>
      <c r="W432" s="256">
        <v>0</v>
      </c>
      <c r="X432" s="256">
        <v>0</v>
      </c>
      <c r="Y432" s="256">
        <v>0</v>
      </c>
      <c r="Z432" s="256">
        <v>0</v>
      </c>
      <c r="AA432" s="256">
        <v>0</v>
      </c>
      <c r="AB432" s="256">
        <v>0</v>
      </c>
      <c r="AC432" s="189">
        <f t="shared" si="147"/>
        <v>0</v>
      </c>
      <c r="AD432" s="259">
        <f t="shared" si="148"/>
        <v>0</v>
      </c>
    </row>
    <row r="433" spans="1:30" s="160" customFormat="1" hidden="1">
      <c r="A433" s="250">
        <v>428</v>
      </c>
      <c r="B433" s="251"/>
      <c r="C433" s="252"/>
      <c r="D433" s="253"/>
      <c r="E433" s="254">
        <f t="shared" si="137"/>
        <v>0</v>
      </c>
      <c r="F433" s="255">
        <f t="shared" si="138"/>
        <v>0</v>
      </c>
      <c r="G433" s="256">
        <f t="shared" si="139"/>
        <v>0</v>
      </c>
      <c r="H433" s="256">
        <f t="shared" si="140"/>
        <v>0</v>
      </c>
      <c r="I433" s="256">
        <f t="shared" si="141"/>
        <v>0</v>
      </c>
      <c r="J433" s="256">
        <f t="shared" si="142"/>
        <v>0</v>
      </c>
      <c r="K433" s="256">
        <f t="shared" si="143"/>
        <v>0</v>
      </c>
      <c r="L433" s="256">
        <f t="shared" si="144"/>
        <v>0</v>
      </c>
      <c r="M433" s="256">
        <f t="shared" si="145"/>
        <v>0</v>
      </c>
      <c r="N433" s="255">
        <v>0</v>
      </c>
      <c r="O433" s="256">
        <v>0</v>
      </c>
      <c r="P433" s="256">
        <v>0</v>
      </c>
      <c r="Q433" s="256">
        <v>0</v>
      </c>
      <c r="R433" s="256">
        <v>0</v>
      </c>
      <c r="S433" s="257">
        <v>0</v>
      </c>
      <c r="T433" s="256">
        <v>0</v>
      </c>
      <c r="U433" s="258">
        <f t="shared" si="146"/>
        <v>0</v>
      </c>
      <c r="V433" s="256">
        <v>0</v>
      </c>
      <c r="W433" s="256">
        <v>0</v>
      </c>
      <c r="X433" s="256">
        <v>0</v>
      </c>
      <c r="Y433" s="256">
        <v>0</v>
      </c>
      <c r="Z433" s="256">
        <v>0</v>
      </c>
      <c r="AA433" s="256">
        <v>0</v>
      </c>
      <c r="AB433" s="256">
        <v>0</v>
      </c>
      <c r="AC433" s="189">
        <f t="shared" si="147"/>
        <v>0</v>
      </c>
      <c r="AD433" s="259">
        <f t="shared" si="148"/>
        <v>0</v>
      </c>
    </row>
    <row r="434" spans="1:30" s="160" customFormat="1" hidden="1">
      <c r="A434" s="250">
        <v>429</v>
      </c>
      <c r="B434" s="251"/>
      <c r="C434" s="252"/>
      <c r="D434" s="253"/>
      <c r="E434" s="254">
        <f t="shared" si="137"/>
        <v>0</v>
      </c>
      <c r="F434" s="255">
        <f t="shared" si="138"/>
        <v>0</v>
      </c>
      <c r="G434" s="256">
        <f t="shared" si="139"/>
        <v>0</v>
      </c>
      <c r="H434" s="256">
        <f t="shared" si="140"/>
        <v>0</v>
      </c>
      <c r="I434" s="256">
        <f t="shared" si="141"/>
        <v>0</v>
      </c>
      <c r="J434" s="256">
        <f t="shared" si="142"/>
        <v>0</v>
      </c>
      <c r="K434" s="256">
        <f t="shared" si="143"/>
        <v>0</v>
      </c>
      <c r="L434" s="256">
        <f t="shared" si="144"/>
        <v>0</v>
      </c>
      <c r="M434" s="256">
        <f t="shared" si="145"/>
        <v>0</v>
      </c>
      <c r="N434" s="255">
        <v>0</v>
      </c>
      <c r="O434" s="256">
        <v>0</v>
      </c>
      <c r="P434" s="256">
        <v>0</v>
      </c>
      <c r="Q434" s="256">
        <v>0</v>
      </c>
      <c r="R434" s="256">
        <v>0</v>
      </c>
      <c r="S434" s="257">
        <v>0</v>
      </c>
      <c r="T434" s="256">
        <v>0</v>
      </c>
      <c r="U434" s="258">
        <f t="shared" si="146"/>
        <v>0</v>
      </c>
      <c r="V434" s="256">
        <v>0</v>
      </c>
      <c r="W434" s="256">
        <v>0</v>
      </c>
      <c r="X434" s="256">
        <v>0</v>
      </c>
      <c r="Y434" s="256">
        <v>0</v>
      </c>
      <c r="Z434" s="256">
        <v>0</v>
      </c>
      <c r="AA434" s="256">
        <v>0</v>
      </c>
      <c r="AB434" s="256">
        <v>0</v>
      </c>
      <c r="AC434" s="189">
        <f t="shared" si="147"/>
        <v>0</v>
      </c>
      <c r="AD434" s="259">
        <f t="shared" si="148"/>
        <v>0</v>
      </c>
    </row>
    <row r="435" spans="1:30" s="160" customFormat="1" hidden="1">
      <c r="A435" s="250">
        <v>430</v>
      </c>
      <c r="B435" s="251"/>
      <c r="C435" s="252"/>
      <c r="D435" s="253"/>
      <c r="E435" s="254">
        <f t="shared" si="137"/>
        <v>0</v>
      </c>
      <c r="F435" s="255">
        <f t="shared" si="138"/>
        <v>0</v>
      </c>
      <c r="G435" s="256">
        <f t="shared" si="139"/>
        <v>0</v>
      </c>
      <c r="H435" s="256">
        <f t="shared" si="140"/>
        <v>0</v>
      </c>
      <c r="I435" s="256">
        <f t="shared" si="141"/>
        <v>0</v>
      </c>
      <c r="J435" s="256">
        <f t="shared" si="142"/>
        <v>0</v>
      </c>
      <c r="K435" s="256">
        <f t="shared" si="143"/>
        <v>0</v>
      </c>
      <c r="L435" s="256">
        <f t="shared" si="144"/>
        <v>0</v>
      </c>
      <c r="M435" s="256">
        <f t="shared" si="145"/>
        <v>0</v>
      </c>
      <c r="N435" s="255">
        <v>0</v>
      </c>
      <c r="O435" s="256">
        <v>0</v>
      </c>
      <c r="P435" s="256">
        <v>0</v>
      </c>
      <c r="Q435" s="256">
        <v>0</v>
      </c>
      <c r="R435" s="256">
        <v>0</v>
      </c>
      <c r="S435" s="257">
        <v>0</v>
      </c>
      <c r="T435" s="256">
        <v>0</v>
      </c>
      <c r="U435" s="258">
        <f t="shared" si="146"/>
        <v>0</v>
      </c>
      <c r="V435" s="256">
        <v>0</v>
      </c>
      <c r="W435" s="256">
        <v>0</v>
      </c>
      <c r="X435" s="256">
        <v>0</v>
      </c>
      <c r="Y435" s="256">
        <v>0</v>
      </c>
      <c r="Z435" s="256">
        <v>0</v>
      </c>
      <c r="AA435" s="256">
        <v>0</v>
      </c>
      <c r="AB435" s="256">
        <v>0</v>
      </c>
      <c r="AC435" s="189">
        <f t="shared" si="147"/>
        <v>0</v>
      </c>
      <c r="AD435" s="259">
        <f t="shared" si="148"/>
        <v>0</v>
      </c>
    </row>
    <row r="436" spans="1:30" s="160" customFormat="1" hidden="1">
      <c r="A436" s="250">
        <v>431</v>
      </c>
      <c r="B436" s="251"/>
      <c r="C436" s="252"/>
      <c r="D436" s="253"/>
      <c r="E436" s="254">
        <f t="shared" si="137"/>
        <v>0</v>
      </c>
      <c r="F436" s="255">
        <f t="shared" si="138"/>
        <v>0</v>
      </c>
      <c r="G436" s="256">
        <f t="shared" si="139"/>
        <v>0</v>
      </c>
      <c r="H436" s="256">
        <f t="shared" si="140"/>
        <v>0</v>
      </c>
      <c r="I436" s="256">
        <f t="shared" si="141"/>
        <v>0</v>
      </c>
      <c r="J436" s="256">
        <f t="shared" si="142"/>
        <v>0</v>
      </c>
      <c r="K436" s="256">
        <f t="shared" si="143"/>
        <v>0</v>
      </c>
      <c r="L436" s="256">
        <f t="shared" si="144"/>
        <v>0</v>
      </c>
      <c r="M436" s="256">
        <f t="shared" si="145"/>
        <v>0</v>
      </c>
      <c r="N436" s="255">
        <v>0</v>
      </c>
      <c r="O436" s="256">
        <v>0</v>
      </c>
      <c r="P436" s="256">
        <v>0</v>
      </c>
      <c r="Q436" s="256">
        <v>0</v>
      </c>
      <c r="R436" s="256">
        <v>0</v>
      </c>
      <c r="S436" s="257">
        <v>0</v>
      </c>
      <c r="T436" s="256">
        <v>0</v>
      </c>
      <c r="U436" s="258">
        <f t="shared" si="146"/>
        <v>0</v>
      </c>
      <c r="V436" s="256">
        <v>0</v>
      </c>
      <c r="W436" s="256">
        <v>0</v>
      </c>
      <c r="X436" s="256">
        <v>0</v>
      </c>
      <c r="Y436" s="256">
        <v>0</v>
      </c>
      <c r="Z436" s="256">
        <v>0</v>
      </c>
      <c r="AA436" s="256">
        <v>0</v>
      </c>
      <c r="AB436" s="256">
        <v>0</v>
      </c>
      <c r="AC436" s="189">
        <f t="shared" si="147"/>
        <v>0</v>
      </c>
      <c r="AD436" s="259">
        <f t="shared" si="148"/>
        <v>0</v>
      </c>
    </row>
    <row r="437" spans="1:30" s="160" customFormat="1" hidden="1">
      <c r="A437" s="250">
        <v>432</v>
      </c>
      <c r="B437" s="251"/>
      <c r="C437" s="252"/>
      <c r="D437" s="253"/>
      <c r="E437" s="254">
        <f t="shared" si="137"/>
        <v>0</v>
      </c>
      <c r="F437" s="255">
        <f t="shared" si="138"/>
        <v>0</v>
      </c>
      <c r="G437" s="256">
        <f t="shared" si="139"/>
        <v>0</v>
      </c>
      <c r="H437" s="256">
        <f t="shared" si="140"/>
        <v>0</v>
      </c>
      <c r="I437" s="256">
        <f t="shared" si="141"/>
        <v>0</v>
      </c>
      <c r="J437" s="256">
        <f t="shared" si="142"/>
        <v>0</v>
      </c>
      <c r="K437" s="256">
        <f t="shared" si="143"/>
        <v>0</v>
      </c>
      <c r="L437" s="256">
        <f t="shared" si="144"/>
        <v>0</v>
      </c>
      <c r="M437" s="256">
        <f t="shared" si="145"/>
        <v>0</v>
      </c>
      <c r="N437" s="255">
        <v>0</v>
      </c>
      <c r="O437" s="256">
        <v>0</v>
      </c>
      <c r="P437" s="256">
        <v>0</v>
      </c>
      <c r="Q437" s="256">
        <v>0</v>
      </c>
      <c r="R437" s="256">
        <v>0</v>
      </c>
      <c r="S437" s="257">
        <v>0</v>
      </c>
      <c r="T437" s="256">
        <v>0</v>
      </c>
      <c r="U437" s="258">
        <f t="shared" si="146"/>
        <v>0</v>
      </c>
      <c r="V437" s="256">
        <v>0</v>
      </c>
      <c r="W437" s="256">
        <v>0</v>
      </c>
      <c r="X437" s="256">
        <v>0</v>
      </c>
      <c r="Y437" s="256">
        <v>0</v>
      </c>
      <c r="Z437" s="256">
        <v>0</v>
      </c>
      <c r="AA437" s="256">
        <v>0</v>
      </c>
      <c r="AB437" s="256">
        <v>0</v>
      </c>
      <c r="AC437" s="189">
        <f t="shared" si="147"/>
        <v>0</v>
      </c>
      <c r="AD437" s="259">
        <f t="shared" si="148"/>
        <v>0</v>
      </c>
    </row>
    <row r="438" spans="1:30" s="160" customFormat="1" hidden="1">
      <c r="A438" s="250">
        <v>433</v>
      </c>
      <c r="B438" s="251"/>
      <c r="C438" s="252"/>
      <c r="D438" s="253"/>
      <c r="E438" s="254">
        <f t="shared" si="137"/>
        <v>0</v>
      </c>
      <c r="F438" s="255">
        <f t="shared" si="138"/>
        <v>0</v>
      </c>
      <c r="G438" s="256">
        <f t="shared" si="139"/>
        <v>0</v>
      </c>
      <c r="H438" s="256">
        <f t="shared" si="140"/>
        <v>0</v>
      </c>
      <c r="I438" s="256">
        <f t="shared" si="141"/>
        <v>0</v>
      </c>
      <c r="J438" s="256">
        <f t="shared" si="142"/>
        <v>0</v>
      </c>
      <c r="K438" s="256">
        <f t="shared" si="143"/>
        <v>0</v>
      </c>
      <c r="L438" s="256">
        <f t="shared" si="144"/>
        <v>0</v>
      </c>
      <c r="M438" s="256">
        <f t="shared" si="145"/>
        <v>0</v>
      </c>
      <c r="N438" s="255">
        <v>0</v>
      </c>
      <c r="O438" s="256">
        <v>0</v>
      </c>
      <c r="P438" s="256">
        <v>0</v>
      </c>
      <c r="Q438" s="256">
        <v>0</v>
      </c>
      <c r="R438" s="256">
        <v>0</v>
      </c>
      <c r="S438" s="257">
        <v>0</v>
      </c>
      <c r="T438" s="256">
        <v>0</v>
      </c>
      <c r="U438" s="258">
        <f t="shared" si="146"/>
        <v>0</v>
      </c>
      <c r="V438" s="256">
        <v>0</v>
      </c>
      <c r="W438" s="256">
        <v>0</v>
      </c>
      <c r="X438" s="256">
        <v>0</v>
      </c>
      <c r="Y438" s="256">
        <v>0</v>
      </c>
      <c r="Z438" s="256">
        <v>0</v>
      </c>
      <c r="AA438" s="256">
        <v>0</v>
      </c>
      <c r="AB438" s="256">
        <v>0</v>
      </c>
      <c r="AC438" s="189">
        <f t="shared" si="147"/>
        <v>0</v>
      </c>
      <c r="AD438" s="259">
        <f t="shared" si="148"/>
        <v>0</v>
      </c>
    </row>
    <row r="439" spans="1:30" s="160" customFormat="1" hidden="1">
      <c r="A439" s="250">
        <v>434</v>
      </c>
      <c r="B439" s="251"/>
      <c r="C439" s="252"/>
      <c r="D439" s="253"/>
      <c r="E439" s="254">
        <f t="shared" si="137"/>
        <v>0</v>
      </c>
      <c r="F439" s="255">
        <f t="shared" si="138"/>
        <v>0</v>
      </c>
      <c r="G439" s="256">
        <f t="shared" si="139"/>
        <v>0</v>
      </c>
      <c r="H439" s="256">
        <f t="shared" si="140"/>
        <v>0</v>
      </c>
      <c r="I439" s="256">
        <f t="shared" si="141"/>
        <v>0</v>
      </c>
      <c r="J439" s="256">
        <f t="shared" si="142"/>
        <v>0</v>
      </c>
      <c r="K439" s="256">
        <f t="shared" si="143"/>
        <v>0</v>
      </c>
      <c r="L439" s="256">
        <f t="shared" si="144"/>
        <v>0</v>
      </c>
      <c r="M439" s="256">
        <f t="shared" si="145"/>
        <v>0</v>
      </c>
      <c r="N439" s="255">
        <v>0</v>
      </c>
      <c r="O439" s="256">
        <v>0</v>
      </c>
      <c r="P439" s="256">
        <v>0</v>
      </c>
      <c r="Q439" s="256">
        <v>0</v>
      </c>
      <c r="R439" s="256">
        <v>0</v>
      </c>
      <c r="S439" s="257">
        <v>0</v>
      </c>
      <c r="T439" s="256">
        <v>0</v>
      </c>
      <c r="U439" s="258">
        <f t="shared" si="146"/>
        <v>0</v>
      </c>
      <c r="V439" s="256">
        <v>0</v>
      </c>
      <c r="W439" s="256">
        <v>0</v>
      </c>
      <c r="X439" s="256">
        <v>0</v>
      </c>
      <c r="Y439" s="256">
        <v>0</v>
      </c>
      <c r="Z439" s="256">
        <v>0</v>
      </c>
      <c r="AA439" s="256">
        <v>0</v>
      </c>
      <c r="AB439" s="256">
        <v>0</v>
      </c>
      <c r="AC439" s="189">
        <f t="shared" si="147"/>
        <v>0</v>
      </c>
      <c r="AD439" s="259">
        <f t="shared" si="148"/>
        <v>0</v>
      </c>
    </row>
    <row r="440" spans="1:30" s="160" customFormat="1" hidden="1">
      <c r="A440" s="250">
        <v>435</v>
      </c>
      <c r="B440" s="251"/>
      <c r="C440" s="252"/>
      <c r="D440" s="253"/>
      <c r="E440" s="254">
        <f t="shared" si="137"/>
        <v>0</v>
      </c>
      <c r="F440" s="255">
        <f t="shared" si="138"/>
        <v>0</v>
      </c>
      <c r="G440" s="256">
        <f t="shared" si="139"/>
        <v>0</v>
      </c>
      <c r="H440" s="256">
        <f t="shared" si="140"/>
        <v>0</v>
      </c>
      <c r="I440" s="256">
        <f t="shared" si="141"/>
        <v>0</v>
      </c>
      <c r="J440" s="256">
        <f t="shared" si="142"/>
        <v>0</v>
      </c>
      <c r="K440" s="256">
        <f t="shared" si="143"/>
        <v>0</v>
      </c>
      <c r="L440" s="256">
        <f t="shared" si="144"/>
        <v>0</v>
      </c>
      <c r="M440" s="256">
        <f t="shared" si="145"/>
        <v>0</v>
      </c>
      <c r="N440" s="255">
        <v>0</v>
      </c>
      <c r="O440" s="256">
        <v>0</v>
      </c>
      <c r="P440" s="256">
        <v>0</v>
      </c>
      <c r="Q440" s="256">
        <v>0</v>
      </c>
      <c r="R440" s="256">
        <v>0</v>
      </c>
      <c r="S440" s="257">
        <v>0</v>
      </c>
      <c r="T440" s="256">
        <v>0</v>
      </c>
      <c r="U440" s="258">
        <f t="shared" si="146"/>
        <v>0</v>
      </c>
      <c r="V440" s="256">
        <v>0</v>
      </c>
      <c r="W440" s="256">
        <v>0</v>
      </c>
      <c r="X440" s="256">
        <v>0</v>
      </c>
      <c r="Y440" s="256">
        <v>0</v>
      </c>
      <c r="Z440" s="256">
        <v>0</v>
      </c>
      <c r="AA440" s="256">
        <v>0</v>
      </c>
      <c r="AB440" s="256">
        <v>0</v>
      </c>
      <c r="AC440" s="189">
        <f t="shared" si="147"/>
        <v>0</v>
      </c>
      <c r="AD440" s="259">
        <f t="shared" si="148"/>
        <v>0</v>
      </c>
    </row>
    <row r="441" spans="1:30" s="160" customFormat="1" hidden="1">
      <c r="A441" s="250">
        <v>436</v>
      </c>
      <c r="B441" s="251"/>
      <c r="C441" s="252"/>
      <c r="D441" s="253"/>
      <c r="E441" s="254">
        <f t="shared" si="137"/>
        <v>0</v>
      </c>
      <c r="F441" s="255">
        <f t="shared" si="138"/>
        <v>0</v>
      </c>
      <c r="G441" s="256">
        <f t="shared" si="139"/>
        <v>0</v>
      </c>
      <c r="H441" s="256">
        <f t="shared" si="140"/>
        <v>0</v>
      </c>
      <c r="I441" s="256">
        <f t="shared" si="141"/>
        <v>0</v>
      </c>
      <c r="J441" s="256">
        <f t="shared" si="142"/>
        <v>0</v>
      </c>
      <c r="K441" s="256">
        <f t="shared" si="143"/>
        <v>0</v>
      </c>
      <c r="L441" s="256">
        <f t="shared" si="144"/>
        <v>0</v>
      </c>
      <c r="M441" s="256">
        <f t="shared" si="145"/>
        <v>0</v>
      </c>
      <c r="N441" s="255">
        <v>0</v>
      </c>
      <c r="O441" s="256">
        <v>0</v>
      </c>
      <c r="P441" s="256">
        <v>0</v>
      </c>
      <c r="Q441" s="256">
        <v>0</v>
      </c>
      <c r="R441" s="256">
        <v>0</v>
      </c>
      <c r="S441" s="257">
        <v>0</v>
      </c>
      <c r="T441" s="256">
        <v>0</v>
      </c>
      <c r="U441" s="258">
        <f t="shared" si="146"/>
        <v>0</v>
      </c>
      <c r="V441" s="256">
        <v>0</v>
      </c>
      <c r="W441" s="256">
        <v>0</v>
      </c>
      <c r="X441" s="256">
        <v>0</v>
      </c>
      <c r="Y441" s="256">
        <v>0</v>
      </c>
      <c r="Z441" s="256">
        <v>0</v>
      </c>
      <c r="AA441" s="256">
        <v>0</v>
      </c>
      <c r="AB441" s="256">
        <v>0</v>
      </c>
      <c r="AC441" s="189">
        <f t="shared" si="147"/>
        <v>0</v>
      </c>
      <c r="AD441" s="259">
        <f t="shared" si="148"/>
        <v>0</v>
      </c>
    </row>
    <row r="442" spans="1:30" s="160" customFormat="1" hidden="1">
      <c r="A442" s="250">
        <v>437</v>
      </c>
      <c r="B442" s="251"/>
      <c r="C442" s="252"/>
      <c r="D442" s="253"/>
      <c r="E442" s="254">
        <f t="shared" si="137"/>
        <v>0</v>
      </c>
      <c r="F442" s="255">
        <f t="shared" si="138"/>
        <v>0</v>
      </c>
      <c r="G442" s="256">
        <f t="shared" si="139"/>
        <v>0</v>
      </c>
      <c r="H442" s="256">
        <f t="shared" si="140"/>
        <v>0</v>
      </c>
      <c r="I442" s="256">
        <f t="shared" si="141"/>
        <v>0</v>
      </c>
      <c r="J442" s="256">
        <f t="shared" si="142"/>
        <v>0</v>
      </c>
      <c r="K442" s="256">
        <f t="shared" si="143"/>
        <v>0</v>
      </c>
      <c r="L442" s="256">
        <f t="shared" si="144"/>
        <v>0</v>
      </c>
      <c r="M442" s="256">
        <f t="shared" si="145"/>
        <v>0</v>
      </c>
      <c r="N442" s="255">
        <v>0</v>
      </c>
      <c r="O442" s="256">
        <v>0</v>
      </c>
      <c r="P442" s="256">
        <v>0</v>
      </c>
      <c r="Q442" s="256">
        <v>0</v>
      </c>
      <c r="R442" s="256">
        <v>0</v>
      </c>
      <c r="S442" s="257">
        <v>0</v>
      </c>
      <c r="T442" s="256">
        <v>0</v>
      </c>
      <c r="U442" s="258">
        <f t="shared" si="146"/>
        <v>0</v>
      </c>
      <c r="V442" s="256">
        <v>0</v>
      </c>
      <c r="W442" s="256">
        <v>0</v>
      </c>
      <c r="X442" s="256">
        <v>0</v>
      </c>
      <c r="Y442" s="256">
        <v>0</v>
      </c>
      <c r="Z442" s="256">
        <v>0</v>
      </c>
      <c r="AA442" s="256">
        <v>0</v>
      </c>
      <c r="AB442" s="256">
        <v>0</v>
      </c>
      <c r="AC442" s="189">
        <f t="shared" si="147"/>
        <v>0</v>
      </c>
      <c r="AD442" s="259">
        <f t="shared" si="148"/>
        <v>0</v>
      </c>
    </row>
    <row r="443" spans="1:30" s="160" customFormat="1" hidden="1">
      <c r="A443" s="250">
        <v>438</v>
      </c>
      <c r="B443" s="251"/>
      <c r="C443" s="252"/>
      <c r="D443" s="253"/>
      <c r="E443" s="254">
        <f t="shared" si="137"/>
        <v>0</v>
      </c>
      <c r="F443" s="255">
        <f t="shared" si="138"/>
        <v>0</v>
      </c>
      <c r="G443" s="256">
        <f t="shared" si="139"/>
        <v>0</v>
      </c>
      <c r="H443" s="256">
        <f t="shared" si="140"/>
        <v>0</v>
      </c>
      <c r="I443" s="256">
        <f t="shared" si="141"/>
        <v>0</v>
      </c>
      <c r="J443" s="256">
        <f t="shared" si="142"/>
        <v>0</v>
      </c>
      <c r="K443" s="256">
        <f t="shared" si="143"/>
        <v>0</v>
      </c>
      <c r="L443" s="256">
        <f t="shared" si="144"/>
        <v>0</v>
      </c>
      <c r="M443" s="256">
        <f t="shared" si="145"/>
        <v>0</v>
      </c>
      <c r="N443" s="255">
        <v>0</v>
      </c>
      <c r="O443" s="256">
        <v>0</v>
      </c>
      <c r="P443" s="256">
        <v>0</v>
      </c>
      <c r="Q443" s="256">
        <v>0</v>
      </c>
      <c r="R443" s="256">
        <v>0</v>
      </c>
      <c r="S443" s="257">
        <v>0</v>
      </c>
      <c r="T443" s="256">
        <v>0</v>
      </c>
      <c r="U443" s="258">
        <f t="shared" si="146"/>
        <v>0</v>
      </c>
      <c r="V443" s="256">
        <v>0</v>
      </c>
      <c r="W443" s="256">
        <v>0</v>
      </c>
      <c r="X443" s="256">
        <v>0</v>
      </c>
      <c r="Y443" s="256">
        <v>0</v>
      </c>
      <c r="Z443" s="256">
        <v>0</v>
      </c>
      <c r="AA443" s="256">
        <v>0</v>
      </c>
      <c r="AB443" s="256">
        <v>0</v>
      </c>
      <c r="AC443" s="189">
        <f t="shared" si="147"/>
        <v>0</v>
      </c>
      <c r="AD443" s="259">
        <f t="shared" si="148"/>
        <v>0</v>
      </c>
    </row>
    <row r="444" spans="1:30" s="160" customFormat="1" hidden="1">
      <c r="A444" s="250">
        <v>439</v>
      </c>
      <c r="B444" s="251"/>
      <c r="C444" s="252"/>
      <c r="D444" s="253"/>
      <c r="E444" s="254">
        <f t="shared" si="137"/>
        <v>0</v>
      </c>
      <c r="F444" s="255">
        <f t="shared" si="138"/>
        <v>0</v>
      </c>
      <c r="G444" s="256">
        <f t="shared" si="139"/>
        <v>0</v>
      </c>
      <c r="H444" s="256">
        <f t="shared" si="140"/>
        <v>0</v>
      </c>
      <c r="I444" s="256">
        <f t="shared" si="141"/>
        <v>0</v>
      </c>
      <c r="J444" s="256">
        <f t="shared" si="142"/>
        <v>0</v>
      </c>
      <c r="K444" s="256">
        <f t="shared" si="143"/>
        <v>0</v>
      </c>
      <c r="L444" s="256">
        <f t="shared" si="144"/>
        <v>0</v>
      </c>
      <c r="M444" s="256">
        <f t="shared" si="145"/>
        <v>0</v>
      </c>
      <c r="N444" s="255">
        <v>0</v>
      </c>
      <c r="O444" s="256">
        <v>0</v>
      </c>
      <c r="P444" s="256">
        <v>0</v>
      </c>
      <c r="Q444" s="256">
        <v>0</v>
      </c>
      <c r="R444" s="256">
        <v>0</v>
      </c>
      <c r="S444" s="257">
        <v>0</v>
      </c>
      <c r="T444" s="256">
        <v>0</v>
      </c>
      <c r="U444" s="258">
        <f t="shared" si="146"/>
        <v>0</v>
      </c>
      <c r="V444" s="256">
        <v>0</v>
      </c>
      <c r="W444" s="256">
        <v>0</v>
      </c>
      <c r="X444" s="256">
        <v>0</v>
      </c>
      <c r="Y444" s="256">
        <v>0</v>
      </c>
      <c r="Z444" s="256">
        <v>0</v>
      </c>
      <c r="AA444" s="256">
        <v>0</v>
      </c>
      <c r="AB444" s="256">
        <v>0</v>
      </c>
      <c r="AC444" s="189">
        <f t="shared" si="147"/>
        <v>0</v>
      </c>
      <c r="AD444" s="259">
        <f t="shared" si="148"/>
        <v>0</v>
      </c>
    </row>
    <row r="445" spans="1:30" s="160" customFormat="1" hidden="1">
      <c r="A445" s="250">
        <v>440</v>
      </c>
      <c r="B445" s="251"/>
      <c r="C445" s="252"/>
      <c r="D445" s="253"/>
      <c r="E445" s="254">
        <f t="shared" si="137"/>
        <v>0</v>
      </c>
      <c r="F445" s="255">
        <f t="shared" si="138"/>
        <v>0</v>
      </c>
      <c r="G445" s="256">
        <f t="shared" si="139"/>
        <v>0</v>
      </c>
      <c r="H445" s="256">
        <f t="shared" si="140"/>
        <v>0</v>
      </c>
      <c r="I445" s="256">
        <f t="shared" si="141"/>
        <v>0</v>
      </c>
      <c r="J445" s="256">
        <f t="shared" si="142"/>
        <v>0</v>
      </c>
      <c r="K445" s="256">
        <f t="shared" si="143"/>
        <v>0</v>
      </c>
      <c r="L445" s="256">
        <f t="shared" si="144"/>
        <v>0</v>
      </c>
      <c r="M445" s="256">
        <f t="shared" si="145"/>
        <v>0</v>
      </c>
      <c r="N445" s="255">
        <v>0</v>
      </c>
      <c r="O445" s="256">
        <v>0</v>
      </c>
      <c r="P445" s="256">
        <v>0</v>
      </c>
      <c r="Q445" s="256">
        <v>0</v>
      </c>
      <c r="R445" s="256">
        <v>0</v>
      </c>
      <c r="S445" s="257">
        <v>0</v>
      </c>
      <c r="T445" s="256">
        <v>0</v>
      </c>
      <c r="U445" s="258">
        <f t="shared" si="146"/>
        <v>0</v>
      </c>
      <c r="V445" s="256">
        <v>0</v>
      </c>
      <c r="W445" s="256">
        <v>0</v>
      </c>
      <c r="X445" s="256">
        <v>0</v>
      </c>
      <c r="Y445" s="256">
        <v>0</v>
      </c>
      <c r="Z445" s="256">
        <v>0</v>
      </c>
      <c r="AA445" s="256">
        <v>0</v>
      </c>
      <c r="AB445" s="256">
        <v>0</v>
      </c>
      <c r="AC445" s="189">
        <f t="shared" si="147"/>
        <v>0</v>
      </c>
      <c r="AD445" s="259">
        <f t="shared" si="148"/>
        <v>0</v>
      </c>
    </row>
    <row r="446" spans="1:30" s="160" customFormat="1" hidden="1">
      <c r="A446" s="250">
        <v>441</v>
      </c>
      <c r="B446" s="251"/>
      <c r="C446" s="252"/>
      <c r="D446" s="253"/>
      <c r="E446" s="254">
        <f t="shared" si="137"/>
        <v>0</v>
      </c>
      <c r="F446" s="255">
        <f t="shared" si="138"/>
        <v>0</v>
      </c>
      <c r="G446" s="256">
        <f t="shared" si="139"/>
        <v>0</v>
      </c>
      <c r="H446" s="256">
        <f t="shared" si="140"/>
        <v>0</v>
      </c>
      <c r="I446" s="256">
        <f t="shared" si="141"/>
        <v>0</v>
      </c>
      <c r="J446" s="256">
        <f t="shared" si="142"/>
        <v>0</v>
      </c>
      <c r="K446" s="256">
        <f t="shared" si="143"/>
        <v>0</v>
      </c>
      <c r="L446" s="256">
        <f t="shared" si="144"/>
        <v>0</v>
      </c>
      <c r="M446" s="256">
        <f t="shared" si="145"/>
        <v>0</v>
      </c>
      <c r="N446" s="255">
        <v>0</v>
      </c>
      <c r="O446" s="256">
        <v>0</v>
      </c>
      <c r="P446" s="256">
        <v>0</v>
      </c>
      <c r="Q446" s="256">
        <v>0</v>
      </c>
      <c r="R446" s="256">
        <v>0</v>
      </c>
      <c r="S446" s="257">
        <v>0</v>
      </c>
      <c r="T446" s="256">
        <v>0</v>
      </c>
      <c r="U446" s="258">
        <f t="shared" si="146"/>
        <v>0</v>
      </c>
      <c r="V446" s="256">
        <v>0</v>
      </c>
      <c r="W446" s="256">
        <v>0</v>
      </c>
      <c r="X446" s="256">
        <v>0</v>
      </c>
      <c r="Y446" s="256">
        <v>0</v>
      </c>
      <c r="Z446" s="256">
        <v>0</v>
      </c>
      <c r="AA446" s="256">
        <v>0</v>
      </c>
      <c r="AB446" s="256">
        <v>0</v>
      </c>
      <c r="AC446" s="189">
        <f t="shared" si="147"/>
        <v>0</v>
      </c>
      <c r="AD446" s="259">
        <f t="shared" si="148"/>
        <v>0</v>
      </c>
    </row>
    <row r="447" spans="1:30" s="160" customFormat="1" hidden="1">
      <c r="A447" s="250">
        <v>442</v>
      </c>
      <c r="B447" s="251"/>
      <c r="C447" s="252"/>
      <c r="D447" s="253"/>
      <c r="E447" s="254">
        <f t="shared" si="137"/>
        <v>0</v>
      </c>
      <c r="F447" s="255">
        <f t="shared" si="138"/>
        <v>0</v>
      </c>
      <c r="G447" s="256">
        <f t="shared" si="139"/>
        <v>0</v>
      </c>
      <c r="H447" s="256">
        <f t="shared" si="140"/>
        <v>0</v>
      </c>
      <c r="I447" s="256">
        <f t="shared" si="141"/>
        <v>0</v>
      </c>
      <c r="J447" s="256">
        <f t="shared" si="142"/>
        <v>0</v>
      </c>
      <c r="K447" s="256">
        <f t="shared" si="143"/>
        <v>0</v>
      </c>
      <c r="L447" s="256">
        <f t="shared" si="144"/>
        <v>0</v>
      </c>
      <c r="M447" s="256">
        <f t="shared" si="145"/>
        <v>0</v>
      </c>
      <c r="N447" s="255">
        <v>0</v>
      </c>
      <c r="O447" s="256">
        <v>0</v>
      </c>
      <c r="P447" s="256">
        <v>0</v>
      </c>
      <c r="Q447" s="256">
        <v>0</v>
      </c>
      <c r="R447" s="256">
        <v>0</v>
      </c>
      <c r="S447" s="257">
        <v>0</v>
      </c>
      <c r="T447" s="256">
        <v>0</v>
      </c>
      <c r="U447" s="258">
        <f t="shared" si="146"/>
        <v>0</v>
      </c>
      <c r="V447" s="256">
        <v>0</v>
      </c>
      <c r="W447" s="256">
        <v>0</v>
      </c>
      <c r="X447" s="256">
        <v>0</v>
      </c>
      <c r="Y447" s="256">
        <v>0</v>
      </c>
      <c r="Z447" s="256">
        <v>0</v>
      </c>
      <c r="AA447" s="256">
        <v>0</v>
      </c>
      <c r="AB447" s="256">
        <v>0</v>
      </c>
      <c r="AC447" s="189">
        <f t="shared" si="147"/>
        <v>0</v>
      </c>
      <c r="AD447" s="259">
        <f t="shared" si="148"/>
        <v>0</v>
      </c>
    </row>
    <row r="448" spans="1:30" s="160" customFormat="1" hidden="1">
      <c r="A448" s="250">
        <v>443</v>
      </c>
      <c r="B448" s="251"/>
      <c r="C448" s="252"/>
      <c r="D448" s="253"/>
      <c r="E448" s="254">
        <f t="shared" si="137"/>
        <v>0</v>
      </c>
      <c r="F448" s="255">
        <f t="shared" si="138"/>
        <v>0</v>
      </c>
      <c r="G448" s="256">
        <f t="shared" si="139"/>
        <v>0</v>
      </c>
      <c r="H448" s="256">
        <f t="shared" si="140"/>
        <v>0</v>
      </c>
      <c r="I448" s="256">
        <f t="shared" si="141"/>
        <v>0</v>
      </c>
      <c r="J448" s="256">
        <f t="shared" si="142"/>
        <v>0</v>
      </c>
      <c r="K448" s="256">
        <f t="shared" si="143"/>
        <v>0</v>
      </c>
      <c r="L448" s="256">
        <f t="shared" si="144"/>
        <v>0</v>
      </c>
      <c r="M448" s="256">
        <f t="shared" si="145"/>
        <v>0</v>
      </c>
      <c r="N448" s="255">
        <v>0</v>
      </c>
      <c r="O448" s="256">
        <v>0</v>
      </c>
      <c r="P448" s="256">
        <v>0</v>
      </c>
      <c r="Q448" s="256">
        <v>0</v>
      </c>
      <c r="R448" s="256">
        <v>0</v>
      </c>
      <c r="S448" s="257">
        <v>0</v>
      </c>
      <c r="T448" s="256">
        <v>0</v>
      </c>
      <c r="U448" s="258">
        <f t="shared" si="146"/>
        <v>0</v>
      </c>
      <c r="V448" s="256">
        <v>0</v>
      </c>
      <c r="W448" s="256">
        <v>0</v>
      </c>
      <c r="X448" s="256">
        <v>0</v>
      </c>
      <c r="Y448" s="256">
        <v>0</v>
      </c>
      <c r="Z448" s="256">
        <v>0</v>
      </c>
      <c r="AA448" s="256">
        <v>0</v>
      </c>
      <c r="AB448" s="256">
        <v>0</v>
      </c>
      <c r="AC448" s="189">
        <f t="shared" si="147"/>
        <v>0</v>
      </c>
      <c r="AD448" s="259">
        <f t="shared" si="148"/>
        <v>0</v>
      </c>
    </row>
    <row r="449" spans="1:30" s="160" customFormat="1" hidden="1">
      <c r="A449" s="250">
        <v>444</v>
      </c>
      <c r="B449" s="251"/>
      <c r="C449" s="252"/>
      <c r="D449" s="253"/>
      <c r="E449" s="254">
        <f t="shared" si="137"/>
        <v>0</v>
      </c>
      <c r="F449" s="255">
        <f t="shared" si="138"/>
        <v>0</v>
      </c>
      <c r="G449" s="256">
        <f t="shared" si="139"/>
        <v>0</v>
      </c>
      <c r="H449" s="256">
        <f t="shared" si="140"/>
        <v>0</v>
      </c>
      <c r="I449" s="256">
        <f t="shared" si="141"/>
        <v>0</v>
      </c>
      <c r="J449" s="256">
        <f t="shared" si="142"/>
        <v>0</v>
      </c>
      <c r="K449" s="256">
        <f t="shared" si="143"/>
        <v>0</v>
      </c>
      <c r="L449" s="256">
        <f t="shared" si="144"/>
        <v>0</v>
      </c>
      <c r="M449" s="256">
        <f t="shared" si="145"/>
        <v>0</v>
      </c>
      <c r="N449" s="255">
        <v>0</v>
      </c>
      <c r="O449" s="256">
        <v>0</v>
      </c>
      <c r="P449" s="256">
        <v>0</v>
      </c>
      <c r="Q449" s="256">
        <v>0</v>
      </c>
      <c r="R449" s="256">
        <v>0</v>
      </c>
      <c r="S449" s="257">
        <v>0</v>
      </c>
      <c r="T449" s="256">
        <v>0</v>
      </c>
      <c r="U449" s="258">
        <f t="shared" si="146"/>
        <v>0</v>
      </c>
      <c r="V449" s="256">
        <v>0</v>
      </c>
      <c r="W449" s="256">
        <v>0</v>
      </c>
      <c r="X449" s="256">
        <v>0</v>
      </c>
      <c r="Y449" s="256">
        <v>0</v>
      </c>
      <c r="Z449" s="256">
        <v>0</v>
      </c>
      <c r="AA449" s="256">
        <v>0</v>
      </c>
      <c r="AB449" s="256">
        <v>0</v>
      </c>
      <c r="AC449" s="189">
        <f t="shared" si="147"/>
        <v>0</v>
      </c>
      <c r="AD449" s="259">
        <f t="shared" si="148"/>
        <v>0</v>
      </c>
    </row>
    <row r="450" spans="1:30" s="160" customFormat="1" hidden="1">
      <c r="A450" s="250">
        <v>445</v>
      </c>
      <c r="B450" s="251"/>
      <c r="C450" s="252"/>
      <c r="D450" s="253"/>
      <c r="E450" s="254">
        <f t="shared" si="137"/>
        <v>0</v>
      </c>
      <c r="F450" s="255">
        <f t="shared" si="138"/>
        <v>0</v>
      </c>
      <c r="G450" s="256">
        <f t="shared" si="139"/>
        <v>0</v>
      </c>
      <c r="H450" s="256">
        <f t="shared" si="140"/>
        <v>0</v>
      </c>
      <c r="I450" s="256">
        <f t="shared" si="141"/>
        <v>0</v>
      </c>
      <c r="J450" s="256">
        <f t="shared" si="142"/>
        <v>0</v>
      </c>
      <c r="K450" s="256">
        <f t="shared" si="143"/>
        <v>0</v>
      </c>
      <c r="L450" s="256">
        <f t="shared" si="144"/>
        <v>0</v>
      </c>
      <c r="M450" s="256">
        <f t="shared" si="145"/>
        <v>0</v>
      </c>
      <c r="N450" s="255">
        <v>0</v>
      </c>
      <c r="O450" s="256">
        <v>0</v>
      </c>
      <c r="P450" s="256">
        <v>0</v>
      </c>
      <c r="Q450" s="256">
        <v>0</v>
      </c>
      <c r="R450" s="256">
        <v>0</v>
      </c>
      <c r="S450" s="257">
        <v>0</v>
      </c>
      <c r="T450" s="256">
        <v>0</v>
      </c>
      <c r="U450" s="258">
        <f t="shared" si="146"/>
        <v>0</v>
      </c>
      <c r="V450" s="256">
        <v>0</v>
      </c>
      <c r="W450" s="256">
        <v>0</v>
      </c>
      <c r="X450" s="256">
        <v>0</v>
      </c>
      <c r="Y450" s="256">
        <v>0</v>
      </c>
      <c r="Z450" s="256">
        <v>0</v>
      </c>
      <c r="AA450" s="256">
        <v>0</v>
      </c>
      <c r="AB450" s="256">
        <v>0</v>
      </c>
      <c r="AC450" s="189">
        <f t="shared" si="147"/>
        <v>0</v>
      </c>
      <c r="AD450" s="259">
        <f t="shared" si="148"/>
        <v>0</v>
      </c>
    </row>
    <row r="451" spans="1:30" s="160" customFormat="1" hidden="1">
      <c r="A451" s="250">
        <v>446</v>
      </c>
      <c r="B451" s="251"/>
      <c r="C451" s="252"/>
      <c r="D451" s="253"/>
      <c r="E451" s="254">
        <f t="shared" si="137"/>
        <v>0</v>
      </c>
      <c r="F451" s="255">
        <f t="shared" si="138"/>
        <v>0</v>
      </c>
      <c r="G451" s="256">
        <f t="shared" si="139"/>
        <v>0</v>
      </c>
      <c r="H451" s="256">
        <f t="shared" si="140"/>
        <v>0</v>
      </c>
      <c r="I451" s="256">
        <f t="shared" si="141"/>
        <v>0</v>
      </c>
      <c r="J451" s="256">
        <f t="shared" si="142"/>
        <v>0</v>
      </c>
      <c r="K451" s="256">
        <f t="shared" si="143"/>
        <v>0</v>
      </c>
      <c r="L451" s="256">
        <f t="shared" si="144"/>
        <v>0</v>
      </c>
      <c r="M451" s="256">
        <f t="shared" si="145"/>
        <v>0</v>
      </c>
      <c r="N451" s="255">
        <v>0</v>
      </c>
      <c r="O451" s="256">
        <v>0</v>
      </c>
      <c r="P451" s="256">
        <v>0</v>
      </c>
      <c r="Q451" s="256">
        <v>0</v>
      </c>
      <c r="R451" s="256">
        <v>0</v>
      </c>
      <c r="S451" s="257">
        <v>0</v>
      </c>
      <c r="T451" s="256">
        <v>0</v>
      </c>
      <c r="U451" s="258">
        <f t="shared" si="146"/>
        <v>0</v>
      </c>
      <c r="V451" s="256">
        <v>0</v>
      </c>
      <c r="W451" s="256">
        <v>0</v>
      </c>
      <c r="X451" s="256">
        <v>0</v>
      </c>
      <c r="Y451" s="256">
        <v>0</v>
      </c>
      <c r="Z451" s="256">
        <v>0</v>
      </c>
      <c r="AA451" s="256">
        <v>0</v>
      </c>
      <c r="AB451" s="256">
        <v>0</v>
      </c>
      <c r="AC451" s="189">
        <f t="shared" si="147"/>
        <v>0</v>
      </c>
      <c r="AD451" s="259">
        <f t="shared" si="148"/>
        <v>0</v>
      </c>
    </row>
    <row r="452" spans="1:30" s="160" customFormat="1" hidden="1">
      <c r="A452" s="250">
        <v>447</v>
      </c>
      <c r="B452" s="251"/>
      <c r="C452" s="252"/>
      <c r="D452" s="253"/>
      <c r="E452" s="254">
        <f t="shared" si="137"/>
        <v>0</v>
      </c>
      <c r="F452" s="255">
        <f t="shared" si="138"/>
        <v>0</v>
      </c>
      <c r="G452" s="256">
        <f t="shared" si="139"/>
        <v>0</v>
      </c>
      <c r="H452" s="256">
        <f t="shared" si="140"/>
        <v>0</v>
      </c>
      <c r="I452" s="256">
        <f t="shared" si="141"/>
        <v>0</v>
      </c>
      <c r="J452" s="256">
        <f t="shared" si="142"/>
        <v>0</v>
      </c>
      <c r="K452" s="256">
        <f t="shared" si="143"/>
        <v>0</v>
      </c>
      <c r="L452" s="256">
        <f t="shared" si="144"/>
        <v>0</v>
      </c>
      <c r="M452" s="256">
        <f t="shared" si="145"/>
        <v>0</v>
      </c>
      <c r="N452" s="255">
        <v>0</v>
      </c>
      <c r="O452" s="256">
        <v>0</v>
      </c>
      <c r="P452" s="256">
        <v>0</v>
      </c>
      <c r="Q452" s="256">
        <v>0</v>
      </c>
      <c r="R452" s="256">
        <v>0</v>
      </c>
      <c r="S452" s="257">
        <v>0</v>
      </c>
      <c r="T452" s="256">
        <v>0</v>
      </c>
      <c r="U452" s="258">
        <f t="shared" si="146"/>
        <v>0</v>
      </c>
      <c r="V452" s="256">
        <v>0</v>
      </c>
      <c r="W452" s="256">
        <v>0</v>
      </c>
      <c r="X452" s="256">
        <v>0</v>
      </c>
      <c r="Y452" s="256">
        <v>0</v>
      </c>
      <c r="Z452" s="256">
        <v>0</v>
      </c>
      <c r="AA452" s="256">
        <v>0</v>
      </c>
      <c r="AB452" s="256">
        <v>0</v>
      </c>
      <c r="AC452" s="189">
        <f t="shared" si="147"/>
        <v>0</v>
      </c>
      <c r="AD452" s="259">
        <f t="shared" si="148"/>
        <v>0</v>
      </c>
    </row>
    <row r="453" spans="1:30" s="160" customFormat="1" hidden="1">
      <c r="A453" s="250">
        <v>448</v>
      </c>
      <c r="B453" s="251"/>
      <c r="C453" s="252"/>
      <c r="D453" s="253"/>
      <c r="E453" s="254">
        <f t="shared" si="137"/>
        <v>0</v>
      </c>
      <c r="F453" s="255">
        <f t="shared" si="138"/>
        <v>0</v>
      </c>
      <c r="G453" s="256">
        <f t="shared" si="139"/>
        <v>0</v>
      </c>
      <c r="H453" s="256">
        <f t="shared" si="140"/>
        <v>0</v>
      </c>
      <c r="I453" s="256">
        <f t="shared" si="141"/>
        <v>0</v>
      </c>
      <c r="J453" s="256">
        <f t="shared" si="142"/>
        <v>0</v>
      </c>
      <c r="K453" s="256">
        <f t="shared" si="143"/>
        <v>0</v>
      </c>
      <c r="L453" s="256">
        <f t="shared" si="144"/>
        <v>0</v>
      </c>
      <c r="M453" s="256">
        <f t="shared" si="145"/>
        <v>0</v>
      </c>
      <c r="N453" s="255">
        <v>0</v>
      </c>
      <c r="O453" s="256">
        <v>0</v>
      </c>
      <c r="P453" s="256">
        <v>0</v>
      </c>
      <c r="Q453" s="256">
        <v>0</v>
      </c>
      <c r="R453" s="256">
        <v>0</v>
      </c>
      <c r="S453" s="257">
        <v>0</v>
      </c>
      <c r="T453" s="256">
        <v>0</v>
      </c>
      <c r="U453" s="258">
        <f t="shared" si="146"/>
        <v>0</v>
      </c>
      <c r="V453" s="256">
        <v>0</v>
      </c>
      <c r="W453" s="256">
        <v>0</v>
      </c>
      <c r="X453" s="256">
        <v>0</v>
      </c>
      <c r="Y453" s="256">
        <v>0</v>
      </c>
      <c r="Z453" s="256">
        <v>0</v>
      </c>
      <c r="AA453" s="256">
        <v>0</v>
      </c>
      <c r="AB453" s="256">
        <v>0</v>
      </c>
      <c r="AC453" s="189">
        <f t="shared" si="147"/>
        <v>0</v>
      </c>
      <c r="AD453" s="259">
        <f t="shared" si="148"/>
        <v>0</v>
      </c>
    </row>
    <row r="454" spans="1:30" s="160" customFormat="1" hidden="1">
      <c r="A454" s="250">
        <v>449</v>
      </c>
      <c r="B454" s="251"/>
      <c r="C454" s="252"/>
      <c r="D454" s="253"/>
      <c r="E454" s="254">
        <f t="shared" ref="E454:E505" si="149">C454*D454</f>
        <v>0</v>
      </c>
      <c r="F454" s="255">
        <f t="shared" ref="F454:F505" si="150">(E454+J454+L454+K454+M454)*26.5%</f>
        <v>0</v>
      </c>
      <c r="G454" s="256">
        <f t="shared" ref="G454:G505" si="151">(E454+J454+L454+K454+M454)*1%</f>
        <v>0</v>
      </c>
      <c r="H454" s="256">
        <f t="shared" ref="H454:H505" si="152">(E454+J454+L454+K454+M454)*8%</f>
        <v>0</v>
      </c>
      <c r="I454" s="256">
        <f t="shared" ref="I454:I505" si="153">H454/2</f>
        <v>0</v>
      </c>
      <c r="J454" s="256">
        <f t="shared" ref="J454:J505" si="154">E454/12</f>
        <v>0</v>
      </c>
      <c r="K454" s="256">
        <f t="shared" ref="K454:K505" si="155">E454/12</f>
        <v>0</v>
      </c>
      <c r="L454" s="256">
        <f t="shared" ref="L454:L505" si="156">K454/3</f>
        <v>0</v>
      </c>
      <c r="M454" s="256">
        <f t="shared" ref="M454:M505" si="157">E454/12</f>
        <v>0</v>
      </c>
      <c r="N454" s="255">
        <v>0</v>
      </c>
      <c r="O454" s="256">
        <v>0</v>
      </c>
      <c r="P454" s="256">
        <v>0</v>
      </c>
      <c r="Q454" s="256">
        <v>0</v>
      </c>
      <c r="R454" s="256">
        <v>0</v>
      </c>
      <c r="S454" s="257">
        <v>0</v>
      </c>
      <c r="T454" s="256">
        <v>0</v>
      </c>
      <c r="U454" s="258">
        <f t="shared" ref="U454:U505" si="158">SUM(F454:T454)</f>
        <v>0</v>
      </c>
      <c r="V454" s="256">
        <v>0</v>
      </c>
      <c r="W454" s="256">
        <v>0</v>
      </c>
      <c r="X454" s="256">
        <v>0</v>
      </c>
      <c r="Y454" s="256">
        <v>0</v>
      </c>
      <c r="Z454" s="256">
        <v>0</v>
      </c>
      <c r="AA454" s="256">
        <v>0</v>
      </c>
      <c r="AB454" s="256">
        <v>0</v>
      </c>
      <c r="AC454" s="189">
        <f t="shared" ref="AC454:AC505" si="159">SUM(V454:AB454)</f>
        <v>0</v>
      </c>
      <c r="AD454" s="259">
        <f t="shared" ref="AD454:AD505" si="160">E454+U454+AC454</f>
        <v>0</v>
      </c>
    </row>
    <row r="455" spans="1:30" s="160" customFormat="1" hidden="1">
      <c r="A455" s="250">
        <v>450</v>
      </c>
      <c r="B455" s="251"/>
      <c r="C455" s="252"/>
      <c r="D455" s="253"/>
      <c r="E455" s="254">
        <f t="shared" si="149"/>
        <v>0</v>
      </c>
      <c r="F455" s="255">
        <f t="shared" si="150"/>
        <v>0</v>
      </c>
      <c r="G455" s="256">
        <f t="shared" si="151"/>
        <v>0</v>
      </c>
      <c r="H455" s="256">
        <f t="shared" si="152"/>
        <v>0</v>
      </c>
      <c r="I455" s="256">
        <f t="shared" si="153"/>
        <v>0</v>
      </c>
      <c r="J455" s="256">
        <f t="shared" si="154"/>
        <v>0</v>
      </c>
      <c r="K455" s="256">
        <f t="shared" si="155"/>
        <v>0</v>
      </c>
      <c r="L455" s="256">
        <f t="shared" si="156"/>
        <v>0</v>
      </c>
      <c r="M455" s="256">
        <f t="shared" si="157"/>
        <v>0</v>
      </c>
      <c r="N455" s="255">
        <v>0</v>
      </c>
      <c r="O455" s="256">
        <v>0</v>
      </c>
      <c r="P455" s="256">
        <v>0</v>
      </c>
      <c r="Q455" s="256">
        <v>0</v>
      </c>
      <c r="R455" s="256">
        <v>0</v>
      </c>
      <c r="S455" s="257">
        <v>0</v>
      </c>
      <c r="T455" s="256">
        <v>0</v>
      </c>
      <c r="U455" s="258">
        <f t="shared" si="158"/>
        <v>0</v>
      </c>
      <c r="V455" s="256">
        <v>0</v>
      </c>
      <c r="W455" s="256">
        <v>0</v>
      </c>
      <c r="X455" s="256">
        <v>0</v>
      </c>
      <c r="Y455" s="256">
        <v>0</v>
      </c>
      <c r="Z455" s="256">
        <v>0</v>
      </c>
      <c r="AA455" s="256">
        <v>0</v>
      </c>
      <c r="AB455" s="256">
        <v>0</v>
      </c>
      <c r="AC455" s="189">
        <f t="shared" si="159"/>
        <v>0</v>
      </c>
      <c r="AD455" s="259">
        <f t="shared" si="160"/>
        <v>0</v>
      </c>
    </row>
    <row r="456" spans="1:30" s="160" customFormat="1" hidden="1">
      <c r="A456" s="250">
        <v>451</v>
      </c>
      <c r="B456" s="251"/>
      <c r="C456" s="252"/>
      <c r="D456" s="253"/>
      <c r="E456" s="254">
        <f t="shared" si="149"/>
        <v>0</v>
      </c>
      <c r="F456" s="255">
        <f t="shared" si="150"/>
        <v>0</v>
      </c>
      <c r="G456" s="256">
        <f t="shared" si="151"/>
        <v>0</v>
      </c>
      <c r="H456" s="256">
        <f t="shared" si="152"/>
        <v>0</v>
      </c>
      <c r="I456" s="256">
        <f t="shared" si="153"/>
        <v>0</v>
      </c>
      <c r="J456" s="256">
        <f t="shared" si="154"/>
        <v>0</v>
      </c>
      <c r="K456" s="256">
        <f t="shared" si="155"/>
        <v>0</v>
      </c>
      <c r="L456" s="256">
        <f t="shared" si="156"/>
        <v>0</v>
      </c>
      <c r="M456" s="256">
        <f t="shared" si="157"/>
        <v>0</v>
      </c>
      <c r="N456" s="255">
        <v>0</v>
      </c>
      <c r="O456" s="256">
        <v>0</v>
      </c>
      <c r="P456" s="256">
        <v>0</v>
      </c>
      <c r="Q456" s="256">
        <v>0</v>
      </c>
      <c r="R456" s="256">
        <v>0</v>
      </c>
      <c r="S456" s="257">
        <v>0</v>
      </c>
      <c r="T456" s="256">
        <v>0</v>
      </c>
      <c r="U456" s="258">
        <f t="shared" si="158"/>
        <v>0</v>
      </c>
      <c r="V456" s="256">
        <v>0</v>
      </c>
      <c r="W456" s="256">
        <v>0</v>
      </c>
      <c r="X456" s="256">
        <v>0</v>
      </c>
      <c r="Y456" s="256">
        <v>0</v>
      </c>
      <c r="Z456" s="256">
        <v>0</v>
      </c>
      <c r="AA456" s="256">
        <v>0</v>
      </c>
      <c r="AB456" s="256">
        <v>0</v>
      </c>
      <c r="AC456" s="189">
        <f t="shared" si="159"/>
        <v>0</v>
      </c>
      <c r="AD456" s="259">
        <f t="shared" si="160"/>
        <v>0</v>
      </c>
    </row>
    <row r="457" spans="1:30" s="160" customFormat="1" hidden="1">
      <c r="A457" s="250">
        <v>452</v>
      </c>
      <c r="B457" s="251"/>
      <c r="C457" s="252"/>
      <c r="D457" s="253"/>
      <c r="E457" s="254">
        <f t="shared" si="149"/>
        <v>0</v>
      </c>
      <c r="F457" s="255">
        <f t="shared" si="150"/>
        <v>0</v>
      </c>
      <c r="G457" s="256">
        <f t="shared" si="151"/>
        <v>0</v>
      </c>
      <c r="H457" s="256">
        <f t="shared" si="152"/>
        <v>0</v>
      </c>
      <c r="I457" s="256">
        <f t="shared" si="153"/>
        <v>0</v>
      </c>
      <c r="J457" s="256">
        <f t="shared" si="154"/>
        <v>0</v>
      </c>
      <c r="K457" s="256">
        <f t="shared" si="155"/>
        <v>0</v>
      </c>
      <c r="L457" s="256">
        <f t="shared" si="156"/>
        <v>0</v>
      </c>
      <c r="M457" s="256">
        <f t="shared" si="157"/>
        <v>0</v>
      </c>
      <c r="N457" s="255">
        <v>0</v>
      </c>
      <c r="O457" s="256">
        <v>0</v>
      </c>
      <c r="P457" s="256">
        <v>0</v>
      </c>
      <c r="Q457" s="256">
        <v>0</v>
      </c>
      <c r="R457" s="256">
        <v>0</v>
      </c>
      <c r="S457" s="257">
        <v>0</v>
      </c>
      <c r="T457" s="256">
        <v>0</v>
      </c>
      <c r="U457" s="258">
        <f t="shared" si="158"/>
        <v>0</v>
      </c>
      <c r="V457" s="256">
        <v>0</v>
      </c>
      <c r="W457" s="256">
        <v>0</v>
      </c>
      <c r="X457" s="256">
        <v>0</v>
      </c>
      <c r="Y457" s="256">
        <v>0</v>
      </c>
      <c r="Z457" s="256">
        <v>0</v>
      </c>
      <c r="AA457" s="256">
        <v>0</v>
      </c>
      <c r="AB457" s="256">
        <v>0</v>
      </c>
      <c r="AC457" s="189">
        <f t="shared" si="159"/>
        <v>0</v>
      </c>
      <c r="AD457" s="259">
        <f t="shared" si="160"/>
        <v>0</v>
      </c>
    </row>
    <row r="458" spans="1:30" s="160" customFormat="1" hidden="1">
      <c r="A458" s="250">
        <v>453</v>
      </c>
      <c r="B458" s="251"/>
      <c r="C458" s="252"/>
      <c r="D458" s="253"/>
      <c r="E458" s="254">
        <f t="shared" si="149"/>
        <v>0</v>
      </c>
      <c r="F458" s="255">
        <f t="shared" si="150"/>
        <v>0</v>
      </c>
      <c r="G458" s="256">
        <f t="shared" si="151"/>
        <v>0</v>
      </c>
      <c r="H458" s="256">
        <f t="shared" si="152"/>
        <v>0</v>
      </c>
      <c r="I458" s="256">
        <f t="shared" si="153"/>
        <v>0</v>
      </c>
      <c r="J458" s="256">
        <f t="shared" si="154"/>
        <v>0</v>
      </c>
      <c r="K458" s="256">
        <f t="shared" si="155"/>
        <v>0</v>
      </c>
      <c r="L458" s="256">
        <f t="shared" si="156"/>
        <v>0</v>
      </c>
      <c r="M458" s="256">
        <f t="shared" si="157"/>
        <v>0</v>
      </c>
      <c r="N458" s="255">
        <v>0</v>
      </c>
      <c r="O458" s="256">
        <v>0</v>
      </c>
      <c r="P458" s="256">
        <v>0</v>
      </c>
      <c r="Q458" s="256">
        <v>0</v>
      </c>
      <c r="R458" s="256">
        <v>0</v>
      </c>
      <c r="S458" s="257">
        <v>0</v>
      </c>
      <c r="T458" s="256">
        <v>0</v>
      </c>
      <c r="U458" s="258">
        <f t="shared" si="158"/>
        <v>0</v>
      </c>
      <c r="V458" s="256">
        <v>0</v>
      </c>
      <c r="W458" s="256">
        <v>0</v>
      </c>
      <c r="X458" s="256">
        <v>0</v>
      </c>
      <c r="Y458" s="256">
        <v>0</v>
      </c>
      <c r="Z458" s="256">
        <v>0</v>
      </c>
      <c r="AA458" s="256">
        <v>0</v>
      </c>
      <c r="AB458" s="256">
        <v>0</v>
      </c>
      <c r="AC458" s="189">
        <f t="shared" si="159"/>
        <v>0</v>
      </c>
      <c r="AD458" s="259">
        <f t="shared" si="160"/>
        <v>0</v>
      </c>
    </row>
    <row r="459" spans="1:30" s="160" customFormat="1" hidden="1">
      <c r="A459" s="250">
        <v>454</v>
      </c>
      <c r="B459" s="251"/>
      <c r="C459" s="252"/>
      <c r="D459" s="253"/>
      <c r="E459" s="254">
        <f t="shared" si="149"/>
        <v>0</v>
      </c>
      <c r="F459" s="255">
        <f t="shared" si="150"/>
        <v>0</v>
      </c>
      <c r="G459" s="256">
        <f t="shared" si="151"/>
        <v>0</v>
      </c>
      <c r="H459" s="256">
        <f t="shared" si="152"/>
        <v>0</v>
      </c>
      <c r="I459" s="256">
        <f t="shared" si="153"/>
        <v>0</v>
      </c>
      <c r="J459" s="256">
        <f t="shared" si="154"/>
        <v>0</v>
      </c>
      <c r="K459" s="256">
        <f t="shared" si="155"/>
        <v>0</v>
      </c>
      <c r="L459" s="256">
        <f t="shared" si="156"/>
        <v>0</v>
      </c>
      <c r="M459" s="256">
        <f t="shared" si="157"/>
        <v>0</v>
      </c>
      <c r="N459" s="255">
        <v>0</v>
      </c>
      <c r="O459" s="256">
        <v>0</v>
      </c>
      <c r="P459" s="256">
        <v>0</v>
      </c>
      <c r="Q459" s="256">
        <v>0</v>
      </c>
      <c r="R459" s="256">
        <v>0</v>
      </c>
      <c r="S459" s="257">
        <v>0</v>
      </c>
      <c r="T459" s="256">
        <v>0</v>
      </c>
      <c r="U459" s="258">
        <f t="shared" si="158"/>
        <v>0</v>
      </c>
      <c r="V459" s="256">
        <v>0</v>
      </c>
      <c r="W459" s="256">
        <v>0</v>
      </c>
      <c r="X459" s="256">
        <v>0</v>
      </c>
      <c r="Y459" s="256">
        <v>0</v>
      </c>
      <c r="Z459" s="256">
        <v>0</v>
      </c>
      <c r="AA459" s="256">
        <v>0</v>
      </c>
      <c r="AB459" s="256">
        <v>0</v>
      </c>
      <c r="AC459" s="189">
        <f t="shared" si="159"/>
        <v>0</v>
      </c>
      <c r="AD459" s="259">
        <f t="shared" si="160"/>
        <v>0</v>
      </c>
    </row>
    <row r="460" spans="1:30" s="160" customFormat="1" hidden="1">
      <c r="A460" s="250">
        <v>455</v>
      </c>
      <c r="B460" s="251"/>
      <c r="C460" s="252"/>
      <c r="D460" s="253"/>
      <c r="E460" s="254">
        <f t="shared" si="149"/>
        <v>0</v>
      </c>
      <c r="F460" s="255">
        <f t="shared" si="150"/>
        <v>0</v>
      </c>
      <c r="G460" s="256">
        <f t="shared" si="151"/>
        <v>0</v>
      </c>
      <c r="H460" s="256">
        <f t="shared" si="152"/>
        <v>0</v>
      </c>
      <c r="I460" s="256">
        <f t="shared" si="153"/>
        <v>0</v>
      </c>
      <c r="J460" s="256">
        <f t="shared" si="154"/>
        <v>0</v>
      </c>
      <c r="K460" s="256">
        <f t="shared" si="155"/>
        <v>0</v>
      </c>
      <c r="L460" s="256">
        <f t="shared" si="156"/>
        <v>0</v>
      </c>
      <c r="M460" s="256">
        <f t="shared" si="157"/>
        <v>0</v>
      </c>
      <c r="N460" s="255">
        <v>0</v>
      </c>
      <c r="O460" s="256">
        <v>0</v>
      </c>
      <c r="P460" s="256">
        <v>0</v>
      </c>
      <c r="Q460" s="256">
        <v>0</v>
      </c>
      <c r="R460" s="256">
        <v>0</v>
      </c>
      <c r="S460" s="257">
        <v>0</v>
      </c>
      <c r="T460" s="256">
        <v>0</v>
      </c>
      <c r="U460" s="258">
        <f t="shared" si="158"/>
        <v>0</v>
      </c>
      <c r="V460" s="256">
        <v>0</v>
      </c>
      <c r="W460" s="256">
        <v>0</v>
      </c>
      <c r="X460" s="256">
        <v>0</v>
      </c>
      <c r="Y460" s="256">
        <v>0</v>
      </c>
      <c r="Z460" s="256">
        <v>0</v>
      </c>
      <c r="AA460" s="256">
        <v>0</v>
      </c>
      <c r="AB460" s="256">
        <v>0</v>
      </c>
      <c r="AC460" s="189">
        <f t="shared" si="159"/>
        <v>0</v>
      </c>
      <c r="AD460" s="259">
        <f t="shared" si="160"/>
        <v>0</v>
      </c>
    </row>
    <row r="461" spans="1:30" s="160" customFormat="1" hidden="1">
      <c r="A461" s="250">
        <v>456</v>
      </c>
      <c r="B461" s="251"/>
      <c r="C461" s="252"/>
      <c r="D461" s="253"/>
      <c r="E461" s="254">
        <f t="shared" si="149"/>
        <v>0</v>
      </c>
      <c r="F461" s="255">
        <f t="shared" si="150"/>
        <v>0</v>
      </c>
      <c r="G461" s="256">
        <f t="shared" si="151"/>
        <v>0</v>
      </c>
      <c r="H461" s="256">
        <f t="shared" si="152"/>
        <v>0</v>
      </c>
      <c r="I461" s="256">
        <f t="shared" si="153"/>
        <v>0</v>
      </c>
      <c r="J461" s="256">
        <f t="shared" si="154"/>
        <v>0</v>
      </c>
      <c r="K461" s="256">
        <f t="shared" si="155"/>
        <v>0</v>
      </c>
      <c r="L461" s="256">
        <f t="shared" si="156"/>
        <v>0</v>
      </c>
      <c r="M461" s="256">
        <f t="shared" si="157"/>
        <v>0</v>
      </c>
      <c r="N461" s="255">
        <v>0</v>
      </c>
      <c r="O461" s="256">
        <v>0</v>
      </c>
      <c r="P461" s="256">
        <v>0</v>
      </c>
      <c r="Q461" s="256">
        <v>0</v>
      </c>
      <c r="R461" s="256">
        <v>0</v>
      </c>
      <c r="S461" s="257">
        <v>0</v>
      </c>
      <c r="T461" s="256">
        <v>0</v>
      </c>
      <c r="U461" s="258">
        <f t="shared" si="158"/>
        <v>0</v>
      </c>
      <c r="V461" s="256">
        <v>0</v>
      </c>
      <c r="W461" s="256">
        <v>0</v>
      </c>
      <c r="X461" s="256">
        <v>0</v>
      </c>
      <c r="Y461" s="256">
        <v>0</v>
      </c>
      <c r="Z461" s="256">
        <v>0</v>
      </c>
      <c r="AA461" s="256">
        <v>0</v>
      </c>
      <c r="AB461" s="256">
        <v>0</v>
      </c>
      <c r="AC461" s="189">
        <f t="shared" si="159"/>
        <v>0</v>
      </c>
      <c r="AD461" s="259">
        <f t="shared" si="160"/>
        <v>0</v>
      </c>
    </row>
    <row r="462" spans="1:30" s="160" customFormat="1" hidden="1">
      <c r="A462" s="250">
        <v>457</v>
      </c>
      <c r="B462" s="251"/>
      <c r="C462" s="252"/>
      <c r="D462" s="253"/>
      <c r="E462" s="254">
        <f t="shared" si="149"/>
        <v>0</v>
      </c>
      <c r="F462" s="255">
        <f t="shared" si="150"/>
        <v>0</v>
      </c>
      <c r="G462" s="256">
        <f t="shared" si="151"/>
        <v>0</v>
      </c>
      <c r="H462" s="256">
        <f t="shared" si="152"/>
        <v>0</v>
      </c>
      <c r="I462" s="256">
        <f t="shared" si="153"/>
        <v>0</v>
      </c>
      <c r="J462" s="256">
        <f t="shared" si="154"/>
        <v>0</v>
      </c>
      <c r="K462" s="256">
        <f t="shared" si="155"/>
        <v>0</v>
      </c>
      <c r="L462" s="256">
        <f t="shared" si="156"/>
        <v>0</v>
      </c>
      <c r="M462" s="256">
        <f t="shared" si="157"/>
        <v>0</v>
      </c>
      <c r="N462" s="255">
        <v>0</v>
      </c>
      <c r="O462" s="256">
        <v>0</v>
      </c>
      <c r="P462" s="256">
        <v>0</v>
      </c>
      <c r="Q462" s="256">
        <v>0</v>
      </c>
      <c r="R462" s="256">
        <v>0</v>
      </c>
      <c r="S462" s="257">
        <v>0</v>
      </c>
      <c r="T462" s="256">
        <v>0</v>
      </c>
      <c r="U462" s="258">
        <f t="shared" si="158"/>
        <v>0</v>
      </c>
      <c r="V462" s="256">
        <v>0</v>
      </c>
      <c r="W462" s="256">
        <v>0</v>
      </c>
      <c r="X462" s="256">
        <v>0</v>
      </c>
      <c r="Y462" s="256">
        <v>0</v>
      </c>
      <c r="Z462" s="256">
        <v>0</v>
      </c>
      <c r="AA462" s="256">
        <v>0</v>
      </c>
      <c r="AB462" s="256">
        <v>0</v>
      </c>
      <c r="AC462" s="189">
        <f t="shared" si="159"/>
        <v>0</v>
      </c>
      <c r="AD462" s="259">
        <f t="shared" si="160"/>
        <v>0</v>
      </c>
    </row>
    <row r="463" spans="1:30" s="160" customFormat="1" hidden="1">
      <c r="A463" s="250">
        <v>458</v>
      </c>
      <c r="B463" s="251"/>
      <c r="C463" s="252"/>
      <c r="D463" s="253"/>
      <c r="E463" s="254">
        <f t="shared" si="149"/>
        <v>0</v>
      </c>
      <c r="F463" s="255">
        <f t="shared" si="150"/>
        <v>0</v>
      </c>
      <c r="G463" s="256">
        <f t="shared" si="151"/>
        <v>0</v>
      </c>
      <c r="H463" s="256">
        <f t="shared" si="152"/>
        <v>0</v>
      </c>
      <c r="I463" s="256">
        <f t="shared" si="153"/>
        <v>0</v>
      </c>
      <c r="J463" s="256">
        <f t="shared" si="154"/>
        <v>0</v>
      </c>
      <c r="K463" s="256">
        <f t="shared" si="155"/>
        <v>0</v>
      </c>
      <c r="L463" s="256">
        <f t="shared" si="156"/>
        <v>0</v>
      </c>
      <c r="M463" s="256">
        <f t="shared" si="157"/>
        <v>0</v>
      </c>
      <c r="N463" s="255">
        <v>0</v>
      </c>
      <c r="O463" s="256">
        <v>0</v>
      </c>
      <c r="P463" s="256">
        <v>0</v>
      </c>
      <c r="Q463" s="256">
        <v>0</v>
      </c>
      <c r="R463" s="256">
        <v>0</v>
      </c>
      <c r="S463" s="257">
        <v>0</v>
      </c>
      <c r="T463" s="256">
        <v>0</v>
      </c>
      <c r="U463" s="258">
        <f t="shared" si="158"/>
        <v>0</v>
      </c>
      <c r="V463" s="256">
        <v>0</v>
      </c>
      <c r="W463" s="256">
        <v>0</v>
      </c>
      <c r="X463" s="256">
        <v>0</v>
      </c>
      <c r="Y463" s="256">
        <v>0</v>
      </c>
      <c r="Z463" s="256">
        <v>0</v>
      </c>
      <c r="AA463" s="256">
        <v>0</v>
      </c>
      <c r="AB463" s="256">
        <v>0</v>
      </c>
      <c r="AC463" s="189">
        <f t="shared" si="159"/>
        <v>0</v>
      </c>
      <c r="AD463" s="259">
        <f t="shared" si="160"/>
        <v>0</v>
      </c>
    </row>
    <row r="464" spans="1:30" s="160" customFormat="1" hidden="1">
      <c r="A464" s="250">
        <v>459</v>
      </c>
      <c r="B464" s="251"/>
      <c r="C464" s="252"/>
      <c r="D464" s="253"/>
      <c r="E464" s="254">
        <f t="shared" si="149"/>
        <v>0</v>
      </c>
      <c r="F464" s="255">
        <f t="shared" si="150"/>
        <v>0</v>
      </c>
      <c r="G464" s="256">
        <f t="shared" si="151"/>
        <v>0</v>
      </c>
      <c r="H464" s="256">
        <f t="shared" si="152"/>
        <v>0</v>
      </c>
      <c r="I464" s="256">
        <f t="shared" si="153"/>
        <v>0</v>
      </c>
      <c r="J464" s="256">
        <f t="shared" si="154"/>
        <v>0</v>
      </c>
      <c r="K464" s="256">
        <f t="shared" si="155"/>
        <v>0</v>
      </c>
      <c r="L464" s="256">
        <f t="shared" si="156"/>
        <v>0</v>
      </c>
      <c r="M464" s="256">
        <f t="shared" si="157"/>
        <v>0</v>
      </c>
      <c r="N464" s="255">
        <v>0</v>
      </c>
      <c r="O464" s="256">
        <v>0</v>
      </c>
      <c r="P464" s="256">
        <v>0</v>
      </c>
      <c r="Q464" s="256">
        <v>0</v>
      </c>
      <c r="R464" s="256">
        <v>0</v>
      </c>
      <c r="S464" s="257">
        <v>0</v>
      </c>
      <c r="T464" s="256">
        <v>0</v>
      </c>
      <c r="U464" s="258">
        <f t="shared" si="158"/>
        <v>0</v>
      </c>
      <c r="V464" s="256">
        <v>0</v>
      </c>
      <c r="W464" s="256">
        <v>0</v>
      </c>
      <c r="X464" s="256">
        <v>0</v>
      </c>
      <c r="Y464" s="256">
        <v>0</v>
      </c>
      <c r="Z464" s="256">
        <v>0</v>
      </c>
      <c r="AA464" s="256">
        <v>0</v>
      </c>
      <c r="AB464" s="256">
        <v>0</v>
      </c>
      <c r="AC464" s="189">
        <f t="shared" si="159"/>
        <v>0</v>
      </c>
      <c r="AD464" s="259">
        <f t="shared" si="160"/>
        <v>0</v>
      </c>
    </row>
    <row r="465" spans="1:30" s="160" customFormat="1" hidden="1">
      <c r="A465" s="250">
        <v>460</v>
      </c>
      <c r="B465" s="251"/>
      <c r="C465" s="252"/>
      <c r="D465" s="253"/>
      <c r="E465" s="254">
        <f t="shared" si="149"/>
        <v>0</v>
      </c>
      <c r="F465" s="255">
        <f t="shared" si="150"/>
        <v>0</v>
      </c>
      <c r="G465" s="256">
        <f t="shared" si="151"/>
        <v>0</v>
      </c>
      <c r="H465" s="256">
        <f t="shared" si="152"/>
        <v>0</v>
      </c>
      <c r="I465" s="256">
        <f t="shared" si="153"/>
        <v>0</v>
      </c>
      <c r="J465" s="256">
        <f t="shared" si="154"/>
        <v>0</v>
      </c>
      <c r="K465" s="256">
        <f t="shared" si="155"/>
        <v>0</v>
      </c>
      <c r="L465" s="256">
        <f t="shared" si="156"/>
        <v>0</v>
      </c>
      <c r="M465" s="256">
        <f t="shared" si="157"/>
        <v>0</v>
      </c>
      <c r="N465" s="255">
        <v>0</v>
      </c>
      <c r="O465" s="256">
        <v>0</v>
      </c>
      <c r="P465" s="256">
        <v>0</v>
      </c>
      <c r="Q465" s="256">
        <v>0</v>
      </c>
      <c r="R465" s="256">
        <v>0</v>
      </c>
      <c r="S465" s="257">
        <v>0</v>
      </c>
      <c r="T465" s="256">
        <v>0</v>
      </c>
      <c r="U465" s="258">
        <f t="shared" si="158"/>
        <v>0</v>
      </c>
      <c r="V465" s="256">
        <v>0</v>
      </c>
      <c r="W465" s="256">
        <v>0</v>
      </c>
      <c r="X465" s="256">
        <v>0</v>
      </c>
      <c r="Y465" s="256">
        <v>0</v>
      </c>
      <c r="Z465" s="256">
        <v>0</v>
      </c>
      <c r="AA465" s="256">
        <v>0</v>
      </c>
      <c r="AB465" s="256">
        <v>0</v>
      </c>
      <c r="AC465" s="189">
        <f t="shared" si="159"/>
        <v>0</v>
      </c>
      <c r="AD465" s="259">
        <f t="shared" si="160"/>
        <v>0</v>
      </c>
    </row>
    <row r="466" spans="1:30" s="160" customFormat="1" hidden="1">
      <c r="A466" s="250">
        <v>461</v>
      </c>
      <c r="B466" s="251"/>
      <c r="C466" s="252"/>
      <c r="D466" s="253"/>
      <c r="E466" s="254">
        <f t="shared" si="149"/>
        <v>0</v>
      </c>
      <c r="F466" s="255">
        <f t="shared" si="150"/>
        <v>0</v>
      </c>
      <c r="G466" s="256">
        <f t="shared" si="151"/>
        <v>0</v>
      </c>
      <c r="H466" s="256">
        <f t="shared" si="152"/>
        <v>0</v>
      </c>
      <c r="I466" s="256">
        <f t="shared" si="153"/>
        <v>0</v>
      </c>
      <c r="J466" s="256">
        <f t="shared" si="154"/>
        <v>0</v>
      </c>
      <c r="K466" s="256">
        <f t="shared" si="155"/>
        <v>0</v>
      </c>
      <c r="L466" s="256">
        <f t="shared" si="156"/>
        <v>0</v>
      </c>
      <c r="M466" s="256">
        <f t="shared" si="157"/>
        <v>0</v>
      </c>
      <c r="N466" s="255">
        <v>0</v>
      </c>
      <c r="O466" s="256">
        <v>0</v>
      </c>
      <c r="P466" s="256">
        <v>0</v>
      </c>
      <c r="Q466" s="256">
        <v>0</v>
      </c>
      <c r="R466" s="256">
        <v>0</v>
      </c>
      <c r="S466" s="257">
        <v>0</v>
      </c>
      <c r="T466" s="256">
        <v>0</v>
      </c>
      <c r="U466" s="258">
        <f t="shared" si="158"/>
        <v>0</v>
      </c>
      <c r="V466" s="256">
        <v>0</v>
      </c>
      <c r="W466" s="256">
        <v>0</v>
      </c>
      <c r="X466" s="256">
        <v>0</v>
      </c>
      <c r="Y466" s="256">
        <v>0</v>
      </c>
      <c r="Z466" s="256">
        <v>0</v>
      </c>
      <c r="AA466" s="256">
        <v>0</v>
      </c>
      <c r="AB466" s="256">
        <v>0</v>
      </c>
      <c r="AC466" s="189">
        <f t="shared" si="159"/>
        <v>0</v>
      </c>
      <c r="AD466" s="259">
        <f t="shared" si="160"/>
        <v>0</v>
      </c>
    </row>
    <row r="467" spans="1:30" s="160" customFormat="1" hidden="1">
      <c r="A467" s="250">
        <v>462</v>
      </c>
      <c r="B467" s="251"/>
      <c r="C467" s="252"/>
      <c r="D467" s="253"/>
      <c r="E467" s="254">
        <f t="shared" si="149"/>
        <v>0</v>
      </c>
      <c r="F467" s="255">
        <f t="shared" si="150"/>
        <v>0</v>
      </c>
      <c r="G467" s="256">
        <f t="shared" si="151"/>
        <v>0</v>
      </c>
      <c r="H467" s="256">
        <f t="shared" si="152"/>
        <v>0</v>
      </c>
      <c r="I467" s="256">
        <f t="shared" si="153"/>
        <v>0</v>
      </c>
      <c r="J467" s="256">
        <f t="shared" si="154"/>
        <v>0</v>
      </c>
      <c r="K467" s="256">
        <f t="shared" si="155"/>
        <v>0</v>
      </c>
      <c r="L467" s="256">
        <f t="shared" si="156"/>
        <v>0</v>
      </c>
      <c r="M467" s="256">
        <f t="shared" si="157"/>
        <v>0</v>
      </c>
      <c r="N467" s="255">
        <v>0</v>
      </c>
      <c r="O467" s="256">
        <v>0</v>
      </c>
      <c r="P467" s="256">
        <v>0</v>
      </c>
      <c r="Q467" s="256">
        <v>0</v>
      </c>
      <c r="R467" s="256">
        <v>0</v>
      </c>
      <c r="S467" s="257">
        <v>0</v>
      </c>
      <c r="T467" s="256">
        <v>0</v>
      </c>
      <c r="U467" s="258">
        <f t="shared" si="158"/>
        <v>0</v>
      </c>
      <c r="V467" s="256">
        <v>0</v>
      </c>
      <c r="W467" s="256">
        <v>0</v>
      </c>
      <c r="X467" s="256">
        <v>0</v>
      </c>
      <c r="Y467" s="256">
        <v>0</v>
      </c>
      <c r="Z467" s="256">
        <v>0</v>
      </c>
      <c r="AA467" s="256">
        <v>0</v>
      </c>
      <c r="AB467" s="256">
        <v>0</v>
      </c>
      <c r="AC467" s="189">
        <f t="shared" si="159"/>
        <v>0</v>
      </c>
      <c r="AD467" s="259">
        <f t="shared" si="160"/>
        <v>0</v>
      </c>
    </row>
    <row r="468" spans="1:30" s="160" customFormat="1" hidden="1">
      <c r="A468" s="250">
        <v>463</v>
      </c>
      <c r="B468" s="251"/>
      <c r="C468" s="252"/>
      <c r="D468" s="253"/>
      <c r="E468" s="254">
        <f t="shared" si="149"/>
        <v>0</v>
      </c>
      <c r="F468" s="255">
        <f t="shared" si="150"/>
        <v>0</v>
      </c>
      <c r="G468" s="256">
        <f t="shared" si="151"/>
        <v>0</v>
      </c>
      <c r="H468" s="256">
        <f t="shared" si="152"/>
        <v>0</v>
      </c>
      <c r="I468" s="256">
        <f t="shared" si="153"/>
        <v>0</v>
      </c>
      <c r="J468" s="256">
        <f t="shared" si="154"/>
        <v>0</v>
      </c>
      <c r="K468" s="256">
        <f t="shared" si="155"/>
        <v>0</v>
      </c>
      <c r="L468" s="256">
        <f t="shared" si="156"/>
        <v>0</v>
      </c>
      <c r="M468" s="256">
        <f t="shared" si="157"/>
        <v>0</v>
      </c>
      <c r="N468" s="255">
        <v>0</v>
      </c>
      <c r="O468" s="256">
        <v>0</v>
      </c>
      <c r="P468" s="256">
        <v>0</v>
      </c>
      <c r="Q468" s="256">
        <v>0</v>
      </c>
      <c r="R468" s="256">
        <v>0</v>
      </c>
      <c r="S468" s="257">
        <v>0</v>
      </c>
      <c r="T468" s="256">
        <v>0</v>
      </c>
      <c r="U468" s="258">
        <f t="shared" si="158"/>
        <v>0</v>
      </c>
      <c r="V468" s="256">
        <v>0</v>
      </c>
      <c r="W468" s="256">
        <v>0</v>
      </c>
      <c r="X468" s="256">
        <v>0</v>
      </c>
      <c r="Y468" s="256">
        <v>0</v>
      </c>
      <c r="Z468" s="256">
        <v>0</v>
      </c>
      <c r="AA468" s="256">
        <v>0</v>
      </c>
      <c r="AB468" s="256">
        <v>0</v>
      </c>
      <c r="AC468" s="189">
        <f t="shared" si="159"/>
        <v>0</v>
      </c>
      <c r="AD468" s="259">
        <f t="shared" si="160"/>
        <v>0</v>
      </c>
    </row>
    <row r="469" spans="1:30" s="160" customFormat="1" hidden="1">
      <c r="A469" s="250">
        <v>464</v>
      </c>
      <c r="B469" s="251"/>
      <c r="C469" s="252"/>
      <c r="D469" s="253"/>
      <c r="E469" s="254">
        <f t="shared" si="149"/>
        <v>0</v>
      </c>
      <c r="F469" s="255">
        <f t="shared" si="150"/>
        <v>0</v>
      </c>
      <c r="G469" s="256">
        <f t="shared" si="151"/>
        <v>0</v>
      </c>
      <c r="H469" s="256">
        <f t="shared" si="152"/>
        <v>0</v>
      </c>
      <c r="I469" s="256">
        <f t="shared" si="153"/>
        <v>0</v>
      </c>
      <c r="J469" s="256">
        <f t="shared" si="154"/>
        <v>0</v>
      </c>
      <c r="K469" s="256">
        <f t="shared" si="155"/>
        <v>0</v>
      </c>
      <c r="L469" s="256">
        <f t="shared" si="156"/>
        <v>0</v>
      </c>
      <c r="M469" s="256">
        <f t="shared" si="157"/>
        <v>0</v>
      </c>
      <c r="N469" s="255">
        <v>0</v>
      </c>
      <c r="O469" s="256">
        <v>0</v>
      </c>
      <c r="P469" s="256">
        <v>0</v>
      </c>
      <c r="Q469" s="256">
        <v>0</v>
      </c>
      <c r="R469" s="256">
        <v>0</v>
      </c>
      <c r="S469" s="257">
        <v>0</v>
      </c>
      <c r="T469" s="256">
        <v>0</v>
      </c>
      <c r="U469" s="258">
        <f t="shared" si="158"/>
        <v>0</v>
      </c>
      <c r="V469" s="256">
        <v>0</v>
      </c>
      <c r="W469" s="256">
        <v>0</v>
      </c>
      <c r="X469" s="256">
        <v>0</v>
      </c>
      <c r="Y469" s="256">
        <v>0</v>
      </c>
      <c r="Z469" s="256">
        <v>0</v>
      </c>
      <c r="AA469" s="256">
        <v>0</v>
      </c>
      <c r="AB469" s="256">
        <v>0</v>
      </c>
      <c r="AC469" s="189">
        <f t="shared" si="159"/>
        <v>0</v>
      </c>
      <c r="AD469" s="259">
        <f t="shared" si="160"/>
        <v>0</v>
      </c>
    </row>
    <row r="470" spans="1:30" s="160" customFormat="1" hidden="1">
      <c r="A470" s="250">
        <v>465</v>
      </c>
      <c r="B470" s="251"/>
      <c r="C470" s="252"/>
      <c r="D470" s="253"/>
      <c r="E470" s="254">
        <f t="shared" si="149"/>
        <v>0</v>
      </c>
      <c r="F470" s="255">
        <f t="shared" si="150"/>
        <v>0</v>
      </c>
      <c r="G470" s="256">
        <f t="shared" si="151"/>
        <v>0</v>
      </c>
      <c r="H470" s="256">
        <f t="shared" si="152"/>
        <v>0</v>
      </c>
      <c r="I470" s="256">
        <f t="shared" si="153"/>
        <v>0</v>
      </c>
      <c r="J470" s="256">
        <f t="shared" si="154"/>
        <v>0</v>
      </c>
      <c r="K470" s="256">
        <f t="shared" si="155"/>
        <v>0</v>
      </c>
      <c r="L470" s="256">
        <f t="shared" si="156"/>
        <v>0</v>
      </c>
      <c r="M470" s="256">
        <f t="shared" si="157"/>
        <v>0</v>
      </c>
      <c r="N470" s="255">
        <v>0</v>
      </c>
      <c r="O470" s="256">
        <v>0</v>
      </c>
      <c r="P470" s="256">
        <v>0</v>
      </c>
      <c r="Q470" s="256">
        <v>0</v>
      </c>
      <c r="R470" s="256">
        <v>0</v>
      </c>
      <c r="S470" s="257">
        <v>0</v>
      </c>
      <c r="T470" s="256">
        <v>0</v>
      </c>
      <c r="U470" s="258">
        <f t="shared" si="158"/>
        <v>0</v>
      </c>
      <c r="V470" s="256">
        <v>0</v>
      </c>
      <c r="W470" s="256">
        <v>0</v>
      </c>
      <c r="X470" s="256">
        <v>0</v>
      </c>
      <c r="Y470" s="256">
        <v>0</v>
      </c>
      <c r="Z470" s="256">
        <v>0</v>
      </c>
      <c r="AA470" s="256">
        <v>0</v>
      </c>
      <c r="AB470" s="256">
        <v>0</v>
      </c>
      <c r="AC470" s="189">
        <f t="shared" si="159"/>
        <v>0</v>
      </c>
      <c r="AD470" s="259">
        <f t="shared" si="160"/>
        <v>0</v>
      </c>
    </row>
    <row r="471" spans="1:30" s="160" customFormat="1" hidden="1">
      <c r="A471" s="250">
        <v>466</v>
      </c>
      <c r="B471" s="251"/>
      <c r="C471" s="252"/>
      <c r="D471" s="253"/>
      <c r="E471" s="254">
        <f t="shared" si="149"/>
        <v>0</v>
      </c>
      <c r="F471" s="255">
        <f t="shared" si="150"/>
        <v>0</v>
      </c>
      <c r="G471" s="256">
        <f t="shared" si="151"/>
        <v>0</v>
      </c>
      <c r="H471" s="256">
        <f t="shared" si="152"/>
        <v>0</v>
      </c>
      <c r="I471" s="256">
        <f t="shared" si="153"/>
        <v>0</v>
      </c>
      <c r="J471" s="256">
        <f t="shared" si="154"/>
        <v>0</v>
      </c>
      <c r="K471" s="256">
        <f t="shared" si="155"/>
        <v>0</v>
      </c>
      <c r="L471" s="256">
        <f t="shared" si="156"/>
        <v>0</v>
      </c>
      <c r="M471" s="256">
        <f t="shared" si="157"/>
        <v>0</v>
      </c>
      <c r="N471" s="255">
        <v>0</v>
      </c>
      <c r="O471" s="256">
        <v>0</v>
      </c>
      <c r="P471" s="256">
        <v>0</v>
      </c>
      <c r="Q471" s="256">
        <v>0</v>
      </c>
      <c r="R471" s="256">
        <v>0</v>
      </c>
      <c r="S471" s="257">
        <v>0</v>
      </c>
      <c r="T471" s="256">
        <v>0</v>
      </c>
      <c r="U471" s="258">
        <f t="shared" si="158"/>
        <v>0</v>
      </c>
      <c r="V471" s="256">
        <v>0</v>
      </c>
      <c r="W471" s="256">
        <v>0</v>
      </c>
      <c r="X471" s="256">
        <v>0</v>
      </c>
      <c r="Y471" s="256">
        <v>0</v>
      </c>
      <c r="Z471" s="256">
        <v>0</v>
      </c>
      <c r="AA471" s="256">
        <v>0</v>
      </c>
      <c r="AB471" s="256">
        <v>0</v>
      </c>
      <c r="AC471" s="189">
        <f t="shared" si="159"/>
        <v>0</v>
      </c>
      <c r="AD471" s="259">
        <f t="shared" si="160"/>
        <v>0</v>
      </c>
    </row>
    <row r="472" spans="1:30" s="160" customFormat="1" hidden="1">
      <c r="A472" s="250">
        <v>467</v>
      </c>
      <c r="B472" s="251"/>
      <c r="C472" s="252"/>
      <c r="D472" s="253"/>
      <c r="E472" s="254">
        <f t="shared" si="149"/>
        <v>0</v>
      </c>
      <c r="F472" s="255">
        <f t="shared" si="150"/>
        <v>0</v>
      </c>
      <c r="G472" s="256">
        <f t="shared" si="151"/>
        <v>0</v>
      </c>
      <c r="H472" s="256">
        <f t="shared" si="152"/>
        <v>0</v>
      </c>
      <c r="I472" s="256">
        <f t="shared" si="153"/>
        <v>0</v>
      </c>
      <c r="J472" s="256">
        <f t="shared" si="154"/>
        <v>0</v>
      </c>
      <c r="K472" s="256">
        <f t="shared" si="155"/>
        <v>0</v>
      </c>
      <c r="L472" s="256">
        <f t="shared" si="156"/>
        <v>0</v>
      </c>
      <c r="M472" s="256">
        <f t="shared" si="157"/>
        <v>0</v>
      </c>
      <c r="N472" s="255">
        <v>0</v>
      </c>
      <c r="O472" s="256">
        <v>0</v>
      </c>
      <c r="P472" s="256">
        <v>0</v>
      </c>
      <c r="Q472" s="256">
        <v>0</v>
      </c>
      <c r="R472" s="256">
        <v>0</v>
      </c>
      <c r="S472" s="257">
        <v>0</v>
      </c>
      <c r="T472" s="256">
        <v>0</v>
      </c>
      <c r="U472" s="258">
        <f t="shared" si="158"/>
        <v>0</v>
      </c>
      <c r="V472" s="256">
        <v>0</v>
      </c>
      <c r="W472" s="256">
        <v>0</v>
      </c>
      <c r="X472" s="256">
        <v>0</v>
      </c>
      <c r="Y472" s="256">
        <v>0</v>
      </c>
      <c r="Z472" s="256">
        <v>0</v>
      </c>
      <c r="AA472" s="256">
        <v>0</v>
      </c>
      <c r="AB472" s="256">
        <v>0</v>
      </c>
      <c r="AC472" s="189">
        <f t="shared" si="159"/>
        <v>0</v>
      </c>
      <c r="AD472" s="259">
        <f t="shared" si="160"/>
        <v>0</v>
      </c>
    </row>
    <row r="473" spans="1:30" s="160" customFormat="1" hidden="1">
      <c r="A473" s="250">
        <v>468</v>
      </c>
      <c r="B473" s="251"/>
      <c r="C473" s="252"/>
      <c r="D473" s="253"/>
      <c r="E473" s="254">
        <f t="shared" si="149"/>
        <v>0</v>
      </c>
      <c r="F473" s="255">
        <f t="shared" si="150"/>
        <v>0</v>
      </c>
      <c r="G473" s="256">
        <f t="shared" si="151"/>
        <v>0</v>
      </c>
      <c r="H473" s="256">
        <f t="shared" si="152"/>
        <v>0</v>
      </c>
      <c r="I473" s="256">
        <f t="shared" si="153"/>
        <v>0</v>
      </c>
      <c r="J473" s="256">
        <f t="shared" si="154"/>
        <v>0</v>
      </c>
      <c r="K473" s="256">
        <f t="shared" si="155"/>
        <v>0</v>
      </c>
      <c r="L473" s="256">
        <f t="shared" si="156"/>
        <v>0</v>
      </c>
      <c r="M473" s="256">
        <f t="shared" si="157"/>
        <v>0</v>
      </c>
      <c r="N473" s="255">
        <v>0</v>
      </c>
      <c r="O473" s="256">
        <v>0</v>
      </c>
      <c r="P473" s="256">
        <v>0</v>
      </c>
      <c r="Q473" s="256">
        <v>0</v>
      </c>
      <c r="R473" s="256">
        <v>0</v>
      </c>
      <c r="S473" s="257">
        <v>0</v>
      </c>
      <c r="T473" s="256">
        <v>0</v>
      </c>
      <c r="U473" s="258">
        <f t="shared" si="158"/>
        <v>0</v>
      </c>
      <c r="V473" s="256">
        <v>0</v>
      </c>
      <c r="W473" s="256">
        <v>0</v>
      </c>
      <c r="X473" s="256">
        <v>0</v>
      </c>
      <c r="Y473" s="256">
        <v>0</v>
      </c>
      <c r="Z473" s="256">
        <v>0</v>
      </c>
      <c r="AA473" s="256">
        <v>0</v>
      </c>
      <c r="AB473" s="256">
        <v>0</v>
      </c>
      <c r="AC473" s="189">
        <f t="shared" si="159"/>
        <v>0</v>
      </c>
      <c r="AD473" s="259">
        <f t="shared" si="160"/>
        <v>0</v>
      </c>
    </row>
    <row r="474" spans="1:30" s="160" customFormat="1" hidden="1">
      <c r="A474" s="250">
        <v>469</v>
      </c>
      <c r="B474" s="251"/>
      <c r="C474" s="252"/>
      <c r="D474" s="253"/>
      <c r="E474" s="254">
        <f t="shared" si="149"/>
        <v>0</v>
      </c>
      <c r="F474" s="255">
        <f t="shared" si="150"/>
        <v>0</v>
      </c>
      <c r="G474" s="256">
        <f t="shared" si="151"/>
        <v>0</v>
      </c>
      <c r="H474" s="256">
        <f t="shared" si="152"/>
        <v>0</v>
      </c>
      <c r="I474" s="256">
        <f t="shared" si="153"/>
        <v>0</v>
      </c>
      <c r="J474" s="256">
        <f t="shared" si="154"/>
        <v>0</v>
      </c>
      <c r="K474" s="256">
        <f t="shared" si="155"/>
        <v>0</v>
      </c>
      <c r="L474" s="256">
        <f t="shared" si="156"/>
        <v>0</v>
      </c>
      <c r="M474" s="256">
        <f t="shared" si="157"/>
        <v>0</v>
      </c>
      <c r="N474" s="255">
        <v>0</v>
      </c>
      <c r="O474" s="256">
        <v>0</v>
      </c>
      <c r="P474" s="256">
        <v>0</v>
      </c>
      <c r="Q474" s="256">
        <v>0</v>
      </c>
      <c r="R474" s="256">
        <v>0</v>
      </c>
      <c r="S474" s="257">
        <v>0</v>
      </c>
      <c r="T474" s="256">
        <v>0</v>
      </c>
      <c r="U474" s="258">
        <f t="shared" si="158"/>
        <v>0</v>
      </c>
      <c r="V474" s="256">
        <v>0</v>
      </c>
      <c r="W474" s="256">
        <v>0</v>
      </c>
      <c r="X474" s="256">
        <v>0</v>
      </c>
      <c r="Y474" s="256">
        <v>0</v>
      </c>
      <c r="Z474" s="256">
        <v>0</v>
      </c>
      <c r="AA474" s="256">
        <v>0</v>
      </c>
      <c r="AB474" s="256">
        <v>0</v>
      </c>
      <c r="AC474" s="189">
        <f t="shared" si="159"/>
        <v>0</v>
      </c>
      <c r="AD474" s="259">
        <f t="shared" si="160"/>
        <v>0</v>
      </c>
    </row>
    <row r="475" spans="1:30" s="160" customFormat="1" hidden="1">
      <c r="A475" s="250">
        <v>470</v>
      </c>
      <c r="B475" s="251"/>
      <c r="C475" s="252"/>
      <c r="D475" s="253"/>
      <c r="E475" s="254">
        <f t="shared" si="149"/>
        <v>0</v>
      </c>
      <c r="F475" s="255">
        <f t="shared" si="150"/>
        <v>0</v>
      </c>
      <c r="G475" s="256">
        <f t="shared" si="151"/>
        <v>0</v>
      </c>
      <c r="H475" s="256">
        <f t="shared" si="152"/>
        <v>0</v>
      </c>
      <c r="I475" s="256">
        <f t="shared" si="153"/>
        <v>0</v>
      </c>
      <c r="J475" s="256">
        <f t="shared" si="154"/>
        <v>0</v>
      </c>
      <c r="K475" s="256">
        <f t="shared" si="155"/>
        <v>0</v>
      </c>
      <c r="L475" s="256">
        <f t="shared" si="156"/>
        <v>0</v>
      </c>
      <c r="M475" s="256">
        <f t="shared" si="157"/>
        <v>0</v>
      </c>
      <c r="N475" s="255">
        <v>0</v>
      </c>
      <c r="O475" s="256">
        <v>0</v>
      </c>
      <c r="P475" s="256">
        <v>0</v>
      </c>
      <c r="Q475" s="256">
        <v>0</v>
      </c>
      <c r="R475" s="256">
        <v>0</v>
      </c>
      <c r="S475" s="257">
        <v>0</v>
      </c>
      <c r="T475" s="256">
        <v>0</v>
      </c>
      <c r="U475" s="258">
        <f t="shared" si="158"/>
        <v>0</v>
      </c>
      <c r="V475" s="256">
        <v>0</v>
      </c>
      <c r="W475" s="256">
        <v>0</v>
      </c>
      <c r="X475" s="256">
        <v>0</v>
      </c>
      <c r="Y475" s="256">
        <v>0</v>
      </c>
      <c r="Z475" s="256">
        <v>0</v>
      </c>
      <c r="AA475" s="256">
        <v>0</v>
      </c>
      <c r="AB475" s="256">
        <v>0</v>
      </c>
      <c r="AC475" s="189">
        <f t="shared" si="159"/>
        <v>0</v>
      </c>
      <c r="AD475" s="259">
        <f t="shared" si="160"/>
        <v>0</v>
      </c>
    </row>
    <row r="476" spans="1:30" s="160" customFormat="1" hidden="1">
      <c r="A476" s="250">
        <v>471</v>
      </c>
      <c r="B476" s="251"/>
      <c r="C476" s="252"/>
      <c r="D476" s="253"/>
      <c r="E476" s="254">
        <f t="shared" si="149"/>
        <v>0</v>
      </c>
      <c r="F476" s="255">
        <f t="shared" si="150"/>
        <v>0</v>
      </c>
      <c r="G476" s="256">
        <f t="shared" si="151"/>
        <v>0</v>
      </c>
      <c r="H476" s="256">
        <f t="shared" si="152"/>
        <v>0</v>
      </c>
      <c r="I476" s="256">
        <f t="shared" si="153"/>
        <v>0</v>
      </c>
      <c r="J476" s="256">
        <f t="shared" si="154"/>
        <v>0</v>
      </c>
      <c r="K476" s="256">
        <f t="shared" si="155"/>
        <v>0</v>
      </c>
      <c r="L476" s="256">
        <f t="shared" si="156"/>
        <v>0</v>
      </c>
      <c r="M476" s="256">
        <f t="shared" si="157"/>
        <v>0</v>
      </c>
      <c r="N476" s="255">
        <v>0</v>
      </c>
      <c r="O476" s="256">
        <v>0</v>
      </c>
      <c r="P476" s="256">
        <v>0</v>
      </c>
      <c r="Q476" s="256">
        <v>0</v>
      </c>
      <c r="R476" s="256">
        <v>0</v>
      </c>
      <c r="S476" s="257">
        <v>0</v>
      </c>
      <c r="T476" s="256">
        <v>0</v>
      </c>
      <c r="U476" s="258">
        <f t="shared" si="158"/>
        <v>0</v>
      </c>
      <c r="V476" s="256">
        <v>0</v>
      </c>
      <c r="W476" s="256">
        <v>0</v>
      </c>
      <c r="X476" s="256">
        <v>0</v>
      </c>
      <c r="Y476" s="256">
        <v>0</v>
      </c>
      <c r="Z476" s="256">
        <v>0</v>
      </c>
      <c r="AA476" s="256">
        <v>0</v>
      </c>
      <c r="AB476" s="256">
        <v>0</v>
      </c>
      <c r="AC476" s="189">
        <f t="shared" si="159"/>
        <v>0</v>
      </c>
      <c r="AD476" s="259">
        <f t="shared" si="160"/>
        <v>0</v>
      </c>
    </row>
    <row r="477" spans="1:30" s="160" customFormat="1" hidden="1">
      <c r="A477" s="250">
        <v>472</v>
      </c>
      <c r="B477" s="251"/>
      <c r="C477" s="252"/>
      <c r="D477" s="253"/>
      <c r="E477" s="254">
        <f t="shared" si="149"/>
        <v>0</v>
      </c>
      <c r="F477" s="255">
        <f t="shared" si="150"/>
        <v>0</v>
      </c>
      <c r="G477" s="256">
        <f t="shared" si="151"/>
        <v>0</v>
      </c>
      <c r="H477" s="256">
        <f t="shared" si="152"/>
        <v>0</v>
      </c>
      <c r="I477" s="256">
        <f t="shared" si="153"/>
        <v>0</v>
      </c>
      <c r="J477" s="256">
        <f t="shared" si="154"/>
        <v>0</v>
      </c>
      <c r="K477" s="256">
        <f t="shared" si="155"/>
        <v>0</v>
      </c>
      <c r="L477" s="256">
        <f t="shared" si="156"/>
        <v>0</v>
      </c>
      <c r="M477" s="256">
        <f t="shared" si="157"/>
        <v>0</v>
      </c>
      <c r="N477" s="255">
        <v>0</v>
      </c>
      <c r="O477" s="256">
        <v>0</v>
      </c>
      <c r="P477" s="256">
        <v>0</v>
      </c>
      <c r="Q477" s="256">
        <v>0</v>
      </c>
      <c r="R477" s="256">
        <v>0</v>
      </c>
      <c r="S477" s="257">
        <v>0</v>
      </c>
      <c r="T477" s="256">
        <v>0</v>
      </c>
      <c r="U477" s="258">
        <f t="shared" si="158"/>
        <v>0</v>
      </c>
      <c r="V477" s="256">
        <v>0</v>
      </c>
      <c r="W477" s="256">
        <v>0</v>
      </c>
      <c r="X477" s="256">
        <v>0</v>
      </c>
      <c r="Y477" s="256">
        <v>0</v>
      </c>
      <c r="Z477" s="256">
        <v>0</v>
      </c>
      <c r="AA477" s="256">
        <v>0</v>
      </c>
      <c r="AB477" s="256">
        <v>0</v>
      </c>
      <c r="AC477" s="189">
        <f t="shared" si="159"/>
        <v>0</v>
      </c>
      <c r="AD477" s="259">
        <f t="shared" si="160"/>
        <v>0</v>
      </c>
    </row>
    <row r="478" spans="1:30" s="160" customFormat="1" hidden="1">
      <c r="A478" s="250">
        <v>473</v>
      </c>
      <c r="B478" s="251"/>
      <c r="C478" s="252"/>
      <c r="D478" s="253"/>
      <c r="E478" s="254">
        <f t="shared" si="149"/>
        <v>0</v>
      </c>
      <c r="F478" s="255">
        <f t="shared" si="150"/>
        <v>0</v>
      </c>
      <c r="G478" s="256">
        <f t="shared" si="151"/>
        <v>0</v>
      </c>
      <c r="H478" s="256">
        <f t="shared" si="152"/>
        <v>0</v>
      </c>
      <c r="I478" s="256">
        <f t="shared" si="153"/>
        <v>0</v>
      </c>
      <c r="J478" s="256">
        <f t="shared" si="154"/>
        <v>0</v>
      </c>
      <c r="K478" s="256">
        <f t="shared" si="155"/>
        <v>0</v>
      </c>
      <c r="L478" s="256">
        <f t="shared" si="156"/>
        <v>0</v>
      </c>
      <c r="M478" s="256">
        <f t="shared" si="157"/>
        <v>0</v>
      </c>
      <c r="N478" s="255">
        <v>0</v>
      </c>
      <c r="O478" s="256">
        <v>0</v>
      </c>
      <c r="P478" s="256">
        <v>0</v>
      </c>
      <c r="Q478" s="256">
        <v>0</v>
      </c>
      <c r="R478" s="256">
        <v>0</v>
      </c>
      <c r="S478" s="257">
        <v>0</v>
      </c>
      <c r="T478" s="256">
        <v>0</v>
      </c>
      <c r="U478" s="258">
        <f t="shared" si="158"/>
        <v>0</v>
      </c>
      <c r="V478" s="256">
        <v>0</v>
      </c>
      <c r="W478" s="256">
        <v>0</v>
      </c>
      <c r="X478" s="256">
        <v>0</v>
      </c>
      <c r="Y478" s="256">
        <v>0</v>
      </c>
      <c r="Z478" s="256">
        <v>0</v>
      </c>
      <c r="AA478" s="256">
        <v>0</v>
      </c>
      <c r="AB478" s="256">
        <v>0</v>
      </c>
      <c r="AC478" s="189">
        <f t="shared" si="159"/>
        <v>0</v>
      </c>
      <c r="AD478" s="259">
        <f t="shared" si="160"/>
        <v>0</v>
      </c>
    </row>
    <row r="479" spans="1:30" s="160" customFormat="1" hidden="1">
      <c r="A479" s="250">
        <v>474</v>
      </c>
      <c r="B479" s="251"/>
      <c r="C479" s="252"/>
      <c r="D479" s="253"/>
      <c r="E479" s="254">
        <f t="shared" si="149"/>
        <v>0</v>
      </c>
      <c r="F479" s="255">
        <f t="shared" si="150"/>
        <v>0</v>
      </c>
      <c r="G479" s="256">
        <f t="shared" si="151"/>
        <v>0</v>
      </c>
      <c r="H479" s="256">
        <f t="shared" si="152"/>
        <v>0</v>
      </c>
      <c r="I479" s="256">
        <f t="shared" si="153"/>
        <v>0</v>
      </c>
      <c r="J479" s="256">
        <f t="shared" si="154"/>
        <v>0</v>
      </c>
      <c r="K479" s="256">
        <f t="shared" si="155"/>
        <v>0</v>
      </c>
      <c r="L479" s="256">
        <f t="shared" si="156"/>
        <v>0</v>
      </c>
      <c r="M479" s="256">
        <f t="shared" si="157"/>
        <v>0</v>
      </c>
      <c r="N479" s="255">
        <v>0</v>
      </c>
      <c r="O479" s="256">
        <v>0</v>
      </c>
      <c r="P479" s="256">
        <v>0</v>
      </c>
      <c r="Q479" s="256">
        <v>0</v>
      </c>
      <c r="R479" s="256">
        <v>0</v>
      </c>
      <c r="S479" s="257">
        <v>0</v>
      </c>
      <c r="T479" s="256">
        <v>0</v>
      </c>
      <c r="U479" s="258">
        <f t="shared" si="158"/>
        <v>0</v>
      </c>
      <c r="V479" s="256">
        <v>0</v>
      </c>
      <c r="W479" s="256">
        <v>0</v>
      </c>
      <c r="X479" s="256">
        <v>0</v>
      </c>
      <c r="Y479" s="256">
        <v>0</v>
      </c>
      <c r="Z479" s="256">
        <v>0</v>
      </c>
      <c r="AA479" s="256">
        <v>0</v>
      </c>
      <c r="AB479" s="256">
        <v>0</v>
      </c>
      <c r="AC479" s="189">
        <f t="shared" si="159"/>
        <v>0</v>
      </c>
      <c r="AD479" s="259">
        <f t="shared" si="160"/>
        <v>0</v>
      </c>
    </row>
    <row r="480" spans="1:30" s="160" customFormat="1" hidden="1">
      <c r="A480" s="250">
        <v>475</v>
      </c>
      <c r="B480" s="251"/>
      <c r="C480" s="252"/>
      <c r="D480" s="253"/>
      <c r="E480" s="254">
        <f t="shared" si="149"/>
        <v>0</v>
      </c>
      <c r="F480" s="255">
        <f t="shared" si="150"/>
        <v>0</v>
      </c>
      <c r="G480" s="256">
        <f t="shared" si="151"/>
        <v>0</v>
      </c>
      <c r="H480" s="256">
        <f t="shared" si="152"/>
        <v>0</v>
      </c>
      <c r="I480" s="256">
        <f t="shared" si="153"/>
        <v>0</v>
      </c>
      <c r="J480" s="256">
        <f t="shared" si="154"/>
        <v>0</v>
      </c>
      <c r="K480" s="256">
        <f t="shared" si="155"/>
        <v>0</v>
      </c>
      <c r="L480" s="256">
        <f t="shared" si="156"/>
        <v>0</v>
      </c>
      <c r="M480" s="256">
        <f t="shared" si="157"/>
        <v>0</v>
      </c>
      <c r="N480" s="255">
        <v>0</v>
      </c>
      <c r="O480" s="256">
        <v>0</v>
      </c>
      <c r="P480" s="256">
        <v>0</v>
      </c>
      <c r="Q480" s="256">
        <v>0</v>
      </c>
      <c r="R480" s="256">
        <v>0</v>
      </c>
      <c r="S480" s="257">
        <v>0</v>
      </c>
      <c r="T480" s="256">
        <v>0</v>
      </c>
      <c r="U480" s="258">
        <f t="shared" si="158"/>
        <v>0</v>
      </c>
      <c r="V480" s="256">
        <v>0</v>
      </c>
      <c r="W480" s="256">
        <v>0</v>
      </c>
      <c r="X480" s="256">
        <v>0</v>
      </c>
      <c r="Y480" s="256">
        <v>0</v>
      </c>
      <c r="Z480" s="256">
        <v>0</v>
      </c>
      <c r="AA480" s="256">
        <v>0</v>
      </c>
      <c r="AB480" s="256">
        <v>0</v>
      </c>
      <c r="AC480" s="189">
        <f t="shared" si="159"/>
        <v>0</v>
      </c>
      <c r="AD480" s="259">
        <f t="shared" si="160"/>
        <v>0</v>
      </c>
    </row>
    <row r="481" spans="1:30" s="160" customFormat="1" hidden="1">
      <c r="A481" s="250">
        <v>476</v>
      </c>
      <c r="B481" s="251"/>
      <c r="C481" s="252"/>
      <c r="D481" s="253"/>
      <c r="E481" s="254">
        <f t="shared" si="149"/>
        <v>0</v>
      </c>
      <c r="F481" s="255">
        <f t="shared" si="150"/>
        <v>0</v>
      </c>
      <c r="G481" s="256">
        <f t="shared" si="151"/>
        <v>0</v>
      </c>
      <c r="H481" s="256">
        <f t="shared" si="152"/>
        <v>0</v>
      </c>
      <c r="I481" s="256">
        <f t="shared" si="153"/>
        <v>0</v>
      </c>
      <c r="J481" s="256">
        <f t="shared" si="154"/>
        <v>0</v>
      </c>
      <c r="K481" s="256">
        <f t="shared" si="155"/>
        <v>0</v>
      </c>
      <c r="L481" s="256">
        <f t="shared" si="156"/>
        <v>0</v>
      </c>
      <c r="M481" s="256">
        <f t="shared" si="157"/>
        <v>0</v>
      </c>
      <c r="N481" s="255">
        <v>0</v>
      </c>
      <c r="O481" s="256">
        <v>0</v>
      </c>
      <c r="P481" s="256">
        <v>0</v>
      </c>
      <c r="Q481" s="256">
        <v>0</v>
      </c>
      <c r="R481" s="256">
        <v>0</v>
      </c>
      <c r="S481" s="257">
        <v>0</v>
      </c>
      <c r="T481" s="256">
        <v>0</v>
      </c>
      <c r="U481" s="258">
        <f t="shared" si="158"/>
        <v>0</v>
      </c>
      <c r="V481" s="256">
        <v>0</v>
      </c>
      <c r="W481" s="256">
        <v>0</v>
      </c>
      <c r="X481" s="256">
        <v>0</v>
      </c>
      <c r="Y481" s="256">
        <v>0</v>
      </c>
      <c r="Z481" s="256">
        <v>0</v>
      </c>
      <c r="AA481" s="256">
        <v>0</v>
      </c>
      <c r="AB481" s="256">
        <v>0</v>
      </c>
      <c r="AC481" s="189">
        <f t="shared" si="159"/>
        <v>0</v>
      </c>
      <c r="AD481" s="259">
        <f t="shared" si="160"/>
        <v>0</v>
      </c>
    </row>
    <row r="482" spans="1:30" s="160" customFormat="1" hidden="1">
      <c r="A482" s="250">
        <v>477</v>
      </c>
      <c r="B482" s="251"/>
      <c r="C482" s="252"/>
      <c r="D482" s="253"/>
      <c r="E482" s="254">
        <f t="shared" si="149"/>
        <v>0</v>
      </c>
      <c r="F482" s="255">
        <f t="shared" si="150"/>
        <v>0</v>
      </c>
      <c r="G482" s="256">
        <f t="shared" si="151"/>
        <v>0</v>
      </c>
      <c r="H482" s="256">
        <f t="shared" si="152"/>
        <v>0</v>
      </c>
      <c r="I482" s="256">
        <f t="shared" si="153"/>
        <v>0</v>
      </c>
      <c r="J482" s="256">
        <f t="shared" si="154"/>
        <v>0</v>
      </c>
      <c r="K482" s="256">
        <f t="shared" si="155"/>
        <v>0</v>
      </c>
      <c r="L482" s="256">
        <f t="shared" si="156"/>
        <v>0</v>
      </c>
      <c r="M482" s="256">
        <f t="shared" si="157"/>
        <v>0</v>
      </c>
      <c r="N482" s="255">
        <v>0</v>
      </c>
      <c r="O482" s="256">
        <v>0</v>
      </c>
      <c r="P482" s="256">
        <v>0</v>
      </c>
      <c r="Q482" s="256">
        <v>0</v>
      </c>
      <c r="R482" s="256">
        <v>0</v>
      </c>
      <c r="S482" s="257">
        <v>0</v>
      </c>
      <c r="T482" s="256">
        <v>0</v>
      </c>
      <c r="U482" s="258">
        <f t="shared" si="158"/>
        <v>0</v>
      </c>
      <c r="V482" s="256">
        <v>0</v>
      </c>
      <c r="W482" s="256">
        <v>0</v>
      </c>
      <c r="X482" s="256">
        <v>0</v>
      </c>
      <c r="Y482" s="256">
        <v>0</v>
      </c>
      <c r="Z482" s="256">
        <v>0</v>
      </c>
      <c r="AA482" s="256">
        <v>0</v>
      </c>
      <c r="AB482" s="256">
        <v>0</v>
      </c>
      <c r="AC482" s="189">
        <f t="shared" si="159"/>
        <v>0</v>
      </c>
      <c r="AD482" s="259">
        <f t="shared" si="160"/>
        <v>0</v>
      </c>
    </row>
    <row r="483" spans="1:30" s="160" customFormat="1" hidden="1">
      <c r="A483" s="250">
        <v>478</v>
      </c>
      <c r="B483" s="251"/>
      <c r="C483" s="252"/>
      <c r="D483" s="253"/>
      <c r="E483" s="254">
        <f t="shared" si="149"/>
        <v>0</v>
      </c>
      <c r="F483" s="255">
        <f t="shared" si="150"/>
        <v>0</v>
      </c>
      <c r="G483" s="256">
        <f t="shared" si="151"/>
        <v>0</v>
      </c>
      <c r="H483" s="256">
        <f t="shared" si="152"/>
        <v>0</v>
      </c>
      <c r="I483" s="256">
        <f t="shared" si="153"/>
        <v>0</v>
      </c>
      <c r="J483" s="256">
        <f t="shared" si="154"/>
        <v>0</v>
      </c>
      <c r="K483" s="256">
        <f t="shared" si="155"/>
        <v>0</v>
      </c>
      <c r="L483" s="256">
        <f t="shared" si="156"/>
        <v>0</v>
      </c>
      <c r="M483" s="256">
        <f t="shared" si="157"/>
        <v>0</v>
      </c>
      <c r="N483" s="255">
        <v>0</v>
      </c>
      <c r="O483" s="256">
        <v>0</v>
      </c>
      <c r="P483" s="256">
        <v>0</v>
      </c>
      <c r="Q483" s="256">
        <v>0</v>
      </c>
      <c r="R483" s="256">
        <v>0</v>
      </c>
      <c r="S483" s="257">
        <v>0</v>
      </c>
      <c r="T483" s="256">
        <v>0</v>
      </c>
      <c r="U483" s="258">
        <f t="shared" si="158"/>
        <v>0</v>
      </c>
      <c r="V483" s="256">
        <v>0</v>
      </c>
      <c r="W483" s="256">
        <v>0</v>
      </c>
      <c r="X483" s="256">
        <v>0</v>
      </c>
      <c r="Y483" s="256">
        <v>0</v>
      </c>
      <c r="Z483" s="256">
        <v>0</v>
      </c>
      <c r="AA483" s="256">
        <v>0</v>
      </c>
      <c r="AB483" s="256">
        <v>0</v>
      </c>
      <c r="AC483" s="189">
        <f t="shared" si="159"/>
        <v>0</v>
      </c>
      <c r="AD483" s="259">
        <f t="shared" si="160"/>
        <v>0</v>
      </c>
    </row>
    <row r="484" spans="1:30" s="160" customFormat="1" hidden="1">
      <c r="A484" s="250">
        <v>479</v>
      </c>
      <c r="B484" s="251"/>
      <c r="C484" s="252"/>
      <c r="D484" s="253"/>
      <c r="E484" s="254">
        <f t="shared" si="149"/>
        <v>0</v>
      </c>
      <c r="F484" s="255">
        <f t="shared" si="150"/>
        <v>0</v>
      </c>
      <c r="G484" s="256">
        <f t="shared" si="151"/>
        <v>0</v>
      </c>
      <c r="H484" s="256">
        <f t="shared" si="152"/>
        <v>0</v>
      </c>
      <c r="I484" s="256">
        <f t="shared" si="153"/>
        <v>0</v>
      </c>
      <c r="J484" s="256">
        <f t="shared" si="154"/>
        <v>0</v>
      </c>
      <c r="K484" s="256">
        <f t="shared" si="155"/>
        <v>0</v>
      </c>
      <c r="L484" s="256">
        <f t="shared" si="156"/>
        <v>0</v>
      </c>
      <c r="M484" s="256">
        <f t="shared" si="157"/>
        <v>0</v>
      </c>
      <c r="N484" s="255">
        <v>0</v>
      </c>
      <c r="O484" s="256">
        <v>0</v>
      </c>
      <c r="P484" s="256">
        <v>0</v>
      </c>
      <c r="Q484" s="256">
        <v>0</v>
      </c>
      <c r="R484" s="256">
        <v>0</v>
      </c>
      <c r="S484" s="257">
        <v>0</v>
      </c>
      <c r="T484" s="256">
        <v>0</v>
      </c>
      <c r="U484" s="258">
        <f t="shared" si="158"/>
        <v>0</v>
      </c>
      <c r="V484" s="256">
        <v>0</v>
      </c>
      <c r="W484" s="256">
        <v>0</v>
      </c>
      <c r="X484" s="256">
        <v>0</v>
      </c>
      <c r="Y484" s="256">
        <v>0</v>
      </c>
      <c r="Z484" s="256">
        <v>0</v>
      </c>
      <c r="AA484" s="256">
        <v>0</v>
      </c>
      <c r="AB484" s="256">
        <v>0</v>
      </c>
      <c r="AC484" s="189">
        <f t="shared" si="159"/>
        <v>0</v>
      </c>
      <c r="AD484" s="259">
        <f t="shared" si="160"/>
        <v>0</v>
      </c>
    </row>
    <row r="485" spans="1:30" s="160" customFormat="1" hidden="1">
      <c r="A485" s="250">
        <v>480</v>
      </c>
      <c r="B485" s="251"/>
      <c r="C485" s="252"/>
      <c r="D485" s="253"/>
      <c r="E485" s="254">
        <f t="shared" si="149"/>
        <v>0</v>
      </c>
      <c r="F485" s="255">
        <f t="shared" si="150"/>
        <v>0</v>
      </c>
      <c r="G485" s="256">
        <f t="shared" si="151"/>
        <v>0</v>
      </c>
      <c r="H485" s="256">
        <f t="shared" si="152"/>
        <v>0</v>
      </c>
      <c r="I485" s="256">
        <f t="shared" si="153"/>
        <v>0</v>
      </c>
      <c r="J485" s="256">
        <f t="shared" si="154"/>
        <v>0</v>
      </c>
      <c r="K485" s="256">
        <f t="shared" si="155"/>
        <v>0</v>
      </c>
      <c r="L485" s="256">
        <f t="shared" si="156"/>
        <v>0</v>
      </c>
      <c r="M485" s="256">
        <f t="shared" si="157"/>
        <v>0</v>
      </c>
      <c r="N485" s="255">
        <v>0</v>
      </c>
      <c r="O485" s="256">
        <v>0</v>
      </c>
      <c r="P485" s="256">
        <v>0</v>
      </c>
      <c r="Q485" s="256">
        <v>0</v>
      </c>
      <c r="R485" s="256">
        <v>0</v>
      </c>
      <c r="S485" s="257">
        <v>0</v>
      </c>
      <c r="T485" s="256">
        <v>0</v>
      </c>
      <c r="U485" s="258">
        <f t="shared" si="158"/>
        <v>0</v>
      </c>
      <c r="V485" s="256">
        <v>0</v>
      </c>
      <c r="W485" s="256">
        <v>0</v>
      </c>
      <c r="X485" s="256">
        <v>0</v>
      </c>
      <c r="Y485" s="256">
        <v>0</v>
      </c>
      <c r="Z485" s="256">
        <v>0</v>
      </c>
      <c r="AA485" s="256">
        <v>0</v>
      </c>
      <c r="AB485" s="256">
        <v>0</v>
      </c>
      <c r="AC485" s="189">
        <f t="shared" si="159"/>
        <v>0</v>
      </c>
      <c r="AD485" s="259">
        <f t="shared" si="160"/>
        <v>0</v>
      </c>
    </row>
    <row r="486" spans="1:30" s="160" customFormat="1" hidden="1">
      <c r="A486" s="250">
        <v>481</v>
      </c>
      <c r="B486" s="251"/>
      <c r="C486" s="252"/>
      <c r="D486" s="253"/>
      <c r="E486" s="254">
        <f t="shared" si="149"/>
        <v>0</v>
      </c>
      <c r="F486" s="255">
        <f t="shared" si="150"/>
        <v>0</v>
      </c>
      <c r="G486" s="256">
        <f t="shared" si="151"/>
        <v>0</v>
      </c>
      <c r="H486" s="256">
        <f t="shared" si="152"/>
        <v>0</v>
      </c>
      <c r="I486" s="256">
        <f t="shared" si="153"/>
        <v>0</v>
      </c>
      <c r="J486" s="256">
        <f t="shared" si="154"/>
        <v>0</v>
      </c>
      <c r="K486" s="256">
        <f t="shared" si="155"/>
        <v>0</v>
      </c>
      <c r="L486" s="256">
        <f t="shared" si="156"/>
        <v>0</v>
      </c>
      <c r="M486" s="256">
        <f t="shared" si="157"/>
        <v>0</v>
      </c>
      <c r="N486" s="255">
        <v>0</v>
      </c>
      <c r="O486" s="256">
        <v>0</v>
      </c>
      <c r="P486" s="256">
        <v>0</v>
      </c>
      <c r="Q486" s="256">
        <v>0</v>
      </c>
      <c r="R486" s="256">
        <v>0</v>
      </c>
      <c r="S486" s="257">
        <v>0</v>
      </c>
      <c r="T486" s="256">
        <v>0</v>
      </c>
      <c r="U486" s="258">
        <f t="shared" si="158"/>
        <v>0</v>
      </c>
      <c r="V486" s="256">
        <v>0</v>
      </c>
      <c r="W486" s="256">
        <v>0</v>
      </c>
      <c r="X486" s="256">
        <v>0</v>
      </c>
      <c r="Y486" s="256">
        <v>0</v>
      </c>
      <c r="Z486" s="256">
        <v>0</v>
      </c>
      <c r="AA486" s="256">
        <v>0</v>
      </c>
      <c r="AB486" s="256">
        <v>0</v>
      </c>
      <c r="AC486" s="189">
        <f t="shared" si="159"/>
        <v>0</v>
      </c>
      <c r="AD486" s="259">
        <f t="shared" si="160"/>
        <v>0</v>
      </c>
    </row>
    <row r="487" spans="1:30" s="160" customFormat="1" hidden="1">
      <c r="A487" s="250">
        <v>482</v>
      </c>
      <c r="B487" s="251"/>
      <c r="C487" s="252"/>
      <c r="D487" s="253"/>
      <c r="E487" s="254">
        <f t="shared" si="149"/>
        <v>0</v>
      </c>
      <c r="F487" s="255">
        <f t="shared" si="150"/>
        <v>0</v>
      </c>
      <c r="G487" s="256">
        <f t="shared" si="151"/>
        <v>0</v>
      </c>
      <c r="H487" s="256">
        <f t="shared" si="152"/>
        <v>0</v>
      </c>
      <c r="I487" s="256">
        <f t="shared" si="153"/>
        <v>0</v>
      </c>
      <c r="J487" s="256">
        <f t="shared" si="154"/>
        <v>0</v>
      </c>
      <c r="K487" s="256">
        <f t="shared" si="155"/>
        <v>0</v>
      </c>
      <c r="L487" s="256">
        <f t="shared" si="156"/>
        <v>0</v>
      </c>
      <c r="M487" s="256">
        <f t="shared" si="157"/>
        <v>0</v>
      </c>
      <c r="N487" s="255">
        <v>0</v>
      </c>
      <c r="O487" s="256">
        <v>0</v>
      </c>
      <c r="P487" s="256">
        <v>0</v>
      </c>
      <c r="Q487" s="256">
        <v>0</v>
      </c>
      <c r="R487" s="256">
        <v>0</v>
      </c>
      <c r="S487" s="257">
        <v>0</v>
      </c>
      <c r="T487" s="256">
        <v>0</v>
      </c>
      <c r="U487" s="258">
        <f t="shared" si="158"/>
        <v>0</v>
      </c>
      <c r="V487" s="256">
        <v>0</v>
      </c>
      <c r="W487" s="256">
        <v>0</v>
      </c>
      <c r="X487" s="256">
        <v>0</v>
      </c>
      <c r="Y487" s="256">
        <v>0</v>
      </c>
      <c r="Z487" s="256">
        <v>0</v>
      </c>
      <c r="AA487" s="256">
        <v>0</v>
      </c>
      <c r="AB487" s="256">
        <v>0</v>
      </c>
      <c r="AC487" s="189">
        <f t="shared" si="159"/>
        <v>0</v>
      </c>
      <c r="AD487" s="259">
        <f t="shared" si="160"/>
        <v>0</v>
      </c>
    </row>
    <row r="488" spans="1:30" s="160" customFormat="1" hidden="1">
      <c r="A488" s="250">
        <v>483</v>
      </c>
      <c r="B488" s="251"/>
      <c r="C488" s="252"/>
      <c r="D488" s="253"/>
      <c r="E488" s="254">
        <f t="shared" si="149"/>
        <v>0</v>
      </c>
      <c r="F488" s="255">
        <f t="shared" si="150"/>
        <v>0</v>
      </c>
      <c r="G488" s="256">
        <f t="shared" si="151"/>
        <v>0</v>
      </c>
      <c r="H488" s="256">
        <f t="shared" si="152"/>
        <v>0</v>
      </c>
      <c r="I488" s="256">
        <f t="shared" si="153"/>
        <v>0</v>
      </c>
      <c r="J488" s="256">
        <f t="shared" si="154"/>
        <v>0</v>
      </c>
      <c r="K488" s="256">
        <f t="shared" si="155"/>
        <v>0</v>
      </c>
      <c r="L488" s="256">
        <f t="shared" si="156"/>
        <v>0</v>
      </c>
      <c r="M488" s="256">
        <f t="shared" si="157"/>
        <v>0</v>
      </c>
      <c r="N488" s="255">
        <v>0</v>
      </c>
      <c r="O488" s="256">
        <v>0</v>
      </c>
      <c r="P488" s="256">
        <v>0</v>
      </c>
      <c r="Q488" s="256">
        <v>0</v>
      </c>
      <c r="R488" s="256">
        <v>0</v>
      </c>
      <c r="S488" s="257">
        <v>0</v>
      </c>
      <c r="T488" s="256">
        <v>0</v>
      </c>
      <c r="U488" s="258">
        <f t="shared" si="158"/>
        <v>0</v>
      </c>
      <c r="V488" s="256">
        <v>0</v>
      </c>
      <c r="W488" s="256">
        <v>0</v>
      </c>
      <c r="X488" s="256">
        <v>0</v>
      </c>
      <c r="Y488" s="256">
        <v>0</v>
      </c>
      <c r="Z488" s="256">
        <v>0</v>
      </c>
      <c r="AA488" s="256">
        <v>0</v>
      </c>
      <c r="AB488" s="256">
        <v>0</v>
      </c>
      <c r="AC488" s="189">
        <f t="shared" si="159"/>
        <v>0</v>
      </c>
      <c r="AD488" s="259">
        <f t="shared" si="160"/>
        <v>0</v>
      </c>
    </row>
    <row r="489" spans="1:30" s="160" customFormat="1" hidden="1">
      <c r="A489" s="250">
        <v>484</v>
      </c>
      <c r="B489" s="251"/>
      <c r="C489" s="252"/>
      <c r="D489" s="253"/>
      <c r="E489" s="254">
        <f t="shared" si="149"/>
        <v>0</v>
      </c>
      <c r="F489" s="255">
        <f t="shared" si="150"/>
        <v>0</v>
      </c>
      <c r="G489" s="256">
        <f t="shared" si="151"/>
        <v>0</v>
      </c>
      <c r="H489" s="256">
        <f t="shared" si="152"/>
        <v>0</v>
      </c>
      <c r="I489" s="256">
        <f t="shared" si="153"/>
        <v>0</v>
      </c>
      <c r="J489" s="256">
        <f t="shared" si="154"/>
        <v>0</v>
      </c>
      <c r="K489" s="256">
        <f t="shared" si="155"/>
        <v>0</v>
      </c>
      <c r="L489" s="256">
        <f t="shared" si="156"/>
        <v>0</v>
      </c>
      <c r="M489" s="256">
        <f t="shared" si="157"/>
        <v>0</v>
      </c>
      <c r="N489" s="255">
        <v>0</v>
      </c>
      <c r="O489" s="256">
        <v>0</v>
      </c>
      <c r="P489" s="256">
        <v>0</v>
      </c>
      <c r="Q489" s="256">
        <v>0</v>
      </c>
      <c r="R489" s="256">
        <v>0</v>
      </c>
      <c r="S489" s="257">
        <v>0</v>
      </c>
      <c r="T489" s="256">
        <v>0</v>
      </c>
      <c r="U489" s="258">
        <f t="shared" si="158"/>
        <v>0</v>
      </c>
      <c r="V489" s="256">
        <v>0</v>
      </c>
      <c r="W489" s="256">
        <v>0</v>
      </c>
      <c r="X489" s="256">
        <v>0</v>
      </c>
      <c r="Y489" s="256">
        <v>0</v>
      </c>
      <c r="Z489" s="256">
        <v>0</v>
      </c>
      <c r="AA489" s="256">
        <v>0</v>
      </c>
      <c r="AB489" s="256">
        <v>0</v>
      </c>
      <c r="AC489" s="189">
        <f t="shared" si="159"/>
        <v>0</v>
      </c>
      <c r="AD489" s="259">
        <f t="shared" si="160"/>
        <v>0</v>
      </c>
    </row>
    <row r="490" spans="1:30" s="160" customFormat="1" hidden="1">
      <c r="A490" s="250">
        <v>485</v>
      </c>
      <c r="B490" s="251"/>
      <c r="C490" s="252"/>
      <c r="D490" s="253"/>
      <c r="E490" s="254">
        <f t="shared" si="149"/>
        <v>0</v>
      </c>
      <c r="F490" s="255">
        <f t="shared" si="150"/>
        <v>0</v>
      </c>
      <c r="G490" s="256">
        <f t="shared" si="151"/>
        <v>0</v>
      </c>
      <c r="H490" s="256">
        <f t="shared" si="152"/>
        <v>0</v>
      </c>
      <c r="I490" s="256">
        <f t="shared" si="153"/>
        <v>0</v>
      </c>
      <c r="J490" s="256">
        <f t="shared" si="154"/>
        <v>0</v>
      </c>
      <c r="K490" s="256">
        <f t="shared" si="155"/>
        <v>0</v>
      </c>
      <c r="L490" s="256">
        <f t="shared" si="156"/>
        <v>0</v>
      </c>
      <c r="M490" s="256">
        <f t="shared" si="157"/>
        <v>0</v>
      </c>
      <c r="N490" s="255">
        <v>0</v>
      </c>
      <c r="O490" s="256">
        <v>0</v>
      </c>
      <c r="P490" s="256">
        <v>0</v>
      </c>
      <c r="Q490" s="256">
        <v>0</v>
      </c>
      <c r="R490" s="256">
        <v>0</v>
      </c>
      <c r="S490" s="257">
        <v>0</v>
      </c>
      <c r="T490" s="256">
        <v>0</v>
      </c>
      <c r="U490" s="258">
        <f t="shared" si="158"/>
        <v>0</v>
      </c>
      <c r="V490" s="256">
        <v>0</v>
      </c>
      <c r="W490" s="256">
        <v>0</v>
      </c>
      <c r="X490" s="256">
        <v>0</v>
      </c>
      <c r="Y490" s="256">
        <v>0</v>
      </c>
      <c r="Z490" s="256">
        <v>0</v>
      </c>
      <c r="AA490" s="256">
        <v>0</v>
      </c>
      <c r="AB490" s="256">
        <v>0</v>
      </c>
      <c r="AC490" s="189">
        <f t="shared" si="159"/>
        <v>0</v>
      </c>
      <c r="AD490" s="259">
        <f t="shared" si="160"/>
        <v>0</v>
      </c>
    </row>
    <row r="491" spans="1:30" s="160" customFormat="1" hidden="1">
      <c r="A491" s="250">
        <v>486</v>
      </c>
      <c r="B491" s="251"/>
      <c r="C491" s="252"/>
      <c r="D491" s="253"/>
      <c r="E491" s="254">
        <f t="shared" si="149"/>
        <v>0</v>
      </c>
      <c r="F491" s="255">
        <f t="shared" si="150"/>
        <v>0</v>
      </c>
      <c r="G491" s="256">
        <f t="shared" si="151"/>
        <v>0</v>
      </c>
      <c r="H491" s="256">
        <f t="shared" si="152"/>
        <v>0</v>
      </c>
      <c r="I491" s="256">
        <f t="shared" si="153"/>
        <v>0</v>
      </c>
      <c r="J491" s="256">
        <f t="shared" si="154"/>
        <v>0</v>
      </c>
      <c r="K491" s="256">
        <f t="shared" si="155"/>
        <v>0</v>
      </c>
      <c r="L491" s="256">
        <f t="shared" si="156"/>
        <v>0</v>
      </c>
      <c r="M491" s="256">
        <f t="shared" si="157"/>
        <v>0</v>
      </c>
      <c r="N491" s="255">
        <v>0</v>
      </c>
      <c r="O491" s="256">
        <v>0</v>
      </c>
      <c r="P491" s="256">
        <v>0</v>
      </c>
      <c r="Q491" s="256">
        <v>0</v>
      </c>
      <c r="R491" s="256">
        <v>0</v>
      </c>
      <c r="S491" s="257">
        <v>0</v>
      </c>
      <c r="T491" s="256">
        <v>0</v>
      </c>
      <c r="U491" s="258">
        <f t="shared" si="158"/>
        <v>0</v>
      </c>
      <c r="V491" s="256">
        <v>0</v>
      </c>
      <c r="W491" s="256">
        <v>0</v>
      </c>
      <c r="X491" s="256">
        <v>0</v>
      </c>
      <c r="Y491" s="256">
        <v>0</v>
      </c>
      <c r="Z491" s="256">
        <v>0</v>
      </c>
      <c r="AA491" s="256">
        <v>0</v>
      </c>
      <c r="AB491" s="256">
        <v>0</v>
      </c>
      <c r="AC491" s="189">
        <f t="shared" si="159"/>
        <v>0</v>
      </c>
      <c r="AD491" s="259">
        <f t="shared" si="160"/>
        <v>0</v>
      </c>
    </row>
    <row r="492" spans="1:30" s="160" customFormat="1" hidden="1">
      <c r="A492" s="250">
        <v>487</v>
      </c>
      <c r="B492" s="251"/>
      <c r="C492" s="252"/>
      <c r="D492" s="253"/>
      <c r="E492" s="254">
        <f t="shared" si="149"/>
        <v>0</v>
      </c>
      <c r="F492" s="255">
        <f t="shared" si="150"/>
        <v>0</v>
      </c>
      <c r="G492" s="256">
        <f t="shared" si="151"/>
        <v>0</v>
      </c>
      <c r="H492" s="256">
        <f t="shared" si="152"/>
        <v>0</v>
      </c>
      <c r="I492" s="256">
        <f t="shared" si="153"/>
        <v>0</v>
      </c>
      <c r="J492" s="256">
        <f t="shared" si="154"/>
        <v>0</v>
      </c>
      <c r="K492" s="256">
        <f t="shared" si="155"/>
        <v>0</v>
      </c>
      <c r="L492" s="256">
        <f t="shared" si="156"/>
        <v>0</v>
      </c>
      <c r="M492" s="256">
        <f t="shared" si="157"/>
        <v>0</v>
      </c>
      <c r="N492" s="255">
        <v>0</v>
      </c>
      <c r="O492" s="256">
        <v>0</v>
      </c>
      <c r="P492" s="256">
        <v>0</v>
      </c>
      <c r="Q492" s="256">
        <v>0</v>
      </c>
      <c r="R492" s="256">
        <v>0</v>
      </c>
      <c r="S492" s="257">
        <v>0</v>
      </c>
      <c r="T492" s="256">
        <v>0</v>
      </c>
      <c r="U492" s="258">
        <f t="shared" si="158"/>
        <v>0</v>
      </c>
      <c r="V492" s="256">
        <v>0</v>
      </c>
      <c r="W492" s="256">
        <v>0</v>
      </c>
      <c r="X492" s="256">
        <v>0</v>
      </c>
      <c r="Y492" s="256">
        <v>0</v>
      </c>
      <c r="Z492" s="256">
        <v>0</v>
      </c>
      <c r="AA492" s="256">
        <v>0</v>
      </c>
      <c r="AB492" s="256">
        <v>0</v>
      </c>
      <c r="AC492" s="189">
        <f t="shared" si="159"/>
        <v>0</v>
      </c>
      <c r="AD492" s="259">
        <f t="shared" si="160"/>
        <v>0</v>
      </c>
    </row>
    <row r="493" spans="1:30" s="160" customFormat="1" hidden="1">
      <c r="A493" s="250">
        <v>488</v>
      </c>
      <c r="B493" s="251"/>
      <c r="C493" s="252"/>
      <c r="D493" s="253"/>
      <c r="E493" s="254">
        <f t="shared" si="149"/>
        <v>0</v>
      </c>
      <c r="F493" s="255">
        <f t="shared" si="150"/>
        <v>0</v>
      </c>
      <c r="G493" s="256">
        <f t="shared" si="151"/>
        <v>0</v>
      </c>
      <c r="H493" s="256">
        <f t="shared" si="152"/>
        <v>0</v>
      </c>
      <c r="I493" s="256">
        <f t="shared" si="153"/>
        <v>0</v>
      </c>
      <c r="J493" s="256">
        <f t="shared" si="154"/>
        <v>0</v>
      </c>
      <c r="K493" s="256">
        <f t="shared" si="155"/>
        <v>0</v>
      </c>
      <c r="L493" s="256">
        <f t="shared" si="156"/>
        <v>0</v>
      </c>
      <c r="M493" s="256">
        <f t="shared" si="157"/>
        <v>0</v>
      </c>
      <c r="N493" s="255">
        <v>0</v>
      </c>
      <c r="O493" s="256">
        <v>0</v>
      </c>
      <c r="P493" s="256">
        <v>0</v>
      </c>
      <c r="Q493" s="256">
        <v>0</v>
      </c>
      <c r="R493" s="256">
        <v>0</v>
      </c>
      <c r="S493" s="257">
        <v>0</v>
      </c>
      <c r="T493" s="256">
        <v>0</v>
      </c>
      <c r="U493" s="258">
        <f t="shared" si="158"/>
        <v>0</v>
      </c>
      <c r="V493" s="256">
        <v>0</v>
      </c>
      <c r="W493" s="256">
        <v>0</v>
      </c>
      <c r="X493" s="256">
        <v>0</v>
      </c>
      <c r="Y493" s="256">
        <v>0</v>
      </c>
      <c r="Z493" s="256">
        <v>0</v>
      </c>
      <c r="AA493" s="256">
        <v>0</v>
      </c>
      <c r="AB493" s="256">
        <v>0</v>
      </c>
      <c r="AC493" s="189">
        <f t="shared" si="159"/>
        <v>0</v>
      </c>
      <c r="AD493" s="259">
        <f t="shared" si="160"/>
        <v>0</v>
      </c>
    </row>
    <row r="494" spans="1:30" s="160" customFormat="1" hidden="1">
      <c r="A494" s="250">
        <v>489</v>
      </c>
      <c r="B494" s="251"/>
      <c r="C494" s="252"/>
      <c r="D494" s="253"/>
      <c r="E494" s="254">
        <f t="shared" si="149"/>
        <v>0</v>
      </c>
      <c r="F494" s="255">
        <f t="shared" si="150"/>
        <v>0</v>
      </c>
      <c r="G494" s="256">
        <f t="shared" si="151"/>
        <v>0</v>
      </c>
      <c r="H494" s="256">
        <f t="shared" si="152"/>
        <v>0</v>
      </c>
      <c r="I494" s="256">
        <f t="shared" si="153"/>
        <v>0</v>
      </c>
      <c r="J494" s="256">
        <f t="shared" si="154"/>
        <v>0</v>
      </c>
      <c r="K494" s="256">
        <f t="shared" si="155"/>
        <v>0</v>
      </c>
      <c r="L494" s="256">
        <f t="shared" si="156"/>
        <v>0</v>
      </c>
      <c r="M494" s="256">
        <f t="shared" si="157"/>
        <v>0</v>
      </c>
      <c r="N494" s="255">
        <v>0</v>
      </c>
      <c r="O494" s="256">
        <v>0</v>
      </c>
      <c r="P494" s="256">
        <v>0</v>
      </c>
      <c r="Q494" s="256">
        <v>0</v>
      </c>
      <c r="R494" s="256">
        <v>0</v>
      </c>
      <c r="S494" s="257">
        <v>0</v>
      </c>
      <c r="T494" s="256">
        <v>0</v>
      </c>
      <c r="U494" s="258">
        <f t="shared" si="158"/>
        <v>0</v>
      </c>
      <c r="V494" s="256">
        <v>0</v>
      </c>
      <c r="W494" s="256">
        <v>0</v>
      </c>
      <c r="X494" s="256">
        <v>0</v>
      </c>
      <c r="Y494" s="256">
        <v>0</v>
      </c>
      <c r="Z494" s="256">
        <v>0</v>
      </c>
      <c r="AA494" s="256">
        <v>0</v>
      </c>
      <c r="AB494" s="256">
        <v>0</v>
      </c>
      <c r="AC494" s="189">
        <f t="shared" si="159"/>
        <v>0</v>
      </c>
      <c r="AD494" s="259">
        <f t="shared" si="160"/>
        <v>0</v>
      </c>
    </row>
    <row r="495" spans="1:30" s="160" customFormat="1" hidden="1">
      <c r="A495" s="250">
        <v>490</v>
      </c>
      <c r="B495" s="251"/>
      <c r="C495" s="252"/>
      <c r="D495" s="253"/>
      <c r="E495" s="254">
        <f t="shared" si="149"/>
        <v>0</v>
      </c>
      <c r="F495" s="255">
        <f t="shared" si="150"/>
        <v>0</v>
      </c>
      <c r="G495" s="256">
        <f t="shared" si="151"/>
        <v>0</v>
      </c>
      <c r="H495" s="256">
        <f t="shared" si="152"/>
        <v>0</v>
      </c>
      <c r="I495" s="256">
        <f t="shared" si="153"/>
        <v>0</v>
      </c>
      <c r="J495" s="256">
        <f t="shared" si="154"/>
        <v>0</v>
      </c>
      <c r="K495" s="256">
        <f t="shared" si="155"/>
        <v>0</v>
      </c>
      <c r="L495" s="256">
        <f t="shared" si="156"/>
        <v>0</v>
      </c>
      <c r="M495" s="256">
        <f t="shared" si="157"/>
        <v>0</v>
      </c>
      <c r="N495" s="255">
        <v>0</v>
      </c>
      <c r="O495" s="256">
        <v>0</v>
      </c>
      <c r="P495" s="256">
        <v>0</v>
      </c>
      <c r="Q495" s="256">
        <v>0</v>
      </c>
      <c r="R495" s="256">
        <v>0</v>
      </c>
      <c r="S495" s="257">
        <v>0</v>
      </c>
      <c r="T495" s="256">
        <v>0</v>
      </c>
      <c r="U495" s="258">
        <f t="shared" si="158"/>
        <v>0</v>
      </c>
      <c r="V495" s="256">
        <v>0</v>
      </c>
      <c r="W495" s="256">
        <v>0</v>
      </c>
      <c r="X495" s="256">
        <v>0</v>
      </c>
      <c r="Y495" s="256">
        <v>0</v>
      </c>
      <c r="Z495" s="256">
        <v>0</v>
      </c>
      <c r="AA495" s="256">
        <v>0</v>
      </c>
      <c r="AB495" s="256">
        <v>0</v>
      </c>
      <c r="AC495" s="189">
        <f t="shared" si="159"/>
        <v>0</v>
      </c>
      <c r="AD495" s="259">
        <f t="shared" si="160"/>
        <v>0</v>
      </c>
    </row>
    <row r="496" spans="1:30" s="160" customFormat="1" hidden="1">
      <c r="A496" s="250">
        <v>491</v>
      </c>
      <c r="B496" s="251"/>
      <c r="C496" s="252"/>
      <c r="D496" s="253"/>
      <c r="E496" s="254">
        <f t="shared" si="149"/>
        <v>0</v>
      </c>
      <c r="F496" s="255">
        <f t="shared" si="150"/>
        <v>0</v>
      </c>
      <c r="G496" s="256">
        <f t="shared" si="151"/>
        <v>0</v>
      </c>
      <c r="H496" s="256">
        <f t="shared" si="152"/>
        <v>0</v>
      </c>
      <c r="I496" s="256">
        <f t="shared" si="153"/>
        <v>0</v>
      </c>
      <c r="J496" s="256">
        <f t="shared" si="154"/>
        <v>0</v>
      </c>
      <c r="K496" s="256">
        <f t="shared" si="155"/>
        <v>0</v>
      </c>
      <c r="L496" s="256">
        <f t="shared" si="156"/>
        <v>0</v>
      </c>
      <c r="M496" s="256">
        <f t="shared" si="157"/>
        <v>0</v>
      </c>
      <c r="N496" s="255">
        <v>0</v>
      </c>
      <c r="O496" s="256">
        <v>0</v>
      </c>
      <c r="P496" s="256">
        <v>0</v>
      </c>
      <c r="Q496" s="256">
        <v>0</v>
      </c>
      <c r="R496" s="256">
        <v>0</v>
      </c>
      <c r="S496" s="257">
        <v>0</v>
      </c>
      <c r="T496" s="256">
        <v>0</v>
      </c>
      <c r="U496" s="258">
        <f t="shared" si="158"/>
        <v>0</v>
      </c>
      <c r="V496" s="256">
        <v>0</v>
      </c>
      <c r="W496" s="256">
        <v>0</v>
      </c>
      <c r="X496" s="256">
        <v>0</v>
      </c>
      <c r="Y496" s="256">
        <v>0</v>
      </c>
      <c r="Z496" s="256">
        <v>0</v>
      </c>
      <c r="AA496" s="256">
        <v>0</v>
      </c>
      <c r="AB496" s="256">
        <v>0</v>
      </c>
      <c r="AC496" s="189">
        <f t="shared" si="159"/>
        <v>0</v>
      </c>
      <c r="AD496" s="259">
        <f t="shared" si="160"/>
        <v>0</v>
      </c>
    </row>
    <row r="497" spans="1:30" s="160" customFormat="1" hidden="1">
      <c r="A497" s="250">
        <v>492</v>
      </c>
      <c r="B497" s="251"/>
      <c r="C497" s="252"/>
      <c r="D497" s="253"/>
      <c r="E497" s="254">
        <f t="shared" si="149"/>
        <v>0</v>
      </c>
      <c r="F497" s="255">
        <f t="shared" si="150"/>
        <v>0</v>
      </c>
      <c r="G497" s="256">
        <f t="shared" si="151"/>
        <v>0</v>
      </c>
      <c r="H497" s="256">
        <f t="shared" si="152"/>
        <v>0</v>
      </c>
      <c r="I497" s="256">
        <f t="shared" si="153"/>
        <v>0</v>
      </c>
      <c r="J497" s="256">
        <f t="shared" si="154"/>
        <v>0</v>
      </c>
      <c r="K497" s="256">
        <f t="shared" si="155"/>
        <v>0</v>
      </c>
      <c r="L497" s="256">
        <f t="shared" si="156"/>
        <v>0</v>
      </c>
      <c r="M497" s="256">
        <f t="shared" si="157"/>
        <v>0</v>
      </c>
      <c r="N497" s="255">
        <v>0</v>
      </c>
      <c r="O497" s="256">
        <v>0</v>
      </c>
      <c r="P497" s="256">
        <v>0</v>
      </c>
      <c r="Q497" s="256">
        <v>0</v>
      </c>
      <c r="R497" s="256">
        <v>0</v>
      </c>
      <c r="S497" s="257">
        <v>0</v>
      </c>
      <c r="T497" s="256">
        <v>0</v>
      </c>
      <c r="U497" s="258">
        <f t="shared" si="158"/>
        <v>0</v>
      </c>
      <c r="V497" s="256">
        <v>0</v>
      </c>
      <c r="W497" s="256">
        <v>0</v>
      </c>
      <c r="X497" s="256">
        <v>0</v>
      </c>
      <c r="Y497" s="256">
        <v>0</v>
      </c>
      <c r="Z497" s="256">
        <v>0</v>
      </c>
      <c r="AA497" s="256">
        <v>0</v>
      </c>
      <c r="AB497" s="256">
        <v>0</v>
      </c>
      <c r="AC497" s="189">
        <f t="shared" si="159"/>
        <v>0</v>
      </c>
      <c r="AD497" s="259">
        <f t="shared" si="160"/>
        <v>0</v>
      </c>
    </row>
    <row r="498" spans="1:30" s="160" customFormat="1" hidden="1">
      <c r="A498" s="250">
        <v>493</v>
      </c>
      <c r="B498" s="251"/>
      <c r="C498" s="252"/>
      <c r="D498" s="253"/>
      <c r="E498" s="254">
        <f t="shared" si="149"/>
        <v>0</v>
      </c>
      <c r="F498" s="255">
        <f t="shared" si="150"/>
        <v>0</v>
      </c>
      <c r="G498" s="256">
        <f t="shared" si="151"/>
        <v>0</v>
      </c>
      <c r="H498" s="256">
        <f t="shared" si="152"/>
        <v>0</v>
      </c>
      <c r="I498" s="256">
        <f t="shared" si="153"/>
        <v>0</v>
      </c>
      <c r="J498" s="256">
        <f t="shared" si="154"/>
        <v>0</v>
      </c>
      <c r="K498" s="256">
        <f t="shared" si="155"/>
        <v>0</v>
      </c>
      <c r="L498" s="256">
        <f t="shared" si="156"/>
        <v>0</v>
      </c>
      <c r="M498" s="256">
        <f t="shared" si="157"/>
        <v>0</v>
      </c>
      <c r="N498" s="255">
        <v>0</v>
      </c>
      <c r="O498" s="256">
        <v>0</v>
      </c>
      <c r="P498" s="256">
        <v>0</v>
      </c>
      <c r="Q498" s="256">
        <v>0</v>
      </c>
      <c r="R498" s="256">
        <v>0</v>
      </c>
      <c r="S498" s="257">
        <v>0</v>
      </c>
      <c r="T498" s="256">
        <v>0</v>
      </c>
      <c r="U498" s="258">
        <f t="shared" si="158"/>
        <v>0</v>
      </c>
      <c r="V498" s="256">
        <v>0</v>
      </c>
      <c r="W498" s="256">
        <v>0</v>
      </c>
      <c r="X498" s="256">
        <v>0</v>
      </c>
      <c r="Y498" s="256">
        <v>0</v>
      </c>
      <c r="Z498" s="256">
        <v>0</v>
      </c>
      <c r="AA498" s="256">
        <v>0</v>
      </c>
      <c r="AB498" s="256">
        <v>0</v>
      </c>
      <c r="AC498" s="189">
        <f t="shared" si="159"/>
        <v>0</v>
      </c>
      <c r="AD498" s="259">
        <f t="shared" si="160"/>
        <v>0</v>
      </c>
    </row>
    <row r="499" spans="1:30" s="160" customFormat="1" hidden="1">
      <c r="A499" s="250">
        <v>494</v>
      </c>
      <c r="B499" s="251"/>
      <c r="C499" s="252"/>
      <c r="D499" s="253"/>
      <c r="E499" s="254">
        <f t="shared" si="149"/>
        <v>0</v>
      </c>
      <c r="F499" s="255">
        <f t="shared" si="150"/>
        <v>0</v>
      </c>
      <c r="G499" s="256">
        <f t="shared" si="151"/>
        <v>0</v>
      </c>
      <c r="H499" s="256">
        <f t="shared" si="152"/>
        <v>0</v>
      </c>
      <c r="I499" s="256">
        <f t="shared" si="153"/>
        <v>0</v>
      </c>
      <c r="J499" s="256">
        <f t="shared" si="154"/>
        <v>0</v>
      </c>
      <c r="K499" s="256">
        <f t="shared" si="155"/>
        <v>0</v>
      </c>
      <c r="L499" s="256">
        <f t="shared" si="156"/>
        <v>0</v>
      </c>
      <c r="M499" s="256">
        <f t="shared" si="157"/>
        <v>0</v>
      </c>
      <c r="N499" s="255">
        <v>0</v>
      </c>
      <c r="O499" s="256">
        <v>0</v>
      </c>
      <c r="P499" s="256">
        <v>0</v>
      </c>
      <c r="Q499" s="256">
        <v>0</v>
      </c>
      <c r="R499" s="256">
        <v>0</v>
      </c>
      <c r="S499" s="257">
        <v>0</v>
      </c>
      <c r="T499" s="256">
        <v>0</v>
      </c>
      <c r="U499" s="258">
        <f t="shared" si="158"/>
        <v>0</v>
      </c>
      <c r="V499" s="256">
        <v>0</v>
      </c>
      <c r="W499" s="256">
        <v>0</v>
      </c>
      <c r="X499" s="256">
        <v>0</v>
      </c>
      <c r="Y499" s="256">
        <v>0</v>
      </c>
      <c r="Z499" s="256">
        <v>0</v>
      </c>
      <c r="AA499" s="256">
        <v>0</v>
      </c>
      <c r="AB499" s="256">
        <v>0</v>
      </c>
      <c r="AC499" s="189">
        <f t="shared" si="159"/>
        <v>0</v>
      </c>
      <c r="AD499" s="259">
        <f t="shared" si="160"/>
        <v>0</v>
      </c>
    </row>
    <row r="500" spans="1:30" s="160" customFormat="1" hidden="1">
      <c r="A500" s="250">
        <v>495</v>
      </c>
      <c r="B500" s="251"/>
      <c r="C500" s="252"/>
      <c r="D500" s="253"/>
      <c r="E500" s="254">
        <f t="shared" si="149"/>
        <v>0</v>
      </c>
      <c r="F500" s="255">
        <f t="shared" si="150"/>
        <v>0</v>
      </c>
      <c r="G500" s="256">
        <f t="shared" si="151"/>
        <v>0</v>
      </c>
      <c r="H500" s="256">
        <f t="shared" si="152"/>
        <v>0</v>
      </c>
      <c r="I500" s="256">
        <f t="shared" si="153"/>
        <v>0</v>
      </c>
      <c r="J500" s="256">
        <f t="shared" si="154"/>
        <v>0</v>
      </c>
      <c r="K500" s="256">
        <f t="shared" si="155"/>
        <v>0</v>
      </c>
      <c r="L500" s="256">
        <f t="shared" si="156"/>
        <v>0</v>
      </c>
      <c r="M500" s="256">
        <f t="shared" si="157"/>
        <v>0</v>
      </c>
      <c r="N500" s="255">
        <v>0</v>
      </c>
      <c r="O500" s="256">
        <v>0</v>
      </c>
      <c r="P500" s="256">
        <v>0</v>
      </c>
      <c r="Q500" s="256">
        <v>0</v>
      </c>
      <c r="R500" s="256">
        <v>0</v>
      </c>
      <c r="S500" s="257">
        <v>0</v>
      </c>
      <c r="T500" s="256">
        <v>0</v>
      </c>
      <c r="U500" s="258">
        <f t="shared" si="158"/>
        <v>0</v>
      </c>
      <c r="V500" s="256">
        <v>0</v>
      </c>
      <c r="W500" s="256">
        <v>0</v>
      </c>
      <c r="X500" s="256">
        <v>0</v>
      </c>
      <c r="Y500" s="256">
        <v>0</v>
      </c>
      <c r="Z500" s="256">
        <v>0</v>
      </c>
      <c r="AA500" s="256">
        <v>0</v>
      </c>
      <c r="AB500" s="256">
        <v>0</v>
      </c>
      <c r="AC500" s="189">
        <f t="shared" si="159"/>
        <v>0</v>
      </c>
      <c r="AD500" s="259">
        <f t="shared" si="160"/>
        <v>0</v>
      </c>
    </row>
    <row r="501" spans="1:30" s="160" customFormat="1" hidden="1">
      <c r="A501" s="250">
        <v>496</v>
      </c>
      <c r="B501" s="251"/>
      <c r="C501" s="252"/>
      <c r="D501" s="253"/>
      <c r="E501" s="254">
        <f t="shared" si="149"/>
        <v>0</v>
      </c>
      <c r="F501" s="255">
        <f t="shared" si="150"/>
        <v>0</v>
      </c>
      <c r="G501" s="256">
        <f t="shared" si="151"/>
        <v>0</v>
      </c>
      <c r="H501" s="256">
        <f t="shared" si="152"/>
        <v>0</v>
      </c>
      <c r="I501" s="256">
        <f t="shared" si="153"/>
        <v>0</v>
      </c>
      <c r="J501" s="256">
        <f t="shared" si="154"/>
        <v>0</v>
      </c>
      <c r="K501" s="256">
        <f t="shared" si="155"/>
        <v>0</v>
      </c>
      <c r="L501" s="256">
        <f t="shared" si="156"/>
        <v>0</v>
      </c>
      <c r="M501" s="256">
        <f t="shared" si="157"/>
        <v>0</v>
      </c>
      <c r="N501" s="255">
        <v>0</v>
      </c>
      <c r="O501" s="256">
        <v>0</v>
      </c>
      <c r="P501" s="256">
        <v>0</v>
      </c>
      <c r="Q501" s="256">
        <v>0</v>
      </c>
      <c r="R501" s="256">
        <v>0</v>
      </c>
      <c r="S501" s="257">
        <v>0</v>
      </c>
      <c r="T501" s="256">
        <v>0</v>
      </c>
      <c r="U501" s="258">
        <f t="shared" si="158"/>
        <v>0</v>
      </c>
      <c r="V501" s="256">
        <v>0</v>
      </c>
      <c r="W501" s="256">
        <v>0</v>
      </c>
      <c r="X501" s="256">
        <v>0</v>
      </c>
      <c r="Y501" s="256">
        <v>0</v>
      </c>
      <c r="Z501" s="256">
        <v>0</v>
      </c>
      <c r="AA501" s="256">
        <v>0</v>
      </c>
      <c r="AB501" s="256">
        <v>0</v>
      </c>
      <c r="AC501" s="189">
        <f t="shared" si="159"/>
        <v>0</v>
      </c>
      <c r="AD501" s="259">
        <f t="shared" si="160"/>
        <v>0</v>
      </c>
    </row>
    <row r="502" spans="1:30" s="160" customFormat="1" hidden="1">
      <c r="A502" s="250">
        <v>497</v>
      </c>
      <c r="B502" s="251"/>
      <c r="C502" s="252"/>
      <c r="D502" s="253"/>
      <c r="E502" s="254">
        <f t="shared" si="149"/>
        <v>0</v>
      </c>
      <c r="F502" s="255">
        <f t="shared" si="150"/>
        <v>0</v>
      </c>
      <c r="G502" s="256">
        <f t="shared" si="151"/>
        <v>0</v>
      </c>
      <c r="H502" s="256">
        <f t="shared" si="152"/>
        <v>0</v>
      </c>
      <c r="I502" s="256">
        <f t="shared" si="153"/>
        <v>0</v>
      </c>
      <c r="J502" s="256">
        <f t="shared" si="154"/>
        <v>0</v>
      </c>
      <c r="K502" s="256">
        <f t="shared" si="155"/>
        <v>0</v>
      </c>
      <c r="L502" s="256">
        <f t="shared" si="156"/>
        <v>0</v>
      </c>
      <c r="M502" s="256">
        <f t="shared" si="157"/>
        <v>0</v>
      </c>
      <c r="N502" s="255">
        <v>0</v>
      </c>
      <c r="O502" s="256">
        <v>0</v>
      </c>
      <c r="P502" s="256">
        <v>0</v>
      </c>
      <c r="Q502" s="256">
        <v>0</v>
      </c>
      <c r="R502" s="256">
        <v>0</v>
      </c>
      <c r="S502" s="257">
        <v>0</v>
      </c>
      <c r="T502" s="256">
        <v>0</v>
      </c>
      <c r="U502" s="258">
        <f t="shared" si="158"/>
        <v>0</v>
      </c>
      <c r="V502" s="256">
        <v>0</v>
      </c>
      <c r="W502" s="256">
        <v>0</v>
      </c>
      <c r="X502" s="256">
        <v>0</v>
      </c>
      <c r="Y502" s="256">
        <v>0</v>
      </c>
      <c r="Z502" s="256">
        <v>0</v>
      </c>
      <c r="AA502" s="256">
        <v>0</v>
      </c>
      <c r="AB502" s="256">
        <v>0</v>
      </c>
      <c r="AC502" s="189">
        <f t="shared" si="159"/>
        <v>0</v>
      </c>
      <c r="AD502" s="259">
        <f t="shared" si="160"/>
        <v>0</v>
      </c>
    </row>
    <row r="503" spans="1:30" s="160" customFormat="1" hidden="1">
      <c r="A503" s="250">
        <v>498</v>
      </c>
      <c r="B503" s="251"/>
      <c r="C503" s="252"/>
      <c r="D503" s="253"/>
      <c r="E503" s="254">
        <f t="shared" si="149"/>
        <v>0</v>
      </c>
      <c r="F503" s="255">
        <f t="shared" si="150"/>
        <v>0</v>
      </c>
      <c r="G503" s="256">
        <f t="shared" si="151"/>
        <v>0</v>
      </c>
      <c r="H503" s="256">
        <f t="shared" si="152"/>
        <v>0</v>
      </c>
      <c r="I503" s="256">
        <f t="shared" si="153"/>
        <v>0</v>
      </c>
      <c r="J503" s="256">
        <f t="shared" si="154"/>
        <v>0</v>
      </c>
      <c r="K503" s="256">
        <f t="shared" si="155"/>
        <v>0</v>
      </c>
      <c r="L503" s="256">
        <f t="shared" si="156"/>
        <v>0</v>
      </c>
      <c r="M503" s="256">
        <f t="shared" si="157"/>
        <v>0</v>
      </c>
      <c r="N503" s="255">
        <v>0</v>
      </c>
      <c r="O503" s="256">
        <v>0</v>
      </c>
      <c r="P503" s="256">
        <v>0</v>
      </c>
      <c r="Q503" s="256">
        <v>0</v>
      </c>
      <c r="R503" s="256">
        <v>0</v>
      </c>
      <c r="S503" s="257">
        <v>0</v>
      </c>
      <c r="T503" s="256">
        <v>0</v>
      </c>
      <c r="U503" s="258">
        <f t="shared" si="158"/>
        <v>0</v>
      </c>
      <c r="V503" s="256">
        <v>0</v>
      </c>
      <c r="W503" s="256">
        <v>0</v>
      </c>
      <c r="X503" s="256">
        <v>0</v>
      </c>
      <c r="Y503" s="256">
        <v>0</v>
      </c>
      <c r="Z503" s="256">
        <v>0</v>
      </c>
      <c r="AA503" s="256">
        <v>0</v>
      </c>
      <c r="AB503" s="256">
        <v>0</v>
      </c>
      <c r="AC503" s="189">
        <f t="shared" si="159"/>
        <v>0</v>
      </c>
      <c r="AD503" s="259">
        <f t="shared" si="160"/>
        <v>0</v>
      </c>
    </row>
    <row r="504" spans="1:30" s="160" customFormat="1" hidden="1">
      <c r="A504" s="250">
        <v>499</v>
      </c>
      <c r="B504" s="251"/>
      <c r="C504" s="252"/>
      <c r="D504" s="253"/>
      <c r="E504" s="254">
        <f t="shared" si="149"/>
        <v>0</v>
      </c>
      <c r="F504" s="255">
        <f t="shared" si="150"/>
        <v>0</v>
      </c>
      <c r="G504" s="256">
        <f t="shared" si="151"/>
        <v>0</v>
      </c>
      <c r="H504" s="256">
        <f t="shared" si="152"/>
        <v>0</v>
      </c>
      <c r="I504" s="256">
        <f t="shared" si="153"/>
        <v>0</v>
      </c>
      <c r="J504" s="256">
        <f t="shared" si="154"/>
        <v>0</v>
      </c>
      <c r="K504" s="256">
        <f t="shared" si="155"/>
        <v>0</v>
      </c>
      <c r="L504" s="256">
        <f t="shared" si="156"/>
        <v>0</v>
      </c>
      <c r="M504" s="256">
        <f t="shared" si="157"/>
        <v>0</v>
      </c>
      <c r="N504" s="255">
        <v>0</v>
      </c>
      <c r="O504" s="256">
        <v>0</v>
      </c>
      <c r="P504" s="256">
        <v>0</v>
      </c>
      <c r="Q504" s="256">
        <v>0</v>
      </c>
      <c r="R504" s="256">
        <v>0</v>
      </c>
      <c r="S504" s="257">
        <v>0</v>
      </c>
      <c r="T504" s="256">
        <v>0</v>
      </c>
      <c r="U504" s="258">
        <f t="shared" si="158"/>
        <v>0</v>
      </c>
      <c r="V504" s="256">
        <v>0</v>
      </c>
      <c r="W504" s="256">
        <v>0</v>
      </c>
      <c r="X504" s="256">
        <v>0</v>
      </c>
      <c r="Y504" s="256">
        <v>0</v>
      </c>
      <c r="Z504" s="256">
        <v>0</v>
      </c>
      <c r="AA504" s="256">
        <v>0</v>
      </c>
      <c r="AB504" s="256">
        <v>0</v>
      </c>
      <c r="AC504" s="189">
        <f t="shared" si="159"/>
        <v>0</v>
      </c>
      <c r="AD504" s="259">
        <f t="shared" si="160"/>
        <v>0</v>
      </c>
    </row>
    <row r="505" spans="1:30" s="160" customFormat="1" hidden="1">
      <c r="A505" s="250">
        <v>500</v>
      </c>
      <c r="B505" s="251"/>
      <c r="C505" s="252"/>
      <c r="D505" s="253"/>
      <c r="E505" s="254">
        <f t="shared" si="149"/>
        <v>0</v>
      </c>
      <c r="F505" s="255">
        <f t="shared" si="150"/>
        <v>0</v>
      </c>
      <c r="G505" s="256">
        <f t="shared" si="151"/>
        <v>0</v>
      </c>
      <c r="H505" s="256">
        <f t="shared" si="152"/>
        <v>0</v>
      </c>
      <c r="I505" s="256">
        <f t="shared" si="153"/>
        <v>0</v>
      </c>
      <c r="J505" s="256">
        <f t="shared" si="154"/>
        <v>0</v>
      </c>
      <c r="K505" s="256">
        <f t="shared" si="155"/>
        <v>0</v>
      </c>
      <c r="L505" s="256">
        <f t="shared" si="156"/>
        <v>0</v>
      </c>
      <c r="M505" s="256">
        <f t="shared" si="157"/>
        <v>0</v>
      </c>
      <c r="N505" s="255">
        <v>0</v>
      </c>
      <c r="O505" s="256">
        <v>0</v>
      </c>
      <c r="P505" s="256">
        <v>0</v>
      </c>
      <c r="Q505" s="256">
        <v>0</v>
      </c>
      <c r="R505" s="256">
        <v>0</v>
      </c>
      <c r="S505" s="257">
        <v>0</v>
      </c>
      <c r="T505" s="256">
        <v>0</v>
      </c>
      <c r="U505" s="258">
        <f t="shared" si="158"/>
        <v>0</v>
      </c>
      <c r="V505" s="256">
        <v>0</v>
      </c>
      <c r="W505" s="256">
        <v>0</v>
      </c>
      <c r="X505" s="256">
        <v>0</v>
      </c>
      <c r="Y505" s="256">
        <v>0</v>
      </c>
      <c r="Z505" s="256">
        <v>0</v>
      </c>
      <c r="AA505" s="256">
        <v>0</v>
      </c>
      <c r="AB505" s="256">
        <v>0</v>
      </c>
      <c r="AC505" s="189">
        <f t="shared" si="159"/>
        <v>0</v>
      </c>
      <c r="AD505" s="259">
        <f t="shared" si="160"/>
        <v>0</v>
      </c>
    </row>
    <row r="506" spans="1:30" s="160" customFormat="1" ht="27" customHeight="1">
      <c r="A506" s="194" t="s">
        <v>60</v>
      </c>
      <c r="B506" s="260"/>
      <c r="C506" s="260"/>
      <c r="D506" s="261">
        <f t="shared" ref="D506:AD506" si="161">ROUND(SUM(D6:D505),2)</f>
        <v>722756.81</v>
      </c>
      <c r="E506" s="262">
        <f t="shared" si="161"/>
        <v>1369256.81</v>
      </c>
      <c r="F506" s="261">
        <f t="shared" si="161"/>
        <v>490519.98</v>
      </c>
      <c r="G506" s="261">
        <f t="shared" si="161"/>
        <v>17644.599999999999</v>
      </c>
      <c r="H506" s="261">
        <f t="shared" si="161"/>
        <v>141156.82999999999</v>
      </c>
      <c r="I506" s="261">
        <f t="shared" si="161"/>
        <v>75188.41</v>
      </c>
      <c r="J506" s="261">
        <f t="shared" si="161"/>
        <v>114873.07</v>
      </c>
      <c r="K506" s="261">
        <f t="shared" si="161"/>
        <v>114873.07</v>
      </c>
      <c r="L506" s="261">
        <f t="shared" si="161"/>
        <v>41364.36</v>
      </c>
      <c r="M506" s="261">
        <f t="shared" si="161"/>
        <v>114873.07</v>
      </c>
      <c r="N506" s="263">
        <f t="shared" si="161"/>
        <v>55704.38</v>
      </c>
      <c r="O506" s="261">
        <f t="shared" si="161"/>
        <v>9284.06</v>
      </c>
      <c r="P506" s="261">
        <f t="shared" si="161"/>
        <v>14216.61</v>
      </c>
      <c r="Q506" s="261">
        <f t="shared" si="161"/>
        <v>2511.52</v>
      </c>
      <c r="R506" s="261">
        <f t="shared" si="161"/>
        <v>251219.52</v>
      </c>
      <c r="S506" s="262">
        <f t="shared" si="161"/>
        <v>9220</v>
      </c>
      <c r="T506" s="261">
        <f t="shared" si="161"/>
        <v>70693.23</v>
      </c>
      <c r="U506" s="262">
        <f t="shared" si="161"/>
        <v>1523342.72</v>
      </c>
      <c r="V506" s="261">
        <f t="shared" si="161"/>
        <v>25856.44</v>
      </c>
      <c r="W506" s="261">
        <f t="shared" si="161"/>
        <v>144000</v>
      </c>
      <c r="X506" s="261">
        <f t="shared" si="161"/>
        <v>15353.28</v>
      </c>
      <c r="Y506" s="261">
        <f t="shared" si="161"/>
        <v>1457.28</v>
      </c>
      <c r="Z506" s="261">
        <f t="shared" si="161"/>
        <v>5040</v>
      </c>
      <c r="AA506" s="261">
        <f t="shared" si="161"/>
        <v>6811.2</v>
      </c>
      <c r="AB506" s="261">
        <f t="shared" si="161"/>
        <v>62812.800000000003</v>
      </c>
      <c r="AC506" s="261">
        <f t="shared" si="161"/>
        <v>261331</v>
      </c>
      <c r="AD506" s="263">
        <f t="shared" si="161"/>
        <v>3153930.53</v>
      </c>
    </row>
    <row r="507" spans="1:30" s="160" customFormat="1" ht="15.75" customHeight="1">
      <c r="A507" s="264"/>
      <c r="B507" s="265"/>
      <c r="C507" s="266"/>
      <c r="D507" s="267"/>
      <c r="E507" s="267"/>
      <c r="F507" s="267"/>
      <c r="G507" s="267"/>
      <c r="H507" s="267"/>
      <c r="I507" s="267"/>
      <c r="J507" s="267"/>
      <c r="K507" s="267"/>
      <c r="L507" s="267"/>
      <c r="M507" s="267"/>
      <c r="N507" s="267"/>
      <c r="O507" s="267"/>
      <c r="P507" s="267"/>
      <c r="Q507" s="267"/>
      <c r="R507" s="267"/>
      <c r="S507" s="267"/>
      <c r="T507" s="267"/>
      <c r="U507" s="267"/>
      <c r="V507" s="268"/>
      <c r="W507" s="268"/>
      <c r="X507" s="268"/>
      <c r="Y507" s="268"/>
      <c r="Z507" s="268"/>
      <c r="AA507" s="268"/>
      <c r="AB507" s="268"/>
      <c r="AC507" s="268"/>
      <c r="AD507" s="268"/>
    </row>
    <row r="508" spans="1:30" s="160" customFormat="1" ht="15.75" customHeight="1">
      <c r="T508" s="268"/>
      <c r="U508" s="268"/>
      <c r="V508" s="268"/>
      <c r="W508" s="268"/>
      <c r="X508" s="268"/>
      <c r="Y508" s="268"/>
      <c r="Z508" s="268"/>
      <c r="AA508" s="268"/>
      <c r="AB508" s="268"/>
      <c r="AC508" s="268"/>
      <c r="AD508" s="268"/>
    </row>
    <row r="509" spans="1:30" s="160" customFormat="1" ht="30" customHeight="1">
      <c r="A509" s="385" t="s">
        <v>359</v>
      </c>
      <c r="B509" s="385"/>
      <c r="C509" s="385"/>
      <c r="D509" s="385"/>
      <c r="E509" s="385"/>
      <c r="F509" s="385"/>
      <c r="G509" s="385"/>
      <c r="H509" s="385"/>
      <c r="I509" s="385"/>
      <c r="J509" s="385"/>
      <c r="K509" s="385"/>
      <c r="L509" s="385"/>
      <c r="M509" s="385"/>
      <c r="N509" s="242"/>
      <c r="O509" s="242"/>
      <c r="P509" s="242"/>
      <c r="Q509" s="242"/>
      <c r="R509" s="242"/>
      <c r="S509" s="242"/>
      <c r="T509" s="161"/>
      <c r="U509" s="161"/>
      <c r="W509" s="119"/>
      <c r="X509" s="119"/>
      <c r="Y509" s="119"/>
      <c r="Z509" s="119"/>
      <c r="AA509" s="119"/>
      <c r="AB509" s="119"/>
      <c r="AC509" s="119"/>
      <c r="AD509" s="119"/>
    </row>
    <row r="510" spans="1:30" s="119" customFormat="1" ht="30" customHeight="1">
      <c r="A510" s="269"/>
      <c r="B510" s="269"/>
      <c r="C510" s="269"/>
      <c r="D510" s="269"/>
      <c r="E510" s="270"/>
      <c r="F510" s="271"/>
      <c r="G510" s="392" t="s">
        <v>88</v>
      </c>
      <c r="H510" s="392"/>
      <c r="I510" s="392"/>
      <c r="J510" s="392"/>
      <c r="K510" s="392"/>
      <c r="L510" s="392"/>
      <c r="M510" s="393" t="s">
        <v>360</v>
      </c>
      <c r="N510" s="272"/>
      <c r="O510" s="272"/>
      <c r="P510" s="272"/>
      <c r="Q510" s="272"/>
      <c r="R510" s="272"/>
      <c r="S510" s="272"/>
    </row>
    <row r="511" spans="1:30" s="119" customFormat="1" ht="38.25" customHeight="1">
      <c r="A511" s="245" t="s">
        <v>31</v>
      </c>
      <c r="B511" s="245" t="s">
        <v>355</v>
      </c>
      <c r="C511" s="245" t="s">
        <v>361</v>
      </c>
      <c r="D511" s="245" t="s">
        <v>362</v>
      </c>
      <c r="E511" s="246" t="s">
        <v>149</v>
      </c>
      <c r="F511" s="273" t="s">
        <v>164</v>
      </c>
      <c r="G511" s="245" t="s">
        <v>151</v>
      </c>
      <c r="H511" s="245" t="s">
        <v>185</v>
      </c>
      <c r="I511" s="248"/>
      <c r="J511" s="248"/>
      <c r="K511" s="248"/>
      <c r="L511" s="245" t="s">
        <v>60</v>
      </c>
      <c r="M511" s="393"/>
      <c r="N511" s="272"/>
      <c r="O511" s="272"/>
      <c r="P511" s="272"/>
      <c r="Q511" s="272"/>
      <c r="R511" s="272"/>
      <c r="S511" s="272"/>
    </row>
    <row r="512" spans="1:30" s="160" customFormat="1" ht="22.5">
      <c r="A512" s="250">
        <v>1</v>
      </c>
      <c r="B512" s="373" t="s">
        <v>437</v>
      </c>
      <c r="C512" s="274">
        <v>10</v>
      </c>
      <c r="D512" s="275">
        <v>1000</v>
      </c>
      <c r="E512" s="254">
        <f t="shared" ref="E512:E521" si="162">C512*D512</f>
        <v>10000</v>
      </c>
      <c r="F512" s="276"/>
      <c r="G512" s="256">
        <v>200</v>
      </c>
      <c r="H512" s="256">
        <v>11.1</v>
      </c>
      <c r="I512" s="256"/>
      <c r="J512" s="256"/>
      <c r="K512" s="256"/>
      <c r="L512" s="189">
        <f t="shared" ref="L512:L521" si="163">SUM(G512:K512)</f>
        <v>211.1</v>
      </c>
      <c r="M512" s="259">
        <f t="shared" ref="M512:M521" si="164">E512+L512+F512</f>
        <v>10211.1</v>
      </c>
      <c r="N512" s="189"/>
      <c r="O512" s="189"/>
      <c r="P512" s="189"/>
      <c r="Q512" s="189"/>
      <c r="R512" s="189"/>
      <c r="S512" s="189"/>
      <c r="T512" s="119"/>
      <c r="U512" s="119"/>
      <c r="V512" s="119"/>
      <c r="W512" s="119"/>
      <c r="Y512" s="119"/>
    </row>
    <row r="513" spans="1:30" s="160" customFormat="1" ht="22.5">
      <c r="A513" s="250">
        <v>2</v>
      </c>
      <c r="B513" s="373" t="s">
        <v>437</v>
      </c>
      <c r="C513" s="274">
        <v>2</v>
      </c>
      <c r="D513" s="253">
        <v>1000</v>
      </c>
      <c r="E513" s="254">
        <f t="shared" si="162"/>
        <v>2000</v>
      </c>
      <c r="F513" s="276"/>
      <c r="G513" s="256">
        <v>200</v>
      </c>
      <c r="H513" s="256">
        <v>11.1</v>
      </c>
      <c r="I513" s="256"/>
      <c r="J513" s="256"/>
      <c r="K513" s="256"/>
      <c r="L513" s="189">
        <f t="shared" si="163"/>
        <v>211.1</v>
      </c>
      <c r="M513" s="259">
        <f t="shared" si="164"/>
        <v>2211.1</v>
      </c>
      <c r="N513" s="189"/>
      <c r="O513" s="189"/>
      <c r="P513" s="189"/>
      <c r="Q513" s="189"/>
      <c r="R513" s="189"/>
      <c r="S513" s="189"/>
      <c r="T513" s="119"/>
      <c r="U513" s="119"/>
      <c r="V513" s="119"/>
      <c r="W513" s="119"/>
      <c r="Y513" s="119"/>
    </row>
    <row r="514" spans="1:30" s="160" customFormat="1">
      <c r="A514" s="250">
        <v>3</v>
      </c>
      <c r="B514" s="373"/>
      <c r="C514" s="274"/>
      <c r="D514" s="253"/>
      <c r="E514" s="254">
        <f t="shared" si="162"/>
        <v>0</v>
      </c>
      <c r="F514" s="276"/>
      <c r="G514" s="256"/>
      <c r="H514" s="256"/>
      <c r="I514" s="256"/>
      <c r="J514" s="256"/>
      <c r="K514" s="256"/>
      <c r="L514" s="189">
        <f t="shared" si="163"/>
        <v>0</v>
      </c>
      <c r="M514" s="259">
        <f t="shared" si="164"/>
        <v>0</v>
      </c>
      <c r="N514" s="189"/>
      <c r="O514" s="189"/>
      <c r="P514" s="189"/>
      <c r="Q514" s="189"/>
      <c r="R514" s="189"/>
      <c r="S514" s="189"/>
      <c r="T514" s="119"/>
      <c r="U514" s="119"/>
      <c r="V514" s="119"/>
      <c r="W514" s="119"/>
      <c r="Y514" s="119"/>
    </row>
    <row r="515" spans="1:30" s="160" customFormat="1">
      <c r="A515" s="250">
        <v>4</v>
      </c>
      <c r="B515" s="251"/>
      <c r="C515" s="274"/>
      <c r="D515" s="253"/>
      <c r="E515" s="254">
        <f t="shared" si="162"/>
        <v>0</v>
      </c>
      <c r="F515" s="276"/>
      <c r="G515" s="256"/>
      <c r="H515" s="256"/>
      <c r="I515" s="256"/>
      <c r="J515" s="256"/>
      <c r="K515" s="256"/>
      <c r="L515" s="189">
        <f t="shared" si="163"/>
        <v>0</v>
      </c>
      <c r="M515" s="259">
        <f t="shared" si="164"/>
        <v>0</v>
      </c>
      <c r="N515" s="189"/>
      <c r="O515" s="189"/>
      <c r="P515" s="189"/>
      <c r="Q515" s="189"/>
      <c r="R515" s="189"/>
      <c r="S515" s="189"/>
      <c r="T515" s="119"/>
      <c r="U515" s="119"/>
      <c r="V515" s="119"/>
      <c r="W515" s="119"/>
      <c r="Y515" s="119"/>
    </row>
    <row r="516" spans="1:30" s="160" customFormat="1">
      <c r="A516" s="250">
        <v>5</v>
      </c>
      <c r="B516" s="251"/>
      <c r="C516" s="274"/>
      <c r="D516" s="253"/>
      <c r="E516" s="254">
        <f t="shared" si="162"/>
        <v>0</v>
      </c>
      <c r="F516" s="276"/>
      <c r="G516" s="256"/>
      <c r="H516" s="256"/>
      <c r="I516" s="256"/>
      <c r="J516" s="256"/>
      <c r="K516" s="256"/>
      <c r="L516" s="189">
        <f t="shared" si="163"/>
        <v>0</v>
      </c>
      <c r="M516" s="259">
        <f t="shared" si="164"/>
        <v>0</v>
      </c>
      <c r="N516" s="189"/>
      <c r="O516" s="189"/>
      <c r="P516" s="189"/>
      <c r="Q516" s="189"/>
      <c r="R516" s="189"/>
      <c r="S516" s="189"/>
      <c r="T516" s="119"/>
      <c r="U516" s="119"/>
      <c r="V516" s="119"/>
      <c r="W516" s="119"/>
      <c r="Y516" s="119"/>
    </row>
    <row r="517" spans="1:30" s="160" customFormat="1">
      <c r="A517" s="250">
        <v>6</v>
      </c>
      <c r="B517" s="251"/>
      <c r="C517" s="274"/>
      <c r="D517" s="253"/>
      <c r="E517" s="254">
        <f t="shared" si="162"/>
        <v>0</v>
      </c>
      <c r="F517" s="276"/>
      <c r="G517" s="256"/>
      <c r="H517" s="256"/>
      <c r="I517" s="256"/>
      <c r="J517" s="256"/>
      <c r="K517" s="256"/>
      <c r="L517" s="189">
        <f t="shared" si="163"/>
        <v>0</v>
      </c>
      <c r="M517" s="259">
        <f t="shared" si="164"/>
        <v>0</v>
      </c>
      <c r="N517" s="189"/>
      <c r="O517" s="189"/>
      <c r="P517" s="189"/>
      <c r="Q517" s="189"/>
      <c r="R517" s="189"/>
      <c r="S517" s="189"/>
      <c r="T517" s="119"/>
      <c r="U517" s="119"/>
      <c r="V517" s="119"/>
      <c r="W517" s="119"/>
      <c r="Y517" s="119"/>
    </row>
    <row r="518" spans="1:30" s="160" customFormat="1">
      <c r="A518" s="250">
        <v>7</v>
      </c>
      <c r="B518" s="251"/>
      <c r="C518" s="274"/>
      <c r="D518" s="253"/>
      <c r="E518" s="254">
        <f t="shared" si="162"/>
        <v>0</v>
      </c>
      <c r="F518" s="276"/>
      <c r="G518" s="256"/>
      <c r="H518" s="256"/>
      <c r="I518" s="256"/>
      <c r="J518" s="256"/>
      <c r="K518" s="256"/>
      <c r="L518" s="189">
        <f t="shared" si="163"/>
        <v>0</v>
      </c>
      <c r="M518" s="259">
        <f t="shared" si="164"/>
        <v>0</v>
      </c>
      <c r="N518" s="189"/>
      <c r="O518" s="189"/>
      <c r="P518" s="189"/>
      <c r="Q518" s="189"/>
      <c r="R518" s="189"/>
      <c r="S518" s="189"/>
      <c r="T518" s="119"/>
      <c r="U518" s="119"/>
      <c r="V518" s="119"/>
      <c r="W518" s="119"/>
      <c r="Y518" s="119"/>
    </row>
    <row r="519" spans="1:30" s="160" customFormat="1">
      <c r="A519" s="250">
        <v>8</v>
      </c>
      <c r="B519" s="251"/>
      <c r="C519" s="274"/>
      <c r="D519" s="253"/>
      <c r="E519" s="254">
        <f t="shared" si="162"/>
        <v>0</v>
      </c>
      <c r="F519" s="276"/>
      <c r="G519" s="256"/>
      <c r="H519" s="256"/>
      <c r="I519" s="256"/>
      <c r="J519" s="256"/>
      <c r="K519" s="256"/>
      <c r="L519" s="189">
        <f t="shared" si="163"/>
        <v>0</v>
      </c>
      <c r="M519" s="259">
        <f t="shared" si="164"/>
        <v>0</v>
      </c>
      <c r="N519" s="189"/>
      <c r="O519" s="189"/>
      <c r="P519" s="189"/>
      <c r="Q519" s="189"/>
      <c r="R519" s="189"/>
      <c r="S519" s="189"/>
      <c r="T519" s="119"/>
      <c r="U519" s="119"/>
      <c r="V519" s="119"/>
      <c r="W519" s="119"/>
      <c r="Y519" s="119"/>
    </row>
    <row r="520" spans="1:30" s="160" customFormat="1">
      <c r="A520" s="250">
        <v>9</v>
      </c>
      <c r="B520" s="251"/>
      <c r="C520" s="274"/>
      <c r="D520" s="253"/>
      <c r="E520" s="254">
        <f t="shared" si="162"/>
        <v>0</v>
      </c>
      <c r="F520" s="276"/>
      <c r="G520" s="256"/>
      <c r="H520" s="256"/>
      <c r="I520" s="256"/>
      <c r="J520" s="256"/>
      <c r="K520" s="256"/>
      <c r="L520" s="189">
        <f t="shared" si="163"/>
        <v>0</v>
      </c>
      <c r="M520" s="259">
        <f t="shared" si="164"/>
        <v>0</v>
      </c>
      <c r="N520" s="189"/>
      <c r="O520" s="189"/>
      <c r="P520" s="189"/>
      <c r="Q520" s="189"/>
      <c r="R520" s="189"/>
      <c r="S520" s="189"/>
      <c r="T520" s="119"/>
      <c r="U520" s="119"/>
      <c r="V520" s="119"/>
      <c r="W520" s="119"/>
      <c r="Y520" s="119"/>
    </row>
    <row r="521" spans="1:30" s="160" customFormat="1">
      <c r="A521" s="250">
        <v>10</v>
      </c>
      <c r="B521" s="251"/>
      <c r="C521" s="274"/>
      <c r="D521" s="253"/>
      <c r="E521" s="254">
        <f t="shared" si="162"/>
        <v>0</v>
      </c>
      <c r="F521" s="276"/>
      <c r="G521" s="256"/>
      <c r="H521" s="256"/>
      <c r="I521" s="256"/>
      <c r="J521" s="256"/>
      <c r="K521" s="256"/>
      <c r="L521" s="189">
        <f t="shared" si="163"/>
        <v>0</v>
      </c>
      <c r="M521" s="259">
        <f t="shared" si="164"/>
        <v>0</v>
      </c>
      <c r="N521" s="189"/>
      <c r="O521" s="189"/>
      <c r="P521" s="189"/>
      <c r="Q521" s="189"/>
      <c r="R521" s="189"/>
      <c r="S521" s="189"/>
      <c r="T521" s="119"/>
      <c r="U521" s="119"/>
      <c r="V521" s="119"/>
      <c r="W521" s="119"/>
      <c r="Y521" s="119"/>
    </row>
    <row r="522" spans="1:30" s="160" customFormat="1" ht="27" customHeight="1">
      <c r="A522" s="194" t="s">
        <v>60</v>
      </c>
      <c r="B522" s="260"/>
      <c r="C522" s="277">
        <f>SUM(C512:C521)</f>
        <v>12</v>
      </c>
      <c r="D522" s="261">
        <f>SUM(D512:D521)</f>
        <v>2000</v>
      </c>
      <c r="E522" s="262">
        <f>SUM(E512:E521)</f>
        <v>12000</v>
      </c>
      <c r="F522" s="278">
        <f t="shared" ref="F522:M522" si="165">ROUND(SUM(F512:F521),2)</f>
        <v>0</v>
      </c>
      <c r="G522" s="261">
        <f t="shared" si="165"/>
        <v>400</v>
      </c>
      <c r="H522" s="261">
        <f t="shared" si="165"/>
        <v>22.2</v>
      </c>
      <c r="I522" s="261">
        <f t="shared" si="165"/>
        <v>0</v>
      </c>
      <c r="J522" s="261">
        <f t="shared" si="165"/>
        <v>0</v>
      </c>
      <c r="K522" s="261">
        <f t="shared" si="165"/>
        <v>0</v>
      </c>
      <c r="L522" s="261">
        <f t="shared" si="165"/>
        <v>422.2</v>
      </c>
      <c r="M522" s="263">
        <f t="shared" si="165"/>
        <v>12422.2</v>
      </c>
      <c r="N522" s="268"/>
      <c r="O522" s="268"/>
      <c r="P522" s="268"/>
      <c r="Q522" s="268"/>
      <c r="R522" s="268"/>
      <c r="S522" s="268"/>
      <c r="T522" s="119"/>
      <c r="U522" s="119"/>
      <c r="V522" s="119"/>
      <c r="W522" s="119"/>
      <c r="Y522" s="119"/>
    </row>
    <row r="523" spans="1:30" s="160" customFormat="1" ht="27" customHeight="1">
      <c r="A523" s="158"/>
      <c r="B523" s="279"/>
      <c r="C523" s="279"/>
      <c r="D523" s="279"/>
      <c r="E523" s="279"/>
      <c r="F523" s="280"/>
      <c r="G523" s="280"/>
      <c r="H523" s="280"/>
      <c r="I523" s="280"/>
      <c r="J523" s="280"/>
      <c r="K523" s="280"/>
      <c r="L523" s="280"/>
      <c r="M523" s="281"/>
      <c r="N523" s="281"/>
      <c r="O523" s="281"/>
      <c r="P523" s="281"/>
      <c r="Q523" s="281"/>
      <c r="R523" s="281"/>
      <c r="S523" s="281"/>
      <c r="T523" s="281"/>
      <c r="U523" s="281"/>
      <c r="V523" s="281"/>
      <c r="W523" s="281"/>
      <c r="X523" s="281"/>
      <c r="Y523" s="281"/>
      <c r="Z523" s="281"/>
      <c r="AA523" s="281"/>
      <c r="AB523" s="281"/>
      <c r="AC523" s="281"/>
      <c r="AD523" s="281"/>
    </row>
    <row r="524" spans="1:30" s="160" customFormat="1" ht="27" customHeight="1">
      <c r="A524" s="158"/>
      <c r="B524" s="158"/>
      <c r="C524" s="158"/>
      <c r="D524" s="158"/>
      <c r="E524" s="158"/>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row>
    <row r="525" spans="1:30" s="160" customFormat="1" ht="27" customHeight="1">
      <c r="A525" s="158"/>
      <c r="B525" s="282"/>
      <c r="C525" s="282"/>
      <c r="D525" s="283"/>
      <c r="E525" s="158"/>
      <c r="F525" s="158"/>
      <c r="G525" s="158"/>
      <c r="H525" s="158"/>
      <c r="I525" s="158"/>
      <c r="J525" s="158"/>
      <c r="K525" s="158"/>
      <c r="L525" s="158"/>
      <c r="M525" s="158"/>
      <c r="N525" s="158"/>
      <c r="O525" s="158"/>
      <c r="P525" s="158"/>
      <c r="Q525" s="158"/>
      <c r="R525" s="158"/>
      <c r="S525" s="158"/>
      <c r="T525" s="158"/>
      <c r="U525" s="241"/>
      <c r="V525" s="158"/>
      <c r="W525" s="241"/>
      <c r="X525" s="158"/>
      <c r="Y525" s="241"/>
      <c r="Z525" s="158"/>
      <c r="AA525" s="158"/>
      <c r="AB525" s="158"/>
      <c r="AC525" s="158"/>
      <c r="AD525" s="158"/>
    </row>
    <row r="526" spans="1:30" s="160" customFormat="1" ht="27" customHeight="1">
      <c r="A526" s="158"/>
      <c r="B526" s="282"/>
      <c r="C526" s="282"/>
      <c r="D526" s="283"/>
      <c r="E526" s="158"/>
      <c r="F526" s="158"/>
      <c r="G526" s="158"/>
      <c r="H526" s="158"/>
      <c r="I526" s="158"/>
      <c r="J526" s="158"/>
      <c r="K526" s="158"/>
      <c r="L526" s="158"/>
      <c r="M526" s="158"/>
      <c r="N526" s="158"/>
      <c r="O526" s="158"/>
      <c r="P526" s="158"/>
      <c r="Q526" s="158"/>
      <c r="R526" s="158"/>
      <c r="S526" s="158"/>
      <c r="T526" s="158"/>
      <c r="U526" s="241"/>
      <c r="V526" s="158"/>
      <c r="W526" s="241"/>
      <c r="X526" s="158"/>
      <c r="Y526" s="241"/>
      <c r="Z526" s="158"/>
      <c r="AA526" s="158"/>
      <c r="AB526" s="158"/>
      <c r="AC526" s="158"/>
      <c r="AD526" s="158"/>
    </row>
    <row r="527" spans="1:30" s="160" customFormat="1" ht="19.5" customHeight="1">
      <c r="A527" s="158"/>
      <c r="M527" s="158"/>
      <c r="N527" s="158"/>
      <c r="O527" s="158"/>
      <c r="P527" s="158"/>
      <c r="Q527" s="158"/>
      <c r="R527" s="158"/>
      <c r="S527" s="158"/>
      <c r="T527" s="158"/>
      <c r="U527" s="241"/>
      <c r="V527" s="158"/>
      <c r="W527" s="241"/>
      <c r="X527" s="158"/>
      <c r="Y527" s="241"/>
      <c r="Z527" s="158"/>
      <c r="AA527" s="158"/>
      <c r="AB527" s="158"/>
      <c r="AC527" s="158"/>
      <c r="AD527" s="158"/>
    </row>
    <row r="528" spans="1:30" s="160" customFormat="1" ht="24.75" customHeight="1">
      <c r="A528" s="158"/>
      <c r="M528" s="158"/>
      <c r="N528" s="158"/>
      <c r="O528" s="158"/>
      <c r="P528" s="158"/>
      <c r="Q528" s="158"/>
      <c r="R528" s="158"/>
      <c r="S528" s="158"/>
      <c r="T528" s="158"/>
      <c r="U528" s="158"/>
      <c r="V528" s="241"/>
      <c r="W528" s="158"/>
      <c r="X528" s="241"/>
      <c r="Y528" s="158"/>
      <c r="Z528" s="241"/>
      <c r="AA528" s="158"/>
      <c r="AB528" s="158"/>
      <c r="AC528" s="158"/>
      <c r="AD528" s="158"/>
    </row>
    <row r="529" spans="1:30" s="160" customFormat="1" ht="19.5" customHeight="1">
      <c r="A529" s="158"/>
      <c r="M529" s="158"/>
      <c r="N529" s="158"/>
      <c r="O529" s="158"/>
      <c r="P529" s="158"/>
      <c r="Q529" s="158"/>
      <c r="R529" s="158"/>
      <c r="S529" s="158"/>
      <c r="T529" s="158"/>
      <c r="U529" s="158"/>
      <c r="V529" s="241"/>
      <c r="W529" s="158"/>
      <c r="X529" s="241"/>
      <c r="Y529" s="158"/>
      <c r="Z529" s="241"/>
      <c r="AA529" s="158"/>
      <c r="AB529" s="158"/>
      <c r="AC529" s="158"/>
      <c r="AD529" s="158"/>
    </row>
    <row r="530" spans="1:30" s="160" customFormat="1" ht="19.5" customHeight="1">
      <c r="A530" s="158"/>
      <c r="M530" s="158"/>
      <c r="N530" s="158"/>
      <c r="O530" s="158"/>
      <c r="P530" s="158"/>
      <c r="Q530" s="158"/>
      <c r="R530" s="158"/>
      <c r="S530" s="158"/>
      <c r="T530" s="158"/>
      <c r="U530" s="158"/>
      <c r="V530" s="241"/>
      <c r="W530" s="158"/>
      <c r="X530" s="241"/>
      <c r="Y530" s="158"/>
      <c r="Z530" s="241"/>
      <c r="AA530" s="158"/>
      <c r="AB530" s="158"/>
      <c r="AC530" s="158"/>
      <c r="AD530" s="158"/>
    </row>
    <row r="531" spans="1:30" ht="14.25" customHeight="1"/>
  </sheetData>
  <sheetProtection algorithmName="SHA-512" hashValue="vm25Ww2ELP1hNBMSqaueDGGBkFHpqIqOxFlr4B7h5ehmkqCTqZM8uEj8CzW+UFZyKg2tOCbp+/zNXKipP/Sf+g==" saltValue="+H135c8oqN8/hVj/ATLbZA==" spinCount="100000" sheet="1" objects="1" scenarios="1" formatColumns="0" formatRows="0"/>
  <mergeCells count="9">
    <mergeCell ref="A509:M509"/>
    <mergeCell ref="G510:L510"/>
    <mergeCell ref="M510:M511"/>
    <mergeCell ref="A1:AD1"/>
    <mergeCell ref="A2:AD2"/>
    <mergeCell ref="A3:AD3"/>
    <mergeCell ref="F4:U4"/>
    <mergeCell ref="V4:AC4"/>
    <mergeCell ref="AD4:AD5"/>
  </mergeCells>
  <dataValidations disablePrompts="1" count="2">
    <dataValidation type="list" allowBlank="1" showInputMessage="1" showErrorMessage="1" sqref="V5:AB5">
      <formula1>Benefícios</formula1>
      <formula2>0</formula2>
    </dataValidation>
    <dataValidation type="list" allowBlank="1" showInputMessage="1" showErrorMessage="1" sqref="I511:K511">
      <formula1>Beneficios2</formula1>
      <formula2>0</formula2>
    </dataValidation>
  </dataValidations>
  <pageMargins left="0.196527777777778" right="0.196527777777778" top="0.59027777777777801" bottom="0.59027777777777801" header="0.51180555555555496" footer="0"/>
  <pageSetup paperSize="9" scale="44" firstPageNumber="0" fitToHeight="0" orientation="landscape" horizontalDpi="300" verticalDpi="300" r:id="rId1"/>
  <headerFooter>
    <oddFooter>&amp;CPágina &amp;P de &amp;N</oddFooter>
  </headerFooter>
  <rowBreaks count="1" manualBreakCount="1">
    <brk id="50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32"/>
  <sheetViews>
    <sheetView zoomScaleNormal="100" workbookViewId="0">
      <pane xSplit="6" ySplit="6" topLeftCell="G7" activePane="bottomRight" state="frozen"/>
      <selection pane="topRight" activeCell="G1" sqref="G1"/>
      <selection pane="bottomLeft" activeCell="A10" sqref="A10"/>
      <selection pane="bottomRight" activeCell="E217" sqref="E217"/>
    </sheetView>
  </sheetViews>
  <sheetFormatPr defaultColWidth="17" defaultRowHeight="12.75"/>
  <cols>
    <col min="1" max="1" width="6.5703125" style="158" customWidth="1"/>
    <col min="2" max="2" width="31.140625" style="158" customWidth="1"/>
    <col min="3" max="3" width="6.5703125" style="158" customWidth="1"/>
    <col min="4" max="4" width="10.7109375" style="43" customWidth="1"/>
    <col min="5" max="6" width="9.28515625" style="158" customWidth="1"/>
    <col min="7" max="7" width="10.42578125" style="43" customWidth="1"/>
    <col min="8" max="8" width="7.85546875" style="43" customWidth="1"/>
    <col min="9" max="10" width="9.5703125" style="43" customWidth="1"/>
    <col min="11" max="12" width="8.5703125" style="43" customWidth="1"/>
    <col min="13" max="13" width="10.42578125" style="43" customWidth="1"/>
    <col min="14" max="14" width="7.85546875" style="158" customWidth="1"/>
    <col min="15" max="17" width="9.5703125" style="158" customWidth="1"/>
    <col min="18" max="18" width="9.5703125" style="241" customWidth="1"/>
    <col min="19" max="19" width="10.42578125" style="43" customWidth="1"/>
    <col min="20" max="20" width="7.7109375" style="158" customWidth="1"/>
    <col min="21" max="23" width="9.5703125" style="158" customWidth="1"/>
    <col min="24" max="24" width="9.5703125" style="241" customWidth="1"/>
    <col min="25" max="25" width="10.42578125" style="43" customWidth="1"/>
    <col min="26" max="26" width="7.7109375" style="158" customWidth="1"/>
    <col min="27" max="29" width="9.5703125" style="158" customWidth="1"/>
    <col min="30" max="30" width="9.5703125" style="241" customWidth="1"/>
    <col min="31" max="31" width="10.42578125" style="43" customWidth="1"/>
    <col min="32" max="32" width="7.7109375" style="158" customWidth="1"/>
    <col min="33" max="35" width="9.5703125" style="158" customWidth="1"/>
    <col min="36" max="36" width="9.5703125" style="241" customWidth="1"/>
    <col min="37" max="37" width="11.5703125" style="241" customWidth="1"/>
    <col min="38" max="39" width="9.5703125" style="158" customWidth="1"/>
    <col min="40" max="40" width="12.42578125" style="158" customWidth="1"/>
    <col min="41" max="41" width="11.85546875" style="158" customWidth="1"/>
    <col min="42" max="42" width="9.42578125" style="158" customWidth="1"/>
    <col min="43" max="43" width="10.85546875" style="158" customWidth="1"/>
    <col min="44" max="44" width="72.42578125" style="43" customWidth="1"/>
    <col min="45" max="45" width="8.5703125" style="158" customWidth="1"/>
    <col min="46" max="46" width="17" style="158"/>
    <col min="47" max="47" width="17" style="158" hidden="1"/>
    <col min="48" max="1024" width="17" style="158"/>
  </cols>
  <sheetData>
    <row r="1" spans="1:47" ht="30.75"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4"/>
      <c r="AS1" s="162"/>
      <c r="AU1" s="81" t="s">
        <v>151</v>
      </c>
    </row>
    <row r="2" spans="1:47" ht="21.75" customHeight="1">
      <c r="A2" s="384" t="s">
        <v>363</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162"/>
      <c r="AU2" s="81" t="s">
        <v>181</v>
      </c>
    </row>
    <row r="3" spans="1:47" ht="15" customHeight="1">
      <c r="A3" s="389" t="s">
        <v>353</v>
      </c>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162"/>
      <c r="AU3" s="81" t="s">
        <v>364</v>
      </c>
    </row>
    <row r="4" spans="1:47" s="285" customFormat="1" ht="21" customHeight="1">
      <c r="A4" s="396" t="s">
        <v>31</v>
      </c>
      <c r="B4" s="396" t="s">
        <v>355</v>
      </c>
      <c r="C4" s="396" t="s">
        <v>365</v>
      </c>
      <c r="D4" s="396" t="s">
        <v>366</v>
      </c>
      <c r="E4" s="396" t="s">
        <v>367</v>
      </c>
      <c r="F4" s="397" t="s">
        <v>368</v>
      </c>
      <c r="G4" s="395" t="s">
        <v>369</v>
      </c>
      <c r="H4" s="395"/>
      <c r="I4" s="395"/>
      <c r="J4" s="395"/>
      <c r="K4" s="395"/>
      <c r="L4" s="395"/>
      <c r="M4" s="395" t="s">
        <v>370</v>
      </c>
      <c r="N4" s="395"/>
      <c r="O4" s="395"/>
      <c r="P4" s="395"/>
      <c r="Q4" s="395"/>
      <c r="R4" s="395"/>
      <c r="S4" s="395" t="s">
        <v>371</v>
      </c>
      <c r="T4" s="395"/>
      <c r="U4" s="395"/>
      <c r="V4" s="395"/>
      <c r="W4" s="395"/>
      <c r="X4" s="395"/>
      <c r="Y4" s="395" t="s">
        <v>372</v>
      </c>
      <c r="Z4" s="395"/>
      <c r="AA4" s="395"/>
      <c r="AB4" s="395"/>
      <c r="AC4" s="395"/>
      <c r="AD4" s="395"/>
      <c r="AE4" s="395" t="s">
        <v>373</v>
      </c>
      <c r="AF4" s="395"/>
      <c r="AG4" s="395"/>
      <c r="AH4" s="395"/>
      <c r="AI4" s="395"/>
      <c r="AJ4" s="395"/>
      <c r="AK4" s="395" t="s">
        <v>374</v>
      </c>
      <c r="AL4" s="395"/>
      <c r="AM4" s="395"/>
      <c r="AN4" s="395"/>
      <c r="AO4" s="398" t="s">
        <v>375</v>
      </c>
      <c r="AP4" s="398"/>
      <c r="AQ4" s="398"/>
      <c r="AR4" s="400" t="s">
        <v>376</v>
      </c>
      <c r="AS4" s="284"/>
      <c r="AU4" s="81" t="s">
        <v>185</v>
      </c>
    </row>
    <row r="5" spans="1:47" s="285" customFormat="1" ht="27" customHeight="1">
      <c r="A5" s="396"/>
      <c r="B5" s="396"/>
      <c r="C5" s="396"/>
      <c r="D5" s="396"/>
      <c r="E5" s="396"/>
      <c r="F5" s="397"/>
      <c r="G5" s="399" t="s">
        <v>377</v>
      </c>
      <c r="H5" s="401" t="s">
        <v>378</v>
      </c>
      <c r="I5" s="402" t="s">
        <v>379</v>
      </c>
      <c r="J5" s="402"/>
      <c r="K5" s="402"/>
      <c r="L5" s="402"/>
      <c r="M5" s="399" t="s">
        <v>377</v>
      </c>
      <c r="N5" s="401" t="s">
        <v>378</v>
      </c>
      <c r="O5" s="402" t="s">
        <v>379</v>
      </c>
      <c r="P5" s="402"/>
      <c r="Q5" s="402"/>
      <c r="R5" s="402"/>
      <c r="S5" s="399" t="s">
        <v>377</v>
      </c>
      <c r="T5" s="401" t="s">
        <v>378</v>
      </c>
      <c r="U5" s="402" t="s">
        <v>379</v>
      </c>
      <c r="V5" s="402"/>
      <c r="W5" s="402"/>
      <c r="X5" s="402"/>
      <c r="Y5" s="399" t="s">
        <v>377</v>
      </c>
      <c r="Z5" s="401" t="s">
        <v>378</v>
      </c>
      <c r="AA5" s="402" t="s">
        <v>379</v>
      </c>
      <c r="AB5" s="402"/>
      <c r="AC5" s="402"/>
      <c r="AD5" s="402"/>
      <c r="AE5" s="399" t="s">
        <v>377</v>
      </c>
      <c r="AF5" s="401" t="s">
        <v>378</v>
      </c>
      <c r="AG5" s="402" t="s">
        <v>379</v>
      </c>
      <c r="AH5" s="402"/>
      <c r="AI5" s="402"/>
      <c r="AJ5" s="402"/>
      <c r="AK5" s="399" t="s">
        <v>380</v>
      </c>
      <c r="AL5" s="404" t="s">
        <v>86</v>
      </c>
      <c r="AM5" s="404" t="s">
        <v>88</v>
      </c>
      <c r="AN5" s="405" t="s">
        <v>381</v>
      </c>
      <c r="AO5" s="399" t="s">
        <v>382</v>
      </c>
      <c r="AP5" s="404" t="s">
        <v>383</v>
      </c>
      <c r="AQ5" s="404" t="s">
        <v>384</v>
      </c>
      <c r="AR5" s="400"/>
      <c r="AS5" s="272"/>
      <c r="AU5" s="81" t="s">
        <v>187</v>
      </c>
    </row>
    <row r="6" spans="1:47" s="285" customFormat="1" ht="39" customHeight="1" thickBot="1">
      <c r="A6" s="396"/>
      <c r="B6" s="396"/>
      <c r="C6" s="396"/>
      <c r="D6" s="396"/>
      <c r="E6" s="396"/>
      <c r="F6" s="397"/>
      <c r="G6" s="399"/>
      <c r="H6" s="401"/>
      <c r="I6" s="248" t="s">
        <v>181</v>
      </c>
      <c r="J6" s="371" t="s">
        <v>436</v>
      </c>
      <c r="K6" s="248"/>
      <c r="L6" s="248"/>
      <c r="M6" s="399"/>
      <c r="N6" s="401"/>
      <c r="O6" s="248" t="s">
        <v>181</v>
      </c>
      <c r="P6" s="248" t="s">
        <v>436</v>
      </c>
      <c r="Q6" s="248"/>
      <c r="R6" s="248"/>
      <c r="S6" s="399"/>
      <c r="T6" s="401"/>
      <c r="U6" s="248" t="s">
        <v>181</v>
      </c>
      <c r="V6" s="248" t="s">
        <v>436</v>
      </c>
      <c r="W6" s="248"/>
      <c r="X6" s="248"/>
      <c r="Y6" s="399"/>
      <c r="Z6" s="401"/>
      <c r="AA6" s="248" t="s">
        <v>181</v>
      </c>
      <c r="AB6" s="248" t="s">
        <v>436</v>
      </c>
      <c r="AC6" s="248"/>
      <c r="AD6" s="248"/>
      <c r="AE6" s="399"/>
      <c r="AF6" s="401"/>
      <c r="AG6" s="248" t="s">
        <v>181</v>
      </c>
      <c r="AH6" s="248" t="s">
        <v>436</v>
      </c>
      <c r="AI6" s="248"/>
      <c r="AJ6" s="248"/>
      <c r="AK6" s="399"/>
      <c r="AL6" s="404"/>
      <c r="AM6" s="404"/>
      <c r="AN6" s="405"/>
      <c r="AO6" s="399"/>
      <c r="AP6" s="404"/>
      <c r="AQ6" s="404"/>
      <c r="AR6" s="400"/>
      <c r="AS6" s="272"/>
      <c r="AU6" s="81" t="s">
        <v>189</v>
      </c>
    </row>
    <row r="7" spans="1:47">
      <c r="A7" s="286">
        <v>1</v>
      </c>
      <c r="B7" s="81" t="str">
        <f>'Encargos e Benefícios'!B6</f>
        <v>Diretor Geral de Unidade Socioeducativa</v>
      </c>
      <c r="C7" s="287">
        <f>'Encargos e Benefícios'!C6</f>
        <v>1</v>
      </c>
      <c r="D7" s="288">
        <v>40</v>
      </c>
      <c r="E7" s="289">
        <v>45261</v>
      </c>
      <c r="F7" s="290">
        <v>47058</v>
      </c>
      <c r="G7" s="291">
        <v>45413</v>
      </c>
      <c r="H7" s="292">
        <v>5.8400000000000001E-2</v>
      </c>
      <c r="I7" s="374">
        <v>29.2</v>
      </c>
      <c r="J7" s="374">
        <v>6.87</v>
      </c>
      <c r="K7" s="374"/>
      <c r="L7" s="374"/>
      <c r="M7" s="291">
        <v>45778</v>
      </c>
      <c r="N7" s="292">
        <v>5.8400000000000001E-2</v>
      </c>
      <c r="O7" s="256">
        <v>30.9</v>
      </c>
      <c r="P7" s="256">
        <v>7.27</v>
      </c>
      <c r="Q7" s="256"/>
      <c r="R7" s="256"/>
      <c r="S7" s="293">
        <v>46143</v>
      </c>
      <c r="T7" s="294">
        <v>5.8400000000000001E-2</v>
      </c>
      <c r="U7" s="256">
        <v>32.71</v>
      </c>
      <c r="V7" s="256">
        <v>7.82</v>
      </c>
      <c r="W7" s="256"/>
      <c r="X7" s="256"/>
      <c r="Y7" s="293">
        <v>46508</v>
      </c>
      <c r="Z7" s="294">
        <v>5.8400000000000001E-2</v>
      </c>
      <c r="AA7" s="256">
        <v>34.619999999999997</v>
      </c>
      <c r="AB7" s="256">
        <v>8.7100000000000009</v>
      </c>
      <c r="AC7" s="256"/>
      <c r="AD7" s="256"/>
      <c r="AE7" s="293">
        <v>46874</v>
      </c>
      <c r="AF7" s="294">
        <v>5.8400000000000001E-2</v>
      </c>
      <c r="AG7" s="256">
        <v>36.64</v>
      </c>
      <c r="AH7" s="256">
        <v>10.17</v>
      </c>
      <c r="AI7" s="256"/>
      <c r="AJ7" s="295"/>
      <c r="AK7" s="296">
        <f>'Encargos e Benefícios'!D6</f>
        <v>6500</v>
      </c>
      <c r="AL7" s="296">
        <f>IF('Encargos e Benefícios'!C6=0,0,'Encargos e Benefícios'!U6/'Encargos e Benefícios'!C6)</f>
        <v>5194.2222222222235</v>
      </c>
      <c r="AM7" s="296">
        <f>IF('Encargos e Benefícios'!C6=0,0,'Encargos e Benefícios'!AC6/'Encargos e Benefícios'!C6)</f>
        <v>817.61999999999989</v>
      </c>
      <c r="AN7" s="297">
        <f>IF('Encargos e Benefícios'!C6=0,0,'Encargos e Benefícios'!AD6/'Encargos e Benefícios'!C6)</f>
        <v>12511.842222222222</v>
      </c>
      <c r="AO7" s="188">
        <v>6052.24</v>
      </c>
      <c r="AP7" s="298">
        <v>4236.6899999999996</v>
      </c>
      <c r="AQ7" s="298">
        <v>7864.78</v>
      </c>
      <c r="AR7" s="299" t="s">
        <v>102</v>
      </c>
      <c r="AS7" s="188"/>
      <c r="AU7" s="81" t="s">
        <v>191</v>
      </c>
    </row>
    <row r="8" spans="1:47">
      <c r="A8" s="286">
        <v>2</v>
      </c>
      <c r="B8" s="81" t="str">
        <f>'Encargos e Benefícios'!B7</f>
        <v>Subdiretor de Segurança</v>
      </c>
      <c r="C8" s="287">
        <f>'Encargos e Benefícios'!C7</f>
        <v>1</v>
      </c>
      <c r="D8" s="288">
        <v>40</v>
      </c>
      <c r="E8" s="300">
        <v>45261</v>
      </c>
      <c r="F8" s="301">
        <v>47058</v>
      </c>
      <c r="G8" s="293">
        <v>45413</v>
      </c>
      <c r="H8" s="294">
        <v>5.8400000000000001E-2</v>
      </c>
      <c r="I8" s="256">
        <v>29.2</v>
      </c>
      <c r="J8" s="256">
        <v>6.87</v>
      </c>
      <c r="K8" s="256"/>
      <c r="L8" s="256"/>
      <c r="M8" s="293">
        <v>45778</v>
      </c>
      <c r="N8" s="294">
        <v>5.8400000000000001E-2</v>
      </c>
      <c r="O8" s="256">
        <v>30.9</v>
      </c>
      <c r="P8" s="256">
        <v>7.27</v>
      </c>
      <c r="Q8" s="256"/>
      <c r="R8" s="256"/>
      <c r="S8" s="293">
        <v>46143</v>
      </c>
      <c r="T8" s="294">
        <v>5.8400000000000001E-2</v>
      </c>
      <c r="U8" s="256">
        <v>32.71</v>
      </c>
      <c r="V8" s="256">
        <v>7.82</v>
      </c>
      <c r="W8" s="256"/>
      <c r="X8" s="256"/>
      <c r="Y8" s="293">
        <v>46508</v>
      </c>
      <c r="Z8" s="294">
        <v>5.8400000000000001E-2</v>
      </c>
      <c r="AA8" s="256">
        <v>34.619999999999997</v>
      </c>
      <c r="AB8" s="256">
        <v>8.7100000000000009</v>
      </c>
      <c r="AC8" s="256"/>
      <c r="AD8" s="256"/>
      <c r="AE8" s="293">
        <v>46874</v>
      </c>
      <c r="AF8" s="294">
        <v>5.8400000000000001E-2</v>
      </c>
      <c r="AG8" s="256">
        <v>36.64</v>
      </c>
      <c r="AH8" s="256">
        <v>10.17</v>
      </c>
      <c r="AI8" s="256"/>
      <c r="AJ8" s="257"/>
      <c r="AK8" s="296">
        <f>'Encargos e Benefícios'!D7</f>
        <v>3773.6</v>
      </c>
      <c r="AL8" s="296">
        <f>IF('Encargos e Benefícios'!C7=0,0,'Encargos e Benefícios'!U7/'Encargos e Benefícios'!C7)</f>
        <v>4147.6056888888888</v>
      </c>
      <c r="AM8" s="296">
        <f>IF('Encargos e Benefícios'!C7=0,0,'Encargos e Benefícios'!AC7/'Encargos e Benefícios'!C7)</f>
        <v>817.61999999999989</v>
      </c>
      <c r="AN8" s="297">
        <f>IF('Encargos e Benefícios'!C7=0,0,'Encargos e Benefícios'!AD7/'Encargos e Benefícios'!C7)</f>
        <v>8738.82568888889</v>
      </c>
      <c r="AO8" s="188">
        <v>4968.99</v>
      </c>
      <c r="AP8" s="298">
        <v>3773.6</v>
      </c>
      <c r="AQ8" s="298">
        <v>6164.38</v>
      </c>
      <c r="AR8" s="299" t="s">
        <v>102</v>
      </c>
      <c r="AS8" s="188"/>
      <c r="AU8" s="220" t="s">
        <v>195</v>
      </c>
    </row>
    <row r="9" spans="1:47">
      <c r="A9" s="286">
        <v>3</v>
      </c>
      <c r="B9" s="81" t="str">
        <f>'Encargos e Benefícios'!B8</f>
        <v>Advogado</v>
      </c>
      <c r="C9" s="287">
        <f>'Encargos e Benefícios'!C8</f>
        <v>1</v>
      </c>
      <c r="D9" s="288">
        <v>30</v>
      </c>
      <c r="E9" s="300">
        <v>45261</v>
      </c>
      <c r="F9" s="301">
        <v>47058</v>
      </c>
      <c r="G9" s="293">
        <v>45413</v>
      </c>
      <c r="H9" s="294">
        <v>5.8400000000000001E-2</v>
      </c>
      <c r="I9" s="256">
        <v>29.2</v>
      </c>
      <c r="J9" s="256">
        <v>6.87</v>
      </c>
      <c r="K9" s="256"/>
      <c r="L9" s="256"/>
      <c r="M9" s="293">
        <v>45778</v>
      </c>
      <c r="N9" s="294">
        <v>5.8400000000000001E-2</v>
      </c>
      <c r="O9" s="256">
        <v>30.9</v>
      </c>
      <c r="P9" s="256">
        <v>7.27</v>
      </c>
      <c r="Q9" s="256"/>
      <c r="R9" s="256"/>
      <c r="S9" s="293">
        <v>46143</v>
      </c>
      <c r="T9" s="294">
        <v>5.8400000000000001E-2</v>
      </c>
      <c r="U9" s="256">
        <v>32.71</v>
      </c>
      <c r="V9" s="256">
        <v>7.82</v>
      </c>
      <c r="W9" s="256"/>
      <c r="X9" s="256"/>
      <c r="Y9" s="293">
        <v>46508</v>
      </c>
      <c r="Z9" s="294">
        <v>5.8400000000000001E-2</v>
      </c>
      <c r="AA9" s="256">
        <v>34.619999999999997</v>
      </c>
      <c r="AB9" s="256">
        <v>8.7100000000000009</v>
      </c>
      <c r="AC9" s="256"/>
      <c r="AD9" s="256"/>
      <c r="AE9" s="293">
        <v>46874</v>
      </c>
      <c r="AF9" s="294">
        <v>5.8400000000000001E-2</v>
      </c>
      <c r="AG9" s="256">
        <v>36.64</v>
      </c>
      <c r="AH9" s="256">
        <v>10.17</v>
      </c>
      <c r="AI9" s="256"/>
      <c r="AJ9" s="257"/>
      <c r="AK9" s="296">
        <f>'Encargos e Benefícios'!D8</f>
        <v>2600</v>
      </c>
      <c r="AL9" s="296">
        <f>IF('Encargos e Benefícios'!C8=0,0,'Encargos e Benefícios'!U8/'Encargos e Benefícios'!C8)</f>
        <v>2114.088888888889</v>
      </c>
      <c r="AM9" s="296">
        <f>IF('Encargos e Benefícios'!C8=0,0,'Encargos e Benefícios'!AC8/'Encargos e Benefícios'!C8)</f>
        <v>910.67999999999984</v>
      </c>
      <c r="AN9" s="297">
        <f>IF('Encargos e Benefícios'!C8=0,0,'Encargos e Benefícios'!AD8/'Encargos e Benefícios'!C8)</f>
        <v>5624.7688888888897</v>
      </c>
      <c r="AO9" s="188">
        <v>2574.5</v>
      </c>
      <c r="AP9" s="298">
        <v>2000</v>
      </c>
      <c r="AQ9" s="298">
        <v>3148.99</v>
      </c>
      <c r="AR9" s="299" t="s">
        <v>102</v>
      </c>
      <c r="AS9" s="188"/>
    </row>
    <row r="10" spans="1:47">
      <c r="A10" s="286">
        <v>4</v>
      </c>
      <c r="B10" s="81" t="str">
        <f>'Encargos e Benefícios'!B9</f>
        <v>Assistente Social</v>
      </c>
      <c r="C10" s="287">
        <f>'Encargos e Benefícios'!C9</f>
        <v>1</v>
      </c>
      <c r="D10" s="288">
        <v>30</v>
      </c>
      <c r="E10" s="300">
        <v>45261</v>
      </c>
      <c r="F10" s="301">
        <v>47058</v>
      </c>
      <c r="G10" s="293">
        <v>45413</v>
      </c>
      <c r="H10" s="294">
        <v>5.8400000000000001E-2</v>
      </c>
      <c r="I10" s="256">
        <v>29.2</v>
      </c>
      <c r="J10" s="256">
        <v>6.87</v>
      </c>
      <c r="K10" s="256"/>
      <c r="L10" s="256"/>
      <c r="M10" s="293">
        <v>45778</v>
      </c>
      <c r="N10" s="294">
        <v>5.8400000000000001E-2</v>
      </c>
      <c r="O10" s="256">
        <v>30.9</v>
      </c>
      <c r="P10" s="256">
        <v>7.27</v>
      </c>
      <c r="Q10" s="256"/>
      <c r="R10" s="256"/>
      <c r="S10" s="293">
        <v>46143</v>
      </c>
      <c r="T10" s="294">
        <v>5.8400000000000001E-2</v>
      </c>
      <c r="U10" s="256">
        <v>32.71</v>
      </c>
      <c r="V10" s="256">
        <v>7.82</v>
      </c>
      <c r="W10" s="256"/>
      <c r="X10" s="256"/>
      <c r="Y10" s="293">
        <v>46508</v>
      </c>
      <c r="Z10" s="294">
        <v>5.8400000000000001E-2</v>
      </c>
      <c r="AA10" s="256">
        <v>34.619999999999997</v>
      </c>
      <c r="AB10" s="256">
        <v>8.7100000000000009</v>
      </c>
      <c r="AC10" s="256"/>
      <c r="AD10" s="256"/>
      <c r="AE10" s="293">
        <v>46874</v>
      </c>
      <c r="AF10" s="294">
        <v>5.8400000000000001E-2</v>
      </c>
      <c r="AG10" s="256">
        <v>36.64</v>
      </c>
      <c r="AH10" s="256">
        <v>10.17</v>
      </c>
      <c r="AI10" s="256"/>
      <c r="AJ10" s="257"/>
      <c r="AK10" s="296">
        <f>'Encargos e Benefícios'!D9</f>
        <v>2600</v>
      </c>
      <c r="AL10" s="296">
        <f>IF('Encargos e Benefícios'!C9=0,0,'Encargos e Benefícios'!U9/'Encargos e Benefícios'!C9)</f>
        <v>2114.088888888889</v>
      </c>
      <c r="AM10" s="296">
        <f>IF('Encargos e Benefícios'!C9=0,0,'Encargos e Benefícios'!AC9/'Encargos e Benefícios'!C9)</f>
        <v>910.67999999999984</v>
      </c>
      <c r="AN10" s="297">
        <f>IF('Encargos e Benefícios'!C9=0,0,'Encargos e Benefícios'!AD9/'Encargos e Benefícios'!C9)</f>
        <v>5624.7688888888897</v>
      </c>
      <c r="AO10" s="188">
        <v>2906.48</v>
      </c>
      <c r="AP10" s="298">
        <v>2000</v>
      </c>
      <c r="AQ10" s="298">
        <v>3812.95</v>
      </c>
      <c r="AR10" s="299" t="s">
        <v>102</v>
      </c>
      <c r="AS10" s="188"/>
    </row>
    <row r="11" spans="1:47">
      <c r="A11" s="286">
        <v>5</v>
      </c>
      <c r="B11" s="81" t="str">
        <f>'Encargos e Benefícios'!B10</f>
        <v>Pedagogo</v>
      </c>
      <c r="C11" s="287">
        <f>'Encargos e Benefícios'!C10</f>
        <v>1</v>
      </c>
      <c r="D11" s="288">
        <v>30</v>
      </c>
      <c r="E11" s="300">
        <v>45261</v>
      </c>
      <c r="F11" s="301">
        <v>47058</v>
      </c>
      <c r="G11" s="293">
        <v>45413</v>
      </c>
      <c r="H11" s="294">
        <v>5.8400000000000001E-2</v>
      </c>
      <c r="I11" s="256">
        <v>29.2</v>
      </c>
      <c r="J11" s="256">
        <v>6.87</v>
      </c>
      <c r="K11" s="256"/>
      <c r="L11" s="256"/>
      <c r="M11" s="293">
        <v>45778</v>
      </c>
      <c r="N11" s="294">
        <v>5.8400000000000001E-2</v>
      </c>
      <c r="O11" s="256">
        <v>30.9</v>
      </c>
      <c r="P11" s="256">
        <v>7.27</v>
      </c>
      <c r="Q11" s="256"/>
      <c r="R11" s="256"/>
      <c r="S11" s="293">
        <v>46143</v>
      </c>
      <c r="T11" s="294">
        <v>5.8400000000000001E-2</v>
      </c>
      <c r="U11" s="256">
        <v>32.71</v>
      </c>
      <c r="V11" s="256">
        <v>7.82</v>
      </c>
      <c r="W11" s="256"/>
      <c r="X11" s="256"/>
      <c r="Y11" s="293">
        <v>46508</v>
      </c>
      <c r="Z11" s="294">
        <v>5.8400000000000001E-2</v>
      </c>
      <c r="AA11" s="256">
        <v>34.619999999999997</v>
      </c>
      <c r="AB11" s="256">
        <v>8.7100000000000009</v>
      </c>
      <c r="AC11" s="256"/>
      <c r="AD11" s="256"/>
      <c r="AE11" s="293">
        <v>46874</v>
      </c>
      <c r="AF11" s="294">
        <v>5.8400000000000001E-2</v>
      </c>
      <c r="AG11" s="256">
        <v>36.64</v>
      </c>
      <c r="AH11" s="256">
        <v>10.17</v>
      </c>
      <c r="AI11" s="256"/>
      <c r="AJ11" s="257"/>
      <c r="AK11" s="296">
        <f>'Encargos e Benefícios'!D10</f>
        <v>2600</v>
      </c>
      <c r="AL11" s="296">
        <f>IF('Encargos e Benefícios'!C10=0,0,'Encargos e Benefícios'!U10/'Encargos e Benefícios'!C10)</f>
        <v>2114.088888888889</v>
      </c>
      <c r="AM11" s="296">
        <f>IF('Encargos e Benefícios'!C10=0,0,'Encargos e Benefícios'!AC10/'Encargos e Benefícios'!C10)</f>
        <v>910.67999999999984</v>
      </c>
      <c r="AN11" s="297">
        <f>IF('Encargos e Benefícios'!C10=0,0,'Encargos e Benefícios'!AD10/'Encargos e Benefícios'!C10)</f>
        <v>5624.7688888888897</v>
      </c>
      <c r="AO11" s="188">
        <v>2826.08</v>
      </c>
      <c r="AP11" s="298">
        <v>1936.68</v>
      </c>
      <c r="AQ11" s="298">
        <v>3715.48</v>
      </c>
      <c r="AR11" s="299" t="s">
        <v>102</v>
      </c>
      <c r="AS11" s="188"/>
    </row>
    <row r="12" spans="1:47">
      <c r="A12" s="286">
        <v>6</v>
      </c>
      <c r="B12" s="81" t="str">
        <f>'Encargos e Benefícios'!B11</f>
        <v>Psicologo</v>
      </c>
      <c r="C12" s="287">
        <f>'Encargos e Benefícios'!C11</f>
        <v>1</v>
      </c>
      <c r="D12" s="288">
        <v>30</v>
      </c>
      <c r="E12" s="300">
        <v>45261</v>
      </c>
      <c r="F12" s="301">
        <v>47058</v>
      </c>
      <c r="G12" s="293">
        <v>45413</v>
      </c>
      <c r="H12" s="294">
        <v>5.8400000000000001E-2</v>
      </c>
      <c r="I12" s="256">
        <v>29.2</v>
      </c>
      <c r="J12" s="256">
        <v>6.87</v>
      </c>
      <c r="K12" s="256"/>
      <c r="L12" s="256"/>
      <c r="M12" s="293">
        <v>45778</v>
      </c>
      <c r="N12" s="294">
        <v>5.8400000000000001E-2</v>
      </c>
      <c r="O12" s="256">
        <v>30.9</v>
      </c>
      <c r="P12" s="256">
        <v>7.27</v>
      </c>
      <c r="Q12" s="256"/>
      <c r="R12" s="256"/>
      <c r="S12" s="293">
        <v>46143</v>
      </c>
      <c r="T12" s="294">
        <v>5.8400000000000001E-2</v>
      </c>
      <c r="U12" s="256">
        <v>32.71</v>
      </c>
      <c r="V12" s="256">
        <v>7.82</v>
      </c>
      <c r="W12" s="256"/>
      <c r="X12" s="256"/>
      <c r="Y12" s="293">
        <v>46508</v>
      </c>
      <c r="Z12" s="294">
        <v>5.8400000000000001E-2</v>
      </c>
      <c r="AA12" s="256">
        <v>34.619999999999997</v>
      </c>
      <c r="AB12" s="256">
        <v>8.7100000000000009</v>
      </c>
      <c r="AC12" s="256"/>
      <c r="AD12" s="256"/>
      <c r="AE12" s="293">
        <v>46874</v>
      </c>
      <c r="AF12" s="294">
        <v>5.8400000000000001E-2</v>
      </c>
      <c r="AG12" s="256">
        <v>36.64</v>
      </c>
      <c r="AH12" s="256">
        <v>10.17</v>
      </c>
      <c r="AI12" s="256"/>
      <c r="AJ12" s="257"/>
      <c r="AK12" s="296">
        <f>'Encargos e Benefícios'!D11</f>
        <v>2600</v>
      </c>
      <c r="AL12" s="296">
        <f>IF('Encargos e Benefícios'!C11=0,0,'Encargos e Benefícios'!U11/'Encargos e Benefícios'!C11)</f>
        <v>2114.088888888889</v>
      </c>
      <c r="AM12" s="296">
        <f>IF('Encargos e Benefícios'!C11=0,0,'Encargos e Benefícios'!AC11/'Encargos e Benefícios'!C11)</f>
        <v>910.67999999999984</v>
      </c>
      <c r="AN12" s="297">
        <f>IF('Encargos e Benefícios'!C11=0,0,'Encargos e Benefícios'!AD11/'Encargos e Benefícios'!C11)</f>
        <v>5624.7688888888897</v>
      </c>
      <c r="AO12" s="188">
        <v>2906.48</v>
      </c>
      <c r="AP12" s="298">
        <v>2000</v>
      </c>
      <c r="AQ12" s="298">
        <v>3812.95</v>
      </c>
      <c r="AR12" s="299" t="s">
        <v>102</v>
      </c>
      <c r="AS12" s="188"/>
    </row>
    <row r="13" spans="1:47">
      <c r="A13" s="286">
        <v>7</v>
      </c>
      <c r="B13" s="81" t="str">
        <f>'Encargos e Benefícios'!B12</f>
        <v>Terapeuta Ocupacional</v>
      </c>
      <c r="C13" s="287">
        <f>'Encargos e Benefícios'!C12</f>
        <v>1</v>
      </c>
      <c r="D13" s="288">
        <v>30</v>
      </c>
      <c r="E13" s="300">
        <v>45261</v>
      </c>
      <c r="F13" s="301">
        <v>47058</v>
      </c>
      <c r="G13" s="293">
        <v>45413</v>
      </c>
      <c r="H13" s="294">
        <v>5.8400000000000001E-2</v>
      </c>
      <c r="I13" s="256">
        <v>29.2</v>
      </c>
      <c r="J13" s="256">
        <v>6.87</v>
      </c>
      <c r="K13" s="256"/>
      <c r="L13" s="256"/>
      <c r="M13" s="293">
        <v>45778</v>
      </c>
      <c r="N13" s="294">
        <v>5.8400000000000001E-2</v>
      </c>
      <c r="O13" s="256">
        <v>30.9</v>
      </c>
      <c r="P13" s="256">
        <v>7.27</v>
      </c>
      <c r="Q13" s="256"/>
      <c r="R13" s="256"/>
      <c r="S13" s="293">
        <v>46143</v>
      </c>
      <c r="T13" s="294">
        <v>5.8400000000000001E-2</v>
      </c>
      <c r="U13" s="256">
        <v>32.71</v>
      </c>
      <c r="V13" s="256">
        <v>7.82</v>
      </c>
      <c r="W13" s="256"/>
      <c r="X13" s="256"/>
      <c r="Y13" s="293">
        <v>46508</v>
      </c>
      <c r="Z13" s="294">
        <v>5.8400000000000001E-2</v>
      </c>
      <c r="AA13" s="256">
        <v>34.619999999999997</v>
      </c>
      <c r="AB13" s="256">
        <v>8.7100000000000009</v>
      </c>
      <c r="AC13" s="256"/>
      <c r="AD13" s="256"/>
      <c r="AE13" s="293">
        <v>46874</v>
      </c>
      <c r="AF13" s="294">
        <v>5.8400000000000001E-2</v>
      </c>
      <c r="AG13" s="256">
        <v>36.64</v>
      </c>
      <c r="AH13" s="256">
        <v>10.17</v>
      </c>
      <c r="AI13" s="256"/>
      <c r="AJ13" s="257"/>
      <c r="AK13" s="296">
        <f>'Encargos e Benefícios'!D12</f>
        <v>2600</v>
      </c>
      <c r="AL13" s="296">
        <f>IF('Encargos e Benefícios'!C12=0,0,'Encargos e Benefícios'!U12/'Encargos e Benefícios'!C12)</f>
        <v>2114.088888888889</v>
      </c>
      <c r="AM13" s="296">
        <f>IF('Encargos e Benefícios'!C12=0,0,'Encargos e Benefícios'!AC12/'Encargos e Benefícios'!C12)</f>
        <v>910.67999999999984</v>
      </c>
      <c r="AN13" s="297">
        <f>IF('Encargos e Benefícios'!C12=0,0,'Encargos e Benefícios'!AD12/'Encargos e Benefícios'!C12)</f>
        <v>5624.7688888888897</v>
      </c>
      <c r="AO13" s="188">
        <v>2456</v>
      </c>
      <c r="AP13" s="298">
        <v>2000</v>
      </c>
      <c r="AQ13" s="298">
        <v>2911.99</v>
      </c>
      <c r="AR13" s="299" t="s">
        <v>102</v>
      </c>
      <c r="AS13" s="188"/>
    </row>
    <row r="14" spans="1:47">
      <c r="A14" s="286">
        <v>8</v>
      </c>
      <c r="B14" s="81" t="str">
        <f>'Encargos e Benefícios'!B13</f>
        <v>Administrativo</v>
      </c>
      <c r="C14" s="287">
        <f>'Encargos e Benefícios'!C13</f>
        <v>1</v>
      </c>
      <c r="D14" s="288">
        <v>40</v>
      </c>
      <c r="E14" s="300">
        <v>45261</v>
      </c>
      <c r="F14" s="301">
        <v>47058</v>
      </c>
      <c r="G14" s="293">
        <v>45413</v>
      </c>
      <c r="H14" s="294">
        <v>5.8400000000000001E-2</v>
      </c>
      <c r="I14" s="256">
        <v>29.2</v>
      </c>
      <c r="J14" s="256">
        <v>6.87</v>
      </c>
      <c r="K14" s="256"/>
      <c r="L14" s="256"/>
      <c r="M14" s="293">
        <v>45778</v>
      </c>
      <c r="N14" s="294">
        <v>5.8400000000000001E-2</v>
      </c>
      <c r="O14" s="256">
        <v>30.9</v>
      </c>
      <c r="P14" s="256">
        <v>7.27</v>
      </c>
      <c r="Q14" s="256"/>
      <c r="R14" s="256"/>
      <c r="S14" s="293">
        <v>46143</v>
      </c>
      <c r="T14" s="294">
        <v>5.8400000000000001E-2</v>
      </c>
      <c r="U14" s="256">
        <v>32.71</v>
      </c>
      <c r="V14" s="256">
        <v>7.82</v>
      </c>
      <c r="W14" s="256"/>
      <c r="X14" s="256"/>
      <c r="Y14" s="293">
        <v>46508</v>
      </c>
      <c r="Z14" s="294">
        <v>5.8400000000000001E-2</v>
      </c>
      <c r="AA14" s="256">
        <v>34.619999999999997</v>
      </c>
      <c r="AB14" s="256">
        <v>8.7100000000000009</v>
      </c>
      <c r="AC14" s="256"/>
      <c r="AD14" s="256"/>
      <c r="AE14" s="293">
        <v>46874</v>
      </c>
      <c r="AF14" s="294">
        <v>5.8400000000000001E-2</v>
      </c>
      <c r="AG14" s="256">
        <v>36.64</v>
      </c>
      <c r="AH14" s="256">
        <v>10.17</v>
      </c>
      <c r="AI14" s="256"/>
      <c r="AJ14" s="257"/>
      <c r="AK14" s="296">
        <f>'Encargos e Benefícios'!D13</f>
        <v>1750</v>
      </c>
      <c r="AL14" s="296">
        <f>IF('Encargos e Benefícios'!C13=0,0,'Encargos e Benefícios'!U13/'Encargos e Benefícios'!C13)</f>
        <v>1422.9444444444443</v>
      </c>
      <c r="AM14" s="296">
        <f>IF('Encargos e Benefícios'!C13=0,0,'Encargos e Benefícios'!AC13/'Encargos e Benefícios'!C13)</f>
        <v>910.67999999999984</v>
      </c>
      <c r="AN14" s="297">
        <f>IF('Encargos e Benefícios'!C13=0,0,'Encargos e Benefícios'!AD13/'Encargos e Benefícios'!C13)</f>
        <v>4083.6244444444442</v>
      </c>
      <c r="AO14" s="188">
        <v>2012.52</v>
      </c>
      <c r="AP14" s="298">
        <v>1329.38</v>
      </c>
      <c r="AQ14" s="298">
        <v>2695.66</v>
      </c>
      <c r="AR14" s="299" t="s">
        <v>102</v>
      </c>
      <c r="AS14" s="188"/>
    </row>
    <row r="15" spans="1:47">
      <c r="A15" s="286">
        <v>9</v>
      </c>
      <c r="B15" s="81" t="str">
        <f>'Encargos e Benefícios'!B14</f>
        <v>Auxiliar Educacional</v>
      </c>
      <c r="C15" s="287">
        <f>'Encargos e Benefícios'!C14</f>
        <v>1</v>
      </c>
      <c r="D15" s="288">
        <v>30</v>
      </c>
      <c r="E15" s="300">
        <v>45261</v>
      </c>
      <c r="F15" s="301">
        <v>47058</v>
      </c>
      <c r="G15" s="293">
        <v>45413</v>
      </c>
      <c r="H15" s="294">
        <v>5.8400000000000001E-2</v>
      </c>
      <c r="I15" s="256">
        <v>29.2</v>
      </c>
      <c r="J15" s="256">
        <v>6.87</v>
      </c>
      <c r="K15" s="256"/>
      <c r="L15" s="256"/>
      <c r="M15" s="293">
        <v>45778</v>
      </c>
      <c r="N15" s="294">
        <v>5.8400000000000001E-2</v>
      </c>
      <c r="O15" s="256">
        <v>30.9</v>
      </c>
      <c r="P15" s="256">
        <v>7.27</v>
      </c>
      <c r="Q15" s="256"/>
      <c r="R15" s="256"/>
      <c r="S15" s="293">
        <v>46143</v>
      </c>
      <c r="T15" s="294">
        <v>5.8400000000000001E-2</v>
      </c>
      <c r="U15" s="256">
        <v>32.71</v>
      </c>
      <c r="V15" s="256">
        <v>7.82</v>
      </c>
      <c r="W15" s="256"/>
      <c r="X15" s="256"/>
      <c r="Y15" s="293">
        <v>46508</v>
      </c>
      <c r="Z15" s="294">
        <v>5.8400000000000001E-2</v>
      </c>
      <c r="AA15" s="256">
        <v>34.619999999999997</v>
      </c>
      <c r="AB15" s="256">
        <v>8.7100000000000009</v>
      </c>
      <c r="AC15" s="256"/>
      <c r="AD15" s="256"/>
      <c r="AE15" s="293">
        <v>46874</v>
      </c>
      <c r="AF15" s="294">
        <v>5.8400000000000001E-2</v>
      </c>
      <c r="AG15" s="256">
        <v>36.64</v>
      </c>
      <c r="AH15" s="256">
        <v>10.17</v>
      </c>
      <c r="AI15" s="256"/>
      <c r="AJ15" s="257"/>
      <c r="AK15" s="296">
        <f>'Encargos e Benefícios'!D14</f>
        <v>1642</v>
      </c>
      <c r="AL15" s="296">
        <f>IF('Encargos e Benefícios'!C14=0,0,'Encargos e Benefícios'!U14/'Encargos e Benefícios'!C14)</f>
        <v>1335.1284444444443</v>
      </c>
      <c r="AM15" s="296">
        <f>IF('Encargos e Benefícios'!C14=0,0,'Encargos e Benefícios'!AC14/'Encargos e Benefícios'!C14)</f>
        <v>910.67999999999984</v>
      </c>
      <c r="AN15" s="297">
        <f>IF('Encargos e Benefícios'!C14=0,0,'Encargos e Benefícios'!AD14/'Encargos e Benefícios'!C14)</f>
        <v>3887.8084444444444</v>
      </c>
      <c r="AO15" s="188">
        <v>1821.21</v>
      </c>
      <c r="AP15" s="298">
        <v>1641.97</v>
      </c>
      <c r="AQ15" s="298">
        <v>2000.45</v>
      </c>
      <c r="AR15" s="299" t="s">
        <v>102</v>
      </c>
      <c r="AS15" s="188"/>
    </row>
    <row r="16" spans="1:47">
      <c r="A16" s="286">
        <v>10</v>
      </c>
      <c r="B16" s="81" t="str">
        <f>'Encargos e Benefícios'!B15</f>
        <v>Auxiliar de Serviços Gerais</v>
      </c>
      <c r="C16" s="287">
        <f>'Encargos e Benefícios'!C15</f>
        <v>1</v>
      </c>
      <c r="D16" s="288">
        <v>30</v>
      </c>
      <c r="E16" s="300">
        <v>45261</v>
      </c>
      <c r="F16" s="301">
        <v>47058</v>
      </c>
      <c r="G16" s="293">
        <v>45413</v>
      </c>
      <c r="H16" s="294">
        <v>5.8400000000000001E-2</v>
      </c>
      <c r="I16" s="256">
        <v>29.2</v>
      </c>
      <c r="J16" s="256">
        <v>6.87</v>
      </c>
      <c r="K16" s="256"/>
      <c r="L16" s="256"/>
      <c r="M16" s="293">
        <v>45778</v>
      </c>
      <c r="N16" s="294">
        <v>5.8400000000000001E-2</v>
      </c>
      <c r="O16" s="256">
        <v>30.9</v>
      </c>
      <c r="P16" s="256">
        <v>7.27</v>
      </c>
      <c r="Q16" s="256"/>
      <c r="R16" s="256"/>
      <c r="S16" s="293">
        <v>46143</v>
      </c>
      <c r="T16" s="294">
        <v>5.8400000000000001E-2</v>
      </c>
      <c r="U16" s="256">
        <v>32.71</v>
      </c>
      <c r="V16" s="256">
        <v>7.82</v>
      </c>
      <c r="W16" s="256"/>
      <c r="X16" s="256"/>
      <c r="Y16" s="293">
        <v>46508</v>
      </c>
      <c r="Z16" s="294">
        <v>5.8400000000000001E-2</v>
      </c>
      <c r="AA16" s="256">
        <v>34.619999999999997</v>
      </c>
      <c r="AB16" s="256">
        <v>8.7100000000000009</v>
      </c>
      <c r="AC16" s="256"/>
      <c r="AD16" s="256"/>
      <c r="AE16" s="293">
        <v>46874</v>
      </c>
      <c r="AF16" s="294">
        <v>5.8400000000000001E-2</v>
      </c>
      <c r="AG16" s="256">
        <v>36.64</v>
      </c>
      <c r="AH16" s="256">
        <v>10.17</v>
      </c>
      <c r="AI16" s="256"/>
      <c r="AJ16" s="257"/>
      <c r="AK16" s="296">
        <f>'Encargos e Benefícios'!D15</f>
        <v>1385</v>
      </c>
      <c r="AL16" s="296">
        <f>IF('Encargos e Benefícios'!C15=0,0,'Encargos e Benefícios'!U15/'Encargos e Benefícios'!C15)</f>
        <v>1126.1588888888887</v>
      </c>
      <c r="AM16" s="296">
        <f>IF('Encargos e Benefícios'!C15=0,0,'Encargos e Benefícios'!AC15/'Encargos e Benefícios'!C15)</f>
        <v>910.67999999999984</v>
      </c>
      <c r="AN16" s="297">
        <f>IF('Encargos e Benefícios'!C15=0,0,'Encargos e Benefícios'!AD15/'Encargos e Benefícios'!C15)</f>
        <v>3421.8388888888885</v>
      </c>
      <c r="AO16" s="188">
        <v>1481.02</v>
      </c>
      <c r="AP16" s="298">
        <v>1302</v>
      </c>
      <c r="AQ16" s="298">
        <v>1660.04</v>
      </c>
      <c r="AR16" s="299" t="s">
        <v>102</v>
      </c>
      <c r="AS16" s="188"/>
    </row>
    <row r="17" spans="1:45">
      <c r="A17" s="286">
        <v>11</v>
      </c>
      <c r="B17" s="81" t="str">
        <f>'Encargos e Benefícios'!B16</f>
        <v>Motorista</v>
      </c>
      <c r="C17" s="287">
        <f>'Encargos e Benefícios'!C16</f>
        <v>1</v>
      </c>
      <c r="D17" s="288">
        <v>40</v>
      </c>
      <c r="E17" s="300">
        <v>45261</v>
      </c>
      <c r="F17" s="301">
        <v>47058</v>
      </c>
      <c r="G17" s="293">
        <v>45413</v>
      </c>
      <c r="H17" s="294">
        <v>5.8400000000000001E-2</v>
      </c>
      <c r="I17" s="256">
        <v>29.2</v>
      </c>
      <c r="J17" s="256">
        <v>6.87</v>
      </c>
      <c r="K17" s="256"/>
      <c r="L17" s="256"/>
      <c r="M17" s="293">
        <v>45778</v>
      </c>
      <c r="N17" s="294">
        <v>5.8400000000000001E-2</v>
      </c>
      <c r="O17" s="256">
        <v>30.9</v>
      </c>
      <c r="P17" s="256">
        <v>7.27</v>
      </c>
      <c r="Q17" s="256"/>
      <c r="R17" s="256"/>
      <c r="S17" s="293">
        <v>46143</v>
      </c>
      <c r="T17" s="294">
        <v>5.8400000000000001E-2</v>
      </c>
      <c r="U17" s="256">
        <v>32.71</v>
      </c>
      <c r="V17" s="256">
        <v>7.82</v>
      </c>
      <c r="W17" s="256"/>
      <c r="X17" s="256"/>
      <c r="Y17" s="293">
        <v>46508</v>
      </c>
      <c r="Z17" s="294">
        <v>5.8400000000000001E-2</v>
      </c>
      <c r="AA17" s="256">
        <v>34.619999999999997</v>
      </c>
      <c r="AB17" s="256">
        <v>8.7100000000000009</v>
      </c>
      <c r="AC17" s="256"/>
      <c r="AD17" s="256"/>
      <c r="AE17" s="293">
        <v>46874</v>
      </c>
      <c r="AF17" s="294">
        <v>5.8400000000000001E-2</v>
      </c>
      <c r="AG17" s="256">
        <v>36.64</v>
      </c>
      <c r="AH17" s="256">
        <v>10.17</v>
      </c>
      <c r="AI17" s="256"/>
      <c r="AJ17" s="257"/>
      <c r="AK17" s="296">
        <f>'Encargos e Benefícios'!D16</f>
        <v>1452.39</v>
      </c>
      <c r="AL17" s="296">
        <f>IF('Encargos e Benefícios'!C16=0,0,'Encargos e Benefícios'!U16/'Encargos e Benefícios'!C16)</f>
        <v>1180.9544466666669</v>
      </c>
      <c r="AM17" s="296">
        <f>IF('Encargos e Benefícios'!C16=0,0,'Encargos e Benefícios'!AC16/'Encargos e Benefícios'!C16)</f>
        <v>910.67999999999984</v>
      </c>
      <c r="AN17" s="297">
        <f>IF('Encargos e Benefícios'!C16=0,0,'Encargos e Benefícios'!AD16/'Encargos e Benefícios'!C16)</f>
        <v>3544.0244466666668</v>
      </c>
      <c r="AO17" s="188">
        <v>1826.28</v>
      </c>
      <c r="AP17" s="298">
        <v>1452.39</v>
      </c>
      <c r="AQ17" s="298">
        <v>2200.17</v>
      </c>
      <c r="AR17" s="299" t="s">
        <v>102</v>
      </c>
      <c r="AS17" s="188"/>
    </row>
    <row r="18" spans="1:45">
      <c r="A18" s="286">
        <v>12</v>
      </c>
      <c r="B18" s="81" t="str">
        <f>'Encargos e Benefícios'!B17</f>
        <v>Socioeducador - DC</v>
      </c>
      <c r="C18" s="287">
        <f>'Encargos e Benefícios'!C17</f>
        <v>2</v>
      </c>
      <c r="D18" s="288" t="s">
        <v>504</v>
      </c>
      <c r="E18" s="300">
        <v>45261</v>
      </c>
      <c r="F18" s="301">
        <v>47058</v>
      </c>
      <c r="G18" s="293">
        <v>45413</v>
      </c>
      <c r="H18" s="294">
        <v>5.8400000000000001E-2</v>
      </c>
      <c r="I18" s="256">
        <v>29.2</v>
      </c>
      <c r="J18" s="256">
        <v>6.87</v>
      </c>
      <c r="K18" s="256"/>
      <c r="L18" s="256"/>
      <c r="M18" s="293">
        <v>45778</v>
      </c>
      <c r="N18" s="294">
        <v>5.8400000000000001E-2</v>
      </c>
      <c r="O18" s="256">
        <v>30.9</v>
      </c>
      <c r="P18" s="256">
        <v>7.27</v>
      </c>
      <c r="Q18" s="256"/>
      <c r="R18" s="256"/>
      <c r="S18" s="293">
        <v>46143</v>
      </c>
      <c r="T18" s="294">
        <v>5.8400000000000001E-2</v>
      </c>
      <c r="U18" s="256">
        <v>32.71</v>
      </c>
      <c r="V18" s="256">
        <v>7.82</v>
      </c>
      <c r="W18" s="256"/>
      <c r="X18" s="256"/>
      <c r="Y18" s="293">
        <v>46508</v>
      </c>
      <c r="Z18" s="294">
        <v>5.8400000000000001E-2</v>
      </c>
      <c r="AA18" s="256">
        <v>34.619999999999997</v>
      </c>
      <c r="AB18" s="256">
        <v>8.7100000000000009</v>
      </c>
      <c r="AC18" s="256"/>
      <c r="AD18" s="256"/>
      <c r="AE18" s="293">
        <v>46874</v>
      </c>
      <c r="AF18" s="294">
        <v>5.8400000000000001E-2</v>
      </c>
      <c r="AG18" s="256">
        <v>36.64</v>
      </c>
      <c r="AH18" s="256">
        <v>10.17</v>
      </c>
      <c r="AI18" s="256"/>
      <c r="AJ18" s="257"/>
      <c r="AK18" s="296">
        <f>'Encargos e Benefícios'!D17</f>
        <v>1900</v>
      </c>
      <c r="AL18" s="296">
        <f>IF('Encargos e Benefícios'!C17=0,0,'Encargos e Benefícios'!U17/'Encargos e Benefícios'!C17)</f>
        <v>2544.7966666666666</v>
      </c>
      <c r="AM18" s="296">
        <f>IF('Encargos e Benefícios'!C17=0,0,'Encargos e Benefícios'!AC17/'Encargos e Benefícios'!C17)</f>
        <v>440.53499999999997</v>
      </c>
      <c r="AN18" s="297">
        <f>IF('Encargos e Benefícios'!C17=0,0,'Encargos e Benefícios'!AD17/'Encargos e Benefícios'!C17)</f>
        <v>4885.3316666666669</v>
      </c>
      <c r="AO18" s="188">
        <v>2752.21</v>
      </c>
      <c r="AP18" s="298">
        <v>1764.5</v>
      </c>
      <c r="AQ18" s="298">
        <v>3739.92</v>
      </c>
      <c r="AR18" s="299" t="s">
        <v>102</v>
      </c>
      <c r="AS18" s="188"/>
    </row>
    <row r="19" spans="1:45">
      <c r="A19" s="286">
        <v>13</v>
      </c>
      <c r="B19" s="81" t="str">
        <f>'Encargos e Benefícios'!B18</f>
        <v>Socioeducador - D</v>
      </c>
      <c r="C19" s="287">
        <f>'Encargos e Benefícios'!C18</f>
        <v>12</v>
      </c>
      <c r="D19" s="288" t="s">
        <v>504</v>
      </c>
      <c r="E19" s="300">
        <v>45261</v>
      </c>
      <c r="F19" s="301">
        <v>47058</v>
      </c>
      <c r="G19" s="293">
        <v>45413</v>
      </c>
      <c r="H19" s="294">
        <v>5.8400000000000001E-2</v>
      </c>
      <c r="I19" s="256">
        <v>29.2</v>
      </c>
      <c r="J19" s="256">
        <v>6.87</v>
      </c>
      <c r="K19" s="256"/>
      <c r="L19" s="256"/>
      <c r="M19" s="293">
        <v>45778</v>
      </c>
      <c r="N19" s="294">
        <v>5.8400000000000001E-2</v>
      </c>
      <c r="O19" s="256">
        <v>30.9</v>
      </c>
      <c r="P19" s="256">
        <v>7.27</v>
      </c>
      <c r="Q19" s="256"/>
      <c r="R19" s="256"/>
      <c r="S19" s="293">
        <v>46143</v>
      </c>
      <c r="T19" s="294">
        <v>5.8400000000000001E-2</v>
      </c>
      <c r="U19" s="256">
        <v>32.71</v>
      </c>
      <c r="V19" s="256">
        <v>7.82</v>
      </c>
      <c r="W19" s="256"/>
      <c r="X19" s="256"/>
      <c r="Y19" s="293">
        <v>46508</v>
      </c>
      <c r="Z19" s="294">
        <v>5.8400000000000001E-2</v>
      </c>
      <c r="AA19" s="256">
        <v>34.619999999999997</v>
      </c>
      <c r="AB19" s="256">
        <v>8.7100000000000009</v>
      </c>
      <c r="AC19" s="256"/>
      <c r="AD19" s="256"/>
      <c r="AE19" s="293">
        <v>46874</v>
      </c>
      <c r="AF19" s="294">
        <v>5.8400000000000001E-2</v>
      </c>
      <c r="AG19" s="256">
        <v>36.64</v>
      </c>
      <c r="AH19" s="256">
        <v>10.17</v>
      </c>
      <c r="AI19" s="256"/>
      <c r="AJ19" s="257"/>
      <c r="AK19" s="296">
        <f>'Encargos e Benefícios'!D18</f>
        <v>1900</v>
      </c>
      <c r="AL19" s="296">
        <f>IF('Encargos e Benefícios'!C18=0,0,'Encargos e Benefícios'!U18/'Encargos e Benefícios'!C18)</f>
        <v>2281.7944444444447</v>
      </c>
      <c r="AM19" s="296">
        <f>IF('Encargos e Benefícios'!C18=0,0,'Encargos e Benefícios'!AC18/'Encargos e Benefícios'!C18)</f>
        <v>73.422499999999999</v>
      </c>
      <c r="AN19" s="297">
        <f>IF('Encargos e Benefícios'!C18=0,0,'Encargos e Benefícios'!AD18/'Encargos e Benefícios'!C18)</f>
        <v>4255.2169444444453</v>
      </c>
      <c r="AO19" s="188">
        <v>2752.21</v>
      </c>
      <c r="AP19" s="298">
        <v>1764.5</v>
      </c>
      <c r="AQ19" s="298">
        <v>3739.92</v>
      </c>
      <c r="AR19" s="299" t="s">
        <v>102</v>
      </c>
      <c r="AS19" s="188"/>
    </row>
    <row r="20" spans="1:45">
      <c r="A20" s="286">
        <v>14</v>
      </c>
      <c r="B20" s="81" t="str">
        <f>'Encargos e Benefícios'!B19</f>
        <v>Socioeducador - NC</v>
      </c>
      <c r="C20" s="287">
        <f>'Encargos e Benefícios'!C19</f>
        <v>2</v>
      </c>
      <c r="D20" s="288" t="s">
        <v>504</v>
      </c>
      <c r="E20" s="300">
        <v>45261</v>
      </c>
      <c r="F20" s="301">
        <v>47058</v>
      </c>
      <c r="G20" s="293">
        <v>45413</v>
      </c>
      <c r="H20" s="294">
        <v>5.8400000000000001E-2</v>
      </c>
      <c r="I20" s="256">
        <v>29.2</v>
      </c>
      <c r="J20" s="256">
        <v>6.87</v>
      </c>
      <c r="K20" s="256"/>
      <c r="L20" s="256"/>
      <c r="M20" s="293">
        <v>45778</v>
      </c>
      <c r="N20" s="294">
        <v>5.8400000000000001E-2</v>
      </c>
      <c r="O20" s="256">
        <v>30.9</v>
      </c>
      <c r="P20" s="256">
        <v>7.27</v>
      </c>
      <c r="Q20" s="256"/>
      <c r="R20" s="256"/>
      <c r="S20" s="293">
        <v>46143</v>
      </c>
      <c r="T20" s="294">
        <v>5.8400000000000001E-2</v>
      </c>
      <c r="U20" s="256">
        <v>32.71</v>
      </c>
      <c r="V20" s="256">
        <v>7.82</v>
      </c>
      <c r="W20" s="256"/>
      <c r="X20" s="256"/>
      <c r="Y20" s="293">
        <v>46508</v>
      </c>
      <c r="Z20" s="294">
        <v>5.8400000000000001E-2</v>
      </c>
      <c r="AA20" s="256">
        <v>34.619999999999997</v>
      </c>
      <c r="AB20" s="256">
        <v>8.7100000000000009</v>
      </c>
      <c r="AC20" s="256"/>
      <c r="AD20" s="256"/>
      <c r="AE20" s="293">
        <v>46874</v>
      </c>
      <c r="AF20" s="294">
        <v>5.8400000000000001E-2</v>
      </c>
      <c r="AG20" s="256">
        <v>36.64</v>
      </c>
      <c r="AH20" s="256">
        <v>10.17</v>
      </c>
      <c r="AI20" s="256"/>
      <c r="AJ20" s="257"/>
      <c r="AK20" s="296">
        <f>'Encargos e Benefícios'!D19</f>
        <v>1900</v>
      </c>
      <c r="AL20" s="296">
        <f>IF('Encargos e Benefícios'!C19=0,0,'Encargos e Benefícios'!U19/'Encargos e Benefícios'!C19)</f>
        <v>3013.1818518518517</v>
      </c>
      <c r="AM20" s="296">
        <f>IF('Encargos e Benefícios'!C19=0,0,'Encargos e Benefícios'!AC19/'Encargos e Benefícios'!C19)</f>
        <v>440.53499999999997</v>
      </c>
      <c r="AN20" s="297">
        <f>IF('Encargos e Benefícios'!C19=0,0,'Encargos e Benefícios'!AD19/'Encargos e Benefícios'!C19)</f>
        <v>5353.716851851852</v>
      </c>
      <c r="AO20" s="188">
        <v>2752.21</v>
      </c>
      <c r="AP20" s="298">
        <v>1764.5</v>
      </c>
      <c r="AQ20" s="298">
        <v>3739.92</v>
      </c>
      <c r="AR20" s="299" t="s">
        <v>102</v>
      </c>
      <c r="AS20" s="188"/>
    </row>
    <row r="21" spans="1:45" ht="13.5" thickBot="1">
      <c r="A21" s="286">
        <v>15</v>
      </c>
      <c r="B21" s="81" t="str">
        <f>'Encargos e Benefícios'!B20</f>
        <v>Socioeducador - N</v>
      </c>
      <c r="C21" s="287">
        <f>'Encargos e Benefícios'!C20</f>
        <v>6</v>
      </c>
      <c r="D21" s="288" t="s">
        <v>504</v>
      </c>
      <c r="E21" s="300">
        <v>45261</v>
      </c>
      <c r="F21" s="301">
        <v>47058</v>
      </c>
      <c r="G21" s="293">
        <v>45413</v>
      </c>
      <c r="H21" s="294">
        <v>5.8400000000000001E-2</v>
      </c>
      <c r="I21" s="256">
        <v>29.2</v>
      </c>
      <c r="J21" s="256">
        <v>6.87</v>
      </c>
      <c r="K21" s="256"/>
      <c r="L21" s="256"/>
      <c r="M21" s="293">
        <v>45778</v>
      </c>
      <c r="N21" s="294">
        <v>5.8400000000000001E-2</v>
      </c>
      <c r="O21" s="256">
        <v>30.9</v>
      </c>
      <c r="P21" s="256">
        <v>7.27</v>
      </c>
      <c r="Q21" s="256"/>
      <c r="R21" s="256"/>
      <c r="S21" s="293">
        <v>46143</v>
      </c>
      <c r="T21" s="294">
        <v>5.8400000000000001E-2</v>
      </c>
      <c r="U21" s="256">
        <v>32.71</v>
      </c>
      <c r="V21" s="256">
        <v>7.82</v>
      </c>
      <c r="W21" s="256"/>
      <c r="X21" s="256"/>
      <c r="Y21" s="293">
        <v>46508</v>
      </c>
      <c r="Z21" s="294">
        <v>5.8400000000000001E-2</v>
      </c>
      <c r="AA21" s="256">
        <v>34.619999999999997</v>
      </c>
      <c r="AB21" s="256">
        <v>8.7100000000000009</v>
      </c>
      <c r="AC21" s="256"/>
      <c r="AD21" s="256"/>
      <c r="AE21" s="293">
        <v>46874</v>
      </c>
      <c r="AF21" s="294">
        <v>5.8400000000000001E-2</v>
      </c>
      <c r="AG21" s="256">
        <v>36.64</v>
      </c>
      <c r="AH21" s="256">
        <v>10.17</v>
      </c>
      <c r="AI21" s="256"/>
      <c r="AJ21" s="257"/>
      <c r="AK21" s="296">
        <f>'Encargos e Benefícios'!D20</f>
        <v>1900</v>
      </c>
      <c r="AL21" s="296">
        <f>IF('Encargos e Benefícios'!C20=0,0,'Encargos e Benefícios'!U20/'Encargos e Benefícios'!C20)</f>
        <v>2750.1796296296302</v>
      </c>
      <c r="AM21" s="296">
        <f>IF('Encargos e Benefícios'!C20=0,0,'Encargos e Benefícios'!AC20/'Encargos e Benefícios'!C20)</f>
        <v>146.845</v>
      </c>
      <c r="AN21" s="297">
        <f>IF('Encargos e Benefícios'!C20=0,0,'Encargos e Benefícios'!AD20/'Encargos e Benefícios'!C20)</f>
        <v>4797.02462962963</v>
      </c>
      <c r="AO21" s="188">
        <v>2752.21</v>
      </c>
      <c r="AP21" s="298">
        <v>1764.5</v>
      </c>
      <c r="AQ21" s="298">
        <v>3739.92</v>
      </c>
      <c r="AR21" s="299" t="s">
        <v>102</v>
      </c>
      <c r="AS21" s="188"/>
    </row>
    <row r="22" spans="1:45">
      <c r="A22" s="286">
        <v>16</v>
      </c>
      <c r="B22" s="81" t="str">
        <f>'Encargos e Benefícios'!B21</f>
        <v>Diretor Geral de Unidade Socioeducativa</v>
      </c>
      <c r="C22" s="287">
        <f>'Encargos e Benefícios'!C21</f>
        <v>1</v>
      </c>
      <c r="D22" s="288">
        <v>40</v>
      </c>
      <c r="E22" s="289">
        <v>45261</v>
      </c>
      <c r="F22" s="290">
        <v>47058</v>
      </c>
      <c r="G22" s="293">
        <v>45413</v>
      </c>
      <c r="H22" s="294">
        <v>5.8400000000000001E-2</v>
      </c>
      <c r="I22" s="256">
        <v>29.2</v>
      </c>
      <c r="J22" s="256">
        <v>6.87</v>
      </c>
      <c r="K22" s="256"/>
      <c r="L22" s="256"/>
      <c r="M22" s="293">
        <v>45778</v>
      </c>
      <c r="N22" s="294">
        <v>5.8400000000000001E-2</v>
      </c>
      <c r="O22" s="256">
        <v>30.9</v>
      </c>
      <c r="P22" s="256">
        <v>7.27</v>
      </c>
      <c r="Q22" s="256"/>
      <c r="R22" s="256"/>
      <c r="S22" s="293">
        <v>46143</v>
      </c>
      <c r="T22" s="294">
        <v>5.8400000000000001E-2</v>
      </c>
      <c r="U22" s="256">
        <v>32.71</v>
      </c>
      <c r="V22" s="256">
        <v>7.82</v>
      </c>
      <c r="W22" s="256"/>
      <c r="X22" s="256"/>
      <c r="Y22" s="293">
        <v>46508</v>
      </c>
      <c r="Z22" s="294">
        <v>5.8400000000000001E-2</v>
      </c>
      <c r="AA22" s="256">
        <v>34.619999999999997</v>
      </c>
      <c r="AB22" s="256">
        <v>8.7100000000000009</v>
      </c>
      <c r="AC22" s="256"/>
      <c r="AD22" s="256"/>
      <c r="AE22" s="293">
        <v>46874</v>
      </c>
      <c r="AF22" s="294">
        <v>5.8400000000000001E-2</v>
      </c>
      <c r="AG22" s="256">
        <v>36.64</v>
      </c>
      <c r="AH22" s="256">
        <v>10.17</v>
      </c>
      <c r="AI22" s="256"/>
      <c r="AJ22" s="257"/>
      <c r="AK22" s="296">
        <f>'Encargos e Benefícios'!D21</f>
        <v>6500</v>
      </c>
      <c r="AL22" s="296">
        <f>IF('Encargos e Benefícios'!C21=0,0,'Encargos e Benefícios'!U21/'Encargos e Benefícios'!C21)</f>
        <v>5194.2222222222235</v>
      </c>
      <c r="AM22" s="296">
        <f>IF('Encargos e Benefícios'!C21=0,0,'Encargos e Benefícios'!AC21/'Encargos e Benefícios'!C21)</f>
        <v>817.61999999999989</v>
      </c>
      <c r="AN22" s="297">
        <f>IF('Encargos e Benefícios'!C21=0,0,'Encargos e Benefícios'!AD21/'Encargos e Benefícios'!C21)</f>
        <v>12511.842222222222</v>
      </c>
      <c r="AO22" s="188">
        <v>6052.24</v>
      </c>
      <c r="AP22" s="298">
        <v>4236.6899999999996</v>
      </c>
      <c r="AQ22" s="298">
        <v>7864.78</v>
      </c>
      <c r="AR22" s="299" t="s">
        <v>103</v>
      </c>
      <c r="AS22" s="188"/>
    </row>
    <row r="23" spans="1:45">
      <c r="A23" s="286">
        <v>17</v>
      </c>
      <c r="B23" s="81" t="str">
        <f>'Encargos e Benefícios'!B22</f>
        <v>Subdiretor de Segurança</v>
      </c>
      <c r="C23" s="287">
        <f>'Encargos e Benefícios'!C22</f>
        <v>1</v>
      </c>
      <c r="D23" s="288">
        <v>40</v>
      </c>
      <c r="E23" s="300">
        <v>45261</v>
      </c>
      <c r="F23" s="301">
        <v>47058</v>
      </c>
      <c r="G23" s="293">
        <v>45413</v>
      </c>
      <c r="H23" s="294">
        <v>5.8400000000000001E-2</v>
      </c>
      <c r="I23" s="256">
        <v>29.2</v>
      </c>
      <c r="J23" s="256">
        <v>6.87</v>
      </c>
      <c r="K23" s="256"/>
      <c r="L23" s="256"/>
      <c r="M23" s="293">
        <v>45778</v>
      </c>
      <c r="N23" s="294">
        <v>5.8400000000000001E-2</v>
      </c>
      <c r="O23" s="256">
        <v>30.9</v>
      </c>
      <c r="P23" s="256">
        <v>7.27</v>
      </c>
      <c r="Q23" s="256"/>
      <c r="R23" s="256"/>
      <c r="S23" s="293">
        <v>46143</v>
      </c>
      <c r="T23" s="294">
        <v>5.8400000000000001E-2</v>
      </c>
      <c r="U23" s="256">
        <v>32.71</v>
      </c>
      <c r="V23" s="256">
        <v>7.82</v>
      </c>
      <c r="W23" s="256"/>
      <c r="X23" s="256"/>
      <c r="Y23" s="293">
        <v>46508</v>
      </c>
      <c r="Z23" s="294">
        <v>5.8400000000000001E-2</v>
      </c>
      <c r="AA23" s="256">
        <v>34.619999999999997</v>
      </c>
      <c r="AB23" s="256">
        <v>8.7100000000000009</v>
      </c>
      <c r="AC23" s="256"/>
      <c r="AD23" s="256"/>
      <c r="AE23" s="293">
        <v>46874</v>
      </c>
      <c r="AF23" s="294">
        <v>5.8400000000000001E-2</v>
      </c>
      <c r="AG23" s="256">
        <v>36.64</v>
      </c>
      <c r="AH23" s="256">
        <v>10.17</v>
      </c>
      <c r="AI23" s="256"/>
      <c r="AJ23" s="257"/>
      <c r="AK23" s="296">
        <f>'Encargos e Benefícios'!D22</f>
        <v>3773.6</v>
      </c>
      <c r="AL23" s="296">
        <f>IF('Encargos e Benefícios'!C22=0,0,'Encargos e Benefícios'!U22/'Encargos e Benefícios'!C22)</f>
        <v>4147.6056888888888</v>
      </c>
      <c r="AM23" s="296">
        <f>IF('Encargos e Benefícios'!C22=0,0,'Encargos e Benefícios'!AC22/'Encargos e Benefícios'!C22)</f>
        <v>817.61999999999989</v>
      </c>
      <c r="AN23" s="297">
        <f>IF('Encargos e Benefícios'!C22=0,0,'Encargos e Benefícios'!AD22/'Encargos e Benefícios'!C22)</f>
        <v>8738.82568888889</v>
      </c>
      <c r="AO23" s="188">
        <v>4968.99</v>
      </c>
      <c r="AP23" s="298">
        <v>3773.6</v>
      </c>
      <c r="AQ23" s="298">
        <v>6164.38</v>
      </c>
      <c r="AR23" s="299" t="s">
        <v>103</v>
      </c>
      <c r="AS23" s="188"/>
    </row>
    <row r="24" spans="1:45">
      <c r="A24" s="286">
        <v>18</v>
      </c>
      <c r="B24" s="81" t="str">
        <f>'Encargos e Benefícios'!B23</f>
        <v>Advogado</v>
      </c>
      <c r="C24" s="287">
        <f>'Encargos e Benefícios'!C23</f>
        <v>1</v>
      </c>
      <c r="D24" s="288">
        <v>30</v>
      </c>
      <c r="E24" s="300">
        <v>45261</v>
      </c>
      <c r="F24" s="301">
        <v>47058</v>
      </c>
      <c r="G24" s="293">
        <v>45413</v>
      </c>
      <c r="H24" s="294">
        <v>5.8400000000000001E-2</v>
      </c>
      <c r="I24" s="256">
        <v>29.2</v>
      </c>
      <c r="J24" s="256">
        <v>6.87</v>
      </c>
      <c r="K24" s="256"/>
      <c r="L24" s="256"/>
      <c r="M24" s="293">
        <v>45778</v>
      </c>
      <c r="N24" s="294">
        <v>5.8400000000000001E-2</v>
      </c>
      <c r="O24" s="256">
        <v>30.9</v>
      </c>
      <c r="P24" s="256">
        <v>7.27</v>
      </c>
      <c r="Q24" s="256"/>
      <c r="R24" s="256"/>
      <c r="S24" s="293">
        <v>46143</v>
      </c>
      <c r="T24" s="294">
        <v>5.8400000000000001E-2</v>
      </c>
      <c r="U24" s="256">
        <v>32.71</v>
      </c>
      <c r="V24" s="256">
        <v>7.82</v>
      </c>
      <c r="W24" s="256"/>
      <c r="X24" s="256"/>
      <c r="Y24" s="293">
        <v>46508</v>
      </c>
      <c r="Z24" s="294">
        <v>5.8400000000000001E-2</v>
      </c>
      <c r="AA24" s="256">
        <v>34.619999999999997</v>
      </c>
      <c r="AB24" s="256">
        <v>8.7100000000000009</v>
      </c>
      <c r="AC24" s="256"/>
      <c r="AD24" s="256"/>
      <c r="AE24" s="293">
        <v>46874</v>
      </c>
      <c r="AF24" s="294">
        <v>5.8400000000000001E-2</v>
      </c>
      <c r="AG24" s="256">
        <v>36.64</v>
      </c>
      <c r="AH24" s="256">
        <v>10.17</v>
      </c>
      <c r="AI24" s="256"/>
      <c r="AJ24" s="257"/>
      <c r="AK24" s="296">
        <f>'Encargos e Benefícios'!D23</f>
        <v>2600</v>
      </c>
      <c r="AL24" s="296">
        <f>IF('Encargos e Benefícios'!C23=0,0,'Encargos e Benefícios'!U23/'Encargos e Benefícios'!C23)</f>
        <v>2114.088888888889</v>
      </c>
      <c r="AM24" s="296">
        <f>IF('Encargos e Benefícios'!C23=0,0,'Encargos e Benefícios'!AC23/'Encargos e Benefícios'!C23)</f>
        <v>910.67999999999984</v>
      </c>
      <c r="AN24" s="297">
        <f>IF('Encargos e Benefícios'!C23=0,0,'Encargos e Benefícios'!AD23/'Encargos e Benefícios'!C23)</f>
        <v>5624.7688888888897</v>
      </c>
      <c r="AO24" s="188">
        <v>2574.5</v>
      </c>
      <c r="AP24" s="298">
        <v>2000</v>
      </c>
      <c r="AQ24" s="298">
        <v>3148.99</v>
      </c>
      <c r="AR24" s="299" t="s">
        <v>103</v>
      </c>
      <c r="AS24" s="188"/>
    </row>
    <row r="25" spans="1:45">
      <c r="A25" s="286">
        <v>19</v>
      </c>
      <c r="B25" s="81" t="str">
        <f>'Encargos e Benefícios'!B24</f>
        <v>Assistente Social</v>
      </c>
      <c r="C25" s="287">
        <f>'Encargos e Benefícios'!C24</f>
        <v>1</v>
      </c>
      <c r="D25" s="288">
        <v>30</v>
      </c>
      <c r="E25" s="300">
        <v>45261</v>
      </c>
      <c r="F25" s="301">
        <v>47058</v>
      </c>
      <c r="G25" s="293">
        <v>45413</v>
      </c>
      <c r="H25" s="294">
        <v>5.8400000000000001E-2</v>
      </c>
      <c r="I25" s="256">
        <v>29.2</v>
      </c>
      <c r="J25" s="256">
        <v>6.87</v>
      </c>
      <c r="K25" s="256"/>
      <c r="L25" s="256"/>
      <c r="M25" s="293">
        <v>45778</v>
      </c>
      <c r="N25" s="294">
        <v>5.8400000000000001E-2</v>
      </c>
      <c r="O25" s="256">
        <v>30.9</v>
      </c>
      <c r="P25" s="256">
        <v>7.27</v>
      </c>
      <c r="Q25" s="256"/>
      <c r="R25" s="256"/>
      <c r="S25" s="293">
        <v>46143</v>
      </c>
      <c r="T25" s="294">
        <v>5.8400000000000001E-2</v>
      </c>
      <c r="U25" s="256">
        <v>32.71</v>
      </c>
      <c r="V25" s="256">
        <v>7.82</v>
      </c>
      <c r="W25" s="256"/>
      <c r="X25" s="256"/>
      <c r="Y25" s="293">
        <v>46508</v>
      </c>
      <c r="Z25" s="294">
        <v>5.8400000000000001E-2</v>
      </c>
      <c r="AA25" s="256">
        <v>34.619999999999997</v>
      </c>
      <c r="AB25" s="256">
        <v>8.7100000000000009</v>
      </c>
      <c r="AC25" s="256"/>
      <c r="AD25" s="256"/>
      <c r="AE25" s="293">
        <v>46874</v>
      </c>
      <c r="AF25" s="294">
        <v>5.8400000000000001E-2</v>
      </c>
      <c r="AG25" s="256">
        <v>36.64</v>
      </c>
      <c r="AH25" s="256">
        <v>10.17</v>
      </c>
      <c r="AI25" s="256"/>
      <c r="AJ25" s="257"/>
      <c r="AK25" s="296">
        <f>'Encargos e Benefícios'!D24</f>
        <v>2600</v>
      </c>
      <c r="AL25" s="296">
        <f>IF('Encargos e Benefícios'!C24=0,0,'Encargos e Benefícios'!U24/'Encargos e Benefícios'!C24)</f>
        <v>2114.088888888889</v>
      </c>
      <c r="AM25" s="296">
        <f>IF('Encargos e Benefícios'!C24=0,0,'Encargos e Benefícios'!AC24/'Encargos e Benefícios'!C24)</f>
        <v>910.67999999999984</v>
      </c>
      <c r="AN25" s="297">
        <f>IF('Encargos e Benefícios'!C24=0,0,'Encargos e Benefícios'!AD24/'Encargos e Benefícios'!C24)</f>
        <v>5624.7688888888897</v>
      </c>
      <c r="AO25" s="188">
        <v>2906.48</v>
      </c>
      <c r="AP25" s="298">
        <v>2000</v>
      </c>
      <c r="AQ25" s="298">
        <v>3812.95</v>
      </c>
      <c r="AR25" s="299" t="s">
        <v>103</v>
      </c>
      <c r="AS25" s="188"/>
    </row>
    <row r="26" spans="1:45">
      <c r="A26" s="286">
        <v>20</v>
      </c>
      <c r="B26" s="81" t="str">
        <f>'Encargos e Benefícios'!B25</f>
        <v>Pedagogo</v>
      </c>
      <c r="C26" s="287">
        <f>'Encargos e Benefícios'!C25</f>
        <v>1</v>
      </c>
      <c r="D26" s="288">
        <v>30</v>
      </c>
      <c r="E26" s="300">
        <v>45261</v>
      </c>
      <c r="F26" s="301">
        <v>47058</v>
      </c>
      <c r="G26" s="293">
        <v>45413</v>
      </c>
      <c r="H26" s="294">
        <v>5.8400000000000001E-2</v>
      </c>
      <c r="I26" s="256">
        <v>29.2</v>
      </c>
      <c r="J26" s="256">
        <v>6.87</v>
      </c>
      <c r="K26" s="256"/>
      <c r="L26" s="256"/>
      <c r="M26" s="293">
        <v>45778</v>
      </c>
      <c r="N26" s="294">
        <v>5.8400000000000001E-2</v>
      </c>
      <c r="O26" s="256">
        <v>30.9</v>
      </c>
      <c r="P26" s="256">
        <v>7.27</v>
      </c>
      <c r="Q26" s="256"/>
      <c r="R26" s="256"/>
      <c r="S26" s="293">
        <v>46143</v>
      </c>
      <c r="T26" s="294">
        <v>5.8400000000000001E-2</v>
      </c>
      <c r="U26" s="256">
        <v>32.71</v>
      </c>
      <c r="V26" s="256">
        <v>7.82</v>
      </c>
      <c r="W26" s="256"/>
      <c r="X26" s="256"/>
      <c r="Y26" s="293">
        <v>46508</v>
      </c>
      <c r="Z26" s="294">
        <v>5.8400000000000001E-2</v>
      </c>
      <c r="AA26" s="256">
        <v>34.619999999999997</v>
      </c>
      <c r="AB26" s="256">
        <v>8.7100000000000009</v>
      </c>
      <c r="AC26" s="256"/>
      <c r="AD26" s="256"/>
      <c r="AE26" s="293">
        <v>46874</v>
      </c>
      <c r="AF26" s="294">
        <v>5.8400000000000001E-2</v>
      </c>
      <c r="AG26" s="256">
        <v>36.64</v>
      </c>
      <c r="AH26" s="256">
        <v>10.17</v>
      </c>
      <c r="AI26" s="256"/>
      <c r="AJ26" s="257"/>
      <c r="AK26" s="296">
        <f>'Encargos e Benefícios'!D25</f>
        <v>2600</v>
      </c>
      <c r="AL26" s="296">
        <f>IF('Encargos e Benefícios'!C25=0,0,'Encargos e Benefícios'!U25/'Encargos e Benefícios'!C25)</f>
        <v>2114.088888888889</v>
      </c>
      <c r="AM26" s="296">
        <f>IF('Encargos e Benefícios'!C25=0,0,'Encargos e Benefícios'!AC25/'Encargos e Benefícios'!C25)</f>
        <v>910.67999999999984</v>
      </c>
      <c r="AN26" s="297">
        <f>IF('Encargos e Benefícios'!C25=0,0,'Encargos e Benefícios'!AD25/'Encargos e Benefícios'!C25)</f>
        <v>5624.7688888888897</v>
      </c>
      <c r="AO26" s="188">
        <v>2826.08</v>
      </c>
      <c r="AP26" s="298">
        <v>1936.68</v>
      </c>
      <c r="AQ26" s="298">
        <v>3715.48</v>
      </c>
      <c r="AR26" s="299" t="s">
        <v>103</v>
      </c>
      <c r="AS26" s="188"/>
    </row>
    <row r="27" spans="1:45">
      <c r="A27" s="286">
        <v>21</v>
      </c>
      <c r="B27" s="81" t="str">
        <f>'Encargos e Benefícios'!B26</f>
        <v>Psicologo</v>
      </c>
      <c r="C27" s="287">
        <f>'Encargos e Benefícios'!C26</f>
        <v>1</v>
      </c>
      <c r="D27" s="288">
        <v>30</v>
      </c>
      <c r="E27" s="300">
        <v>45261</v>
      </c>
      <c r="F27" s="301">
        <v>47058</v>
      </c>
      <c r="G27" s="293">
        <v>45413</v>
      </c>
      <c r="H27" s="294">
        <v>5.8400000000000001E-2</v>
      </c>
      <c r="I27" s="256">
        <v>29.2</v>
      </c>
      <c r="J27" s="256">
        <v>6.87</v>
      </c>
      <c r="K27" s="256"/>
      <c r="L27" s="256"/>
      <c r="M27" s="293">
        <v>45778</v>
      </c>
      <c r="N27" s="294">
        <v>5.8400000000000001E-2</v>
      </c>
      <c r="O27" s="256">
        <v>30.9</v>
      </c>
      <c r="P27" s="256">
        <v>7.27</v>
      </c>
      <c r="Q27" s="256"/>
      <c r="R27" s="256"/>
      <c r="S27" s="293">
        <v>46143</v>
      </c>
      <c r="T27" s="294">
        <v>5.8400000000000001E-2</v>
      </c>
      <c r="U27" s="256">
        <v>32.71</v>
      </c>
      <c r="V27" s="256">
        <v>7.82</v>
      </c>
      <c r="W27" s="256"/>
      <c r="X27" s="256"/>
      <c r="Y27" s="293">
        <v>46508</v>
      </c>
      <c r="Z27" s="294">
        <v>5.8400000000000001E-2</v>
      </c>
      <c r="AA27" s="256">
        <v>34.619999999999997</v>
      </c>
      <c r="AB27" s="256">
        <v>8.7100000000000009</v>
      </c>
      <c r="AC27" s="256"/>
      <c r="AD27" s="256"/>
      <c r="AE27" s="293">
        <v>46874</v>
      </c>
      <c r="AF27" s="294">
        <v>5.8400000000000001E-2</v>
      </c>
      <c r="AG27" s="256">
        <v>36.64</v>
      </c>
      <c r="AH27" s="256">
        <v>10.17</v>
      </c>
      <c r="AI27" s="256"/>
      <c r="AJ27" s="257"/>
      <c r="AK27" s="296">
        <f>'Encargos e Benefícios'!D26</f>
        <v>2600</v>
      </c>
      <c r="AL27" s="296">
        <f>IF('Encargos e Benefícios'!C26=0,0,'Encargos e Benefícios'!U26/'Encargos e Benefícios'!C26)</f>
        <v>2114.088888888889</v>
      </c>
      <c r="AM27" s="296">
        <f>IF('Encargos e Benefícios'!C26=0,0,'Encargos e Benefícios'!AC26/'Encargos e Benefícios'!C26)</f>
        <v>910.67999999999984</v>
      </c>
      <c r="AN27" s="297">
        <f>IF('Encargos e Benefícios'!C26=0,0,'Encargos e Benefícios'!AD26/'Encargos e Benefícios'!C26)</f>
        <v>5624.7688888888897</v>
      </c>
      <c r="AO27" s="188">
        <v>2906.48</v>
      </c>
      <c r="AP27" s="298">
        <v>2000</v>
      </c>
      <c r="AQ27" s="298">
        <v>3812.95</v>
      </c>
      <c r="AR27" s="299" t="s">
        <v>103</v>
      </c>
      <c r="AS27" s="188"/>
    </row>
    <row r="28" spans="1:45">
      <c r="A28" s="286">
        <v>22</v>
      </c>
      <c r="B28" s="81" t="str">
        <f>'Encargos e Benefícios'!B27</f>
        <v>Terapeuta Ocupacional</v>
      </c>
      <c r="C28" s="287">
        <f>'Encargos e Benefícios'!C27</f>
        <v>1</v>
      </c>
      <c r="D28" s="288">
        <v>30</v>
      </c>
      <c r="E28" s="300">
        <v>45261</v>
      </c>
      <c r="F28" s="301">
        <v>47058</v>
      </c>
      <c r="G28" s="293">
        <v>45413</v>
      </c>
      <c r="H28" s="294">
        <v>5.8400000000000001E-2</v>
      </c>
      <c r="I28" s="256">
        <v>29.2</v>
      </c>
      <c r="J28" s="256">
        <v>6.87</v>
      </c>
      <c r="K28" s="256"/>
      <c r="L28" s="256"/>
      <c r="M28" s="293">
        <v>45778</v>
      </c>
      <c r="N28" s="294">
        <v>5.8400000000000001E-2</v>
      </c>
      <c r="O28" s="256">
        <v>30.9</v>
      </c>
      <c r="P28" s="256">
        <v>7.27</v>
      </c>
      <c r="Q28" s="256"/>
      <c r="R28" s="256"/>
      <c r="S28" s="293">
        <v>46143</v>
      </c>
      <c r="T28" s="294">
        <v>5.8400000000000001E-2</v>
      </c>
      <c r="U28" s="256">
        <v>32.71</v>
      </c>
      <c r="V28" s="256">
        <v>7.82</v>
      </c>
      <c r="W28" s="256"/>
      <c r="X28" s="256"/>
      <c r="Y28" s="293">
        <v>46508</v>
      </c>
      <c r="Z28" s="294">
        <v>5.8400000000000001E-2</v>
      </c>
      <c r="AA28" s="256">
        <v>34.619999999999997</v>
      </c>
      <c r="AB28" s="256">
        <v>8.7100000000000009</v>
      </c>
      <c r="AC28" s="256"/>
      <c r="AD28" s="256"/>
      <c r="AE28" s="293">
        <v>46874</v>
      </c>
      <c r="AF28" s="294">
        <v>5.8400000000000001E-2</v>
      </c>
      <c r="AG28" s="256">
        <v>36.64</v>
      </c>
      <c r="AH28" s="256">
        <v>10.17</v>
      </c>
      <c r="AI28" s="256"/>
      <c r="AJ28" s="257"/>
      <c r="AK28" s="296">
        <f>'Encargos e Benefícios'!D27</f>
        <v>2600</v>
      </c>
      <c r="AL28" s="296">
        <f>IF('Encargos e Benefícios'!C27=0,0,'Encargos e Benefícios'!U27/'Encargos e Benefícios'!C27)</f>
        <v>2114.088888888889</v>
      </c>
      <c r="AM28" s="296">
        <f>IF('Encargos e Benefícios'!C27=0,0,'Encargos e Benefícios'!AC27/'Encargos e Benefícios'!C27)</f>
        <v>910.67999999999984</v>
      </c>
      <c r="AN28" s="297">
        <f>IF('Encargos e Benefícios'!C27=0,0,'Encargos e Benefícios'!AD27/'Encargos e Benefícios'!C27)</f>
        <v>5624.7688888888897</v>
      </c>
      <c r="AO28" s="188">
        <v>2456</v>
      </c>
      <c r="AP28" s="298">
        <v>2000</v>
      </c>
      <c r="AQ28" s="298">
        <v>2911.99</v>
      </c>
      <c r="AR28" s="299" t="s">
        <v>103</v>
      </c>
      <c r="AS28" s="188"/>
    </row>
    <row r="29" spans="1:45">
      <c r="A29" s="286">
        <v>23</v>
      </c>
      <c r="B29" s="81" t="str">
        <f>'Encargos e Benefícios'!B28</f>
        <v>Administrativo</v>
      </c>
      <c r="C29" s="287">
        <f>'Encargos e Benefícios'!C28</f>
        <v>1</v>
      </c>
      <c r="D29" s="288">
        <v>40</v>
      </c>
      <c r="E29" s="300">
        <v>45261</v>
      </c>
      <c r="F29" s="301">
        <v>47058</v>
      </c>
      <c r="G29" s="293">
        <v>45413</v>
      </c>
      <c r="H29" s="294">
        <v>5.8400000000000001E-2</v>
      </c>
      <c r="I29" s="256">
        <v>29.2</v>
      </c>
      <c r="J29" s="256">
        <v>6.87</v>
      </c>
      <c r="K29" s="256"/>
      <c r="L29" s="256"/>
      <c r="M29" s="293">
        <v>45778</v>
      </c>
      <c r="N29" s="294">
        <v>5.8400000000000001E-2</v>
      </c>
      <c r="O29" s="256">
        <v>30.9</v>
      </c>
      <c r="P29" s="256">
        <v>7.27</v>
      </c>
      <c r="Q29" s="256"/>
      <c r="R29" s="256"/>
      <c r="S29" s="293">
        <v>46143</v>
      </c>
      <c r="T29" s="294">
        <v>5.8400000000000001E-2</v>
      </c>
      <c r="U29" s="256">
        <v>32.71</v>
      </c>
      <c r="V29" s="256">
        <v>7.82</v>
      </c>
      <c r="W29" s="256"/>
      <c r="X29" s="256"/>
      <c r="Y29" s="293">
        <v>46508</v>
      </c>
      <c r="Z29" s="294">
        <v>5.8400000000000001E-2</v>
      </c>
      <c r="AA29" s="256">
        <v>34.619999999999997</v>
      </c>
      <c r="AB29" s="256">
        <v>8.7100000000000009</v>
      </c>
      <c r="AC29" s="256"/>
      <c r="AD29" s="256"/>
      <c r="AE29" s="293">
        <v>46874</v>
      </c>
      <c r="AF29" s="294">
        <v>5.8400000000000001E-2</v>
      </c>
      <c r="AG29" s="256">
        <v>36.64</v>
      </c>
      <c r="AH29" s="256">
        <v>10.17</v>
      </c>
      <c r="AI29" s="256"/>
      <c r="AJ29" s="257"/>
      <c r="AK29" s="296">
        <f>'Encargos e Benefícios'!D28</f>
        <v>1750</v>
      </c>
      <c r="AL29" s="296">
        <f>IF('Encargos e Benefícios'!C28=0,0,'Encargos e Benefícios'!U28/'Encargos e Benefícios'!C28)</f>
        <v>1422.9444444444443</v>
      </c>
      <c r="AM29" s="296">
        <f>IF('Encargos e Benefícios'!C28=0,0,'Encargos e Benefícios'!AC28/'Encargos e Benefícios'!C28)</f>
        <v>910.67999999999984</v>
      </c>
      <c r="AN29" s="297">
        <f>IF('Encargos e Benefícios'!C28=0,0,'Encargos e Benefícios'!AD28/'Encargos e Benefícios'!C28)</f>
        <v>4083.6244444444442</v>
      </c>
      <c r="AO29" s="188">
        <v>2012.52</v>
      </c>
      <c r="AP29" s="298">
        <v>1329.38</v>
      </c>
      <c r="AQ29" s="298">
        <v>2695.66</v>
      </c>
      <c r="AR29" s="299" t="s">
        <v>103</v>
      </c>
      <c r="AS29" s="188"/>
    </row>
    <row r="30" spans="1:45">
      <c r="A30" s="286">
        <v>24</v>
      </c>
      <c r="B30" s="81" t="str">
        <f>'Encargos e Benefícios'!B29</f>
        <v>Auxiliar Educacional</v>
      </c>
      <c r="C30" s="287">
        <f>'Encargos e Benefícios'!C29</f>
        <v>1</v>
      </c>
      <c r="D30" s="288">
        <v>30</v>
      </c>
      <c r="E30" s="300">
        <v>45261</v>
      </c>
      <c r="F30" s="301">
        <v>47058</v>
      </c>
      <c r="G30" s="293">
        <v>45413</v>
      </c>
      <c r="H30" s="294">
        <v>5.8400000000000001E-2</v>
      </c>
      <c r="I30" s="256">
        <v>29.2</v>
      </c>
      <c r="J30" s="256">
        <v>6.87</v>
      </c>
      <c r="K30" s="256"/>
      <c r="L30" s="256"/>
      <c r="M30" s="293">
        <v>45778</v>
      </c>
      <c r="N30" s="294">
        <v>5.8400000000000001E-2</v>
      </c>
      <c r="O30" s="256">
        <v>30.9</v>
      </c>
      <c r="P30" s="256">
        <v>7.27</v>
      </c>
      <c r="Q30" s="256"/>
      <c r="R30" s="256"/>
      <c r="S30" s="293">
        <v>46143</v>
      </c>
      <c r="T30" s="294">
        <v>5.8400000000000001E-2</v>
      </c>
      <c r="U30" s="256">
        <v>32.71</v>
      </c>
      <c r="V30" s="256">
        <v>7.82</v>
      </c>
      <c r="W30" s="256"/>
      <c r="X30" s="256"/>
      <c r="Y30" s="293">
        <v>46508</v>
      </c>
      <c r="Z30" s="294">
        <v>5.8400000000000001E-2</v>
      </c>
      <c r="AA30" s="256">
        <v>34.619999999999997</v>
      </c>
      <c r="AB30" s="256">
        <v>8.7100000000000009</v>
      </c>
      <c r="AC30" s="256"/>
      <c r="AD30" s="256"/>
      <c r="AE30" s="293">
        <v>46874</v>
      </c>
      <c r="AF30" s="294">
        <v>5.8400000000000001E-2</v>
      </c>
      <c r="AG30" s="256">
        <v>36.64</v>
      </c>
      <c r="AH30" s="256">
        <v>10.17</v>
      </c>
      <c r="AI30" s="256"/>
      <c r="AJ30" s="257"/>
      <c r="AK30" s="296">
        <f>'Encargos e Benefícios'!D29</f>
        <v>1642</v>
      </c>
      <c r="AL30" s="296">
        <f>IF('Encargos e Benefícios'!C29=0,0,'Encargos e Benefícios'!U29/'Encargos e Benefícios'!C29)</f>
        <v>1335.1284444444443</v>
      </c>
      <c r="AM30" s="296">
        <f>IF('Encargos e Benefícios'!C29=0,0,'Encargos e Benefícios'!AC29/'Encargos e Benefícios'!C29)</f>
        <v>910.67999999999984</v>
      </c>
      <c r="AN30" s="297">
        <f>IF('Encargos e Benefícios'!C29=0,0,'Encargos e Benefícios'!AD29/'Encargos e Benefícios'!C29)</f>
        <v>3887.8084444444444</v>
      </c>
      <c r="AO30" s="188">
        <v>1821.21</v>
      </c>
      <c r="AP30" s="298">
        <v>1641.97</v>
      </c>
      <c r="AQ30" s="298">
        <v>2000.45</v>
      </c>
      <c r="AR30" s="299" t="s">
        <v>103</v>
      </c>
      <c r="AS30" s="188"/>
    </row>
    <row r="31" spans="1:45">
      <c r="A31" s="286">
        <v>25</v>
      </c>
      <c r="B31" s="81" t="str">
        <f>'Encargos e Benefícios'!B30</f>
        <v>Auxiliar de Serviços Gerais</v>
      </c>
      <c r="C31" s="287">
        <f>'Encargos e Benefícios'!C30</f>
        <v>1</v>
      </c>
      <c r="D31" s="288">
        <v>30</v>
      </c>
      <c r="E31" s="300">
        <v>45261</v>
      </c>
      <c r="F31" s="301">
        <v>47058</v>
      </c>
      <c r="G31" s="293">
        <v>45413</v>
      </c>
      <c r="H31" s="294">
        <v>5.8400000000000001E-2</v>
      </c>
      <c r="I31" s="256">
        <v>29.2</v>
      </c>
      <c r="J31" s="256">
        <v>6.87</v>
      </c>
      <c r="K31" s="256"/>
      <c r="L31" s="256"/>
      <c r="M31" s="293">
        <v>45778</v>
      </c>
      <c r="N31" s="294">
        <v>5.8400000000000001E-2</v>
      </c>
      <c r="O31" s="256">
        <v>30.9</v>
      </c>
      <c r="P31" s="256">
        <v>7.27</v>
      </c>
      <c r="Q31" s="256"/>
      <c r="R31" s="256"/>
      <c r="S31" s="293">
        <v>46143</v>
      </c>
      <c r="T31" s="294">
        <v>5.8400000000000001E-2</v>
      </c>
      <c r="U31" s="256">
        <v>32.71</v>
      </c>
      <c r="V31" s="256">
        <v>7.82</v>
      </c>
      <c r="W31" s="256"/>
      <c r="X31" s="256"/>
      <c r="Y31" s="293">
        <v>46508</v>
      </c>
      <c r="Z31" s="294">
        <v>5.8400000000000001E-2</v>
      </c>
      <c r="AA31" s="256">
        <v>34.619999999999997</v>
      </c>
      <c r="AB31" s="256">
        <v>8.7100000000000009</v>
      </c>
      <c r="AC31" s="256"/>
      <c r="AD31" s="256"/>
      <c r="AE31" s="293">
        <v>46874</v>
      </c>
      <c r="AF31" s="294">
        <v>5.8400000000000001E-2</v>
      </c>
      <c r="AG31" s="256">
        <v>36.64</v>
      </c>
      <c r="AH31" s="256">
        <v>10.17</v>
      </c>
      <c r="AI31" s="256"/>
      <c r="AJ31" s="257"/>
      <c r="AK31" s="296">
        <f>'Encargos e Benefícios'!D30</f>
        <v>1385</v>
      </c>
      <c r="AL31" s="296">
        <f>IF('Encargos e Benefícios'!C30=0,0,'Encargos e Benefícios'!U30/'Encargos e Benefícios'!C30)</f>
        <v>1126.1588888888887</v>
      </c>
      <c r="AM31" s="296">
        <f>IF('Encargos e Benefícios'!C30=0,0,'Encargos e Benefícios'!AC30/'Encargos e Benefícios'!C30)</f>
        <v>910.67999999999984</v>
      </c>
      <c r="AN31" s="297">
        <f>IF('Encargos e Benefícios'!C30=0,0,'Encargos e Benefícios'!AD30/'Encargos e Benefícios'!C30)</f>
        <v>3421.8388888888885</v>
      </c>
      <c r="AO31" s="188">
        <v>1481.02</v>
      </c>
      <c r="AP31" s="298">
        <v>1302</v>
      </c>
      <c r="AQ31" s="298">
        <v>1660.04</v>
      </c>
      <c r="AR31" s="299" t="s">
        <v>103</v>
      </c>
      <c r="AS31" s="188"/>
    </row>
    <row r="32" spans="1:45">
      <c r="A32" s="286">
        <v>26</v>
      </c>
      <c r="B32" s="81" t="str">
        <f>'Encargos e Benefícios'!B31</f>
        <v>Motorista</v>
      </c>
      <c r="C32" s="287">
        <f>'Encargos e Benefícios'!C31</f>
        <v>1</v>
      </c>
      <c r="D32" s="288">
        <v>40</v>
      </c>
      <c r="E32" s="300">
        <v>45261</v>
      </c>
      <c r="F32" s="301">
        <v>47058</v>
      </c>
      <c r="G32" s="293">
        <v>45413</v>
      </c>
      <c r="H32" s="294">
        <v>5.8400000000000001E-2</v>
      </c>
      <c r="I32" s="256">
        <v>29.2</v>
      </c>
      <c r="J32" s="256">
        <v>6.87</v>
      </c>
      <c r="K32" s="256"/>
      <c r="L32" s="256"/>
      <c r="M32" s="293">
        <v>45778</v>
      </c>
      <c r="N32" s="294">
        <v>5.8400000000000001E-2</v>
      </c>
      <c r="O32" s="256">
        <v>30.9</v>
      </c>
      <c r="P32" s="256">
        <v>7.27</v>
      </c>
      <c r="Q32" s="256"/>
      <c r="R32" s="256"/>
      <c r="S32" s="293">
        <v>46143</v>
      </c>
      <c r="T32" s="294">
        <v>5.8400000000000001E-2</v>
      </c>
      <c r="U32" s="256">
        <v>32.71</v>
      </c>
      <c r="V32" s="256">
        <v>7.82</v>
      </c>
      <c r="W32" s="256"/>
      <c r="X32" s="256"/>
      <c r="Y32" s="293">
        <v>46508</v>
      </c>
      <c r="Z32" s="294">
        <v>5.8400000000000001E-2</v>
      </c>
      <c r="AA32" s="256">
        <v>34.619999999999997</v>
      </c>
      <c r="AB32" s="256">
        <v>8.7100000000000009</v>
      </c>
      <c r="AC32" s="256"/>
      <c r="AD32" s="256"/>
      <c r="AE32" s="293">
        <v>46874</v>
      </c>
      <c r="AF32" s="294">
        <v>5.8400000000000001E-2</v>
      </c>
      <c r="AG32" s="256">
        <v>36.64</v>
      </c>
      <c r="AH32" s="256">
        <v>10.17</v>
      </c>
      <c r="AI32" s="256"/>
      <c r="AJ32" s="257"/>
      <c r="AK32" s="296">
        <f>'Encargos e Benefícios'!D31</f>
        <v>1452.39</v>
      </c>
      <c r="AL32" s="296">
        <f>IF('Encargos e Benefícios'!C31=0,0,'Encargos e Benefícios'!U31/'Encargos e Benefícios'!C31)</f>
        <v>1180.9544466666669</v>
      </c>
      <c r="AM32" s="296">
        <f>IF('Encargos e Benefícios'!C31=0,0,'Encargos e Benefícios'!AC31/'Encargos e Benefícios'!C31)</f>
        <v>910.67999999999984</v>
      </c>
      <c r="AN32" s="297">
        <f>IF('Encargos e Benefícios'!C31=0,0,'Encargos e Benefícios'!AD31/'Encargos e Benefícios'!C31)</f>
        <v>3544.0244466666668</v>
      </c>
      <c r="AO32" s="188">
        <v>1826.28</v>
      </c>
      <c r="AP32" s="298">
        <v>1452.39</v>
      </c>
      <c r="AQ32" s="298">
        <v>2200.17</v>
      </c>
      <c r="AR32" s="299" t="s">
        <v>103</v>
      </c>
      <c r="AS32" s="188"/>
    </row>
    <row r="33" spans="1:45">
      <c r="A33" s="286">
        <v>27</v>
      </c>
      <c r="B33" s="81" t="str">
        <f>'Encargos e Benefícios'!B32</f>
        <v>Socioeducador - DC</v>
      </c>
      <c r="C33" s="287">
        <f>'Encargos e Benefícios'!C32</f>
        <v>2</v>
      </c>
      <c r="D33" s="288" t="s">
        <v>504</v>
      </c>
      <c r="E33" s="300">
        <v>45261</v>
      </c>
      <c r="F33" s="301">
        <v>47058</v>
      </c>
      <c r="G33" s="293">
        <v>45413</v>
      </c>
      <c r="H33" s="294">
        <v>5.8400000000000001E-2</v>
      </c>
      <c r="I33" s="256">
        <v>29.2</v>
      </c>
      <c r="J33" s="256">
        <v>6.87</v>
      </c>
      <c r="K33" s="256"/>
      <c r="L33" s="256"/>
      <c r="M33" s="293">
        <v>45778</v>
      </c>
      <c r="N33" s="294">
        <v>5.8400000000000001E-2</v>
      </c>
      <c r="O33" s="256">
        <v>30.9</v>
      </c>
      <c r="P33" s="256">
        <v>7.27</v>
      </c>
      <c r="Q33" s="256"/>
      <c r="R33" s="256"/>
      <c r="S33" s="293">
        <v>46143</v>
      </c>
      <c r="T33" s="294">
        <v>5.8400000000000001E-2</v>
      </c>
      <c r="U33" s="256">
        <v>32.71</v>
      </c>
      <c r="V33" s="256">
        <v>7.82</v>
      </c>
      <c r="W33" s="256"/>
      <c r="X33" s="256"/>
      <c r="Y33" s="293">
        <v>46508</v>
      </c>
      <c r="Z33" s="294">
        <v>5.8400000000000001E-2</v>
      </c>
      <c r="AA33" s="256">
        <v>34.619999999999997</v>
      </c>
      <c r="AB33" s="256">
        <v>8.7100000000000009</v>
      </c>
      <c r="AC33" s="256"/>
      <c r="AD33" s="256"/>
      <c r="AE33" s="293">
        <v>46874</v>
      </c>
      <c r="AF33" s="294">
        <v>5.8400000000000001E-2</v>
      </c>
      <c r="AG33" s="256">
        <v>36.64</v>
      </c>
      <c r="AH33" s="256">
        <v>10.17</v>
      </c>
      <c r="AI33" s="256"/>
      <c r="AJ33" s="257"/>
      <c r="AK33" s="296">
        <f>'Encargos e Benefícios'!D32</f>
        <v>1900</v>
      </c>
      <c r="AL33" s="296">
        <f>IF('Encargos e Benefícios'!C32=0,0,'Encargos e Benefícios'!U32/'Encargos e Benefícios'!C32)</f>
        <v>2544.7966666666666</v>
      </c>
      <c r="AM33" s="296">
        <f>IF('Encargos e Benefícios'!C32=0,0,'Encargos e Benefícios'!AC32/'Encargos e Benefícios'!C32)</f>
        <v>440.53499999999997</v>
      </c>
      <c r="AN33" s="297">
        <f>IF('Encargos e Benefícios'!C32=0,0,'Encargos e Benefícios'!AD32/'Encargos e Benefícios'!C32)</f>
        <v>4885.3316666666669</v>
      </c>
      <c r="AO33" s="188">
        <v>2752.21</v>
      </c>
      <c r="AP33" s="298">
        <v>1764.5</v>
      </c>
      <c r="AQ33" s="298">
        <v>3739.92</v>
      </c>
      <c r="AR33" s="299" t="s">
        <v>103</v>
      </c>
      <c r="AS33" s="188"/>
    </row>
    <row r="34" spans="1:45">
      <c r="A34" s="286">
        <v>28</v>
      </c>
      <c r="B34" s="81" t="str">
        <f>'Encargos e Benefícios'!B33</f>
        <v>Socioeducador - D</v>
      </c>
      <c r="C34" s="287">
        <f>'Encargos e Benefícios'!C33</f>
        <v>12</v>
      </c>
      <c r="D34" s="288" t="s">
        <v>504</v>
      </c>
      <c r="E34" s="300">
        <v>45261</v>
      </c>
      <c r="F34" s="301">
        <v>47058</v>
      </c>
      <c r="G34" s="293">
        <v>45413</v>
      </c>
      <c r="H34" s="294">
        <v>5.8400000000000001E-2</v>
      </c>
      <c r="I34" s="256">
        <v>29.2</v>
      </c>
      <c r="J34" s="256">
        <v>6.87</v>
      </c>
      <c r="K34" s="256"/>
      <c r="L34" s="256"/>
      <c r="M34" s="293">
        <v>45778</v>
      </c>
      <c r="N34" s="294">
        <v>5.8400000000000001E-2</v>
      </c>
      <c r="O34" s="256">
        <v>30.9</v>
      </c>
      <c r="P34" s="256">
        <v>7.27</v>
      </c>
      <c r="Q34" s="256"/>
      <c r="R34" s="256"/>
      <c r="S34" s="293">
        <v>46143</v>
      </c>
      <c r="T34" s="294">
        <v>5.8400000000000001E-2</v>
      </c>
      <c r="U34" s="256">
        <v>32.71</v>
      </c>
      <c r="V34" s="256">
        <v>7.82</v>
      </c>
      <c r="W34" s="256"/>
      <c r="X34" s="256"/>
      <c r="Y34" s="293">
        <v>46508</v>
      </c>
      <c r="Z34" s="294">
        <v>5.8400000000000001E-2</v>
      </c>
      <c r="AA34" s="256">
        <v>34.619999999999997</v>
      </c>
      <c r="AB34" s="256">
        <v>8.7100000000000009</v>
      </c>
      <c r="AC34" s="256"/>
      <c r="AD34" s="256"/>
      <c r="AE34" s="293">
        <v>46874</v>
      </c>
      <c r="AF34" s="294">
        <v>5.8400000000000001E-2</v>
      </c>
      <c r="AG34" s="256">
        <v>36.64</v>
      </c>
      <c r="AH34" s="256">
        <v>10.17</v>
      </c>
      <c r="AI34" s="256"/>
      <c r="AJ34" s="257"/>
      <c r="AK34" s="296">
        <f>'Encargos e Benefícios'!D33</f>
        <v>1900</v>
      </c>
      <c r="AL34" s="296">
        <f>IF('Encargos e Benefícios'!C33=0,0,'Encargos e Benefícios'!U33/'Encargos e Benefícios'!C33)</f>
        <v>2281.7944444444447</v>
      </c>
      <c r="AM34" s="296">
        <f>IF('Encargos e Benefícios'!C33=0,0,'Encargos e Benefícios'!AC33/'Encargos e Benefícios'!C33)</f>
        <v>73.422499999999999</v>
      </c>
      <c r="AN34" s="297">
        <f>IF('Encargos e Benefícios'!C33=0,0,'Encargos e Benefícios'!AD33/'Encargos e Benefícios'!C33)</f>
        <v>4255.2169444444453</v>
      </c>
      <c r="AO34" s="188">
        <v>2752.21</v>
      </c>
      <c r="AP34" s="298">
        <v>1764.5</v>
      </c>
      <c r="AQ34" s="298">
        <v>3739.92</v>
      </c>
      <c r="AR34" s="299" t="s">
        <v>103</v>
      </c>
      <c r="AS34" s="188"/>
    </row>
    <row r="35" spans="1:45">
      <c r="A35" s="286">
        <v>29</v>
      </c>
      <c r="B35" s="81" t="str">
        <f>'Encargos e Benefícios'!B34</f>
        <v>Socioeducador - NC</v>
      </c>
      <c r="C35" s="287">
        <f>'Encargos e Benefícios'!C34</f>
        <v>2</v>
      </c>
      <c r="D35" s="288" t="s">
        <v>504</v>
      </c>
      <c r="E35" s="300">
        <v>45261</v>
      </c>
      <c r="F35" s="301">
        <v>47058</v>
      </c>
      <c r="G35" s="293">
        <v>45413</v>
      </c>
      <c r="H35" s="294">
        <v>5.8400000000000001E-2</v>
      </c>
      <c r="I35" s="256">
        <v>29.2</v>
      </c>
      <c r="J35" s="256">
        <v>6.87</v>
      </c>
      <c r="K35" s="256"/>
      <c r="L35" s="256"/>
      <c r="M35" s="293">
        <v>45778</v>
      </c>
      <c r="N35" s="294">
        <v>5.8400000000000001E-2</v>
      </c>
      <c r="O35" s="256">
        <v>30.9</v>
      </c>
      <c r="P35" s="256">
        <v>7.27</v>
      </c>
      <c r="Q35" s="256"/>
      <c r="R35" s="256"/>
      <c r="S35" s="293">
        <v>46143</v>
      </c>
      <c r="T35" s="294">
        <v>5.8400000000000001E-2</v>
      </c>
      <c r="U35" s="256">
        <v>32.71</v>
      </c>
      <c r="V35" s="256">
        <v>7.82</v>
      </c>
      <c r="W35" s="256"/>
      <c r="X35" s="256"/>
      <c r="Y35" s="293">
        <v>46508</v>
      </c>
      <c r="Z35" s="294">
        <v>5.8400000000000001E-2</v>
      </c>
      <c r="AA35" s="256">
        <v>34.619999999999997</v>
      </c>
      <c r="AB35" s="256">
        <v>8.7100000000000009</v>
      </c>
      <c r="AC35" s="256"/>
      <c r="AD35" s="256"/>
      <c r="AE35" s="293">
        <v>46874</v>
      </c>
      <c r="AF35" s="294">
        <v>5.8400000000000001E-2</v>
      </c>
      <c r="AG35" s="256">
        <v>36.64</v>
      </c>
      <c r="AH35" s="256">
        <v>10.17</v>
      </c>
      <c r="AI35" s="256"/>
      <c r="AJ35" s="257"/>
      <c r="AK35" s="296">
        <f>'Encargos e Benefícios'!D34</f>
        <v>1900</v>
      </c>
      <c r="AL35" s="296">
        <f>IF('Encargos e Benefícios'!C34=0,0,'Encargos e Benefícios'!U34/'Encargos e Benefícios'!C34)</f>
        <v>3013.1818518518517</v>
      </c>
      <c r="AM35" s="296">
        <f>IF('Encargos e Benefícios'!C34=0,0,'Encargos e Benefícios'!AC34/'Encargos e Benefícios'!C34)</f>
        <v>440.53499999999997</v>
      </c>
      <c r="AN35" s="297">
        <f>IF('Encargos e Benefícios'!C34=0,0,'Encargos e Benefícios'!AD34/'Encargos e Benefícios'!C34)</f>
        <v>5353.716851851852</v>
      </c>
      <c r="AO35" s="188">
        <v>2752.21</v>
      </c>
      <c r="AP35" s="298">
        <v>1764.5</v>
      </c>
      <c r="AQ35" s="298">
        <v>3739.92</v>
      </c>
      <c r="AR35" s="299" t="s">
        <v>103</v>
      </c>
      <c r="AS35" s="188"/>
    </row>
    <row r="36" spans="1:45" ht="13.5" thickBot="1">
      <c r="A36" s="286">
        <v>30</v>
      </c>
      <c r="B36" s="81" t="str">
        <f>'Encargos e Benefícios'!B35</f>
        <v>Socioeducador - N</v>
      </c>
      <c r="C36" s="287">
        <f>'Encargos e Benefícios'!C35</f>
        <v>6</v>
      </c>
      <c r="D36" s="288" t="s">
        <v>504</v>
      </c>
      <c r="E36" s="300">
        <v>45261</v>
      </c>
      <c r="F36" s="301">
        <v>47058</v>
      </c>
      <c r="G36" s="293">
        <v>45413</v>
      </c>
      <c r="H36" s="294">
        <v>5.8400000000000001E-2</v>
      </c>
      <c r="I36" s="256">
        <v>29.2</v>
      </c>
      <c r="J36" s="256">
        <v>6.87</v>
      </c>
      <c r="K36" s="256"/>
      <c r="L36" s="256"/>
      <c r="M36" s="293">
        <v>45778</v>
      </c>
      <c r="N36" s="294">
        <v>5.8400000000000001E-2</v>
      </c>
      <c r="O36" s="256">
        <v>30.9</v>
      </c>
      <c r="P36" s="256">
        <v>7.27</v>
      </c>
      <c r="Q36" s="256"/>
      <c r="R36" s="256"/>
      <c r="S36" s="293">
        <v>46143</v>
      </c>
      <c r="T36" s="294">
        <v>5.8400000000000001E-2</v>
      </c>
      <c r="U36" s="256">
        <v>32.71</v>
      </c>
      <c r="V36" s="256">
        <v>7.82</v>
      </c>
      <c r="W36" s="256"/>
      <c r="X36" s="256"/>
      <c r="Y36" s="293">
        <v>46508</v>
      </c>
      <c r="Z36" s="294">
        <v>5.8400000000000001E-2</v>
      </c>
      <c r="AA36" s="256">
        <v>34.619999999999997</v>
      </c>
      <c r="AB36" s="256">
        <v>8.7100000000000009</v>
      </c>
      <c r="AC36" s="256"/>
      <c r="AD36" s="256"/>
      <c r="AE36" s="293">
        <v>46874</v>
      </c>
      <c r="AF36" s="294">
        <v>5.8400000000000001E-2</v>
      </c>
      <c r="AG36" s="256">
        <v>36.64</v>
      </c>
      <c r="AH36" s="256">
        <v>10.17</v>
      </c>
      <c r="AI36" s="256"/>
      <c r="AJ36" s="257"/>
      <c r="AK36" s="296">
        <f>'Encargos e Benefícios'!D35</f>
        <v>1900</v>
      </c>
      <c r="AL36" s="296">
        <f>IF('Encargos e Benefícios'!C35=0,0,'Encargos e Benefícios'!U35/'Encargos e Benefícios'!C35)</f>
        <v>2750.1796296296302</v>
      </c>
      <c r="AM36" s="296">
        <f>IF('Encargos e Benefícios'!C35=0,0,'Encargos e Benefícios'!AC35/'Encargos e Benefícios'!C35)</f>
        <v>146.845</v>
      </c>
      <c r="AN36" s="297">
        <f>IF('Encargos e Benefícios'!C35=0,0,'Encargos e Benefícios'!AD35/'Encargos e Benefícios'!C35)</f>
        <v>4797.02462962963</v>
      </c>
      <c r="AO36" s="188">
        <v>2752.21</v>
      </c>
      <c r="AP36" s="298">
        <v>1764.5</v>
      </c>
      <c r="AQ36" s="298">
        <v>3739.92</v>
      </c>
      <c r="AR36" s="299" t="s">
        <v>103</v>
      </c>
      <c r="AS36" s="188"/>
    </row>
    <row r="37" spans="1:45">
      <c r="A37" s="286">
        <v>31</v>
      </c>
      <c r="B37" s="81" t="str">
        <f>'Encargos e Benefícios'!B36</f>
        <v>Diretor Geral de Unidade Socioeducativa</v>
      </c>
      <c r="C37" s="287">
        <f>'Encargos e Benefícios'!C36</f>
        <v>1</v>
      </c>
      <c r="D37" s="288">
        <v>40</v>
      </c>
      <c r="E37" s="289">
        <v>45261</v>
      </c>
      <c r="F37" s="290">
        <v>47058</v>
      </c>
      <c r="G37" s="293">
        <v>45413</v>
      </c>
      <c r="H37" s="294">
        <v>5.8400000000000001E-2</v>
      </c>
      <c r="I37" s="256">
        <v>29.2</v>
      </c>
      <c r="J37" s="256">
        <v>6.87</v>
      </c>
      <c r="K37" s="256"/>
      <c r="L37" s="256"/>
      <c r="M37" s="293">
        <v>45778</v>
      </c>
      <c r="N37" s="294">
        <v>5.8400000000000001E-2</v>
      </c>
      <c r="O37" s="256">
        <v>30.9</v>
      </c>
      <c r="P37" s="256">
        <v>7.27</v>
      </c>
      <c r="Q37" s="256"/>
      <c r="R37" s="256"/>
      <c r="S37" s="293">
        <v>46143</v>
      </c>
      <c r="T37" s="294">
        <v>5.8400000000000001E-2</v>
      </c>
      <c r="U37" s="256">
        <v>32.71</v>
      </c>
      <c r="V37" s="256">
        <v>7.82</v>
      </c>
      <c r="W37" s="256"/>
      <c r="X37" s="256"/>
      <c r="Y37" s="293">
        <v>46508</v>
      </c>
      <c r="Z37" s="294">
        <v>5.8400000000000001E-2</v>
      </c>
      <c r="AA37" s="256">
        <v>34.619999999999997</v>
      </c>
      <c r="AB37" s="256">
        <v>8.7100000000000009</v>
      </c>
      <c r="AC37" s="256"/>
      <c r="AD37" s="256"/>
      <c r="AE37" s="293">
        <v>46874</v>
      </c>
      <c r="AF37" s="294">
        <v>5.8400000000000001E-2</v>
      </c>
      <c r="AG37" s="256">
        <v>36.64</v>
      </c>
      <c r="AH37" s="256">
        <v>10.17</v>
      </c>
      <c r="AI37" s="256"/>
      <c r="AJ37" s="257"/>
      <c r="AK37" s="296">
        <f>'Encargos e Benefícios'!D36</f>
        <v>6500</v>
      </c>
      <c r="AL37" s="296">
        <f>IF('Encargos e Benefícios'!C36=0,0,'Encargos e Benefícios'!U36/'Encargos e Benefícios'!C36)</f>
        <v>5194.2222222222235</v>
      </c>
      <c r="AM37" s="296">
        <f>IF('Encargos e Benefícios'!C36=0,0,'Encargos e Benefícios'!AC36/'Encargos e Benefícios'!C36)</f>
        <v>817.61999999999989</v>
      </c>
      <c r="AN37" s="297">
        <f>IF('Encargos e Benefícios'!C36=0,0,'Encargos e Benefícios'!AD36/'Encargos e Benefícios'!C36)</f>
        <v>12511.842222222222</v>
      </c>
      <c r="AO37" s="188">
        <v>6052.24</v>
      </c>
      <c r="AP37" s="298">
        <v>4236.6899999999996</v>
      </c>
      <c r="AQ37" s="298">
        <v>7864.78</v>
      </c>
      <c r="AR37" s="299" t="s">
        <v>104</v>
      </c>
      <c r="AS37" s="188"/>
    </row>
    <row r="38" spans="1:45">
      <c r="A38" s="286">
        <v>32</v>
      </c>
      <c r="B38" s="81" t="str">
        <f>'Encargos e Benefícios'!B37</f>
        <v>Subdiretor de Segurança</v>
      </c>
      <c r="C38" s="287">
        <f>'Encargos e Benefícios'!C37</f>
        <v>1</v>
      </c>
      <c r="D38" s="288">
        <v>40</v>
      </c>
      <c r="E38" s="300">
        <v>45261</v>
      </c>
      <c r="F38" s="301">
        <v>47058</v>
      </c>
      <c r="G38" s="293">
        <v>45413</v>
      </c>
      <c r="H38" s="294">
        <v>5.8400000000000001E-2</v>
      </c>
      <c r="I38" s="256">
        <v>29.2</v>
      </c>
      <c r="J38" s="256">
        <v>6.87</v>
      </c>
      <c r="K38" s="256"/>
      <c r="L38" s="256"/>
      <c r="M38" s="293">
        <v>45778</v>
      </c>
      <c r="N38" s="294">
        <v>5.8400000000000001E-2</v>
      </c>
      <c r="O38" s="256">
        <v>30.9</v>
      </c>
      <c r="P38" s="256">
        <v>7.27</v>
      </c>
      <c r="Q38" s="256"/>
      <c r="R38" s="256"/>
      <c r="S38" s="293">
        <v>46143</v>
      </c>
      <c r="T38" s="294">
        <v>5.8400000000000001E-2</v>
      </c>
      <c r="U38" s="256">
        <v>32.71</v>
      </c>
      <c r="V38" s="256">
        <v>7.82</v>
      </c>
      <c r="W38" s="256"/>
      <c r="X38" s="256"/>
      <c r="Y38" s="293">
        <v>46508</v>
      </c>
      <c r="Z38" s="294">
        <v>5.8400000000000001E-2</v>
      </c>
      <c r="AA38" s="256">
        <v>34.619999999999997</v>
      </c>
      <c r="AB38" s="256">
        <v>8.7100000000000009</v>
      </c>
      <c r="AC38" s="256"/>
      <c r="AD38" s="256"/>
      <c r="AE38" s="293">
        <v>46874</v>
      </c>
      <c r="AF38" s="294">
        <v>5.8400000000000001E-2</v>
      </c>
      <c r="AG38" s="256">
        <v>36.64</v>
      </c>
      <c r="AH38" s="256">
        <v>10.17</v>
      </c>
      <c r="AI38" s="256"/>
      <c r="AJ38" s="257"/>
      <c r="AK38" s="296">
        <f>'Encargos e Benefícios'!D37</f>
        <v>3773.6</v>
      </c>
      <c r="AL38" s="296">
        <f>IF('Encargos e Benefícios'!C37=0,0,'Encargos e Benefícios'!U37/'Encargos e Benefícios'!C37)</f>
        <v>4147.6056888888888</v>
      </c>
      <c r="AM38" s="296">
        <f>IF('Encargos e Benefícios'!C37=0,0,'Encargos e Benefícios'!AC37/'Encargos e Benefícios'!C37)</f>
        <v>817.61999999999989</v>
      </c>
      <c r="AN38" s="297">
        <f>IF('Encargos e Benefícios'!C37=0,0,'Encargos e Benefícios'!AD37/'Encargos e Benefícios'!C37)</f>
        <v>8738.82568888889</v>
      </c>
      <c r="AO38" s="188">
        <v>4968.99</v>
      </c>
      <c r="AP38" s="298">
        <v>3773.6</v>
      </c>
      <c r="AQ38" s="298">
        <v>6164.38</v>
      </c>
      <c r="AR38" s="299" t="s">
        <v>104</v>
      </c>
      <c r="AS38" s="188"/>
    </row>
    <row r="39" spans="1:45">
      <c r="A39" s="286">
        <v>33</v>
      </c>
      <c r="B39" s="81" t="str">
        <f>'Encargos e Benefícios'!B38</f>
        <v>Advogado</v>
      </c>
      <c r="C39" s="287">
        <f>'Encargos e Benefícios'!C38</f>
        <v>1</v>
      </c>
      <c r="D39" s="288">
        <v>30</v>
      </c>
      <c r="E39" s="300">
        <v>45261</v>
      </c>
      <c r="F39" s="301">
        <v>47058</v>
      </c>
      <c r="G39" s="293">
        <v>45413</v>
      </c>
      <c r="H39" s="294">
        <v>5.8400000000000001E-2</v>
      </c>
      <c r="I39" s="256">
        <v>29.2</v>
      </c>
      <c r="J39" s="256">
        <v>6.87</v>
      </c>
      <c r="K39" s="256"/>
      <c r="L39" s="256"/>
      <c r="M39" s="293">
        <v>45778</v>
      </c>
      <c r="N39" s="294">
        <v>5.8400000000000001E-2</v>
      </c>
      <c r="O39" s="256">
        <v>30.9</v>
      </c>
      <c r="P39" s="256">
        <v>7.27</v>
      </c>
      <c r="Q39" s="256"/>
      <c r="R39" s="256"/>
      <c r="S39" s="293">
        <v>46143</v>
      </c>
      <c r="T39" s="294">
        <v>5.8400000000000001E-2</v>
      </c>
      <c r="U39" s="256">
        <v>32.71</v>
      </c>
      <c r="V39" s="256">
        <v>7.82</v>
      </c>
      <c r="W39" s="256"/>
      <c r="X39" s="256"/>
      <c r="Y39" s="293">
        <v>46508</v>
      </c>
      <c r="Z39" s="294">
        <v>5.8400000000000001E-2</v>
      </c>
      <c r="AA39" s="256">
        <v>34.619999999999997</v>
      </c>
      <c r="AB39" s="256">
        <v>8.7100000000000009</v>
      </c>
      <c r="AC39" s="256"/>
      <c r="AD39" s="256"/>
      <c r="AE39" s="293">
        <v>46874</v>
      </c>
      <c r="AF39" s="294">
        <v>5.8400000000000001E-2</v>
      </c>
      <c r="AG39" s="256">
        <v>36.64</v>
      </c>
      <c r="AH39" s="256">
        <v>10.17</v>
      </c>
      <c r="AI39" s="256"/>
      <c r="AJ39" s="257"/>
      <c r="AK39" s="296">
        <f>'Encargos e Benefícios'!D38</f>
        <v>2600</v>
      </c>
      <c r="AL39" s="296">
        <f>IF('Encargos e Benefícios'!C38=0,0,'Encargos e Benefícios'!U38/'Encargos e Benefícios'!C38)</f>
        <v>2114.088888888889</v>
      </c>
      <c r="AM39" s="296">
        <f>IF('Encargos e Benefícios'!C38=0,0,'Encargos e Benefícios'!AC38/'Encargos e Benefícios'!C38)</f>
        <v>916.87999999999988</v>
      </c>
      <c r="AN39" s="297">
        <f>IF('Encargos e Benefícios'!C38=0,0,'Encargos e Benefícios'!AD38/'Encargos e Benefícios'!C38)</f>
        <v>5630.9688888888895</v>
      </c>
      <c r="AO39" s="188">
        <v>2574.5</v>
      </c>
      <c r="AP39" s="298">
        <v>2000</v>
      </c>
      <c r="AQ39" s="298">
        <v>3148.99</v>
      </c>
      <c r="AR39" s="299" t="s">
        <v>104</v>
      </c>
      <c r="AS39" s="188"/>
    </row>
    <row r="40" spans="1:45">
      <c r="A40" s="286">
        <v>34</v>
      </c>
      <c r="B40" s="81" t="str">
        <f>'Encargos e Benefícios'!B39</f>
        <v>Assistente Social</v>
      </c>
      <c r="C40" s="287">
        <f>'Encargos e Benefícios'!C39</f>
        <v>1</v>
      </c>
      <c r="D40" s="288">
        <v>30</v>
      </c>
      <c r="E40" s="300">
        <v>45261</v>
      </c>
      <c r="F40" s="301">
        <v>47058</v>
      </c>
      <c r="G40" s="293">
        <v>45413</v>
      </c>
      <c r="H40" s="294">
        <v>5.8400000000000001E-2</v>
      </c>
      <c r="I40" s="256">
        <v>29.2</v>
      </c>
      <c r="J40" s="256">
        <v>6.87</v>
      </c>
      <c r="K40" s="256"/>
      <c r="L40" s="256"/>
      <c r="M40" s="293">
        <v>45778</v>
      </c>
      <c r="N40" s="294">
        <v>5.8400000000000001E-2</v>
      </c>
      <c r="O40" s="256">
        <v>30.9</v>
      </c>
      <c r="P40" s="256">
        <v>7.27</v>
      </c>
      <c r="Q40" s="256"/>
      <c r="R40" s="256"/>
      <c r="S40" s="293">
        <v>46143</v>
      </c>
      <c r="T40" s="294">
        <v>5.8400000000000001E-2</v>
      </c>
      <c r="U40" s="256">
        <v>32.71</v>
      </c>
      <c r="V40" s="256">
        <v>7.82</v>
      </c>
      <c r="W40" s="256"/>
      <c r="X40" s="256"/>
      <c r="Y40" s="293">
        <v>46508</v>
      </c>
      <c r="Z40" s="294">
        <v>5.8400000000000001E-2</v>
      </c>
      <c r="AA40" s="256">
        <v>34.619999999999997</v>
      </c>
      <c r="AB40" s="256">
        <v>8.7100000000000009</v>
      </c>
      <c r="AC40" s="256"/>
      <c r="AD40" s="256"/>
      <c r="AE40" s="293">
        <v>46874</v>
      </c>
      <c r="AF40" s="294">
        <v>5.8400000000000001E-2</v>
      </c>
      <c r="AG40" s="256">
        <v>36.64</v>
      </c>
      <c r="AH40" s="256">
        <v>10.17</v>
      </c>
      <c r="AI40" s="256"/>
      <c r="AJ40" s="257"/>
      <c r="AK40" s="296">
        <f>'Encargos e Benefícios'!D39</f>
        <v>2600</v>
      </c>
      <c r="AL40" s="296">
        <f>IF('Encargos e Benefícios'!C39=0,0,'Encargos e Benefícios'!U39/'Encargos e Benefícios'!C39)</f>
        <v>2114.088888888889</v>
      </c>
      <c r="AM40" s="296">
        <f>IF('Encargos e Benefícios'!C39=0,0,'Encargos e Benefícios'!AC39/'Encargos e Benefícios'!C39)</f>
        <v>916.87999999999988</v>
      </c>
      <c r="AN40" s="297">
        <f>IF('Encargos e Benefícios'!C39=0,0,'Encargos e Benefícios'!AD39/'Encargos e Benefícios'!C39)</f>
        <v>5630.9688888888895</v>
      </c>
      <c r="AO40" s="188">
        <v>2906.48</v>
      </c>
      <c r="AP40" s="298">
        <v>2000</v>
      </c>
      <c r="AQ40" s="298">
        <v>3812.95</v>
      </c>
      <c r="AR40" s="299" t="s">
        <v>104</v>
      </c>
      <c r="AS40" s="188"/>
    </row>
    <row r="41" spans="1:45">
      <c r="A41" s="286">
        <v>35</v>
      </c>
      <c r="B41" s="81" t="str">
        <f>'Encargos e Benefícios'!B40</f>
        <v>Pedagogo</v>
      </c>
      <c r="C41" s="287">
        <f>'Encargos e Benefícios'!C40</f>
        <v>1</v>
      </c>
      <c r="D41" s="288">
        <v>30</v>
      </c>
      <c r="E41" s="300">
        <v>45261</v>
      </c>
      <c r="F41" s="301">
        <v>47058</v>
      </c>
      <c r="G41" s="293">
        <v>45413</v>
      </c>
      <c r="H41" s="294">
        <v>5.8400000000000001E-2</v>
      </c>
      <c r="I41" s="256">
        <v>29.2</v>
      </c>
      <c r="J41" s="256">
        <v>6.87</v>
      </c>
      <c r="K41" s="256"/>
      <c r="L41" s="256"/>
      <c r="M41" s="293">
        <v>45778</v>
      </c>
      <c r="N41" s="294">
        <v>5.8400000000000001E-2</v>
      </c>
      <c r="O41" s="256">
        <v>30.9</v>
      </c>
      <c r="P41" s="256">
        <v>7.27</v>
      </c>
      <c r="Q41" s="256"/>
      <c r="R41" s="256"/>
      <c r="S41" s="293">
        <v>46143</v>
      </c>
      <c r="T41" s="294">
        <v>5.8400000000000001E-2</v>
      </c>
      <c r="U41" s="256">
        <v>32.71</v>
      </c>
      <c r="V41" s="256">
        <v>7.82</v>
      </c>
      <c r="W41" s="256"/>
      <c r="X41" s="256"/>
      <c r="Y41" s="293">
        <v>46508</v>
      </c>
      <c r="Z41" s="294">
        <v>5.8400000000000001E-2</v>
      </c>
      <c r="AA41" s="256">
        <v>34.619999999999997</v>
      </c>
      <c r="AB41" s="256">
        <v>8.7100000000000009</v>
      </c>
      <c r="AC41" s="256"/>
      <c r="AD41" s="256"/>
      <c r="AE41" s="293">
        <v>46874</v>
      </c>
      <c r="AF41" s="294">
        <v>5.8400000000000001E-2</v>
      </c>
      <c r="AG41" s="256">
        <v>36.64</v>
      </c>
      <c r="AH41" s="256">
        <v>10.17</v>
      </c>
      <c r="AI41" s="256"/>
      <c r="AJ41" s="257"/>
      <c r="AK41" s="296">
        <f>'Encargos e Benefícios'!D40</f>
        <v>2600</v>
      </c>
      <c r="AL41" s="296">
        <f>IF('Encargos e Benefícios'!C40=0,0,'Encargos e Benefícios'!U40/'Encargos e Benefícios'!C40)</f>
        <v>2114.088888888889</v>
      </c>
      <c r="AM41" s="296">
        <f>IF('Encargos e Benefícios'!C40=0,0,'Encargos e Benefícios'!AC40/'Encargos e Benefícios'!C40)</f>
        <v>916.87999999999988</v>
      </c>
      <c r="AN41" s="297">
        <f>IF('Encargos e Benefícios'!C40=0,0,'Encargos e Benefícios'!AD40/'Encargos e Benefícios'!C40)</f>
        <v>5630.9688888888895</v>
      </c>
      <c r="AO41" s="188">
        <v>2826.08</v>
      </c>
      <c r="AP41" s="298">
        <v>1936.68</v>
      </c>
      <c r="AQ41" s="298">
        <v>3715.48</v>
      </c>
      <c r="AR41" s="299" t="s">
        <v>104</v>
      </c>
      <c r="AS41" s="188"/>
    </row>
    <row r="42" spans="1:45">
      <c r="A42" s="286">
        <v>36</v>
      </c>
      <c r="B42" s="81" t="str">
        <f>'Encargos e Benefícios'!B41</f>
        <v>Psicologo</v>
      </c>
      <c r="C42" s="287">
        <f>'Encargos e Benefícios'!C41</f>
        <v>1</v>
      </c>
      <c r="D42" s="288">
        <v>30</v>
      </c>
      <c r="E42" s="300">
        <v>45261</v>
      </c>
      <c r="F42" s="301">
        <v>47058</v>
      </c>
      <c r="G42" s="293">
        <v>45413</v>
      </c>
      <c r="H42" s="294">
        <v>5.8400000000000001E-2</v>
      </c>
      <c r="I42" s="256">
        <v>29.2</v>
      </c>
      <c r="J42" s="256">
        <v>6.87</v>
      </c>
      <c r="K42" s="256"/>
      <c r="L42" s="256"/>
      <c r="M42" s="293">
        <v>45778</v>
      </c>
      <c r="N42" s="294">
        <v>5.8400000000000001E-2</v>
      </c>
      <c r="O42" s="256">
        <v>30.9</v>
      </c>
      <c r="P42" s="256">
        <v>7.27</v>
      </c>
      <c r="Q42" s="256"/>
      <c r="R42" s="256"/>
      <c r="S42" s="293">
        <v>46143</v>
      </c>
      <c r="T42" s="294">
        <v>5.8400000000000001E-2</v>
      </c>
      <c r="U42" s="256">
        <v>32.71</v>
      </c>
      <c r="V42" s="256">
        <v>7.82</v>
      </c>
      <c r="W42" s="256"/>
      <c r="X42" s="256"/>
      <c r="Y42" s="293">
        <v>46508</v>
      </c>
      <c r="Z42" s="294">
        <v>5.8400000000000001E-2</v>
      </c>
      <c r="AA42" s="256">
        <v>34.619999999999997</v>
      </c>
      <c r="AB42" s="256">
        <v>8.7100000000000009</v>
      </c>
      <c r="AC42" s="256"/>
      <c r="AD42" s="256"/>
      <c r="AE42" s="293">
        <v>46874</v>
      </c>
      <c r="AF42" s="294">
        <v>5.8400000000000001E-2</v>
      </c>
      <c r="AG42" s="256">
        <v>36.64</v>
      </c>
      <c r="AH42" s="256">
        <v>10.17</v>
      </c>
      <c r="AI42" s="256"/>
      <c r="AJ42" s="257"/>
      <c r="AK42" s="296">
        <f>'Encargos e Benefícios'!D41</f>
        <v>2600</v>
      </c>
      <c r="AL42" s="296">
        <f>IF('Encargos e Benefícios'!C41=0,0,'Encargos e Benefícios'!U41/'Encargos e Benefícios'!C41)</f>
        <v>2114.088888888889</v>
      </c>
      <c r="AM42" s="296">
        <f>IF('Encargos e Benefícios'!C41=0,0,'Encargos e Benefícios'!AC41/'Encargos e Benefícios'!C41)</f>
        <v>916.87999999999988</v>
      </c>
      <c r="AN42" s="297">
        <f>IF('Encargos e Benefícios'!C41=0,0,'Encargos e Benefícios'!AD41/'Encargos e Benefícios'!C41)</f>
        <v>5630.9688888888895</v>
      </c>
      <c r="AO42" s="188">
        <v>2906.48</v>
      </c>
      <c r="AP42" s="298">
        <v>2000</v>
      </c>
      <c r="AQ42" s="298">
        <v>3812.95</v>
      </c>
      <c r="AR42" s="299" t="s">
        <v>104</v>
      </c>
      <c r="AS42" s="188"/>
    </row>
    <row r="43" spans="1:45">
      <c r="A43" s="286">
        <v>37</v>
      </c>
      <c r="B43" s="81" t="str">
        <f>'Encargos e Benefícios'!B42</f>
        <v>Terapeuta Ocupacional</v>
      </c>
      <c r="C43" s="287">
        <f>'Encargos e Benefícios'!C42</f>
        <v>1</v>
      </c>
      <c r="D43" s="288">
        <v>30</v>
      </c>
      <c r="E43" s="300">
        <v>45261</v>
      </c>
      <c r="F43" s="301">
        <v>47058</v>
      </c>
      <c r="G43" s="293">
        <v>45413</v>
      </c>
      <c r="H43" s="294">
        <v>5.8400000000000001E-2</v>
      </c>
      <c r="I43" s="256">
        <v>29.2</v>
      </c>
      <c r="J43" s="256">
        <v>6.87</v>
      </c>
      <c r="K43" s="256"/>
      <c r="L43" s="256"/>
      <c r="M43" s="293">
        <v>45778</v>
      </c>
      <c r="N43" s="294">
        <v>5.8400000000000001E-2</v>
      </c>
      <c r="O43" s="256">
        <v>30.9</v>
      </c>
      <c r="P43" s="256">
        <v>7.27</v>
      </c>
      <c r="Q43" s="256"/>
      <c r="R43" s="256"/>
      <c r="S43" s="293">
        <v>46143</v>
      </c>
      <c r="T43" s="294">
        <v>5.8400000000000001E-2</v>
      </c>
      <c r="U43" s="256">
        <v>32.71</v>
      </c>
      <c r="V43" s="256">
        <v>7.82</v>
      </c>
      <c r="W43" s="256"/>
      <c r="X43" s="256"/>
      <c r="Y43" s="293">
        <v>46508</v>
      </c>
      <c r="Z43" s="294">
        <v>5.8400000000000001E-2</v>
      </c>
      <c r="AA43" s="256">
        <v>34.619999999999997</v>
      </c>
      <c r="AB43" s="256">
        <v>8.7100000000000009</v>
      </c>
      <c r="AC43" s="256"/>
      <c r="AD43" s="256"/>
      <c r="AE43" s="293">
        <v>46874</v>
      </c>
      <c r="AF43" s="294">
        <v>5.8400000000000001E-2</v>
      </c>
      <c r="AG43" s="256">
        <v>36.64</v>
      </c>
      <c r="AH43" s="256">
        <v>10.17</v>
      </c>
      <c r="AI43" s="256"/>
      <c r="AJ43" s="257"/>
      <c r="AK43" s="296">
        <f>'Encargos e Benefícios'!D42</f>
        <v>2600</v>
      </c>
      <c r="AL43" s="296">
        <f>IF('Encargos e Benefícios'!C42=0,0,'Encargos e Benefícios'!U42/'Encargos e Benefícios'!C42)</f>
        <v>2114.088888888889</v>
      </c>
      <c r="AM43" s="296">
        <f>IF('Encargos e Benefícios'!C42=0,0,'Encargos e Benefícios'!AC42/'Encargos e Benefícios'!C42)</f>
        <v>916.87999999999988</v>
      </c>
      <c r="AN43" s="297">
        <f>IF('Encargos e Benefícios'!C42=0,0,'Encargos e Benefícios'!AD42/'Encargos e Benefícios'!C42)</f>
        <v>5630.9688888888895</v>
      </c>
      <c r="AO43" s="188">
        <v>2456</v>
      </c>
      <c r="AP43" s="298">
        <v>2000</v>
      </c>
      <c r="AQ43" s="298">
        <v>2911.99</v>
      </c>
      <c r="AR43" s="299" t="s">
        <v>104</v>
      </c>
      <c r="AS43" s="188"/>
    </row>
    <row r="44" spans="1:45">
      <c r="A44" s="286">
        <v>38</v>
      </c>
      <c r="B44" s="81" t="str">
        <f>'Encargos e Benefícios'!B43</f>
        <v>Administrativo</v>
      </c>
      <c r="C44" s="287">
        <f>'Encargos e Benefícios'!C43</f>
        <v>1</v>
      </c>
      <c r="D44" s="288">
        <v>40</v>
      </c>
      <c r="E44" s="300">
        <v>45261</v>
      </c>
      <c r="F44" s="301">
        <v>47058</v>
      </c>
      <c r="G44" s="293">
        <v>45413</v>
      </c>
      <c r="H44" s="294">
        <v>5.8400000000000001E-2</v>
      </c>
      <c r="I44" s="256">
        <v>29.2</v>
      </c>
      <c r="J44" s="256">
        <v>6.87</v>
      </c>
      <c r="K44" s="256"/>
      <c r="L44" s="256"/>
      <c r="M44" s="293">
        <v>45778</v>
      </c>
      <c r="N44" s="294">
        <v>5.8400000000000001E-2</v>
      </c>
      <c r="O44" s="256">
        <v>30.9</v>
      </c>
      <c r="P44" s="256">
        <v>7.27</v>
      </c>
      <c r="Q44" s="256"/>
      <c r="R44" s="256"/>
      <c r="S44" s="293">
        <v>46143</v>
      </c>
      <c r="T44" s="294">
        <v>5.8400000000000001E-2</v>
      </c>
      <c r="U44" s="256">
        <v>32.71</v>
      </c>
      <c r="V44" s="256">
        <v>7.82</v>
      </c>
      <c r="W44" s="256"/>
      <c r="X44" s="256"/>
      <c r="Y44" s="293">
        <v>46508</v>
      </c>
      <c r="Z44" s="294">
        <v>5.8400000000000001E-2</v>
      </c>
      <c r="AA44" s="256">
        <v>34.619999999999997</v>
      </c>
      <c r="AB44" s="256">
        <v>8.7100000000000009</v>
      </c>
      <c r="AC44" s="256"/>
      <c r="AD44" s="256"/>
      <c r="AE44" s="293">
        <v>46874</v>
      </c>
      <c r="AF44" s="294">
        <v>5.8400000000000001E-2</v>
      </c>
      <c r="AG44" s="256">
        <v>36.64</v>
      </c>
      <c r="AH44" s="256">
        <v>10.17</v>
      </c>
      <c r="AI44" s="256"/>
      <c r="AJ44" s="257"/>
      <c r="AK44" s="296">
        <f>'Encargos e Benefícios'!D43</f>
        <v>1750</v>
      </c>
      <c r="AL44" s="296">
        <f>IF('Encargos e Benefícios'!C43=0,0,'Encargos e Benefícios'!U43/'Encargos e Benefícios'!C43)</f>
        <v>1422.9444444444443</v>
      </c>
      <c r="AM44" s="296">
        <f>IF('Encargos e Benefícios'!C43=0,0,'Encargos e Benefícios'!AC43/'Encargos e Benefícios'!C43)</f>
        <v>916.87999999999988</v>
      </c>
      <c r="AN44" s="297">
        <f>IF('Encargos e Benefícios'!C43=0,0,'Encargos e Benefícios'!AD43/'Encargos e Benefícios'!C43)</f>
        <v>4089.8244444444445</v>
      </c>
      <c r="AO44" s="188">
        <v>2012.52</v>
      </c>
      <c r="AP44" s="298">
        <v>1329.38</v>
      </c>
      <c r="AQ44" s="298">
        <v>2695.66</v>
      </c>
      <c r="AR44" s="299" t="s">
        <v>104</v>
      </c>
      <c r="AS44" s="188"/>
    </row>
    <row r="45" spans="1:45">
      <c r="A45" s="286">
        <v>39</v>
      </c>
      <c r="B45" s="81" t="str">
        <f>'Encargos e Benefícios'!B44</f>
        <v>Auxiliar Educacional</v>
      </c>
      <c r="C45" s="287">
        <f>'Encargos e Benefícios'!C44</f>
        <v>1</v>
      </c>
      <c r="D45" s="288">
        <v>30</v>
      </c>
      <c r="E45" s="300">
        <v>45261</v>
      </c>
      <c r="F45" s="301">
        <v>47058</v>
      </c>
      <c r="G45" s="293">
        <v>45413</v>
      </c>
      <c r="H45" s="294">
        <v>5.8400000000000001E-2</v>
      </c>
      <c r="I45" s="256">
        <v>29.2</v>
      </c>
      <c r="J45" s="256">
        <v>6.87</v>
      </c>
      <c r="K45" s="256"/>
      <c r="L45" s="256"/>
      <c r="M45" s="293">
        <v>45778</v>
      </c>
      <c r="N45" s="294">
        <v>5.8400000000000001E-2</v>
      </c>
      <c r="O45" s="256">
        <v>30.9</v>
      </c>
      <c r="P45" s="256">
        <v>7.27</v>
      </c>
      <c r="Q45" s="256"/>
      <c r="R45" s="256"/>
      <c r="S45" s="293">
        <v>46143</v>
      </c>
      <c r="T45" s="294">
        <v>5.8400000000000001E-2</v>
      </c>
      <c r="U45" s="256">
        <v>32.71</v>
      </c>
      <c r="V45" s="256">
        <v>7.82</v>
      </c>
      <c r="W45" s="256"/>
      <c r="X45" s="256"/>
      <c r="Y45" s="293">
        <v>46508</v>
      </c>
      <c r="Z45" s="294">
        <v>5.8400000000000001E-2</v>
      </c>
      <c r="AA45" s="256">
        <v>34.619999999999997</v>
      </c>
      <c r="AB45" s="256">
        <v>8.7100000000000009</v>
      </c>
      <c r="AC45" s="256"/>
      <c r="AD45" s="256"/>
      <c r="AE45" s="293">
        <v>46874</v>
      </c>
      <c r="AF45" s="294">
        <v>5.8400000000000001E-2</v>
      </c>
      <c r="AG45" s="256">
        <v>36.64</v>
      </c>
      <c r="AH45" s="256">
        <v>10.17</v>
      </c>
      <c r="AI45" s="256"/>
      <c r="AJ45" s="257"/>
      <c r="AK45" s="296">
        <f>'Encargos e Benefícios'!D44</f>
        <v>1642</v>
      </c>
      <c r="AL45" s="296">
        <f>IF('Encargos e Benefícios'!C44=0,0,'Encargos e Benefícios'!U44/'Encargos e Benefícios'!C44)</f>
        <v>1335.1284444444443</v>
      </c>
      <c r="AM45" s="296">
        <f>IF('Encargos e Benefícios'!C44=0,0,'Encargos e Benefícios'!AC44/'Encargos e Benefícios'!C44)</f>
        <v>916.87999999999988</v>
      </c>
      <c r="AN45" s="297">
        <f>IF('Encargos e Benefícios'!C44=0,0,'Encargos e Benefícios'!AD44/'Encargos e Benefícios'!C44)</f>
        <v>3894.0084444444446</v>
      </c>
      <c r="AO45" s="188">
        <v>1821.21</v>
      </c>
      <c r="AP45" s="298">
        <v>1641.97</v>
      </c>
      <c r="AQ45" s="298">
        <v>2000.45</v>
      </c>
      <c r="AR45" s="299" t="s">
        <v>104</v>
      </c>
      <c r="AS45" s="188"/>
    </row>
    <row r="46" spans="1:45">
      <c r="A46" s="286">
        <v>40</v>
      </c>
      <c r="B46" s="81" t="str">
        <f>'Encargos e Benefícios'!B45</f>
        <v>Auxiliar de Serviços Gerais</v>
      </c>
      <c r="C46" s="287">
        <f>'Encargos e Benefícios'!C45</f>
        <v>1</v>
      </c>
      <c r="D46" s="288">
        <v>30</v>
      </c>
      <c r="E46" s="300">
        <v>45261</v>
      </c>
      <c r="F46" s="301">
        <v>47058</v>
      </c>
      <c r="G46" s="293">
        <v>45413</v>
      </c>
      <c r="H46" s="294">
        <v>5.8400000000000001E-2</v>
      </c>
      <c r="I46" s="256">
        <v>29.2</v>
      </c>
      <c r="J46" s="256">
        <v>6.87</v>
      </c>
      <c r="K46" s="256"/>
      <c r="L46" s="256"/>
      <c r="M46" s="293">
        <v>45778</v>
      </c>
      <c r="N46" s="294">
        <v>5.8400000000000001E-2</v>
      </c>
      <c r="O46" s="256">
        <v>30.9</v>
      </c>
      <c r="P46" s="256">
        <v>7.27</v>
      </c>
      <c r="Q46" s="256"/>
      <c r="R46" s="256"/>
      <c r="S46" s="293">
        <v>46143</v>
      </c>
      <c r="T46" s="294">
        <v>5.8400000000000001E-2</v>
      </c>
      <c r="U46" s="256">
        <v>32.71</v>
      </c>
      <c r="V46" s="256">
        <v>7.82</v>
      </c>
      <c r="W46" s="256"/>
      <c r="X46" s="256"/>
      <c r="Y46" s="293">
        <v>46508</v>
      </c>
      <c r="Z46" s="294">
        <v>5.8400000000000001E-2</v>
      </c>
      <c r="AA46" s="256">
        <v>34.619999999999997</v>
      </c>
      <c r="AB46" s="256">
        <v>8.7100000000000009</v>
      </c>
      <c r="AC46" s="256"/>
      <c r="AD46" s="256"/>
      <c r="AE46" s="293">
        <v>46874</v>
      </c>
      <c r="AF46" s="294">
        <v>5.8400000000000001E-2</v>
      </c>
      <c r="AG46" s="256">
        <v>36.64</v>
      </c>
      <c r="AH46" s="256">
        <v>10.17</v>
      </c>
      <c r="AI46" s="256"/>
      <c r="AJ46" s="257"/>
      <c r="AK46" s="296">
        <f>'Encargos e Benefícios'!D45</f>
        <v>1385</v>
      </c>
      <c r="AL46" s="296">
        <f>IF('Encargos e Benefícios'!C45=0,0,'Encargos e Benefícios'!U45/'Encargos e Benefícios'!C45)</f>
        <v>1126.1588888888887</v>
      </c>
      <c r="AM46" s="296">
        <f>IF('Encargos e Benefícios'!C45=0,0,'Encargos e Benefícios'!AC45/'Encargos e Benefícios'!C45)</f>
        <v>916.87999999999988</v>
      </c>
      <c r="AN46" s="297">
        <f>IF('Encargos e Benefícios'!C45=0,0,'Encargos e Benefícios'!AD45/'Encargos e Benefícios'!C45)</f>
        <v>3428.0388888888883</v>
      </c>
      <c r="AO46" s="188">
        <v>1481.02</v>
      </c>
      <c r="AP46" s="298">
        <v>1302</v>
      </c>
      <c r="AQ46" s="298">
        <v>1660.04</v>
      </c>
      <c r="AR46" s="299" t="s">
        <v>104</v>
      </c>
      <c r="AS46" s="188"/>
    </row>
    <row r="47" spans="1:45">
      <c r="A47" s="286">
        <v>41</v>
      </c>
      <c r="B47" s="81" t="str">
        <f>'Encargos e Benefícios'!B46</f>
        <v>Motorista</v>
      </c>
      <c r="C47" s="287">
        <f>'Encargos e Benefícios'!C46</f>
        <v>1</v>
      </c>
      <c r="D47" s="288">
        <v>40</v>
      </c>
      <c r="E47" s="300">
        <v>45261</v>
      </c>
      <c r="F47" s="301">
        <v>47058</v>
      </c>
      <c r="G47" s="293">
        <v>45413</v>
      </c>
      <c r="H47" s="294">
        <v>5.8400000000000001E-2</v>
      </c>
      <c r="I47" s="256">
        <v>29.2</v>
      </c>
      <c r="J47" s="256">
        <v>6.87</v>
      </c>
      <c r="K47" s="256"/>
      <c r="L47" s="256"/>
      <c r="M47" s="293">
        <v>45778</v>
      </c>
      <c r="N47" s="294">
        <v>5.8400000000000001E-2</v>
      </c>
      <c r="O47" s="256">
        <v>30.9</v>
      </c>
      <c r="P47" s="256">
        <v>7.27</v>
      </c>
      <c r="Q47" s="256"/>
      <c r="R47" s="256"/>
      <c r="S47" s="293">
        <v>46143</v>
      </c>
      <c r="T47" s="294">
        <v>5.8400000000000001E-2</v>
      </c>
      <c r="U47" s="256">
        <v>32.71</v>
      </c>
      <c r="V47" s="256">
        <v>7.82</v>
      </c>
      <c r="W47" s="256"/>
      <c r="X47" s="256"/>
      <c r="Y47" s="293">
        <v>46508</v>
      </c>
      <c r="Z47" s="294">
        <v>5.8400000000000001E-2</v>
      </c>
      <c r="AA47" s="256">
        <v>34.619999999999997</v>
      </c>
      <c r="AB47" s="256">
        <v>8.7100000000000009</v>
      </c>
      <c r="AC47" s="256"/>
      <c r="AD47" s="256"/>
      <c r="AE47" s="293">
        <v>46874</v>
      </c>
      <c r="AF47" s="294">
        <v>5.8400000000000001E-2</v>
      </c>
      <c r="AG47" s="256">
        <v>36.64</v>
      </c>
      <c r="AH47" s="256">
        <v>10.17</v>
      </c>
      <c r="AI47" s="256"/>
      <c r="AJ47" s="257"/>
      <c r="AK47" s="296">
        <f>'Encargos e Benefícios'!D46</f>
        <v>1452.39</v>
      </c>
      <c r="AL47" s="296">
        <f>IF('Encargos e Benefícios'!C46=0,0,'Encargos e Benefícios'!U46/'Encargos e Benefícios'!C46)</f>
        <v>1180.9544466666669</v>
      </c>
      <c r="AM47" s="296">
        <f>IF('Encargos e Benefícios'!C46=0,0,'Encargos e Benefícios'!AC46/'Encargos e Benefícios'!C46)</f>
        <v>916.87999999999988</v>
      </c>
      <c r="AN47" s="297">
        <f>IF('Encargos e Benefícios'!C46=0,0,'Encargos e Benefícios'!AD46/'Encargos e Benefícios'!C46)</f>
        <v>3550.2244466666671</v>
      </c>
      <c r="AO47" s="188">
        <v>1826.28</v>
      </c>
      <c r="AP47" s="298">
        <v>1452.39</v>
      </c>
      <c r="AQ47" s="298">
        <v>2200.17</v>
      </c>
      <c r="AR47" s="299" t="s">
        <v>104</v>
      </c>
      <c r="AS47" s="188"/>
    </row>
    <row r="48" spans="1:45">
      <c r="A48" s="286">
        <v>42</v>
      </c>
      <c r="B48" s="81" t="str">
        <f>'Encargos e Benefícios'!B47</f>
        <v>Socioeducador - DC</v>
      </c>
      <c r="C48" s="287">
        <f>'Encargos e Benefícios'!C47</f>
        <v>2</v>
      </c>
      <c r="D48" s="288" t="s">
        <v>504</v>
      </c>
      <c r="E48" s="300">
        <v>45261</v>
      </c>
      <c r="F48" s="301">
        <v>47058</v>
      </c>
      <c r="G48" s="293">
        <v>45413</v>
      </c>
      <c r="H48" s="294">
        <v>5.8400000000000001E-2</v>
      </c>
      <c r="I48" s="256">
        <v>29.2</v>
      </c>
      <c r="J48" s="256">
        <v>6.87</v>
      </c>
      <c r="K48" s="256"/>
      <c r="L48" s="256"/>
      <c r="M48" s="293">
        <v>45778</v>
      </c>
      <c r="N48" s="294">
        <v>5.8400000000000001E-2</v>
      </c>
      <c r="O48" s="256">
        <v>30.9</v>
      </c>
      <c r="P48" s="256">
        <v>7.27</v>
      </c>
      <c r="Q48" s="256"/>
      <c r="R48" s="256"/>
      <c r="S48" s="293">
        <v>46143</v>
      </c>
      <c r="T48" s="294">
        <v>5.8400000000000001E-2</v>
      </c>
      <c r="U48" s="256">
        <v>32.71</v>
      </c>
      <c r="V48" s="256">
        <v>7.82</v>
      </c>
      <c r="W48" s="256"/>
      <c r="X48" s="256"/>
      <c r="Y48" s="293">
        <v>46508</v>
      </c>
      <c r="Z48" s="294">
        <v>5.8400000000000001E-2</v>
      </c>
      <c r="AA48" s="256">
        <v>34.619999999999997</v>
      </c>
      <c r="AB48" s="256">
        <v>8.7100000000000009</v>
      </c>
      <c r="AC48" s="256"/>
      <c r="AD48" s="256"/>
      <c r="AE48" s="293">
        <v>46874</v>
      </c>
      <c r="AF48" s="294">
        <v>5.8400000000000001E-2</v>
      </c>
      <c r="AG48" s="256">
        <v>36.64</v>
      </c>
      <c r="AH48" s="256">
        <v>10.17</v>
      </c>
      <c r="AI48" s="256"/>
      <c r="AJ48" s="257"/>
      <c r="AK48" s="296">
        <f>'Encargos e Benefícios'!D47</f>
        <v>1900</v>
      </c>
      <c r="AL48" s="296">
        <f>IF('Encargos e Benefícios'!C47=0,0,'Encargos e Benefícios'!U47/'Encargos e Benefícios'!C47)</f>
        <v>2544.7966666666666</v>
      </c>
      <c r="AM48" s="296">
        <f>IF('Encargos e Benefícios'!C47=0,0,'Encargos e Benefícios'!AC47/'Encargos e Benefícios'!C47)</f>
        <v>442.65</v>
      </c>
      <c r="AN48" s="297">
        <f>IF('Encargos e Benefícios'!C47=0,0,'Encargos e Benefícios'!AD47/'Encargos e Benefícios'!C47)</f>
        <v>4887.4466666666667</v>
      </c>
      <c r="AO48" s="188">
        <v>2752.21</v>
      </c>
      <c r="AP48" s="298">
        <v>1764.5</v>
      </c>
      <c r="AQ48" s="298">
        <v>3739.92</v>
      </c>
      <c r="AR48" s="299" t="s">
        <v>104</v>
      </c>
      <c r="AS48" s="188"/>
    </row>
    <row r="49" spans="1:45">
      <c r="A49" s="286">
        <v>43</v>
      </c>
      <c r="B49" s="81" t="str">
        <f>'Encargos e Benefícios'!B48</f>
        <v>Socioeducador - D</v>
      </c>
      <c r="C49" s="287">
        <f>'Encargos e Benefícios'!C48</f>
        <v>12</v>
      </c>
      <c r="D49" s="288" t="s">
        <v>504</v>
      </c>
      <c r="E49" s="300">
        <v>45261</v>
      </c>
      <c r="F49" s="301">
        <v>47058</v>
      </c>
      <c r="G49" s="293">
        <v>45413</v>
      </c>
      <c r="H49" s="294">
        <v>5.8400000000000001E-2</v>
      </c>
      <c r="I49" s="256">
        <v>29.2</v>
      </c>
      <c r="J49" s="256">
        <v>6.87</v>
      </c>
      <c r="K49" s="256"/>
      <c r="L49" s="256"/>
      <c r="M49" s="293">
        <v>45778</v>
      </c>
      <c r="N49" s="294">
        <v>5.8400000000000001E-2</v>
      </c>
      <c r="O49" s="256">
        <v>30.9</v>
      </c>
      <c r="P49" s="256">
        <v>7.27</v>
      </c>
      <c r="Q49" s="256"/>
      <c r="R49" s="256"/>
      <c r="S49" s="293">
        <v>46143</v>
      </c>
      <c r="T49" s="294">
        <v>5.8400000000000001E-2</v>
      </c>
      <c r="U49" s="256">
        <v>32.71</v>
      </c>
      <c r="V49" s="256">
        <v>7.82</v>
      </c>
      <c r="W49" s="256"/>
      <c r="X49" s="256"/>
      <c r="Y49" s="293">
        <v>46508</v>
      </c>
      <c r="Z49" s="294">
        <v>5.8400000000000001E-2</v>
      </c>
      <c r="AA49" s="256">
        <v>34.619999999999997</v>
      </c>
      <c r="AB49" s="256">
        <v>8.7100000000000009</v>
      </c>
      <c r="AC49" s="256"/>
      <c r="AD49" s="256"/>
      <c r="AE49" s="293">
        <v>46874</v>
      </c>
      <c r="AF49" s="294">
        <v>5.8400000000000001E-2</v>
      </c>
      <c r="AG49" s="256">
        <v>36.64</v>
      </c>
      <c r="AH49" s="256">
        <v>10.17</v>
      </c>
      <c r="AI49" s="256"/>
      <c r="AJ49" s="257"/>
      <c r="AK49" s="296">
        <f>'Encargos e Benefícios'!D48</f>
        <v>1900</v>
      </c>
      <c r="AL49" s="296">
        <f>IF('Encargos e Benefícios'!C48=0,0,'Encargos e Benefícios'!U48/'Encargos e Benefícios'!C48)</f>
        <v>2281.7944444444447</v>
      </c>
      <c r="AM49" s="296">
        <f>IF('Encargos e Benefícios'!C48=0,0,'Encargos e Benefícios'!AC48/'Encargos e Benefícios'!C48)</f>
        <v>73.774999999999991</v>
      </c>
      <c r="AN49" s="297">
        <f>IF('Encargos e Benefícios'!C48=0,0,'Encargos e Benefícios'!AD48/'Encargos e Benefícios'!C48)</f>
        <v>4255.5694444444453</v>
      </c>
      <c r="AO49" s="188">
        <v>2752.21</v>
      </c>
      <c r="AP49" s="298">
        <v>1764.5</v>
      </c>
      <c r="AQ49" s="298">
        <v>3739.92</v>
      </c>
      <c r="AR49" s="299" t="s">
        <v>104</v>
      </c>
      <c r="AS49" s="188"/>
    </row>
    <row r="50" spans="1:45">
      <c r="A50" s="286">
        <v>44</v>
      </c>
      <c r="B50" s="81" t="str">
        <f>'Encargos e Benefícios'!B49</f>
        <v>Socioeducador - NC</v>
      </c>
      <c r="C50" s="287">
        <f>'Encargos e Benefícios'!C49</f>
        <v>2</v>
      </c>
      <c r="D50" s="288" t="s">
        <v>504</v>
      </c>
      <c r="E50" s="300">
        <v>45261</v>
      </c>
      <c r="F50" s="301">
        <v>47058</v>
      </c>
      <c r="G50" s="293">
        <v>45413</v>
      </c>
      <c r="H50" s="294">
        <v>5.8400000000000001E-2</v>
      </c>
      <c r="I50" s="256">
        <v>29.2</v>
      </c>
      <c r="J50" s="256">
        <v>6.87</v>
      </c>
      <c r="K50" s="256"/>
      <c r="L50" s="256"/>
      <c r="M50" s="293">
        <v>45778</v>
      </c>
      <c r="N50" s="294">
        <v>5.8400000000000001E-2</v>
      </c>
      <c r="O50" s="256">
        <v>30.9</v>
      </c>
      <c r="P50" s="256">
        <v>7.27</v>
      </c>
      <c r="Q50" s="256"/>
      <c r="R50" s="256"/>
      <c r="S50" s="293">
        <v>46143</v>
      </c>
      <c r="T50" s="294">
        <v>5.8400000000000001E-2</v>
      </c>
      <c r="U50" s="256">
        <v>32.71</v>
      </c>
      <c r="V50" s="256">
        <v>7.82</v>
      </c>
      <c r="W50" s="256"/>
      <c r="X50" s="256"/>
      <c r="Y50" s="293">
        <v>46508</v>
      </c>
      <c r="Z50" s="294">
        <v>5.8400000000000001E-2</v>
      </c>
      <c r="AA50" s="256">
        <v>34.619999999999997</v>
      </c>
      <c r="AB50" s="256">
        <v>8.7100000000000009</v>
      </c>
      <c r="AC50" s="256"/>
      <c r="AD50" s="256"/>
      <c r="AE50" s="293">
        <v>46874</v>
      </c>
      <c r="AF50" s="294">
        <v>5.8400000000000001E-2</v>
      </c>
      <c r="AG50" s="256">
        <v>36.64</v>
      </c>
      <c r="AH50" s="256">
        <v>10.17</v>
      </c>
      <c r="AI50" s="256"/>
      <c r="AJ50" s="257"/>
      <c r="AK50" s="296">
        <f>'Encargos e Benefícios'!D49</f>
        <v>1900</v>
      </c>
      <c r="AL50" s="296">
        <f>IF('Encargos e Benefícios'!C49=0,0,'Encargos e Benefícios'!U49/'Encargos e Benefícios'!C49)</f>
        <v>3013.1818518518517</v>
      </c>
      <c r="AM50" s="296">
        <f>IF('Encargos e Benefícios'!C49=0,0,'Encargos e Benefícios'!AC49/'Encargos e Benefícios'!C49)</f>
        <v>442.65</v>
      </c>
      <c r="AN50" s="297">
        <f>IF('Encargos e Benefícios'!C49=0,0,'Encargos e Benefícios'!AD49/'Encargos e Benefícios'!C49)</f>
        <v>5355.8318518518518</v>
      </c>
      <c r="AO50" s="188">
        <v>2752.21</v>
      </c>
      <c r="AP50" s="298">
        <v>1764.5</v>
      </c>
      <c r="AQ50" s="298">
        <v>3739.92</v>
      </c>
      <c r="AR50" s="299" t="s">
        <v>104</v>
      </c>
      <c r="AS50" s="188"/>
    </row>
    <row r="51" spans="1:45" ht="13.5" thickBot="1">
      <c r="A51" s="286">
        <v>45</v>
      </c>
      <c r="B51" s="81" t="str">
        <f>'Encargos e Benefícios'!B50</f>
        <v>Socioeducador - N</v>
      </c>
      <c r="C51" s="287">
        <f>'Encargos e Benefícios'!C50</f>
        <v>6</v>
      </c>
      <c r="D51" s="288" t="s">
        <v>504</v>
      </c>
      <c r="E51" s="300">
        <v>45261</v>
      </c>
      <c r="F51" s="301">
        <v>47058</v>
      </c>
      <c r="G51" s="293">
        <v>45413</v>
      </c>
      <c r="H51" s="294">
        <v>5.8400000000000001E-2</v>
      </c>
      <c r="I51" s="256">
        <v>29.2</v>
      </c>
      <c r="J51" s="256">
        <v>6.87</v>
      </c>
      <c r="K51" s="256"/>
      <c r="L51" s="256"/>
      <c r="M51" s="293">
        <v>45778</v>
      </c>
      <c r="N51" s="294">
        <v>5.8400000000000001E-2</v>
      </c>
      <c r="O51" s="256">
        <v>30.9</v>
      </c>
      <c r="P51" s="256">
        <v>7.27</v>
      </c>
      <c r="Q51" s="256"/>
      <c r="R51" s="256"/>
      <c r="S51" s="293">
        <v>46143</v>
      </c>
      <c r="T51" s="294">
        <v>5.8400000000000001E-2</v>
      </c>
      <c r="U51" s="256">
        <v>32.71</v>
      </c>
      <c r="V51" s="256">
        <v>7.82</v>
      </c>
      <c r="W51" s="256"/>
      <c r="X51" s="256"/>
      <c r="Y51" s="293">
        <v>46508</v>
      </c>
      <c r="Z51" s="294">
        <v>5.8400000000000001E-2</v>
      </c>
      <c r="AA51" s="256">
        <v>34.619999999999997</v>
      </c>
      <c r="AB51" s="256">
        <v>8.7100000000000009</v>
      </c>
      <c r="AC51" s="256"/>
      <c r="AD51" s="256"/>
      <c r="AE51" s="293">
        <v>46874</v>
      </c>
      <c r="AF51" s="294">
        <v>5.8400000000000001E-2</v>
      </c>
      <c r="AG51" s="256">
        <v>36.64</v>
      </c>
      <c r="AH51" s="256">
        <v>10.17</v>
      </c>
      <c r="AI51" s="256"/>
      <c r="AJ51" s="257"/>
      <c r="AK51" s="296">
        <f>'Encargos e Benefícios'!D50</f>
        <v>1900</v>
      </c>
      <c r="AL51" s="296">
        <f>IF('Encargos e Benefícios'!C50=0,0,'Encargos e Benefícios'!U50/'Encargos e Benefícios'!C50)</f>
        <v>2750.1796296296302</v>
      </c>
      <c r="AM51" s="296">
        <f>IF('Encargos e Benefícios'!C50=0,0,'Encargos e Benefícios'!AC50/'Encargos e Benefícios'!C50)</f>
        <v>147.54999999999998</v>
      </c>
      <c r="AN51" s="297">
        <f>IF('Encargos e Benefícios'!C50=0,0,'Encargos e Benefícios'!AD50/'Encargos e Benefícios'!C50)</f>
        <v>4797.7296296296299</v>
      </c>
      <c r="AO51" s="188">
        <v>2752.21</v>
      </c>
      <c r="AP51" s="298">
        <v>1764.5</v>
      </c>
      <c r="AQ51" s="298">
        <v>3739.92</v>
      </c>
      <c r="AR51" s="299" t="s">
        <v>104</v>
      </c>
      <c r="AS51" s="188"/>
    </row>
    <row r="52" spans="1:45">
      <c r="A52" s="286">
        <v>46</v>
      </c>
      <c r="B52" s="81" t="str">
        <f>'Encargos e Benefícios'!B51</f>
        <v>Diretor Geral de Unidade Socioeducativa</v>
      </c>
      <c r="C52" s="287">
        <f>'Encargos e Benefícios'!C51</f>
        <v>1</v>
      </c>
      <c r="D52" s="288">
        <v>40</v>
      </c>
      <c r="E52" s="289">
        <v>45261</v>
      </c>
      <c r="F52" s="290">
        <v>47058</v>
      </c>
      <c r="G52" s="293">
        <v>45413</v>
      </c>
      <c r="H52" s="294">
        <v>5.8400000000000001E-2</v>
      </c>
      <c r="I52" s="256">
        <v>29.2</v>
      </c>
      <c r="J52" s="256">
        <v>6.87</v>
      </c>
      <c r="K52" s="256"/>
      <c r="L52" s="256"/>
      <c r="M52" s="293">
        <v>45778</v>
      </c>
      <c r="N52" s="294">
        <v>5.8400000000000001E-2</v>
      </c>
      <c r="O52" s="256">
        <v>30.9</v>
      </c>
      <c r="P52" s="256">
        <v>7.27</v>
      </c>
      <c r="Q52" s="256"/>
      <c r="R52" s="256"/>
      <c r="S52" s="293">
        <v>46143</v>
      </c>
      <c r="T52" s="294">
        <v>5.8400000000000001E-2</v>
      </c>
      <c r="U52" s="256">
        <v>32.71</v>
      </c>
      <c r="V52" s="256">
        <v>7.82</v>
      </c>
      <c r="W52" s="256"/>
      <c r="X52" s="256"/>
      <c r="Y52" s="293">
        <v>46508</v>
      </c>
      <c r="Z52" s="294">
        <v>5.8400000000000001E-2</v>
      </c>
      <c r="AA52" s="256">
        <v>34.619999999999997</v>
      </c>
      <c r="AB52" s="256">
        <v>8.7100000000000009</v>
      </c>
      <c r="AC52" s="256"/>
      <c r="AD52" s="256"/>
      <c r="AE52" s="293">
        <v>46874</v>
      </c>
      <c r="AF52" s="294">
        <v>5.8400000000000001E-2</v>
      </c>
      <c r="AG52" s="256">
        <v>36.64</v>
      </c>
      <c r="AH52" s="256">
        <v>10.17</v>
      </c>
      <c r="AI52" s="256"/>
      <c r="AJ52" s="257"/>
      <c r="AK52" s="296">
        <f>'Encargos e Benefícios'!D51</f>
        <v>6500</v>
      </c>
      <c r="AL52" s="296">
        <f>IF('Encargos e Benefícios'!C51=0,0,'Encargos e Benefícios'!U51/'Encargos e Benefícios'!C51)</f>
        <v>5194.2222222222235</v>
      </c>
      <c r="AM52" s="296">
        <f>IF('Encargos e Benefícios'!C51=0,0,'Encargos e Benefícios'!AC51/'Encargos e Benefícios'!C51)</f>
        <v>817.61999999999989</v>
      </c>
      <c r="AN52" s="297">
        <f>IF('Encargos e Benefícios'!C51=0,0,'Encargos e Benefícios'!AD51/'Encargos e Benefícios'!C51)</f>
        <v>12511.842222222222</v>
      </c>
      <c r="AO52" s="188">
        <v>6052.24</v>
      </c>
      <c r="AP52" s="298">
        <v>4236.6899999999996</v>
      </c>
      <c r="AQ52" s="298">
        <v>7864.78</v>
      </c>
      <c r="AR52" s="299" t="s">
        <v>105</v>
      </c>
      <c r="AS52" s="188"/>
    </row>
    <row r="53" spans="1:45">
      <c r="A53" s="286">
        <v>47</v>
      </c>
      <c r="B53" s="81" t="str">
        <f>'Encargos e Benefícios'!B52</f>
        <v>Subdiretor de Segurança</v>
      </c>
      <c r="C53" s="287">
        <f>'Encargos e Benefícios'!C52</f>
        <v>1</v>
      </c>
      <c r="D53" s="288">
        <v>40</v>
      </c>
      <c r="E53" s="300">
        <v>45261</v>
      </c>
      <c r="F53" s="301">
        <v>47058</v>
      </c>
      <c r="G53" s="293">
        <v>45413</v>
      </c>
      <c r="H53" s="294">
        <v>5.8400000000000001E-2</v>
      </c>
      <c r="I53" s="256">
        <v>29.2</v>
      </c>
      <c r="J53" s="256">
        <v>6.87</v>
      </c>
      <c r="K53" s="256"/>
      <c r="L53" s="256"/>
      <c r="M53" s="293">
        <v>45778</v>
      </c>
      <c r="N53" s="294">
        <v>5.8400000000000001E-2</v>
      </c>
      <c r="O53" s="256">
        <v>30.9</v>
      </c>
      <c r="P53" s="256">
        <v>7.27</v>
      </c>
      <c r="Q53" s="256"/>
      <c r="R53" s="256"/>
      <c r="S53" s="293">
        <v>46143</v>
      </c>
      <c r="T53" s="294">
        <v>5.8400000000000001E-2</v>
      </c>
      <c r="U53" s="256">
        <v>32.71</v>
      </c>
      <c r="V53" s="256">
        <v>7.82</v>
      </c>
      <c r="W53" s="256"/>
      <c r="X53" s="256"/>
      <c r="Y53" s="293">
        <v>46508</v>
      </c>
      <c r="Z53" s="294">
        <v>5.8400000000000001E-2</v>
      </c>
      <c r="AA53" s="256">
        <v>34.619999999999997</v>
      </c>
      <c r="AB53" s="256">
        <v>8.7100000000000009</v>
      </c>
      <c r="AC53" s="256"/>
      <c r="AD53" s="256"/>
      <c r="AE53" s="293">
        <v>46874</v>
      </c>
      <c r="AF53" s="294">
        <v>5.8400000000000001E-2</v>
      </c>
      <c r="AG53" s="256">
        <v>36.64</v>
      </c>
      <c r="AH53" s="256">
        <v>10.17</v>
      </c>
      <c r="AI53" s="256"/>
      <c r="AJ53" s="257"/>
      <c r="AK53" s="296">
        <f>'Encargos e Benefícios'!D52</f>
        <v>3773.6</v>
      </c>
      <c r="AL53" s="296">
        <f>IF('Encargos e Benefícios'!C52=0,0,'Encargos e Benefícios'!U52/'Encargos e Benefícios'!C52)</f>
        <v>4147.6056888888888</v>
      </c>
      <c r="AM53" s="296">
        <f>IF('Encargos e Benefícios'!C52=0,0,'Encargos e Benefícios'!AC52/'Encargos e Benefícios'!C52)</f>
        <v>817.61999999999989</v>
      </c>
      <c r="AN53" s="297">
        <f>IF('Encargos e Benefícios'!C52=0,0,'Encargos e Benefícios'!AD52/'Encargos e Benefícios'!C52)</f>
        <v>8738.82568888889</v>
      </c>
      <c r="AO53" s="188">
        <v>4968.99</v>
      </c>
      <c r="AP53" s="298">
        <v>3773.6</v>
      </c>
      <c r="AQ53" s="298">
        <v>6164.38</v>
      </c>
      <c r="AR53" s="299" t="s">
        <v>105</v>
      </c>
      <c r="AS53" s="188"/>
    </row>
    <row r="54" spans="1:45">
      <c r="A54" s="286">
        <v>48</v>
      </c>
      <c r="B54" s="81" t="str">
        <f>'Encargos e Benefícios'!B53</f>
        <v>Advogado</v>
      </c>
      <c r="C54" s="287">
        <f>'Encargos e Benefícios'!C53</f>
        <v>1</v>
      </c>
      <c r="D54" s="288">
        <v>30</v>
      </c>
      <c r="E54" s="300">
        <v>45261</v>
      </c>
      <c r="F54" s="301">
        <v>47058</v>
      </c>
      <c r="G54" s="293">
        <v>45413</v>
      </c>
      <c r="H54" s="294">
        <v>5.8400000000000001E-2</v>
      </c>
      <c r="I54" s="256">
        <v>29.2</v>
      </c>
      <c r="J54" s="256">
        <v>6.87</v>
      </c>
      <c r="K54" s="256"/>
      <c r="L54" s="256"/>
      <c r="M54" s="293">
        <v>45778</v>
      </c>
      <c r="N54" s="294">
        <v>5.8400000000000001E-2</v>
      </c>
      <c r="O54" s="256">
        <v>30.9</v>
      </c>
      <c r="P54" s="256">
        <v>7.27</v>
      </c>
      <c r="Q54" s="256"/>
      <c r="R54" s="256"/>
      <c r="S54" s="293">
        <v>46143</v>
      </c>
      <c r="T54" s="294">
        <v>5.8400000000000001E-2</v>
      </c>
      <c r="U54" s="256">
        <v>32.71</v>
      </c>
      <c r="V54" s="256">
        <v>7.82</v>
      </c>
      <c r="W54" s="256"/>
      <c r="X54" s="256"/>
      <c r="Y54" s="293">
        <v>46508</v>
      </c>
      <c r="Z54" s="294">
        <v>5.8400000000000001E-2</v>
      </c>
      <c r="AA54" s="256">
        <v>34.619999999999997</v>
      </c>
      <c r="AB54" s="256">
        <v>8.7100000000000009</v>
      </c>
      <c r="AC54" s="256"/>
      <c r="AD54" s="256"/>
      <c r="AE54" s="293">
        <v>46874</v>
      </c>
      <c r="AF54" s="294">
        <v>5.8400000000000001E-2</v>
      </c>
      <c r="AG54" s="256">
        <v>36.64</v>
      </c>
      <c r="AH54" s="256">
        <v>10.17</v>
      </c>
      <c r="AI54" s="256"/>
      <c r="AJ54" s="257"/>
      <c r="AK54" s="296">
        <f>'Encargos e Benefícios'!D53</f>
        <v>2600</v>
      </c>
      <c r="AL54" s="296">
        <f>IF('Encargos e Benefícios'!C53=0,0,'Encargos e Benefícios'!U53/'Encargos e Benefícios'!C53)</f>
        <v>2114.088888888889</v>
      </c>
      <c r="AM54" s="296">
        <f>IF('Encargos e Benefícios'!C53=0,0,'Encargos e Benefícios'!AC53/'Encargos e Benefícios'!C53)</f>
        <v>923.08999999999992</v>
      </c>
      <c r="AN54" s="297">
        <f>IF('Encargos e Benefícios'!C53=0,0,'Encargos e Benefícios'!AD53/'Encargos e Benefícios'!C53)</f>
        <v>5637.1788888888896</v>
      </c>
      <c r="AO54" s="188">
        <v>2574.5</v>
      </c>
      <c r="AP54" s="298">
        <v>2000</v>
      </c>
      <c r="AQ54" s="298">
        <v>3148.99</v>
      </c>
      <c r="AR54" s="299" t="s">
        <v>105</v>
      </c>
      <c r="AS54" s="188"/>
    </row>
    <row r="55" spans="1:45">
      <c r="A55" s="286">
        <v>49</v>
      </c>
      <c r="B55" s="81" t="str">
        <f>'Encargos e Benefícios'!B54</f>
        <v>Assistente Social</v>
      </c>
      <c r="C55" s="287">
        <f>'Encargos e Benefícios'!C54</f>
        <v>1</v>
      </c>
      <c r="D55" s="288">
        <v>30</v>
      </c>
      <c r="E55" s="300">
        <v>45261</v>
      </c>
      <c r="F55" s="301">
        <v>47058</v>
      </c>
      <c r="G55" s="293">
        <v>45413</v>
      </c>
      <c r="H55" s="294">
        <v>5.8400000000000001E-2</v>
      </c>
      <c r="I55" s="256">
        <v>29.2</v>
      </c>
      <c r="J55" s="256">
        <v>6.87</v>
      </c>
      <c r="K55" s="256"/>
      <c r="L55" s="256"/>
      <c r="M55" s="293">
        <v>45778</v>
      </c>
      <c r="N55" s="294">
        <v>5.8400000000000001E-2</v>
      </c>
      <c r="O55" s="256">
        <v>30.9</v>
      </c>
      <c r="P55" s="256">
        <v>7.27</v>
      </c>
      <c r="Q55" s="256"/>
      <c r="R55" s="256"/>
      <c r="S55" s="293">
        <v>46143</v>
      </c>
      <c r="T55" s="294">
        <v>5.8400000000000001E-2</v>
      </c>
      <c r="U55" s="256">
        <v>32.71</v>
      </c>
      <c r="V55" s="256">
        <v>7.82</v>
      </c>
      <c r="W55" s="256"/>
      <c r="X55" s="256"/>
      <c r="Y55" s="293">
        <v>46508</v>
      </c>
      <c r="Z55" s="294">
        <v>5.8400000000000001E-2</v>
      </c>
      <c r="AA55" s="256">
        <v>34.619999999999997</v>
      </c>
      <c r="AB55" s="256">
        <v>8.7100000000000009</v>
      </c>
      <c r="AC55" s="256"/>
      <c r="AD55" s="256"/>
      <c r="AE55" s="293">
        <v>46874</v>
      </c>
      <c r="AF55" s="294">
        <v>5.8400000000000001E-2</v>
      </c>
      <c r="AG55" s="256">
        <v>36.64</v>
      </c>
      <c r="AH55" s="256">
        <v>10.17</v>
      </c>
      <c r="AI55" s="256"/>
      <c r="AJ55" s="257"/>
      <c r="AK55" s="296">
        <f>'Encargos e Benefícios'!D54</f>
        <v>2600</v>
      </c>
      <c r="AL55" s="296">
        <f>IF('Encargos e Benefícios'!C54=0,0,'Encargos e Benefícios'!U54/'Encargos e Benefícios'!C54)</f>
        <v>2114.088888888889</v>
      </c>
      <c r="AM55" s="296">
        <f>IF('Encargos e Benefícios'!C54=0,0,'Encargos e Benefícios'!AC54/'Encargos e Benefícios'!C54)</f>
        <v>923.08999999999992</v>
      </c>
      <c r="AN55" s="297">
        <f>IF('Encargos e Benefícios'!C54=0,0,'Encargos e Benefícios'!AD54/'Encargos e Benefícios'!C54)</f>
        <v>5637.1788888888896</v>
      </c>
      <c r="AO55" s="188">
        <v>2906.48</v>
      </c>
      <c r="AP55" s="298">
        <v>2000</v>
      </c>
      <c r="AQ55" s="298">
        <v>3812.95</v>
      </c>
      <c r="AR55" s="299" t="s">
        <v>105</v>
      </c>
      <c r="AS55" s="188"/>
    </row>
    <row r="56" spans="1:45">
      <c r="A56" s="286">
        <v>50</v>
      </c>
      <c r="B56" s="81" t="str">
        <f>'Encargos e Benefícios'!B55</f>
        <v>Pedagogo</v>
      </c>
      <c r="C56" s="287">
        <f>'Encargos e Benefícios'!C55</f>
        <v>1</v>
      </c>
      <c r="D56" s="288">
        <v>30</v>
      </c>
      <c r="E56" s="300">
        <v>45261</v>
      </c>
      <c r="F56" s="301">
        <v>47058</v>
      </c>
      <c r="G56" s="293">
        <v>45413</v>
      </c>
      <c r="H56" s="294">
        <v>5.8400000000000001E-2</v>
      </c>
      <c r="I56" s="256">
        <v>29.2</v>
      </c>
      <c r="J56" s="256">
        <v>6.87</v>
      </c>
      <c r="K56" s="256"/>
      <c r="L56" s="256"/>
      <c r="M56" s="293">
        <v>45778</v>
      </c>
      <c r="N56" s="294">
        <v>5.8400000000000001E-2</v>
      </c>
      <c r="O56" s="256">
        <v>30.9</v>
      </c>
      <c r="P56" s="256">
        <v>7.27</v>
      </c>
      <c r="Q56" s="256"/>
      <c r="R56" s="256"/>
      <c r="S56" s="293">
        <v>46143</v>
      </c>
      <c r="T56" s="294">
        <v>5.8400000000000001E-2</v>
      </c>
      <c r="U56" s="256">
        <v>32.71</v>
      </c>
      <c r="V56" s="256">
        <v>7.82</v>
      </c>
      <c r="W56" s="256"/>
      <c r="X56" s="256"/>
      <c r="Y56" s="293">
        <v>46508</v>
      </c>
      <c r="Z56" s="294">
        <v>5.8400000000000001E-2</v>
      </c>
      <c r="AA56" s="256">
        <v>34.619999999999997</v>
      </c>
      <c r="AB56" s="256">
        <v>8.7100000000000009</v>
      </c>
      <c r="AC56" s="256"/>
      <c r="AD56" s="256"/>
      <c r="AE56" s="293">
        <v>46874</v>
      </c>
      <c r="AF56" s="294">
        <v>5.8400000000000001E-2</v>
      </c>
      <c r="AG56" s="256">
        <v>36.64</v>
      </c>
      <c r="AH56" s="256">
        <v>10.17</v>
      </c>
      <c r="AI56" s="256"/>
      <c r="AJ56" s="257"/>
      <c r="AK56" s="296">
        <f>'Encargos e Benefícios'!D55</f>
        <v>2600</v>
      </c>
      <c r="AL56" s="296">
        <f>IF('Encargos e Benefícios'!C55=0,0,'Encargos e Benefícios'!U55/'Encargos e Benefícios'!C55)</f>
        <v>2114.088888888889</v>
      </c>
      <c r="AM56" s="296">
        <f>IF('Encargos e Benefícios'!C55=0,0,'Encargos e Benefícios'!AC55/'Encargos e Benefícios'!C55)</f>
        <v>923.08999999999992</v>
      </c>
      <c r="AN56" s="297">
        <f>IF('Encargos e Benefícios'!C55=0,0,'Encargos e Benefícios'!AD55/'Encargos e Benefícios'!C55)</f>
        <v>5637.1788888888896</v>
      </c>
      <c r="AO56" s="188">
        <v>2826.08</v>
      </c>
      <c r="AP56" s="298">
        <v>1936.68</v>
      </c>
      <c r="AQ56" s="298">
        <v>3715.48</v>
      </c>
      <c r="AR56" s="299" t="s">
        <v>105</v>
      </c>
      <c r="AS56" s="188"/>
    </row>
    <row r="57" spans="1:45">
      <c r="A57" s="286">
        <v>51</v>
      </c>
      <c r="B57" s="81" t="str">
        <f>'Encargos e Benefícios'!B56</f>
        <v>Psicologo</v>
      </c>
      <c r="C57" s="287">
        <f>'Encargos e Benefícios'!C56</f>
        <v>1</v>
      </c>
      <c r="D57" s="288">
        <v>30</v>
      </c>
      <c r="E57" s="300">
        <v>45261</v>
      </c>
      <c r="F57" s="301">
        <v>47058</v>
      </c>
      <c r="G57" s="293">
        <v>45413</v>
      </c>
      <c r="H57" s="294">
        <v>5.8400000000000001E-2</v>
      </c>
      <c r="I57" s="256">
        <v>29.2</v>
      </c>
      <c r="J57" s="256">
        <v>6.87</v>
      </c>
      <c r="K57" s="256"/>
      <c r="L57" s="256"/>
      <c r="M57" s="293">
        <v>45778</v>
      </c>
      <c r="N57" s="294">
        <v>5.8400000000000001E-2</v>
      </c>
      <c r="O57" s="256">
        <v>30.9</v>
      </c>
      <c r="P57" s="256">
        <v>7.27</v>
      </c>
      <c r="Q57" s="256"/>
      <c r="R57" s="256"/>
      <c r="S57" s="293">
        <v>46143</v>
      </c>
      <c r="T57" s="294">
        <v>5.8400000000000001E-2</v>
      </c>
      <c r="U57" s="256">
        <v>32.71</v>
      </c>
      <c r="V57" s="256">
        <v>7.82</v>
      </c>
      <c r="W57" s="256"/>
      <c r="X57" s="256"/>
      <c r="Y57" s="293">
        <v>46508</v>
      </c>
      <c r="Z57" s="294">
        <v>5.8400000000000001E-2</v>
      </c>
      <c r="AA57" s="256">
        <v>34.619999999999997</v>
      </c>
      <c r="AB57" s="256">
        <v>8.7100000000000009</v>
      </c>
      <c r="AC57" s="256"/>
      <c r="AD57" s="256"/>
      <c r="AE57" s="293">
        <v>46874</v>
      </c>
      <c r="AF57" s="294">
        <v>5.8400000000000001E-2</v>
      </c>
      <c r="AG57" s="256">
        <v>36.64</v>
      </c>
      <c r="AH57" s="256">
        <v>10.17</v>
      </c>
      <c r="AI57" s="256"/>
      <c r="AJ57" s="257"/>
      <c r="AK57" s="296">
        <f>'Encargos e Benefícios'!D56</f>
        <v>2600</v>
      </c>
      <c r="AL57" s="296">
        <f>IF('Encargos e Benefícios'!C56=0,0,'Encargos e Benefícios'!U56/'Encargos e Benefícios'!C56)</f>
        <v>2114.088888888889</v>
      </c>
      <c r="AM57" s="296">
        <f>IF('Encargos e Benefícios'!C56=0,0,'Encargos e Benefícios'!AC56/'Encargos e Benefícios'!C56)</f>
        <v>923.08999999999992</v>
      </c>
      <c r="AN57" s="297">
        <f>IF('Encargos e Benefícios'!C56=0,0,'Encargos e Benefícios'!AD56/'Encargos e Benefícios'!C56)</f>
        <v>5637.1788888888896</v>
      </c>
      <c r="AO57" s="188">
        <v>2906.48</v>
      </c>
      <c r="AP57" s="298">
        <v>2000</v>
      </c>
      <c r="AQ57" s="298">
        <v>3812.95</v>
      </c>
      <c r="AR57" s="299" t="s">
        <v>105</v>
      </c>
      <c r="AS57" s="188"/>
    </row>
    <row r="58" spans="1:45">
      <c r="A58" s="286">
        <v>52</v>
      </c>
      <c r="B58" s="81" t="str">
        <f>'Encargos e Benefícios'!B57</f>
        <v>Terapeuta Ocupacional</v>
      </c>
      <c r="C58" s="287">
        <f>'Encargos e Benefícios'!C57</f>
        <v>1</v>
      </c>
      <c r="D58" s="288">
        <v>30</v>
      </c>
      <c r="E58" s="300">
        <v>45261</v>
      </c>
      <c r="F58" s="301">
        <v>47058</v>
      </c>
      <c r="G58" s="293">
        <v>45413</v>
      </c>
      <c r="H58" s="294">
        <v>5.8400000000000001E-2</v>
      </c>
      <c r="I58" s="256">
        <v>29.2</v>
      </c>
      <c r="J58" s="256">
        <v>6.87</v>
      </c>
      <c r="K58" s="256"/>
      <c r="L58" s="256"/>
      <c r="M58" s="293">
        <v>45778</v>
      </c>
      <c r="N58" s="294">
        <v>5.8400000000000001E-2</v>
      </c>
      <c r="O58" s="256">
        <v>30.9</v>
      </c>
      <c r="P58" s="256">
        <v>7.27</v>
      </c>
      <c r="Q58" s="256"/>
      <c r="R58" s="256"/>
      <c r="S58" s="293">
        <v>46143</v>
      </c>
      <c r="T58" s="294">
        <v>5.8400000000000001E-2</v>
      </c>
      <c r="U58" s="256">
        <v>32.71</v>
      </c>
      <c r="V58" s="256">
        <v>7.82</v>
      </c>
      <c r="W58" s="256"/>
      <c r="X58" s="256"/>
      <c r="Y58" s="293">
        <v>46508</v>
      </c>
      <c r="Z58" s="294">
        <v>5.8400000000000001E-2</v>
      </c>
      <c r="AA58" s="256">
        <v>34.619999999999997</v>
      </c>
      <c r="AB58" s="256">
        <v>8.7100000000000009</v>
      </c>
      <c r="AC58" s="256"/>
      <c r="AD58" s="256"/>
      <c r="AE58" s="293">
        <v>46874</v>
      </c>
      <c r="AF58" s="294">
        <v>5.8400000000000001E-2</v>
      </c>
      <c r="AG58" s="256">
        <v>36.64</v>
      </c>
      <c r="AH58" s="256">
        <v>10.17</v>
      </c>
      <c r="AI58" s="256"/>
      <c r="AJ58" s="257"/>
      <c r="AK58" s="296">
        <f>'Encargos e Benefícios'!D57</f>
        <v>2600</v>
      </c>
      <c r="AL58" s="296">
        <f>IF('Encargos e Benefícios'!C57=0,0,'Encargos e Benefícios'!U57/'Encargos e Benefícios'!C57)</f>
        <v>2114.088888888889</v>
      </c>
      <c r="AM58" s="296">
        <f>IF('Encargos e Benefícios'!C57=0,0,'Encargos e Benefícios'!AC57/'Encargos e Benefícios'!C57)</f>
        <v>923.08999999999992</v>
      </c>
      <c r="AN58" s="297">
        <f>IF('Encargos e Benefícios'!C57=0,0,'Encargos e Benefícios'!AD57/'Encargos e Benefícios'!C57)</f>
        <v>5637.1788888888896</v>
      </c>
      <c r="AO58" s="188">
        <v>2456</v>
      </c>
      <c r="AP58" s="298">
        <v>2000</v>
      </c>
      <c r="AQ58" s="298">
        <v>2911.99</v>
      </c>
      <c r="AR58" s="299" t="s">
        <v>105</v>
      </c>
      <c r="AS58" s="188"/>
    </row>
    <row r="59" spans="1:45">
      <c r="A59" s="286">
        <v>53</v>
      </c>
      <c r="B59" s="81" t="str">
        <f>'Encargos e Benefícios'!B58</f>
        <v>Administrativo</v>
      </c>
      <c r="C59" s="287">
        <f>'Encargos e Benefícios'!C58</f>
        <v>1</v>
      </c>
      <c r="D59" s="288">
        <v>40</v>
      </c>
      <c r="E59" s="300">
        <v>45261</v>
      </c>
      <c r="F59" s="301">
        <v>47058</v>
      </c>
      <c r="G59" s="293">
        <v>45413</v>
      </c>
      <c r="H59" s="294">
        <v>5.8400000000000001E-2</v>
      </c>
      <c r="I59" s="256">
        <v>29.2</v>
      </c>
      <c r="J59" s="256">
        <v>6.87</v>
      </c>
      <c r="K59" s="256"/>
      <c r="L59" s="256"/>
      <c r="M59" s="293">
        <v>45778</v>
      </c>
      <c r="N59" s="294">
        <v>5.8400000000000001E-2</v>
      </c>
      <c r="O59" s="256">
        <v>30.9</v>
      </c>
      <c r="P59" s="256">
        <v>7.27</v>
      </c>
      <c r="Q59" s="256"/>
      <c r="R59" s="256"/>
      <c r="S59" s="293">
        <v>46143</v>
      </c>
      <c r="T59" s="294">
        <v>5.8400000000000001E-2</v>
      </c>
      <c r="U59" s="256">
        <v>32.71</v>
      </c>
      <c r="V59" s="256">
        <v>7.82</v>
      </c>
      <c r="W59" s="256"/>
      <c r="X59" s="256"/>
      <c r="Y59" s="293">
        <v>46508</v>
      </c>
      <c r="Z59" s="294">
        <v>5.8400000000000001E-2</v>
      </c>
      <c r="AA59" s="256">
        <v>34.619999999999997</v>
      </c>
      <c r="AB59" s="256">
        <v>8.7100000000000009</v>
      </c>
      <c r="AC59" s="256"/>
      <c r="AD59" s="256"/>
      <c r="AE59" s="293">
        <v>46874</v>
      </c>
      <c r="AF59" s="294">
        <v>5.8400000000000001E-2</v>
      </c>
      <c r="AG59" s="256">
        <v>36.64</v>
      </c>
      <c r="AH59" s="256">
        <v>10.17</v>
      </c>
      <c r="AI59" s="256"/>
      <c r="AJ59" s="257"/>
      <c r="AK59" s="296">
        <f>'Encargos e Benefícios'!D58</f>
        <v>1750</v>
      </c>
      <c r="AL59" s="296">
        <f>IF('Encargos e Benefícios'!C58=0,0,'Encargos e Benefícios'!U58/'Encargos e Benefícios'!C58)</f>
        <v>1422.9444444444443</v>
      </c>
      <c r="AM59" s="296">
        <f>IF('Encargos e Benefícios'!C58=0,0,'Encargos e Benefícios'!AC58/'Encargos e Benefícios'!C58)</f>
        <v>923.08999999999992</v>
      </c>
      <c r="AN59" s="297">
        <f>IF('Encargos e Benefícios'!C58=0,0,'Encargos e Benefícios'!AD58/'Encargos e Benefícios'!C58)</f>
        <v>4096.0344444444445</v>
      </c>
      <c r="AO59" s="188">
        <v>2012.52</v>
      </c>
      <c r="AP59" s="298">
        <v>1329.38</v>
      </c>
      <c r="AQ59" s="298">
        <v>2695.66</v>
      </c>
      <c r="AR59" s="299" t="s">
        <v>105</v>
      </c>
      <c r="AS59" s="188"/>
    </row>
    <row r="60" spans="1:45">
      <c r="A60" s="286">
        <v>54</v>
      </c>
      <c r="B60" s="81" t="str">
        <f>'Encargos e Benefícios'!B59</f>
        <v>Auxiliar Educacional</v>
      </c>
      <c r="C60" s="287">
        <f>'Encargos e Benefícios'!C59</f>
        <v>1</v>
      </c>
      <c r="D60" s="288">
        <v>30</v>
      </c>
      <c r="E60" s="300">
        <v>45261</v>
      </c>
      <c r="F60" s="301">
        <v>47058</v>
      </c>
      <c r="G60" s="293">
        <v>45413</v>
      </c>
      <c r="H60" s="294">
        <v>5.8400000000000001E-2</v>
      </c>
      <c r="I60" s="256">
        <v>29.2</v>
      </c>
      <c r="J60" s="256">
        <v>6.87</v>
      </c>
      <c r="K60" s="256"/>
      <c r="L60" s="256"/>
      <c r="M60" s="293">
        <v>45778</v>
      </c>
      <c r="N60" s="294">
        <v>5.8400000000000001E-2</v>
      </c>
      <c r="O60" s="256">
        <v>30.9</v>
      </c>
      <c r="P60" s="256">
        <v>7.27</v>
      </c>
      <c r="Q60" s="256"/>
      <c r="R60" s="256"/>
      <c r="S60" s="293">
        <v>46143</v>
      </c>
      <c r="T60" s="294">
        <v>5.8400000000000001E-2</v>
      </c>
      <c r="U60" s="256">
        <v>32.71</v>
      </c>
      <c r="V60" s="256">
        <v>7.82</v>
      </c>
      <c r="W60" s="256"/>
      <c r="X60" s="256"/>
      <c r="Y60" s="293">
        <v>46508</v>
      </c>
      <c r="Z60" s="294">
        <v>5.8400000000000001E-2</v>
      </c>
      <c r="AA60" s="256">
        <v>34.619999999999997</v>
      </c>
      <c r="AB60" s="256">
        <v>8.7100000000000009</v>
      </c>
      <c r="AC60" s="256"/>
      <c r="AD60" s="256"/>
      <c r="AE60" s="293">
        <v>46874</v>
      </c>
      <c r="AF60" s="294">
        <v>5.8400000000000001E-2</v>
      </c>
      <c r="AG60" s="256">
        <v>36.64</v>
      </c>
      <c r="AH60" s="256">
        <v>10.17</v>
      </c>
      <c r="AI60" s="256"/>
      <c r="AJ60" s="257"/>
      <c r="AK60" s="296">
        <f>'Encargos e Benefícios'!D59</f>
        <v>1642</v>
      </c>
      <c r="AL60" s="296">
        <f>IF('Encargos e Benefícios'!C59=0,0,'Encargos e Benefícios'!U59/'Encargos e Benefícios'!C59)</f>
        <v>1335.1284444444443</v>
      </c>
      <c r="AM60" s="296">
        <f>IF('Encargos e Benefícios'!C59=0,0,'Encargos e Benefícios'!AC59/'Encargos e Benefícios'!C59)</f>
        <v>923.08999999999992</v>
      </c>
      <c r="AN60" s="297">
        <f>IF('Encargos e Benefícios'!C59=0,0,'Encargos e Benefícios'!AD59/'Encargos e Benefícios'!C59)</f>
        <v>3900.2184444444447</v>
      </c>
      <c r="AO60" s="188">
        <v>1821.21</v>
      </c>
      <c r="AP60" s="298">
        <v>1641.97</v>
      </c>
      <c r="AQ60" s="298">
        <v>2000.45</v>
      </c>
      <c r="AR60" s="299" t="s">
        <v>105</v>
      </c>
      <c r="AS60" s="188"/>
    </row>
    <row r="61" spans="1:45">
      <c r="A61" s="286">
        <v>55</v>
      </c>
      <c r="B61" s="81" t="str">
        <f>'Encargos e Benefícios'!B60</f>
        <v>Auxiliar de Serviços Gerais</v>
      </c>
      <c r="C61" s="287">
        <f>'Encargos e Benefícios'!C60</f>
        <v>1</v>
      </c>
      <c r="D61" s="288">
        <v>30</v>
      </c>
      <c r="E61" s="300">
        <v>45261</v>
      </c>
      <c r="F61" s="301">
        <v>47058</v>
      </c>
      <c r="G61" s="293">
        <v>45413</v>
      </c>
      <c r="H61" s="294">
        <v>5.8400000000000001E-2</v>
      </c>
      <c r="I61" s="256">
        <v>29.2</v>
      </c>
      <c r="J61" s="256">
        <v>6.87</v>
      </c>
      <c r="K61" s="256"/>
      <c r="L61" s="256"/>
      <c r="M61" s="293">
        <v>45778</v>
      </c>
      <c r="N61" s="294">
        <v>5.8400000000000001E-2</v>
      </c>
      <c r="O61" s="256">
        <v>30.9</v>
      </c>
      <c r="P61" s="256">
        <v>7.27</v>
      </c>
      <c r="Q61" s="256"/>
      <c r="R61" s="256"/>
      <c r="S61" s="293">
        <v>46143</v>
      </c>
      <c r="T61" s="294">
        <v>5.8400000000000001E-2</v>
      </c>
      <c r="U61" s="256">
        <v>32.71</v>
      </c>
      <c r="V61" s="256">
        <v>7.82</v>
      </c>
      <c r="W61" s="256"/>
      <c r="X61" s="256"/>
      <c r="Y61" s="293">
        <v>46508</v>
      </c>
      <c r="Z61" s="294">
        <v>5.8400000000000001E-2</v>
      </c>
      <c r="AA61" s="256">
        <v>34.619999999999997</v>
      </c>
      <c r="AB61" s="256">
        <v>8.7100000000000009</v>
      </c>
      <c r="AC61" s="256"/>
      <c r="AD61" s="256"/>
      <c r="AE61" s="293">
        <v>46874</v>
      </c>
      <c r="AF61" s="294">
        <v>5.8400000000000001E-2</v>
      </c>
      <c r="AG61" s="256">
        <v>36.64</v>
      </c>
      <c r="AH61" s="256">
        <v>10.17</v>
      </c>
      <c r="AI61" s="256"/>
      <c r="AJ61" s="257"/>
      <c r="AK61" s="296">
        <f>'Encargos e Benefícios'!D60</f>
        <v>1385</v>
      </c>
      <c r="AL61" s="296">
        <f>IF('Encargos e Benefícios'!C60=0,0,'Encargos e Benefícios'!U60/'Encargos e Benefícios'!C60)</f>
        <v>1126.1588888888887</v>
      </c>
      <c r="AM61" s="296">
        <f>IF('Encargos e Benefícios'!C60=0,0,'Encargos e Benefícios'!AC60/'Encargos e Benefícios'!C60)</f>
        <v>923.08999999999992</v>
      </c>
      <c r="AN61" s="297">
        <f>IF('Encargos e Benefícios'!C60=0,0,'Encargos e Benefícios'!AD60/'Encargos e Benefícios'!C60)</f>
        <v>3434.2488888888884</v>
      </c>
      <c r="AO61" s="188">
        <v>1481.02</v>
      </c>
      <c r="AP61" s="298">
        <v>1302</v>
      </c>
      <c r="AQ61" s="298">
        <v>1660.04</v>
      </c>
      <c r="AR61" s="299" t="s">
        <v>105</v>
      </c>
      <c r="AS61" s="188"/>
    </row>
    <row r="62" spans="1:45">
      <c r="A62" s="286">
        <v>56</v>
      </c>
      <c r="B62" s="81" t="str">
        <f>'Encargos e Benefícios'!B61</f>
        <v>Motorista</v>
      </c>
      <c r="C62" s="287">
        <f>'Encargos e Benefícios'!C61</f>
        <v>1</v>
      </c>
      <c r="D62" s="288">
        <v>40</v>
      </c>
      <c r="E62" s="300">
        <v>45261</v>
      </c>
      <c r="F62" s="301">
        <v>47058</v>
      </c>
      <c r="G62" s="293">
        <v>45413</v>
      </c>
      <c r="H62" s="294">
        <v>5.8400000000000001E-2</v>
      </c>
      <c r="I62" s="256">
        <v>29.2</v>
      </c>
      <c r="J62" s="256">
        <v>6.87</v>
      </c>
      <c r="K62" s="256"/>
      <c r="L62" s="256"/>
      <c r="M62" s="293">
        <v>45778</v>
      </c>
      <c r="N62" s="294">
        <v>5.8400000000000001E-2</v>
      </c>
      <c r="O62" s="256">
        <v>30.9</v>
      </c>
      <c r="P62" s="256">
        <v>7.27</v>
      </c>
      <c r="Q62" s="256"/>
      <c r="R62" s="256"/>
      <c r="S62" s="293">
        <v>46143</v>
      </c>
      <c r="T62" s="294">
        <v>5.8400000000000001E-2</v>
      </c>
      <c r="U62" s="256">
        <v>32.71</v>
      </c>
      <c r="V62" s="256">
        <v>7.82</v>
      </c>
      <c r="W62" s="256"/>
      <c r="X62" s="256"/>
      <c r="Y62" s="293">
        <v>46508</v>
      </c>
      <c r="Z62" s="294">
        <v>5.8400000000000001E-2</v>
      </c>
      <c r="AA62" s="256">
        <v>34.619999999999997</v>
      </c>
      <c r="AB62" s="256">
        <v>8.7100000000000009</v>
      </c>
      <c r="AC62" s="256"/>
      <c r="AD62" s="256"/>
      <c r="AE62" s="293">
        <v>46874</v>
      </c>
      <c r="AF62" s="294">
        <v>5.8400000000000001E-2</v>
      </c>
      <c r="AG62" s="256">
        <v>36.64</v>
      </c>
      <c r="AH62" s="256">
        <v>10.17</v>
      </c>
      <c r="AI62" s="256"/>
      <c r="AJ62" s="257"/>
      <c r="AK62" s="296">
        <f>'Encargos e Benefícios'!D61</f>
        <v>1452.39</v>
      </c>
      <c r="AL62" s="296">
        <f>IF('Encargos e Benefícios'!C61=0,0,'Encargos e Benefícios'!U61/'Encargos e Benefícios'!C61)</f>
        <v>1180.9544466666669</v>
      </c>
      <c r="AM62" s="296">
        <f>IF('Encargos e Benefícios'!C61=0,0,'Encargos e Benefícios'!AC61/'Encargos e Benefícios'!C61)</f>
        <v>923.08999999999992</v>
      </c>
      <c r="AN62" s="297">
        <f>IF('Encargos e Benefícios'!C61=0,0,'Encargos e Benefícios'!AD61/'Encargos e Benefícios'!C61)</f>
        <v>3556.4344466666671</v>
      </c>
      <c r="AO62" s="188">
        <v>1826.28</v>
      </c>
      <c r="AP62" s="298">
        <v>1452.39</v>
      </c>
      <c r="AQ62" s="298">
        <v>2200.17</v>
      </c>
      <c r="AR62" s="299" t="s">
        <v>105</v>
      </c>
      <c r="AS62" s="188"/>
    </row>
    <row r="63" spans="1:45">
      <c r="A63" s="286">
        <v>57</v>
      </c>
      <c r="B63" s="81" t="str">
        <f>'Encargos e Benefícios'!B62</f>
        <v>Socioeducador - DC</v>
      </c>
      <c r="C63" s="287">
        <f>'Encargos e Benefícios'!C62</f>
        <v>2</v>
      </c>
      <c r="D63" s="288" t="s">
        <v>504</v>
      </c>
      <c r="E63" s="300">
        <v>45261</v>
      </c>
      <c r="F63" s="301">
        <v>47058</v>
      </c>
      <c r="G63" s="293">
        <v>45413</v>
      </c>
      <c r="H63" s="294">
        <v>5.8400000000000001E-2</v>
      </c>
      <c r="I63" s="256">
        <v>29.2</v>
      </c>
      <c r="J63" s="256">
        <v>6.87</v>
      </c>
      <c r="K63" s="256"/>
      <c r="L63" s="256"/>
      <c r="M63" s="293">
        <v>45778</v>
      </c>
      <c r="N63" s="294">
        <v>5.8400000000000001E-2</v>
      </c>
      <c r="O63" s="256">
        <v>30.9</v>
      </c>
      <c r="P63" s="256">
        <v>7.27</v>
      </c>
      <c r="Q63" s="256"/>
      <c r="R63" s="256"/>
      <c r="S63" s="293">
        <v>46143</v>
      </c>
      <c r="T63" s="294">
        <v>5.8400000000000001E-2</v>
      </c>
      <c r="U63" s="256">
        <v>32.71</v>
      </c>
      <c r="V63" s="256">
        <v>7.82</v>
      </c>
      <c r="W63" s="256"/>
      <c r="X63" s="256"/>
      <c r="Y63" s="293">
        <v>46508</v>
      </c>
      <c r="Z63" s="294">
        <v>5.8400000000000001E-2</v>
      </c>
      <c r="AA63" s="256">
        <v>34.619999999999997</v>
      </c>
      <c r="AB63" s="256">
        <v>8.7100000000000009</v>
      </c>
      <c r="AC63" s="256"/>
      <c r="AD63" s="256"/>
      <c r="AE63" s="293">
        <v>46874</v>
      </c>
      <c r="AF63" s="294">
        <v>5.8400000000000001E-2</v>
      </c>
      <c r="AG63" s="256">
        <v>36.64</v>
      </c>
      <c r="AH63" s="256">
        <v>10.17</v>
      </c>
      <c r="AI63" s="256"/>
      <c r="AJ63" s="257"/>
      <c r="AK63" s="296">
        <f>'Encargos e Benefícios'!D62</f>
        <v>1900</v>
      </c>
      <c r="AL63" s="296">
        <f>IF('Encargos e Benefícios'!C62=0,0,'Encargos e Benefícios'!U62/'Encargos e Benefícios'!C62)</f>
        <v>2544.7966666666666</v>
      </c>
      <c r="AM63" s="296">
        <f>IF('Encargos e Benefícios'!C62=0,0,'Encargos e Benefícios'!AC62/'Encargos e Benefícios'!C62)</f>
        <v>444.76499999999999</v>
      </c>
      <c r="AN63" s="297">
        <f>IF('Encargos e Benefícios'!C62=0,0,'Encargos e Benefícios'!AD62/'Encargos e Benefícios'!C62)</f>
        <v>4889.5616666666674</v>
      </c>
      <c r="AO63" s="188">
        <v>2752.21</v>
      </c>
      <c r="AP63" s="298">
        <v>1764.5</v>
      </c>
      <c r="AQ63" s="298">
        <v>3739.92</v>
      </c>
      <c r="AR63" s="299" t="s">
        <v>105</v>
      </c>
      <c r="AS63" s="188"/>
    </row>
    <row r="64" spans="1:45">
      <c r="A64" s="286">
        <v>58</v>
      </c>
      <c r="B64" s="81" t="str">
        <f>'Encargos e Benefícios'!B63</f>
        <v>Socioeducador - D</v>
      </c>
      <c r="C64" s="287">
        <f>'Encargos e Benefícios'!C63</f>
        <v>12</v>
      </c>
      <c r="D64" s="288" t="s">
        <v>504</v>
      </c>
      <c r="E64" s="300">
        <v>45261</v>
      </c>
      <c r="F64" s="301">
        <v>47058</v>
      </c>
      <c r="G64" s="293">
        <v>45413</v>
      </c>
      <c r="H64" s="294">
        <v>5.8400000000000001E-2</v>
      </c>
      <c r="I64" s="256">
        <v>29.2</v>
      </c>
      <c r="J64" s="256">
        <v>6.87</v>
      </c>
      <c r="K64" s="256"/>
      <c r="L64" s="256"/>
      <c r="M64" s="293">
        <v>45778</v>
      </c>
      <c r="N64" s="294">
        <v>5.8400000000000001E-2</v>
      </c>
      <c r="O64" s="256">
        <v>30.9</v>
      </c>
      <c r="P64" s="256">
        <v>7.27</v>
      </c>
      <c r="Q64" s="256"/>
      <c r="R64" s="256"/>
      <c r="S64" s="293">
        <v>46143</v>
      </c>
      <c r="T64" s="294">
        <v>5.8400000000000001E-2</v>
      </c>
      <c r="U64" s="256">
        <v>32.71</v>
      </c>
      <c r="V64" s="256">
        <v>7.82</v>
      </c>
      <c r="W64" s="256"/>
      <c r="X64" s="256"/>
      <c r="Y64" s="293">
        <v>46508</v>
      </c>
      <c r="Z64" s="294">
        <v>5.8400000000000001E-2</v>
      </c>
      <c r="AA64" s="256">
        <v>34.619999999999997</v>
      </c>
      <c r="AB64" s="256">
        <v>8.7100000000000009</v>
      </c>
      <c r="AC64" s="256"/>
      <c r="AD64" s="256"/>
      <c r="AE64" s="293">
        <v>46874</v>
      </c>
      <c r="AF64" s="294">
        <v>5.8400000000000001E-2</v>
      </c>
      <c r="AG64" s="256">
        <v>36.64</v>
      </c>
      <c r="AH64" s="256">
        <v>10.17</v>
      </c>
      <c r="AI64" s="256"/>
      <c r="AJ64" s="257"/>
      <c r="AK64" s="296">
        <f>'Encargos e Benefícios'!D63</f>
        <v>1900</v>
      </c>
      <c r="AL64" s="296">
        <f>IF('Encargos e Benefícios'!C63=0,0,'Encargos e Benefícios'!U63/'Encargos e Benefícios'!C63)</f>
        <v>2281.7944444444447</v>
      </c>
      <c r="AM64" s="296">
        <f>IF('Encargos e Benefícios'!C63=0,0,'Encargos e Benefícios'!AC63/'Encargos e Benefícios'!C63)</f>
        <v>74.127499999999998</v>
      </c>
      <c r="AN64" s="297">
        <f>IF('Encargos e Benefícios'!C63=0,0,'Encargos e Benefícios'!AD63/'Encargos e Benefícios'!C63)</f>
        <v>4255.9219444444452</v>
      </c>
      <c r="AO64" s="188">
        <v>2752.21</v>
      </c>
      <c r="AP64" s="298">
        <v>1764.5</v>
      </c>
      <c r="AQ64" s="298">
        <v>3739.92</v>
      </c>
      <c r="AR64" s="299" t="s">
        <v>105</v>
      </c>
      <c r="AS64" s="188"/>
    </row>
    <row r="65" spans="1:45">
      <c r="A65" s="286">
        <v>59</v>
      </c>
      <c r="B65" s="81" t="str">
        <f>'Encargos e Benefícios'!B64</f>
        <v>Socioeducador - NC</v>
      </c>
      <c r="C65" s="287">
        <f>'Encargos e Benefícios'!C64</f>
        <v>2</v>
      </c>
      <c r="D65" s="288" t="s">
        <v>504</v>
      </c>
      <c r="E65" s="300">
        <v>45261</v>
      </c>
      <c r="F65" s="301">
        <v>47058</v>
      </c>
      <c r="G65" s="293">
        <v>45413</v>
      </c>
      <c r="H65" s="294">
        <v>5.8400000000000001E-2</v>
      </c>
      <c r="I65" s="256">
        <v>29.2</v>
      </c>
      <c r="J65" s="256">
        <v>6.87</v>
      </c>
      <c r="K65" s="256"/>
      <c r="L65" s="256"/>
      <c r="M65" s="293">
        <v>45778</v>
      </c>
      <c r="N65" s="294">
        <v>5.8400000000000001E-2</v>
      </c>
      <c r="O65" s="256">
        <v>30.9</v>
      </c>
      <c r="P65" s="256">
        <v>7.27</v>
      </c>
      <c r="Q65" s="256"/>
      <c r="R65" s="256"/>
      <c r="S65" s="293">
        <v>46143</v>
      </c>
      <c r="T65" s="294">
        <v>5.8400000000000001E-2</v>
      </c>
      <c r="U65" s="256">
        <v>32.71</v>
      </c>
      <c r="V65" s="256">
        <v>7.82</v>
      </c>
      <c r="W65" s="256"/>
      <c r="X65" s="256"/>
      <c r="Y65" s="293">
        <v>46508</v>
      </c>
      <c r="Z65" s="294">
        <v>5.8400000000000001E-2</v>
      </c>
      <c r="AA65" s="256">
        <v>34.619999999999997</v>
      </c>
      <c r="AB65" s="256">
        <v>8.7100000000000009</v>
      </c>
      <c r="AC65" s="256"/>
      <c r="AD65" s="256"/>
      <c r="AE65" s="293">
        <v>46874</v>
      </c>
      <c r="AF65" s="294">
        <v>5.8400000000000001E-2</v>
      </c>
      <c r="AG65" s="256">
        <v>36.64</v>
      </c>
      <c r="AH65" s="256">
        <v>10.17</v>
      </c>
      <c r="AI65" s="256"/>
      <c r="AJ65" s="257"/>
      <c r="AK65" s="296">
        <f>'Encargos e Benefícios'!D64</f>
        <v>1900</v>
      </c>
      <c r="AL65" s="296">
        <f>IF('Encargos e Benefícios'!C64=0,0,'Encargos e Benefícios'!U64/'Encargos e Benefícios'!C64)</f>
        <v>3013.1818518518517</v>
      </c>
      <c r="AM65" s="296">
        <f>IF('Encargos e Benefícios'!C64=0,0,'Encargos e Benefícios'!AC64/'Encargos e Benefícios'!C64)</f>
        <v>444.76499999999999</v>
      </c>
      <c r="AN65" s="297">
        <f>IF('Encargos e Benefícios'!C64=0,0,'Encargos e Benefícios'!AD64/'Encargos e Benefícios'!C64)</f>
        <v>5357.9468518518524</v>
      </c>
      <c r="AO65" s="188">
        <v>2752.21</v>
      </c>
      <c r="AP65" s="298">
        <v>1764.5</v>
      </c>
      <c r="AQ65" s="298">
        <v>3739.92</v>
      </c>
      <c r="AR65" s="299" t="s">
        <v>105</v>
      </c>
      <c r="AS65" s="188"/>
    </row>
    <row r="66" spans="1:45" ht="13.5" thickBot="1">
      <c r="A66" s="286">
        <v>60</v>
      </c>
      <c r="B66" s="81" t="str">
        <f>'Encargos e Benefícios'!B65</f>
        <v>Socioeducador - N</v>
      </c>
      <c r="C66" s="287">
        <f>'Encargos e Benefícios'!C65</f>
        <v>6</v>
      </c>
      <c r="D66" s="288" t="s">
        <v>504</v>
      </c>
      <c r="E66" s="300">
        <v>45261</v>
      </c>
      <c r="F66" s="301">
        <v>47058</v>
      </c>
      <c r="G66" s="293">
        <v>45413</v>
      </c>
      <c r="H66" s="294">
        <v>5.8400000000000001E-2</v>
      </c>
      <c r="I66" s="256">
        <v>29.2</v>
      </c>
      <c r="J66" s="256">
        <v>6.87</v>
      </c>
      <c r="K66" s="256"/>
      <c r="L66" s="256"/>
      <c r="M66" s="293">
        <v>45778</v>
      </c>
      <c r="N66" s="294">
        <v>5.8400000000000001E-2</v>
      </c>
      <c r="O66" s="256">
        <v>30.9</v>
      </c>
      <c r="P66" s="256">
        <v>7.27</v>
      </c>
      <c r="Q66" s="256"/>
      <c r="R66" s="256"/>
      <c r="S66" s="293">
        <v>46143</v>
      </c>
      <c r="T66" s="294">
        <v>5.8400000000000001E-2</v>
      </c>
      <c r="U66" s="256">
        <v>32.71</v>
      </c>
      <c r="V66" s="256">
        <v>7.82</v>
      </c>
      <c r="W66" s="256"/>
      <c r="X66" s="256"/>
      <c r="Y66" s="293">
        <v>46508</v>
      </c>
      <c r="Z66" s="294">
        <v>5.8400000000000001E-2</v>
      </c>
      <c r="AA66" s="256">
        <v>34.619999999999997</v>
      </c>
      <c r="AB66" s="256">
        <v>8.7100000000000009</v>
      </c>
      <c r="AC66" s="256"/>
      <c r="AD66" s="256"/>
      <c r="AE66" s="293">
        <v>46874</v>
      </c>
      <c r="AF66" s="294">
        <v>5.8400000000000001E-2</v>
      </c>
      <c r="AG66" s="256">
        <v>36.64</v>
      </c>
      <c r="AH66" s="256">
        <v>10.17</v>
      </c>
      <c r="AI66" s="256"/>
      <c r="AJ66" s="257"/>
      <c r="AK66" s="296">
        <f>'Encargos e Benefícios'!D65</f>
        <v>1900</v>
      </c>
      <c r="AL66" s="296">
        <f>IF('Encargos e Benefícios'!C65=0,0,'Encargos e Benefícios'!U65/'Encargos e Benefícios'!C65)</f>
        <v>2750.1796296296302</v>
      </c>
      <c r="AM66" s="296">
        <f>IF('Encargos e Benefícios'!C65=0,0,'Encargos e Benefícios'!AC65/'Encargos e Benefícios'!C65)</f>
        <v>148.255</v>
      </c>
      <c r="AN66" s="297">
        <f>IF('Encargos e Benefícios'!C65=0,0,'Encargos e Benefícios'!AD65/'Encargos e Benefícios'!C65)</f>
        <v>4798.4346296296299</v>
      </c>
      <c r="AO66" s="188">
        <v>2752.21</v>
      </c>
      <c r="AP66" s="298">
        <v>1764.5</v>
      </c>
      <c r="AQ66" s="298">
        <v>3739.92</v>
      </c>
      <c r="AR66" s="299" t="s">
        <v>105</v>
      </c>
      <c r="AS66" s="188"/>
    </row>
    <row r="67" spans="1:45">
      <c r="A67" s="286">
        <v>61</v>
      </c>
      <c r="B67" s="81" t="str">
        <f>'Encargos e Benefícios'!B66</f>
        <v>Diretor Geral de Unidade Socioeducativa</v>
      </c>
      <c r="C67" s="287">
        <f>'Encargos e Benefícios'!C66</f>
        <v>1</v>
      </c>
      <c r="D67" s="288">
        <v>40</v>
      </c>
      <c r="E67" s="289">
        <v>45261</v>
      </c>
      <c r="F67" s="290">
        <v>47058</v>
      </c>
      <c r="G67" s="293">
        <v>45413</v>
      </c>
      <c r="H67" s="294">
        <v>5.8400000000000001E-2</v>
      </c>
      <c r="I67" s="256">
        <v>29.2</v>
      </c>
      <c r="J67" s="256">
        <v>6.87</v>
      </c>
      <c r="K67" s="256"/>
      <c r="L67" s="256"/>
      <c r="M67" s="293">
        <v>45778</v>
      </c>
      <c r="N67" s="294">
        <v>5.8400000000000001E-2</v>
      </c>
      <c r="O67" s="256">
        <v>30.9</v>
      </c>
      <c r="P67" s="256">
        <v>7.27</v>
      </c>
      <c r="Q67" s="256"/>
      <c r="R67" s="256"/>
      <c r="S67" s="293">
        <v>46143</v>
      </c>
      <c r="T67" s="294">
        <v>5.8400000000000001E-2</v>
      </c>
      <c r="U67" s="256">
        <v>32.71</v>
      </c>
      <c r="V67" s="256">
        <v>7.82</v>
      </c>
      <c r="W67" s="256"/>
      <c r="X67" s="256"/>
      <c r="Y67" s="293">
        <v>46508</v>
      </c>
      <c r="Z67" s="294">
        <v>5.8400000000000001E-2</v>
      </c>
      <c r="AA67" s="256">
        <v>34.619999999999997</v>
      </c>
      <c r="AB67" s="256">
        <v>8.7100000000000009</v>
      </c>
      <c r="AC67" s="256"/>
      <c r="AD67" s="256"/>
      <c r="AE67" s="293">
        <v>46874</v>
      </c>
      <c r="AF67" s="294">
        <v>5.8400000000000001E-2</v>
      </c>
      <c r="AG67" s="256">
        <v>36.64</v>
      </c>
      <c r="AH67" s="256">
        <v>10.17</v>
      </c>
      <c r="AI67" s="256"/>
      <c r="AJ67" s="257"/>
      <c r="AK67" s="296">
        <f>'Encargos e Benefícios'!D66</f>
        <v>6500</v>
      </c>
      <c r="AL67" s="296">
        <f>IF('Encargos e Benefícios'!C66=0,0,'Encargos e Benefícios'!U66/'Encargos e Benefícios'!C66)</f>
        <v>5194.2222222222235</v>
      </c>
      <c r="AM67" s="296">
        <f>IF('Encargos e Benefícios'!C66=0,0,'Encargos e Benefícios'!AC66/'Encargos e Benefícios'!C66)</f>
        <v>817.61999999999989</v>
      </c>
      <c r="AN67" s="297">
        <f>IF('Encargos e Benefícios'!C66=0,0,'Encargos e Benefícios'!AD66/'Encargos e Benefícios'!C66)</f>
        <v>12511.842222222222</v>
      </c>
      <c r="AO67" s="188">
        <v>6052.24</v>
      </c>
      <c r="AP67" s="298">
        <v>4236.6899999999996</v>
      </c>
      <c r="AQ67" s="298">
        <v>7864.78</v>
      </c>
      <c r="AR67" s="299" t="s">
        <v>106</v>
      </c>
      <c r="AS67" s="188"/>
    </row>
    <row r="68" spans="1:45">
      <c r="A68" s="286">
        <v>62</v>
      </c>
      <c r="B68" s="81" t="str">
        <f>'Encargos e Benefícios'!B67</f>
        <v>Subdiretor de Segurança</v>
      </c>
      <c r="C68" s="287">
        <f>'Encargos e Benefícios'!C67</f>
        <v>1</v>
      </c>
      <c r="D68" s="288">
        <v>40</v>
      </c>
      <c r="E68" s="300">
        <v>45261</v>
      </c>
      <c r="F68" s="301">
        <v>47058</v>
      </c>
      <c r="G68" s="293">
        <v>45413</v>
      </c>
      <c r="H68" s="294">
        <v>5.8400000000000001E-2</v>
      </c>
      <c r="I68" s="256">
        <v>29.2</v>
      </c>
      <c r="J68" s="256">
        <v>6.87</v>
      </c>
      <c r="K68" s="256"/>
      <c r="L68" s="256"/>
      <c r="M68" s="293">
        <v>45778</v>
      </c>
      <c r="N68" s="294">
        <v>5.8400000000000001E-2</v>
      </c>
      <c r="O68" s="256">
        <v>30.9</v>
      </c>
      <c r="P68" s="256">
        <v>7.27</v>
      </c>
      <c r="Q68" s="256"/>
      <c r="R68" s="256"/>
      <c r="S68" s="293">
        <v>46143</v>
      </c>
      <c r="T68" s="294">
        <v>5.8400000000000001E-2</v>
      </c>
      <c r="U68" s="256">
        <v>32.71</v>
      </c>
      <c r="V68" s="256">
        <v>7.82</v>
      </c>
      <c r="W68" s="256"/>
      <c r="X68" s="256"/>
      <c r="Y68" s="293">
        <v>46508</v>
      </c>
      <c r="Z68" s="294">
        <v>5.8400000000000001E-2</v>
      </c>
      <c r="AA68" s="256">
        <v>34.619999999999997</v>
      </c>
      <c r="AB68" s="256">
        <v>8.7100000000000009</v>
      </c>
      <c r="AC68" s="256"/>
      <c r="AD68" s="256"/>
      <c r="AE68" s="293">
        <v>46874</v>
      </c>
      <c r="AF68" s="294">
        <v>5.8400000000000001E-2</v>
      </c>
      <c r="AG68" s="256">
        <v>36.64</v>
      </c>
      <c r="AH68" s="256">
        <v>10.17</v>
      </c>
      <c r="AI68" s="256"/>
      <c r="AJ68" s="257"/>
      <c r="AK68" s="296">
        <f>'Encargos e Benefícios'!D67</f>
        <v>3773.6</v>
      </c>
      <c r="AL68" s="296">
        <f>IF('Encargos e Benefícios'!C67=0,0,'Encargos e Benefícios'!U67/'Encargos e Benefícios'!C67)</f>
        <v>4147.6056888888888</v>
      </c>
      <c r="AM68" s="296">
        <f>IF('Encargos e Benefícios'!C67=0,0,'Encargos e Benefícios'!AC67/'Encargos e Benefícios'!C67)</f>
        <v>817.61999999999989</v>
      </c>
      <c r="AN68" s="297">
        <f>IF('Encargos e Benefícios'!C67=0,0,'Encargos e Benefícios'!AD67/'Encargos e Benefícios'!C67)</f>
        <v>8738.82568888889</v>
      </c>
      <c r="AO68" s="188">
        <v>4968.99</v>
      </c>
      <c r="AP68" s="298">
        <v>3773.6</v>
      </c>
      <c r="AQ68" s="298">
        <v>6164.38</v>
      </c>
      <c r="AR68" s="299" t="s">
        <v>106</v>
      </c>
      <c r="AS68" s="188"/>
    </row>
    <row r="69" spans="1:45">
      <c r="A69" s="286">
        <v>63</v>
      </c>
      <c r="B69" s="81" t="str">
        <f>'Encargos e Benefícios'!B68</f>
        <v>Advogado</v>
      </c>
      <c r="C69" s="287">
        <f>'Encargos e Benefícios'!C68</f>
        <v>1</v>
      </c>
      <c r="D69" s="288">
        <v>30</v>
      </c>
      <c r="E69" s="300">
        <v>45261</v>
      </c>
      <c r="F69" s="301">
        <v>47058</v>
      </c>
      <c r="G69" s="293">
        <v>45413</v>
      </c>
      <c r="H69" s="294">
        <v>5.8400000000000001E-2</v>
      </c>
      <c r="I69" s="256">
        <v>29.2</v>
      </c>
      <c r="J69" s="256">
        <v>6.87</v>
      </c>
      <c r="K69" s="256"/>
      <c r="L69" s="256"/>
      <c r="M69" s="293">
        <v>45778</v>
      </c>
      <c r="N69" s="294">
        <v>5.8400000000000001E-2</v>
      </c>
      <c r="O69" s="256">
        <v>30.9</v>
      </c>
      <c r="P69" s="256">
        <v>7.27</v>
      </c>
      <c r="Q69" s="256"/>
      <c r="R69" s="256"/>
      <c r="S69" s="293">
        <v>46143</v>
      </c>
      <c r="T69" s="294">
        <v>5.8400000000000001E-2</v>
      </c>
      <c r="U69" s="256">
        <v>32.71</v>
      </c>
      <c r="V69" s="256">
        <v>7.82</v>
      </c>
      <c r="W69" s="256"/>
      <c r="X69" s="256"/>
      <c r="Y69" s="293">
        <v>46508</v>
      </c>
      <c r="Z69" s="294">
        <v>5.8400000000000001E-2</v>
      </c>
      <c r="AA69" s="256">
        <v>34.619999999999997</v>
      </c>
      <c r="AB69" s="256">
        <v>8.7100000000000009</v>
      </c>
      <c r="AC69" s="256"/>
      <c r="AD69" s="256"/>
      <c r="AE69" s="293">
        <v>46874</v>
      </c>
      <c r="AF69" s="294">
        <v>5.8400000000000001E-2</v>
      </c>
      <c r="AG69" s="256">
        <v>36.64</v>
      </c>
      <c r="AH69" s="256">
        <v>10.17</v>
      </c>
      <c r="AI69" s="256"/>
      <c r="AJ69" s="257"/>
      <c r="AK69" s="296">
        <f>'Encargos e Benefícios'!D68</f>
        <v>2600</v>
      </c>
      <c r="AL69" s="296">
        <f>IF('Encargos e Benefícios'!C68=0,0,'Encargos e Benefícios'!U68/'Encargos e Benefícios'!C68)</f>
        <v>2114.088888888889</v>
      </c>
      <c r="AM69" s="296">
        <f>IF('Encargos e Benefícios'!C68=0,0,'Encargos e Benefícios'!AC68/'Encargos e Benefícios'!C68)</f>
        <v>956.31999999999994</v>
      </c>
      <c r="AN69" s="297">
        <f>IF('Encargos e Benefícios'!C68=0,0,'Encargos e Benefícios'!AD68/'Encargos e Benefícios'!C68)</f>
        <v>5670.4088888888891</v>
      </c>
      <c r="AO69" s="188">
        <v>2574.5</v>
      </c>
      <c r="AP69" s="298">
        <v>2000</v>
      </c>
      <c r="AQ69" s="298">
        <v>3148.99</v>
      </c>
      <c r="AR69" s="299" t="s">
        <v>106</v>
      </c>
      <c r="AS69" s="188"/>
    </row>
    <row r="70" spans="1:45">
      <c r="A70" s="286">
        <v>64</v>
      </c>
      <c r="B70" s="81" t="str">
        <f>'Encargos e Benefícios'!B69</f>
        <v>Assistente Social</v>
      </c>
      <c r="C70" s="287">
        <f>'Encargos e Benefícios'!C69</f>
        <v>1</v>
      </c>
      <c r="D70" s="288">
        <v>30</v>
      </c>
      <c r="E70" s="300">
        <v>45261</v>
      </c>
      <c r="F70" s="301">
        <v>47058</v>
      </c>
      <c r="G70" s="293">
        <v>45413</v>
      </c>
      <c r="H70" s="294">
        <v>5.8400000000000001E-2</v>
      </c>
      <c r="I70" s="256">
        <v>29.2</v>
      </c>
      <c r="J70" s="256">
        <v>6.87</v>
      </c>
      <c r="K70" s="256"/>
      <c r="L70" s="256"/>
      <c r="M70" s="293">
        <v>45778</v>
      </c>
      <c r="N70" s="294">
        <v>5.8400000000000001E-2</v>
      </c>
      <c r="O70" s="256">
        <v>30.9</v>
      </c>
      <c r="P70" s="256">
        <v>7.27</v>
      </c>
      <c r="Q70" s="256"/>
      <c r="R70" s="256"/>
      <c r="S70" s="293">
        <v>46143</v>
      </c>
      <c r="T70" s="294">
        <v>5.8400000000000001E-2</v>
      </c>
      <c r="U70" s="256">
        <v>32.71</v>
      </c>
      <c r="V70" s="256">
        <v>7.82</v>
      </c>
      <c r="W70" s="256"/>
      <c r="X70" s="256"/>
      <c r="Y70" s="293">
        <v>46508</v>
      </c>
      <c r="Z70" s="294">
        <v>5.8400000000000001E-2</v>
      </c>
      <c r="AA70" s="256">
        <v>34.619999999999997</v>
      </c>
      <c r="AB70" s="256">
        <v>8.7100000000000009</v>
      </c>
      <c r="AC70" s="256"/>
      <c r="AD70" s="256"/>
      <c r="AE70" s="293">
        <v>46874</v>
      </c>
      <c r="AF70" s="294">
        <v>5.8400000000000001E-2</v>
      </c>
      <c r="AG70" s="256">
        <v>36.64</v>
      </c>
      <c r="AH70" s="256">
        <v>10.17</v>
      </c>
      <c r="AI70" s="256"/>
      <c r="AJ70" s="257"/>
      <c r="AK70" s="296">
        <f>'Encargos e Benefícios'!D69</f>
        <v>2600</v>
      </c>
      <c r="AL70" s="296">
        <f>IF('Encargos e Benefícios'!C69=0,0,'Encargos e Benefícios'!U69/'Encargos e Benefícios'!C69)</f>
        <v>2114.088888888889</v>
      </c>
      <c r="AM70" s="296">
        <f>IF('Encargos e Benefícios'!C69=0,0,'Encargos e Benefícios'!AC69/'Encargos e Benefícios'!C69)</f>
        <v>956.31999999999994</v>
      </c>
      <c r="AN70" s="297">
        <f>IF('Encargos e Benefícios'!C69=0,0,'Encargos e Benefícios'!AD69/'Encargos e Benefícios'!C69)</f>
        <v>5670.4088888888891</v>
      </c>
      <c r="AO70" s="188">
        <v>2906.48</v>
      </c>
      <c r="AP70" s="298">
        <v>2000</v>
      </c>
      <c r="AQ70" s="298">
        <v>3812.95</v>
      </c>
      <c r="AR70" s="299" t="s">
        <v>106</v>
      </c>
      <c r="AS70" s="188"/>
    </row>
    <row r="71" spans="1:45">
      <c r="A71" s="286">
        <v>65</v>
      </c>
      <c r="B71" s="81" t="str">
        <f>'Encargos e Benefícios'!B70</f>
        <v>Pedagogo</v>
      </c>
      <c r="C71" s="287">
        <f>'Encargos e Benefícios'!C70</f>
        <v>1</v>
      </c>
      <c r="D71" s="288">
        <v>30</v>
      </c>
      <c r="E71" s="300">
        <v>45261</v>
      </c>
      <c r="F71" s="301">
        <v>47058</v>
      </c>
      <c r="G71" s="293">
        <v>45413</v>
      </c>
      <c r="H71" s="294">
        <v>5.8400000000000001E-2</v>
      </c>
      <c r="I71" s="256">
        <v>29.2</v>
      </c>
      <c r="J71" s="256">
        <v>6.87</v>
      </c>
      <c r="K71" s="256"/>
      <c r="L71" s="256"/>
      <c r="M71" s="293">
        <v>45778</v>
      </c>
      <c r="N71" s="294">
        <v>5.8400000000000001E-2</v>
      </c>
      <c r="O71" s="256">
        <v>30.9</v>
      </c>
      <c r="P71" s="256">
        <v>7.27</v>
      </c>
      <c r="Q71" s="256"/>
      <c r="R71" s="256"/>
      <c r="S71" s="293">
        <v>46143</v>
      </c>
      <c r="T71" s="294">
        <v>5.8400000000000001E-2</v>
      </c>
      <c r="U71" s="256">
        <v>32.71</v>
      </c>
      <c r="V71" s="256">
        <v>7.82</v>
      </c>
      <c r="W71" s="256"/>
      <c r="X71" s="256"/>
      <c r="Y71" s="293">
        <v>46508</v>
      </c>
      <c r="Z71" s="294">
        <v>5.8400000000000001E-2</v>
      </c>
      <c r="AA71" s="256">
        <v>34.619999999999997</v>
      </c>
      <c r="AB71" s="256">
        <v>8.7100000000000009</v>
      </c>
      <c r="AC71" s="256"/>
      <c r="AD71" s="256"/>
      <c r="AE71" s="293">
        <v>46874</v>
      </c>
      <c r="AF71" s="294">
        <v>5.8400000000000001E-2</v>
      </c>
      <c r="AG71" s="256">
        <v>36.64</v>
      </c>
      <c r="AH71" s="256">
        <v>10.17</v>
      </c>
      <c r="AI71" s="256"/>
      <c r="AJ71" s="257"/>
      <c r="AK71" s="296">
        <f>'Encargos e Benefícios'!D70</f>
        <v>2600</v>
      </c>
      <c r="AL71" s="296">
        <f>IF('Encargos e Benefícios'!C70=0,0,'Encargos e Benefícios'!U70/'Encargos e Benefícios'!C70)</f>
        <v>2114.088888888889</v>
      </c>
      <c r="AM71" s="296">
        <f>IF('Encargos e Benefícios'!C70=0,0,'Encargos e Benefícios'!AC70/'Encargos e Benefícios'!C70)</f>
        <v>956.31999999999994</v>
      </c>
      <c r="AN71" s="297">
        <f>IF('Encargos e Benefícios'!C70=0,0,'Encargos e Benefícios'!AD70/'Encargos e Benefícios'!C70)</f>
        <v>5670.4088888888891</v>
      </c>
      <c r="AO71" s="188">
        <v>2826.08</v>
      </c>
      <c r="AP71" s="298">
        <v>1936.68</v>
      </c>
      <c r="AQ71" s="298">
        <v>3715.48</v>
      </c>
      <c r="AR71" s="299" t="s">
        <v>106</v>
      </c>
      <c r="AS71" s="188"/>
    </row>
    <row r="72" spans="1:45">
      <c r="A72" s="286">
        <v>66</v>
      </c>
      <c r="B72" s="81" t="str">
        <f>'Encargos e Benefícios'!B71</f>
        <v>Psicologo</v>
      </c>
      <c r="C72" s="287">
        <f>'Encargos e Benefícios'!C71</f>
        <v>1</v>
      </c>
      <c r="D72" s="288">
        <v>30</v>
      </c>
      <c r="E72" s="300">
        <v>45261</v>
      </c>
      <c r="F72" s="301">
        <v>47058</v>
      </c>
      <c r="G72" s="293">
        <v>45413</v>
      </c>
      <c r="H72" s="294">
        <v>5.8400000000000001E-2</v>
      </c>
      <c r="I72" s="256">
        <v>29.2</v>
      </c>
      <c r="J72" s="256">
        <v>6.87</v>
      </c>
      <c r="K72" s="256"/>
      <c r="L72" s="256"/>
      <c r="M72" s="293">
        <v>45778</v>
      </c>
      <c r="N72" s="294">
        <v>5.8400000000000001E-2</v>
      </c>
      <c r="O72" s="256">
        <v>30.9</v>
      </c>
      <c r="P72" s="256">
        <v>7.27</v>
      </c>
      <c r="Q72" s="256"/>
      <c r="R72" s="256"/>
      <c r="S72" s="293">
        <v>46143</v>
      </c>
      <c r="T72" s="294">
        <v>5.8400000000000001E-2</v>
      </c>
      <c r="U72" s="256">
        <v>32.71</v>
      </c>
      <c r="V72" s="256">
        <v>7.82</v>
      </c>
      <c r="W72" s="256"/>
      <c r="X72" s="256"/>
      <c r="Y72" s="293">
        <v>46508</v>
      </c>
      <c r="Z72" s="294">
        <v>5.8400000000000001E-2</v>
      </c>
      <c r="AA72" s="256">
        <v>34.619999999999997</v>
      </c>
      <c r="AB72" s="256">
        <v>8.7100000000000009</v>
      </c>
      <c r="AC72" s="256"/>
      <c r="AD72" s="256"/>
      <c r="AE72" s="293">
        <v>46874</v>
      </c>
      <c r="AF72" s="294">
        <v>5.8400000000000001E-2</v>
      </c>
      <c r="AG72" s="256">
        <v>36.64</v>
      </c>
      <c r="AH72" s="256">
        <v>10.17</v>
      </c>
      <c r="AI72" s="256"/>
      <c r="AJ72" s="257"/>
      <c r="AK72" s="296">
        <f>'Encargos e Benefícios'!D71</f>
        <v>2600</v>
      </c>
      <c r="AL72" s="296">
        <f>IF('Encargos e Benefícios'!C71=0,0,'Encargos e Benefícios'!U71/'Encargos e Benefícios'!C71)</f>
        <v>2114.088888888889</v>
      </c>
      <c r="AM72" s="296">
        <f>IF('Encargos e Benefícios'!C71=0,0,'Encargos e Benefícios'!AC71/'Encargos e Benefícios'!C71)</f>
        <v>956.31999999999994</v>
      </c>
      <c r="AN72" s="297">
        <f>IF('Encargos e Benefícios'!C71=0,0,'Encargos e Benefícios'!AD71/'Encargos e Benefícios'!C71)</f>
        <v>5670.4088888888891</v>
      </c>
      <c r="AO72" s="188">
        <v>2906.48</v>
      </c>
      <c r="AP72" s="298">
        <v>2000</v>
      </c>
      <c r="AQ72" s="298">
        <v>3812.95</v>
      </c>
      <c r="AR72" s="299" t="s">
        <v>106</v>
      </c>
      <c r="AS72" s="188"/>
    </row>
    <row r="73" spans="1:45">
      <c r="A73" s="286">
        <v>67</v>
      </c>
      <c r="B73" s="81" t="str">
        <f>'Encargos e Benefícios'!B72</f>
        <v>Terapeuta Ocupacional</v>
      </c>
      <c r="C73" s="287">
        <f>'Encargos e Benefícios'!C72</f>
        <v>1</v>
      </c>
      <c r="D73" s="288">
        <v>30</v>
      </c>
      <c r="E73" s="300">
        <v>45261</v>
      </c>
      <c r="F73" s="301">
        <v>47058</v>
      </c>
      <c r="G73" s="293">
        <v>45413</v>
      </c>
      <c r="H73" s="294">
        <v>5.8400000000000001E-2</v>
      </c>
      <c r="I73" s="256">
        <v>29.2</v>
      </c>
      <c r="J73" s="256">
        <v>6.87</v>
      </c>
      <c r="K73" s="256"/>
      <c r="L73" s="256"/>
      <c r="M73" s="293">
        <v>45778</v>
      </c>
      <c r="N73" s="294">
        <v>5.8400000000000001E-2</v>
      </c>
      <c r="O73" s="256">
        <v>30.9</v>
      </c>
      <c r="P73" s="256">
        <v>7.27</v>
      </c>
      <c r="Q73" s="256"/>
      <c r="R73" s="256"/>
      <c r="S73" s="293">
        <v>46143</v>
      </c>
      <c r="T73" s="294">
        <v>5.8400000000000001E-2</v>
      </c>
      <c r="U73" s="256">
        <v>32.71</v>
      </c>
      <c r="V73" s="256">
        <v>7.82</v>
      </c>
      <c r="W73" s="256"/>
      <c r="X73" s="256"/>
      <c r="Y73" s="293">
        <v>46508</v>
      </c>
      <c r="Z73" s="294">
        <v>5.8400000000000001E-2</v>
      </c>
      <c r="AA73" s="256">
        <v>34.619999999999997</v>
      </c>
      <c r="AB73" s="256">
        <v>8.7100000000000009</v>
      </c>
      <c r="AC73" s="256"/>
      <c r="AD73" s="256"/>
      <c r="AE73" s="293">
        <v>46874</v>
      </c>
      <c r="AF73" s="294">
        <v>5.8400000000000001E-2</v>
      </c>
      <c r="AG73" s="256">
        <v>36.64</v>
      </c>
      <c r="AH73" s="256">
        <v>10.17</v>
      </c>
      <c r="AI73" s="256"/>
      <c r="AJ73" s="257"/>
      <c r="AK73" s="296">
        <f>'Encargos e Benefícios'!D72</f>
        <v>2600</v>
      </c>
      <c r="AL73" s="296">
        <f>IF('Encargos e Benefícios'!C72=0,0,'Encargos e Benefícios'!U72/'Encargos e Benefícios'!C72)</f>
        <v>2114.088888888889</v>
      </c>
      <c r="AM73" s="296">
        <f>IF('Encargos e Benefícios'!C72=0,0,'Encargos e Benefícios'!AC72/'Encargos e Benefícios'!C72)</f>
        <v>956.31999999999994</v>
      </c>
      <c r="AN73" s="297">
        <f>IF('Encargos e Benefícios'!C72=0,0,'Encargos e Benefícios'!AD72/'Encargos e Benefícios'!C72)</f>
        <v>5670.4088888888891</v>
      </c>
      <c r="AO73" s="188">
        <v>2456</v>
      </c>
      <c r="AP73" s="298">
        <v>2000</v>
      </c>
      <c r="AQ73" s="298">
        <v>2911.99</v>
      </c>
      <c r="AR73" s="299" t="s">
        <v>106</v>
      </c>
      <c r="AS73" s="188"/>
    </row>
    <row r="74" spans="1:45">
      <c r="A74" s="286">
        <v>68</v>
      </c>
      <c r="B74" s="81" t="str">
        <f>'Encargos e Benefícios'!B73</f>
        <v>Administrativo</v>
      </c>
      <c r="C74" s="287">
        <f>'Encargos e Benefícios'!C73</f>
        <v>1</v>
      </c>
      <c r="D74" s="288">
        <v>40</v>
      </c>
      <c r="E74" s="300">
        <v>45261</v>
      </c>
      <c r="F74" s="301">
        <v>47058</v>
      </c>
      <c r="G74" s="293">
        <v>45413</v>
      </c>
      <c r="H74" s="294">
        <v>5.8400000000000001E-2</v>
      </c>
      <c r="I74" s="256">
        <v>29.2</v>
      </c>
      <c r="J74" s="256">
        <v>6.87</v>
      </c>
      <c r="K74" s="256"/>
      <c r="L74" s="256"/>
      <c r="M74" s="293">
        <v>45778</v>
      </c>
      <c r="N74" s="294">
        <v>5.8400000000000001E-2</v>
      </c>
      <c r="O74" s="256">
        <v>30.9</v>
      </c>
      <c r="P74" s="256">
        <v>7.27</v>
      </c>
      <c r="Q74" s="256"/>
      <c r="R74" s="256"/>
      <c r="S74" s="293">
        <v>46143</v>
      </c>
      <c r="T74" s="294">
        <v>5.8400000000000001E-2</v>
      </c>
      <c r="U74" s="256">
        <v>32.71</v>
      </c>
      <c r="V74" s="256">
        <v>7.82</v>
      </c>
      <c r="W74" s="256"/>
      <c r="X74" s="256"/>
      <c r="Y74" s="293">
        <v>46508</v>
      </c>
      <c r="Z74" s="294">
        <v>5.8400000000000001E-2</v>
      </c>
      <c r="AA74" s="256">
        <v>34.619999999999997</v>
      </c>
      <c r="AB74" s="256">
        <v>8.7100000000000009</v>
      </c>
      <c r="AC74" s="256"/>
      <c r="AD74" s="256"/>
      <c r="AE74" s="293">
        <v>46874</v>
      </c>
      <c r="AF74" s="294">
        <v>5.8400000000000001E-2</v>
      </c>
      <c r="AG74" s="256">
        <v>36.64</v>
      </c>
      <c r="AH74" s="256">
        <v>10.17</v>
      </c>
      <c r="AI74" s="256"/>
      <c r="AJ74" s="257"/>
      <c r="AK74" s="296">
        <f>'Encargos e Benefícios'!D73</f>
        <v>1750</v>
      </c>
      <c r="AL74" s="296">
        <f>IF('Encargos e Benefícios'!C73=0,0,'Encargos e Benefícios'!U73/'Encargos e Benefícios'!C73)</f>
        <v>1422.9444444444443</v>
      </c>
      <c r="AM74" s="296">
        <f>IF('Encargos e Benefícios'!C73=0,0,'Encargos e Benefícios'!AC73/'Encargos e Benefícios'!C73)</f>
        <v>956.31999999999994</v>
      </c>
      <c r="AN74" s="297">
        <f>IF('Encargos e Benefícios'!C73=0,0,'Encargos e Benefícios'!AD73/'Encargos e Benefícios'!C73)</f>
        <v>4129.2644444444441</v>
      </c>
      <c r="AO74" s="188">
        <v>2012.52</v>
      </c>
      <c r="AP74" s="298">
        <v>1329.38</v>
      </c>
      <c r="AQ74" s="298">
        <v>2695.66</v>
      </c>
      <c r="AR74" s="299" t="s">
        <v>106</v>
      </c>
      <c r="AS74" s="188"/>
    </row>
    <row r="75" spans="1:45">
      <c r="A75" s="286">
        <v>69</v>
      </c>
      <c r="B75" s="81" t="str">
        <f>'Encargos e Benefícios'!B74</f>
        <v>Auxiliar Educacional</v>
      </c>
      <c r="C75" s="287">
        <f>'Encargos e Benefícios'!C74</f>
        <v>1</v>
      </c>
      <c r="D75" s="288">
        <v>30</v>
      </c>
      <c r="E75" s="300">
        <v>45261</v>
      </c>
      <c r="F75" s="301">
        <v>47058</v>
      </c>
      <c r="G75" s="293">
        <v>45413</v>
      </c>
      <c r="H75" s="294">
        <v>5.8400000000000001E-2</v>
      </c>
      <c r="I75" s="256">
        <v>29.2</v>
      </c>
      <c r="J75" s="256">
        <v>6.87</v>
      </c>
      <c r="K75" s="256"/>
      <c r="L75" s="256"/>
      <c r="M75" s="293">
        <v>45778</v>
      </c>
      <c r="N75" s="294">
        <v>5.8400000000000001E-2</v>
      </c>
      <c r="O75" s="256">
        <v>30.9</v>
      </c>
      <c r="P75" s="256">
        <v>7.27</v>
      </c>
      <c r="Q75" s="256"/>
      <c r="R75" s="256"/>
      <c r="S75" s="293">
        <v>46143</v>
      </c>
      <c r="T75" s="294">
        <v>5.8400000000000001E-2</v>
      </c>
      <c r="U75" s="256">
        <v>32.71</v>
      </c>
      <c r="V75" s="256">
        <v>7.82</v>
      </c>
      <c r="W75" s="256"/>
      <c r="X75" s="256"/>
      <c r="Y75" s="293">
        <v>46508</v>
      </c>
      <c r="Z75" s="294">
        <v>5.8400000000000001E-2</v>
      </c>
      <c r="AA75" s="256">
        <v>34.619999999999997</v>
      </c>
      <c r="AB75" s="256">
        <v>8.7100000000000009</v>
      </c>
      <c r="AC75" s="256"/>
      <c r="AD75" s="256"/>
      <c r="AE75" s="293">
        <v>46874</v>
      </c>
      <c r="AF75" s="294">
        <v>5.8400000000000001E-2</v>
      </c>
      <c r="AG75" s="256">
        <v>36.64</v>
      </c>
      <c r="AH75" s="256">
        <v>10.17</v>
      </c>
      <c r="AI75" s="256"/>
      <c r="AJ75" s="257"/>
      <c r="AK75" s="296">
        <f>'Encargos e Benefícios'!D74</f>
        <v>1642</v>
      </c>
      <c r="AL75" s="296">
        <f>IF('Encargos e Benefícios'!C74=0,0,'Encargos e Benefícios'!U74/'Encargos e Benefícios'!C74)</f>
        <v>1335.1284444444443</v>
      </c>
      <c r="AM75" s="296">
        <f>IF('Encargos e Benefícios'!C74=0,0,'Encargos e Benefícios'!AC74/'Encargos e Benefícios'!C74)</f>
        <v>956.31999999999994</v>
      </c>
      <c r="AN75" s="297">
        <f>IF('Encargos e Benefícios'!C74=0,0,'Encargos e Benefícios'!AD74/'Encargos e Benefícios'!C74)</f>
        <v>3933.4484444444442</v>
      </c>
      <c r="AO75" s="188">
        <v>1821.21</v>
      </c>
      <c r="AP75" s="298">
        <v>1641.97</v>
      </c>
      <c r="AQ75" s="298">
        <v>2000.45</v>
      </c>
      <c r="AR75" s="299" t="s">
        <v>106</v>
      </c>
      <c r="AS75" s="188"/>
    </row>
    <row r="76" spans="1:45">
      <c r="A76" s="286">
        <v>70</v>
      </c>
      <c r="B76" s="81" t="str">
        <f>'Encargos e Benefícios'!B75</f>
        <v>Auxiliar de Serviços Gerais</v>
      </c>
      <c r="C76" s="287">
        <f>'Encargos e Benefícios'!C75</f>
        <v>1</v>
      </c>
      <c r="D76" s="288">
        <v>30</v>
      </c>
      <c r="E76" s="300">
        <v>45261</v>
      </c>
      <c r="F76" s="301">
        <v>47058</v>
      </c>
      <c r="G76" s="293">
        <v>45413</v>
      </c>
      <c r="H76" s="294">
        <v>5.8400000000000001E-2</v>
      </c>
      <c r="I76" s="256">
        <v>29.2</v>
      </c>
      <c r="J76" s="256">
        <v>6.87</v>
      </c>
      <c r="K76" s="256"/>
      <c r="L76" s="256"/>
      <c r="M76" s="293">
        <v>45778</v>
      </c>
      <c r="N76" s="294">
        <v>5.8400000000000001E-2</v>
      </c>
      <c r="O76" s="256">
        <v>30.9</v>
      </c>
      <c r="P76" s="256">
        <v>7.27</v>
      </c>
      <c r="Q76" s="256"/>
      <c r="R76" s="256"/>
      <c r="S76" s="293">
        <v>46143</v>
      </c>
      <c r="T76" s="294">
        <v>5.8400000000000001E-2</v>
      </c>
      <c r="U76" s="256">
        <v>32.71</v>
      </c>
      <c r="V76" s="256">
        <v>7.82</v>
      </c>
      <c r="W76" s="256"/>
      <c r="X76" s="256"/>
      <c r="Y76" s="293">
        <v>46508</v>
      </c>
      <c r="Z76" s="294">
        <v>5.8400000000000001E-2</v>
      </c>
      <c r="AA76" s="256">
        <v>34.619999999999997</v>
      </c>
      <c r="AB76" s="256">
        <v>8.7100000000000009</v>
      </c>
      <c r="AC76" s="256"/>
      <c r="AD76" s="256"/>
      <c r="AE76" s="293">
        <v>46874</v>
      </c>
      <c r="AF76" s="294">
        <v>5.8400000000000001E-2</v>
      </c>
      <c r="AG76" s="256">
        <v>36.64</v>
      </c>
      <c r="AH76" s="256">
        <v>10.17</v>
      </c>
      <c r="AI76" s="256"/>
      <c r="AJ76" s="257"/>
      <c r="AK76" s="296">
        <f>'Encargos e Benefícios'!D75</f>
        <v>1385</v>
      </c>
      <c r="AL76" s="296">
        <f>IF('Encargos e Benefícios'!C75=0,0,'Encargos e Benefícios'!U75/'Encargos e Benefícios'!C75)</f>
        <v>1126.1588888888887</v>
      </c>
      <c r="AM76" s="296">
        <f>IF('Encargos e Benefícios'!C75=0,0,'Encargos e Benefícios'!AC75/'Encargos e Benefícios'!C75)</f>
        <v>956.31999999999994</v>
      </c>
      <c r="AN76" s="297">
        <f>IF('Encargos e Benefícios'!C75=0,0,'Encargos e Benefícios'!AD75/'Encargos e Benefícios'!C75)</f>
        <v>3467.4788888888888</v>
      </c>
      <c r="AO76" s="188">
        <v>1481.02</v>
      </c>
      <c r="AP76" s="298">
        <v>1302</v>
      </c>
      <c r="AQ76" s="298">
        <v>1660.04</v>
      </c>
      <c r="AR76" s="299" t="s">
        <v>106</v>
      </c>
      <c r="AS76" s="188"/>
    </row>
    <row r="77" spans="1:45">
      <c r="A77" s="286">
        <v>71</v>
      </c>
      <c r="B77" s="81" t="str">
        <f>'Encargos e Benefícios'!B76</f>
        <v>Motorista</v>
      </c>
      <c r="C77" s="287">
        <f>'Encargos e Benefícios'!C76</f>
        <v>1</v>
      </c>
      <c r="D77" s="288">
        <v>40</v>
      </c>
      <c r="E77" s="300">
        <v>45261</v>
      </c>
      <c r="F77" s="301">
        <v>47058</v>
      </c>
      <c r="G77" s="293">
        <v>45413</v>
      </c>
      <c r="H77" s="294">
        <v>5.8400000000000001E-2</v>
      </c>
      <c r="I77" s="256">
        <v>29.2</v>
      </c>
      <c r="J77" s="256">
        <v>6.87</v>
      </c>
      <c r="K77" s="256"/>
      <c r="L77" s="256"/>
      <c r="M77" s="293">
        <v>45778</v>
      </c>
      <c r="N77" s="294">
        <v>5.8400000000000001E-2</v>
      </c>
      <c r="O77" s="256">
        <v>30.9</v>
      </c>
      <c r="P77" s="256">
        <v>7.27</v>
      </c>
      <c r="Q77" s="256"/>
      <c r="R77" s="256"/>
      <c r="S77" s="293">
        <v>46143</v>
      </c>
      <c r="T77" s="294">
        <v>5.8400000000000001E-2</v>
      </c>
      <c r="U77" s="256">
        <v>32.71</v>
      </c>
      <c r="V77" s="256">
        <v>7.82</v>
      </c>
      <c r="W77" s="256"/>
      <c r="X77" s="256"/>
      <c r="Y77" s="293">
        <v>46508</v>
      </c>
      <c r="Z77" s="294">
        <v>5.8400000000000001E-2</v>
      </c>
      <c r="AA77" s="256">
        <v>34.619999999999997</v>
      </c>
      <c r="AB77" s="256">
        <v>8.7100000000000009</v>
      </c>
      <c r="AC77" s="256"/>
      <c r="AD77" s="256"/>
      <c r="AE77" s="293">
        <v>46874</v>
      </c>
      <c r="AF77" s="294">
        <v>5.8400000000000001E-2</v>
      </c>
      <c r="AG77" s="256">
        <v>36.64</v>
      </c>
      <c r="AH77" s="256">
        <v>10.17</v>
      </c>
      <c r="AI77" s="256"/>
      <c r="AJ77" s="257"/>
      <c r="AK77" s="296">
        <f>'Encargos e Benefícios'!D76</f>
        <v>1452.39</v>
      </c>
      <c r="AL77" s="296">
        <f>IF('Encargos e Benefícios'!C76=0,0,'Encargos e Benefícios'!U76/'Encargos e Benefícios'!C76)</f>
        <v>1180.9544466666669</v>
      </c>
      <c r="AM77" s="296">
        <f>IF('Encargos e Benefícios'!C76=0,0,'Encargos e Benefícios'!AC76/'Encargos e Benefícios'!C76)</f>
        <v>956.31999999999994</v>
      </c>
      <c r="AN77" s="297">
        <f>IF('Encargos e Benefícios'!C76=0,0,'Encargos e Benefícios'!AD76/'Encargos e Benefícios'!C76)</f>
        <v>3589.6644466666667</v>
      </c>
      <c r="AO77" s="188">
        <v>1826.28</v>
      </c>
      <c r="AP77" s="298">
        <v>1452.39</v>
      </c>
      <c r="AQ77" s="298">
        <v>2200.17</v>
      </c>
      <c r="AR77" s="299" t="s">
        <v>106</v>
      </c>
      <c r="AS77" s="188"/>
    </row>
    <row r="78" spans="1:45">
      <c r="A78" s="286">
        <v>72</v>
      </c>
      <c r="B78" s="81" t="str">
        <f>'Encargos e Benefícios'!B77</f>
        <v>Socioeducador - DC</v>
      </c>
      <c r="C78" s="287">
        <f>'Encargos e Benefícios'!C77</f>
        <v>2</v>
      </c>
      <c r="D78" s="288" t="s">
        <v>504</v>
      </c>
      <c r="E78" s="300">
        <v>45261</v>
      </c>
      <c r="F78" s="301">
        <v>47058</v>
      </c>
      <c r="G78" s="293">
        <v>45413</v>
      </c>
      <c r="H78" s="294">
        <v>5.8400000000000001E-2</v>
      </c>
      <c r="I78" s="256">
        <v>29.2</v>
      </c>
      <c r="J78" s="256">
        <v>6.87</v>
      </c>
      <c r="K78" s="256"/>
      <c r="L78" s="256"/>
      <c r="M78" s="293">
        <v>45778</v>
      </c>
      <c r="N78" s="294">
        <v>5.8400000000000001E-2</v>
      </c>
      <c r="O78" s="256">
        <v>30.9</v>
      </c>
      <c r="P78" s="256">
        <v>7.27</v>
      </c>
      <c r="Q78" s="256"/>
      <c r="R78" s="256"/>
      <c r="S78" s="293">
        <v>46143</v>
      </c>
      <c r="T78" s="294">
        <v>5.8400000000000001E-2</v>
      </c>
      <c r="U78" s="256">
        <v>32.71</v>
      </c>
      <c r="V78" s="256">
        <v>7.82</v>
      </c>
      <c r="W78" s="256"/>
      <c r="X78" s="256"/>
      <c r="Y78" s="293">
        <v>46508</v>
      </c>
      <c r="Z78" s="294">
        <v>5.8400000000000001E-2</v>
      </c>
      <c r="AA78" s="256">
        <v>34.619999999999997</v>
      </c>
      <c r="AB78" s="256">
        <v>8.7100000000000009</v>
      </c>
      <c r="AC78" s="256"/>
      <c r="AD78" s="256"/>
      <c r="AE78" s="293">
        <v>46874</v>
      </c>
      <c r="AF78" s="294">
        <v>5.8400000000000001E-2</v>
      </c>
      <c r="AG78" s="256">
        <v>36.64</v>
      </c>
      <c r="AH78" s="256">
        <v>10.17</v>
      </c>
      <c r="AI78" s="256"/>
      <c r="AJ78" s="257"/>
      <c r="AK78" s="296">
        <f>'Encargos e Benefícios'!D77</f>
        <v>1900</v>
      </c>
      <c r="AL78" s="296">
        <f>IF('Encargos e Benefícios'!C77=0,0,'Encargos e Benefícios'!U77/'Encargos e Benefícios'!C77)</f>
        <v>2544.7966666666666</v>
      </c>
      <c r="AM78" s="296">
        <f>IF('Encargos e Benefícios'!C77=0,0,'Encargos e Benefícios'!AC77/'Encargos e Benefícios'!C77)</f>
        <v>456.18499999999995</v>
      </c>
      <c r="AN78" s="297">
        <f>IF('Encargos e Benefícios'!C77=0,0,'Encargos e Benefícios'!AD77/'Encargos e Benefícios'!C77)</f>
        <v>4900.9816666666666</v>
      </c>
      <c r="AO78" s="188">
        <v>2752.21</v>
      </c>
      <c r="AP78" s="298">
        <v>1764.5</v>
      </c>
      <c r="AQ78" s="298">
        <v>3739.92</v>
      </c>
      <c r="AR78" s="299" t="s">
        <v>106</v>
      </c>
      <c r="AS78" s="188"/>
    </row>
    <row r="79" spans="1:45">
      <c r="A79" s="286">
        <v>73</v>
      </c>
      <c r="B79" s="81" t="str">
        <f>'Encargos e Benefícios'!B78</f>
        <v>Socioeducador - D</v>
      </c>
      <c r="C79" s="287">
        <f>'Encargos e Benefícios'!C78</f>
        <v>12</v>
      </c>
      <c r="D79" s="288" t="s">
        <v>504</v>
      </c>
      <c r="E79" s="300">
        <v>45261</v>
      </c>
      <c r="F79" s="301">
        <v>47058</v>
      </c>
      <c r="G79" s="293">
        <v>45413</v>
      </c>
      <c r="H79" s="294">
        <v>5.8400000000000001E-2</v>
      </c>
      <c r="I79" s="256">
        <v>29.2</v>
      </c>
      <c r="J79" s="256">
        <v>6.87</v>
      </c>
      <c r="K79" s="256"/>
      <c r="L79" s="256"/>
      <c r="M79" s="293">
        <v>45778</v>
      </c>
      <c r="N79" s="294">
        <v>5.8400000000000001E-2</v>
      </c>
      <c r="O79" s="256">
        <v>30.9</v>
      </c>
      <c r="P79" s="256">
        <v>7.27</v>
      </c>
      <c r="Q79" s="256"/>
      <c r="R79" s="256"/>
      <c r="S79" s="293">
        <v>46143</v>
      </c>
      <c r="T79" s="294">
        <v>5.8400000000000001E-2</v>
      </c>
      <c r="U79" s="256">
        <v>32.71</v>
      </c>
      <c r="V79" s="256">
        <v>7.82</v>
      </c>
      <c r="W79" s="256"/>
      <c r="X79" s="256"/>
      <c r="Y79" s="293">
        <v>46508</v>
      </c>
      <c r="Z79" s="294">
        <v>5.8400000000000001E-2</v>
      </c>
      <c r="AA79" s="256">
        <v>34.619999999999997</v>
      </c>
      <c r="AB79" s="256">
        <v>8.7100000000000009</v>
      </c>
      <c r="AC79" s="256"/>
      <c r="AD79" s="256"/>
      <c r="AE79" s="293">
        <v>46874</v>
      </c>
      <c r="AF79" s="294">
        <v>5.8400000000000001E-2</v>
      </c>
      <c r="AG79" s="256">
        <v>36.64</v>
      </c>
      <c r="AH79" s="256">
        <v>10.17</v>
      </c>
      <c r="AI79" s="256"/>
      <c r="AJ79" s="257"/>
      <c r="AK79" s="296">
        <f>'Encargos e Benefícios'!D78</f>
        <v>1900</v>
      </c>
      <c r="AL79" s="296">
        <f>IF('Encargos e Benefícios'!C78=0,0,'Encargos e Benefícios'!U78/'Encargos e Benefícios'!C78)</f>
        <v>2281.7944444444447</v>
      </c>
      <c r="AM79" s="296">
        <f>IF('Encargos e Benefícios'!C78=0,0,'Encargos e Benefícios'!AC78/'Encargos e Benefícios'!C78)</f>
        <v>76.03083333333332</v>
      </c>
      <c r="AN79" s="297">
        <f>IF('Encargos e Benefícios'!C78=0,0,'Encargos e Benefícios'!AD78/'Encargos e Benefícios'!C78)</f>
        <v>4257.8252777777789</v>
      </c>
      <c r="AO79" s="188">
        <v>2752.21</v>
      </c>
      <c r="AP79" s="298">
        <v>1764.5</v>
      </c>
      <c r="AQ79" s="298">
        <v>3739.92</v>
      </c>
      <c r="AR79" s="299" t="s">
        <v>106</v>
      </c>
      <c r="AS79" s="188"/>
    </row>
    <row r="80" spans="1:45">
      <c r="A80" s="286">
        <v>74</v>
      </c>
      <c r="B80" s="81" t="str">
        <f>'Encargos e Benefícios'!B79</f>
        <v>Socioeducador - NC</v>
      </c>
      <c r="C80" s="287">
        <f>'Encargos e Benefícios'!C79</f>
        <v>2</v>
      </c>
      <c r="D80" s="288" t="s">
        <v>504</v>
      </c>
      <c r="E80" s="300">
        <v>45261</v>
      </c>
      <c r="F80" s="301">
        <v>47058</v>
      </c>
      <c r="G80" s="293">
        <v>45413</v>
      </c>
      <c r="H80" s="294">
        <v>5.8400000000000001E-2</v>
      </c>
      <c r="I80" s="256">
        <v>29.2</v>
      </c>
      <c r="J80" s="256">
        <v>6.87</v>
      </c>
      <c r="K80" s="256"/>
      <c r="L80" s="256"/>
      <c r="M80" s="293">
        <v>45778</v>
      </c>
      <c r="N80" s="294">
        <v>5.8400000000000001E-2</v>
      </c>
      <c r="O80" s="256">
        <v>30.9</v>
      </c>
      <c r="P80" s="256">
        <v>7.27</v>
      </c>
      <c r="Q80" s="256"/>
      <c r="R80" s="256"/>
      <c r="S80" s="293">
        <v>46143</v>
      </c>
      <c r="T80" s="294">
        <v>5.8400000000000001E-2</v>
      </c>
      <c r="U80" s="256">
        <v>32.71</v>
      </c>
      <c r="V80" s="256">
        <v>7.82</v>
      </c>
      <c r="W80" s="256"/>
      <c r="X80" s="256"/>
      <c r="Y80" s="293">
        <v>46508</v>
      </c>
      <c r="Z80" s="294">
        <v>5.8400000000000001E-2</v>
      </c>
      <c r="AA80" s="256">
        <v>34.619999999999997</v>
      </c>
      <c r="AB80" s="256">
        <v>8.7100000000000009</v>
      </c>
      <c r="AC80" s="256"/>
      <c r="AD80" s="256"/>
      <c r="AE80" s="293">
        <v>46874</v>
      </c>
      <c r="AF80" s="294">
        <v>5.8400000000000001E-2</v>
      </c>
      <c r="AG80" s="256">
        <v>36.64</v>
      </c>
      <c r="AH80" s="256">
        <v>10.17</v>
      </c>
      <c r="AI80" s="256"/>
      <c r="AJ80" s="257"/>
      <c r="AK80" s="296">
        <f>'Encargos e Benefícios'!D79</f>
        <v>1900</v>
      </c>
      <c r="AL80" s="296">
        <f>IF('Encargos e Benefícios'!C79=0,0,'Encargos e Benefícios'!U79/'Encargos e Benefícios'!C79)</f>
        <v>3013.1818518518517</v>
      </c>
      <c r="AM80" s="296">
        <f>IF('Encargos e Benefícios'!C79=0,0,'Encargos e Benefícios'!AC79/'Encargos e Benefícios'!C79)</f>
        <v>456.18499999999995</v>
      </c>
      <c r="AN80" s="297">
        <f>IF('Encargos e Benefícios'!C79=0,0,'Encargos e Benefícios'!AD79/'Encargos e Benefícios'!C79)</f>
        <v>5369.3668518518516</v>
      </c>
      <c r="AO80" s="188">
        <v>2752.21</v>
      </c>
      <c r="AP80" s="298">
        <v>1764.5</v>
      </c>
      <c r="AQ80" s="298">
        <v>3739.92</v>
      </c>
      <c r="AR80" s="299" t="s">
        <v>106</v>
      </c>
      <c r="AS80" s="188"/>
    </row>
    <row r="81" spans="1:45" ht="13.5" thickBot="1">
      <c r="A81" s="286">
        <v>75</v>
      </c>
      <c r="B81" s="81" t="str">
        <f>'Encargos e Benefícios'!B80</f>
        <v>Socioeducador - N</v>
      </c>
      <c r="C81" s="287">
        <f>'Encargos e Benefícios'!C80</f>
        <v>6</v>
      </c>
      <c r="D81" s="288" t="s">
        <v>504</v>
      </c>
      <c r="E81" s="300">
        <v>45261</v>
      </c>
      <c r="F81" s="301">
        <v>47058</v>
      </c>
      <c r="G81" s="293">
        <v>45413</v>
      </c>
      <c r="H81" s="294">
        <v>5.8400000000000001E-2</v>
      </c>
      <c r="I81" s="256">
        <v>29.2</v>
      </c>
      <c r="J81" s="256">
        <v>6.87</v>
      </c>
      <c r="K81" s="256"/>
      <c r="L81" s="256"/>
      <c r="M81" s="293">
        <v>45778</v>
      </c>
      <c r="N81" s="294">
        <v>5.8400000000000001E-2</v>
      </c>
      <c r="O81" s="256">
        <v>30.9</v>
      </c>
      <c r="P81" s="256">
        <v>7.27</v>
      </c>
      <c r="Q81" s="256"/>
      <c r="R81" s="256"/>
      <c r="S81" s="293">
        <v>46143</v>
      </c>
      <c r="T81" s="294">
        <v>5.8400000000000001E-2</v>
      </c>
      <c r="U81" s="256">
        <v>32.71</v>
      </c>
      <c r="V81" s="256">
        <v>7.82</v>
      </c>
      <c r="W81" s="256"/>
      <c r="X81" s="256"/>
      <c r="Y81" s="293">
        <v>46508</v>
      </c>
      <c r="Z81" s="294">
        <v>5.8400000000000001E-2</v>
      </c>
      <c r="AA81" s="256">
        <v>34.619999999999997</v>
      </c>
      <c r="AB81" s="256">
        <v>8.7100000000000009</v>
      </c>
      <c r="AC81" s="256"/>
      <c r="AD81" s="256"/>
      <c r="AE81" s="293">
        <v>46874</v>
      </c>
      <c r="AF81" s="294">
        <v>5.8400000000000001E-2</v>
      </c>
      <c r="AG81" s="256">
        <v>36.64</v>
      </c>
      <c r="AH81" s="256">
        <v>10.17</v>
      </c>
      <c r="AI81" s="256"/>
      <c r="AJ81" s="257"/>
      <c r="AK81" s="296">
        <f>'Encargos e Benefícios'!D80</f>
        <v>1900</v>
      </c>
      <c r="AL81" s="296">
        <f>IF('Encargos e Benefícios'!C80=0,0,'Encargos e Benefícios'!U80/'Encargos e Benefícios'!C80)</f>
        <v>2750.1796296296302</v>
      </c>
      <c r="AM81" s="296">
        <f>IF('Encargos e Benefícios'!C80=0,0,'Encargos e Benefícios'!AC80/'Encargos e Benefícios'!C80)</f>
        <v>152.06166666666664</v>
      </c>
      <c r="AN81" s="297">
        <f>IF('Encargos e Benefícios'!C80=0,0,'Encargos e Benefícios'!AD80/'Encargos e Benefícios'!C80)</f>
        <v>4802.2412962962962</v>
      </c>
      <c r="AO81" s="188">
        <v>2752.21</v>
      </c>
      <c r="AP81" s="298">
        <v>1764.5</v>
      </c>
      <c r="AQ81" s="298">
        <v>3739.92</v>
      </c>
      <c r="AR81" s="299" t="s">
        <v>106</v>
      </c>
      <c r="AS81" s="188"/>
    </row>
    <row r="82" spans="1:45">
      <c r="A82" s="286">
        <v>76</v>
      </c>
      <c r="B82" s="81" t="str">
        <f>'Encargos e Benefícios'!B81</f>
        <v>Diretor Geral de Unidade Socioeducativa</v>
      </c>
      <c r="C82" s="287">
        <f>'Encargos e Benefícios'!C81</f>
        <v>1</v>
      </c>
      <c r="D82" s="288">
        <v>40</v>
      </c>
      <c r="E82" s="289">
        <v>45261</v>
      </c>
      <c r="F82" s="290">
        <v>47058</v>
      </c>
      <c r="G82" s="293">
        <v>45413</v>
      </c>
      <c r="H82" s="294">
        <v>5.8400000000000001E-2</v>
      </c>
      <c r="I82" s="256">
        <v>29.2</v>
      </c>
      <c r="J82" s="256">
        <v>6.87</v>
      </c>
      <c r="K82" s="256"/>
      <c r="L82" s="256"/>
      <c r="M82" s="293">
        <v>45778</v>
      </c>
      <c r="N82" s="294">
        <v>5.8400000000000001E-2</v>
      </c>
      <c r="O82" s="256">
        <v>30.9</v>
      </c>
      <c r="P82" s="256">
        <v>7.27</v>
      </c>
      <c r="Q82" s="256"/>
      <c r="R82" s="256"/>
      <c r="S82" s="293">
        <v>46143</v>
      </c>
      <c r="T82" s="294">
        <v>5.8400000000000001E-2</v>
      </c>
      <c r="U82" s="256">
        <v>32.71</v>
      </c>
      <c r="V82" s="256">
        <v>7.82</v>
      </c>
      <c r="W82" s="256"/>
      <c r="X82" s="256"/>
      <c r="Y82" s="293">
        <v>46508</v>
      </c>
      <c r="Z82" s="294">
        <v>5.8400000000000001E-2</v>
      </c>
      <c r="AA82" s="256">
        <v>34.619999999999997</v>
      </c>
      <c r="AB82" s="256">
        <v>8.7100000000000009</v>
      </c>
      <c r="AC82" s="256"/>
      <c r="AD82" s="256"/>
      <c r="AE82" s="293">
        <v>46874</v>
      </c>
      <c r="AF82" s="294">
        <v>5.8400000000000001E-2</v>
      </c>
      <c r="AG82" s="256">
        <v>36.64</v>
      </c>
      <c r="AH82" s="256">
        <v>10.17</v>
      </c>
      <c r="AI82" s="256"/>
      <c r="AJ82" s="257"/>
      <c r="AK82" s="296">
        <f>'Encargos e Benefícios'!D81</f>
        <v>6500</v>
      </c>
      <c r="AL82" s="296">
        <f>IF('Encargos e Benefícios'!C81=0,0,'Encargos e Benefícios'!U81/'Encargos e Benefícios'!C81)</f>
        <v>5194.2222222222235</v>
      </c>
      <c r="AM82" s="296">
        <f>IF('Encargos e Benefícios'!C81=0,0,'Encargos e Benefícios'!AC81/'Encargos e Benefícios'!C81)</f>
        <v>817.61999999999989</v>
      </c>
      <c r="AN82" s="297">
        <f>IF('Encargos e Benefícios'!C81=0,0,'Encargos e Benefícios'!AD81/'Encargos e Benefícios'!C81)</f>
        <v>12511.842222222222</v>
      </c>
      <c r="AO82" s="188">
        <v>6052.24</v>
      </c>
      <c r="AP82" s="298">
        <v>4236.6899999999996</v>
      </c>
      <c r="AQ82" s="298">
        <v>7864.78</v>
      </c>
      <c r="AR82" s="299" t="s">
        <v>107</v>
      </c>
      <c r="AS82" s="188"/>
    </row>
    <row r="83" spans="1:45">
      <c r="A83" s="286">
        <v>77</v>
      </c>
      <c r="B83" s="81" t="str">
        <f>'Encargos e Benefícios'!B82</f>
        <v>Subdiretor de Segurança</v>
      </c>
      <c r="C83" s="287">
        <f>'Encargos e Benefícios'!C82</f>
        <v>1</v>
      </c>
      <c r="D83" s="288">
        <v>40</v>
      </c>
      <c r="E83" s="300">
        <v>45261</v>
      </c>
      <c r="F83" s="301">
        <v>47058</v>
      </c>
      <c r="G83" s="293">
        <v>45413</v>
      </c>
      <c r="H83" s="294">
        <v>5.8400000000000001E-2</v>
      </c>
      <c r="I83" s="256">
        <v>29.2</v>
      </c>
      <c r="J83" s="256">
        <v>6.87</v>
      </c>
      <c r="K83" s="256"/>
      <c r="L83" s="256"/>
      <c r="M83" s="293">
        <v>45778</v>
      </c>
      <c r="N83" s="294">
        <v>5.8400000000000001E-2</v>
      </c>
      <c r="O83" s="256">
        <v>30.9</v>
      </c>
      <c r="P83" s="256">
        <v>7.27</v>
      </c>
      <c r="Q83" s="256"/>
      <c r="R83" s="256"/>
      <c r="S83" s="293">
        <v>46143</v>
      </c>
      <c r="T83" s="294">
        <v>5.8400000000000001E-2</v>
      </c>
      <c r="U83" s="256">
        <v>32.71</v>
      </c>
      <c r="V83" s="256">
        <v>7.82</v>
      </c>
      <c r="W83" s="256"/>
      <c r="X83" s="256"/>
      <c r="Y83" s="293">
        <v>46508</v>
      </c>
      <c r="Z83" s="294">
        <v>5.8400000000000001E-2</v>
      </c>
      <c r="AA83" s="256">
        <v>34.619999999999997</v>
      </c>
      <c r="AB83" s="256">
        <v>8.7100000000000009</v>
      </c>
      <c r="AC83" s="256"/>
      <c r="AD83" s="256"/>
      <c r="AE83" s="293">
        <v>46874</v>
      </c>
      <c r="AF83" s="294">
        <v>5.8400000000000001E-2</v>
      </c>
      <c r="AG83" s="256">
        <v>36.64</v>
      </c>
      <c r="AH83" s="256">
        <v>10.17</v>
      </c>
      <c r="AI83" s="256"/>
      <c r="AJ83" s="257"/>
      <c r="AK83" s="296">
        <f>'Encargos e Benefícios'!D82</f>
        <v>3773.6</v>
      </c>
      <c r="AL83" s="296">
        <f>IF('Encargos e Benefícios'!C82=0,0,'Encargos e Benefícios'!U82/'Encargos e Benefícios'!C82)</f>
        <v>4147.6056888888888</v>
      </c>
      <c r="AM83" s="296">
        <f>IF('Encargos e Benefícios'!C82=0,0,'Encargos e Benefícios'!AC82/'Encargos e Benefícios'!C82)</f>
        <v>817.61999999999989</v>
      </c>
      <c r="AN83" s="297">
        <f>IF('Encargos e Benefícios'!C82=0,0,'Encargos e Benefícios'!AD82/'Encargos e Benefícios'!C82)</f>
        <v>8738.82568888889</v>
      </c>
      <c r="AO83" s="188">
        <v>4968.99</v>
      </c>
      <c r="AP83" s="298">
        <v>3773.6</v>
      </c>
      <c r="AQ83" s="298">
        <v>6164.38</v>
      </c>
      <c r="AR83" s="299" t="s">
        <v>107</v>
      </c>
      <c r="AS83" s="188"/>
    </row>
    <row r="84" spans="1:45">
      <c r="A84" s="286">
        <v>78</v>
      </c>
      <c r="B84" s="81" t="str">
        <f>'Encargos e Benefícios'!B83</f>
        <v>Advogado</v>
      </c>
      <c r="C84" s="287">
        <f>'Encargos e Benefícios'!C83</f>
        <v>1</v>
      </c>
      <c r="D84" s="288">
        <v>30</v>
      </c>
      <c r="E84" s="300">
        <v>45261</v>
      </c>
      <c r="F84" s="301">
        <v>47058</v>
      </c>
      <c r="G84" s="293">
        <v>45413</v>
      </c>
      <c r="H84" s="294">
        <v>5.8400000000000001E-2</v>
      </c>
      <c r="I84" s="256">
        <v>29.2</v>
      </c>
      <c r="J84" s="256">
        <v>6.87</v>
      </c>
      <c r="K84" s="256"/>
      <c r="L84" s="256"/>
      <c r="M84" s="293">
        <v>45778</v>
      </c>
      <c r="N84" s="294">
        <v>5.8400000000000001E-2</v>
      </c>
      <c r="O84" s="256">
        <v>30.9</v>
      </c>
      <c r="P84" s="256">
        <v>7.27</v>
      </c>
      <c r="Q84" s="256"/>
      <c r="R84" s="256"/>
      <c r="S84" s="293">
        <v>46143</v>
      </c>
      <c r="T84" s="294">
        <v>5.8400000000000001E-2</v>
      </c>
      <c r="U84" s="256">
        <v>32.71</v>
      </c>
      <c r="V84" s="256">
        <v>7.82</v>
      </c>
      <c r="W84" s="256"/>
      <c r="X84" s="256"/>
      <c r="Y84" s="293">
        <v>46508</v>
      </c>
      <c r="Z84" s="294">
        <v>5.8400000000000001E-2</v>
      </c>
      <c r="AA84" s="256">
        <v>34.619999999999997</v>
      </c>
      <c r="AB84" s="256">
        <v>8.7100000000000009</v>
      </c>
      <c r="AC84" s="256"/>
      <c r="AD84" s="256"/>
      <c r="AE84" s="293">
        <v>46874</v>
      </c>
      <c r="AF84" s="294">
        <v>5.8400000000000001E-2</v>
      </c>
      <c r="AG84" s="256">
        <v>36.64</v>
      </c>
      <c r="AH84" s="256">
        <v>10.17</v>
      </c>
      <c r="AI84" s="256"/>
      <c r="AJ84" s="257"/>
      <c r="AK84" s="296">
        <f>'Encargos e Benefícios'!D83</f>
        <v>2600</v>
      </c>
      <c r="AL84" s="296">
        <f>IF('Encargos e Benefícios'!C83=0,0,'Encargos e Benefícios'!U83/'Encargos e Benefícios'!C83)</f>
        <v>2114.088888888889</v>
      </c>
      <c r="AM84" s="296">
        <f>IF('Encargos e Benefícios'!C83=0,0,'Encargos e Benefícios'!AC83/'Encargos e Benefícios'!C83)</f>
        <v>910.67999999999984</v>
      </c>
      <c r="AN84" s="297">
        <f>IF('Encargos e Benefícios'!C83=0,0,'Encargos e Benefícios'!AD83/'Encargos e Benefícios'!C83)</f>
        <v>5624.7688888888897</v>
      </c>
      <c r="AO84" s="188">
        <v>2574.5</v>
      </c>
      <c r="AP84" s="298">
        <v>2000</v>
      </c>
      <c r="AQ84" s="298">
        <v>3148.99</v>
      </c>
      <c r="AR84" s="299" t="s">
        <v>107</v>
      </c>
      <c r="AS84" s="188"/>
    </row>
    <row r="85" spans="1:45">
      <c r="A85" s="286">
        <v>79</v>
      </c>
      <c r="B85" s="81" t="str">
        <f>'Encargos e Benefícios'!B84</f>
        <v>Assistente Social</v>
      </c>
      <c r="C85" s="287">
        <f>'Encargos e Benefícios'!C84</f>
        <v>1</v>
      </c>
      <c r="D85" s="288">
        <v>30</v>
      </c>
      <c r="E85" s="300">
        <v>45261</v>
      </c>
      <c r="F85" s="301">
        <v>47058</v>
      </c>
      <c r="G85" s="293">
        <v>45413</v>
      </c>
      <c r="H85" s="294">
        <v>5.8400000000000001E-2</v>
      </c>
      <c r="I85" s="256">
        <v>29.2</v>
      </c>
      <c r="J85" s="256">
        <v>6.87</v>
      </c>
      <c r="K85" s="256"/>
      <c r="L85" s="256"/>
      <c r="M85" s="293">
        <v>45778</v>
      </c>
      <c r="N85" s="294">
        <v>5.8400000000000001E-2</v>
      </c>
      <c r="O85" s="256">
        <v>30.9</v>
      </c>
      <c r="P85" s="256">
        <v>7.27</v>
      </c>
      <c r="Q85" s="256"/>
      <c r="R85" s="256"/>
      <c r="S85" s="293">
        <v>46143</v>
      </c>
      <c r="T85" s="294">
        <v>5.8400000000000001E-2</v>
      </c>
      <c r="U85" s="256">
        <v>32.71</v>
      </c>
      <c r="V85" s="256">
        <v>7.82</v>
      </c>
      <c r="W85" s="256"/>
      <c r="X85" s="256"/>
      <c r="Y85" s="293">
        <v>46508</v>
      </c>
      <c r="Z85" s="294">
        <v>5.8400000000000001E-2</v>
      </c>
      <c r="AA85" s="256">
        <v>34.619999999999997</v>
      </c>
      <c r="AB85" s="256">
        <v>8.7100000000000009</v>
      </c>
      <c r="AC85" s="256"/>
      <c r="AD85" s="256"/>
      <c r="AE85" s="293">
        <v>46874</v>
      </c>
      <c r="AF85" s="294">
        <v>5.8400000000000001E-2</v>
      </c>
      <c r="AG85" s="256">
        <v>36.64</v>
      </c>
      <c r="AH85" s="256">
        <v>10.17</v>
      </c>
      <c r="AI85" s="256"/>
      <c r="AJ85" s="257"/>
      <c r="AK85" s="296">
        <f>'Encargos e Benefícios'!D84</f>
        <v>2600</v>
      </c>
      <c r="AL85" s="296">
        <f>IF('Encargos e Benefícios'!C84=0,0,'Encargos e Benefícios'!U84/'Encargos e Benefícios'!C84)</f>
        <v>2114.088888888889</v>
      </c>
      <c r="AM85" s="296">
        <f>IF('Encargos e Benefícios'!C84=0,0,'Encargos e Benefícios'!AC84/'Encargos e Benefícios'!C84)</f>
        <v>910.67999999999984</v>
      </c>
      <c r="AN85" s="297">
        <f>IF('Encargos e Benefícios'!C84=0,0,'Encargos e Benefícios'!AD84/'Encargos e Benefícios'!C84)</f>
        <v>5624.7688888888897</v>
      </c>
      <c r="AO85" s="188">
        <v>2906.48</v>
      </c>
      <c r="AP85" s="298">
        <v>2000</v>
      </c>
      <c r="AQ85" s="298">
        <v>3812.95</v>
      </c>
      <c r="AR85" s="299" t="s">
        <v>107</v>
      </c>
      <c r="AS85" s="188"/>
    </row>
    <row r="86" spans="1:45">
      <c r="A86" s="286">
        <v>80</v>
      </c>
      <c r="B86" s="81" t="str">
        <f>'Encargos e Benefícios'!B85</f>
        <v>Pedagogo</v>
      </c>
      <c r="C86" s="287">
        <f>'Encargos e Benefícios'!C85</f>
        <v>1</v>
      </c>
      <c r="D86" s="288">
        <v>30</v>
      </c>
      <c r="E86" s="300">
        <v>45261</v>
      </c>
      <c r="F86" s="301">
        <v>47058</v>
      </c>
      <c r="G86" s="293">
        <v>45413</v>
      </c>
      <c r="H86" s="294">
        <v>5.8400000000000001E-2</v>
      </c>
      <c r="I86" s="256">
        <v>29.2</v>
      </c>
      <c r="J86" s="256">
        <v>6.87</v>
      </c>
      <c r="K86" s="256"/>
      <c r="L86" s="256"/>
      <c r="M86" s="293">
        <v>45778</v>
      </c>
      <c r="N86" s="294">
        <v>5.8400000000000001E-2</v>
      </c>
      <c r="O86" s="256">
        <v>30.9</v>
      </c>
      <c r="P86" s="256">
        <v>7.27</v>
      </c>
      <c r="Q86" s="256"/>
      <c r="R86" s="256"/>
      <c r="S86" s="293">
        <v>46143</v>
      </c>
      <c r="T86" s="294">
        <v>5.8400000000000001E-2</v>
      </c>
      <c r="U86" s="256">
        <v>32.71</v>
      </c>
      <c r="V86" s="256">
        <v>7.82</v>
      </c>
      <c r="W86" s="256"/>
      <c r="X86" s="256"/>
      <c r="Y86" s="293">
        <v>46508</v>
      </c>
      <c r="Z86" s="294">
        <v>5.8400000000000001E-2</v>
      </c>
      <c r="AA86" s="256">
        <v>34.619999999999997</v>
      </c>
      <c r="AB86" s="256">
        <v>8.7100000000000009</v>
      </c>
      <c r="AC86" s="256"/>
      <c r="AD86" s="256"/>
      <c r="AE86" s="293">
        <v>46874</v>
      </c>
      <c r="AF86" s="294">
        <v>5.8400000000000001E-2</v>
      </c>
      <c r="AG86" s="256">
        <v>36.64</v>
      </c>
      <c r="AH86" s="256">
        <v>10.17</v>
      </c>
      <c r="AI86" s="256"/>
      <c r="AJ86" s="257"/>
      <c r="AK86" s="296">
        <f>'Encargos e Benefícios'!D85</f>
        <v>2600</v>
      </c>
      <c r="AL86" s="296">
        <f>IF('Encargos e Benefícios'!C85=0,0,'Encargos e Benefícios'!U85/'Encargos e Benefícios'!C85)</f>
        <v>2114.088888888889</v>
      </c>
      <c r="AM86" s="296">
        <f>IF('Encargos e Benefícios'!C85=0,0,'Encargos e Benefícios'!AC85/'Encargos e Benefícios'!C85)</f>
        <v>910.67999999999984</v>
      </c>
      <c r="AN86" s="297">
        <f>IF('Encargos e Benefícios'!C85=0,0,'Encargos e Benefícios'!AD85/'Encargos e Benefícios'!C85)</f>
        <v>5624.7688888888897</v>
      </c>
      <c r="AO86" s="188">
        <v>2826.08</v>
      </c>
      <c r="AP86" s="298">
        <v>1936.68</v>
      </c>
      <c r="AQ86" s="298">
        <v>3715.48</v>
      </c>
      <c r="AR86" s="299" t="s">
        <v>107</v>
      </c>
      <c r="AS86" s="188"/>
    </row>
    <row r="87" spans="1:45">
      <c r="A87" s="286">
        <v>81</v>
      </c>
      <c r="B87" s="81" t="str">
        <f>'Encargos e Benefícios'!B86</f>
        <v>Psicologo</v>
      </c>
      <c r="C87" s="287">
        <f>'Encargos e Benefícios'!C86</f>
        <v>1</v>
      </c>
      <c r="D87" s="288">
        <v>30</v>
      </c>
      <c r="E87" s="300">
        <v>45261</v>
      </c>
      <c r="F87" s="301">
        <v>47058</v>
      </c>
      <c r="G87" s="293">
        <v>45413</v>
      </c>
      <c r="H87" s="294">
        <v>5.8400000000000001E-2</v>
      </c>
      <c r="I87" s="256">
        <v>29.2</v>
      </c>
      <c r="J87" s="256">
        <v>6.87</v>
      </c>
      <c r="K87" s="256"/>
      <c r="L87" s="256"/>
      <c r="M87" s="293">
        <v>45778</v>
      </c>
      <c r="N87" s="294">
        <v>5.8400000000000001E-2</v>
      </c>
      <c r="O87" s="256">
        <v>30.9</v>
      </c>
      <c r="P87" s="256">
        <v>7.27</v>
      </c>
      <c r="Q87" s="256"/>
      <c r="R87" s="256"/>
      <c r="S87" s="293">
        <v>46143</v>
      </c>
      <c r="T87" s="294">
        <v>5.8400000000000001E-2</v>
      </c>
      <c r="U87" s="256">
        <v>32.71</v>
      </c>
      <c r="V87" s="256">
        <v>7.82</v>
      </c>
      <c r="W87" s="256"/>
      <c r="X87" s="256"/>
      <c r="Y87" s="293">
        <v>46508</v>
      </c>
      <c r="Z87" s="294">
        <v>5.8400000000000001E-2</v>
      </c>
      <c r="AA87" s="256">
        <v>34.619999999999997</v>
      </c>
      <c r="AB87" s="256">
        <v>8.7100000000000009</v>
      </c>
      <c r="AC87" s="256"/>
      <c r="AD87" s="256"/>
      <c r="AE87" s="293">
        <v>46874</v>
      </c>
      <c r="AF87" s="294">
        <v>5.8400000000000001E-2</v>
      </c>
      <c r="AG87" s="256">
        <v>36.64</v>
      </c>
      <c r="AH87" s="256">
        <v>10.17</v>
      </c>
      <c r="AI87" s="256"/>
      <c r="AJ87" s="257"/>
      <c r="AK87" s="296">
        <f>'Encargos e Benefícios'!D86</f>
        <v>2600</v>
      </c>
      <c r="AL87" s="296">
        <f>IF('Encargos e Benefícios'!C86=0,0,'Encargos e Benefícios'!U86/'Encargos e Benefícios'!C86)</f>
        <v>2114.088888888889</v>
      </c>
      <c r="AM87" s="296">
        <f>IF('Encargos e Benefícios'!C86=0,0,'Encargos e Benefícios'!AC86/'Encargos e Benefícios'!C86)</f>
        <v>910.67999999999984</v>
      </c>
      <c r="AN87" s="297">
        <f>IF('Encargos e Benefícios'!C86=0,0,'Encargos e Benefícios'!AD86/'Encargos e Benefícios'!C86)</f>
        <v>5624.7688888888897</v>
      </c>
      <c r="AO87" s="188">
        <v>2906.48</v>
      </c>
      <c r="AP87" s="298">
        <v>2000</v>
      </c>
      <c r="AQ87" s="298">
        <v>3812.95</v>
      </c>
      <c r="AR87" s="299" t="s">
        <v>107</v>
      </c>
      <c r="AS87" s="188"/>
    </row>
    <row r="88" spans="1:45">
      <c r="A88" s="286">
        <v>82</v>
      </c>
      <c r="B88" s="81" t="str">
        <f>'Encargos e Benefícios'!B87</f>
        <v>Terapeuta Ocupacional</v>
      </c>
      <c r="C88" s="287">
        <f>'Encargos e Benefícios'!C87</f>
        <v>1</v>
      </c>
      <c r="D88" s="288">
        <v>30</v>
      </c>
      <c r="E88" s="300">
        <v>45261</v>
      </c>
      <c r="F88" s="301">
        <v>47058</v>
      </c>
      <c r="G88" s="293">
        <v>45413</v>
      </c>
      <c r="H88" s="294">
        <v>5.8400000000000001E-2</v>
      </c>
      <c r="I88" s="256">
        <v>29.2</v>
      </c>
      <c r="J88" s="256">
        <v>6.87</v>
      </c>
      <c r="K88" s="256"/>
      <c r="L88" s="256"/>
      <c r="M88" s="293">
        <v>45778</v>
      </c>
      <c r="N88" s="294">
        <v>5.8400000000000001E-2</v>
      </c>
      <c r="O88" s="256">
        <v>30.9</v>
      </c>
      <c r="P88" s="256">
        <v>7.27</v>
      </c>
      <c r="Q88" s="256"/>
      <c r="R88" s="256"/>
      <c r="S88" s="293">
        <v>46143</v>
      </c>
      <c r="T88" s="294">
        <v>5.8400000000000001E-2</v>
      </c>
      <c r="U88" s="256">
        <v>32.71</v>
      </c>
      <c r="V88" s="256">
        <v>7.82</v>
      </c>
      <c r="W88" s="256"/>
      <c r="X88" s="256"/>
      <c r="Y88" s="293">
        <v>46508</v>
      </c>
      <c r="Z88" s="294">
        <v>5.8400000000000001E-2</v>
      </c>
      <c r="AA88" s="256">
        <v>34.619999999999997</v>
      </c>
      <c r="AB88" s="256">
        <v>8.7100000000000009</v>
      </c>
      <c r="AC88" s="256"/>
      <c r="AD88" s="256"/>
      <c r="AE88" s="293">
        <v>46874</v>
      </c>
      <c r="AF88" s="294">
        <v>5.8400000000000001E-2</v>
      </c>
      <c r="AG88" s="256">
        <v>36.64</v>
      </c>
      <c r="AH88" s="256">
        <v>10.17</v>
      </c>
      <c r="AI88" s="256"/>
      <c r="AJ88" s="257"/>
      <c r="AK88" s="296">
        <f>'Encargos e Benefícios'!D87</f>
        <v>2600</v>
      </c>
      <c r="AL88" s="296">
        <f>IF('Encargos e Benefícios'!C87=0,0,'Encargos e Benefícios'!U87/'Encargos e Benefícios'!C87)</f>
        <v>2114.088888888889</v>
      </c>
      <c r="AM88" s="296">
        <f>IF('Encargos e Benefícios'!C87=0,0,'Encargos e Benefícios'!AC87/'Encargos e Benefícios'!C87)</f>
        <v>910.67999999999984</v>
      </c>
      <c r="AN88" s="297">
        <f>IF('Encargos e Benefícios'!C87=0,0,'Encargos e Benefícios'!AD87/'Encargos e Benefícios'!C87)</f>
        <v>5624.7688888888897</v>
      </c>
      <c r="AO88" s="188">
        <v>2456</v>
      </c>
      <c r="AP88" s="298">
        <v>2000</v>
      </c>
      <c r="AQ88" s="298">
        <v>2911.99</v>
      </c>
      <c r="AR88" s="299" t="s">
        <v>107</v>
      </c>
      <c r="AS88" s="188"/>
    </row>
    <row r="89" spans="1:45">
      <c r="A89" s="286">
        <v>83</v>
      </c>
      <c r="B89" s="81" t="str">
        <f>'Encargos e Benefícios'!B88</f>
        <v>Administrativo</v>
      </c>
      <c r="C89" s="287">
        <f>'Encargos e Benefícios'!C88</f>
        <v>1</v>
      </c>
      <c r="D89" s="288">
        <v>40</v>
      </c>
      <c r="E89" s="300">
        <v>45261</v>
      </c>
      <c r="F89" s="301">
        <v>47058</v>
      </c>
      <c r="G89" s="293">
        <v>45413</v>
      </c>
      <c r="H89" s="294">
        <v>5.8400000000000001E-2</v>
      </c>
      <c r="I89" s="256">
        <v>29.2</v>
      </c>
      <c r="J89" s="256">
        <v>6.87</v>
      </c>
      <c r="K89" s="256"/>
      <c r="L89" s="256"/>
      <c r="M89" s="293">
        <v>45778</v>
      </c>
      <c r="N89" s="294">
        <v>5.8400000000000001E-2</v>
      </c>
      <c r="O89" s="256">
        <v>30.9</v>
      </c>
      <c r="P89" s="256">
        <v>7.27</v>
      </c>
      <c r="Q89" s="256"/>
      <c r="R89" s="256"/>
      <c r="S89" s="293">
        <v>46143</v>
      </c>
      <c r="T89" s="294">
        <v>5.8400000000000001E-2</v>
      </c>
      <c r="U89" s="256">
        <v>32.71</v>
      </c>
      <c r="V89" s="256">
        <v>7.82</v>
      </c>
      <c r="W89" s="256"/>
      <c r="X89" s="256"/>
      <c r="Y89" s="293">
        <v>46508</v>
      </c>
      <c r="Z89" s="294">
        <v>5.8400000000000001E-2</v>
      </c>
      <c r="AA89" s="256">
        <v>34.619999999999997</v>
      </c>
      <c r="AB89" s="256">
        <v>8.7100000000000009</v>
      </c>
      <c r="AC89" s="256"/>
      <c r="AD89" s="256"/>
      <c r="AE89" s="293">
        <v>46874</v>
      </c>
      <c r="AF89" s="294">
        <v>5.8400000000000001E-2</v>
      </c>
      <c r="AG89" s="256">
        <v>36.64</v>
      </c>
      <c r="AH89" s="256">
        <v>10.17</v>
      </c>
      <c r="AI89" s="256"/>
      <c r="AJ89" s="257"/>
      <c r="AK89" s="296">
        <f>'Encargos e Benefícios'!D88</f>
        <v>1750</v>
      </c>
      <c r="AL89" s="296">
        <f>IF('Encargos e Benefícios'!C88=0,0,'Encargos e Benefícios'!U88/'Encargos e Benefícios'!C88)</f>
        <v>1422.9444444444443</v>
      </c>
      <c r="AM89" s="296">
        <f>IF('Encargos e Benefícios'!C88=0,0,'Encargos e Benefícios'!AC88/'Encargos e Benefícios'!C88)</f>
        <v>910.67999999999984</v>
      </c>
      <c r="AN89" s="297">
        <f>IF('Encargos e Benefícios'!C88=0,0,'Encargos e Benefícios'!AD88/'Encargos e Benefícios'!C88)</f>
        <v>4083.6244444444442</v>
      </c>
      <c r="AO89" s="188">
        <v>2012.52</v>
      </c>
      <c r="AP89" s="298">
        <v>1329.38</v>
      </c>
      <c r="AQ89" s="298">
        <v>2695.66</v>
      </c>
      <c r="AR89" s="299" t="s">
        <v>107</v>
      </c>
      <c r="AS89" s="188"/>
    </row>
    <row r="90" spans="1:45">
      <c r="A90" s="286">
        <v>84</v>
      </c>
      <c r="B90" s="81" t="str">
        <f>'Encargos e Benefícios'!B89</f>
        <v>Auxiliar Educacional</v>
      </c>
      <c r="C90" s="287">
        <f>'Encargos e Benefícios'!C89</f>
        <v>1</v>
      </c>
      <c r="D90" s="288">
        <v>30</v>
      </c>
      <c r="E90" s="300">
        <v>45261</v>
      </c>
      <c r="F90" s="301">
        <v>47058</v>
      </c>
      <c r="G90" s="293">
        <v>45413</v>
      </c>
      <c r="H90" s="294">
        <v>5.8400000000000001E-2</v>
      </c>
      <c r="I90" s="256">
        <v>29.2</v>
      </c>
      <c r="J90" s="256">
        <v>6.87</v>
      </c>
      <c r="K90" s="256"/>
      <c r="L90" s="256"/>
      <c r="M90" s="293">
        <v>45778</v>
      </c>
      <c r="N90" s="294">
        <v>5.8400000000000001E-2</v>
      </c>
      <c r="O90" s="256">
        <v>30.9</v>
      </c>
      <c r="P90" s="256">
        <v>7.27</v>
      </c>
      <c r="Q90" s="256"/>
      <c r="R90" s="256"/>
      <c r="S90" s="293">
        <v>46143</v>
      </c>
      <c r="T90" s="294">
        <v>5.8400000000000001E-2</v>
      </c>
      <c r="U90" s="256">
        <v>32.71</v>
      </c>
      <c r="V90" s="256">
        <v>7.82</v>
      </c>
      <c r="W90" s="256"/>
      <c r="X90" s="256"/>
      <c r="Y90" s="293">
        <v>46508</v>
      </c>
      <c r="Z90" s="294">
        <v>5.8400000000000001E-2</v>
      </c>
      <c r="AA90" s="256">
        <v>34.619999999999997</v>
      </c>
      <c r="AB90" s="256">
        <v>8.7100000000000009</v>
      </c>
      <c r="AC90" s="256"/>
      <c r="AD90" s="256"/>
      <c r="AE90" s="293">
        <v>46874</v>
      </c>
      <c r="AF90" s="294">
        <v>5.8400000000000001E-2</v>
      </c>
      <c r="AG90" s="256">
        <v>36.64</v>
      </c>
      <c r="AH90" s="256">
        <v>10.17</v>
      </c>
      <c r="AI90" s="256"/>
      <c r="AJ90" s="257"/>
      <c r="AK90" s="296">
        <f>'Encargos e Benefícios'!D89</f>
        <v>1642</v>
      </c>
      <c r="AL90" s="296">
        <f>IF('Encargos e Benefícios'!C89=0,0,'Encargos e Benefícios'!U89/'Encargos e Benefícios'!C89)</f>
        <v>1335.1284444444443</v>
      </c>
      <c r="AM90" s="296">
        <f>IF('Encargos e Benefícios'!C89=0,0,'Encargos e Benefícios'!AC89/'Encargos e Benefícios'!C89)</f>
        <v>910.67999999999984</v>
      </c>
      <c r="AN90" s="297">
        <f>IF('Encargos e Benefícios'!C89=0,0,'Encargos e Benefícios'!AD89/'Encargos e Benefícios'!C89)</f>
        <v>3887.8084444444444</v>
      </c>
      <c r="AO90" s="188">
        <v>1821.21</v>
      </c>
      <c r="AP90" s="298">
        <v>1641.97</v>
      </c>
      <c r="AQ90" s="298">
        <v>2000.45</v>
      </c>
      <c r="AR90" s="299" t="s">
        <v>107</v>
      </c>
      <c r="AS90" s="188"/>
    </row>
    <row r="91" spans="1:45">
      <c r="A91" s="286">
        <v>85</v>
      </c>
      <c r="B91" s="81" t="str">
        <f>'Encargos e Benefícios'!B90</f>
        <v>Auxiliar de Serviços Gerais</v>
      </c>
      <c r="C91" s="287">
        <f>'Encargos e Benefícios'!C90</f>
        <v>1</v>
      </c>
      <c r="D91" s="288">
        <v>30</v>
      </c>
      <c r="E91" s="300">
        <v>45261</v>
      </c>
      <c r="F91" s="301">
        <v>47058</v>
      </c>
      <c r="G91" s="293">
        <v>45413</v>
      </c>
      <c r="H91" s="294">
        <v>5.8400000000000001E-2</v>
      </c>
      <c r="I91" s="256">
        <v>29.2</v>
      </c>
      <c r="J91" s="256">
        <v>6.87</v>
      </c>
      <c r="K91" s="256"/>
      <c r="L91" s="256"/>
      <c r="M91" s="293">
        <v>45778</v>
      </c>
      <c r="N91" s="294">
        <v>5.8400000000000001E-2</v>
      </c>
      <c r="O91" s="256">
        <v>30.9</v>
      </c>
      <c r="P91" s="256">
        <v>7.27</v>
      </c>
      <c r="Q91" s="256"/>
      <c r="R91" s="256"/>
      <c r="S91" s="293">
        <v>46143</v>
      </c>
      <c r="T91" s="294">
        <v>5.8400000000000001E-2</v>
      </c>
      <c r="U91" s="256">
        <v>32.71</v>
      </c>
      <c r="V91" s="256">
        <v>7.82</v>
      </c>
      <c r="W91" s="256"/>
      <c r="X91" s="256"/>
      <c r="Y91" s="293">
        <v>46508</v>
      </c>
      <c r="Z91" s="294">
        <v>5.8400000000000001E-2</v>
      </c>
      <c r="AA91" s="256">
        <v>34.619999999999997</v>
      </c>
      <c r="AB91" s="256">
        <v>8.7100000000000009</v>
      </c>
      <c r="AC91" s="256"/>
      <c r="AD91" s="256"/>
      <c r="AE91" s="293">
        <v>46874</v>
      </c>
      <c r="AF91" s="294">
        <v>5.8400000000000001E-2</v>
      </c>
      <c r="AG91" s="256">
        <v>36.64</v>
      </c>
      <c r="AH91" s="256">
        <v>10.17</v>
      </c>
      <c r="AI91" s="256"/>
      <c r="AJ91" s="257"/>
      <c r="AK91" s="296">
        <f>'Encargos e Benefícios'!D90</f>
        <v>1385</v>
      </c>
      <c r="AL91" s="296">
        <f>IF('Encargos e Benefícios'!C90=0,0,'Encargos e Benefícios'!U90/'Encargos e Benefícios'!C90)</f>
        <v>1126.1588888888887</v>
      </c>
      <c r="AM91" s="296">
        <f>IF('Encargos e Benefícios'!C90=0,0,'Encargos e Benefícios'!AC90/'Encargos e Benefícios'!C90)</f>
        <v>910.67999999999984</v>
      </c>
      <c r="AN91" s="297">
        <f>IF('Encargos e Benefícios'!C90=0,0,'Encargos e Benefícios'!AD90/'Encargos e Benefícios'!C90)</f>
        <v>3421.8388888888885</v>
      </c>
      <c r="AO91" s="188">
        <v>1481.02</v>
      </c>
      <c r="AP91" s="298">
        <v>1302</v>
      </c>
      <c r="AQ91" s="298">
        <v>1660.04</v>
      </c>
      <c r="AR91" s="299" t="s">
        <v>107</v>
      </c>
      <c r="AS91" s="188"/>
    </row>
    <row r="92" spans="1:45">
      <c r="A92" s="286">
        <v>86</v>
      </c>
      <c r="B92" s="81" t="str">
        <f>'Encargos e Benefícios'!B91</f>
        <v>Motorista</v>
      </c>
      <c r="C92" s="287">
        <f>'Encargos e Benefícios'!C91</f>
        <v>1</v>
      </c>
      <c r="D92" s="288">
        <v>40</v>
      </c>
      <c r="E92" s="300">
        <v>45261</v>
      </c>
      <c r="F92" s="301">
        <v>47058</v>
      </c>
      <c r="G92" s="293">
        <v>45413</v>
      </c>
      <c r="H92" s="294">
        <v>5.8400000000000001E-2</v>
      </c>
      <c r="I92" s="256">
        <v>29.2</v>
      </c>
      <c r="J92" s="256">
        <v>6.87</v>
      </c>
      <c r="K92" s="256"/>
      <c r="L92" s="256"/>
      <c r="M92" s="293">
        <v>45778</v>
      </c>
      <c r="N92" s="294">
        <v>5.8400000000000001E-2</v>
      </c>
      <c r="O92" s="256">
        <v>30.9</v>
      </c>
      <c r="P92" s="256">
        <v>7.27</v>
      </c>
      <c r="Q92" s="256"/>
      <c r="R92" s="256"/>
      <c r="S92" s="293">
        <v>46143</v>
      </c>
      <c r="T92" s="294">
        <v>5.8400000000000001E-2</v>
      </c>
      <c r="U92" s="256">
        <v>32.71</v>
      </c>
      <c r="V92" s="256">
        <v>7.82</v>
      </c>
      <c r="W92" s="256"/>
      <c r="X92" s="256"/>
      <c r="Y92" s="293">
        <v>46508</v>
      </c>
      <c r="Z92" s="294">
        <v>5.8400000000000001E-2</v>
      </c>
      <c r="AA92" s="256">
        <v>34.619999999999997</v>
      </c>
      <c r="AB92" s="256">
        <v>8.7100000000000009</v>
      </c>
      <c r="AC92" s="256"/>
      <c r="AD92" s="256"/>
      <c r="AE92" s="293">
        <v>46874</v>
      </c>
      <c r="AF92" s="294">
        <v>5.8400000000000001E-2</v>
      </c>
      <c r="AG92" s="256">
        <v>36.64</v>
      </c>
      <c r="AH92" s="256">
        <v>10.17</v>
      </c>
      <c r="AI92" s="256"/>
      <c r="AJ92" s="257"/>
      <c r="AK92" s="296">
        <f>'Encargos e Benefícios'!D91</f>
        <v>1452.39</v>
      </c>
      <c r="AL92" s="296">
        <f>IF('Encargos e Benefícios'!C91=0,0,'Encargos e Benefícios'!U91/'Encargos e Benefícios'!C91)</f>
        <v>1180.9544466666669</v>
      </c>
      <c r="AM92" s="296">
        <f>IF('Encargos e Benefícios'!C91=0,0,'Encargos e Benefícios'!AC91/'Encargos e Benefícios'!C91)</f>
        <v>910.67999999999984</v>
      </c>
      <c r="AN92" s="297">
        <f>IF('Encargos e Benefícios'!C91=0,0,'Encargos e Benefícios'!AD91/'Encargos e Benefícios'!C91)</f>
        <v>3544.0244466666668</v>
      </c>
      <c r="AO92" s="188">
        <v>1826.28</v>
      </c>
      <c r="AP92" s="298">
        <v>1452.39</v>
      </c>
      <c r="AQ92" s="298">
        <v>2200.17</v>
      </c>
      <c r="AR92" s="299" t="s">
        <v>107</v>
      </c>
      <c r="AS92" s="188"/>
    </row>
    <row r="93" spans="1:45">
      <c r="A93" s="286">
        <v>87</v>
      </c>
      <c r="B93" s="81" t="str">
        <f>'Encargos e Benefícios'!B92</f>
        <v>Socioeducador - DC</v>
      </c>
      <c r="C93" s="287">
        <f>'Encargos e Benefícios'!C92</f>
        <v>2</v>
      </c>
      <c r="D93" s="288" t="s">
        <v>504</v>
      </c>
      <c r="E93" s="300">
        <v>45261</v>
      </c>
      <c r="F93" s="301">
        <v>47058</v>
      </c>
      <c r="G93" s="293">
        <v>45413</v>
      </c>
      <c r="H93" s="294">
        <v>5.8400000000000001E-2</v>
      </c>
      <c r="I93" s="256">
        <v>29.2</v>
      </c>
      <c r="J93" s="256">
        <v>6.87</v>
      </c>
      <c r="K93" s="256"/>
      <c r="L93" s="256"/>
      <c r="M93" s="293">
        <v>45778</v>
      </c>
      <c r="N93" s="294">
        <v>5.8400000000000001E-2</v>
      </c>
      <c r="O93" s="256">
        <v>30.9</v>
      </c>
      <c r="P93" s="256">
        <v>7.27</v>
      </c>
      <c r="Q93" s="256"/>
      <c r="R93" s="256"/>
      <c r="S93" s="293">
        <v>46143</v>
      </c>
      <c r="T93" s="294">
        <v>5.8400000000000001E-2</v>
      </c>
      <c r="U93" s="256">
        <v>32.71</v>
      </c>
      <c r="V93" s="256">
        <v>7.82</v>
      </c>
      <c r="W93" s="256"/>
      <c r="X93" s="256"/>
      <c r="Y93" s="293">
        <v>46508</v>
      </c>
      <c r="Z93" s="294">
        <v>5.8400000000000001E-2</v>
      </c>
      <c r="AA93" s="256">
        <v>34.619999999999997</v>
      </c>
      <c r="AB93" s="256">
        <v>8.7100000000000009</v>
      </c>
      <c r="AC93" s="256"/>
      <c r="AD93" s="256"/>
      <c r="AE93" s="293">
        <v>46874</v>
      </c>
      <c r="AF93" s="294">
        <v>5.8400000000000001E-2</v>
      </c>
      <c r="AG93" s="256">
        <v>36.64</v>
      </c>
      <c r="AH93" s="256">
        <v>10.17</v>
      </c>
      <c r="AI93" s="256"/>
      <c r="AJ93" s="257"/>
      <c r="AK93" s="296">
        <f>'Encargos e Benefícios'!D92</f>
        <v>1900</v>
      </c>
      <c r="AL93" s="296">
        <f>IF('Encargos e Benefícios'!C92=0,0,'Encargos e Benefícios'!U92/'Encargos e Benefícios'!C92)</f>
        <v>2544.7966666666666</v>
      </c>
      <c r="AM93" s="296">
        <f>IF('Encargos e Benefícios'!C92=0,0,'Encargos e Benefícios'!AC92/'Encargos e Benefícios'!C92)</f>
        <v>440.53499999999997</v>
      </c>
      <c r="AN93" s="297">
        <f>IF('Encargos e Benefícios'!C92=0,0,'Encargos e Benefícios'!AD92/'Encargos e Benefícios'!C92)</f>
        <v>4885.3316666666669</v>
      </c>
      <c r="AO93" s="188">
        <v>2752.21</v>
      </c>
      <c r="AP93" s="298">
        <v>1764.5</v>
      </c>
      <c r="AQ93" s="298">
        <v>3739.92</v>
      </c>
      <c r="AR93" s="299" t="s">
        <v>107</v>
      </c>
      <c r="AS93" s="188"/>
    </row>
    <row r="94" spans="1:45">
      <c r="A94" s="286">
        <v>88</v>
      </c>
      <c r="B94" s="81" t="str">
        <f>'Encargos e Benefícios'!B93</f>
        <v>Socioeducador - D</v>
      </c>
      <c r="C94" s="287">
        <f>'Encargos e Benefícios'!C93</f>
        <v>8</v>
      </c>
      <c r="D94" s="288" t="s">
        <v>504</v>
      </c>
      <c r="E94" s="300">
        <v>45261</v>
      </c>
      <c r="F94" s="301">
        <v>47058</v>
      </c>
      <c r="G94" s="293">
        <v>45413</v>
      </c>
      <c r="H94" s="294">
        <v>5.8400000000000001E-2</v>
      </c>
      <c r="I94" s="256">
        <v>29.2</v>
      </c>
      <c r="J94" s="256">
        <v>6.87</v>
      </c>
      <c r="K94" s="256"/>
      <c r="L94" s="256"/>
      <c r="M94" s="293">
        <v>45778</v>
      </c>
      <c r="N94" s="294">
        <v>5.8400000000000001E-2</v>
      </c>
      <c r="O94" s="256">
        <v>30.9</v>
      </c>
      <c r="P94" s="256">
        <v>7.27</v>
      </c>
      <c r="Q94" s="256"/>
      <c r="R94" s="256"/>
      <c r="S94" s="293">
        <v>46143</v>
      </c>
      <c r="T94" s="294">
        <v>5.8400000000000001E-2</v>
      </c>
      <c r="U94" s="256">
        <v>32.71</v>
      </c>
      <c r="V94" s="256">
        <v>7.82</v>
      </c>
      <c r="W94" s="256"/>
      <c r="X94" s="256"/>
      <c r="Y94" s="293">
        <v>46508</v>
      </c>
      <c r="Z94" s="294">
        <v>5.8400000000000001E-2</v>
      </c>
      <c r="AA94" s="256">
        <v>34.619999999999997</v>
      </c>
      <c r="AB94" s="256">
        <v>8.7100000000000009</v>
      </c>
      <c r="AC94" s="256"/>
      <c r="AD94" s="256"/>
      <c r="AE94" s="293">
        <v>46874</v>
      </c>
      <c r="AF94" s="294">
        <v>5.8400000000000001E-2</v>
      </c>
      <c r="AG94" s="256">
        <v>36.64</v>
      </c>
      <c r="AH94" s="256">
        <v>10.17</v>
      </c>
      <c r="AI94" s="256"/>
      <c r="AJ94" s="257"/>
      <c r="AK94" s="296">
        <f>'Encargos e Benefícios'!D93</f>
        <v>1900</v>
      </c>
      <c r="AL94" s="296">
        <f>IF('Encargos e Benefícios'!C93=0,0,'Encargos e Benefícios'!U93/'Encargos e Benefícios'!C93)</f>
        <v>2281.7944444444443</v>
      </c>
      <c r="AM94" s="296">
        <f>IF('Encargos e Benefícios'!C93=0,0,'Encargos e Benefícios'!AC93/'Encargos e Benefícios'!C93)</f>
        <v>110.13374999999999</v>
      </c>
      <c r="AN94" s="297">
        <f>IF('Encargos e Benefícios'!C93=0,0,'Encargos e Benefícios'!AD93/'Encargos e Benefícios'!C93)</f>
        <v>4291.9281944444438</v>
      </c>
      <c r="AO94" s="188">
        <v>2752.21</v>
      </c>
      <c r="AP94" s="298">
        <v>1764.5</v>
      </c>
      <c r="AQ94" s="298">
        <v>3739.92</v>
      </c>
      <c r="AR94" s="299" t="s">
        <v>107</v>
      </c>
      <c r="AS94" s="188"/>
    </row>
    <row r="95" spans="1:45">
      <c r="A95" s="286">
        <v>89</v>
      </c>
      <c r="B95" s="81" t="str">
        <f>'Encargos e Benefícios'!B94</f>
        <v>Socioeducador - NC</v>
      </c>
      <c r="C95" s="287">
        <f>'Encargos e Benefícios'!C94</f>
        <v>2</v>
      </c>
      <c r="D95" s="288" t="s">
        <v>504</v>
      </c>
      <c r="E95" s="300">
        <v>45261</v>
      </c>
      <c r="F95" s="301">
        <v>47058</v>
      </c>
      <c r="G95" s="293">
        <v>45413</v>
      </c>
      <c r="H95" s="294">
        <v>5.8400000000000001E-2</v>
      </c>
      <c r="I95" s="256">
        <v>29.2</v>
      </c>
      <c r="J95" s="256">
        <v>6.87</v>
      </c>
      <c r="K95" s="256"/>
      <c r="L95" s="256"/>
      <c r="M95" s="293">
        <v>45778</v>
      </c>
      <c r="N95" s="294">
        <v>5.8400000000000001E-2</v>
      </c>
      <c r="O95" s="256">
        <v>30.9</v>
      </c>
      <c r="P95" s="256">
        <v>7.27</v>
      </c>
      <c r="Q95" s="256"/>
      <c r="R95" s="256"/>
      <c r="S95" s="293">
        <v>46143</v>
      </c>
      <c r="T95" s="294">
        <v>5.8400000000000001E-2</v>
      </c>
      <c r="U95" s="256">
        <v>32.71</v>
      </c>
      <c r="V95" s="256">
        <v>7.82</v>
      </c>
      <c r="W95" s="256"/>
      <c r="X95" s="256"/>
      <c r="Y95" s="293">
        <v>46508</v>
      </c>
      <c r="Z95" s="294">
        <v>5.8400000000000001E-2</v>
      </c>
      <c r="AA95" s="256">
        <v>34.619999999999997</v>
      </c>
      <c r="AB95" s="256">
        <v>8.7100000000000009</v>
      </c>
      <c r="AC95" s="256"/>
      <c r="AD95" s="256"/>
      <c r="AE95" s="293">
        <v>46874</v>
      </c>
      <c r="AF95" s="294">
        <v>5.8400000000000001E-2</v>
      </c>
      <c r="AG95" s="256">
        <v>36.64</v>
      </c>
      <c r="AH95" s="256">
        <v>10.17</v>
      </c>
      <c r="AI95" s="256"/>
      <c r="AJ95" s="257"/>
      <c r="AK95" s="296">
        <f>'Encargos e Benefícios'!D94</f>
        <v>1900</v>
      </c>
      <c r="AL95" s="296">
        <f>IF('Encargos e Benefícios'!C94=0,0,'Encargos e Benefícios'!U94/'Encargos e Benefícios'!C94)</f>
        <v>3013.1818518518517</v>
      </c>
      <c r="AM95" s="296">
        <f>IF('Encargos e Benefícios'!C94=0,0,'Encargos e Benefícios'!AC94/'Encargos e Benefícios'!C94)</f>
        <v>440.53499999999997</v>
      </c>
      <c r="AN95" s="297">
        <f>IF('Encargos e Benefícios'!C94=0,0,'Encargos e Benefícios'!AD94/'Encargos e Benefícios'!C94)</f>
        <v>5353.716851851852</v>
      </c>
      <c r="AO95" s="188">
        <v>2752.21</v>
      </c>
      <c r="AP95" s="298">
        <v>1764.5</v>
      </c>
      <c r="AQ95" s="298">
        <v>3739.92</v>
      </c>
      <c r="AR95" s="299" t="s">
        <v>107</v>
      </c>
      <c r="AS95" s="188"/>
    </row>
    <row r="96" spans="1:45" ht="13.5" thickBot="1">
      <c r="A96" s="286">
        <v>90</v>
      </c>
      <c r="B96" s="81" t="str">
        <f>'Encargos e Benefícios'!B95</f>
        <v>Socioeducador - N</v>
      </c>
      <c r="C96" s="287">
        <f>'Encargos e Benefícios'!C95</f>
        <v>4</v>
      </c>
      <c r="D96" s="288" t="s">
        <v>504</v>
      </c>
      <c r="E96" s="300">
        <v>45261</v>
      </c>
      <c r="F96" s="301">
        <v>47058</v>
      </c>
      <c r="G96" s="293">
        <v>45413</v>
      </c>
      <c r="H96" s="294">
        <v>5.8400000000000001E-2</v>
      </c>
      <c r="I96" s="256">
        <v>29.2</v>
      </c>
      <c r="J96" s="256">
        <v>6.87</v>
      </c>
      <c r="K96" s="256"/>
      <c r="L96" s="256"/>
      <c r="M96" s="293">
        <v>45778</v>
      </c>
      <c r="N96" s="294">
        <v>5.8400000000000001E-2</v>
      </c>
      <c r="O96" s="256">
        <v>30.9</v>
      </c>
      <c r="P96" s="256">
        <v>7.27</v>
      </c>
      <c r="Q96" s="256"/>
      <c r="R96" s="256"/>
      <c r="S96" s="293">
        <v>46143</v>
      </c>
      <c r="T96" s="294">
        <v>5.8400000000000001E-2</v>
      </c>
      <c r="U96" s="256">
        <v>32.71</v>
      </c>
      <c r="V96" s="256">
        <v>7.82</v>
      </c>
      <c r="W96" s="256"/>
      <c r="X96" s="256"/>
      <c r="Y96" s="293">
        <v>46508</v>
      </c>
      <c r="Z96" s="294">
        <v>5.8400000000000001E-2</v>
      </c>
      <c r="AA96" s="256">
        <v>34.619999999999997</v>
      </c>
      <c r="AB96" s="256">
        <v>8.7100000000000009</v>
      </c>
      <c r="AC96" s="256"/>
      <c r="AD96" s="256"/>
      <c r="AE96" s="293">
        <v>46874</v>
      </c>
      <c r="AF96" s="294">
        <v>5.8400000000000001E-2</v>
      </c>
      <c r="AG96" s="256">
        <v>36.64</v>
      </c>
      <c r="AH96" s="256">
        <v>10.17</v>
      </c>
      <c r="AI96" s="256"/>
      <c r="AJ96" s="257"/>
      <c r="AK96" s="296">
        <f>'Encargos e Benefícios'!D95</f>
        <v>1900</v>
      </c>
      <c r="AL96" s="296">
        <f>IF('Encargos e Benefícios'!C95=0,0,'Encargos e Benefícios'!U95/'Encargos e Benefícios'!C95)</f>
        <v>2750.1796296296297</v>
      </c>
      <c r="AM96" s="296">
        <f>IF('Encargos e Benefícios'!C95=0,0,'Encargos e Benefícios'!AC95/'Encargos e Benefícios'!C95)</f>
        <v>220.26749999999998</v>
      </c>
      <c r="AN96" s="297">
        <f>IF('Encargos e Benefícios'!C95=0,0,'Encargos e Benefícios'!AD95/'Encargos e Benefícios'!C95)</f>
        <v>4870.4471296296297</v>
      </c>
      <c r="AO96" s="188">
        <v>2752.21</v>
      </c>
      <c r="AP96" s="298">
        <v>1764.5</v>
      </c>
      <c r="AQ96" s="298">
        <v>3739.92</v>
      </c>
      <c r="AR96" s="299" t="s">
        <v>107</v>
      </c>
      <c r="AS96" s="188"/>
    </row>
    <row r="97" spans="1:45">
      <c r="A97" s="286">
        <v>91</v>
      </c>
      <c r="B97" s="81" t="str">
        <f>'Encargos e Benefícios'!B96</f>
        <v>Diretor Geral de Unidade Socioeducativa</v>
      </c>
      <c r="C97" s="287">
        <f>'Encargos e Benefícios'!C96</f>
        <v>1</v>
      </c>
      <c r="D97" s="288">
        <v>40</v>
      </c>
      <c r="E97" s="289">
        <v>45261</v>
      </c>
      <c r="F97" s="290">
        <v>47058</v>
      </c>
      <c r="G97" s="293">
        <v>45413</v>
      </c>
      <c r="H97" s="294">
        <v>5.8400000000000001E-2</v>
      </c>
      <c r="I97" s="256">
        <v>29.2</v>
      </c>
      <c r="J97" s="256">
        <v>6.87</v>
      </c>
      <c r="K97" s="256"/>
      <c r="L97" s="256"/>
      <c r="M97" s="293">
        <v>45778</v>
      </c>
      <c r="N97" s="294">
        <v>5.8400000000000001E-2</v>
      </c>
      <c r="O97" s="256">
        <v>30.9</v>
      </c>
      <c r="P97" s="256">
        <v>7.27</v>
      </c>
      <c r="Q97" s="256"/>
      <c r="R97" s="256"/>
      <c r="S97" s="293">
        <v>46143</v>
      </c>
      <c r="T97" s="294">
        <v>5.8400000000000001E-2</v>
      </c>
      <c r="U97" s="256">
        <v>32.71</v>
      </c>
      <c r="V97" s="256">
        <v>7.82</v>
      </c>
      <c r="W97" s="256"/>
      <c r="X97" s="256"/>
      <c r="Y97" s="293">
        <v>46508</v>
      </c>
      <c r="Z97" s="294">
        <v>5.8400000000000001E-2</v>
      </c>
      <c r="AA97" s="256">
        <v>34.619999999999997</v>
      </c>
      <c r="AB97" s="256">
        <v>8.7100000000000009</v>
      </c>
      <c r="AC97" s="256"/>
      <c r="AD97" s="256"/>
      <c r="AE97" s="293">
        <v>46874</v>
      </c>
      <c r="AF97" s="294">
        <v>5.8400000000000001E-2</v>
      </c>
      <c r="AG97" s="256">
        <v>36.64</v>
      </c>
      <c r="AH97" s="256">
        <v>10.17</v>
      </c>
      <c r="AI97" s="256"/>
      <c r="AJ97" s="257"/>
      <c r="AK97" s="296">
        <f>'Encargos e Benefícios'!D96</f>
        <v>6500</v>
      </c>
      <c r="AL97" s="296">
        <f>IF('Encargos e Benefícios'!C96=0,0,'Encargos e Benefícios'!U96/'Encargos e Benefícios'!C96)</f>
        <v>5194.2222222222235</v>
      </c>
      <c r="AM97" s="296">
        <f>IF('Encargos e Benefícios'!C96=0,0,'Encargos e Benefícios'!AC96/'Encargos e Benefícios'!C96)</f>
        <v>817.61999999999989</v>
      </c>
      <c r="AN97" s="297">
        <f>IF('Encargos e Benefícios'!C96=0,0,'Encargos e Benefícios'!AD96/'Encargos e Benefícios'!C96)</f>
        <v>12511.842222222222</v>
      </c>
      <c r="AO97" s="188">
        <v>6052.24</v>
      </c>
      <c r="AP97" s="298">
        <v>4239.6899999999996</v>
      </c>
      <c r="AQ97" s="298">
        <v>7864.78</v>
      </c>
      <c r="AR97" s="299" t="s">
        <v>108</v>
      </c>
      <c r="AS97" s="188"/>
    </row>
    <row r="98" spans="1:45">
      <c r="A98" s="286">
        <v>92</v>
      </c>
      <c r="B98" s="81" t="str">
        <f>'Encargos e Benefícios'!B97</f>
        <v>Subdiretor de Segurança</v>
      </c>
      <c r="C98" s="287">
        <f>'Encargos e Benefícios'!C97</f>
        <v>1</v>
      </c>
      <c r="D98" s="288">
        <v>40</v>
      </c>
      <c r="E98" s="300">
        <v>45261</v>
      </c>
      <c r="F98" s="301">
        <v>47058</v>
      </c>
      <c r="G98" s="293">
        <v>45413</v>
      </c>
      <c r="H98" s="294">
        <v>5.8400000000000001E-2</v>
      </c>
      <c r="I98" s="256">
        <v>29.2</v>
      </c>
      <c r="J98" s="256">
        <v>6.87</v>
      </c>
      <c r="K98" s="256"/>
      <c r="L98" s="256"/>
      <c r="M98" s="293">
        <v>45778</v>
      </c>
      <c r="N98" s="294">
        <v>5.8400000000000001E-2</v>
      </c>
      <c r="O98" s="256">
        <v>30.9</v>
      </c>
      <c r="P98" s="256">
        <v>7.27</v>
      </c>
      <c r="Q98" s="256"/>
      <c r="R98" s="256"/>
      <c r="S98" s="293">
        <v>46143</v>
      </c>
      <c r="T98" s="294">
        <v>5.8400000000000001E-2</v>
      </c>
      <c r="U98" s="256">
        <v>32.71</v>
      </c>
      <c r="V98" s="256">
        <v>7.82</v>
      </c>
      <c r="W98" s="256"/>
      <c r="X98" s="256"/>
      <c r="Y98" s="293">
        <v>46508</v>
      </c>
      <c r="Z98" s="294">
        <v>5.8400000000000001E-2</v>
      </c>
      <c r="AA98" s="256">
        <v>34.619999999999997</v>
      </c>
      <c r="AB98" s="256">
        <v>8.7100000000000009</v>
      </c>
      <c r="AC98" s="256"/>
      <c r="AD98" s="256"/>
      <c r="AE98" s="293">
        <v>46874</v>
      </c>
      <c r="AF98" s="294">
        <v>5.8400000000000001E-2</v>
      </c>
      <c r="AG98" s="256">
        <v>36.64</v>
      </c>
      <c r="AH98" s="256">
        <v>10.17</v>
      </c>
      <c r="AI98" s="256"/>
      <c r="AJ98" s="257"/>
      <c r="AK98" s="296">
        <f>'Encargos e Benefícios'!D97</f>
        <v>3773.6</v>
      </c>
      <c r="AL98" s="296">
        <f>IF('Encargos e Benefícios'!C97=0,0,'Encargos e Benefícios'!U97/'Encargos e Benefícios'!C97)</f>
        <v>4147.6056888888888</v>
      </c>
      <c r="AM98" s="296">
        <f>IF('Encargos e Benefícios'!C97=0,0,'Encargos e Benefícios'!AC97/'Encargos e Benefícios'!C97)</f>
        <v>817.61999999999989</v>
      </c>
      <c r="AN98" s="297">
        <f>IF('Encargos e Benefícios'!C97=0,0,'Encargos e Benefícios'!AD97/'Encargos e Benefícios'!C97)</f>
        <v>8738.82568888889</v>
      </c>
      <c r="AO98" s="188">
        <v>4968.99</v>
      </c>
      <c r="AP98" s="298">
        <v>3773.6</v>
      </c>
      <c r="AQ98" s="298">
        <v>6164.38</v>
      </c>
      <c r="AR98" s="299" t="s">
        <v>108</v>
      </c>
      <c r="AS98" s="188"/>
    </row>
    <row r="99" spans="1:45">
      <c r="A99" s="286">
        <v>93</v>
      </c>
      <c r="B99" s="81" t="str">
        <f>'Encargos e Benefícios'!B98</f>
        <v>Advogado</v>
      </c>
      <c r="C99" s="287">
        <f>'Encargos e Benefícios'!C98</f>
        <v>1</v>
      </c>
      <c r="D99" s="288">
        <v>30</v>
      </c>
      <c r="E99" s="300">
        <v>45261</v>
      </c>
      <c r="F99" s="301">
        <v>47058</v>
      </c>
      <c r="G99" s="293">
        <v>45413</v>
      </c>
      <c r="H99" s="294">
        <v>5.8400000000000001E-2</v>
      </c>
      <c r="I99" s="256">
        <v>29.2</v>
      </c>
      <c r="J99" s="256">
        <v>6.87</v>
      </c>
      <c r="K99" s="256"/>
      <c r="L99" s="256"/>
      <c r="M99" s="293">
        <v>45778</v>
      </c>
      <c r="N99" s="294">
        <v>5.8400000000000001E-2</v>
      </c>
      <c r="O99" s="256">
        <v>30.9</v>
      </c>
      <c r="P99" s="256">
        <v>7.27</v>
      </c>
      <c r="Q99" s="256"/>
      <c r="R99" s="256"/>
      <c r="S99" s="293">
        <v>46143</v>
      </c>
      <c r="T99" s="294">
        <v>5.8400000000000001E-2</v>
      </c>
      <c r="U99" s="256">
        <v>32.71</v>
      </c>
      <c r="V99" s="256">
        <v>7.82</v>
      </c>
      <c r="W99" s="256"/>
      <c r="X99" s="256"/>
      <c r="Y99" s="293">
        <v>46508</v>
      </c>
      <c r="Z99" s="294">
        <v>5.8400000000000001E-2</v>
      </c>
      <c r="AA99" s="256">
        <v>34.619999999999997</v>
      </c>
      <c r="AB99" s="256">
        <v>8.7100000000000009</v>
      </c>
      <c r="AC99" s="256"/>
      <c r="AD99" s="256"/>
      <c r="AE99" s="293">
        <v>46874</v>
      </c>
      <c r="AF99" s="294">
        <v>5.8400000000000001E-2</v>
      </c>
      <c r="AG99" s="256">
        <v>36.64</v>
      </c>
      <c r="AH99" s="256">
        <v>10.17</v>
      </c>
      <c r="AI99" s="256"/>
      <c r="AJ99" s="257"/>
      <c r="AK99" s="296">
        <f>'Encargos e Benefícios'!D98</f>
        <v>2600</v>
      </c>
      <c r="AL99" s="296">
        <f>IF('Encargos e Benefícios'!C98=0,0,'Encargos e Benefícios'!U98/'Encargos e Benefícios'!C98)</f>
        <v>2114.088888888889</v>
      </c>
      <c r="AM99" s="296">
        <f>IF('Encargos e Benefícios'!C98=0,0,'Encargos e Benefícios'!AC98/'Encargos e Benefícios'!C98)</f>
        <v>929.29</v>
      </c>
      <c r="AN99" s="297">
        <f>IF('Encargos e Benefícios'!C98=0,0,'Encargos e Benefícios'!AD98/'Encargos e Benefícios'!C98)</f>
        <v>5643.3788888888894</v>
      </c>
      <c r="AO99" s="188">
        <v>2767.69</v>
      </c>
      <c r="AP99" s="298">
        <v>2500</v>
      </c>
      <c r="AQ99" s="298">
        <v>3035.37</v>
      </c>
      <c r="AR99" s="299" t="s">
        <v>108</v>
      </c>
      <c r="AS99" s="188"/>
    </row>
    <row r="100" spans="1:45">
      <c r="A100" s="286">
        <v>94</v>
      </c>
      <c r="B100" s="81" t="str">
        <f>'Encargos e Benefícios'!B99</f>
        <v>Assistente Social</v>
      </c>
      <c r="C100" s="287">
        <f>'Encargos e Benefícios'!C99</f>
        <v>1</v>
      </c>
      <c r="D100" s="288">
        <v>30</v>
      </c>
      <c r="E100" s="300">
        <v>45261</v>
      </c>
      <c r="F100" s="301">
        <v>47058</v>
      </c>
      <c r="G100" s="293">
        <v>45413</v>
      </c>
      <c r="H100" s="294">
        <v>5.8400000000000001E-2</v>
      </c>
      <c r="I100" s="256">
        <v>29.2</v>
      </c>
      <c r="J100" s="256">
        <v>6.87</v>
      </c>
      <c r="K100" s="256"/>
      <c r="L100" s="256"/>
      <c r="M100" s="293">
        <v>45778</v>
      </c>
      <c r="N100" s="294">
        <v>5.8400000000000001E-2</v>
      </c>
      <c r="O100" s="256">
        <v>30.9</v>
      </c>
      <c r="P100" s="256">
        <v>7.27</v>
      </c>
      <c r="Q100" s="256"/>
      <c r="R100" s="256"/>
      <c r="S100" s="293">
        <v>46143</v>
      </c>
      <c r="T100" s="294">
        <v>5.8400000000000001E-2</v>
      </c>
      <c r="U100" s="256">
        <v>32.71</v>
      </c>
      <c r="V100" s="256">
        <v>7.82</v>
      </c>
      <c r="W100" s="256"/>
      <c r="X100" s="256"/>
      <c r="Y100" s="293">
        <v>46508</v>
      </c>
      <c r="Z100" s="294">
        <v>5.8400000000000001E-2</v>
      </c>
      <c r="AA100" s="256">
        <v>34.619999999999997</v>
      </c>
      <c r="AB100" s="256">
        <v>8.7100000000000009</v>
      </c>
      <c r="AC100" s="256"/>
      <c r="AD100" s="256"/>
      <c r="AE100" s="293">
        <v>46874</v>
      </c>
      <c r="AF100" s="294">
        <v>5.8400000000000001E-2</v>
      </c>
      <c r="AG100" s="256">
        <v>36.64</v>
      </c>
      <c r="AH100" s="256">
        <v>10.17</v>
      </c>
      <c r="AI100" s="256"/>
      <c r="AJ100" s="257"/>
      <c r="AK100" s="296">
        <f>'Encargos e Benefícios'!D99</f>
        <v>2600</v>
      </c>
      <c r="AL100" s="296">
        <f>IF('Encargos e Benefícios'!C99=0,0,'Encargos e Benefícios'!U99/'Encargos e Benefícios'!C99)</f>
        <v>2114.088888888889</v>
      </c>
      <c r="AM100" s="296">
        <f>IF('Encargos e Benefícios'!C99=0,0,'Encargos e Benefícios'!AC99/'Encargos e Benefícios'!C99)</f>
        <v>929.29</v>
      </c>
      <c r="AN100" s="297">
        <f>IF('Encargos e Benefícios'!C99=0,0,'Encargos e Benefícios'!AD99/'Encargos e Benefícios'!C99)</f>
        <v>5643.3788888888894</v>
      </c>
      <c r="AO100" s="188">
        <v>3277.91</v>
      </c>
      <c r="AP100" s="298">
        <v>2500</v>
      </c>
      <c r="AQ100" s="298">
        <v>4055.81</v>
      </c>
      <c r="AR100" s="299" t="s">
        <v>108</v>
      </c>
      <c r="AS100" s="188"/>
    </row>
    <row r="101" spans="1:45">
      <c r="A101" s="286">
        <v>95</v>
      </c>
      <c r="B101" s="81" t="str">
        <f>'Encargos e Benefícios'!B100</f>
        <v>Pedagogo</v>
      </c>
      <c r="C101" s="287">
        <f>'Encargos e Benefícios'!C100</f>
        <v>1</v>
      </c>
      <c r="D101" s="288">
        <v>30</v>
      </c>
      <c r="E101" s="300">
        <v>45261</v>
      </c>
      <c r="F101" s="301">
        <v>47058</v>
      </c>
      <c r="G101" s="293">
        <v>45413</v>
      </c>
      <c r="H101" s="294">
        <v>5.8400000000000001E-2</v>
      </c>
      <c r="I101" s="256">
        <v>29.2</v>
      </c>
      <c r="J101" s="256">
        <v>6.87</v>
      </c>
      <c r="K101" s="256"/>
      <c r="L101" s="256"/>
      <c r="M101" s="293">
        <v>45778</v>
      </c>
      <c r="N101" s="294">
        <v>5.8400000000000001E-2</v>
      </c>
      <c r="O101" s="256">
        <v>30.9</v>
      </c>
      <c r="P101" s="256">
        <v>7.27</v>
      </c>
      <c r="Q101" s="256"/>
      <c r="R101" s="256"/>
      <c r="S101" s="293">
        <v>46143</v>
      </c>
      <c r="T101" s="294">
        <v>5.8400000000000001E-2</v>
      </c>
      <c r="U101" s="256">
        <v>32.71</v>
      </c>
      <c r="V101" s="256">
        <v>7.82</v>
      </c>
      <c r="W101" s="256"/>
      <c r="X101" s="256"/>
      <c r="Y101" s="293">
        <v>46508</v>
      </c>
      <c r="Z101" s="294">
        <v>5.8400000000000001E-2</v>
      </c>
      <c r="AA101" s="256">
        <v>34.619999999999997</v>
      </c>
      <c r="AB101" s="256">
        <v>8.7100000000000009</v>
      </c>
      <c r="AC101" s="256"/>
      <c r="AD101" s="256"/>
      <c r="AE101" s="293">
        <v>46874</v>
      </c>
      <c r="AF101" s="294">
        <v>5.8400000000000001E-2</v>
      </c>
      <c r="AG101" s="256">
        <v>36.64</v>
      </c>
      <c r="AH101" s="256">
        <v>10.17</v>
      </c>
      <c r="AI101" s="256"/>
      <c r="AJ101" s="257"/>
      <c r="AK101" s="296">
        <f>'Encargos e Benefícios'!D100</f>
        <v>2600</v>
      </c>
      <c r="AL101" s="296">
        <f>IF('Encargos e Benefícios'!C100=0,0,'Encargos e Benefícios'!U100/'Encargos e Benefícios'!C100)</f>
        <v>2114.088888888889</v>
      </c>
      <c r="AM101" s="296">
        <f>IF('Encargos e Benefícios'!C100=0,0,'Encargos e Benefícios'!AC100/'Encargos e Benefícios'!C100)</f>
        <v>929.29</v>
      </c>
      <c r="AN101" s="297">
        <f>IF('Encargos e Benefícios'!C100=0,0,'Encargos e Benefícios'!AD100/'Encargos e Benefícios'!C100)</f>
        <v>5643.3788888888894</v>
      </c>
      <c r="AO101" s="188">
        <v>2894.94</v>
      </c>
      <c r="AP101" s="298">
        <v>2489.87</v>
      </c>
      <c r="AQ101" s="298">
        <v>3300</v>
      </c>
      <c r="AR101" s="299" t="s">
        <v>108</v>
      </c>
      <c r="AS101" s="188"/>
    </row>
    <row r="102" spans="1:45">
      <c r="A102" s="286">
        <v>96</v>
      </c>
      <c r="B102" s="81" t="str">
        <f>'Encargos e Benefícios'!B101</f>
        <v>Psicologo</v>
      </c>
      <c r="C102" s="287">
        <f>'Encargos e Benefícios'!C101</f>
        <v>1</v>
      </c>
      <c r="D102" s="288">
        <v>30</v>
      </c>
      <c r="E102" s="300">
        <v>45261</v>
      </c>
      <c r="F102" s="301">
        <v>47058</v>
      </c>
      <c r="G102" s="293">
        <v>45413</v>
      </c>
      <c r="H102" s="294">
        <v>5.8400000000000001E-2</v>
      </c>
      <c r="I102" s="256">
        <v>29.2</v>
      </c>
      <c r="J102" s="256">
        <v>6.87</v>
      </c>
      <c r="K102" s="256"/>
      <c r="L102" s="256"/>
      <c r="M102" s="293">
        <v>45778</v>
      </c>
      <c r="N102" s="294">
        <v>5.8400000000000001E-2</v>
      </c>
      <c r="O102" s="256">
        <v>30.9</v>
      </c>
      <c r="P102" s="256">
        <v>7.27</v>
      </c>
      <c r="Q102" s="256"/>
      <c r="R102" s="256"/>
      <c r="S102" s="293">
        <v>46143</v>
      </c>
      <c r="T102" s="294">
        <v>5.8400000000000001E-2</v>
      </c>
      <c r="U102" s="256">
        <v>32.71</v>
      </c>
      <c r="V102" s="256">
        <v>7.82</v>
      </c>
      <c r="W102" s="256"/>
      <c r="X102" s="256"/>
      <c r="Y102" s="293">
        <v>46508</v>
      </c>
      <c r="Z102" s="294">
        <v>5.8400000000000001E-2</v>
      </c>
      <c r="AA102" s="256">
        <v>34.619999999999997</v>
      </c>
      <c r="AB102" s="256">
        <v>8.7100000000000009</v>
      </c>
      <c r="AC102" s="256"/>
      <c r="AD102" s="256"/>
      <c r="AE102" s="293">
        <v>46874</v>
      </c>
      <c r="AF102" s="294">
        <v>5.8400000000000001E-2</v>
      </c>
      <c r="AG102" s="256">
        <v>36.64</v>
      </c>
      <c r="AH102" s="256">
        <v>10.17</v>
      </c>
      <c r="AI102" s="256"/>
      <c r="AJ102" s="257"/>
      <c r="AK102" s="296">
        <f>'Encargos e Benefícios'!D101</f>
        <v>2600</v>
      </c>
      <c r="AL102" s="296">
        <f>IF('Encargos e Benefícios'!C101=0,0,'Encargos e Benefícios'!U101/'Encargos e Benefícios'!C101)</f>
        <v>2114.088888888889</v>
      </c>
      <c r="AM102" s="296">
        <f>IF('Encargos e Benefícios'!C101=0,0,'Encargos e Benefícios'!AC101/'Encargos e Benefícios'!C101)</f>
        <v>929.29</v>
      </c>
      <c r="AN102" s="297">
        <f>IF('Encargos e Benefícios'!C101=0,0,'Encargos e Benefícios'!AD101/'Encargos e Benefícios'!C101)</f>
        <v>5643.3788888888894</v>
      </c>
      <c r="AO102" s="188">
        <v>3953.69</v>
      </c>
      <c r="AP102" s="298">
        <v>2500</v>
      </c>
      <c r="AQ102" s="298">
        <v>5407.37</v>
      </c>
      <c r="AR102" s="299" t="s">
        <v>108</v>
      </c>
      <c r="AS102" s="188"/>
    </row>
    <row r="103" spans="1:45">
      <c r="A103" s="286">
        <v>97</v>
      </c>
      <c r="B103" s="81" t="str">
        <f>'Encargos e Benefícios'!B102</f>
        <v>Terapeuta Ocupacional</v>
      </c>
      <c r="C103" s="287">
        <f>'Encargos e Benefícios'!C102</f>
        <v>1</v>
      </c>
      <c r="D103" s="288">
        <v>30</v>
      </c>
      <c r="E103" s="300">
        <v>45261</v>
      </c>
      <c r="F103" s="301">
        <v>47058</v>
      </c>
      <c r="G103" s="293">
        <v>45413</v>
      </c>
      <c r="H103" s="294">
        <v>5.8400000000000001E-2</v>
      </c>
      <c r="I103" s="256">
        <v>29.2</v>
      </c>
      <c r="J103" s="256">
        <v>6.87</v>
      </c>
      <c r="K103" s="256"/>
      <c r="L103" s="256"/>
      <c r="M103" s="293">
        <v>45778</v>
      </c>
      <c r="N103" s="294">
        <v>5.8400000000000001E-2</v>
      </c>
      <c r="O103" s="256">
        <v>30.9</v>
      </c>
      <c r="P103" s="256">
        <v>7.27</v>
      </c>
      <c r="Q103" s="256"/>
      <c r="R103" s="256"/>
      <c r="S103" s="293">
        <v>46143</v>
      </c>
      <c r="T103" s="294">
        <v>5.8400000000000001E-2</v>
      </c>
      <c r="U103" s="256">
        <v>32.71</v>
      </c>
      <c r="V103" s="256">
        <v>7.82</v>
      </c>
      <c r="W103" s="256"/>
      <c r="X103" s="256"/>
      <c r="Y103" s="293">
        <v>46508</v>
      </c>
      <c r="Z103" s="294">
        <v>5.8400000000000001E-2</v>
      </c>
      <c r="AA103" s="256">
        <v>34.619999999999997</v>
      </c>
      <c r="AB103" s="256">
        <v>8.7100000000000009</v>
      </c>
      <c r="AC103" s="256"/>
      <c r="AD103" s="256"/>
      <c r="AE103" s="293">
        <v>46874</v>
      </c>
      <c r="AF103" s="294">
        <v>5.8400000000000001E-2</v>
      </c>
      <c r="AG103" s="256">
        <v>36.64</v>
      </c>
      <c r="AH103" s="256">
        <v>10.17</v>
      </c>
      <c r="AI103" s="256"/>
      <c r="AJ103" s="257"/>
      <c r="AK103" s="296">
        <f>'Encargos e Benefícios'!D102</f>
        <v>2600</v>
      </c>
      <c r="AL103" s="296">
        <f>IF('Encargos e Benefícios'!C102=0,0,'Encargos e Benefícios'!U102/'Encargos e Benefícios'!C102)</f>
        <v>2114.088888888889</v>
      </c>
      <c r="AM103" s="296">
        <f>IF('Encargos e Benefícios'!C102=0,0,'Encargos e Benefícios'!AC102/'Encargos e Benefícios'!C102)</f>
        <v>929.29</v>
      </c>
      <c r="AN103" s="297">
        <f>IF('Encargos e Benefícios'!C102=0,0,'Encargos e Benefícios'!AD102/'Encargos e Benefícios'!C102)</f>
        <v>5643.3788888888894</v>
      </c>
      <c r="AO103" s="188">
        <v>2422.3000000000002</v>
      </c>
      <c r="AP103" s="298">
        <v>1932.61</v>
      </c>
      <c r="AQ103" s="298">
        <v>2911.99</v>
      </c>
      <c r="AR103" s="299" t="s">
        <v>108</v>
      </c>
      <c r="AS103" s="188"/>
    </row>
    <row r="104" spans="1:45">
      <c r="A104" s="286">
        <v>98</v>
      </c>
      <c r="B104" s="81" t="str">
        <f>'Encargos e Benefícios'!B103</f>
        <v>Administrativo</v>
      </c>
      <c r="C104" s="287">
        <f>'Encargos e Benefícios'!C103</f>
        <v>1</v>
      </c>
      <c r="D104" s="288">
        <v>40</v>
      </c>
      <c r="E104" s="300">
        <v>45261</v>
      </c>
      <c r="F104" s="301">
        <v>47058</v>
      </c>
      <c r="G104" s="293">
        <v>45413</v>
      </c>
      <c r="H104" s="294">
        <v>5.8400000000000001E-2</v>
      </c>
      <c r="I104" s="256">
        <v>29.2</v>
      </c>
      <c r="J104" s="256">
        <v>6.87</v>
      </c>
      <c r="K104" s="256"/>
      <c r="L104" s="256"/>
      <c r="M104" s="293">
        <v>45778</v>
      </c>
      <c r="N104" s="294">
        <v>5.8400000000000001E-2</v>
      </c>
      <c r="O104" s="256">
        <v>30.9</v>
      </c>
      <c r="P104" s="256">
        <v>7.27</v>
      </c>
      <c r="Q104" s="256"/>
      <c r="R104" s="256"/>
      <c r="S104" s="293">
        <v>46143</v>
      </c>
      <c r="T104" s="294">
        <v>5.8400000000000001E-2</v>
      </c>
      <c r="U104" s="256">
        <v>32.71</v>
      </c>
      <c r="V104" s="256">
        <v>7.82</v>
      </c>
      <c r="W104" s="256"/>
      <c r="X104" s="256"/>
      <c r="Y104" s="293">
        <v>46508</v>
      </c>
      <c r="Z104" s="294">
        <v>5.8400000000000001E-2</v>
      </c>
      <c r="AA104" s="256">
        <v>34.619999999999997</v>
      </c>
      <c r="AB104" s="256">
        <v>8.7100000000000009</v>
      </c>
      <c r="AC104" s="256"/>
      <c r="AD104" s="256"/>
      <c r="AE104" s="293">
        <v>46874</v>
      </c>
      <c r="AF104" s="294">
        <v>5.8400000000000001E-2</v>
      </c>
      <c r="AG104" s="256">
        <v>36.64</v>
      </c>
      <c r="AH104" s="256">
        <v>10.17</v>
      </c>
      <c r="AI104" s="256"/>
      <c r="AJ104" s="257"/>
      <c r="AK104" s="296">
        <f>'Encargos e Benefícios'!D103</f>
        <v>1750</v>
      </c>
      <c r="AL104" s="296">
        <f>IF('Encargos e Benefícios'!C103=0,0,'Encargos e Benefícios'!U103/'Encargos e Benefícios'!C103)</f>
        <v>1422.9444444444443</v>
      </c>
      <c r="AM104" s="296">
        <f>IF('Encargos e Benefícios'!C103=0,0,'Encargos e Benefícios'!AC103/'Encargos e Benefícios'!C103)</f>
        <v>929.29</v>
      </c>
      <c r="AN104" s="297">
        <f>IF('Encargos e Benefícios'!C103=0,0,'Encargos e Benefícios'!AD103/'Encargos e Benefícios'!C103)</f>
        <v>4102.2344444444443</v>
      </c>
      <c r="AO104" s="188">
        <v>2097.83</v>
      </c>
      <c r="AP104" s="298">
        <v>1500</v>
      </c>
      <c r="AQ104" s="298">
        <v>2695.66</v>
      </c>
      <c r="AR104" s="299" t="s">
        <v>108</v>
      </c>
      <c r="AS104" s="188"/>
    </row>
    <row r="105" spans="1:45">
      <c r="A105" s="286">
        <v>99</v>
      </c>
      <c r="B105" s="81" t="str">
        <f>'Encargos e Benefícios'!B104</f>
        <v>Auxiliar Educacional</v>
      </c>
      <c r="C105" s="287">
        <f>'Encargos e Benefícios'!C104</f>
        <v>1</v>
      </c>
      <c r="D105" s="288">
        <v>30</v>
      </c>
      <c r="E105" s="300">
        <v>45261</v>
      </c>
      <c r="F105" s="301">
        <v>47058</v>
      </c>
      <c r="G105" s="293">
        <v>45413</v>
      </c>
      <c r="H105" s="294">
        <v>5.8400000000000001E-2</v>
      </c>
      <c r="I105" s="256">
        <v>29.2</v>
      </c>
      <c r="J105" s="256">
        <v>6.87</v>
      </c>
      <c r="K105" s="256"/>
      <c r="L105" s="256"/>
      <c r="M105" s="293">
        <v>45778</v>
      </c>
      <c r="N105" s="294">
        <v>5.8400000000000001E-2</v>
      </c>
      <c r="O105" s="256">
        <v>30.9</v>
      </c>
      <c r="P105" s="256">
        <v>7.27</v>
      </c>
      <c r="Q105" s="256"/>
      <c r="R105" s="256"/>
      <c r="S105" s="293">
        <v>46143</v>
      </c>
      <c r="T105" s="294">
        <v>5.8400000000000001E-2</v>
      </c>
      <c r="U105" s="256">
        <v>32.71</v>
      </c>
      <c r="V105" s="256">
        <v>7.82</v>
      </c>
      <c r="W105" s="256"/>
      <c r="X105" s="256"/>
      <c r="Y105" s="293">
        <v>46508</v>
      </c>
      <c r="Z105" s="294">
        <v>5.8400000000000001E-2</v>
      </c>
      <c r="AA105" s="256">
        <v>34.619999999999997</v>
      </c>
      <c r="AB105" s="256">
        <v>8.7100000000000009</v>
      </c>
      <c r="AC105" s="256"/>
      <c r="AD105" s="256"/>
      <c r="AE105" s="293">
        <v>46874</v>
      </c>
      <c r="AF105" s="294">
        <v>5.8400000000000001E-2</v>
      </c>
      <c r="AG105" s="256">
        <v>36.64</v>
      </c>
      <c r="AH105" s="256">
        <v>10.17</v>
      </c>
      <c r="AI105" s="256"/>
      <c r="AJ105" s="257"/>
      <c r="AK105" s="296">
        <f>'Encargos e Benefícios'!D104</f>
        <v>1642</v>
      </c>
      <c r="AL105" s="296">
        <f>IF('Encargos e Benefícios'!C104=0,0,'Encargos e Benefícios'!U104/'Encargos e Benefícios'!C104)</f>
        <v>1335.1284444444443</v>
      </c>
      <c r="AM105" s="296">
        <f>IF('Encargos e Benefícios'!C104=0,0,'Encargos e Benefícios'!AC104/'Encargos e Benefícios'!C104)</f>
        <v>929.29</v>
      </c>
      <c r="AN105" s="297">
        <f>IF('Encargos e Benefícios'!C104=0,0,'Encargos e Benefícios'!AD104/'Encargos e Benefícios'!C104)</f>
        <v>3906.4184444444445</v>
      </c>
      <c r="AO105" s="188">
        <v>1750.23</v>
      </c>
      <c r="AP105" s="298">
        <v>1500</v>
      </c>
      <c r="AQ105" s="298">
        <v>2000.45</v>
      </c>
      <c r="AR105" s="299" t="s">
        <v>108</v>
      </c>
      <c r="AS105" s="188"/>
    </row>
    <row r="106" spans="1:45">
      <c r="A106" s="286">
        <v>100</v>
      </c>
      <c r="B106" s="81" t="str">
        <f>'Encargos e Benefícios'!B105</f>
        <v>Auxiliar de Serviços Gerais</v>
      </c>
      <c r="C106" s="287">
        <f>'Encargos e Benefícios'!C105</f>
        <v>1</v>
      </c>
      <c r="D106" s="288">
        <v>30</v>
      </c>
      <c r="E106" s="300">
        <v>45261</v>
      </c>
      <c r="F106" s="301">
        <v>47058</v>
      </c>
      <c r="G106" s="293">
        <v>45413</v>
      </c>
      <c r="H106" s="294">
        <v>5.8400000000000001E-2</v>
      </c>
      <c r="I106" s="256">
        <v>29.2</v>
      </c>
      <c r="J106" s="256">
        <v>6.87</v>
      </c>
      <c r="K106" s="256"/>
      <c r="L106" s="256"/>
      <c r="M106" s="293">
        <v>45778</v>
      </c>
      <c r="N106" s="294">
        <v>5.8400000000000001E-2</v>
      </c>
      <c r="O106" s="256">
        <v>30.9</v>
      </c>
      <c r="P106" s="256">
        <v>7.27</v>
      </c>
      <c r="Q106" s="256"/>
      <c r="R106" s="256"/>
      <c r="S106" s="293">
        <v>46143</v>
      </c>
      <c r="T106" s="294">
        <v>5.8400000000000001E-2</v>
      </c>
      <c r="U106" s="256">
        <v>32.71</v>
      </c>
      <c r="V106" s="256">
        <v>7.82</v>
      </c>
      <c r="W106" s="256"/>
      <c r="X106" s="256"/>
      <c r="Y106" s="293">
        <v>46508</v>
      </c>
      <c r="Z106" s="294">
        <v>5.8400000000000001E-2</v>
      </c>
      <c r="AA106" s="256">
        <v>34.619999999999997</v>
      </c>
      <c r="AB106" s="256">
        <v>8.7100000000000009</v>
      </c>
      <c r="AC106" s="256"/>
      <c r="AD106" s="256"/>
      <c r="AE106" s="293">
        <v>46874</v>
      </c>
      <c r="AF106" s="294">
        <v>5.8400000000000001E-2</v>
      </c>
      <c r="AG106" s="256">
        <v>36.64</v>
      </c>
      <c r="AH106" s="256">
        <v>10.17</v>
      </c>
      <c r="AI106" s="256"/>
      <c r="AJ106" s="257"/>
      <c r="AK106" s="296">
        <f>'Encargos e Benefícios'!D105</f>
        <v>1385</v>
      </c>
      <c r="AL106" s="296">
        <f>IF('Encargos e Benefícios'!C105=0,0,'Encargos e Benefícios'!U105/'Encargos e Benefícios'!C105)</f>
        <v>1126.1588888888887</v>
      </c>
      <c r="AM106" s="296">
        <f>IF('Encargos e Benefícios'!C105=0,0,'Encargos e Benefícios'!AC105/'Encargos e Benefícios'!C105)</f>
        <v>929.29</v>
      </c>
      <c r="AN106" s="297">
        <f>IF('Encargos e Benefícios'!C105=0,0,'Encargos e Benefícios'!AD105/'Encargos e Benefícios'!C105)</f>
        <v>3440.4488888888886</v>
      </c>
      <c r="AO106" s="188">
        <v>1437.37</v>
      </c>
      <c r="AP106" s="298">
        <v>1302</v>
      </c>
      <c r="AQ106" s="298">
        <v>1572.74</v>
      </c>
      <c r="AR106" s="299" t="s">
        <v>108</v>
      </c>
      <c r="AS106" s="188"/>
    </row>
    <row r="107" spans="1:45">
      <c r="A107" s="286">
        <v>101</v>
      </c>
      <c r="B107" s="81" t="str">
        <f>'Encargos e Benefícios'!B106</f>
        <v>Motorista</v>
      </c>
      <c r="C107" s="287">
        <f>'Encargos e Benefícios'!C106</f>
        <v>1</v>
      </c>
      <c r="D107" s="288">
        <v>40</v>
      </c>
      <c r="E107" s="300">
        <v>45261</v>
      </c>
      <c r="F107" s="301">
        <v>47058</v>
      </c>
      <c r="G107" s="293">
        <v>45413</v>
      </c>
      <c r="H107" s="294">
        <v>5.8400000000000001E-2</v>
      </c>
      <c r="I107" s="256">
        <v>29.2</v>
      </c>
      <c r="J107" s="256">
        <v>6.87</v>
      </c>
      <c r="K107" s="256"/>
      <c r="L107" s="256"/>
      <c r="M107" s="293">
        <v>45778</v>
      </c>
      <c r="N107" s="294">
        <v>5.8400000000000001E-2</v>
      </c>
      <c r="O107" s="256">
        <v>30.9</v>
      </c>
      <c r="P107" s="256">
        <v>7.27</v>
      </c>
      <c r="Q107" s="256"/>
      <c r="R107" s="256"/>
      <c r="S107" s="293">
        <v>46143</v>
      </c>
      <c r="T107" s="294">
        <v>5.8400000000000001E-2</v>
      </c>
      <c r="U107" s="256">
        <v>32.71</v>
      </c>
      <c r="V107" s="256">
        <v>7.82</v>
      </c>
      <c r="W107" s="256"/>
      <c r="X107" s="256"/>
      <c r="Y107" s="293">
        <v>46508</v>
      </c>
      <c r="Z107" s="294">
        <v>5.8400000000000001E-2</v>
      </c>
      <c r="AA107" s="256">
        <v>34.619999999999997</v>
      </c>
      <c r="AB107" s="256">
        <v>8.7100000000000009</v>
      </c>
      <c r="AC107" s="256"/>
      <c r="AD107" s="256"/>
      <c r="AE107" s="293">
        <v>46874</v>
      </c>
      <c r="AF107" s="294">
        <v>5.8400000000000001E-2</v>
      </c>
      <c r="AG107" s="256">
        <v>36.64</v>
      </c>
      <c r="AH107" s="256">
        <v>10.17</v>
      </c>
      <c r="AI107" s="256"/>
      <c r="AJ107" s="257"/>
      <c r="AK107" s="296">
        <f>'Encargos e Benefícios'!D106</f>
        <v>1452.39</v>
      </c>
      <c r="AL107" s="296">
        <f>IF('Encargos e Benefícios'!C106=0,0,'Encargos e Benefícios'!U106/'Encargos e Benefícios'!C106)</f>
        <v>1180.9544466666669</v>
      </c>
      <c r="AM107" s="296">
        <f>IF('Encargos e Benefícios'!C106=0,0,'Encargos e Benefícios'!AC106/'Encargos e Benefícios'!C106)</f>
        <v>929.29</v>
      </c>
      <c r="AN107" s="297">
        <f>IF('Encargos e Benefícios'!C106=0,0,'Encargos e Benefícios'!AD106/'Encargos e Benefícios'!C106)</f>
        <v>3562.6344466666669</v>
      </c>
      <c r="AO107" s="188">
        <v>2046.28</v>
      </c>
      <c r="AP107" s="298">
        <v>1212</v>
      </c>
      <c r="AQ107" s="298">
        <v>2880.55</v>
      </c>
      <c r="AR107" s="299" t="s">
        <v>108</v>
      </c>
      <c r="AS107" s="188"/>
    </row>
    <row r="108" spans="1:45">
      <c r="A108" s="286">
        <v>102</v>
      </c>
      <c r="B108" s="81" t="str">
        <f>'Encargos e Benefícios'!B107</f>
        <v>Socioeducador - DC</v>
      </c>
      <c r="C108" s="287">
        <f>'Encargos e Benefícios'!C107</f>
        <v>2</v>
      </c>
      <c r="D108" s="288" t="s">
        <v>504</v>
      </c>
      <c r="E108" s="300">
        <v>45261</v>
      </c>
      <c r="F108" s="301">
        <v>47058</v>
      </c>
      <c r="G108" s="293">
        <v>45413</v>
      </c>
      <c r="H108" s="294">
        <v>5.8400000000000001E-2</v>
      </c>
      <c r="I108" s="256">
        <v>29.2</v>
      </c>
      <c r="J108" s="256">
        <v>6.87</v>
      </c>
      <c r="K108" s="256"/>
      <c r="L108" s="256"/>
      <c r="M108" s="293">
        <v>45778</v>
      </c>
      <c r="N108" s="294">
        <v>5.8400000000000001E-2</v>
      </c>
      <c r="O108" s="256">
        <v>30.9</v>
      </c>
      <c r="P108" s="256">
        <v>7.27</v>
      </c>
      <c r="Q108" s="256"/>
      <c r="R108" s="256"/>
      <c r="S108" s="293">
        <v>46143</v>
      </c>
      <c r="T108" s="294">
        <v>5.8400000000000001E-2</v>
      </c>
      <c r="U108" s="256">
        <v>32.71</v>
      </c>
      <c r="V108" s="256">
        <v>7.82</v>
      </c>
      <c r="W108" s="256"/>
      <c r="X108" s="256"/>
      <c r="Y108" s="293">
        <v>46508</v>
      </c>
      <c r="Z108" s="294">
        <v>5.8400000000000001E-2</v>
      </c>
      <c r="AA108" s="256">
        <v>34.619999999999997</v>
      </c>
      <c r="AB108" s="256">
        <v>8.7100000000000009</v>
      </c>
      <c r="AC108" s="256"/>
      <c r="AD108" s="256"/>
      <c r="AE108" s="293">
        <v>46874</v>
      </c>
      <c r="AF108" s="294">
        <v>5.8400000000000001E-2</v>
      </c>
      <c r="AG108" s="256">
        <v>36.64</v>
      </c>
      <c r="AH108" s="256">
        <v>10.17</v>
      </c>
      <c r="AI108" s="256"/>
      <c r="AJ108" s="257"/>
      <c r="AK108" s="296">
        <f>'Encargos e Benefícios'!D107</f>
        <v>1900</v>
      </c>
      <c r="AL108" s="296">
        <f>IF('Encargos e Benefícios'!C107=0,0,'Encargos e Benefícios'!U107/'Encargos e Benefícios'!C107)</f>
        <v>2544.7966666666666</v>
      </c>
      <c r="AM108" s="296">
        <f>IF('Encargos e Benefícios'!C107=0,0,'Encargos e Benefícios'!AC107/'Encargos e Benefícios'!C107)</f>
        <v>446.88</v>
      </c>
      <c r="AN108" s="297">
        <f>IF('Encargos e Benefícios'!C107=0,0,'Encargos e Benefícios'!AD107/'Encargos e Benefícios'!C107)</f>
        <v>4891.6766666666672</v>
      </c>
      <c r="AO108" s="188">
        <v>2752.21</v>
      </c>
      <c r="AP108" s="298">
        <v>1764.5</v>
      </c>
      <c r="AQ108" s="298">
        <v>3739.92</v>
      </c>
      <c r="AR108" s="299" t="s">
        <v>108</v>
      </c>
      <c r="AS108" s="188"/>
    </row>
    <row r="109" spans="1:45">
      <c r="A109" s="286">
        <v>103</v>
      </c>
      <c r="B109" s="81" t="str">
        <f>'Encargos e Benefícios'!B108</f>
        <v>Socioeducador - D</v>
      </c>
      <c r="C109" s="287">
        <f>'Encargos e Benefícios'!C108</f>
        <v>5</v>
      </c>
      <c r="D109" s="288" t="s">
        <v>504</v>
      </c>
      <c r="E109" s="300">
        <v>45261</v>
      </c>
      <c r="F109" s="301">
        <v>47058</v>
      </c>
      <c r="G109" s="293">
        <v>45413</v>
      </c>
      <c r="H109" s="294">
        <v>5.8400000000000001E-2</v>
      </c>
      <c r="I109" s="256">
        <v>29.2</v>
      </c>
      <c r="J109" s="256">
        <v>6.87</v>
      </c>
      <c r="K109" s="256"/>
      <c r="L109" s="256"/>
      <c r="M109" s="293">
        <v>45778</v>
      </c>
      <c r="N109" s="294">
        <v>5.8400000000000001E-2</v>
      </c>
      <c r="O109" s="256">
        <v>30.9</v>
      </c>
      <c r="P109" s="256">
        <v>7.27</v>
      </c>
      <c r="Q109" s="256"/>
      <c r="R109" s="256"/>
      <c r="S109" s="293">
        <v>46143</v>
      </c>
      <c r="T109" s="294">
        <v>5.8400000000000001E-2</v>
      </c>
      <c r="U109" s="256">
        <v>32.71</v>
      </c>
      <c r="V109" s="256">
        <v>7.82</v>
      </c>
      <c r="W109" s="256"/>
      <c r="X109" s="256"/>
      <c r="Y109" s="293">
        <v>46508</v>
      </c>
      <c r="Z109" s="294">
        <v>5.8400000000000001E-2</v>
      </c>
      <c r="AA109" s="256">
        <v>34.619999999999997</v>
      </c>
      <c r="AB109" s="256">
        <v>8.7100000000000009</v>
      </c>
      <c r="AC109" s="256"/>
      <c r="AD109" s="256"/>
      <c r="AE109" s="293">
        <v>46874</v>
      </c>
      <c r="AF109" s="294">
        <v>5.8400000000000001E-2</v>
      </c>
      <c r="AG109" s="256">
        <v>36.64</v>
      </c>
      <c r="AH109" s="256">
        <v>10.17</v>
      </c>
      <c r="AI109" s="256"/>
      <c r="AJ109" s="257"/>
      <c r="AK109" s="296">
        <f>'Encargos e Benefícios'!D108</f>
        <v>1900</v>
      </c>
      <c r="AL109" s="296">
        <f>IF('Encargos e Benefícios'!C108=0,0,'Encargos e Benefícios'!U108/'Encargos e Benefícios'!C108)</f>
        <v>2281.7944444444447</v>
      </c>
      <c r="AM109" s="296">
        <f>IF('Encargos e Benefícios'!C108=0,0,'Encargos e Benefícios'!AC108/'Encargos e Benefícios'!C108)</f>
        <v>178.75200000000001</v>
      </c>
      <c r="AN109" s="297">
        <f>IF('Encargos e Benefícios'!C108=0,0,'Encargos e Benefícios'!AD108/'Encargos e Benefícios'!C108)</f>
        <v>4360.5464444444442</v>
      </c>
      <c r="AO109" s="188">
        <v>2752.21</v>
      </c>
      <c r="AP109" s="298">
        <v>1764.5</v>
      </c>
      <c r="AQ109" s="298">
        <v>3739.92</v>
      </c>
      <c r="AR109" s="299" t="s">
        <v>108</v>
      </c>
      <c r="AS109" s="188"/>
    </row>
    <row r="110" spans="1:45">
      <c r="A110" s="286">
        <v>104</v>
      </c>
      <c r="B110" s="81" t="str">
        <f>'Encargos e Benefícios'!B109</f>
        <v>Socioeducador - NC</v>
      </c>
      <c r="C110" s="287">
        <f>'Encargos e Benefícios'!C109</f>
        <v>2</v>
      </c>
      <c r="D110" s="288" t="s">
        <v>504</v>
      </c>
      <c r="E110" s="300">
        <v>45261</v>
      </c>
      <c r="F110" s="301">
        <v>47058</v>
      </c>
      <c r="G110" s="293">
        <v>45413</v>
      </c>
      <c r="H110" s="294">
        <v>5.8400000000000001E-2</v>
      </c>
      <c r="I110" s="256">
        <v>29.2</v>
      </c>
      <c r="J110" s="256">
        <v>6.87</v>
      </c>
      <c r="K110" s="256"/>
      <c r="L110" s="256"/>
      <c r="M110" s="293">
        <v>45778</v>
      </c>
      <c r="N110" s="294">
        <v>5.8400000000000001E-2</v>
      </c>
      <c r="O110" s="256">
        <v>30.9</v>
      </c>
      <c r="P110" s="256">
        <v>7.27</v>
      </c>
      <c r="Q110" s="256"/>
      <c r="R110" s="256"/>
      <c r="S110" s="293">
        <v>46143</v>
      </c>
      <c r="T110" s="294">
        <v>5.8400000000000001E-2</v>
      </c>
      <c r="U110" s="256">
        <v>32.71</v>
      </c>
      <c r="V110" s="256">
        <v>7.82</v>
      </c>
      <c r="W110" s="256"/>
      <c r="X110" s="256"/>
      <c r="Y110" s="293">
        <v>46508</v>
      </c>
      <c r="Z110" s="294">
        <v>5.8400000000000001E-2</v>
      </c>
      <c r="AA110" s="256">
        <v>34.619999999999997</v>
      </c>
      <c r="AB110" s="256">
        <v>8.7100000000000009</v>
      </c>
      <c r="AC110" s="256"/>
      <c r="AD110" s="256"/>
      <c r="AE110" s="293">
        <v>46874</v>
      </c>
      <c r="AF110" s="294">
        <v>5.8400000000000001E-2</v>
      </c>
      <c r="AG110" s="256">
        <v>36.64</v>
      </c>
      <c r="AH110" s="256">
        <v>10.17</v>
      </c>
      <c r="AI110" s="256"/>
      <c r="AJ110" s="257"/>
      <c r="AK110" s="296">
        <f>'Encargos e Benefícios'!D109</f>
        <v>1900</v>
      </c>
      <c r="AL110" s="296">
        <f>IF('Encargos e Benefícios'!C109=0,0,'Encargos e Benefícios'!U109/'Encargos e Benefícios'!C109)</f>
        <v>3013.1818518518517</v>
      </c>
      <c r="AM110" s="296">
        <f>IF('Encargos e Benefícios'!C109=0,0,'Encargos e Benefícios'!AC109/'Encargos e Benefícios'!C109)</f>
        <v>446.88</v>
      </c>
      <c r="AN110" s="297">
        <f>IF('Encargos e Benefícios'!C109=0,0,'Encargos e Benefícios'!AD109/'Encargos e Benefícios'!C109)</f>
        <v>5360.0618518518522</v>
      </c>
      <c r="AO110" s="188">
        <v>2752.21</v>
      </c>
      <c r="AP110" s="298">
        <v>1764.5</v>
      </c>
      <c r="AQ110" s="298">
        <v>3739.92</v>
      </c>
      <c r="AR110" s="299" t="s">
        <v>108</v>
      </c>
      <c r="AS110" s="188"/>
    </row>
    <row r="111" spans="1:45" ht="13.5" thickBot="1">
      <c r="A111" s="286">
        <v>105</v>
      </c>
      <c r="B111" s="81" t="str">
        <f>'Encargos e Benefícios'!B110</f>
        <v>Socioeducador - N</v>
      </c>
      <c r="C111" s="287">
        <f>'Encargos e Benefícios'!C110</f>
        <v>4</v>
      </c>
      <c r="D111" s="288" t="s">
        <v>504</v>
      </c>
      <c r="E111" s="300">
        <v>45261</v>
      </c>
      <c r="F111" s="301">
        <v>47058</v>
      </c>
      <c r="G111" s="293">
        <v>45413</v>
      </c>
      <c r="H111" s="294">
        <v>5.8400000000000001E-2</v>
      </c>
      <c r="I111" s="256">
        <v>29.2</v>
      </c>
      <c r="J111" s="256">
        <v>6.87</v>
      </c>
      <c r="K111" s="256"/>
      <c r="L111" s="256"/>
      <c r="M111" s="293">
        <v>45778</v>
      </c>
      <c r="N111" s="294">
        <v>5.8400000000000001E-2</v>
      </c>
      <c r="O111" s="256">
        <v>30.9</v>
      </c>
      <c r="P111" s="256">
        <v>7.27</v>
      </c>
      <c r="Q111" s="256"/>
      <c r="R111" s="256"/>
      <c r="S111" s="293">
        <v>46143</v>
      </c>
      <c r="T111" s="294">
        <v>5.8400000000000001E-2</v>
      </c>
      <c r="U111" s="256">
        <v>32.71</v>
      </c>
      <c r="V111" s="256">
        <v>7.82</v>
      </c>
      <c r="W111" s="256"/>
      <c r="X111" s="256"/>
      <c r="Y111" s="293">
        <v>46508</v>
      </c>
      <c r="Z111" s="294">
        <v>5.8400000000000001E-2</v>
      </c>
      <c r="AA111" s="256">
        <v>34.619999999999997</v>
      </c>
      <c r="AB111" s="256">
        <v>8.7100000000000009</v>
      </c>
      <c r="AC111" s="256"/>
      <c r="AD111" s="256"/>
      <c r="AE111" s="293">
        <v>46874</v>
      </c>
      <c r="AF111" s="294">
        <v>5.8400000000000001E-2</v>
      </c>
      <c r="AG111" s="256">
        <v>36.64</v>
      </c>
      <c r="AH111" s="256">
        <v>10.17</v>
      </c>
      <c r="AI111" s="256"/>
      <c r="AJ111" s="257"/>
      <c r="AK111" s="296">
        <f>'Encargos e Benefícios'!D110</f>
        <v>1900</v>
      </c>
      <c r="AL111" s="296">
        <f>IF('Encargos e Benefícios'!C110=0,0,'Encargos e Benefícios'!U110/'Encargos e Benefícios'!C110)</f>
        <v>2750.1796296296297</v>
      </c>
      <c r="AM111" s="296">
        <f>IF('Encargos e Benefícios'!C110=0,0,'Encargos e Benefícios'!AC110/'Encargos e Benefícios'!C110)</f>
        <v>223.44</v>
      </c>
      <c r="AN111" s="297">
        <f>IF('Encargos e Benefícios'!C110=0,0,'Encargos e Benefícios'!AD110/'Encargos e Benefícios'!C110)</f>
        <v>4873.6196296296293</v>
      </c>
      <c r="AO111" s="188">
        <v>2752.21</v>
      </c>
      <c r="AP111" s="298">
        <v>1764.5</v>
      </c>
      <c r="AQ111" s="298">
        <v>3739.92</v>
      </c>
      <c r="AR111" s="299" t="s">
        <v>108</v>
      </c>
      <c r="AS111" s="188"/>
    </row>
    <row r="112" spans="1:45">
      <c r="A112" s="286">
        <v>106</v>
      </c>
      <c r="B112" s="81" t="str">
        <f>'Encargos e Benefícios'!B111</f>
        <v>Diretor Geral de Unidade Socioeducativa</v>
      </c>
      <c r="C112" s="287">
        <f>'Encargos e Benefícios'!C111</f>
        <v>1</v>
      </c>
      <c r="D112" s="288">
        <v>40</v>
      </c>
      <c r="E112" s="289">
        <v>45261</v>
      </c>
      <c r="F112" s="290">
        <v>47058</v>
      </c>
      <c r="G112" s="293">
        <v>45413</v>
      </c>
      <c r="H112" s="294">
        <v>5.8400000000000001E-2</v>
      </c>
      <c r="I112" s="256">
        <v>29.2</v>
      </c>
      <c r="J112" s="256">
        <v>6.87</v>
      </c>
      <c r="K112" s="256"/>
      <c r="L112" s="256"/>
      <c r="M112" s="293">
        <v>45778</v>
      </c>
      <c r="N112" s="294">
        <v>5.8400000000000001E-2</v>
      </c>
      <c r="O112" s="256">
        <v>30.9</v>
      </c>
      <c r="P112" s="256">
        <v>7.27</v>
      </c>
      <c r="Q112" s="256"/>
      <c r="R112" s="256"/>
      <c r="S112" s="293">
        <v>46143</v>
      </c>
      <c r="T112" s="294">
        <v>5.8400000000000001E-2</v>
      </c>
      <c r="U112" s="256">
        <v>32.71</v>
      </c>
      <c r="V112" s="256">
        <v>7.82</v>
      </c>
      <c r="W112" s="256"/>
      <c r="X112" s="256"/>
      <c r="Y112" s="293">
        <v>46508</v>
      </c>
      <c r="Z112" s="294">
        <v>5.8400000000000001E-2</v>
      </c>
      <c r="AA112" s="256">
        <v>34.619999999999997</v>
      </c>
      <c r="AB112" s="256">
        <v>8.7100000000000009</v>
      </c>
      <c r="AC112" s="256"/>
      <c r="AD112" s="256"/>
      <c r="AE112" s="293">
        <v>46874</v>
      </c>
      <c r="AF112" s="294">
        <v>5.8400000000000001E-2</v>
      </c>
      <c r="AG112" s="256">
        <v>36.64</v>
      </c>
      <c r="AH112" s="256">
        <v>10.17</v>
      </c>
      <c r="AI112" s="256"/>
      <c r="AJ112" s="257"/>
      <c r="AK112" s="296">
        <f>'Encargos e Benefícios'!D111</f>
        <v>6500</v>
      </c>
      <c r="AL112" s="296">
        <f>IF('Encargos e Benefícios'!C111=0,0,'Encargos e Benefícios'!U111/'Encargos e Benefícios'!C111)</f>
        <v>5194.2222222222235</v>
      </c>
      <c r="AM112" s="296">
        <f>IF('Encargos e Benefícios'!C111=0,0,'Encargos e Benefícios'!AC111/'Encargos e Benefícios'!C111)</f>
        <v>817.61999999999989</v>
      </c>
      <c r="AN112" s="297">
        <f>IF('Encargos e Benefícios'!C111=0,0,'Encargos e Benefícios'!AD111/'Encargos e Benefícios'!C111)</f>
        <v>12511.842222222222</v>
      </c>
      <c r="AO112" s="188">
        <v>6052.24</v>
      </c>
      <c r="AP112" s="298">
        <v>4239.6899999999996</v>
      </c>
      <c r="AQ112" s="298">
        <v>7864.78</v>
      </c>
      <c r="AR112" s="299" t="s">
        <v>109</v>
      </c>
      <c r="AS112" s="188"/>
    </row>
    <row r="113" spans="1:45">
      <c r="A113" s="286">
        <v>107</v>
      </c>
      <c r="B113" s="81" t="str">
        <f>'Encargos e Benefícios'!B112</f>
        <v>Subdiretor de Segurança</v>
      </c>
      <c r="C113" s="287">
        <f>'Encargos e Benefícios'!C112</f>
        <v>1</v>
      </c>
      <c r="D113" s="288">
        <v>40</v>
      </c>
      <c r="E113" s="300">
        <v>45261</v>
      </c>
      <c r="F113" s="301">
        <v>47058</v>
      </c>
      <c r="G113" s="293">
        <v>45413</v>
      </c>
      <c r="H113" s="294">
        <v>5.8400000000000001E-2</v>
      </c>
      <c r="I113" s="256">
        <v>29.2</v>
      </c>
      <c r="J113" s="256">
        <v>6.87</v>
      </c>
      <c r="K113" s="256"/>
      <c r="L113" s="256"/>
      <c r="M113" s="293">
        <v>45778</v>
      </c>
      <c r="N113" s="294">
        <v>5.8400000000000001E-2</v>
      </c>
      <c r="O113" s="256">
        <v>30.9</v>
      </c>
      <c r="P113" s="256">
        <v>7.27</v>
      </c>
      <c r="Q113" s="256"/>
      <c r="R113" s="256"/>
      <c r="S113" s="293">
        <v>46143</v>
      </c>
      <c r="T113" s="294">
        <v>5.8400000000000001E-2</v>
      </c>
      <c r="U113" s="256">
        <v>32.71</v>
      </c>
      <c r="V113" s="256">
        <v>7.82</v>
      </c>
      <c r="W113" s="256"/>
      <c r="X113" s="256"/>
      <c r="Y113" s="293">
        <v>46508</v>
      </c>
      <c r="Z113" s="294">
        <v>5.8400000000000001E-2</v>
      </c>
      <c r="AA113" s="256">
        <v>34.619999999999997</v>
      </c>
      <c r="AB113" s="256">
        <v>8.7100000000000009</v>
      </c>
      <c r="AC113" s="256"/>
      <c r="AD113" s="256"/>
      <c r="AE113" s="293">
        <v>46874</v>
      </c>
      <c r="AF113" s="294">
        <v>5.8400000000000001E-2</v>
      </c>
      <c r="AG113" s="256">
        <v>36.64</v>
      </c>
      <c r="AH113" s="256">
        <v>10.17</v>
      </c>
      <c r="AI113" s="256"/>
      <c r="AJ113" s="257"/>
      <c r="AK113" s="296">
        <f>'Encargos e Benefícios'!D112</f>
        <v>3773.6</v>
      </c>
      <c r="AL113" s="296">
        <f>IF('Encargos e Benefícios'!C112=0,0,'Encargos e Benefícios'!U112/'Encargos e Benefícios'!C112)</f>
        <v>4147.6056888888888</v>
      </c>
      <c r="AM113" s="296">
        <f>IF('Encargos e Benefícios'!C112=0,0,'Encargos e Benefícios'!AC112/'Encargos e Benefícios'!C112)</f>
        <v>817.61999999999989</v>
      </c>
      <c r="AN113" s="297">
        <f>IF('Encargos e Benefícios'!C112=0,0,'Encargos e Benefícios'!AD112/'Encargos e Benefícios'!C112)</f>
        <v>8738.82568888889</v>
      </c>
      <c r="AO113" s="188">
        <v>4968.99</v>
      </c>
      <c r="AP113" s="298">
        <v>3773.6</v>
      </c>
      <c r="AQ113" s="298">
        <v>6164.38</v>
      </c>
      <c r="AR113" s="299" t="s">
        <v>109</v>
      </c>
      <c r="AS113" s="188"/>
    </row>
    <row r="114" spans="1:45">
      <c r="A114" s="286">
        <v>108</v>
      </c>
      <c r="B114" s="81" t="str">
        <f>'Encargos e Benefícios'!B113</f>
        <v>Advogado</v>
      </c>
      <c r="C114" s="287">
        <f>'Encargos e Benefícios'!C113</f>
        <v>1</v>
      </c>
      <c r="D114" s="288">
        <v>30</v>
      </c>
      <c r="E114" s="300">
        <v>45261</v>
      </c>
      <c r="F114" s="301">
        <v>47058</v>
      </c>
      <c r="G114" s="293">
        <v>45413</v>
      </c>
      <c r="H114" s="294">
        <v>5.8400000000000001E-2</v>
      </c>
      <c r="I114" s="256">
        <v>29.2</v>
      </c>
      <c r="J114" s="256">
        <v>6.87</v>
      </c>
      <c r="K114" s="256"/>
      <c r="L114" s="256"/>
      <c r="M114" s="293">
        <v>45778</v>
      </c>
      <c r="N114" s="294">
        <v>5.8400000000000001E-2</v>
      </c>
      <c r="O114" s="256">
        <v>30.9</v>
      </c>
      <c r="P114" s="256">
        <v>7.27</v>
      </c>
      <c r="Q114" s="256"/>
      <c r="R114" s="256"/>
      <c r="S114" s="293">
        <v>46143</v>
      </c>
      <c r="T114" s="294">
        <v>5.8400000000000001E-2</v>
      </c>
      <c r="U114" s="256">
        <v>32.71</v>
      </c>
      <c r="V114" s="256">
        <v>7.82</v>
      </c>
      <c r="W114" s="256"/>
      <c r="X114" s="256"/>
      <c r="Y114" s="293">
        <v>46508</v>
      </c>
      <c r="Z114" s="294">
        <v>5.8400000000000001E-2</v>
      </c>
      <c r="AA114" s="256">
        <v>34.619999999999997</v>
      </c>
      <c r="AB114" s="256">
        <v>8.7100000000000009</v>
      </c>
      <c r="AC114" s="256"/>
      <c r="AD114" s="256"/>
      <c r="AE114" s="293">
        <v>46874</v>
      </c>
      <c r="AF114" s="294">
        <v>5.8400000000000001E-2</v>
      </c>
      <c r="AG114" s="256">
        <v>36.64</v>
      </c>
      <c r="AH114" s="256">
        <v>10.17</v>
      </c>
      <c r="AI114" s="256"/>
      <c r="AJ114" s="257"/>
      <c r="AK114" s="296">
        <f>'Encargos e Benefícios'!D113</f>
        <v>2600</v>
      </c>
      <c r="AL114" s="296">
        <f>IF('Encargos e Benefícios'!C113=0,0,'Encargos e Benefícios'!U113/'Encargos e Benefícios'!C113)</f>
        <v>2114.088888888889</v>
      </c>
      <c r="AM114" s="296">
        <f>IF('Encargos e Benefícios'!C113=0,0,'Encargos e Benefícios'!AC113/'Encargos e Benefícios'!C113)</f>
        <v>929.29</v>
      </c>
      <c r="AN114" s="297">
        <f>IF('Encargos e Benefícios'!C113=0,0,'Encargos e Benefícios'!AD113/'Encargos e Benefícios'!C113)</f>
        <v>5643.3788888888894</v>
      </c>
      <c r="AO114" s="188">
        <v>2767.69</v>
      </c>
      <c r="AP114" s="298">
        <v>2500</v>
      </c>
      <c r="AQ114" s="298">
        <v>3035.37</v>
      </c>
      <c r="AR114" s="299" t="s">
        <v>109</v>
      </c>
      <c r="AS114" s="188"/>
    </row>
    <row r="115" spans="1:45">
      <c r="A115" s="286">
        <v>109</v>
      </c>
      <c r="B115" s="81" t="str">
        <f>'Encargos e Benefícios'!B114</f>
        <v>Assistente Social</v>
      </c>
      <c r="C115" s="287">
        <f>'Encargos e Benefícios'!C114</f>
        <v>1</v>
      </c>
      <c r="D115" s="288">
        <v>30</v>
      </c>
      <c r="E115" s="300">
        <v>45261</v>
      </c>
      <c r="F115" s="301">
        <v>47058</v>
      </c>
      <c r="G115" s="293">
        <v>45413</v>
      </c>
      <c r="H115" s="294">
        <v>5.8400000000000001E-2</v>
      </c>
      <c r="I115" s="256">
        <v>29.2</v>
      </c>
      <c r="J115" s="256">
        <v>6.87</v>
      </c>
      <c r="K115" s="256"/>
      <c r="L115" s="256"/>
      <c r="M115" s="293">
        <v>45778</v>
      </c>
      <c r="N115" s="294">
        <v>5.8400000000000001E-2</v>
      </c>
      <c r="O115" s="256">
        <v>30.9</v>
      </c>
      <c r="P115" s="256">
        <v>7.27</v>
      </c>
      <c r="Q115" s="256"/>
      <c r="R115" s="256"/>
      <c r="S115" s="293">
        <v>46143</v>
      </c>
      <c r="T115" s="294">
        <v>5.8400000000000001E-2</v>
      </c>
      <c r="U115" s="256">
        <v>32.71</v>
      </c>
      <c r="V115" s="256">
        <v>7.82</v>
      </c>
      <c r="W115" s="256"/>
      <c r="X115" s="256"/>
      <c r="Y115" s="293">
        <v>46508</v>
      </c>
      <c r="Z115" s="294">
        <v>5.8400000000000001E-2</v>
      </c>
      <c r="AA115" s="256">
        <v>34.619999999999997</v>
      </c>
      <c r="AB115" s="256">
        <v>8.7100000000000009</v>
      </c>
      <c r="AC115" s="256"/>
      <c r="AD115" s="256"/>
      <c r="AE115" s="293">
        <v>46874</v>
      </c>
      <c r="AF115" s="294">
        <v>5.8400000000000001E-2</v>
      </c>
      <c r="AG115" s="256">
        <v>36.64</v>
      </c>
      <c r="AH115" s="256">
        <v>10.17</v>
      </c>
      <c r="AI115" s="256"/>
      <c r="AJ115" s="257"/>
      <c r="AK115" s="296">
        <f>'Encargos e Benefícios'!D114</f>
        <v>2600</v>
      </c>
      <c r="AL115" s="296">
        <f>IF('Encargos e Benefícios'!C114=0,0,'Encargos e Benefícios'!U114/'Encargos e Benefícios'!C114)</f>
        <v>2114.088888888889</v>
      </c>
      <c r="AM115" s="296">
        <f>IF('Encargos e Benefícios'!C114=0,0,'Encargos e Benefícios'!AC114/'Encargos e Benefícios'!C114)</f>
        <v>929.29</v>
      </c>
      <c r="AN115" s="297">
        <f>IF('Encargos e Benefícios'!C114=0,0,'Encargos e Benefícios'!AD114/'Encargos e Benefícios'!C114)</f>
        <v>5643.3788888888894</v>
      </c>
      <c r="AO115" s="188">
        <v>3277.91</v>
      </c>
      <c r="AP115" s="298">
        <v>2500</v>
      </c>
      <c r="AQ115" s="298">
        <v>4055.81</v>
      </c>
      <c r="AR115" s="299" t="s">
        <v>109</v>
      </c>
      <c r="AS115" s="188"/>
    </row>
    <row r="116" spans="1:45">
      <c r="A116" s="286">
        <v>110</v>
      </c>
      <c r="B116" s="81" t="str">
        <f>'Encargos e Benefícios'!B115</f>
        <v>Pedagogo</v>
      </c>
      <c r="C116" s="287">
        <f>'Encargos e Benefícios'!C115</f>
        <v>1</v>
      </c>
      <c r="D116" s="288">
        <v>30</v>
      </c>
      <c r="E116" s="300">
        <v>45261</v>
      </c>
      <c r="F116" s="301">
        <v>47058</v>
      </c>
      <c r="G116" s="293">
        <v>45413</v>
      </c>
      <c r="H116" s="294">
        <v>5.8400000000000001E-2</v>
      </c>
      <c r="I116" s="256">
        <v>29.2</v>
      </c>
      <c r="J116" s="256">
        <v>6.87</v>
      </c>
      <c r="K116" s="256"/>
      <c r="L116" s="256"/>
      <c r="M116" s="293">
        <v>45778</v>
      </c>
      <c r="N116" s="294">
        <v>5.8400000000000001E-2</v>
      </c>
      <c r="O116" s="256">
        <v>30.9</v>
      </c>
      <c r="P116" s="256">
        <v>7.27</v>
      </c>
      <c r="Q116" s="256"/>
      <c r="R116" s="256"/>
      <c r="S116" s="293">
        <v>46143</v>
      </c>
      <c r="T116" s="294">
        <v>5.8400000000000001E-2</v>
      </c>
      <c r="U116" s="256">
        <v>32.71</v>
      </c>
      <c r="V116" s="256">
        <v>7.82</v>
      </c>
      <c r="W116" s="256"/>
      <c r="X116" s="256"/>
      <c r="Y116" s="293">
        <v>46508</v>
      </c>
      <c r="Z116" s="294">
        <v>5.8400000000000001E-2</v>
      </c>
      <c r="AA116" s="256">
        <v>34.619999999999997</v>
      </c>
      <c r="AB116" s="256">
        <v>8.7100000000000009</v>
      </c>
      <c r="AC116" s="256"/>
      <c r="AD116" s="256"/>
      <c r="AE116" s="293">
        <v>46874</v>
      </c>
      <c r="AF116" s="294">
        <v>5.8400000000000001E-2</v>
      </c>
      <c r="AG116" s="256">
        <v>36.64</v>
      </c>
      <c r="AH116" s="256">
        <v>10.17</v>
      </c>
      <c r="AI116" s="256"/>
      <c r="AJ116" s="257"/>
      <c r="AK116" s="296">
        <f>'Encargos e Benefícios'!D115</f>
        <v>2600</v>
      </c>
      <c r="AL116" s="296">
        <f>IF('Encargos e Benefícios'!C115=0,0,'Encargos e Benefícios'!U115/'Encargos e Benefícios'!C115)</f>
        <v>2114.088888888889</v>
      </c>
      <c r="AM116" s="296">
        <f>IF('Encargos e Benefícios'!C115=0,0,'Encargos e Benefícios'!AC115/'Encargos e Benefícios'!C115)</f>
        <v>929.29</v>
      </c>
      <c r="AN116" s="297">
        <f>IF('Encargos e Benefícios'!C115=0,0,'Encargos e Benefícios'!AD115/'Encargos e Benefícios'!C115)</f>
        <v>5643.3788888888894</v>
      </c>
      <c r="AO116" s="188">
        <v>2894.94</v>
      </c>
      <c r="AP116" s="298">
        <v>2489.87</v>
      </c>
      <c r="AQ116" s="298">
        <v>3300</v>
      </c>
      <c r="AR116" s="299" t="s">
        <v>109</v>
      </c>
      <c r="AS116" s="188"/>
    </row>
    <row r="117" spans="1:45">
      <c r="A117" s="286">
        <v>111</v>
      </c>
      <c r="B117" s="81" t="str">
        <f>'Encargos e Benefícios'!B116</f>
        <v>Psicologo</v>
      </c>
      <c r="C117" s="287">
        <f>'Encargos e Benefícios'!C116</f>
        <v>1</v>
      </c>
      <c r="D117" s="288">
        <v>30</v>
      </c>
      <c r="E117" s="300">
        <v>45261</v>
      </c>
      <c r="F117" s="301">
        <v>47058</v>
      </c>
      <c r="G117" s="293">
        <v>45413</v>
      </c>
      <c r="H117" s="294">
        <v>5.8400000000000001E-2</v>
      </c>
      <c r="I117" s="256">
        <v>29.2</v>
      </c>
      <c r="J117" s="256">
        <v>6.87</v>
      </c>
      <c r="K117" s="256"/>
      <c r="L117" s="256"/>
      <c r="M117" s="293">
        <v>45778</v>
      </c>
      <c r="N117" s="294">
        <v>5.8400000000000001E-2</v>
      </c>
      <c r="O117" s="256">
        <v>30.9</v>
      </c>
      <c r="P117" s="256">
        <v>7.27</v>
      </c>
      <c r="Q117" s="256"/>
      <c r="R117" s="256"/>
      <c r="S117" s="293">
        <v>46143</v>
      </c>
      <c r="T117" s="294">
        <v>5.8400000000000001E-2</v>
      </c>
      <c r="U117" s="256">
        <v>32.71</v>
      </c>
      <c r="V117" s="256">
        <v>7.82</v>
      </c>
      <c r="W117" s="256"/>
      <c r="X117" s="256"/>
      <c r="Y117" s="293">
        <v>46508</v>
      </c>
      <c r="Z117" s="294">
        <v>5.8400000000000001E-2</v>
      </c>
      <c r="AA117" s="256">
        <v>34.619999999999997</v>
      </c>
      <c r="AB117" s="256">
        <v>8.7100000000000009</v>
      </c>
      <c r="AC117" s="256"/>
      <c r="AD117" s="256"/>
      <c r="AE117" s="293">
        <v>46874</v>
      </c>
      <c r="AF117" s="294">
        <v>5.8400000000000001E-2</v>
      </c>
      <c r="AG117" s="256">
        <v>36.64</v>
      </c>
      <c r="AH117" s="256">
        <v>10.17</v>
      </c>
      <c r="AI117" s="256"/>
      <c r="AJ117" s="257"/>
      <c r="AK117" s="296">
        <f>'Encargos e Benefícios'!D116</f>
        <v>2600</v>
      </c>
      <c r="AL117" s="296">
        <f>IF('Encargos e Benefícios'!C116=0,0,'Encargos e Benefícios'!U116/'Encargos e Benefícios'!C116)</f>
        <v>2114.088888888889</v>
      </c>
      <c r="AM117" s="296">
        <f>IF('Encargos e Benefícios'!C116=0,0,'Encargos e Benefícios'!AC116/'Encargos e Benefícios'!C116)</f>
        <v>929.29</v>
      </c>
      <c r="AN117" s="297">
        <f>IF('Encargos e Benefícios'!C116=0,0,'Encargos e Benefícios'!AD116/'Encargos e Benefícios'!C116)</f>
        <v>5643.3788888888894</v>
      </c>
      <c r="AO117" s="188">
        <v>3953.69</v>
      </c>
      <c r="AP117" s="298">
        <v>2500</v>
      </c>
      <c r="AQ117" s="298">
        <v>5407.37</v>
      </c>
      <c r="AR117" s="299" t="s">
        <v>109</v>
      </c>
      <c r="AS117" s="188"/>
    </row>
    <row r="118" spans="1:45">
      <c r="A118" s="286">
        <v>112</v>
      </c>
      <c r="B118" s="81" t="str">
        <f>'Encargos e Benefícios'!B117</f>
        <v>Terapeuta Ocupacional</v>
      </c>
      <c r="C118" s="287">
        <f>'Encargos e Benefícios'!C117</f>
        <v>1</v>
      </c>
      <c r="D118" s="288">
        <v>30</v>
      </c>
      <c r="E118" s="300">
        <v>45261</v>
      </c>
      <c r="F118" s="301">
        <v>47058</v>
      </c>
      <c r="G118" s="293">
        <v>45413</v>
      </c>
      <c r="H118" s="294">
        <v>5.8400000000000001E-2</v>
      </c>
      <c r="I118" s="256">
        <v>29.2</v>
      </c>
      <c r="J118" s="256">
        <v>6.87</v>
      </c>
      <c r="K118" s="256"/>
      <c r="L118" s="256"/>
      <c r="M118" s="293">
        <v>45778</v>
      </c>
      <c r="N118" s="294">
        <v>5.8400000000000001E-2</v>
      </c>
      <c r="O118" s="256">
        <v>30.9</v>
      </c>
      <c r="P118" s="256">
        <v>7.27</v>
      </c>
      <c r="Q118" s="256"/>
      <c r="R118" s="256"/>
      <c r="S118" s="293">
        <v>46143</v>
      </c>
      <c r="T118" s="294">
        <v>5.8400000000000001E-2</v>
      </c>
      <c r="U118" s="256">
        <v>32.71</v>
      </c>
      <c r="V118" s="256">
        <v>7.82</v>
      </c>
      <c r="W118" s="256"/>
      <c r="X118" s="256"/>
      <c r="Y118" s="293">
        <v>46508</v>
      </c>
      <c r="Z118" s="294">
        <v>5.8400000000000001E-2</v>
      </c>
      <c r="AA118" s="256">
        <v>34.619999999999997</v>
      </c>
      <c r="AB118" s="256">
        <v>8.7100000000000009</v>
      </c>
      <c r="AC118" s="256"/>
      <c r="AD118" s="256"/>
      <c r="AE118" s="293">
        <v>46874</v>
      </c>
      <c r="AF118" s="294">
        <v>5.8400000000000001E-2</v>
      </c>
      <c r="AG118" s="256">
        <v>36.64</v>
      </c>
      <c r="AH118" s="256">
        <v>10.17</v>
      </c>
      <c r="AI118" s="256"/>
      <c r="AJ118" s="257"/>
      <c r="AK118" s="296">
        <f>'Encargos e Benefícios'!D117</f>
        <v>2600</v>
      </c>
      <c r="AL118" s="296">
        <f>IF('Encargos e Benefícios'!C117=0,0,'Encargos e Benefícios'!U117/'Encargos e Benefícios'!C117)</f>
        <v>2114.088888888889</v>
      </c>
      <c r="AM118" s="296">
        <f>IF('Encargos e Benefícios'!C117=0,0,'Encargos e Benefícios'!AC117/'Encargos e Benefícios'!C117)</f>
        <v>929.29</v>
      </c>
      <c r="AN118" s="297">
        <f>IF('Encargos e Benefícios'!C117=0,0,'Encargos e Benefícios'!AD117/'Encargos e Benefícios'!C117)</f>
        <v>5643.3788888888894</v>
      </c>
      <c r="AO118" s="188">
        <v>2422.3000000000002</v>
      </c>
      <c r="AP118" s="298">
        <v>1932.61</v>
      </c>
      <c r="AQ118" s="298">
        <v>2911.99</v>
      </c>
      <c r="AR118" s="299" t="s">
        <v>109</v>
      </c>
      <c r="AS118" s="188"/>
    </row>
    <row r="119" spans="1:45">
      <c r="A119" s="286">
        <v>113</v>
      </c>
      <c r="B119" s="81" t="str">
        <f>'Encargos e Benefícios'!B118</f>
        <v>Administrativo</v>
      </c>
      <c r="C119" s="287">
        <f>'Encargos e Benefícios'!C118</f>
        <v>1</v>
      </c>
      <c r="D119" s="288">
        <v>40</v>
      </c>
      <c r="E119" s="300">
        <v>45261</v>
      </c>
      <c r="F119" s="301">
        <v>47058</v>
      </c>
      <c r="G119" s="293">
        <v>45413</v>
      </c>
      <c r="H119" s="294">
        <v>5.8400000000000001E-2</v>
      </c>
      <c r="I119" s="256">
        <v>29.2</v>
      </c>
      <c r="J119" s="256">
        <v>6.87</v>
      </c>
      <c r="K119" s="256"/>
      <c r="L119" s="256"/>
      <c r="M119" s="293">
        <v>45778</v>
      </c>
      <c r="N119" s="294">
        <v>5.8400000000000001E-2</v>
      </c>
      <c r="O119" s="256">
        <v>30.9</v>
      </c>
      <c r="P119" s="256">
        <v>7.27</v>
      </c>
      <c r="Q119" s="256"/>
      <c r="R119" s="256"/>
      <c r="S119" s="293">
        <v>46143</v>
      </c>
      <c r="T119" s="294">
        <v>5.8400000000000001E-2</v>
      </c>
      <c r="U119" s="256">
        <v>32.71</v>
      </c>
      <c r="V119" s="256">
        <v>7.82</v>
      </c>
      <c r="W119" s="256"/>
      <c r="X119" s="256"/>
      <c r="Y119" s="293">
        <v>46508</v>
      </c>
      <c r="Z119" s="294">
        <v>5.8400000000000001E-2</v>
      </c>
      <c r="AA119" s="256">
        <v>34.619999999999997</v>
      </c>
      <c r="AB119" s="256">
        <v>8.7100000000000009</v>
      </c>
      <c r="AC119" s="256"/>
      <c r="AD119" s="256"/>
      <c r="AE119" s="293">
        <v>46874</v>
      </c>
      <c r="AF119" s="294">
        <v>5.8400000000000001E-2</v>
      </c>
      <c r="AG119" s="256">
        <v>36.64</v>
      </c>
      <c r="AH119" s="256">
        <v>10.17</v>
      </c>
      <c r="AI119" s="256"/>
      <c r="AJ119" s="257"/>
      <c r="AK119" s="296">
        <f>'Encargos e Benefícios'!D118</f>
        <v>1750</v>
      </c>
      <c r="AL119" s="296">
        <f>IF('Encargos e Benefícios'!C118=0,0,'Encargos e Benefícios'!U118/'Encargos e Benefícios'!C118)</f>
        <v>1422.9444444444443</v>
      </c>
      <c r="AM119" s="296">
        <f>IF('Encargos e Benefícios'!C118=0,0,'Encargos e Benefícios'!AC118/'Encargos e Benefícios'!C118)</f>
        <v>929.29</v>
      </c>
      <c r="AN119" s="297">
        <f>IF('Encargos e Benefícios'!C118=0,0,'Encargos e Benefícios'!AD118/'Encargos e Benefícios'!C118)</f>
        <v>4102.2344444444443</v>
      </c>
      <c r="AO119" s="188">
        <v>2097.83</v>
      </c>
      <c r="AP119" s="298">
        <v>1500</v>
      </c>
      <c r="AQ119" s="298">
        <v>2695.66</v>
      </c>
      <c r="AR119" s="299" t="s">
        <v>109</v>
      </c>
      <c r="AS119" s="188"/>
    </row>
    <row r="120" spans="1:45">
      <c r="A120" s="286">
        <v>114</v>
      </c>
      <c r="B120" s="81" t="str">
        <f>'Encargos e Benefícios'!B119</f>
        <v>Auxiliar Educacional</v>
      </c>
      <c r="C120" s="287">
        <f>'Encargos e Benefícios'!C119</f>
        <v>1</v>
      </c>
      <c r="D120" s="288">
        <v>30</v>
      </c>
      <c r="E120" s="300">
        <v>45261</v>
      </c>
      <c r="F120" s="301">
        <v>47058</v>
      </c>
      <c r="G120" s="293">
        <v>45413</v>
      </c>
      <c r="H120" s="294">
        <v>5.8400000000000001E-2</v>
      </c>
      <c r="I120" s="256">
        <v>29.2</v>
      </c>
      <c r="J120" s="256">
        <v>6.87</v>
      </c>
      <c r="K120" s="256"/>
      <c r="L120" s="256"/>
      <c r="M120" s="293">
        <v>45778</v>
      </c>
      <c r="N120" s="294">
        <v>5.8400000000000001E-2</v>
      </c>
      <c r="O120" s="256">
        <v>30.9</v>
      </c>
      <c r="P120" s="256">
        <v>7.27</v>
      </c>
      <c r="Q120" s="256"/>
      <c r="R120" s="256"/>
      <c r="S120" s="293">
        <v>46143</v>
      </c>
      <c r="T120" s="294">
        <v>5.8400000000000001E-2</v>
      </c>
      <c r="U120" s="256">
        <v>32.71</v>
      </c>
      <c r="V120" s="256">
        <v>7.82</v>
      </c>
      <c r="W120" s="256"/>
      <c r="X120" s="256"/>
      <c r="Y120" s="293">
        <v>46508</v>
      </c>
      <c r="Z120" s="294">
        <v>5.8400000000000001E-2</v>
      </c>
      <c r="AA120" s="256">
        <v>34.619999999999997</v>
      </c>
      <c r="AB120" s="256">
        <v>8.7100000000000009</v>
      </c>
      <c r="AC120" s="256"/>
      <c r="AD120" s="256"/>
      <c r="AE120" s="293">
        <v>46874</v>
      </c>
      <c r="AF120" s="294">
        <v>5.8400000000000001E-2</v>
      </c>
      <c r="AG120" s="256">
        <v>36.64</v>
      </c>
      <c r="AH120" s="256">
        <v>10.17</v>
      </c>
      <c r="AI120" s="256"/>
      <c r="AJ120" s="257"/>
      <c r="AK120" s="296">
        <f>'Encargos e Benefícios'!D119</f>
        <v>1642</v>
      </c>
      <c r="AL120" s="296">
        <f>IF('Encargos e Benefícios'!C119=0,0,'Encargos e Benefícios'!U119/'Encargos e Benefícios'!C119)</f>
        <v>1335.1284444444443</v>
      </c>
      <c r="AM120" s="296">
        <f>IF('Encargos e Benefícios'!C119=0,0,'Encargos e Benefícios'!AC119/'Encargos e Benefícios'!C119)</f>
        <v>929.29</v>
      </c>
      <c r="AN120" s="297">
        <f>IF('Encargos e Benefícios'!C119=0,0,'Encargos e Benefícios'!AD119/'Encargos e Benefícios'!C119)</f>
        <v>3906.4184444444445</v>
      </c>
      <c r="AO120" s="188">
        <v>1750.23</v>
      </c>
      <c r="AP120" s="298">
        <v>1500</v>
      </c>
      <c r="AQ120" s="298">
        <v>2000.45</v>
      </c>
      <c r="AR120" s="299" t="s">
        <v>109</v>
      </c>
      <c r="AS120" s="188"/>
    </row>
    <row r="121" spans="1:45">
      <c r="A121" s="286">
        <v>115</v>
      </c>
      <c r="B121" s="81" t="str">
        <f>'Encargos e Benefícios'!B120</f>
        <v>Auxiliar de Serviços Gerais</v>
      </c>
      <c r="C121" s="287">
        <f>'Encargos e Benefícios'!C120</f>
        <v>1</v>
      </c>
      <c r="D121" s="288">
        <v>30</v>
      </c>
      <c r="E121" s="300">
        <v>45261</v>
      </c>
      <c r="F121" s="301">
        <v>47058</v>
      </c>
      <c r="G121" s="293">
        <v>45413</v>
      </c>
      <c r="H121" s="294">
        <v>5.8400000000000001E-2</v>
      </c>
      <c r="I121" s="256">
        <v>29.2</v>
      </c>
      <c r="J121" s="256">
        <v>6.87</v>
      </c>
      <c r="K121" s="256"/>
      <c r="L121" s="256"/>
      <c r="M121" s="293">
        <v>45778</v>
      </c>
      <c r="N121" s="294">
        <v>5.8400000000000001E-2</v>
      </c>
      <c r="O121" s="256">
        <v>30.9</v>
      </c>
      <c r="P121" s="256">
        <v>7.27</v>
      </c>
      <c r="Q121" s="256"/>
      <c r="R121" s="256"/>
      <c r="S121" s="293">
        <v>46143</v>
      </c>
      <c r="T121" s="294">
        <v>5.8400000000000001E-2</v>
      </c>
      <c r="U121" s="256">
        <v>32.71</v>
      </c>
      <c r="V121" s="256">
        <v>7.82</v>
      </c>
      <c r="W121" s="256"/>
      <c r="X121" s="256"/>
      <c r="Y121" s="293">
        <v>46508</v>
      </c>
      <c r="Z121" s="294">
        <v>5.8400000000000001E-2</v>
      </c>
      <c r="AA121" s="256">
        <v>34.619999999999997</v>
      </c>
      <c r="AB121" s="256">
        <v>8.7100000000000009</v>
      </c>
      <c r="AC121" s="256"/>
      <c r="AD121" s="256"/>
      <c r="AE121" s="293">
        <v>46874</v>
      </c>
      <c r="AF121" s="294">
        <v>5.8400000000000001E-2</v>
      </c>
      <c r="AG121" s="256">
        <v>36.64</v>
      </c>
      <c r="AH121" s="256">
        <v>10.17</v>
      </c>
      <c r="AI121" s="256"/>
      <c r="AJ121" s="257"/>
      <c r="AK121" s="296">
        <f>'Encargos e Benefícios'!D120</f>
        <v>1385</v>
      </c>
      <c r="AL121" s="296">
        <f>IF('Encargos e Benefícios'!C120=0,0,'Encargos e Benefícios'!U120/'Encargos e Benefícios'!C120)</f>
        <v>1126.1588888888887</v>
      </c>
      <c r="AM121" s="296">
        <f>IF('Encargos e Benefícios'!C120=0,0,'Encargos e Benefícios'!AC120/'Encargos e Benefícios'!C120)</f>
        <v>929.29</v>
      </c>
      <c r="AN121" s="297">
        <f>IF('Encargos e Benefícios'!C120=0,0,'Encargos e Benefícios'!AD120/'Encargos e Benefícios'!C120)</f>
        <v>3440.4488888888886</v>
      </c>
      <c r="AO121" s="188">
        <v>1437.37</v>
      </c>
      <c r="AP121" s="298">
        <v>1302</v>
      </c>
      <c r="AQ121" s="298">
        <v>1572.74</v>
      </c>
      <c r="AR121" s="299" t="s">
        <v>109</v>
      </c>
      <c r="AS121" s="188"/>
    </row>
    <row r="122" spans="1:45">
      <c r="A122" s="286">
        <v>116</v>
      </c>
      <c r="B122" s="81" t="str">
        <f>'Encargos e Benefícios'!B121</f>
        <v>Motorista</v>
      </c>
      <c r="C122" s="287">
        <f>'Encargos e Benefícios'!C121</f>
        <v>1</v>
      </c>
      <c r="D122" s="288">
        <v>40</v>
      </c>
      <c r="E122" s="300">
        <v>45261</v>
      </c>
      <c r="F122" s="301">
        <v>47058</v>
      </c>
      <c r="G122" s="293">
        <v>45413</v>
      </c>
      <c r="H122" s="294">
        <v>5.8400000000000001E-2</v>
      </c>
      <c r="I122" s="256">
        <v>29.2</v>
      </c>
      <c r="J122" s="256">
        <v>6.87</v>
      </c>
      <c r="K122" s="256"/>
      <c r="L122" s="256"/>
      <c r="M122" s="293">
        <v>45778</v>
      </c>
      <c r="N122" s="294">
        <v>5.8400000000000001E-2</v>
      </c>
      <c r="O122" s="256">
        <v>30.9</v>
      </c>
      <c r="P122" s="256">
        <v>7.27</v>
      </c>
      <c r="Q122" s="256"/>
      <c r="R122" s="256"/>
      <c r="S122" s="293">
        <v>46143</v>
      </c>
      <c r="T122" s="294">
        <v>5.8400000000000001E-2</v>
      </c>
      <c r="U122" s="256">
        <v>32.71</v>
      </c>
      <c r="V122" s="256">
        <v>7.82</v>
      </c>
      <c r="W122" s="256"/>
      <c r="X122" s="256"/>
      <c r="Y122" s="293">
        <v>46508</v>
      </c>
      <c r="Z122" s="294">
        <v>5.8400000000000001E-2</v>
      </c>
      <c r="AA122" s="256">
        <v>34.619999999999997</v>
      </c>
      <c r="AB122" s="256">
        <v>8.7100000000000009</v>
      </c>
      <c r="AC122" s="256"/>
      <c r="AD122" s="256"/>
      <c r="AE122" s="293">
        <v>46874</v>
      </c>
      <c r="AF122" s="294">
        <v>5.8400000000000001E-2</v>
      </c>
      <c r="AG122" s="256">
        <v>36.64</v>
      </c>
      <c r="AH122" s="256">
        <v>10.17</v>
      </c>
      <c r="AI122" s="256"/>
      <c r="AJ122" s="257"/>
      <c r="AK122" s="296">
        <f>'Encargos e Benefícios'!D121</f>
        <v>1452.39</v>
      </c>
      <c r="AL122" s="296">
        <f>IF('Encargos e Benefícios'!C121=0,0,'Encargos e Benefícios'!U121/'Encargos e Benefícios'!C121)</f>
        <v>1180.9544466666669</v>
      </c>
      <c r="AM122" s="296">
        <f>IF('Encargos e Benefícios'!C121=0,0,'Encargos e Benefícios'!AC121/'Encargos e Benefícios'!C121)</f>
        <v>929.29</v>
      </c>
      <c r="AN122" s="297">
        <f>IF('Encargos e Benefícios'!C121=0,0,'Encargos e Benefícios'!AD121/'Encargos e Benefícios'!C121)</f>
        <v>3562.6344466666669</v>
      </c>
      <c r="AO122" s="188">
        <v>2046.28</v>
      </c>
      <c r="AP122" s="298">
        <v>1212</v>
      </c>
      <c r="AQ122" s="298">
        <v>2880.55</v>
      </c>
      <c r="AR122" s="299" t="s">
        <v>109</v>
      </c>
      <c r="AS122" s="188"/>
    </row>
    <row r="123" spans="1:45">
      <c r="A123" s="286">
        <v>117</v>
      </c>
      <c r="B123" s="81" t="str">
        <f>'Encargos e Benefícios'!B122</f>
        <v>Socioeducador - DC</v>
      </c>
      <c r="C123" s="287">
        <f>'Encargos e Benefícios'!C122</f>
        <v>2</v>
      </c>
      <c r="D123" s="288" t="s">
        <v>504</v>
      </c>
      <c r="E123" s="300">
        <v>45261</v>
      </c>
      <c r="F123" s="301">
        <v>47058</v>
      </c>
      <c r="G123" s="293">
        <v>45413</v>
      </c>
      <c r="H123" s="294">
        <v>5.8400000000000001E-2</v>
      </c>
      <c r="I123" s="256">
        <v>29.2</v>
      </c>
      <c r="J123" s="256">
        <v>6.87</v>
      </c>
      <c r="K123" s="256"/>
      <c r="L123" s="256"/>
      <c r="M123" s="293">
        <v>45778</v>
      </c>
      <c r="N123" s="294">
        <v>5.8400000000000001E-2</v>
      </c>
      <c r="O123" s="256">
        <v>30.9</v>
      </c>
      <c r="P123" s="256">
        <v>7.27</v>
      </c>
      <c r="Q123" s="256"/>
      <c r="R123" s="256"/>
      <c r="S123" s="293">
        <v>46143</v>
      </c>
      <c r="T123" s="294">
        <v>5.8400000000000001E-2</v>
      </c>
      <c r="U123" s="256">
        <v>32.71</v>
      </c>
      <c r="V123" s="256">
        <v>7.82</v>
      </c>
      <c r="W123" s="256"/>
      <c r="X123" s="256"/>
      <c r="Y123" s="293">
        <v>46508</v>
      </c>
      <c r="Z123" s="294">
        <v>5.8400000000000001E-2</v>
      </c>
      <c r="AA123" s="256">
        <v>34.619999999999997</v>
      </c>
      <c r="AB123" s="256">
        <v>8.7100000000000009</v>
      </c>
      <c r="AC123" s="256"/>
      <c r="AD123" s="256"/>
      <c r="AE123" s="293">
        <v>46874</v>
      </c>
      <c r="AF123" s="294">
        <v>5.8400000000000001E-2</v>
      </c>
      <c r="AG123" s="256">
        <v>36.64</v>
      </c>
      <c r="AH123" s="256">
        <v>10.17</v>
      </c>
      <c r="AI123" s="256"/>
      <c r="AJ123" s="257"/>
      <c r="AK123" s="296">
        <f>'Encargos e Benefícios'!D122</f>
        <v>1900</v>
      </c>
      <c r="AL123" s="296">
        <f>IF('Encargos e Benefícios'!C122=0,0,'Encargos e Benefícios'!U122/'Encargos e Benefícios'!C122)</f>
        <v>2544.7966666666666</v>
      </c>
      <c r="AM123" s="296">
        <f>IF('Encargos e Benefícios'!C122=0,0,'Encargos e Benefícios'!AC122/'Encargos e Benefícios'!C122)</f>
        <v>446.88</v>
      </c>
      <c r="AN123" s="297">
        <f>IF('Encargos e Benefícios'!C122=0,0,'Encargos e Benefícios'!AD122/'Encargos e Benefícios'!C122)</f>
        <v>4891.6766666666672</v>
      </c>
      <c r="AO123" s="188">
        <v>2752.21</v>
      </c>
      <c r="AP123" s="298">
        <v>1764.5</v>
      </c>
      <c r="AQ123" s="298">
        <v>3739.92</v>
      </c>
      <c r="AR123" s="299" t="s">
        <v>109</v>
      </c>
      <c r="AS123" s="188"/>
    </row>
    <row r="124" spans="1:45">
      <c r="A124" s="286">
        <v>118</v>
      </c>
      <c r="B124" s="81" t="str">
        <f>'Encargos e Benefícios'!B123</f>
        <v>Socioeducador - D</v>
      </c>
      <c r="C124" s="287">
        <f>'Encargos e Benefícios'!C123</f>
        <v>12</v>
      </c>
      <c r="D124" s="288" t="s">
        <v>504</v>
      </c>
      <c r="E124" s="300">
        <v>45261</v>
      </c>
      <c r="F124" s="301">
        <v>47058</v>
      </c>
      <c r="G124" s="293">
        <v>45413</v>
      </c>
      <c r="H124" s="294">
        <v>5.8400000000000001E-2</v>
      </c>
      <c r="I124" s="256">
        <v>29.2</v>
      </c>
      <c r="J124" s="256">
        <v>6.87</v>
      </c>
      <c r="K124" s="256"/>
      <c r="L124" s="256"/>
      <c r="M124" s="293">
        <v>45778</v>
      </c>
      <c r="N124" s="294">
        <v>5.8400000000000001E-2</v>
      </c>
      <c r="O124" s="256">
        <v>30.9</v>
      </c>
      <c r="P124" s="256">
        <v>7.27</v>
      </c>
      <c r="Q124" s="256"/>
      <c r="R124" s="256"/>
      <c r="S124" s="293">
        <v>46143</v>
      </c>
      <c r="T124" s="294">
        <v>5.8400000000000001E-2</v>
      </c>
      <c r="U124" s="256">
        <v>32.71</v>
      </c>
      <c r="V124" s="256">
        <v>7.82</v>
      </c>
      <c r="W124" s="256"/>
      <c r="X124" s="256"/>
      <c r="Y124" s="293">
        <v>46508</v>
      </c>
      <c r="Z124" s="294">
        <v>5.8400000000000001E-2</v>
      </c>
      <c r="AA124" s="256">
        <v>34.619999999999997</v>
      </c>
      <c r="AB124" s="256">
        <v>8.7100000000000009</v>
      </c>
      <c r="AC124" s="256"/>
      <c r="AD124" s="256"/>
      <c r="AE124" s="293">
        <v>46874</v>
      </c>
      <c r="AF124" s="294">
        <v>5.8400000000000001E-2</v>
      </c>
      <c r="AG124" s="256">
        <v>36.64</v>
      </c>
      <c r="AH124" s="256">
        <v>10.17</v>
      </c>
      <c r="AI124" s="256"/>
      <c r="AJ124" s="257"/>
      <c r="AK124" s="296">
        <f>'Encargos e Benefícios'!D123</f>
        <v>1900</v>
      </c>
      <c r="AL124" s="296">
        <f>IF('Encargos e Benefícios'!C123=0,0,'Encargos e Benefícios'!U123/'Encargos e Benefícios'!C123)</f>
        <v>2281.7944444444447</v>
      </c>
      <c r="AM124" s="296">
        <f>IF('Encargos e Benefícios'!C123=0,0,'Encargos e Benefícios'!AC123/'Encargos e Benefícios'!C123)</f>
        <v>74.48</v>
      </c>
      <c r="AN124" s="297">
        <f>IF('Encargos e Benefícios'!C123=0,0,'Encargos e Benefícios'!AD123/'Encargos e Benefícios'!C123)</f>
        <v>4256.2744444444452</v>
      </c>
      <c r="AO124" s="188">
        <v>2752.21</v>
      </c>
      <c r="AP124" s="298">
        <v>1764.5</v>
      </c>
      <c r="AQ124" s="298">
        <v>3739.92</v>
      </c>
      <c r="AR124" s="299" t="s">
        <v>109</v>
      </c>
      <c r="AS124" s="188"/>
    </row>
    <row r="125" spans="1:45">
      <c r="A125" s="286">
        <v>119</v>
      </c>
      <c r="B125" s="81" t="str">
        <f>'Encargos e Benefícios'!B124</f>
        <v>Socioeducador - NC</v>
      </c>
      <c r="C125" s="287">
        <f>'Encargos e Benefícios'!C124</f>
        <v>2</v>
      </c>
      <c r="D125" s="288" t="s">
        <v>504</v>
      </c>
      <c r="E125" s="300">
        <v>45261</v>
      </c>
      <c r="F125" s="301">
        <v>47058</v>
      </c>
      <c r="G125" s="293">
        <v>45413</v>
      </c>
      <c r="H125" s="294">
        <v>5.8400000000000001E-2</v>
      </c>
      <c r="I125" s="256">
        <v>29.2</v>
      </c>
      <c r="J125" s="256">
        <v>6.87</v>
      </c>
      <c r="K125" s="256"/>
      <c r="L125" s="256"/>
      <c r="M125" s="293">
        <v>45778</v>
      </c>
      <c r="N125" s="294">
        <v>5.8400000000000001E-2</v>
      </c>
      <c r="O125" s="256">
        <v>30.9</v>
      </c>
      <c r="P125" s="256">
        <v>7.27</v>
      </c>
      <c r="Q125" s="256"/>
      <c r="R125" s="256"/>
      <c r="S125" s="293">
        <v>46143</v>
      </c>
      <c r="T125" s="294">
        <v>5.8400000000000001E-2</v>
      </c>
      <c r="U125" s="256">
        <v>32.71</v>
      </c>
      <c r="V125" s="256">
        <v>7.82</v>
      </c>
      <c r="W125" s="256"/>
      <c r="X125" s="256"/>
      <c r="Y125" s="293">
        <v>46508</v>
      </c>
      <c r="Z125" s="294">
        <v>5.8400000000000001E-2</v>
      </c>
      <c r="AA125" s="256">
        <v>34.619999999999997</v>
      </c>
      <c r="AB125" s="256">
        <v>8.7100000000000009</v>
      </c>
      <c r="AC125" s="256"/>
      <c r="AD125" s="256"/>
      <c r="AE125" s="293">
        <v>46874</v>
      </c>
      <c r="AF125" s="294">
        <v>5.8400000000000001E-2</v>
      </c>
      <c r="AG125" s="256">
        <v>36.64</v>
      </c>
      <c r="AH125" s="256">
        <v>10.17</v>
      </c>
      <c r="AI125" s="256"/>
      <c r="AJ125" s="257"/>
      <c r="AK125" s="296">
        <f>'Encargos e Benefícios'!D124</f>
        <v>1900</v>
      </c>
      <c r="AL125" s="296">
        <f>IF('Encargos e Benefícios'!C124=0,0,'Encargos e Benefícios'!U124/'Encargos e Benefícios'!C124)</f>
        <v>3013.1818518518517</v>
      </c>
      <c r="AM125" s="296">
        <f>IF('Encargos e Benefícios'!C124=0,0,'Encargos e Benefícios'!AC124/'Encargos e Benefícios'!C124)</f>
        <v>446.88</v>
      </c>
      <c r="AN125" s="297">
        <f>IF('Encargos e Benefícios'!C124=0,0,'Encargos e Benefícios'!AD124/'Encargos e Benefícios'!C124)</f>
        <v>5360.0618518518522</v>
      </c>
      <c r="AO125" s="188">
        <v>2752.21</v>
      </c>
      <c r="AP125" s="298">
        <v>1764.5</v>
      </c>
      <c r="AQ125" s="298">
        <v>3739.92</v>
      </c>
      <c r="AR125" s="299" t="s">
        <v>109</v>
      </c>
      <c r="AS125" s="188"/>
    </row>
    <row r="126" spans="1:45" ht="13.5" thickBot="1">
      <c r="A126" s="286">
        <v>120</v>
      </c>
      <c r="B126" s="81" t="str">
        <f>'Encargos e Benefícios'!B125</f>
        <v>Socioeducador - N</v>
      </c>
      <c r="C126" s="287">
        <f>'Encargos e Benefícios'!C125</f>
        <v>6</v>
      </c>
      <c r="D126" s="288" t="s">
        <v>504</v>
      </c>
      <c r="E126" s="300">
        <v>45261</v>
      </c>
      <c r="F126" s="301">
        <v>47058</v>
      </c>
      <c r="G126" s="293">
        <v>45413</v>
      </c>
      <c r="H126" s="294">
        <v>5.8400000000000001E-2</v>
      </c>
      <c r="I126" s="256">
        <v>29.2</v>
      </c>
      <c r="J126" s="256">
        <v>6.87</v>
      </c>
      <c r="K126" s="256"/>
      <c r="L126" s="256"/>
      <c r="M126" s="293">
        <v>45778</v>
      </c>
      <c r="N126" s="294">
        <v>5.8400000000000001E-2</v>
      </c>
      <c r="O126" s="256">
        <v>30.9</v>
      </c>
      <c r="P126" s="256">
        <v>7.27</v>
      </c>
      <c r="Q126" s="256"/>
      <c r="R126" s="256"/>
      <c r="S126" s="293">
        <v>46143</v>
      </c>
      <c r="T126" s="294">
        <v>5.8400000000000001E-2</v>
      </c>
      <c r="U126" s="256">
        <v>32.71</v>
      </c>
      <c r="V126" s="256">
        <v>7.82</v>
      </c>
      <c r="W126" s="256"/>
      <c r="X126" s="256"/>
      <c r="Y126" s="293">
        <v>46508</v>
      </c>
      <c r="Z126" s="294">
        <v>5.8400000000000001E-2</v>
      </c>
      <c r="AA126" s="256">
        <v>34.619999999999997</v>
      </c>
      <c r="AB126" s="256">
        <v>8.7100000000000009</v>
      </c>
      <c r="AC126" s="256"/>
      <c r="AD126" s="256"/>
      <c r="AE126" s="293">
        <v>46874</v>
      </c>
      <c r="AF126" s="294">
        <v>5.8400000000000001E-2</v>
      </c>
      <c r="AG126" s="256">
        <v>36.64</v>
      </c>
      <c r="AH126" s="256">
        <v>10.17</v>
      </c>
      <c r="AI126" s="256"/>
      <c r="AJ126" s="257"/>
      <c r="AK126" s="296">
        <f>'Encargos e Benefícios'!D125</f>
        <v>1900</v>
      </c>
      <c r="AL126" s="296">
        <f>IF('Encargos e Benefícios'!C125=0,0,'Encargos e Benefícios'!U125/'Encargos e Benefícios'!C125)</f>
        <v>2750.1796296296302</v>
      </c>
      <c r="AM126" s="296">
        <f>IF('Encargos e Benefícios'!C125=0,0,'Encargos e Benefícios'!AC125/'Encargos e Benefícios'!C125)</f>
        <v>148.96</v>
      </c>
      <c r="AN126" s="297">
        <f>IF('Encargos e Benefícios'!C125=0,0,'Encargos e Benefícios'!AD125/'Encargos e Benefícios'!C125)</f>
        <v>4799.1396296296298</v>
      </c>
      <c r="AO126" s="188">
        <v>2752.21</v>
      </c>
      <c r="AP126" s="298">
        <v>1764.5</v>
      </c>
      <c r="AQ126" s="298">
        <v>3739.92</v>
      </c>
      <c r="AR126" s="299" t="s">
        <v>109</v>
      </c>
      <c r="AS126" s="188"/>
    </row>
    <row r="127" spans="1:45">
      <c r="A127" s="286">
        <v>121</v>
      </c>
      <c r="B127" s="81" t="str">
        <f>'Encargos e Benefícios'!B126</f>
        <v>Diretor Geral de Unidade Socioeducativa</v>
      </c>
      <c r="C127" s="287">
        <f>'Encargos e Benefícios'!C126</f>
        <v>1</v>
      </c>
      <c r="D127" s="288">
        <v>40</v>
      </c>
      <c r="E127" s="289">
        <v>45261</v>
      </c>
      <c r="F127" s="290">
        <v>47058</v>
      </c>
      <c r="G127" s="293">
        <v>45413</v>
      </c>
      <c r="H127" s="294">
        <v>5.8400000000000001E-2</v>
      </c>
      <c r="I127" s="256">
        <v>29.2</v>
      </c>
      <c r="J127" s="256">
        <v>6.87</v>
      </c>
      <c r="K127" s="256"/>
      <c r="L127" s="256"/>
      <c r="M127" s="293">
        <v>45778</v>
      </c>
      <c r="N127" s="294">
        <v>5.8400000000000001E-2</v>
      </c>
      <c r="O127" s="256">
        <v>30.9</v>
      </c>
      <c r="P127" s="256">
        <v>7.27</v>
      </c>
      <c r="Q127" s="256"/>
      <c r="R127" s="256"/>
      <c r="S127" s="293">
        <v>46143</v>
      </c>
      <c r="T127" s="294">
        <v>5.8400000000000001E-2</v>
      </c>
      <c r="U127" s="256">
        <v>32.71</v>
      </c>
      <c r="V127" s="256">
        <v>7.82</v>
      </c>
      <c r="W127" s="256"/>
      <c r="X127" s="256"/>
      <c r="Y127" s="293">
        <v>46508</v>
      </c>
      <c r="Z127" s="294">
        <v>5.8400000000000001E-2</v>
      </c>
      <c r="AA127" s="256">
        <v>34.619999999999997</v>
      </c>
      <c r="AB127" s="256">
        <v>8.7100000000000009</v>
      </c>
      <c r="AC127" s="256"/>
      <c r="AD127" s="256"/>
      <c r="AE127" s="293">
        <v>46874</v>
      </c>
      <c r="AF127" s="294">
        <v>5.8400000000000001E-2</v>
      </c>
      <c r="AG127" s="256">
        <v>36.64</v>
      </c>
      <c r="AH127" s="256">
        <v>10.17</v>
      </c>
      <c r="AI127" s="256"/>
      <c r="AJ127" s="257"/>
      <c r="AK127" s="296">
        <f>'Encargos e Benefícios'!D126</f>
        <v>6500</v>
      </c>
      <c r="AL127" s="296">
        <f>IF('Encargos e Benefícios'!C126=0,0,'Encargos e Benefícios'!U126/'Encargos e Benefícios'!C126)</f>
        <v>5194.2222222222235</v>
      </c>
      <c r="AM127" s="296">
        <f>IF('Encargos e Benefícios'!C126=0,0,'Encargos e Benefícios'!AC126/'Encargos e Benefícios'!C126)</f>
        <v>817.61999999999989</v>
      </c>
      <c r="AN127" s="297">
        <f>IF('Encargos e Benefícios'!C126=0,0,'Encargos e Benefícios'!AD126/'Encargos e Benefícios'!C126)</f>
        <v>12511.842222222222</v>
      </c>
      <c r="AO127" s="188">
        <v>6052.24</v>
      </c>
      <c r="AP127" s="298">
        <v>4239.6899999999996</v>
      </c>
      <c r="AQ127" s="298">
        <v>7864.78</v>
      </c>
      <c r="AR127" s="299" t="s">
        <v>110</v>
      </c>
      <c r="AS127" s="188"/>
    </row>
    <row r="128" spans="1:45">
      <c r="A128" s="286">
        <v>122</v>
      </c>
      <c r="B128" s="81" t="str">
        <f>'Encargos e Benefícios'!B127</f>
        <v>Subdiretor de Segurança</v>
      </c>
      <c r="C128" s="287">
        <f>'Encargos e Benefícios'!C127</f>
        <v>1</v>
      </c>
      <c r="D128" s="288">
        <v>40</v>
      </c>
      <c r="E128" s="300">
        <v>45261</v>
      </c>
      <c r="F128" s="301">
        <v>47058</v>
      </c>
      <c r="G128" s="293">
        <v>45413</v>
      </c>
      <c r="H128" s="294">
        <v>5.8400000000000001E-2</v>
      </c>
      <c r="I128" s="256">
        <v>29.2</v>
      </c>
      <c r="J128" s="256">
        <v>6.87</v>
      </c>
      <c r="K128" s="256"/>
      <c r="L128" s="256"/>
      <c r="M128" s="293">
        <v>45778</v>
      </c>
      <c r="N128" s="294">
        <v>5.8400000000000001E-2</v>
      </c>
      <c r="O128" s="256">
        <v>30.9</v>
      </c>
      <c r="P128" s="256">
        <v>7.27</v>
      </c>
      <c r="Q128" s="256"/>
      <c r="R128" s="256"/>
      <c r="S128" s="293">
        <v>46143</v>
      </c>
      <c r="T128" s="294">
        <v>5.8400000000000001E-2</v>
      </c>
      <c r="U128" s="256">
        <v>32.71</v>
      </c>
      <c r="V128" s="256">
        <v>7.82</v>
      </c>
      <c r="W128" s="256"/>
      <c r="X128" s="256"/>
      <c r="Y128" s="293">
        <v>46508</v>
      </c>
      <c r="Z128" s="294">
        <v>5.8400000000000001E-2</v>
      </c>
      <c r="AA128" s="256">
        <v>34.619999999999997</v>
      </c>
      <c r="AB128" s="256">
        <v>8.7100000000000009</v>
      </c>
      <c r="AC128" s="256"/>
      <c r="AD128" s="256"/>
      <c r="AE128" s="293">
        <v>46874</v>
      </c>
      <c r="AF128" s="294">
        <v>5.8400000000000001E-2</v>
      </c>
      <c r="AG128" s="256">
        <v>36.64</v>
      </c>
      <c r="AH128" s="256">
        <v>10.17</v>
      </c>
      <c r="AI128" s="256"/>
      <c r="AJ128" s="257"/>
      <c r="AK128" s="296">
        <f>'Encargos e Benefícios'!D127</f>
        <v>3773.6</v>
      </c>
      <c r="AL128" s="296">
        <f>IF('Encargos e Benefícios'!C127=0,0,'Encargos e Benefícios'!U127/'Encargos e Benefícios'!C127)</f>
        <v>4147.6056888888888</v>
      </c>
      <c r="AM128" s="296">
        <f>IF('Encargos e Benefícios'!C127=0,0,'Encargos e Benefícios'!AC127/'Encargos e Benefícios'!C127)</f>
        <v>817.61999999999989</v>
      </c>
      <c r="AN128" s="297">
        <f>IF('Encargos e Benefícios'!C127=0,0,'Encargos e Benefícios'!AD127/'Encargos e Benefícios'!C127)</f>
        <v>8738.82568888889</v>
      </c>
      <c r="AO128" s="188">
        <v>4968.99</v>
      </c>
      <c r="AP128" s="298">
        <v>3773.6</v>
      </c>
      <c r="AQ128" s="298">
        <v>6164.38</v>
      </c>
      <c r="AR128" s="299" t="s">
        <v>110</v>
      </c>
      <c r="AS128" s="188"/>
    </row>
    <row r="129" spans="1:45">
      <c r="A129" s="286">
        <v>123</v>
      </c>
      <c r="B129" s="81" t="str">
        <f>'Encargos e Benefícios'!B128</f>
        <v>Advogado</v>
      </c>
      <c r="C129" s="287">
        <f>'Encargos e Benefícios'!C128</f>
        <v>1</v>
      </c>
      <c r="D129" s="288">
        <v>30</v>
      </c>
      <c r="E129" s="300">
        <v>45261</v>
      </c>
      <c r="F129" s="301">
        <v>47058</v>
      </c>
      <c r="G129" s="293">
        <v>45413</v>
      </c>
      <c r="H129" s="294">
        <v>5.8400000000000001E-2</v>
      </c>
      <c r="I129" s="256">
        <v>29.2</v>
      </c>
      <c r="J129" s="256">
        <v>6.87</v>
      </c>
      <c r="K129" s="256"/>
      <c r="L129" s="256"/>
      <c r="M129" s="293">
        <v>45778</v>
      </c>
      <c r="N129" s="294">
        <v>5.8400000000000001E-2</v>
      </c>
      <c r="O129" s="256">
        <v>30.9</v>
      </c>
      <c r="P129" s="256">
        <v>7.27</v>
      </c>
      <c r="Q129" s="256"/>
      <c r="R129" s="256"/>
      <c r="S129" s="293">
        <v>46143</v>
      </c>
      <c r="T129" s="294">
        <v>5.8400000000000001E-2</v>
      </c>
      <c r="U129" s="256">
        <v>32.71</v>
      </c>
      <c r="V129" s="256">
        <v>7.82</v>
      </c>
      <c r="W129" s="256"/>
      <c r="X129" s="256"/>
      <c r="Y129" s="293">
        <v>46508</v>
      </c>
      <c r="Z129" s="294">
        <v>5.8400000000000001E-2</v>
      </c>
      <c r="AA129" s="256">
        <v>34.619999999999997</v>
      </c>
      <c r="AB129" s="256">
        <v>8.7100000000000009</v>
      </c>
      <c r="AC129" s="256"/>
      <c r="AD129" s="256"/>
      <c r="AE129" s="293">
        <v>46874</v>
      </c>
      <c r="AF129" s="294">
        <v>5.8400000000000001E-2</v>
      </c>
      <c r="AG129" s="256">
        <v>36.64</v>
      </c>
      <c r="AH129" s="256">
        <v>10.17</v>
      </c>
      <c r="AI129" s="256"/>
      <c r="AJ129" s="257"/>
      <c r="AK129" s="296">
        <f>'Encargos e Benefícios'!D128</f>
        <v>2600</v>
      </c>
      <c r="AL129" s="296">
        <f>IF('Encargos e Benefícios'!C128=0,0,'Encargos e Benefícios'!U128/'Encargos e Benefícios'!C128)</f>
        <v>2114.088888888889</v>
      </c>
      <c r="AM129" s="296">
        <f>IF('Encargos e Benefícios'!C128=0,0,'Encargos e Benefícios'!AC128/'Encargos e Benefícios'!C128)</f>
        <v>929.29</v>
      </c>
      <c r="AN129" s="297">
        <f>IF('Encargos e Benefícios'!C128=0,0,'Encargos e Benefícios'!AD128/'Encargos e Benefícios'!C128)</f>
        <v>5643.3788888888894</v>
      </c>
      <c r="AO129" s="188">
        <v>2767.69</v>
      </c>
      <c r="AP129" s="298">
        <v>2500</v>
      </c>
      <c r="AQ129" s="298">
        <v>3035.37</v>
      </c>
      <c r="AR129" s="299" t="s">
        <v>110</v>
      </c>
      <c r="AS129" s="188"/>
    </row>
    <row r="130" spans="1:45">
      <c r="A130" s="286">
        <v>124</v>
      </c>
      <c r="B130" s="81" t="str">
        <f>'Encargos e Benefícios'!B129</f>
        <v>Assistente Social</v>
      </c>
      <c r="C130" s="287">
        <f>'Encargos e Benefícios'!C129</f>
        <v>1</v>
      </c>
      <c r="D130" s="288">
        <v>30</v>
      </c>
      <c r="E130" s="300">
        <v>45261</v>
      </c>
      <c r="F130" s="301">
        <v>47058</v>
      </c>
      <c r="G130" s="293">
        <v>45413</v>
      </c>
      <c r="H130" s="294">
        <v>5.8400000000000001E-2</v>
      </c>
      <c r="I130" s="256">
        <v>29.2</v>
      </c>
      <c r="J130" s="256">
        <v>6.87</v>
      </c>
      <c r="K130" s="256"/>
      <c r="L130" s="256"/>
      <c r="M130" s="293">
        <v>45778</v>
      </c>
      <c r="N130" s="294">
        <v>5.8400000000000001E-2</v>
      </c>
      <c r="O130" s="256">
        <v>30.9</v>
      </c>
      <c r="P130" s="256">
        <v>7.27</v>
      </c>
      <c r="Q130" s="256"/>
      <c r="R130" s="256"/>
      <c r="S130" s="293">
        <v>46143</v>
      </c>
      <c r="T130" s="294">
        <v>5.8400000000000001E-2</v>
      </c>
      <c r="U130" s="256">
        <v>32.71</v>
      </c>
      <c r="V130" s="256">
        <v>7.82</v>
      </c>
      <c r="W130" s="256"/>
      <c r="X130" s="256"/>
      <c r="Y130" s="293">
        <v>46508</v>
      </c>
      <c r="Z130" s="294">
        <v>5.8400000000000001E-2</v>
      </c>
      <c r="AA130" s="256">
        <v>34.619999999999997</v>
      </c>
      <c r="AB130" s="256">
        <v>8.7100000000000009</v>
      </c>
      <c r="AC130" s="256"/>
      <c r="AD130" s="256"/>
      <c r="AE130" s="293">
        <v>46874</v>
      </c>
      <c r="AF130" s="294">
        <v>5.8400000000000001E-2</v>
      </c>
      <c r="AG130" s="256">
        <v>36.64</v>
      </c>
      <c r="AH130" s="256">
        <v>10.17</v>
      </c>
      <c r="AI130" s="256"/>
      <c r="AJ130" s="257"/>
      <c r="AK130" s="296">
        <f>'Encargos e Benefícios'!D129</f>
        <v>2600</v>
      </c>
      <c r="AL130" s="296">
        <f>IF('Encargos e Benefícios'!C129=0,0,'Encargos e Benefícios'!U129/'Encargos e Benefícios'!C129)</f>
        <v>2114.088888888889</v>
      </c>
      <c r="AM130" s="296">
        <f>IF('Encargos e Benefícios'!C129=0,0,'Encargos e Benefícios'!AC129/'Encargos e Benefícios'!C129)</f>
        <v>929.29</v>
      </c>
      <c r="AN130" s="297">
        <f>IF('Encargos e Benefícios'!C129=0,0,'Encargos e Benefícios'!AD129/'Encargos e Benefícios'!C129)</f>
        <v>5643.3788888888894</v>
      </c>
      <c r="AO130" s="188">
        <v>3277.91</v>
      </c>
      <c r="AP130" s="298">
        <v>2500</v>
      </c>
      <c r="AQ130" s="298">
        <v>4055.81</v>
      </c>
      <c r="AR130" s="299" t="s">
        <v>110</v>
      </c>
      <c r="AS130" s="188"/>
    </row>
    <row r="131" spans="1:45">
      <c r="A131" s="286">
        <v>125</v>
      </c>
      <c r="B131" s="81" t="str">
        <f>'Encargos e Benefícios'!B130</f>
        <v>Pedagogo</v>
      </c>
      <c r="C131" s="287">
        <f>'Encargos e Benefícios'!C130</f>
        <v>1</v>
      </c>
      <c r="D131" s="288">
        <v>30</v>
      </c>
      <c r="E131" s="300">
        <v>45261</v>
      </c>
      <c r="F131" s="301">
        <v>47058</v>
      </c>
      <c r="G131" s="293">
        <v>45413</v>
      </c>
      <c r="H131" s="294">
        <v>5.8400000000000001E-2</v>
      </c>
      <c r="I131" s="256">
        <v>29.2</v>
      </c>
      <c r="J131" s="256">
        <v>6.87</v>
      </c>
      <c r="K131" s="256"/>
      <c r="L131" s="256"/>
      <c r="M131" s="293">
        <v>45778</v>
      </c>
      <c r="N131" s="294">
        <v>5.8400000000000001E-2</v>
      </c>
      <c r="O131" s="256">
        <v>30.9</v>
      </c>
      <c r="P131" s="256">
        <v>7.27</v>
      </c>
      <c r="Q131" s="256"/>
      <c r="R131" s="256"/>
      <c r="S131" s="293">
        <v>46143</v>
      </c>
      <c r="T131" s="294">
        <v>5.8400000000000001E-2</v>
      </c>
      <c r="U131" s="256">
        <v>32.71</v>
      </c>
      <c r="V131" s="256">
        <v>7.82</v>
      </c>
      <c r="W131" s="256"/>
      <c r="X131" s="256"/>
      <c r="Y131" s="293">
        <v>46508</v>
      </c>
      <c r="Z131" s="294">
        <v>5.8400000000000001E-2</v>
      </c>
      <c r="AA131" s="256">
        <v>34.619999999999997</v>
      </c>
      <c r="AB131" s="256">
        <v>8.7100000000000009</v>
      </c>
      <c r="AC131" s="256"/>
      <c r="AD131" s="256"/>
      <c r="AE131" s="293">
        <v>46874</v>
      </c>
      <c r="AF131" s="294">
        <v>5.8400000000000001E-2</v>
      </c>
      <c r="AG131" s="256">
        <v>36.64</v>
      </c>
      <c r="AH131" s="256">
        <v>10.17</v>
      </c>
      <c r="AI131" s="256"/>
      <c r="AJ131" s="257"/>
      <c r="AK131" s="296">
        <f>'Encargos e Benefícios'!D130</f>
        <v>2600</v>
      </c>
      <c r="AL131" s="296">
        <f>IF('Encargos e Benefícios'!C130=0,0,'Encargos e Benefícios'!U130/'Encargos e Benefícios'!C130)</f>
        <v>2114.088888888889</v>
      </c>
      <c r="AM131" s="296">
        <f>IF('Encargos e Benefícios'!C130=0,0,'Encargos e Benefícios'!AC130/'Encargos e Benefícios'!C130)</f>
        <v>929.29</v>
      </c>
      <c r="AN131" s="297">
        <f>IF('Encargos e Benefícios'!C130=0,0,'Encargos e Benefícios'!AD130/'Encargos e Benefícios'!C130)</f>
        <v>5643.3788888888894</v>
      </c>
      <c r="AO131" s="188">
        <v>2894.94</v>
      </c>
      <c r="AP131" s="298">
        <v>2489.87</v>
      </c>
      <c r="AQ131" s="298">
        <v>3300</v>
      </c>
      <c r="AR131" s="299" t="s">
        <v>110</v>
      </c>
      <c r="AS131" s="188"/>
    </row>
    <row r="132" spans="1:45">
      <c r="A132" s="286">
        <v>126</v>
      </c>
      <c r="B132" s="81" t="str">
        <f>'Encargos e Benefícios'!B131</f>
        <v>Psicologo</v>
      </c>
      <c r="C132" s="287">
        <f>'Encargos e Benefícios'!C131</f>
        <v>1</v>
      </c>
      <c r="D132" s="288">
        <v>30</v>
      </c>
      <c r="E132" s="300">
        <v>45261</v>
      </c>
      <c r="F132" s="301">
        <v>47058</v>
      </c>
      <c r="G132" s="293">
        <v>45413</v>
      </c>
      <c r="H132" s="294">
        <v>5.8400000000000001E-2</v>
      </c>
      <c r="I132" s="256">
        <v>29.2</v>
      </c>
      <c r="J132" s="256">
        <v>6.87</v>
      </c>
      <c r="K132" s="256"/>
      <c r="L132" s="256"/>
      <c r="M132" s="293">
        <v>45778</v>
      </c>
      <c r="N132" s="294">
        <v>5.8400000000000001E-2</v>
      </c>
      <c r="O132" s="256">
        <v>30.9</v>
      </c>
      <c r="P132" s="256">
        <v>7.27</v>
      </c>
      <c r="Q132" s="256"/>
      <c r="R132" s="256"/>
      <c r="S132" s="293">
        <v>46143</v>
      </c>
      <c r="T132" s="294">
        <v>5.8400000000000001E-2</v>
      </c>
      <c r="U132" s="256">
        <v>32.71</v>
      </c>
      <c r="V132" s="256">
        <v>7.82</v>
      </c>
      <c r="W132" s="256"/>
      <c r="X132" s="256"/>
      <c r="Y132" s="293">
        <v>46508</v>
      </c>
      <c r="Z132" s="294">
        <v>5.8400000000000001E-2</v>
      </c>
      <c r="AA132" s="256">
        <v>34.619999999999997</v>
      </c>
      <c r="AB132" s="256">
        <v>8.7100000000000009</v>
      </c>
      <c r="AC132" s="256"/>
      <c r="AD132" s="256"/>
      <c r="AE132" s="293">
        <v>46874</v>
      </c>
      <c r="AF132" s="294">
        <v>5.8400000000000001E-2</v>
      </c>
      <c r="AG132" s="256">
        <v>36.64</v>
      </c>
      <c r="AH132" s="256">
        <v>10.17</v>
      </c>
      <c r="AI132" s="256"/>
      <c r="AJ132" s="257"/>
      <c r="AK132" s="296">
        <f>'Encargos e Benefícios'!D131</f>
        <v>2600</v>
      </c>
      <c r="AL132" s="296">
        <f>IF('Encargos e Benefícios'!C131=0,0,'Encargos e Benefícios'!U131/'Encargos e Benefícios'!C131)</f>
        <v>2114.088888888889</v>
      </c>
      <c r="AM132" s="296">
        <f>IF('Encargos e Benefícios'!C131=0,0,'Encargos e Benefícios'!AC131/'Encargos e Benefícios'!C131)</f>
        <v>929.29</v>
      </c>
      <c r="AN132" s="297">
        <f>IF('Encargos e Benefícios'!C131=0,0,'Encargos e Benefícios'!AD131/'Encargos e Benefícios'!C131)</f>
        <v>5643.3788888888894</v>
      </c>
      <c r="AO132" s="188">
        <v>3953.69</v>
      </c>
      <c r="AP132" s="298">
        <v>2500</v>
      </c>
      <c r="AQ132" s="298">
        <v>5407.37</v>
      </c>
      <c r="AR132" s="299" t="s">
        <v>110</v>
      </c>
      <c r="AS132" s="188"/>
    </row>
    <row r="133" spans="1:45">
      <c r="A133" s="286">
        <v>127</v>
      </c>
      <c r="B133" s="81" t="str">
        <f>'Encargos e Benefícios'!B132</f>
        <v>Terapeuta Ocupacional</v>
      </c>
      <c r="C133" s="287">
        <f>'Encargos e Benefícios'!C132</f>
        <v>1</v>
      </c>
      <c r="D133" s="288">
        <v>30</v>
      </c>
      <c r="E133" s="300">
        <v>45261</v>
      </c>
      <c r="F133" s="301">
        <v>47058</v>
      </c>
      <c r="G133" s="293">
        <v>45413</v>
      </c>
      <c r="H133" s="294">
        <v>5.8400000000000001E-2</v>
      </c>
      <c r="I133" s="256">
        <v>29.2</v>
      </c>
      <c r="J133" s="256">
        <v>6.87</v>
      </c>
      <c r="K133" s="256"/>
      <c r="L133" s="256"/>
      <c r="M133" s="293">
        <v>45778</v>
      </c>
      <c r="N133" s="294">
        <v>5.8400000000000001E-2</v>
      </c>
      <c r="O133" s="256">
        <v>30.9</v>
      </c>
      <c r="P133" s="256">
        <v>7.27</v>
      </c>
      <c r="Q133" s="256"/>
      <c r="R133" s="256"/>
      <c r="S133" s="293">
        <v>46143</v>
      </c>
      <c r="T133" s="294">
        <v>5.8400000000000001E-2</v>
      </c>
      <c r="U133" s="256">
        <v>32.71</v>
      </c>
      <c r="V133" s="256">
        <v>7.82</v>
      </c>
      <c r="W133" s="256"/>
      <c r="X133" s="256"/>
      <c r="Y133" s="293">
        <v>46508</v>
      </c>
      <c r="Z133" s="294">
        <v>5.8400000000000001E-2</v>
      </c>
      <c r="AA133" s="256">
        <v>34.619999999999997</v>
      </c>
      <c r="AB133" s="256">
        <v>8.7100000000000009</v>
      </c>
      <c r="AC133" s="256"/>
      <c r="AD133" s="256"/>
      <c r="AE133" s="293">
        <v>46874</v>
      </c>
      <c r="AF133" s="294">
        <v>5.8400000000000001E-2</v>
      </c>
      <c r="AG133" s="256">
        <v>36.64</v>
      </c>
      <c r="AH133" s="256">
        <v>10.17</v>
      </c>
      <c r="AI133" s="256"/>
      <c r="AJ133" s="257"/>
      <c r="AK133" s="296">
        <f>'Encargos e Benefícios'!D132</f>
        <v>2600</v>
      </c>
      <c r="AL133" s="296">
        <f>IF('Encargos e Benefícios'!C132=0,0,'Encargos e Benefícios'!U132/'Encargos e Benefícios'!C132)</f>
        <v>2114.088888888889</v>
      </c>
      <c r="AM133" s="296">
        <f>IF('Encargos e Benefícios'!C132=0,0,'Encargos e Benefícios'!AC132/'Encargos e Benefícios'!C132)</f>
        <v>929.29</v>
      </c>
      <c r="AN133" s="297">
        <f>IF('Encargos e Benefícios'!C132=0,0,'Encargos e Benefícios'!AD132/'Encargos e Benefícios'!C132)</f>
        <v>5643.3788888888894</v>
      </c>
      <c r="AO133" s="188">
        <v>2422.3000000000002</v>
      </c>
      <c r="AP133" s="298">
        <v>1932.61</v>
      </c>
      <c r="AQ133" s="298">
        <v>2911.99</v>
      </c>
      <c r="AR133" s="299" t="s">
        <v>110</v>
      </c>
      <c r="AS133" s="188"/>
    </row>
    <row r="134" spans="1:45">
      <c r="A134" s="286">
        <v>128</v>
      </c>
      <c r="B134" s="81" t="str">
        <f>'Encargos e Benefícios'!B133</f>
        <v>Administrativo</v>
      </c>
      <c r="C134" s="287">
        <f>'Encargos e Benefícios'!C133</f>
        <v>1</v>
      </c>
      <c r="D134" s="288">
        <v>40</v>
      </c>
      <c r="E134" s="300">
        <v>45261</v>
      </c>
      <c r="F134" s="301">
        <v>47058</v>
      </c>
      <c r="G134" s="293">
        <v>45413</v>
      </c>
      <c r="H134" s="294">
        <v>5.8400000000000001E-2</v>
      </c>
      <c r="I134" s="256">
        <v>29.2</v>
      </c>
      <c r="J134" s="256">
        <v>6.87</v>
      </c>
      <c r="K134" s="256"/>
      <c r="L134" s="256"/>
      <c r="M134" s="293">
        <v>45778</v>
      </c>
      <c r="N134" s="294">
        <v>5.8400000000000001E-2</v>
      </c>
      <c r="O134" s="256">
        <v>30.9</v>
      </c>
      <c r="P134" s="256">
        <v>7.27</v>
      </c>
      <c r="Q134" s="256"/>
      <c r="R134" s="256"/>
      <c r="S134" s="293">
        <v>46143</v>
      </c>
      <c r="T134" s="294">
        <v>5.8400000000000001E-2</v>
      </c>
      <c r="U134" s="256">
        <v>32.71</v>
      </c>
      <c r="V134" s="256">
        <v>7.82</v>
      </c>
      <c r="W134" s="256"/>
      <c r="X134" s="256"/>
      <c r="Y134" s="293">
        <v>46508</v>
      </c>
      <c r="Z134" s="294">
        <v>5.8400000000000001E-2</v>
      </c>
      <c r="AA134" s="256">
        <v>34.619999999999997</v>
      </c>
      <c r="AB134" s="256">
        <v>8.7100000000000009</v>
      </c>
      <c r="AC134" s="256"/>
      <c r="AD134" s="256"/>
      <c r="AE134" s="293">
        <v>46874</v>
      </c>
      <c r="AF134" s="294">
        <v>5.8400000000000001E-2</v>
      </c>
      <c r="AG134" s="256">
        <v>36.64</v>
      </c>
      <c r="AH134" s="256">
        <v>10.17</v>
      </c>
      <c r="AI134" s="256"/>
      <c r="AJ134" s="257"/>
      <c r="AK134" s="296">
        <f>'Encargos e Benefícios'!D133</f>
        <v>1750</v>
      </c>
      <c r="AL134" s="296">
        <f>IF('Encargos e Benefícios'!C133=0,0,'Encargos e Benefícios'!U133/'Encargos e Benefícios'!C133)</f>
        <v>1422.9444444444443</v>
      </c>
      <c r="AM134" s="296">
        <f>IF('Encargos e Benefícios'!C133=0,0,'Encargos e Benefícios'!AC133/'Encargos e Benefícios'!C133)</f>
        <v>929.29</v>
      </c>
      <c r="AN134" s="297">
        <f>IF('Encargos e Benefícios'!C133=0,0,'Encargos e Benefícios'!AD133/'Encargos e Benefícios'!C133)</f>
        <v>4102.2344444444443</v>
      </c>
      <c r="AO134" s="188">
        <v>2097.83</v>
      </c>
      <c r="AP134" s="298">
        <v>1500</v>
      </c>
      <c r="AQ134" s="298">
        <v>2695.66</v>
      </c>
      <c r="AR134" s="299" t="s">
        <v>110</v>
      </c>
      <c r="AS134" s="188"/>
    </row>
    <row r="135" spans="1:45">
      <c r="A135" s="286">
        <v>129</v>
      </c>
      <c r="B135" s="81" t="str">
        <f>'Encargos e Benefícios'!B134</f>
        <v>Auxiliar Educacional</v>
      </c>
      <c r="C135" s="287">
        <f>'Encargos e Benefícios'!C134</f>
        <v>1</v>
      </c>
      <c r="D135" s="288">
        <v>30</v>
      </c>
      <c r="E135" s="300">
        <v>45261</v>
      </c>
      <c r="F135" s="301">
        <v>47058</v>
      </c>
      <c r="G135" s="293">
        <v>45413</v>
      </c>
      <c r="H135" s="294">
        <v>5.8400000000000001E-2</v>
      </c>
      <c r="I135" s="256">
        <v>29.2</v>
      </c>
      <c r="J135" s="256">
        <v>6.87</v>
      </c>
      <c r="K135" s="256"/>
      <c r="L135" s="256"/>
      <c r="M135" s="293">
        <v>45778</v>
      </c>
      <c r="N135" s="294">
        <v>5.8400000000000001E-2</v>
      </c>
      <c r="O135" s="256">
        <v>30.9</v>
      </c>
      <c r="P135" s="256">
        <v>7.27</v>
      </c>
      <c r="Q135" s="256"/>
      <c r="R135" s="256"/>
      <c r="S135" s="293">
        <v>46143</v>
      </c>
      <c r="T135" s="294">
        <v>5.8400000000000001E-2</v>
      </c>
      <c r="U135" s="256">
        <v>32.71</v>
      </c>
      <c r="V135" s="256">
        <v>7.82</v>
      </c>
      <c r="W135" s="256"/>
      <c r="X135" s="256"/>
      <c r="Y135" s="293">
        <v>46508</v>
      </c>
      <c r="Z135" s="294">
        <v>5.8400000000000001E-2</v>
      </c>
      <c r="AA135" s="256">
        <v>34.619999999999997</v>
      </c>
      <c r="AB135" s="256">
        <v>8.7100000000000009</v>
      </c>
      <c r="AC135" s="256"/>
      <c r="AD135" s="256"/>
      <c r="AE135" s="293">
        <v>46874</v>
      </c>
      <c r="AF135" s="294">
        <v>5.8400000000000001E-2</v>
      </c>
      <c r="AG135" s="256">
        <v>36.64</v>
      </c>
      <c r="AH135" s="256">
        <v>10.17</v>
      </c>
      <c r="AI135" s="256"/>
      <c r="AJ135" s="257"/>
      <c r="AK135" s="296">
        <f>'Encargos e Benefícios'!D134</f>
        <v>1642</v>
      </c>
      <c r="AL135" s="296">
        <f>IF('Encargos e Benefícios'!C134=0,0,'Encargos e Benefícios'!U134/'Encargos e Benefícios'!C134)</f>
        <v>1335.1284444444443</v>
      </c>
      <c r="AM135" s="296">
        <f>IF('Encargos e Benefícios'!C134=0,0,'Encargos e Benefícios'!AC134/'Encargos e Benefícios'!C134)</f>
        <v>929.29</v>
      </c>
      <c r="AN135" s="297">
        <f>IF('Encargos e Benefícios'!C134=0,0,'Encargos e Benefícios'!AD134/'Encargos e Benefícios'!C134)</f>
        <v>3906.4184444444445</v>
      </c>
      <c r="AO135" s="188">
        <v>1750.23</v>
      </c>
      <c r="AP135" s="298">
        <v>1500</v>
      </c>
      <c r="AQ135" s="298">
        <v>2000.45</v>
      </c>
      <c r="AR135" s="299" t="s">
        <v>110</v>
      </c>
      <c r="AS135" s="188"/>
    </row>
    <row r="136" spans="1:45">
      <c r="A136" s="286">
        <v>130</v>
      </c>
      <c r="B136" s="81" t="str">
        <f>'Encargos e Benefícios'!B135</f>
        <v>Auxiliar de Serviços Gerais</v>
      </c>
      <c r="C136" s="287">
        <f>'Encargos e Benefícios'!C135</f>
        <v>1</v>
      </c>
      <c r="D136" s="288">
        <v>30</v>
      </c>
      <c r="E136" s="300">
        <v>45261</v>
      </c>
      <c r="F136" s="301">
        <v>47058</v>
      </c>
      <c r="G136" s="293">
        <v>45413</v>
      </c>
      <c r="H136" s="294">
        <v>5.8400000000000001E-2</v>
      </c>
      <c r="I136" s="256">
        <v>29.2</v>
      </c>
      <c r="J136" s="256">
        <v>6.87</v>
      </c>
      <c r="K136" s="256"/>
      <c r="L136" s="256"/>
      <c r="M136" s="293">
        <v>45778</v>
      </c>
      <c r="N136" s="294">
        <v>5.8400000000000001E-2</v>
      </c>
      <c r="O136" s="256">
        <v>30.9</v>
      </c>
      <c r="P136" s="256">
        <v>7.27</v>
      </c>
      <c r="Q136" s="256"/>
      <c r="R136" s="256"/>
      <c r="S136" s="293">
        <v>46143</v>
      </c>
      <c r="T136" s="294">
        <v>5.8400000000000001E-2</v>
      </c>
      <c r="U136" s="256">
        <v>32.71</v>
      </c>
      <c r="V136" s="256">
        <v>7.82</v>
      </c>
      <c r="W136" s="256"/>
      <c r="X136" s="256"/>
      <c r="Y136" s="293">
        <v>46508</v>
      </c>
      <c r="Z136" s="294">
        <v>5.8400000000000001E-2</v>
      </c>
      <c r="AA136" s="256">
        <v>34.619999999999997</v>
      </c>
      <c r="AB136" s="256">
        <v>8.7100000000000009</v>
      </c>
      <c r="AC136" s="256"/>
      <c r="AD136" s="256"/>
      <c r="AE136" s="293">
        <v>46874</v>
      </c>
      <c r="AF136" s="294">
        <v>5.8400000000000001E-2</v>
      </c>
      <c r="AG136" s="256">
        <v>36.64</v>
      </c>
      <c r="AH136" s="256">
        <v>10.17</v>
      </c>
      <c r="AI136" s="256"/>
      <c r="AJ136" s="257"/>
      <c r="AK136" s="296">
        <f>'Encargos e Benefícios'!D135</f>
        <v>1385</v>
      </c>
      <c r="AL136" s="296">
        <f>IF('Encargos e Benefícios'!C135=0,0,'Encargos e Benefícios'!U135/'Encargos e Benefícios'!C135)</f>
        <v>1126.1588888888887</v>
      </c>
      <c r="AM136" s="296">
        <f>IF('Encargos e Benefícios'!C135=0,0,'Encargos e Benefícios'!AC135/'Encargos e Benefícios'!C135)</f>
        <v>929.29</v>
      </c>
      <c r="AN136" s="297">
        <f>IF('Encargos e Benefícios'!C135=0,0,'Encargos e Benefícios'!AD135/'Encargos e Benefícios'!C135)</f>
        <v>3440.4488888888886</v>
      </c>
      <c r="AO136" s="188">
        <v>1437.37</v>
      </c>
      <c r="AP136" s="298">
        <v>1302</v>
      </c>
      <c r="AQ136" s="298">
        <v>1572.74</v>
      </c>
      <c r="AR136" s="299" t="s">
        <v>110</v>
      </c>
      <c r="AS136" s="188"/>
    </row>
    <row r="137" spans="1:45">
      <c r="A137" s="286">
        <v>131</v>
      </c>
      <c r="B137" s="81" t="str">
        <f>'Encargos e Benefícios'!B136</f>
        <v>Motorista</v>
      </c>
      <c r="C137" s="287">
        <f>'Encargos e Benefícios'!C136</f>
        <v>1</v>
      </c>
      <c r="D137" s="288">
        <v>40</v>
      </c>
      <c r="E137" s="300">
        <v>45261</v>
      </c>
      <c r="F137" s="301">
        <v>47058</v>
      </c>
      <c r="G137" s="293">
        <v>45413</v>
      </c>
      <c r="H137" s="294">
        <v>5.8400000000000001E-2</v>
      </c>
      <c r="I137" s="256">
        <v>29.2</v>
      </c>
      <c r="J137" s="256">
        <v>6.87</v>
      </c>
      <c r="K137" s="256"/>
      <c r="L137" s="256"/>
      <c r="M137" s="293">
        <v>45778</v>
      </c>
      <c r="N137" s="294">
        <v>5.8400000000000001E-2</v>
      </c>
      <c r="O137" s="256">
        <v>30.9</v>
      </c>
      <c r="P137" s="256">
        <v>7.27</v>
      </c>
      <c r="Q137" s="256"/>
      <c r="R137" s="256"/>
      <c r="S137" s="293">
        <v>46143</v>
      </c>
      <c r="T137" s="294">
        <v>5.8400000000000001E-2</v>
      </c>
      <c r="U137" s="256">
        <v>32.71</v>
      </c>
      <c r="V137" s="256">
        <v>7.82</v>
      </c>
      <c r="W137" s="256"/>
      <c r="X137" s="256"/>
      <c r="Y137" s="293">
        <v>46508</v>
      </c>
      <c r="Z137" s="294">
        <v>5.8400000000000001E-2</v>
      </c>
      <c r="AA137" s="256">
        <v>34.619999999999997</v>
      </c>
      <c r="AB137" s="256">
        <v>8.7100000000000009</v>
      </c>
      <c r="AC137" s="256"/>
      <c r="AD137" s="256"/>
      <c r="AE137" s="293">
        <v>46874</v>
      </c>
      <c r="AF137" s="294">
        <v>5.8400000000000001E-2</v>
      </c>
      <c r="AG137" s="256">
        <v>36.64</v>
      </c>
      <c r="AH137" s="256">
        <v>10.17</v>
      </c>
      <c r="AI137" s="256"/>
      <c r="AJ137" s="257"/>
      <c r="AK137" s="296">
        <f>'Encargos e Benefícios'!D136</f>
        <v>1452.39</v>
      </c>
      <c r="AL137" s="296">
        <f>IF('Encargos e Benefícios'!C136=0,0,'Encargos e Benefícios'!U136/'Encargos e Benefícios'!C136)</f>
        <v>1180.9544466666669</v>
      </c>
      <c r="AM137" s="296">
        <f>IF('Encargos e Benefícios'!C136=0,0,'Encargos e Benefícios'!AC136/'Encargos e Benefícios'!C136)</f>
        <v>929.29</v>
      </c>
      <c r="AN137" s="297">
        <f>IF('Encargos e Benefícios'!C136=0,0,'Encargos e Benefícios'!AD136/'Encargos e Benefícios'!C136)</f>
        <v>3562.6344466666669</v>
      </c>
      <c r="AO137" s="188">
        <v>2046.28</v>
      </c>
      <c r="AP137" s="298">
        <v>1212</v>
      </c>
      <c r="AQ137" s="298">
        <v>2880.55</v>
      </c>
      <c r="AR137" s="299" t="s">
        <v>110</v>
      </c>
      <c r="AS137" s="188"/>
    </row>
    <row r="138" spans="1:45">
      <c r="A138" s="286">
        <v>132</v>
      </c>
      <c r="B138" s="81" t="str">
        <f>'Encargos e Benefícios'!B137</f>
        <v>Socioeducador - DC</v>
      </c>
      <c r="C138" s="287">
        <f>'Encargos e Benefícios'!C137</f>
        <v>2</v>
      </c>
      <c r="D138" s="288" t="s">
        <v>504</v>
      </c>
      <c r="E138" s="300">
        <v>45261</v>
      </c>
      <c r="F138" s="301">
        <v>47058</v>
      </c>
      <c r="G138" s="293">
        <v>45413</v>
      </c>
      <c r="H138" s="294">
        <v>5.8400000000000001E-2</v>
      </c>
      <c r="I138" s="256">
        <v>29.2</v>
      </c>
      <c r="J138" s="256">
        <v>6.87</v>
      </c>
      <c r="K138" s="256"/>
      <c r="L138" s="256"/>
      <c r="M138" s="293">
        <v>45778</v>
      </c>
      <c r="N138" s="294">
        <v>5.8400000000000001E-2</v>
      </c>
      <c r="O138" s="256">
        <v>30.9</v>
      </c>
      <c r="P138" s="256">
        <v>7.27</v>
      </c>
      <c r="Q138" s="256"/>
      <c r="R138" s="256"/>
      <c r="S138" s="293">
        <v>46143</v>
      </c>
      <c r="T138" s="294">
        <v>5.8400000000000001E-2</v>
      </c>
      <c r="U138" s="256">
        <v>32.71</v>
      </c>
      <c r="V138" s="256">
        <v>7.82</v>
      </c>
      <c r="W138" s="256"/>
      <c r="X138" s="256"/>
      <c r="Y138" s="293">
        <v>46508</v>
      </c>
      <c r="Z138" s="294">
        <v>5.8400000000000001E-2</v>
      </c>
      <c r="AA138" s="256">
        <v>34.619999999999997</v>
      </c>
      <c r="AB138" s="256">
        <v>8.7100000000000009</v>
      </c>
      <c r="AC138" s="256"/>
      <c r="AD138" s="256"/>
      <c r="AE138" s="293">
        <v>46874</v>
      </c>
      <c r="AF138" s="294">
        <v>5.8400000000000001E-2</v>
      </c>
      <c r="AG138" s="256">
        <v>36.64</v>
      </c>
      <c r="AH138" s="256">
        <v>10.17</v>
      </c>
      <c r="AI138" s="256"/>
      <c r="AJ138" s="257"/>
      <c r="AK138" s="296">
        <f>'Encargos e Benefícios'!D137</f>
        <v>1900</v>
      </c>
      <c r="AL138" s="296">
        <f>IF('Encargos e Benefícios'!C137=0,0,'Encargos e Benefícios'!U137/'Encargos e Benefícios'!C137)</f>
        <v>2544.7966666666666</v>
      </c>
      <c r="AM138" s="296">
        <f>IF('Encargos e Benefícios'!C137=0,0,'Encargos e Benefícios'!AC137/'Encargos e Benefícios'!C137)</f>
        <v>446.88</v>
      </c>
      <c r="AN138" s="297">
        <f>IF('Encargos e Benefícios'!C137=0,0,'Encargos e Benefícios'!AD137/'Encargos e Benefícios'!C137)</f>
        <v>4891.6766666666672</v>
      </c>
      <c r="AO138" s="188">
        <v>2752.21</v>
      </c>
      <c r="AP138" s="298">
        <v>1764.5</v>
      </c>
      <c r="AQ138" s="298">
        <v>3739.92</v>
      </c>
      <c r="AR138" s="299" t="s">
        <v>110</v>
      </c>
      <c r="AS138" s="188"/>
    </row>
    <row r="139" spans="1:45">
      <c r="A139" s="286">
        <v>133</v>
      </c>
      <c r="B139" s="81" t="str">
        <f>'Encargos e Benefícios'!B138</f>
        <v>Socioeducador - D</v>
      </c>
      <c r="C139" s="287">
        <f>'Encargos e Benefícios'!C138</f>
        <v>12</v>
      </c>
      <c r="D139" s="288" t="s">
        <v>504</v>
      </c>
      <c r="E139" s="300">
        <v>45261</v>
      </c>
      <c r="F139" s="301">
        <v>47058</v>
      </c>
      <c r="G139" s="293">
        <v>45413</v>
      </c>
      <c r="H139" s="294">
        <v>5.8400000000000001E-2</v>
      </c>
      <c r="I139" s="256">
        <v>29.2</v>
      </c>
      <c r="J139" s="256">
        <v>6.87</v>
      </c>
      <c r="K139" s="256"/>
      <c r="L139" s="256"/>
      <c r="M139" s="293">
        <v>45778</v>
      </c>
      <c r="N139" s="294">
        <v>5.8400000000000001E-2</v>
      </c>
      <c r="O139" s="256">
        <v>30.9</v>
      </c>
      <c r="P139" s="256">
        <v>7.27</v>
      </c>
      <c r="Q139" s="256"/>
      <c r="R139" s="256"/>
      <c r="S139" s="293">
        <v>46143</v>
      </c>
      <c r="T139" s="294">
        <v>5.8400000000000001E-2</v>
      </c>
      <c r="U139" s="256">
        <v>32.71</v>
      </c>
      <c r="V139" s="256">
        <v>7.82</v>
      </c>
      <c r="W139" s="256"/>
      <c r="X139" s="256"/>
      <c r="Y139" s="293">
        <v>46508</v>
      </c>
      <c r="Z139" s="294">
        <v>5.8400000000000001E-2</v>
      </c>
      <c r="AA139" s="256">
        <v>34.619999999999997</v>
      </c>
      <c r="AB139" s="256">
        <v>8.7100000000000009</v>
      </c>
      <c r="AC139" s="256"/>
      <c r="AD139" s="256"/>
      <c r="AE139" s="293">
        <v>46874</v>
      </c>
      <c r="AF139" s="294">
        <v>5.8400000000000001E-2</v>
      </c>
      <c r="AG139" s="256">
        <v>36.64</v>
      </c>
      <c r="AH139" s="256">
        <v>10.17</v>
      </c>
      <c r="AI139" s="256"/>
      <c r="AJ139" s="257"/>
      <c r="AK139" s="296">
        <f>'Encargos e Benefícios'!D138</f>
        <v>1900</v>
      </c>
      <c r="AL139" s="296">
        <f>IF('Encargos e Benefícios'!C138=0,0,'Encargos e Benefícios'!U138/'Encargos e Benefícios'!C138)</f>
        <v>2281.7944444444447</v>
      </c>
      <c r="AM139" s="296">
        <f>IF('Encargos e Benefícios'!C138=0,0,'Encargos e Benefícios'!AC138/'Encargos e Benefícios'!C138)</f>
        <v>74.48</v>
      </c>
      <c r="AN139" s="297">
        <f>IF('Encargos e Benefícios'!C138=0,0,'Encargos e Benefícios'!AD138/'Encargos e Benefícios'!C138)</f>
        <v>4256.2744444444452</v>
      </c>
      <c r="AO139" s="188">
        <v>2752.21</v>
      </c>
      <c r="AP139" s="298">
        <v>1764.5</v>
      </c>
      <c r="AQ139" s="298">
        <v>3739.92</v>
      </c>
      <c r="AR139" s="299" t="s">
        <v>110</v>
      </c>
      <c r="AS139" s="188"/>
    </row>
    <row r="140" spans="1:45">
      <c r="A140" s="286">
        <v>134</v>
      </c>
      <c r="B140" s="81" t="str">
        <f>'Encargos e Benefícios'!B139</f>
        <v>Socioeducador - NC</v>
      </c>
      <c r="C140" s="287">
        <f>'Encargos e Benefícios'!C139</f>
        <v>2</v>
      </c>
      <c r="D140" s="288" t="s">
        <v>504</v>
      </c>
      <c r="E140" s="300">
        <v>45261</v>
      </c>
      <c r="F140" s="301">
        <v>47058</v>
      </c>
      <c r="G140" s="293">
        <v>45413</v>
      </c>
      <c r="H140" s="294">
        <v>5.8400000000000001E-2</v>
      </c>
      <c r="I140" s="256">
        <v>29.2</v>
      </c>
      <c r="J140" s="256">
        <v>6.87</v>
      </c>
      <c r="K140" s="256"/>
      <c r="L140" s="256"/>
      <c r="M140" s="293">
        <v>45778</v>
      </c>
      <c r="N140" s="294">
        <v>5.8400000000000001E-2</v>
      </c>
      <c r="O140" s="256">
        <v>30.9</v>
      </c>
      <c r="P140" s="256">
        <v>7.27</v>
      </c>
      <c r="Q140" s="256"/>
      <c r="R140" s="256"/>
      <c r="S140" s="293">
        <v>46143</v>
      </c>
      <c r="T140" s="294">
        <v>5.8400000000000001E-2</v>
      </c>
      <c r="U140" s="256">
        <v>32.71</v>
      </c>
      <c r="V140" s="256">
        <v>7.82</v>
      </c>
      <c r="W140" s="256"/>
      <c r="X140" s="256"/>
      <c r="Y140" s="293">
        <v>46508</v>
      </c>
      <c r="Z140" s="294">
        <v>5.8400000000000001E-2</v>
      </c>
      <c r="AA140" s="256">
        <v>34.619999999999997</v>
      </c>
      <c r="AB140" s="256">
        <v>8.7100000000000009</v>
      </c>
      <c r="AC140" s="256"/>
      <c r="AD140" s="256"/>
      <c r="AE140" s="293">
        <v>46874</v>
      </c>
      <c r="AF140" s="294">
        <v>5.8400000000000001E-2</v>
      </c>
      <c r="AG140" s="256">
        <v>36.64</v>
      </c>
      <c r="AH140" s="256">
        <v>10.17</v>
      </c>
      <c r="AI140" s="256"/>
      <c r="AJ140" s="257"/>
      <c r="AK140" s="296">
        <f>'Encargos e Benefícios'!D139</f>
        <v>1900</v>
      </c>
      <c r="AL140" s="296">
        <f>IF('Encargos e Benefícios'!C139=0,0,'Encargos e Benefícios'!U139/'Encargos e Benefícios'!C139)</f>
        <v>3013.1818518518517</v>
      </c>
      <c r="AM140" s="296">
        <f>IF('Encargos e Benefícios'!C139=0,0,'Encargos e Benefícios'!AC139/'Encargos e Benefícios'!C139)</f>
        <v>446.88</v>
      </c>
      <c r="AN140" s="297">
        <f>IF('Encargos e Benefícios'!C139=0,0,'Encargos e Benefícios'!AD139/'Encargos e Benefícios'!C139)</f>
        <v>5360.0618518518522</v>
      </c>
      <c r="AO140" s="188">
        <v>2752.21</v>
      </c>
      <c r="AP140" s="298">
        <v>1764.5</v>
      </c>
      <c r="AQ140" s="298">
        <v>3739.92</v>
      </c>
      <c r="AR140" s="299" t="s">
        <v>110</v>
      </c>
      <c r="AS140" s="188"/>
    </row>
    <row r="141" spans="1:45" ht="13.5" thickBot="1">
      <c r="A141" s="286">
        <v>135</v>
      </c>
      <c r="B141" s="81" t="str">
        <f>'Encargos e Benefícios'!B140</f>
        <v>Socioeducador - N</v>
      </c>
      <c r="C141" s="287">
        <f>'Encargos e Benefícios'!C140</f>
        <v>6</v>
      </c>
      <c r="D141" s="288" t="s">
        <v>504</v>
      </c>
      <c r="E141" s="300">
        <v>45261</v>
      </c>
      <c r="F141" s="301">
        <v>47058</v>
      </c>
      <c r="G141" s="293">
        <v>45413</v>
      </c>
      <c r="H141" s="294">
        <v>5.8400000000000001E-2</v>
      </c>
      <c r="I141" s="256">
        <v>29.2</v>
      </c>
      <c r="J141" s="256">
        <v>6.87</v>
      </c>
      <c r="K141" s="256"/>
      <c r="L141" s="256"/>
      <c r="M141" s="293">
        <v>45778</v>
      </c>
      <c r="N141" s="294">
        <v>5.8400000000000001E-2</v>
      </c>
      <c r="O141" s="256">
        <v>30.9</v>
      </c>
      <c r="P141" s="256">
        <v>7.27</v>
      </c>
      <c r="Q141" s="256"/>
      <c r="R141" s="256"/>
      <c r="S141" s="293">
        <v>46143</v>
      </c>
      <c r="T141" s="294">
        <v>5.8400000000000001E-2</v>
      </c>
      <c r="U141" s="256">
        <v>32.71</v>
      </c>
      <c r="V141" s="256">
        <v>7.82</v>
      </c>
      <c r="W141" s="256"/>
      <c r="X141" s="256"/>
      <c r="Y141" s="293">
        <v>46508</v>
      </c>
      <c r="Z141" s="294">
        <v>5.8400000000000001E-2</v>
      </c>
      <c r="AA141" s="256">
        <v>34.619999999999997</v>
      </c>
      <c r="AB141" s="256">
        <v>8.7100000000000009</v>
      </c>
      <c r="AC141" s="256"/>
      <c r="AD141" s="256"/>
      <c r="AE141" s="293">
        <v>46874</v>
      </c>
      <c r="AF141" s="294">
        <v>5.8400000000000001E-2</v>
      </c>
      <c r="AG141" s="256">
        <v>36.64</v>
      </c>
      <c r="AH141" s="256">
        <v>10.17</v>
      </c>
      <c r="AI141" s="256"/>
      <c r="AJ141" s="257"/>
      <c r="AK141" s="296">
        <f>'Encargos e Benefícios'!D140</f>
        <v>1900</v>
      </c>
      <c r="AL141" s="296">
        <f>IF('Encargos e Benefícios'!C140=0,0,'Encargos e Benefícios'!U140/'Encargos e Benefícios'!C140)</f>
        <v>2750.1796296296302</v>
      </c>
      <c r="AM141" s="296">
        <f>IF('Encargos e Benefícios'!C140=0,0,'Encargos e Benefícios'!AC140/'Encargos e Benefícios'!C140)</f>
        <v>148.96</v>
      </c>
      <c r="AN141" s="297">
        <f>IF('Encargos e Benefícios'!C140=0,0,'Encargos e Benefícios'!AD140/'Encargos e Benefícios'!C140)</f>
        <v>4799.1396296296298</v>
      </c>
      <c r="AO141" s="188">
        <v>2752.21</v>
      </c>
      <c r="AP141" s="298">
        <v>1764.5</v>
      </c>
      <c r="AQ141" s="298">
        <v>3739.92</v>
      </c>
      <c r="AR141" s="299" t="s">
        <v>110</v>
      </c>
      <c r="AS141" s="188"/>
    </row>
    <row r="142" spans="1:45">
      <c r="A142" s="286">
        <v>136</v>
      </c>
      <c r="B142" s="81" t="str">
        <f>'Encargos e Benefícios'!B141</f>
        <v>Diretor Geral de Unidade Socioeducativa</v>
      </c>
      <c r="C142" s="287">
        <f>'Encargos e Benefícios'!C141</f>
        <v>1</v>
      </c>
      <c r="D142" s="288">
        <v>40</v>
      </c>
      <c r="E142" s="289">
        <v>45261</v>
      </c>
      <c r="F142" s="290">
        <v>47058</v>
      </c>
      <c r="G142" s="293">
        <v>45413</v>
      </c>
      <c r="H142" s="294">
        <v>5.8400000000000001E-2</v>
      </c>
      <c r="I142" s="256">
        <v>29.2</v>
      </c>
      <c r="J142" s="256">
        <v>6.87</v>
      </c>
      <c r="K142" s="256"/>
      <c r="L142" s="256"/>
      <c r="M142" s="293">
        <v>45778</v>
      </c>
      <c r="N142" s="294">
        <v>5.8400000000000001E-2</v>
      </c>
      <c r="O142" s="256">
        <v>30.9</v>
      </c>
      <c r="P142" s="256">
        <v>7.27</v>
      </c>
      <c r="Q142" s="256"/>
      <c r="R142" s="256"/>
      <c r="S142" s="293">
        <v>46143</v>
      </c>
      <c r="T142" s="294">
        <v>5.8400000000000001E-2</v>
      </c>
      <c r="U142" s="256">
        <v>32.71</v>
      </c>
      <c r="V142" s="256">
        <v>7.82</v>
      </c>
      <c r="W142" s="256"/>
      <c r="X142" s="256"/>
      <c r="Y142" s="293">
        <v>46508</v>
      </c>
      <c r="Z142" s="294">
        <v>5.8400000000000001E-2</v>
      </c>
      <c r="AA142" s="256">
        <v>34.619999999999997</v>
      </c>
      <c r="AB142" s="256">
        <v>8.7100000000000009</v>
      </c>
      <c r="AC142" s="256"/>
      <c r="AD142" s="256"/>
      <c r="AE142" s="293">
        <v>46874</v>
      </c>
      <c r="AF142" s="294">
        <v>5.8400000000000001E-2</v>
      </c>
      <c r="AG142" s="256">
        <v>36.64</v>
      </c>
      <c r="AH142" s="256">
        <v>10.17</v>
      </c>
      <c r="AI142" s="256"/>
      <c r="AJ142" s="257"/>
      <c r="AK142" s="296">
        <f>'Encargos e Benefícios'!D141</f>
        <v>6500</v>
      </c>
      <c r="AL142" s="296">
        <f>IF('Encargos e Benefícios'!C141=0,0,'Encargos e Benefícios'!U141/'Encargos e Benefícios'!C141)</f>
        <v>5194.2222222222235</v>
      </c>
      <c r="AM142" s="296">
        <f>IF('Encargos e Benefícios'!C141=0,0,'Encargos e Benefícios'!AC141/'Encargos e Benefícios'!C141)</f>
        <v>817.61999999999989</v>
      </c>
      <c r="AN142" s="297">
        <f>IF('Encargos e Benefícios'!C141=0,0,'Encargos e Benefícios'!AD141/'Encargos e Benefícios'!C141)</f>
        <v>12511.842222222222</v>
      </c>
      <c r="AO142" s="188">
        <v>6052.24</v>
      </c>
      <c r="AP142" s="298">
        <v>4239.6899999999996</v>
      </c>
      <c r="AQ142" s="298">
        <v>7864.78</v>
      </c>
      <c r="AR142" s="299" t="s">
        <v>111</v>
      </c>
      <c r="AS142" s="188"/>
    </row>
    <row r="143" spans="1:45">
      <c r="A143" s="286">
        <v>137</v>
      </c>
      <c r="B143" s="81" t="str">
        <f>'Encargos e Benefícios'!B142</f>
        <v>Subdiretor de Segurança</v>
      </c>
      <c r="C143" s="287">
        <f>'Encargos e Benefícios'!C142</f>
        <v>1</v>
      </c>
      <c r="D143" s="288">
        <v>40</v>
      </c>
      <c r="E143" s="300">
        <v>45261</v>
      </c>
      <c r="F143" s="301">
        <v>47058</v>
      </c>
      <c r="G143" s="293">
        <v>45413</v>
      </c>
      <c r="H143" s="294">
        <v>5.8400000000000001E-2</v>
      </c>
      <c r="I143" s="256">
        <v>29.2</v>
      </c>
      <c r="J143" s="256">
        <v>6.87</v>
      </c>
      <c r="K143" s="256"/>
      <c r="L143" s="256"/>
      <c r="M143" s="293">
        <v>45778</v>
      </c>
      <c r="N143" s="294">
        <v>5.8400000000000001E-2</v>
      </c>
      <c r="O143" s="256">
        <v>30.9</v>
      </c>
      <c r="P143" s="256">
        <v>7.27</v>
      </c>
      <c r="Q143" s="256"/>
      <c r="R143" s="256"/>
      <c r="S143" s="293">
        <v>46143</v>
      </c>
      <c r="T143" s="294">
        <v>5.8400000000000001E-2</v>
      </c>
      <c r="U143" s="256">
        <v>32.71</v>
      </c>
      <c r="V143" s="256">
        <v>7.82</v>
      </c>
      <c r="W143" s="256"/>
      <c r="X143" s="256"/>
      <c r="Y143" s="293">
        <v>46508</v>
      </c>
      <c r="Z143" s="294">
        <v>5.8400000000000001E-2</v>
      </c>
      <c r="AA143" s="256">
        <v>34.619999999999997</v>
      </c>
      <c r="AB143" s="256">
        <v>8.7100000000000009</v>
      </c>
      <c r="AC143" s="256"/>
      <c r="AD143" s="256"/>
      <c r="AE143" s="293">
        <v>46874</v>
      </c>
      <c r="AF143" s="294">
        <v>5.8400000000000001E-2</v>
      </c>
      <c r="AG143" s="256">
        <v>36.64</v>
      </c>
      <c r="AH143" s="256">
        <v>10.17</v>
      </c>
      <c r="AI143" s="256"/>
      <c r="AJ143" s="257"/>
      <c r="AK143" s="296">
        <f>'Encargos e Benefícios'!D142</f>
        <v>3773.6</v>
      </c>
      <c r="AL143" s="296">
        <f>IF('Encargos e Benefícios'!C142=0,0,'Encargos e Benefícios'!U142/'Encargos e Benefícios'!C142)</f>
        <v>4147.6056888888888</v>
      </c>
      <c r="AM143" s="296">
        <f>IF('Encargos e Benefícios'!C142=0,0,'Encargos e Benefícios'!AC142/'Encargos e Benefícios'!C142)</f>
        <v>817.61999999999989</v>
      </c>
      <c r="AN143" s="297">
        <f>IF('Encargos e Benefícios'!C142=0,0,'Encargos e Benefícios'!AD142/'Encargos e Benefícios'!C142)</f>
        <v>8738.82568888889</v>
      </c>
      <c r="AO143" s="188">
        <v>4968.99</v>
      </c>
      <c r="AP143" s="298">
        <v>3773.6</v>
      </c>
      <c r="AQ143" s="298">
        <v>6164.38</v>
      </c>
      <c r="AR143" s="299" t="s">
        <v>111</v>
      </c>
      <c r="AS143" s="188"/>
    </row>
    <row r="144" spans="1:45">
      <c r="A144" s="286">
        <v>138</v>
      </c>
      <c r="B144" s="81" t="str">
        <f>'Encargos e Benefícios'!B143</f>
        <v>Advogado</v>
      </c>
      <c r="C144" s="287">
        <f>'Encargos e Benefícios'!C143</f>
        <v>1</v>
      </c>
      <c r="D144" s="288">
        <v>30</v>
      </c>
      <c r="E144" s="300">
        <v>45261</v>
      </c>
      <c r="F144" s="301">
        <v>47058</v>
      </c>
      <c r="G144" s="293">
        <v>45413</v>
      </c>
      <c r="H144" s="294">
        <v>5.8400000000000001E-2</v>
      </c>
      <c r="I144" s="256">
        <v>29.2</v>
      </c>
      <c r="J144" s="256">
        <v>6.87</v>
      </c>
      <c r="K144" s="256"/>
      <c r="L144" s="256"/>
      <c r="M144" s="293">
        <v>45778</v>
      </c>
      <c r="N144" s="294">
        <v>5.8400000000000001E-2</v>
      </c>
      <c r="O144" s="256">
        <v>30.9</v>
      </c>
      <c r="P144" s="256">
        <v>7.27</v>
      </c>
      <c r="Q144" s="256"/>
      <c r="R144" s="256"/>
      <c r="S144" s="293">
        <v>46143</v>
      </c>
      <c r="T144" s="294">
        <v>5.8400000000000001E-2</v>
      </c>
      <c r="U144" s="256">
        <v>32.71</v>
      </c>
      <c r="V144" s="256">
        <v>7.82</v>
      </c>
      <c r="W144" s="256"/>
      <c r="X144" s="256"/>
      <c r="Y144" s="293">
        <v>46508</v>
      </c>
      <c r="Z144" s="294">
        <v>5.8400000000000001E-2</v>
      </c>
      <c r="AA144" s="256">
        <v>34.619999999999997</v>
      </c>
      <c r="AB144" s="256">
        <v>8.7100000000000009</v>
      </c>
      <c r="AC144" s="256"/>
      <c r="AD144" s="256"/>
      <c r="AE144" s="293">
        <v>46874</v>
      </c>
      <c r="AF144" s="294">
        <v>5.8400000000000001E-2</v>
      </c>
      <c r="AG144" s="256">
        <v>36.64</v>
      </c>
      <c r="AH144" s="256">
        <v>10.17</v>
      </c>
      <c r="AI144" s="256"/>
      <c r="AJ144" s="257"/>
      <c r="AK144" s="296">
        <f>'Encargos e Benefícios'!D143</f>
        <v>2600</v>
      </c>
      <c r="AL144" s="296">
        <f>IF('Encargos e Benefícios'!C143=0,0,'Encargos e Benefícios'!U143/'Encargos e Benefícios'!C143)</f>
        <v>2114.088888888889</v>
      </c>
      <c r="AM144" s="296">
        <f>IF('Encargos e Benefícios'!C143=0,0,'Encargos e Benefícios'!AC143/'Encargos e Benefícios'!C143)</f>
        <v>929.29</v>
      </c>
      <c r="AN144" s="297">
        <f>IF('Encargos e Benefícios'!C143=0,0,'Encargos e Benefícios'!AD143/'Encargos e Benefícios'!C143)</f>
        <v>5643.3788888888894</v>
      </c>
      <c r="AO144" s="188">
        <v>2767.69</v>
      </c>
      <c r="AP144" s="298">
        <v>2500</v>
      </c>
      <c r="AQ144" s="298">
        <v>3035.37</v>
      </c>
      <c r="AR144" s="299" t="s">
        <v>111</v>
      </c>
      <c r="AS144" s="188"/>
    </row>
    <row r="145" spans="1:45">
      <c r="A145" s="286">
        <v>139</v>
      </c>
      <c r="B145" s="81" t="str">
        <f>'Encargos e Benefícios'!B144</f>
        <v>Assistente Social</v>
      </c>
      <c r="C145" s="287">
        <f>'Encargos e Benefícios'!C144</f>
        <v>1</v>
      </c>
      <c r="D145" s="288">
        <v>30</v>
      </c>
      <c r="E145" s="300">
        <v>45261</v>
      </c>
      <c r="F145" s="301">
        <v>47058</v>
      </c>
      <c r="G145" s="293">
        <v>45413</v>
      </c>
      <c r="H145" s="294">
        <v>5.8400000000000001E-2</v>
      </c>
      <c r="I145" s="256">
        <v>29.2</v>
      </c>
      <c r="J145" s="256">
        <v>6.87</v>
      </c>
      <c r="K145" s="256"/>
      <c r="L145" s="256"/>
      <c r="M145" s="293">
        <v>45778</v>
      </c>
      <c r="N145" s="294">
        <v>5.8400000000000001E-2</v>
      </c>
      <c r="O145" s="256">
        <v>30.9</v>
      </c>
      <c r="P145" s="256">
        <v>7.27</v>
      </c>
      <c r="Q145" s="256"/>
      <c r="R145" s="256"/>
      <c r="S145" s="293">
        <v>46143</v>
      </c>
      <c r="T145" s="294">
        <v>5.8400000000000001E-2</v>
      </c>
      <c r="U145" s="256">
        <v>32.71</v>
      </c>
      <c r="V145" s="256">
        <v>7.82</v>
      </c>
      <c r="W145" s="256"/>
      <c r="X145" s="256"/>
      <c r="Y145" s="293">
        <v>46508</v>
      </c>
      <c r="Z145" s="294">
        <v>5.8400000000000001E-2</v>
      </c>
      <c r="AA145" s="256">
        <v>34.619999999999997</v>
      </c>
      <c r="AB145" s="256">
        <v>8.7100000000000009</v>
      </c>
      <c r="AC145" s="256"/>
      <c r="AD145" s="256"/>
      <c r="AE145" s="293">
        <v>46874</v>
      </c>
      <c r="AF145" s="294">
        <v>5.8400000000000001E-2</v>
      </c>
      <c r="AG145" s="256">
        <v>36.64</v>
      </c>
      <c r="AH145" s="256">
        <v>10.17</v>
      </c>
      <c r="AI145" s="256"/>
      <c r="AJ145" s="257"/>
      <c r="AK145" s="296">
        <f>'Encargos e Benefícios'!D144</f>
        <v>2600</v>
      </c>
      <c r="AL145" s="296">
        <f>IF('Encargos e Benefícios'!C144=0,0,'Encargos e Benefícios'!U144/'Encargos e Benefícios'!C144)</f>
        <v>2114.088888888889</v>
      </c>
      <c r="AM145" s="296">
        <f>IF('Encargos e Benefícios'!C144=0,0,'Encargos e Benefícios'!AC144/'Encargos e Benefícios'!C144)</f>
        <v>929.29</v>
      </c>
      <c r="AN145" s="297">
        <f>IF('Encargos e Benefícios'!C144=0,0,'Encargos e Benefícios'!AD144/'Encargos e Benefícios'!C144)</f>
        <v>5643.3788888888894</v>
      </c>
      <c r="AO145" s="188">
        <v>3277.91</v>
      </c>
      <c r="AP145" s="298">
        <v>2500</v>
      </c>
      <c r="AQ145" s="298">
        <v>4055.81</v>
      </c>
      <c r="AR145" s="299" t="s">
        <v>111</v>
      </c>
      <c r="AS145" s="188"/>
    </row>
    <row r="146" spans="1:45">
      <c r="A146" s="286">
        <v>140</v>
      </c>
      <c r="B146" s="81" t="str">
        <f>'Encargos e Benefícios'!B145</f>
        <v>Pedagogo</v>
      </c>
      <c r="C146" s="287">
        <f>'Encargos e Benefícios'!C145</f>
        <v>1</v>
      </c>
      <c r="D146" s="288">
        <v>30</v>
      </c>
      <c r="E146" s="300">
        <v>45261</v>
      </c>
      <c r="F146" s="301">
        <v>47058</v>
      </c>
      <c r="G146" s="293">
        <v>45413</v>
      </c>
      <c r="H146" s="294">
        <v>5.8400000000000001E-2</v>
      </c>
      <c r="I146" s="256">
        <v>29.2</v>
      </c>
      <c r="J146" s="256">
        <v>6.87</v>
      </c>
      <c r="K146" s="256"/>
      <c r="L146" s="256"/>
      <c r="M146" s="293">
        <v>45778</v>
      </c>
      <c r="N146" s="294">
        <v>5.8400000000000001E-2</v>
      </c>
      <c r="O146" s="256">
        <v>30.9</v>
      </c>
      <c r="P146" s="256">
        <v>7.27</v>
      </c>
      <c r="Q146" s="256"/>
      <c r="R146" s="256"/>
      <c r="S146" s="293">
        <v>46143</v>
      </c>
      <c r="T146" s="294">
        <v>5.8400000000000001E-2</v>
      </c>
      <c r="U146" s="256">
        <v>32.71</v>
      </c>
      <c r="V146" s="256">
        <v>7.82</v>
      </c>
      <c r="W146" s="256"/>
      <c r="X146" s="256"/>
      <c r="Y146" s="293">
        <v>46508</v>
      </c>
      <c r="Z146" s="294">
        <v>5.8400000000000001E-2</v>
      </c>
      <c r="AA146" s="256">
        <v>34.619999999999997</v>
      </c>
      <c r="AB146" s="256">
        <v>8.7100000000000009</v>
      </c>
      <c r="AC146" s="256"/>
      <c r="AD146" s="256"/>
      <c r="AE146" s="293">
        <v>46874</v>
      </c>
      <c r="AF146" s="294">
        <v>5.8400000000000001E-2</v>
      </c>
      <c r="AG146" s="256">
        <v>36.64</v>
      </c>
      <c r="AH146" s="256">
        <v>10.17</v>
      </c>
      <c r="AI146" s="256"/>
      <c r="AJ146" s="257"/>
      <c r="AK146" s="296">
        <f>'Encargos e Benefícios'!D145</f>
        <v>2600</v>
      </c>
      <c r="AL146" s="296">
        <f>IF('Encargos e Benefícios'!C145=0,0,'Encargos e Benefícios'!U145/'Encargos e Benefícios'!C145)</f>
        <v>2114.088888888889</v>
      </c>
      <c r="AM146" s="296">
        <f>IF('Encargos e Benefícios'!C145=0,0,'Encargos e Benefícios'!AC145/'Encargos e Benefícios'!C145)</f>
        <v>929.29</v>
      </c>
      <c r="AN146" s="297">
        <f>IF('Encargos e Benefícios'!C145=0,0,'Encargos e Benefícios'!AD145/'Encargos e Benefícios'!C145)</f>
        <v>5643.3788888888894</v>
      </c>
      <c r="AO146" s="188">
        <v>2894.94</v>
      </c>
      <c r="AP146" s="298">
        <v>2489.87</v>
      </c>
      <c r="AQ146" s="298">
        <v>3300</v>
      </c>
      <c r="AR146" s="299" t="s">
        <v>111</v>
      </c>
      <c r="AS146" s="188"/>
    </row>
    <row r="147" spans="1:45">
      <c r="A147" s="286">
        <v>141</v>
      </c>
      <c r="B147" s="81" t="str">
        <f>'Encargos e Benefícios'!B146</f>
        <v>Psicologo</v>
      </c>
      <c r="C147" s="287">
        <f>'Encargos e Benefícios'!C146</f>
        <v>1</v>
      </c>
      <c r="D147" s="288">
        <v>30</v>
      </c>
      <c r="E147" s="300">
        <v>45261</v>
      </c>
      <c r="F147" s="301">
        <v>47058</v>
      </c>
      <c r="G147" s="293">
        <v>45413</v>
      </c>
      <c r="H147" s="294">
        <v>5.8400000000000001E-2</v>
      </c>
      <c r="I147" s="256">
        <v>29.2</v>
      </c>
      <c r="J147" s="256">
        <v>6.87</v>
      </c>
      <c r="K147" s="256"/>
      <c r="L147" s="256"/>
      <c r="M147" s="293">
        <v>45778</v>
      </c>
      <c r="N147" s="294">
        <v>5.8400000000000001E-2</v>
      </c>
      <c r="O147" s="256">
        <v>30.9</v>
      </c>
      <c r="P147" s="256">
        <v>7.27</v>
      </c>
      <c r="Q147" s="256"/>
      <c r="R147" s="256"/>
      <c r="S147" s="293">
        <v>46143</v>
      </c>
      <c r="T147" s="294">
        <v>5.8400000000000001E-2</v>
      </c>
      <c r="U147" s="256">
        <v>32.71</v>
      </c>
      <c r="V147" s="256">
        <v>7.82</v>
      </c>
      <c r="W147" s="256"/>
      <c r="X147" s="256"/>
      <c r="Y147" s="293">
        <v>46508</v>
      </c>
      <c r="Z147" s="294">
        <v>5.8400000000000001E-2</v>
      </c>
      <c r="AA147" s="256">
        <v>34.619999999999997</v>
      </c>
      <c r="AB147" s="256">
        <v>8.7100000000000009</v>
      </c>
      <c r="AC147" s="256"/>
      <c r="AD147" s="256"/>
      <c r="AE147" s="293">
        <v>46874</v>
      </c>
      <c r="AF147" s="294">
        <v>5.8400000000000001E-2</v>
      </c>
      <c r="AG147" s="256">
        <v>36.64</v>
      </c>
      <c r="AH147" s="256">
        <v>10.17</v>
      </c>
      <c r="AI147" s="256"/>
      <c r="AJ147" s="257"/>
      <c r="AK147" s="296">
        <f>'Encargos e Benefícios'!D146</f>
        <v>2600</v>
      </c>
      <c r="AL147" s="296">
        <f>IF('Encargos e Benefícios'!C146=0,0,'Encargos e Benefícios'!U146/'Encargos e Benefícios'!C146)</f>
        <v>2114.088888888889</v>
      </c>
      <c r="AM147" s="296">
        <f>IF('Encargos e Benefícios'!C146=0,0,'Encargos e Benefícios'!AC146/'Encargos e Benefícios'!C146)</f>
        <v>929.29</v>
      </c>
      <c r="AN147" s="297">
        <f>IF('Encargos e Benefícios'!C146=0,0,'Encargos e Benefícios'!AD146/'Encargos e Benefícios'!C146)</f>
        <v>5643.3788888888894</v>
      </c>
      <c r="AO147" s="188">
        <v>3953.69</v>
      </c>
      <c r="AP147" s="298">
        <v>2500</v>
      </c>
      <c r="AQ147" s="298">
        <v>5407.37</v>
      </c>
      <c r="AR147" s="299" t="s">
        <v>111</v>
      </c>
      <c r="AS147" s="188"/>
    </row>
    <row r="148" spans="1:45">
      <c r="A148" s="286">
        <v>142</v>
      </c>
      <c r="B148" s="81" t="str">
        <f>'Encargos e Benefícios'!B147</f>
        <v>Terapeuta Ocupacional</v>
      </c>
      <c r="C148" s="287">
        <f>'Encargos e Benefícios'!C147</f>
        <v>1</v>
      </c>
      <c r="D148" s="288">
        <v>30</v>
      </c>
      <c r="E148" s="300">
        <v>45261</v>
      </c>
      <c r="F148" s="301">
        <v>47058</v>
      </c>
      <c r="G148" s="293">
        <v>45413</v>
      </c>
      <c r="H148" s="294">
        <v>5.8400000000000001E-2</v>
      </c>
      <c r="I148" s="256">
        <v>29.2</v>
      </c>
      <c r="J148" s="256">
        <v>6.87</v>
      </c>
      <c r="K148" s="256"/>
      <c r="L148" s="256"/>
      <c r="M148" s="293">
        <v>45778</v>
      </c>
      <c r="N148" s="294">
        <v>5.8400000000000001E-2</v>
      </c>
      <c r="O148" s="256">
        <v>30.9</v>
      </c>
      <c r="P148" s="256">
        <v>7.27</v>
      </c>
      <c r="Q148" s="256"/>
      <c r="R148" s="256"/>
      <c r="S148" s="293">
        <v>46143</v>
      </c>
      <c r="T148" s="294">
        <v>5.8400000000000001E-2</v>
      </c>
      <c r="U148" s="256">
        <v>32.71</v>
      </c>
      <c r="V148" s="256">
        <v>7.82</v>
      </c>
      <c r="W148" s="256"/>
      <c r="X148" s="256"/>
      <c r="Y148" s="293">
        <v>46508</v>
      </c>
      <c r="Z148" s="294">
        <v>5.8400000000000001E-2</v>
      </c>
      <c r="AA148" s="256">
        <v>34.619999999999997</v>
      </c>
      <c r="AB148" s="256">
        <v>8.7100000000000009</v>
      </c>
      <c r="AC148" s="256"/>
      <c r="AD148" s="256"/>
      <c r="AE148" s="293">
        <v>46874</v>
      </c>
      <c r="AF148" s="294">
        <v>5.8400000000000001E-2</v>
      </c>
      <c r="AG148" s="256">
        <v>36.64</v>
      </c>
      <c r="AH148" s="256">
        <v>10.17</v>
      </c>
      <c r="AI148" s="256"/>
      <c r="AJ148" s="257"/>
      <c r="AK148" s="296">
        <f>'Encargos e Benefícios'!D147</f>
        <v>2600</v>
      </c>
      <c r="AL148" s="296">
        <f>IF('Encargos e Benefícios'!C147=0,0,'Encargos e Benefícios'!U147/'Encargos e Benefícios'!C147)</f>
        <v>2114.088888888889</v>
      </c>
      <c r="AM148" s="296">
        <f>IF('Encargos e Benefícios'!C147=0,0,'Encargos e Benefícios'!AC147/'Encargos e Benefícios'!C147)</f>
        <v>929.29</v>
      </c>
      <c r="AN148" s="297">
        <f>IF('Encargos e Benefícios'!C147=0,0,'Encargos e Benefícios'!AD147/'Encargos e Benefícios'!C147)</f>
        <v>5643.3788888888894</v>
      </c>
      <c r="AO148" s="188">
        <v>2422.3000000000002</v>
      </c>
      <c r="AP148" s="298">
        <v>1932.61</v>
      </c>
      <c r="AQ148" s="298">
        <v>2911.99</v>
      </c>
      <c r="AR148" s="299" t="s">
        <v>111</v>
      </c>
      <c r="AS148" s="188"/>
    </row>
    <row r="149" spans="1:45">
      <c r="A149" s="286">
        <v>143</v>
      </c>
      <c r="B149" s="81" t="str">
        <f>'Encargos e Benefícios'!B148</f>
        <v>Administrativo</v>
      </c>
      <c r="C149" s="287">
        <f>'Encargos e Benefícios'!C148</f>
        <v>1</v>
      </c>
      <c r="D149" s="288">
        <v>40</v>
      </c>
      <c r="E149" s="300">
        <v>45261</v>
      </c>
      <c r="F149" s="301">
        <v>47058</v>
      </c>
      <c r="G149" s="293">
        <v>45413</v>
      </c>
      <c r="H149" s="294">
        <v>5.8400000000000001E-2</v>
      </c>
      <c r="I149" s="256">
        <v>29.2</v>
      </c>
      <c r="J149" s="256">
        <v>6.87</v>
      </c>
      <c r="K149" s="256"/>
      <c r="L149" s="256"/>
      <c r="M149" s="293">
        <v>45778</v>
      </c>
      <c r="N149" s="294">
        <v>5.8400000000000001E-2</v>
      </c>
      <c r="O149" s="256">
        <v>30.9</v>
      </c>
      <c r="P149" s="256">
        <v>7.27</v>
      </c>
      <c r="Q149" s="256"/>
      <c r="R149" s="256"/>
      <c r="S149" s="293">
        <v>46143</v>
      </c>
      <c r="T149" s="294">
        <v>5.8400000000000001E-2</v>
      </c>
      <c r="U149" s="256">
        <v>32.71</v>
      </c>
      <c r="V149" s="256">
        <v>7.82</v>
      </c>
      <c r="W149" s="256"/>
      <c r="X149" s="256"/>
      <c r="Y149" s="293">
        <v>46508</v>
      </c>
      <c r="Z149" s="294">
        <v>5.8400000000000001E-2</v>
      </c>
      <c r="AA149" s="256">
        <v>34.619999999999997</v>
      </c>
      <c r="AB149" s="256">
        <v>8.7100000000000009</v>
      </c>
      <c r="AC149" s="256"/>
      <c r="AD149" s="256"/>
      <c r="AE149" s="293">
        <v>46874</v>
      </c>
      <c r="AF149" s="294">
        <v>5.8400000000000001E-2</v>
      </c>
      <c r="AG149" s="256">
        <v>36.64</v>
      </c>
      <c r="AH149" s="256">
        <v>10.17</v>
      </c>
      <c r="AI149" s="256"/>
      <c r="AJ149" s="257"/>
      <c r="AK149" s="296">
        <f>'Encargos e Benefícios'!D148</f>
        <v>1750</v>
      </c>
      <c r="AL149" s="296">
        <f>IF('Encargos e Benefícios'!C148=0,0,'Encargos e Benefícios'!U148/'Encargos e Benefícios'!C148)</f>
        <v>1422.9444444444443</v>
      </c>
      <c r="AM149" s="296">
        <f>IF('Encargos e Benefícios'!C148=0,0,'Encargos e Benefícios'!AC148/'Encargos e Benefícios'!C148)</f>
        <v>929.29</v>
      </c>
      <c r="AN149" s="297">
        <f>IF('Encargos e Benefícios'!C148=0,0,'Encargos e Benefícios'!AD148/'Encargos e Benefícios'!C148)</f>
        <v>4102.2344444444443</v>
      </c>
      <c r="AO149" s="188">
        <v>2097.83</v>
      </c>
      <c r="AP149" s="298">
        <v>1500</v>
      </c>
      <c r="AQ149" s="298">
        <v>2695.66</v>
      </c>
      <c r="AR149" s="299" t="s">
        <v>111</v>
      </c>
      <c r="AS149" s="188"/>
    </row>
    <row r="150" spans="1:45">
      <c r="A150" s="286">
        <v>144</v>
      </c>
      <c r="B150" s="81" t="str">
        <f>'Encargos e Benefícios'!B149</f>
        <v>Auxiliar Educacional</v>
      </c>
      <c r="C150" s="287">
        <f>'Encargos e Benefícios'!C149</f>
        <v>1</v>
      </c>
      <c r="D150" s="288">
        <v>30</v>
      </c>
      <c r="E150" s="300">
        <v>45261</v>
      </c>
      <c r="F150" s="301">
        <v>47058</v>
      </c>
      <c r="G150" s="293">
        <v>45413</v>
      </c>
      <c r="H150" s="294">
        <v>5.8400000000000001E-2</v>
      </c>
      <c r="I150" s="256">
        <v>29.2</v>
      </c>
      <c r="J150" s="256">
        <v>6.87</v>
      </c>
      <c r="K150" s="256"/>
      <c r="L150" s="256"/>
      <c r="M150" s="293">
        <v>45778</v>
      </c>
      <c r="N150" s="294">
        <v>5.8400000000000001E-2</v>
      </c>
      <c r="O150" s="256">
        <v>30.9</v>
      </c>
      <c r="P150" s="256">
        <v>7.27</v>
      </c>
      <c r="Q150" s="256"/>
      <c r="R150" s="256"/>
      <c r="S150" s="293">
        <v>46143</v>
      </c>
      <c r="T150" s="294">
        <v>5.8400000000000001E-2</v>
      </c>
      <c r="U150" s="256">
        <v>32.71</v>
      </c>
      <c r="V150" s="256">
        <v>7.82</v>
      </c>
      <c r="W150" s="256"/>
      <c r="X150" s="256"/>
      <c r="Y150" s="293">
        <v>46508</v>
      </c>
      <c r="Z150" s="294">
        <v>5.8400000000000001E-2</v>
      </c>
      <c r="AA150" s="256">
        <v>34.619999999999997</v>
      </c>
      <c r="AB150" s="256">
        <v>8.7100000000000009</v>
      </c>
      <c r="AC150" s="256"/>
      <c r="AD150" s="256"/>
      <c r="AE150" s="293">
        <v>46874</v>
      </c>
      <c r="AF150" s="294">
        <v>5.8400000000000001E-2</v>
      </c>
      <c r="AG150" s="256">
        <v>36.64</v>
      </c>
      <c r="AH150" s="256">
        <v>10.17</v>
      </c>
      <c r="AI150" s="256"/>
      <c r="AJ150" s="257"/>
      <c r="AK150" s="296">
        <f>'Encargos e Benefícios'!D149</f>
        <v>1642</v>
      </c>
      <c r="AL150" s="296">
        <f>IF('Encargos e Benefícios'!C149=0,0,'Encargos e Benefícios'!U149/'Encargos e Benefícios'!C149)</f>
        <v>1335.1284444444443</v>
      </c>
      <c r="AM150" s="296">
        <f>IF('Encargos e Benefícios'!C149=0,0,'Encargos e Benefícios'!AC149/'Encargos e Benefícios'!C149)</f>
        <v>929.29</v>
      </c>
      <c r="AN150" s="297">
        <f>IF('Encargos e Benefícios'!C149=0,0,'Encargos e Benefícios'!AD149/'Encargos e Benefícios'!C149)</f>
        <v>3906.4184444444445</v>
      </c>
      <c r="AO150" s="188">
        <v>1750.23</v>
      </c>
      <c r="AP150" s="298">
        <v>1500</v>
      </c>
      <c r="AQ150" s="298">
        <v>2000.45</v>
      </c>
      <c r="AR150" s="299" t="s">
        <v>111</v>
      </c>
      <c r="AS150" s="188"/>
    </row>
    <row r="151" spans="1:45">
      <c r="A151" s="286">
        <v>145</v>
      </c>
      <c r="B151" s="81" t="str">
        <f>'Encargos e Benefícios'!B150</f>
        <v>Auxiliar de Serviços Gerais</v>
      </c>
      <c r="C151" s="287">
        <f>'Encargos e Benefícios'!C150</f>
        <v>1</v>
      </c>
      <c r="D151" s="288">
        <v>30</v>
      </c>
      <c r="E151" s="300">
        <v>45261</v>
      </c>
      <c r="F151" s="301">
        <v>47058</v>
      </c>
      <c r="G151" s="293">
        <v>45413</v>
      </c>
      <c r="H151" s="294">
        <v>5.8400000000000001E-2</v>
      </c>
      <c r="I151" s="256">
        <v>29.2</v>
      </c>
      <c r="J151" s="256">
        <v>6.87</v>
      </c>
      <c r="K151" s="256"/>
      <c r="L151" s="256"/>
      <c r="M151" s="293">
        <v>45778</v>
      </c>
      <c r="N151" s="294">
        <v>5.8400000000000001E-2</v>
      </c>
      <c r="O151" s="256">
        <v>30.9</v>
      </c>
      <c r="P151" s="256">
        <v>7.27</v>
      </c>
      <c r="Q151" s="256"/>
      <c r="R151" s="256"/>
      <c r="S151" s="293">
        <v>46143</v>
      </c>
      <c r="T151" s="294">
        <v>5.8400000000000001E-2</v>
      </c>
      <c r="U151" s="256">
        <v>32.71</v>
      </c>
      <c r="V151" s="256">
        <v>7.82</v>
      </c>
      <c r="W151" s="256"/>
      <c r="X151" s="256"/>
      <c r="Y151" s="293">
        <v>46508</v>
      </c>
      <c r="Z151" s="294">
        <v>5.8400000000000001E-2</v>
      </c>
      <c r="AA151" s="256">
        <v>34.619999999999997</v>
      </c>
      <c r="AB151" s="256">
        <v>8.7100000000000009</v>
      </c>
      <c r="AC151" s="256"/>
      <c r="AD151" s="256"/>
      <c r="AE151" s="293">
        <v>46874</v>
      </c>
      <c r="AF151" s="294">
        <v>5.8400000000000001E-2</v>
      </c>
      <c r="AG151" s="256">
        <v>36.64</v>
      </c>
      <c r="AH151" s="256">
        <v>10.17</v>
      </c>
      <c r="AI151" s="256"/>
      <c r="AJ151" s="257"/>
      <c r="AK151" s="296">
        <f>'Encargos e Benefícios'!D150</f>
        <v>1385</v>
      </c>
      <c r="AL151" s="296">
        <f>IF('Encargos e Benefícios'!C150=0,0,'Encargos e Benefícios'!U150/'Encargos e Benefícios'!C150)</f>
        <v>1126.1588888888887</v>
      </c>
      <c r="AM151" s="296">
        <f>IF('Encargos e Benefícios'!C150=0,0,'Encargos e Benefícios'!AC150/'Encargos e Benefícios'!C150)</f>
        <v>929.29</v>
      </c>
      <c r="AN151" s="297">
        <f>IF('Encargos e Benefícios'!C150=0,0,'Encargos e Benefícios'!AD150/'Encargos e Benefícios'!C150)</f>
        <v>3440.4488888888886</v>
      </c>
      <c r="AO151" s="188">
        <v>1437.37</v>
      </c>
      <c r="AP151" s="298">
        <v>1302</v>
      </c>
      <c r="AQ151" s="298">
        <v>1572.74</v>
      </c>
      <c r="AR151" s="299" t="s">
        <v>111</v>
      </c>
      <c r="AS151" s="188"/>
    </row>
    <row r="152" spans="1:45">
      <c r="A152" s="286">
        <v>146</v>
      </c>
      <c r="B152" s="81" t="str">
        <f>'Encargos e Benefícios'!B151</f>
        <v>Motorista</v>
      </c>
      <c r="C152" s="287">
        <f>'Encargos e Benefícios'!C151</f>
        <v>1</v>
      </c>
      <c r="D152" s="288">
        <v>40</v>
      </c>
      <c r="E152" s="300">
        <v>45261</v>
      </c>
      <c r="F152" s="301">
        <v>47058</v>
      </c>
      <c r="G152" s="293">
        <v>45413</v>
      </c>
      <c r="H152" s="294">
        <v>5.8400000000000001E-2</v>
      </c>
      <c r="I152" s="256">
        <v>29.2</v>
      </c>
      <c r="J152" s="256">
        <v>6.87</v>
      </c>
      <c r="K152" s="256"/>
      <c r="L152" s="256"/>
      <c r="M152" s="293">
        <v>45778</v>
      </c>
      <c r="N152" s="294">
        <v>5.8400000000000001E-2</v>
      </c>
      <c r="O152" s="256">
        <v>30.9</v>
      </c>
      <c r="P152" s="256">
        <v>7.27</v>
      </c>
      <c r="Q152" s="256"/>
      <c r="R152" s="256"/>
      <c r="S152" s="293">
        <v>46143</v>
      </c>
      <c r="T152" s="294">
        <v>5.8400000000000001E-2</v>
      </c>
      <c r="U152" s="256">
        <v>32.71</v>
      </c>
      <c r="V152" s="256">
        <v>7.82</v>
      </c>
      <c r="W152" s="256"/>
      <c r="X152" s="256"/>
      <c r="Y152" s="293">
        <v>46508</v>
      </c>
      <c r="Z152" s="294">
        <v>5.8400000000000001E-2</v>
      </c>
      <c r="AA152" s="256">
        <v>34.619999999999997</v>
      </c>
      <c r="AB152" s="256">
        <v>8.7100000000000009</v>
      </c>
      <c r="AC152" s="256"/>
      <c r="AD152" s="256"/>
      <c r="AE152" s="293">
        <v>46874</v>
      </c>
      <c r="AF152" s="294">
        <v>5.8400000000000001E-2</v>
      </c>
      <c r="AG152" s="256">
        <v>36.64</v>
      </c>
      <c r="AH152" s="256">
        <v>10.17</v>
      </c>
      <c r="AI152" s="256"/>
      <c r="AJ152" s="257"/>
      <c r="AK152" s="296">
        <f>'Encargos e Benefícios'!D151</f>
        <v>1452.39</v>
      </c>
      <c r="AL152" s="296">
        <f>IF('Encargos e Benefícios'!C151=0,0,'Encargos e Benefícios'!U151/'Encargos e Benefícios'!C151)</f>
        <v>1180.9544466666669</v>
      </c>
      <c r="AM152" s="296">
        <f>IF('Encargos e Benefícios'!C151=0,0,'Encargos e Benefícios'!AC151/'Encargos e Benefícios'!C151)</f>
        <v>929.29</v>
      </c>
      <c r="AN152" s="297">
        <f>IF('Encargos e Benefícios'!C151=0,0,'Encargos e Benefícios'!AD151/'Encargos e Benefícios'!C151)</f>
        <v>3562.6344466666669</v>
      </c>
      <c r="AO152" s="188">
        <v>2046.28</v>
      </c>
      <c r="AP152" s="298">
        <v>1212</v>
      </c>
      <c r="AQ152" s="298">
        <v>2880.55</v>
      </c>
      <c r="AR152" s="299" t="s">
        <v>111</v>
      </c>
      <c r="AS152" s="188"/>
    </row>
    <row r="153" spans="1:45">
      <c r="A153" s="286">
        <v>147</v>
      </c>
      <c r="B153" s="81" t="str">
        <f>'Encargos e Benefícios'!B152</f>
        <v>Socioeducador - DC</v>
      </c>
      <c r="C153" s="287">
        <f>'Encargos e Benefícios'!C152</f>
        <v>2</v>
      </c>
      <c r="D153" s="288" t="s">
        <v>504</v>
      </c>
      <c r="E153" s="300">
        <v>45261</v>
      </c>
      <c r="F153" s="301">
        <v>47058</v>
      </c>
      <c r="G153" s="293">
        <v>45413</v>
      </c>
      <c r="H153" s="294">
        <v>5.8400000000000001E-2</v>
      </c>
      <c r="I153" s="256">
        <v>29.2</v>
      </c>
      <c r="J153" s="256">
        <v>6.87</v>
      </c>
      <c r="K153" s="256"/>
      <c r="L153" s="256"/>
      <c r="M153" s="293">
        <v>45778</v>
      </c>
      <c r="N153" s="294">
        <v>5.8400000000000001E-2</v>
      </c>
      <c r="O153" s="256">
        <v>30.9</v>
      </c>
      <c r="P153" s="256">
        <v>7.27</v>
      </c>
      <c r="Q153" s="256"/>
      <c r="R153" s="256"/>
      <c r="S153" s="293">
        <v>46143</v>
      </c>
      <c r="T153" s="294">
        <v>5.8400000000000001E-2</v>
      </c>
      <c r="U153" s="256">
        <v>32.71</v>
      </c>
      <c r="V153" s="256">
        <v>7.82</v>
      </c>
      <c r="W153" s="256"/>
      <c r="X153" s="256"/>
      <c r="Y153" s="293">
        <v>46508</v>
      </c>
      <c r="Z153" s="294">
        <v>5.8400000000000001E-2</v>
      </c>
      <c r="AA153" s="256">
        <v>34.619999999999997</v>
      </c>
      <c r="AB153" s="256">
        <v>8.7100000000000009</v>
      </c>
      <c r="AC153" s="256"/>
      <c r="AD153" s="256"/>
      <c r="AE153" s="293">
        <v>46874</v>
      </c>
      <c r="AF153" s="294">
        <v>5.8400000000000001E-2</v>
      </c>
      <c r="AG153" s="256">
        <v>36.64</v>
      </c>
      <c r="AH153" s="256">
        <v>10.17</v>
      </c>
      <c r="AI153" s="256"/>
      <c r="AJ153" s="257"/>
      <c r="AK153" s="296">
        <f>'Encargos e Benefícios'!D152</f>
        <v>1900</v>
      </c>
      <c r="AL153" s="296">
        <f>IF('Encargos e Benefícios'!C152=0,0,'Encargos e Benefícios'!U152/'Encargos e Benefícios'!C152)</f>
        <v>2544.7966666666666</v>
      </c>
      <c r="AM153" s="296">
        <f>IF('Encargos e Benefícios'!C152=0,0,'Encargos e Benefícios'!AC152/'Encargos e Benefícios'!C152)</f>
        <v>446.88</v>
      </c>
      <c r="AN153" s="297">
        <f>IF('Encargos e Benefícios'!C152=0,0,'Encargos e Benefícios'!AD152/'Encargos e Benefícios'!C152)</f>
        <v>4891.6766666666672</v>
      </c>
      <c r="AO153" s="188">
        <v>2752.21</v>
      </c>
      <c r="AP153" s="298">
        <v>1764.5</v>
      </c>
      <c r="AQ153" s="298">
        <v>3739.92</v>
      </c>
      <c r="AR153" s="299" t="s">
        <v>111</v>
      </c>
      <c r="AS153" s="188"/>
    </row>
    <row r="154" spans="1:45">
      <c r="A154" s="286">
        <v>148</v>
      </c>
      <c r="B154" s="81" t="str">
        <f>'Encargos e Benefícios'!B153</f>
        <v>Socioeducador - D</v>
      </c>
      <c r="C154" s="287">
        <f>'Encargos e Benefícios'!C153</f>
        <v>12</v>
      </c>
      <c r="D154" s="288" t="s">
        <v>504</v>
      </c>
      <c r="E154" s="300">
        <v>45261</v>
      </c>
      <c r="F154" s="301">
        <v>47058</v>
      </c>
      <c r="G154" s="293">
        <v>45413</v>
      </c>
      <c r="H154" s="294">
        <v>5.8400000000000001E-2</v>
      </c>
      <c r="I154" s="256">
        <v>29.2</v>
      </c>
      <c r="J154" s="256">
        <v>6.87</v>
      </c>
      <c r="K154" s="256"/>
      <c r="L154" s="256"/>
      <c r="M154" s="293">
        <v>45778</v>
      </c>
      <c r="N154" s="294">
        <v>5.8400000000000001E-2</v>
      </c>
      <c r="O154" s="256">
        <v>30.9</v>
      </c>
      <c r="P154" s="256">
        <v>7.27</v>
      </c>
      <c r="Q154" s="256"/>
      <c r="R154" s="256"/>
      <c r="S154" s="293">
        <v>46143</v>
      </c>
      <c r="T154" s="294">
        <v>5.8400000000000001E-2</v>
      </c>
      <c r="U154" s="256">
        <v>32.71</v>
      </c>
      <c r="V154" s="256">
        <v>7.82</v>
      </c>
      <c r="W154" s="256"/>
      <c r="X154" s="256"/>
      <c r="Y154" s="293">
        <v>46508</v>
      </c>
      <c r="Z154" s="294">
        <v>5.8400000000000001E-2</v>
      </c>
      <c r="AA154" s="256">
        <v>34.619999999999997</v>
      </c>
      <c r="AB154" s="256">
        <v>8.7100000000000009</v>
      </c>
      <c r="AC154" s="256"/>
      <c r="AD154" s="256"/>
      <c r="AE154" s="293">
        <v>46874</v>
      </c>
      <c r="AF154" s="294">
        <v>5.8400000000000001E-2</v>
      </c>
      <c r="AG154" s="256">
        <v>36.64</v>
      </c>
      <c r="AH154" s="256">
        <v>10.17</v>
      </c>
      <c r="AI154" s="256"/>
      <c r="AJ154" s="257"/>
      <c r="AK154" s="296">
        <f>'Encargos e Benefícios'!D153</f>
        <v>1900</v>
      </c>
      <c r="AL154" s="296">
        <f>IF('Encargos e Benefícios'!C153=0,0,'Encargos e Benefícios'!U153/'Encargos e Benefícios'!C153)</f>
        <v>2281.7944444444447</v>
      </c>
      <c r="AM154" s="296">
        <f>IF('Encargos e Benefícios'!C153=0,0,'Encargos e Benefícios'!AC153/'Encargos e Benefícios'!C153)</f>
        <v>74.48</v>
      </c>
      <c r="AN154" s="297">
        <f>IF('Encargos e Benefícios'!C153=0,0,'Encargos e Benefícios'!AD153/'Encargos e Benefícios'!C153)</f>
        <v>4256.2744444444452</v>
      </c>
      <c r="AO154" s="188">
        <v>2752.21</v>
      </c>
      <c r="AP154" s="298">
        <v>1764.5</v>
      </c>
      <c r="AQ154" s="298">
        <v>3739.92</v>
      </c>
      <c r="AR154" s="299" t="s">
        <v>111</v>
      </c>
      <c r="AS154" s="188"/>
    </row>
    <row r="155" spans="1:45">
      <c r="A155" s="286">
        <v>149</v>
      </c>
      <c r="B155" s="81" t="str">
        <f>'Encargos e Benefícios'!B154</f>
        <v>Socioeducador - NC</v>
      </c>
      <c r="C155" s="287">
        <f>'Encargos e Benefícios'!C154</f>
        <v>2</v>
      </c>
      <c r="D155" s="288" t="s">
        <v>504</v>
      </c>
      <c r="E155" s="300">
        <v>45261</v>
      </c>
      <c r="F155" s="301">
        <v>47058</v>
      </c>
      <c r="G155" s="293">
        <v>45413</v>
      </c>
      <c r="H155" s="294">
        <v>5.8400000000000001E-2</v>
      </c>
      <c r="I155" s="256">
        <v>29.2</v>
      </c>
      <c r="J155" s="256">
        <v>6.87</v>
      </c>
      <c r="K155" s="256"/>
      <c r="L155" s="256"/>
      <c r="M155" s="293">
        <v>45778</v>
      </c>
      <c r="N155" s="294">
        <v>5.8400000000000001E-2</v>
      </c>
      <c r="O155" s="256">
        <v>30.9</v>
      </c>
      <c r="P155" s="256">
        <v>7.27</v>
      </c>
      <c r="Q155" s="256"/>
      <c r="R155" s="256"/>
      <c r="S155" s="293">
        <v>46143</v>
      </c>
      <c r="T155" s="294">
        <v>5.8400000000000001E-2</v>
      </c>
      <c r="U155" s="256">
        <v>32.71</v>
      </c>
      <c r="V155" s="256">
        <v>7.82</v>
      </c>
      <c r="W155" s="256"/>
      <c r="X155" s="256"/>
      <c r="Y155" s="293">
        <v>46508</v>
      </c>
      <c r="Z155" s="294">
        <v>5.8400000000000001E-2</v>
      </c>
      <c r="AA155" s="256">
        <v>34.619999999999997</v>
      </c>
      <c r="AB155" s="256">
        <v>8.7100000000000009</v>
      </c>
      <c r="AC155" s="256"/>
      <c r="AD155" s="256"/>
      <c r="AE155" s="293">
        <v>46874</v>
      </c>
      <c r="AF155" s="294">
        <v>5.8400000000000001E-2</v>
      </c>
      <c r="AG155" s="256">
        <v>36.64</v>
      </c>
      <c r="AH155" s="256">
        <v>10.17</v>
      </c>
      <c r="AI155" s="256"/>
      <c r="AJ155" s="257"/>
      <c r="AK155" s="296">
        <f>'Encargos e Benefícios'!D154</f>
        <v>1900</v>
      </c>
      <c r="AL155" s="296">
        <f>IF('Encargos e Benefícios'!C154=0,0,'Encargos e Benefícios'!U154/'Encargos e Benefícios'!C154)</f>
        <v>3013.1818518518517</v>
      </c>
      <c r="AM155" s="296">
        <f>IF('Encargos e Benefícios'!C154=0,0,'Encargos e Benefícios'!AC154/'Encargos e Benefícios'!C154)</f>
        <v>446.88</v>
      </c>
      <c r="AN155" s="297">
        <f>IF('Encargos e Benefícios'!C154=0,0,'Encargos e Benefícios'!AD154/'Encargos e Benefícios'!C154)</f>
        <v>5360.0618518518522</v>
      </c>
      <c r="AO155" s="188">
        <v>2752.21</v>
      </c>
      <c r="AP155" s="298">
        <v>1764.5</v>
      </c>
      <c r="AQ155" s="298">
        <v>3739.92</v>
      </c>
      <c r="AR155" s="299" t="s">
        <v>111</v>
      </c>
      <c r="AS155" s="188"/>
    </row>
    <row r="156" spans="1:45" ht="13.5" thickBot="1">
      <c r="A156" s="286">
        <v>150</v>
      </c>
      <c r="B156" s="81" t="str">
        <f>'Encargos e Benefícios'!B155</f>
        <v>Socioeducador - N</v>
      </c>
      <c r="C156" s="287">
        <f>'Encargos e Benefícios'!C155</f>
        <v>6</v>
      </c>
      <c r="D156" s="288" t="s">
        <v>504</v>
      </c>
      <c r="E156" s="300">
        <v>45261</v>
      </c>
      <c r="F156" s="301">
        <v>47058</v>
      </c>
      <c r="G156" s="293">
        <v>45413</v>
      </c>
      <c r="H156" s="294">
        <v>5.8400000000000001E-2</v>
      </c>
      <c r="I156" s="256">
        <v>29.2</v>
      </c>
      <c r="J156" s="256">
        <v>6.87</v>
      </c>
      <c r="K156" s="256"/>
      <c r="L156" s="256"/>
      <c r="M156" s="293">
        <v>45778</v>
      </c>
      <c r="N156" s="294">
        <v>5.8400000000000001E-2</v>
      </c>
      <c r="O156" s="256">
        <v>30.9</v>
      </c>
      <c r="P156" s="256">
        <v>7.27</v>
      </c>
      <c r="Q156" s="256"/>
      <c r="R156" s="256"/>
      <c r="S156" s="293">
        <v>46143</v>
      </c>
      <c r="T156" s="294">
        <v>5.8400000000000001E-2</v>
      </c>
      <c r="U156" s="256">
        <v>32.71</v>
      </c>
      <c r="V156" s="256">
        <v>7.82</v>
      </c>
      <c r="W156" s="256"/>
      <c r="X156" s="256"/>
      <c r="Y156" s="293">
        <v>46508</v>
      </c>
      <c r="Z156" s="294">
        <v>5.8400000000000001E-2</v>
      </c>
      <c r="AA156" s="256">
        <v>34.619999999999997</v>
      </c>
      <c r="AB156" s="256">
        <v>8.7100000000000009</v>
      </c>
      <c r="AC156" s="256"/>
      <c r="AD156" s="256"/>
      <c r="AE156" s="293">
        <v>46874</v>
      </c>
      <c r="AF156" s="294">
        <v>5.8400000000000001E-2</v>
      </c>
      <c r="AG156" s="256">
        <v>36.64</v>
      </c>
      <c r="AH156" s="256">
        <v>10.17</v>
      </c>
      <c r="AI156" s="256"/>
      <c r="AJ156" s="257"/>
      <c r="AK156" s="296">
        <f>'Encargos e Benefícios'!D155</f>
        <v>1900</v>
      </c>
      <c r="AL156" s="296">
        <f>IF('Encargos e Benefícios'!C155=0,0,'Encargos e Benefícios'!U155/'Encargos e Benefícios'!C155)</f>
        <v>2750.1796296296302</v>
      </c>
      <c r="AM156" s="296">
        <f>IF('Encargos e Benefícios'!C155=0,0,'Encargos e Benefícios'!AC155/'Encargos e Benefícios'!C155)</f>
        <v>148.96</v>
      </c>
      <c r="AN156" s="297">
        <f>IF('Encargos e Benefícios'!C155=0,0,'Encargos e Benefícios'!AD155/'Encargos e Benefícios'!C155)</f>
        <v>4799.1396296296298</v>
      </c>
      <c r="AO156" s="188">
        <v>2752.21</v>
      </c>
      <c r="AP156" s="298">
        <v>1764.5</v>
      </c>
      <c r="AQ156" s="298">
        <v>3739.92</v>
      </c>
      <c r="AR156" s="299" t="s">
        <v>111</v>
      </c>
      <c r="AS156" s="188"/>
    </row>
    <row r="157" spans="1:45">
      <c r="A157" s="286">
        <v>151</v>
      </c>
      <c r="B157" s="81" t="str">
        <f>'Encargos e Benefícios'!B156</f>
        <v>Diretor Geral de Unidade Socioeducativa</v>
      </c>
      <c r="C157" s="287">
        <f>'Encargos e Benefícios'!C156</f>
        <v>1</v>
      </c>
      <c r="D157" s="288">
        <v>40</v>
      </c>
      <c r="E157" s="289">
        <v>45261</v>
      </c>
      <c r="F157" s="290">
        <v>47058</v>
      </c>
      <c r="G157" s="293">
        <v>45413</v>
      </c>
      <c r="H157" s="294">
        <v>5.8400000000000001E-2</v>
      </c>
      <c r="I157" s="256">
        <v>29.2</v>
      </c>
      <c r="J157" s="256">
        <v>6.87</v>
      </c>
      <c r="K157" s="256"/>
      <c r="L157" s="256"/>
      <c r="M157" s="293">
        <v>45778</v>
      </c>
      <c r="N157" s="294">
        <v>5.8400000000000001E-2</v>
      </c>
      <c r="O157" s="256">
        <v>30.9</v>
      </c>
      <c r="P157" s="256">
        <v>7.27</v>
      </c>
      <c r="Q157" s="256"/>
      <c r="R157" s="256"/>
      <c r="S157" s="293">
        <v>46143</v>
      </c>
      <c r="T157" s="294">
        <v>5.8400000000000001E-2</v>
      </c>
      <c r="U157" s="256">
        <v>32.71</v>
      </c>
      <c r="V157" s="256">
        <v>7.82</v>
      </c>
      <c r="W157" s="256"/>
      <c r="X157" s="256"/>
      <c r="Y157" s="293">
        <v>46508</v>
      </c>
      <c r="Z157" s="294">
        <v>5.8400000000000001E-2</v>
      </c>
      <c r="AA157" s="256">
        <v>34.619999999999997</v>
      </c>
      <c r="AB157" s="256">
        <v>8.7100000000000009</v>
      </c>
      <c r="AC157" s="256"/>
      <c r="AD157" s="256"/>
      <c r="AE157" s="293">
        <v>46874</v>
      </c>
      <c r="AF157" s="294">
        <v>5.8400000000000001E-2</v>
      </c>
      <c r="AG157" s="256">
        <v>36.64</v>
      </c>
      <c r="AH157" s="256">
        <v>10.17</v>
      </c>
      <c r="AI157" s="256"/>
      <c r="AJ157" s="257"/>
      <c r="AK157" s="296">
        <f>'Encargos e Benefícios'!D156</f>
        <v>6500</v>
      </c>
      <c r="AL157" s="296">
        <f>IF('Encargos e Benefícios'!C156=0,0,'Encargos e Benefícios'!U156/'Encargos e Benefícios'!C156)</f>
        <v>5194.2222222222235</v>
      </c>
      <c r="AM157" s="296">
        <f>IF('Encargos e Benefícios'!C156=0,0,'Encargos e Benefícios'!AC156/'Encargos e Benefícios'!C156)</f>
        <v>817.61999999999989</v>
      </c>
      <c r="AN157" s="297">
        <f>IF('Encargos e Benefícios'!C156=0,0,'Encargos e Benefícios'!AD156/'Encargos e Benefícios'!C156)</f>
        <v>12511.842222222222</v>
      </c>
      <c r="AO157" s="188">
        <v>6052.24</v>
      </c>
      <c r="AP157" s="298">
        <v>4239.6899999999996</v>
      </c>
      <c r="AQ157" s="298">
        <v>7864.78</v>
      </c>
      <c r="AR157" s="299" t="s">
        <v>112</v>
      </c>
      <c r="AS157" s="188"/>
    </row>
    <row r="158" spans="1:45">
      <c r="A158" s="286">
        <v>152</v>
      </c>
      <c r="B158" s="81" t="str">
        <f>'Encargos e Benefícios'!B157</f>
        <v>Subdiretor de Segurança</v>
      </c>
      <c r="C158" s="287">
        <f>'Encargos e Benefícios'!C157</f>
        <v>1</v>
      </c>
      <c r="D158" s="288">
        <v>40</v>
      </c>
      <c r="E158" s="300">
        <v>45261</v>
      </c>
      <c r="F158" s="301">
        <v>47058</v>
      </c>
      <c r="G158" s="293">
        <v>45413</v>
      </c>
      <c r="H158" s="294">
        <v>5.8400000000000001E-2</v>
      </c>
      <c r="I158" s="256">
        <v>29.2</v>
      </c>
      <c r="J158" s="256">
        <v>6.87</v>
      </c>
      <c r="K158" s="256"/>
      <c r="L158" s="256"/>
      <c r="M158" s="293">
        <v>45778</v>
      </c>
      <c r="N158" s="294">
        <v>5.8400000000000001E-2</v>
      </c>
      <c r="O158" s="256">
        <v>30.9</v>
      </c>
      <c r="P158" s="256">
        <v>7.27</v>
      </c>
      <c r="Q158" s="256"/>
      <c r="R158" s="256"/>
      <c r="S158" s="293">
        <v>46143</v>
      </c>
      <c r="T158" s="294">
        <v>5.8400000000000001E-2</v>
      </c>
      <c r="U158" s="256">
        <v>32.71</v>
      </c>
      <c r="V158" s="256">
        <v>7.82</v>
      </c>
      <c r="W158" s="256"/>
      <c r="X158" s="256"/>
      <c r="Y158" s="293">
        <v>46508</v>
      </c>
      <c r="Z158" s="294">
        <v>5.8400000000000001E-2</v>
      </c>
      <c r="AA158" s="256">
        <v>34.619999999999997</v>
      </c>
      <c r="AB158" s="256">
        <v>8.7100000000000009</v>
      </c>
      <c r="AC158" s="256"/>
      <c r="AD158" s="256"/>
      <c r="AE158" s="293">
        <v>46874</v>
      </c>
      <c r="AF158" s="294">
        <v>5.8400000000000001E-2</v>
      </c>
      <c r="AG158" s="256">
        <v>36.64</v>
      </c>
      <c r="AH158" s="256">
        <v>10.17</v>
      </c>
      <c r="AI158" s="256"/>
      <c r="AJ158" s="257"/>
      <c r="AK158" s="296">
        <f>'Encargos e Benefícios'!D157</f>
        <v>3773.6</v>
      </c>
      <c r="AL158" s="296">
        <f>IF('Encargos e Benefícios'!C157=0,0,'Encargos e Benefícios'!U157/'Encargos e Benefícios'!C157)</f>
        <v>4147.6056888888888</v>
      </c>
      <c r="AM158" s="296">
        <f>IF('Encargos e Benefícios'!C157=0,0,'Encargos e Benefícios'!AC157/'Encargos e Benefícios'!C157)</f>
        <v>817.61999999999989</v>
      </c>
      <c r="AN158" s="297">
        <f>IF('Encargos e Benefícios'!C157=0,0,'Encargos e Benefícios'!AD157/'Encargos e Benefícios'!C157)</f>
        <v>8738.82568888889</v>
      </c>
      <c r="AO158" s="188">
        <v>4968.99</v>
      </c>
      <c r="AP158" s="298">
        <v>3773.6</v>
      </c>
      <c r="AQ158" s="298">
        <v>6164.38</v>
      </c>
      <c r="AR158" s="299" t="s">
        <v>112</v>
      </c>
      <c r="AS158" s="188"/>
    </row>
    <row r="159" spans="1:45">
      <c r="A159" s="286">
        <v>153</v>
      </c>
      <c r="B159" s="81" t="str">
        <f>'Encargos e Benefícios'!B158</f>
        <v>Advogado</v>
      </c>
      <c r="C159" s="287">
        <f>'Encargos e Benefícios'!C158</f>
        <v>1</v>
      </c>
      <c r="D159" s="288">
        <v>30</v>
      </c>
      <c r="E159" s="300">
        <v>45261</v>
      </c>
      <c r="F159" s="301">
        <v>47058</v>
      </c>
      <c r="G159" s="293">
        <v>45413</v>
      </c>
      <c r="H159" s="294">
        <v>5.8400000000000001E-2</v>
      </c>
      <c r="I159" s="256">
        <v>29.2</v>
      </c>
      <c r="J159" s="256">
        <v>6.87</v>
      </c>
      <c r="K159" s="256"/>
      <c r="L159" s="256"/>
      <c r="M159" s="293">
        <v>45778</v>
      </c>
      <c r="N159" s="294">
        <v>5.8400000000000001E-2</v>
      </c>
      <c r="O159" s="256">
        <v>30.9</v>
      </c>
      <c r="P159" s="256">
        <v>7.27</v>
      </c>
      <c r="Q159" s="256"/>
      <c r="R159" s="256"/>
      <c r="S159" s="293">
        <v>46143</v>
      </c>
      <c r="T159" s="294">
        <v>5.8400000000000001E-2</v>
      </c>
      <c r="U159" s="256">
        <v>32.71</v>
      </c>
      <c r="V159" s="256">
        <v>7.82</v>
      </c>
      <c r="W159" s="256"/>
      <c r="X159" s="256"/>
      <c r="Y159" s="293">
        <v>46508</v>
      </c>
      <c r="Z159" s="294">
        <v>5.8400000000000001E-2</v>
      </c>
      <c r="AA159" s="256">
        <v>34.619999999999997</v>
      </c>
      <c r="AB159" s="256">
        <v>8.7100000000000009</v>
      </c>
      <c r="AC159" s="256"/>
      <c r="AD159" s="256"/>
      <c r="AE159" s="293">
        <v>46874</v>
      </c>
      <c r="AF159" s="294">
        <v>5.8400000000000001E-2</v>
      </c>
      <c r="AG159" s="256">
        <v>36.64</v>
      </c>
      <c r="AH159" s="256">
        <v>10.17</v>
      </c>
      <c r="AI159" s="256"/>
      <c r="AJ159" s="257"/>
      <c r="AK159" s="296">
        <f>'Encargos e Benefícios'!D158</f>
        <v>2600</v>
      </c>
      <c r="AL159" s="296">
        <f>IF('Encargos e Benefícios'!C158=0,0,'Encargos e Benefícios'!U158/'Encargos e Benefícios'!C158)</f>
        <v>2114.088888888889</v>
      </c>
      <c r="AM159" s="296">
        <f>IF('Encargos e Benefícios'!C158=0,0,'Encargos e Benefícios'!AC158/'Encargos e Benefícios'!C158)</f>
        <v>929.29</v>
      </c>
      <c r="AN159" s="297">
        <f>IF('Encargos e Benefícios'!C158=0,0,'Encargos e Benefícios'!AD158/'Encargos e Benefícios'!C158)</f>
        <v>5643.3788888888894</v>
      </c>
      <c r="AO159" s="188">
        <v>2767.69</v>
      </c>
      <c r="AP159" s="298">
        <v>2500</v>
      </c>
      <c r="AQ159" s="298">
        <v>3035.37</v>
      </c>
      <c r="AR159" s="299" t="s">
        <v>112</v>
      </c>
      <c r="AS159" s="188"/>
    </row>
    <row r="160" spans="1:45">
      <c r="A160" s="286">
        <v>154</v>
      </c>
      <c r="B160" s="81" t="str">
        <f>'Encargos e Benefícios'!B159</f>
        <v>Assistente Social</v>
      </c>
      <c r="C160" s="287">
        <f>'Encargos e Benefícios'!C159</f>
        <v>1</v>
      </c>
      <c r="D160" s="288">
        <v>30</v>
      </c>
      <c r="E160" s="300">
        <v>45261</v>
      </c>
      <c r="F160" s="301">
        <v>47058</v>
      </c>
      <c r="G160" s="293">
        <v>45413</v>
      </c>
      <c r="H160" s="294">
        <v>5.8400000000000001E-2</v>
      </c>
      <c r="I160" s="256">
        <v>29.2</v>
      </c>
      <c r="J160" s="256">
        <v>6.87</v>
      </c>
      <c r="K160" s="256"/>
      <c r="L160" s="256"/>
      <c r="M160" s="293">
        <v>45778</v>
      </c>
      <c r="N160" s="294">
        <v>5.8400000000000001E-2</v>
      </c>
      <c r="O160" s="256">
        <v>30.9</v>
      </c>
      <c r="P160" s="256">
        <v>7.27</v>
      </c>
      <c r="Q160" s="256"/>
      <c r="R160" s="256"/>
      <c r="S160" s="293">
        <v>46143</v>
      </c>
      <c r="T160" s="294">
        <v>5.8400000000000001E-2</v>
      </c>
      <c r="U160" s="256">
        <v>32.71</v>
      </c>
      <c r="V160" s="256">
        <v>7.82</v>
      </c>
      <c r="W160" s="256"/>
      <c r="X160" s="256"/>
      <c r="Y160" s="293">
        <v>46508</v>
      </c>
      <c r="Z160" s="294">
        <v>5.8400000000000001E-2</v>
      </c>
      <c r="AA160" s="256">
        <v>34.619999999999997</v>
      </c>
      <c r="AB160" s="256">
        <v>8.7100000000000009</v>
      </c>
      <c r="AC160" s="256"/>
      <c r="AD160" s="256"/>
      <c r="AE160" s="293">
        <v>46874</v>
      </c>
      <c r="AF160" s="294">
        <v>5.8400000000000001E-2</v>
      </c>
      <c r="AG160" s="256">
        <v>36.64</v>
      </c>
      <c r="AH160" s="256">
        <v>10.17</v>
      </c>
      <c r="AI160" s="256"/>
      <c r="AJ160" s="257"/>
      <c r="AK160" s="296">
        <f>'Encargos e Benefícios'!D159</f>
        <v>2600</v>
      </c>
      <c r="AL160" s="296">
        <f>IF('Encargos e Benefícios'!C159=0,0,'Encargos e Benefícios'!U159/'Encargos e Benefícios'!C159)</f>
        <v>2114.088888888889</v>
      </c>
      <c r="AM160" s="296">
        <f>IF('Encargos e Benefícios'!C159=0,0,'Encargos e Benefícios'!AC159/'Encargos e Benefícios'!C159)</f>
        <v>929.29</v>
      </c>
      <c r="AN160" s="297">
        <f>IF('Encargos e Benefícios'!C159=0,0,'Encargos e Benefícios'!AD159/'Encargos e Benefícios'!C159)</f>
        <v>5643.3788888888894</v>
      </c>
      <c r="AO160" s="188">
        <v>3277.91</v>
      </c>
      <c r="AP160" s="298">
        <v>2500</v>
      </c>
      <c r="AQ160" s="298">
        <v>4055.81</v>
      </c>
      <c r="AR160" s="299" t="s">
        <v>112</v>
      </c>
      <c r="AS160" s="188"/>
    </row>
    <row r="161" spans="1:45">
      <c r="A161" s="286">
        <v>155</v>
      </c>
      <c r="B161" s="81" t="str">
        <f>'Encargos e Benefícios'!B160</f>
        <v>Pedagogo</v>
      </c>
      <c r="C161" s="287">
        <f>'Encargos e Benefícios'!C160</f>
        <v>1</v>
      </c>
      <c r="D161" s="288">
        <v>30</v>
      </c>
      <c r="E161" s="300">
        <v>45261</v>
      </c>
      <c r="F161" s="301">
        <v>47058</v>
      </c>
      <c r="G161" s="293">
        <v>45413</v>
      </c>
      <c r="H161" s="294">
        <v>5.8400000000000001E-2</v>
      </c>
      <c r="I161" s="256">
        <v>29.2</v>
      </c>
      <c r="J161" s="256">
        <v>6.87</v>
      </c>
      <c r="K161" s="256"/>
      <c r="L161" s="256"/>
      <c r="M161" s="293">
        <v>45778</v>
      </c>
      <c r="N161" s="294">
        <v>5.8400000000000001E-2</v>
      </c>
      <c r="O161" s="256">
        <v>30.9</v>
      </c>
      <c r="P161" s="256">
        <v>7.27</v>
      </c>
      <c r="Q161" s="256"/>
      <c r="R161" s="256"/>
      <c r="S161" s="293">
        <v>46143</v>
      </c>
      <c r="T161" s="294">
        <v>5.8400000000000001E-2</v>
      </c>
      <c r="U161" s="256">
        <v>32.71</v>
      </c>
      <c r="V161" s="256">
        <v>7.82</v>
      </c>
      <c r="W161" s="256"/>
      <c r="X161" s="256"/>
      <c r="Y161" s="293">
        <v>46508</v>
      </c>
      <c r="Z161" s="294">
        <v>5.8400000000000001E-2</v>
      </c>
      <c r="AA161" s="256">
        <v>34.619999999999997</v>
      </c>
      <c r="AB161" s="256">
        <v>8.7100000000000009</v>
      </c>
      <c r="AC161" s="256"/>
      <c r="AD161" s="256"/>
      <c r="AE161" s="293">
        <v>46874</v>
      </c>
      <c r="AF161" s="294">
        <v>5.8400000000000001E-2</v>
      </c>
      <c r="AG161" s="256">
        <v>36.64</v>
      </c>
      <c r="AH161" s="256">
        <v>10.17</v>
      </c>
      <c r="AI161" s="256"/>
      <c r="AJ161" s="257"/>
      <c r="AK161" s="296">
        <f>'Encargos e Benefícios'!D160</f>
        <v>2600</v>
      </c>
      <c r="AL161" s="296">
        <f>IF('Encargos e Benefícios'!C160=0,0,'Encargos e Benefícios'!U160/'Encargos e Benefícios'!C160)</f>
        <v>2114.088888888889</v>
      </c>
      <c r="AM161" s="296">
        <f>IF('Encargos e Benefícios'!C160=0,0,'Encargos e Benefícios'!AC160/'Encargos e Benefícios'!C160)</f>
        <v>929.29</v>
      </c>
      <c r="AN161" s="297">
        <f>IF('Encargos e Benefícios'!C160=0,0,'Encargos e Benefícios'!AD160/'Encargos e Benefícios'!C160)</f>
        <v>5643.3788888888894</v>
      </c>
      <c r="AO161" s="188">
        <v>2894.94</v>
      </c>
      <c r="AP161" s="298">
        <v>2489.87</v>
      </c>
      <c r="AQ161" s="298">
        <v>3300</v>
      </c>
      <c r="AR161" s="299" t="s">
        <v>112</v>
      </c>
      <c r="AS161" s="188"/>
    </row>
    <row r="162" spans="1:45">
      <c r="A162" s="286">
        <v>156</v>
      </c>
      <c r="B162" s="81" t="str">
        <f>'Encargos e Benefícios'!B161</f>
        <v>Psicologo</v>
      </c>
      <c r="C162" s="287">
        <f>'Encargos e Benefícios'!C161</f>
        <v>1</v>
      </c>
      <c r="D162" s="288">
        <v>30</v>
      </c>
      <c r="E162" s="300">
        <v>45261</v>
      </c>
      <c r="F162" s="301">
        <v>47058</v>
      </c>
      <c r="G162" s="293">
        <v>45413</v>
      </c>
      <c r="H162" s="294">
        <v>5.8400000000000001E-2</v>
      </c>
      <c r="I162" s="256">
        <v>29.2</v>
      </c>
      <c r="J162" s="256">
        <v>6.87</v>
      </c>
      <c r="K162" s="256"/>
      <c r="L162" s="256"/>
      <c r="M162" s="293">
        <v>45778</v>
      </c>
      <c r="N162" s="294">
        <v>5.8400000000000001E-2</v>
      </c>
      <c r="O162" s="256">
        <v>30.9</v>
      </c>
      <c r="P162" s="256">
        <v>7.27</v>
      </c>
      <c r="Q162" s="256"/>
      <c r="R162" s="256"/>
      <c r="S162" s="293">
        <v>46143</v>
      </c>
      <c r="T162" s="294">
        <v>5.8400000000000001E-2</v>
      </c>
      <c r="U162" s="256">
        <v>32.71</v>
      </c>
      <c r="V162" s="256">
        <v>7.82</v>
      </c>
      <c r="W162" s="256"/>
      <c r="X162" s="256"/>
      <c r="Y162" s="293">
        <v>46508</v>
      </c>
      <c r="Z162" s="294">
        <v>5.8400000000000001E-2</v>
      </c>
      <c r="AA162" s="256">
        <v>34.619999999999997</v>
      </c>
      <c r="AB162" s="256">
        <v>8.7100000000000009</v>
      </c>
      <c r="AC162" s="256"/>
      <c r="AD162" s="256"/>
      <c r="AE162" s="293">
        <v>46874</v>
      </c>
      <c r="AF162" s="294">
        <v>5.8400000000000001E-2</v>
      </c>
      <c r="AG162" s="256">
        <v>36.64</v>
      </c>
      <c r="AH162" s="256">
        <v>10.17</v>
      </c>
      <c r="AI162" s="256"/>
      <c r="AJ162" s="257"/>
      <c r="AK162" s="296">
        <f>'Encargos e Benefícios'!D161</f>
        <v>2600</v>
      </c>
      <c r="AL162" s="296">
        <f>IF('Encargos e Benefícios'!C161=0,0,'Encargos e Benefícios'!U161/'Encargos e Benefícios'!C161)</f>
        <v>2114.088888888889</v>
      </c>
      <c r="AM162" s="296">
        <f>IF('Encargos e Benefícios'!C161=0,0,'Encargos e Benefícios'!AC161/'Encargos e Benefícios'!C161)</f>
        <v>929.29</v>
      </c>
      <c r="AN162" s="297">
        <f>IF('Encargos e Benefícios'!C161=0,0,'Encargos e Benefícios'!AD161/'Encargos e Benefícios'!C161)</f>
        <v>5643.3788888888894</v>
      </c>
      <c r="AO162" s="188">
        <v>3953.69</v>
      </c>
      <c r="AP162" s="298">
        <v>2500</v>
      </c>
      <c r="AQ162" s="298">
        <v>5407.37</v>
      </c>
      <c r="AR162" s="299" t="s">
        <v>112</v>
      </c>
      <c r="AS162" s="188"/>
    </row>
    <row r="163" spans="1:45">
      <c r="A163" s="286">
        <v>157</v>
      </c>
      <c r="B163" s="81" t="str">
        <f>'Encargos e Benefícios'!B162</f>
        <v>Terapeuta Ocupacional</v>
      </c>
      <c r="C163" s="287">
        <f>'Encargos e Benefícios'!C162</f>
        <v>1</v>
      </c>
      <c r="D163" s="288">
        <v>30</v>
      </c>
      <c r="E163" s="300">
        <v>45261</v>
      </c>
      <c r="F163" s="301">
        <v>47058</v>
      </c>
      <c r="G163" s="293">
        <v>45413</v>
      </c>
      <c r="H163" s="294">
        <v>5.8400000000000001E-2</v>
      </c>
      <c r="I163" s="256">
        <v>29.2</v>
      </c>
      <c r="J163" s="256">
        <v>6.87</v>
      </c>
      <c r="K163" s="256"/>
      <c r="L163" s="256"/>
      <c r="M163" s="293">
        <v>45778</v>
      </c>
      <c r="N163" s="294">
        <v>5.8400000000000001E-2</v>
      </c>
      <c r="O163" s="256">
        <v>30.9</v>
      </c>
      <c r="P163" s="256">
        <v>7.27</v>
      </c>
      <c r="Q163" s="256"/>
      <c r="R163" s="256"/>
      <c r="S163" s="293">
        <v>46143</v>
      </c>
      <c r="T163" s="294">
        <v>5.8400000000000001E-2</v>
      </c>
      <c r="U163" s="256">
        <v>32.71</v>
      </c>
      <c r="V163" s="256">
        <v>7.82</v>
      </c>
      <c r="W163" s="256"/>
      <c r="X163" s="256"/>
      <c r="Y163" s="293">
        <v>46508</v>
      </c>
      <c r="Z163" s="294">
        <v>5.8400000000000001E-2</v>
      </c>
      <c r="AA163" s="256">
        <v>34.619999999999997</v>
      </c>
      <c r="AB163" s="256">
        <v>8.7100000000000009</v>
      </c>
      <c r="AC163" s="256"/>
      <c r="AD163" s="256"/>
      <c r="AE163" s="293">
        <v>46874</v>
      </c>
      <c r="AF163" s="294">
        <v>5.8400000000000001E-2</v>
      </c>
      <c r="AG163" s="256">
        <v>36.64</v>
      </c>
      <c r="AH163" s="256">
        <v>10.17</v>
      </c>
      <c r="AI163" s="256"/>
      <c r="AJ163" s="257"/>
      <c r="AK163" s="296">
        <f>'Encargos e Benefícios'!D162</f>
        <v>2600</v>
      </c>
      <c r="AL163" s="296">
        <f>IF('Encargos e Benefícios'!C162=0,0,'Encargos e Benefícios'!U162/'Encargos e Benefícios'!C162)</f>
        <v>2114.088888888889</v>
      </c>
      <c r="AM163" s="296">
        <f>IF('Encargos e Benefícios'!C162=0,0,'Encargos e Benefícios'!AC162/'Encargos e Benefícios'!C162)</f>
        <v>929.29</v>
      </c>
      <c r="AN163" s="297">
        <f>IF('Encargos e Benefícios'!C162=0,0,'Encargos e Benefícios'!AD162/'Encargos e Benefícios'!C162)</f>
        <v>5643.3788888888894</v>
      </c>
      <c r="AO163" s="188">
        <v>2422.3000000000002</v>
      </c>
      <c r="AP163" s="298">
        <v>1932.61</v>
      </c>
      <c r="AQ163" s="298">
        <v>2911.99</v>
      </c>
      <c r="AR163" s="299" t="s">
        <v>112</v>
      </c>
      <c r="AS163" s="188"/>
    </row>
    <row r="164" spans="1:45">
      <c r="A164" s="286">
        <v>158</v>
      </c>
      <c r="B164" s="81" t="str">
        <f>'Encargos e Benefícios'!B163</f>
        <v>Administrativo</v>
      </c>
      <c r="C164" s="287">
        <f>'Encargos e Benefícios'!C163</f>
        <v>1</v>
      </c>
      <c r="D164" s="288">
        <v>40</v>
      </c>
      <c r="E164" s="300">
        <v>45261</v>
      </c>
      <c r="F164" s="301">
        <v>47058</v>
      </c>
      <c r="G164" s="293">
        <v>45413</v>
      </c>
      <c r="H164" s="294">
        <v>5.8400000000000001E-2</v>
      </c>
      <c r="I164" s="256">
        <v>29.2</v>
      </c>
      <c r="J164" s="256">
        <v>6.87</v>
      </c>
      <c r="K164" s="256"/>
      <c r="L164" s="256"/>
      <c r="M164" s="293">
        <v>45778</v>
      </c>
      <c r="N164" s="294">
        <v>5.8400000000000001E-2</v>
      </c>
      <c r="O164" s="256">
        <v>30.9</v>
      </c>
      <c r="P164" s="256">
        <v>7.27</v>
      </c>
      <c r="Q164" s="256"/>
      <c r="R164" s="256"/>
      <c r="S164" s="293">
        <v>46143</v>
      </c>
      <c r="T164" s="294">
        <v>5.8400000000000001E-2</v>
      </c>
      <c r="U164" s="256">
        <v>32.71</v>
      </c>
      <c r="V164" s="256">
        <v>7.82</v>
      </c>
      <c r="W164" s="256"/>
      <c r="X164" s="256"/>
      <c r="Y164" s="293">
        <v>46508</v>
      </c>
      <c r="Z164" s="294">
        <v>5.8400000000000001E-2</v>
      </c>
      <c r="AA164" s="256">
        <v>34.619999999999997</v>
      </c>
      <c r="AB164" s="256">
        <v>8.7100000000000009</v>
      </c>
      <c r="AC164" s="256"/>
      <c r="AD164" s="256"/>
      <c r="AE164" s="293">
        <v>46874</v>
      </c>
      <c r="AF164" s="294">
        <v>5.8400000000000001E-2</v>
      </c>
      <c r="AG164" s="256">
        <v>36.64</v>
      </c>
      <c r="AH164" s="256">
        <v>10.17</v>
      </c>
      <c r="AI164" s="256"/>
      <c r="AJ164" s="257"/>
      <c r="AK164" s="296">
        <f>'Encargos e Benefícios'!D163</f>
        <v>1750</v>
      </c>
      <c r="AL164" s="296">
        <f>IF('Encargos e Benefícios'!C163=0,0,'Encargos e Benefícios'!U163/'Encargos e Benefícios'!C163)</f>
        <v>1422.9444444444443</v>
      </c>
      <c r="AM164" s="296">
        <f>IF('Encargos e Benefícios'!C163=0,0,'Encargos e Benefícios'!AC163/'Encargos e Benefícios'!C163)</f>
        <v>929.29</v>
      </c>
      <c r="AN164" s="297">
        <f>IF('Encargos e Benefícios'!C163=0,0,'Encargos e Benefícios'!AD163/'Encargos e Benefícios'!C163)</f>
        <v>4102.2344444444443</v>
      </c>
      <c r="AO164" s="188">
        <v>2097.83</v>
      </c>
      <c r="AP164" s="298">
        <v>1500</v>
      </c>
      <c r="AQ164" s="298">
        <v>2695.66</v>
      </c>
      <c r="AR164" s="299" t="s">
        <v>112</v>
      </c>
      <c r="AS164" s="188"/>
    </row>
    <row r="165" spans="1:45">
      <c r="A165" s="286">
        <v>159</v>
      </c>
      <c r="B165" s="81" t="str">
        <f>'Encargos e Benefícios'!B164</f>
        <v>Auxiliar Educacional</v>
      </c>
      <c r="C165" s="287">
        <f>'Encargos e Benefícios'!C164</f>
        <v>1</v>
      </c>
      <c r="D165" s="288">
        <v>30</v>
      </c>
      <c r="E165" s="300">
        <v>45261</v>
      </c>
      <c r="F165" s="301">
        <v>47058</v>
      </c>
      <c r="G165" s="293">
        <v>45413</v>
      </c>
      <c r="H165" s="294">
        <v>5.8400000000000001E-2</v>
      </c>
      <c r="I165" s="256">
        <v>29.2</v>
      </c>
      <c r="J165" s="256">
        <v>6.87</v>
      </c>
      <c r="K165" s="256"/>
      <c r="L165" s="256"/>
      <c r="M165" s="293">
        <v>45778</v>
      </c>
      <c r="N165" s="294">
        <v>5.8400000000000001E-2</v>
      </c>
      <c r="O165" s="256">
        <v>30.9</v>
      </c>
      <c r="P165" s="256">
        <v>7.27</v>
      </c>
      <c r="Q165" s="256"/>
      <c r="R165" s="256"/>
      <c r="S165" s="293">
        <v>46143</v>
      </c>
      <c r="T165" s="294">
        <v>5.8400000000000001E-2</v>
      </c>
      <c r="U165" s="256">
        <v>32.71</v>
      </c>
      <c r="V165" s="256">
        <v>7.82</v>
      </c>
      <c r="W165" s="256"/>
      <c r="X165" s="256"/>
      <c r="Y165" s="293">
        <v>46508</v>
      </c>
      <c r="Z165" s="294">
        <v>5.8400000000000001E-2</v>
      </c>
      <c r="AA165" s="256">
        <v>34.619999999999997</v>
      </c>
      <c r="AB165" s="256">
        <v>8.7100000000000009</v>
      </c>
      <c r="AC165" s="256"/>
      <c r="AD165" s="256"/>
      <c r="AE165" s="293">
        <v>46874</v>
      </c>
      <c r="AF165" s="294">
        <v>5.8400000000000001E-2</v>
      </c>
      <c r="AG165" s="256">
        <v>36.64</v>
      </c>
      <c r="AH165" s="256">
        <v>10.17</v>
      </c>
      <c r="AI165" s="256"/>
      <c r="AJ165" s="257"/>
      <c r="AK165" s="296">
        <f>'Encargos e Benefícios'!D164</f>
        <v>1642</v>
      </c>
      <c r="AL165" s="296">
        <f>IF('Encargos e Benefícios'!C164=0,0,'Encargos e Benefícios'!U164/'Encargos e Benefícios'!C164)</f>
        <v>1335.1284444444443</v>
      </c>
      <c r="AM165" s="296">
        <f>IF('Encargos e Benefícios'!C164=0,0,'Encargos e Benefícios'!AC164/'Encargos e Benefícios'!C164)</f>
        <v>929.29</v>
      </c>
      <c r="AN165" s="297">
        <f>IF('Encargos e Benefícios'!C164=0,0,'Encargos e Benefícios'!AD164/'Encargos e Benefícios'!C164)</f>
        <v>3906.4184444444445</v>
      </c>
      <c r="AO165" s="188">
        <v>1750.23</v>
      </c>
      <c r="AP165" s="298">
        <v>1500</v>
      </c>
      <c r="AQ165" s="298">
        <v>2000.45</v>
      </c>
      <c r="AR165" s="299" t="s">
        <v>112</v>
      </c>
      <c r="AS165" s="188"/>
    </row>
    <row r="166" spans="1:45">
      <c r="A166" s="286">
        <v>160</v>
      </c>
      <c r="B166" s="81" t="str">
        <f>'Encargos e Benefícios'!B165</f>
        <v>Auxiliar de Serviços Gerais</v>
      </c>
      <c r="C166" s="287">
        <f>'Encargos e Benefícios'!C165</f>
        <v>1</v>
      </c>
      <c r="D166" s="288">
        <v>30</v>
      </c>
      <c r="E166" s="300">
        <v>45261</v>
      </c>
      <c r="F166" s="301">
        <v>47058</v>
      </c>
      <c r="G166" s="293">
        <v>45413</v>
      </c>
      <c r="H166" s="294">
        <v>5.8400000000000001E-2</v>
      </c>
      <c r="I166" s="256">
        <v>29.2</v>
      </c>
      <c r="J166" s="256">
        <v>6.87</v>
      </c>
      <c r="K166" s="256"/>
      <c r="L166" s="256"/>
      <c r="M166" s="293">
        <v>45778</v>
      </c>
      <c r="N166" s="294">
        <v>5.8400000000000001E-2</v>
      </c>
      <c r="O166" s="256">
        <v>30.9</v>
      </c>
      <c r="P166" s="256">
        <v>7.27</v>
      </c>
      <c r="Q166" s="256"/>
      <c r="R166" s="256"/>
      <c r="S166" s="293">
        <v>46143</v>
      </c>
      <c r="T166" s="294">
        <v>5.8400000000000001E-2</v>
      </c>
      <c r="U166" s="256">
        <v>32.71</v>
      </c>
      <c r="V166" s="256">
        <v>7.82</v>
      </c>
      <c r="W166" s="256"/>
      <c r="X166" s="256"/>
      <c r="Y166" s="293">
        <v>46508</v>
      </c>
      <c r="Z166" s="294">
        <v>5.8400000000000001E-2</v>
      </c>
      <c r="AA166" s="256">
        <v>34.619999999999997</v>
      </c>
      <c r="AB166" s="256">
        <v>8.7100000000000009</v>
      </c>
      <c r="AC166" s="256"/>
      <c r="AD166" s="256"/>
      <c r="AE166" s="293">
        <v>46874</v>
      </c>
      <c r="AF166" s="294">
        <v>5.8400000000000001E-2</v>
      </c>
      <c r="AG166" s="256">
        <v>36.64</v>
      </c>
      <c r="AH166" s="256">
        <v>10.17</v>
      </c>
      <c r="AI166" s="256"/>
      <c r="AJ166" s="257"/>
      <c r="AK166" s="296">
        <f>'Encargos e Benefícios'!D165</f>
        <v>1385</v>
      </c>
      <c r="AL166" s="296">
        <f>IF('Encargos e Benefícios'!C165=0,0,'Encargos e Benefícios'!U165/'Encargos e Benefícios'!C165)</f>
        <v>1126.1588888888887</v>
      </c>
      <c r="AM166" s="296">
        <f>IF('Encargos e Benefícios'!C165=0,0,'Encargos e Benefícios'!AC165/'Encargos e Benefícios'!C165)</f>
        <v>929.29</v>
      </c>
      <c r="AN166" s="297">
        <f>IF('Encargos e Benefícios'!C165=0,0,'Encargos e Benefícios'!AD165/'Encargos e Benefícios'!C165)</f>
        <v>3440.4488888888886</v>
      </c>
      <c r="AO166" s="188">
        <v>1437.37</v>
      </c>
      <c r="AP166" s="298">
        <v>1302</v>
      </c>
      <c r="AQ166" s="298">
        <v>1572.74</v>
      </c>
      <c r="AR166" s="299" t="s">
        <v>112</v>
      </c>
      <c r="AS166" s="188"/>
    </row>
    <row r="167" spans="1:45">
      <c r="A167" s="286">
        <v>161</v>
      </c>
      <c r="B167" s="81" t="str">
        <f>'Encargos e Benefícios'!B166</f>
        <v>Motorista</v>
      </c>
      <c r="C167" s="287">
        <f>'Encargos e Benefícios'!C166</f>
        <v>1</v>
      </c>
      <c r="D167" s="288">
        <v>40</v>
      </c>
      <c r="E167" s="300">
        <v>45261</v>
      </c>
      <c r="F167" s="301">
        <v>47058</v>
      </c>
      <c r="G167" s="293">
        <v>45413</v>
      </c>
      <c r="H167" s="294">
        <v>5.8400000000000001E-2</v>
      </c>
      <c r="I167" s="256">
        <v>29.2</v>
      </c>
      <c r="J167" s="256">
        <v>6.87</v>
      </c>
      <c r="K167" s="256"/>
      <c r="L167" s="256"/>
      <c r="M167" s="293">
        <v>45778</v>
      </c>
      <c r="N167" s="294">
        <v>5.8400000000000001E-2</v>
      </c>
      <c r="O167" s="256">
        <v>30.9</v>
      </c>
      <c r="P167" s="256">
        <v>7.27</v>
      </c>
      <c r="Q167" s="256"/>
      <c r="R167" s="256"/>
      <c r="S167" s="293">
        <v>46143</v>
      </c>
      <c r="T167" s="294">
        <v>5.8400000000000001E-2</v>
      </c>
      <c r="U167" s="256">
        <v>32.71</v>
      </c>
      <c r="V167" s="256">
        <v>7.82</v>
      </c>
      <c r="W167" s="256"/>
      <c r="X167" s="256"/>
      <c r="Y167" s="293">
        <v>46508</v>
      </c>
      <c r="Z167" s="294">
        <v>5.8400000000000001E-2</v>
      </c>
      <c r="AA167" s="256">
        <v>34.619999999999997</v>
      </c>
      <c r="AB167" s="256">
        <v>8.7100000000000009</v>
      </c>
      <c r="AC167" s="256"/>
      <c r="AD167" s="256"/>
      <c r="AE167" s="293">
        <v>46874</v>
      </c>
      <c r="AF167" s="294">
        <v>5.8400000000000001E-2</v>
      </c>
      <c r="AG167" s="256">
        <v>36.64</v>
      </c>
      <c r="AH167" s="256">
        <v>10.17</v>
      </c>
      <c r="AI167" s="256"/>
      <c r="AJ167" s="257"/>
      <c r="AK167" s="296">
        <f>'Encargos e Benefícios'!D166</f>
        <v>1452.39</v>
      </c>
      <c r="AL167" s="296">
        <f>IF('Encargos e Benefícios'!C166=0,0,'Encargos e Benefícios'!U166/'Encargos e Benefícios'!C166)</f>
        <v>1180.9544466666669</v>
      </c>
      <c r="AM167" s="296">
        <f>IF('Encargos e Benefícios'!C166=0,0,'Encargos e Benefícios'!AC166/'Encargos e Benefícios'!C166)</f>
        <v>929.29</v>
      </c>
      <c r="AN167" s="297">
        <f>IF('Encargos e Benefícios'!C166=0,0,'Encargos e Benefícios'!AD166/'Encargos e Benefícios'!C166)</f>
        <v>3562.6344466666669</v>
      </c>
      <c r="AO167" s="188">
        <v>2046.28</v>
      </c>
      <c r="AP167" s="298">
        <v>1212</v>
      </c>
      <c r="AQ167" s="298">
        <v>2880.55</v>
      </c>
      <c r="AR167" s="299" t="s">
        <v>112</v>
      </c>
      <c r="AS167" s="188"/>
    </row>
    <row r="168" spans="1:45">
      <c r="A168" s="286">
        <v>162</v>
      </c>
      <c r="B168" s="81" t="str">
        <f>'Encargos e Benefícios'!B167</f>
        <v>Socioeducador - DC</v>
      </c>
      <c r="C168" s="287">
        <f>'Encargos e Benefícios'!C167</f>
        <v>2</v>
      </c>
      <c r="D168" s="288" t="s">
        <v>504</v>
      </c>
      <c r="E168" s="300">
        <v>45261</v>
      </c>
      <c r="F168" s="301">
        <v>47058</v>
      </c>
      <c r="G168" s="293">
        <v>45413</v>
      </c>
      <c r="H168" s="294">
        <v>5.8400000000000001E-2</v>
      </c>
      <c r="I168" s="256">
        <v>29.2</v>
      </c>
      <c r="J168" s="256">
        <v>6.87</v>
      </c>
      <c r="K168" s="256"/>
      <c r="L168" s="256"/>
      <c r="M168" s="293">
        <v>45778</v>
      </c>
      <c r="N168" s="294">
        <v>5.8400000000000001E-2</v>
      </c>
      <c r="O168" s="256">
        <v>30.9</v>
      </c>
      <c r="P168" s="256">
        <v>7.27</v>
      </c>
      <c r="Q168" s="256"/>
      <c r="R168" s="256"/>
      <c r="S168" s="293">
        <v>46143</v>
      </c>
      <c r="T168" s="294">
        <v>5.8400000000000001E-2</v>
      </c>
      <c r="U168" s="256">
        <v>32.71</v>
      </c>
      <c r="V168" s="256">
        <v>7.82</v>
      </c>
      <c r="W168" s="256"/>
      <c r="X168" s="256"/>
      <c r="Y168" s="293">
        <v>46508</v>
      </c>
      <c r="Z168" s="294">
        <v>5.8400000000000001E-2</v>
      </c>
      <c r="AA168" s="256">
        <v>34.619999999999997</v>
      </c>
      <c r="AB168" s="256">
        <v>8.7100000000000009</v>
      </c>
      <c r="AC168" s="256"/>
      <c r="AD168" s="256"/>
      <c r="AE168" s="293">
        <v>46874</v>
      </c>
      <c r="AF168" s="294">
        <v>5.8400000000000001E-2</v>
      </c>
      <c r="AG168" s="256">
        <v>36.64</v>
      </c>
      <c r="AH168" s="256">
        <v>10.17</v>
      </c>
      <c r="AI168" s="256"/>
      <c r="AJ168" s="257"/>
      <c r="AK168" s="296">
        <f>'Encargos e Benefícios'!D167</f>
        <v>1900</v>
      </c>
      <c r="AL168" s="296">
        <f>IF('Encargos e Benefícios'!C167=0,0,'Encargos e Benefícios'!U167/'Encargos e Benefícios'!C167)</f>
        <v>2544.7966666666666</v>
      </c>
      <c r="AM168" s="296">
        <f>IF('Encargos e Benefícios'!C167=0,0,'Encargos e Benefícios'!AC167/'Encargos e Benefícios'!C167)</f>
        <v>446.88</v>
      </c>
      <c r="AN168" s="297">
        <f>IF('Encargos e Benefícios'!C167=0,0,'Encargos e Benefícios'!AD167/'Encargos e Benefícios'!C167)</f>
        <v>4891.6766666666672</v>
      </c>
      <c r="AO168" s="188">
        <v>2752.21</v>
      </c>
      <c r="AP168" s="298">
        <v>1764.5</v>
      </c>
      <c r="AQ168" s="298">
        <v>3739.92</v>
      </c>
      <c r="AR168" s="299" t="s">
        <v>112</v>
      </c>
      <c r="AS168" s="188"/>
    </row>
    <row r="169" spans="1:45">
      <c r="A169" s="286">
        <v>163</v>
      </c>
      <c r="B169" s="81" t="str">
        <f>'Encargos e Benefícios'!B168</f>
        <v>Socioeducador - D</v>
      </c>
      <c r="C169" s="287">
        <f>'Encargos e Benefícios'!C168</f>
        <v>12</v>
      </c>
      <c r="D169" s="288" t="s">
        <v>504</v>
      </c>
      <c r="E169" s="300">
        <v>45261</v>
      </c>
      <c r="F169" s="301">
        <v>47058</v>
      </c>
      <c r="G169" s="293">
        <v>45413</v>
      </c>
      <c r="H169" s="294">
        <v>5.8400000000000001E-2</v>
      </c>
      <c r="I169" s="256">
        <v>29.2</v>
      </c>
      <c r="J169" s="256">
        <v>6.87</v>
      </c>
      <c r="K169" s="256"/>
      <c r="L169" s="256"/>
      <c r="M169" s="293">
        <v>45778</v>
      </c>
      <c r="N169" s="294">
        <v>5.8400000000000001E-2</v>
      </c>
      <c r="O169" s="256">
        <v>30.9</v>
      </c>
      <c r="P169" s="256">
        <v>7.27</v>
      </c>
      <c r="Q169" s="256"/>
      <c r="R169" s="256"/>
      <c r="S169" s="293">
        <v>46143</v>
      </c>
      <c r="T169" s="294">
        <v>5.8400000000000001E-2</v>
      </c>
      <c r="U169" s="256">
        <v>32.71</v>
      </c>
      <c r="V169" s="256">
        <v>7.82</v>
      </c>
      <c r="W169" s="256"/>
      <c r="X169" s="256"/>
      <c r="Y169" s="293">
        <v>46508</v>
      </c>
      <c r="Z169" s="294">
        <v>5.8400000000000001E-2</v>
      </c>
      <c r="AA169" s="256">
        <v>34.619999999999997</v>
      </c>
      <c r="AB169" s="256">
        <v>8.7100000000000009</v>
      </c>
      <c r="AC169" s="256"/>
      <c r="AD169" s="256"/>
      <c r="AE169" s="293">
        <v>46874</v>
      </c>
      <c r="AF169" s="294">
        <v>5.8400000000000001E-2</v>
      </c>
      <c r="AG169" s="256">
        <v>36.64</v>
      </c>
      <c r="AH169" s="256">
        <v>10.17</v>
      </c>
      <c r="AI169" s="256"/>
      <c r="AJ169" s="257"/>
      <c r="AK169" s="296">
        <f>'Encargos e Benefícios'!D168</f>
        <v>1900</v>
      </c>
      <c r="AL169" s="296">
        <f>IF('Encargos e Benefícios'!C168=0,0,'Encargos e Benefícios'!U168/'Encargos e Benefícios'!C168)</f>
        <v>2281.7944444444447</v>
      </c>
      <c r="AM169" s="296">
        <f>IF('Encargos e Benefícios'!C168=0,0,'Encargos e Benefícios'!AC168/'Encargos e Benefícios'!C168)</f>
        <v>74.48</v>
      </c>
      <c r="AN169" s="297">
        <f>IF('Encargos e Benefícios'!C168=0,0,'Encargos e Benefícios'!AD168/'Encargos e Benefícios'!C168)</f>
        <v>4256.2744444444452</v>
      </c>
      <c r="AO169" s="188">
        <v>2752.21</v>
      </c>
      <c r="AP169" s="298">
        <v>1764.5</v>
      </c>
      <c r="AQ169" s="298">
        <v>3739.92</v>
      </c>
      <c r="AR169" s="299" t="s">
        <v>112</v>
      </c>
      <c r="AS169" s="188"/>
    </row>
    <row r="170" spans="1:45">
      <c r="A170" s="286">
        <v>164</v>
      </c>
      <c r="B170" s="81" t="str">
        <f>'Encargos e Benefícios'!B169</f>
        <v>Socioeducador - NC</v>
      </c>
      <c r="C170" s="287">
        <f>'Encargos e Benefícios'!C169</f>
        <v>2</v>
      </c>
      <c r="D170" s="288" t="s">
        <v>504</v>
      </c>
      <c r="E170" s="300">
        <v>45261</v>
      </c>
      <c r="F170" s="301">
        <v>47058</v>
      </c>
      <c r="G170" s="293">
        <v>45413</v>
      </c>
      <c r="H170" s="294">
        <v>5.8400000000000001E-2</v>
      </c>
      <c r="I170" s="256">
        <v>29.2</v>
      </c>
      <c r="J170" s="256">
        <v>6.87</v>
      </c>
      <c r="K170" s="256"/>
      <c r="L170" s="256"/>
      <c r="M170" s="293">
        <v>45778</v>
      </c>
      <c r="N170" s="294">
        <v>5.8400000000000001E-2</v>
      </c>
      <c r="O170" s="256">
        <v>30.9</v>
      </c>
      <c r="P170" s="256">
        <v>7.27</v>
      </c>
      <c r="Q170" s="256"/>
      <c r="R170" s="256"/>
      <c r="S170" s="293">
        <v>46143</v>
      </c>
      <c r="T170" s="294">
        <v>5.8400000000000001E-2</v>
      </c>
      <c r="U170" s="256">
        <v>32.71</v>
      </c>
      <c r="V170" s="256">
        <v>7.82</v>
      </c>
      <c r="W170" s="256"/>
      <c r="X170" s="256"/>
      <c r="Y170" s="293">
        <v>46508</v>
      </c>
      <c r="Z170" s="294">
        <v>5.8400000000000001E-2</v>
      </c>
      <c r="AA170" s="256">
        <v>34.619999999999997</v>
      </c>
      <c r="AB170" s="256">
        <v>8.7100000000000009</v>
      </c>
      <c r="AC170" s="256"/>
      <c r="AD170" s="256"/>
      <c r="AE170" s="293">
        <v>46874</v>
      </c>
      <c r="AF170" s="294">
        <v>5.8400000000000001E-2</v>
      </c>
      <c r="AG170" s="256">
        <v>36.64</v>
      </c>
      <c r="AH170" s="256">
        <v>10.17</v>
      </c>
      <c r="AI170" s="256"/>
      <c r="AJ170" s="257"/>
      <c r="AK170" s="296">
        <f>'Encargos e Benefícios'!D169</f>
        <v>1900</v>
      </c>
      <c r="AL170" s="296">
        <f>IF('Encargos e Benefícios'!C169=0,0,'Encargos e Benefícios'!U169/'Encargos e Benefícios'!C169)</f>
        <v>3013.1818518518517</v>
      </c>
      <c r="AM170" s="296">
        <f>IF('Encargos e Benefícios'!C169=0,0,'Encargos e Benefícios'!AC169/'Encargos e Benefícios'!C169)</f>
        <v>446.88</v>
      </c>
      <c r="AN170" s="297">
        <f>IF('Encargos e Benefícios'!C169=0,0,'Encargos e Benefícios'!AD169/'Encargos e Benefícios'!C169)</f>
        <v>5360.0618518518522</v>
      </c>
      <c r="AO170" s="188">
        <v>2752.21</v>
      </c>
      <c r="AP170" s="298">
        <v>1764.5</v>
      </c>
      <c r="AQ170" s="298">
        <v>3739.92</v>
      </c>
      <c r="AR170" s="299" t="s">
        <v>112</v>
      </c>
      <c r="AS170" s="188"/>
    </row>
    <row r="171" spans="1:45" ht="13.5" thickBot="1">
      <c r="A171" s="286">
        <v>165</v>
      </c>
      <c r="B171" s="81" t="str">
        <f>'Encargos e Benefícios'!B170</f>
        <v>Socioeducador - N</v>
      </c>
      <c r="C171" s="287">
        <f>'Encargos e Benefícios'!C170</f>
        <v>6</v>
      </c>
      <c r="D171" s="288" t="s">
        <v>504</v>
      </c>
      <c r="E171" s="300">
        <v>45261</v>
      </c>
      <c r="F171" s="301">
        <v>47058</v>
      </c>
      <c r="G171" s="293">
        <v>45413</v>
      </c>
      <c r="H171" s="294">
        <v>5.8400000000000001E-2</v>
      </c>
      <c r="I171" s="256">
        <v>29.2</v>
      </c>
      <c r="J171" s="256">
        <v>6.87</v>
      </c>
      <c r="K171" s="256"/>
      <c r="L171" s="256"/>
      <c r="M171" s="293">
        <v>45778</v>
      </c>
      <c r="N171" s="294">
        <v>5.8400000000000001E-2</v>
      </c>
      <c r="O171" s="256">
        <v>30.9</v>
      </c>
      <c r="P171" s="256">
        <v>7.27</v>
      </c>
      <c r="Q171" s="256"/>
      <c r="R171" s="256"/>
      <c r="S171" s="293">
        <v>46143</v>
      </c>
      <c r="T171" s="294">
        <v>5.8400000000000001E-2</v>
      </c>
      <c r="U171" s="256">
        <v>32.71</v>
      </c>
      <c r="V171" s="256">
        <v>7.82</v>
      </c>
      <c r="W171" s="256"/>
      <c r="X171" s="256"/>
      <c r="Y171" s="293">
        <v>46508</v>
      </c>
      <c r="Z171" s="294">
        <v>5.8400000000000001E-2</v>
      </c>
      <c r="AA171" s="256">
        <v>34.619999999999997</v>
      </c>
      <c r="AB171" s="256">
        <v>8.7100000000000009</v>
      </c>
      <c r="AC171" s="256"/>
      <c r="AD171" s="256"/>
      <c r="AE171" s="293">
        <v>46874</v>
      </c>
      <c r="AF171" s="294">
        <v>5.8400000000000001E-2</v>
      </c>
      <c r="AG171" s="256">
        <v>36.64</v>
      </c>
      <c r="AH171" s="256">
        <v>10.17</v>
      </c>
      <c r="AI171" s="256"/>
      <c r="AJ171" s="257"/>
      <c r="AK171" s="296">
        <f>'Encargos e Benefícios'!D170</f>
        <v>1900</v>
      </c>
      <c r="AL171" s="296">
        <f>IF('Encargos e Benefícios'!C170=0,0,'Encargos e Benefícios'!U170/'Encargos e Benefícios'!C170)</f>
        <v>2750.1796296296302</v>
      </c>
      <c r="AM171" s="296">
        <f>IF('Encargos e Benefícios'!C170=0,0,'Encargos e Benefícios'!AC170/'Encargos e Benefícios'!C170)</f>
        <v>148.96</v>
      </c>
      <c r="AN171" s="297">
        <f>IF('Encargos e Benefícios'!C170=0,0,'Encargos e Benefícios'!AD170/'Encargos e Benefícios'!C170)</f>
        <v>4799.1396296296298</v>
      </c>
      <c r="AO171" s="188">
        <v>2752.21</v>
      </c>
      <c r="AP171" s="298">
        <v>1764.5</v>
      </c>
      <c r="AQ171" s="298">
        <v>3739.92</v>
      </c>
      <c r="AR171" s="299" t="s">
        <v>112</v>
      </c>
      <c r="AS171" s="188"/>
    </row>
    <row r="172" spans="1:45">
      <c r="A172" s="286">
        <v>166</v>
      </c>
      <c r="B172" s="81" t="str">
        <f>'Encargos e Benefícios'!B171</f>
        <v>Diretor Geral de Unidade Socioeducativa</v>
      </c>
      <c r="C172" s="287">
        <f>'Encargos e Benefícios'!C171</f>
        <v>1</v>
      </c>
      <c r="D172" s="288">
        <v>40</v>
      </c>
      <c r="E172" s="300">
        <v>45292</v>
      </c>
      <c r="F172" s="290">
        <v>47058</v>
      </c>
      <c r="G172" s="293">
        <v>45413</v>
      </c>
      <c r="H172" s="294">
        <v>5.8400000000000001E-2</v>
      </c>
      <c r="I172" s="256">
        <v>29.2</v>
      </c>
      <c r="J172" s="256">
        <v>6.87</v>
      </c>
      <c r="K172" s="256"/>
      <c r="L172" s="256"/>
      <c r="M172" s="293">
        <v>45778</v>
      </c>
      <c r="N172" s="294">
        <v>5.8400000000000001E-2</v>
      </c>
      <c r="O172" s="256">
        <v>30.9</v>
      </c>
      <c r="P172" s="256">
        <v>7.27</v>
      </c>
      <c r="Q172" s="256"/>
      <c r="R172" s="256"/>
      <c r="S172" s="293">
        <v>46143</v>
      </c>
      <c r="T172" s="294">
        <v>5.8400000000000001E-2</v>
      </c>
      <c r="U172" s="256">
        <v>32.71</v>
      </c>
      <c r="V172" s="256">
        <v>7.82</v>
      </c>
      <c r="W172" s="256"/>
      <c r="X172" s="256"/>
      <c r="Y172" s="293">
        <v>46508</v>
      </c>
      <c r="Z172" s="294">
        <v>5.8400000000000001E-2</v>
      </c>
      <c r="AA172" s="256">
        <v>34.619999999999997</v>
      </c>
      <c r="AB172" s="256">
        <v>8.7100000000000009</v>
      </c>
      <c r="AC172" s="256"/>
      <c r="AD172" s="256"/>
      <c r="AE172" s="293">
        <v>46874</v>
      </c>
      <c r="AF172" s="294">
        <v>5.8400000000000001E-2</v>
      </c>
      <c r="AG172" s="256">
        <v>36.64</v>
      </c>
      <c r="AH172" s="256">
        <v>10.17</v>
      </c>
      <c r="AI172" s="256"/>
      <c r="AJ172" s="257"/>
      <c r="AK172" s="296">
        <f>'Encargos e Benefícios'!D171</f>
        <v>6500</v>
      </c>
      <c r="AL172" s="296">
        <f>IF('Encargos e Benefícios'!C171=0,0,'Encargos e Benefícios'!U171/'Encargos e Benefícios'!C171)</f>
        <v>5194.2222222222235</v>
      </c>
      <c r="AM172" s="296">
        <f>IF('Encargos e Benefícios'!C171=0,0,'Encargos e Benefícios'!AC171/'Encargos e Benefícios'!C171)</f>
        <v>817.61999999999989</v>
      </c>
      <c r="AN172" s="297">
        <f>IF('Encargos e Benefícios'!C171=0,0,'Encargos e Benefícios'!AD171/'Encargos e Benefícios'!C171)</f>
        <v>12511.842222222222</v>
      </c>
      <c r="AO172" s="188">
        <v>6052.24</v>
      </c>
      <c r="AP172" s="298">
        <v>4239.6899999999996</v>
      </c>
      <c r="AQ172" s="298">
        <v>7864.78</v>
      </c>
      <c r="AR172" s="299" t="s">
        <v>113</v>
      </c>
      <c r="AS172" s="188"/>
    </row>
    <row r="173" spans="1:45">
      <c r="A173" s="286">
        <v>167</v>
      </c>
      <c r="B173" s="81" t="str">
        <f>'Encargos e Benefícios'!B172</f>
        <v>Subdiretor de Segurança</v>
      </c>
      <c r="C173" s="287">
        <f>'Encargos e Benefícios'!C172</f>
        <v>1</v>
      </c>
      <c r="D173" s="288">
        <v>40</v>
      </c>
      <c r="E173" s="300">
        <v>45292</v>
      </c>
      <c r="F173" s="301">
        <v>47058</v>
      </c>
      <c r="G173" s="293">
        <v>45413</v>
      </c>
      <c r="H173" s="294">
        <v>5.8400000000000001E-2</v>
      </c>
      <c r="I173" s="256">
        <v>29.2</v>
      </c>
      <c r="J173" s="256">
        <v>6.87</v>
      </c>
      <c r="K173" s="256"/>
      <c r="L173" s="256"/>
      <c r="M173" s="293">
        <v>45778</v>
      </c>
      <c r="N173" s="294">
        <v>5.8400000000000001E-2</v>
      </c>
      <c r="O173" s="256">
        <v>30.9</v>
      </c>
      <c r="P173" s="256">
        <v>7.27</v>
      </c>
      <c r="Q173" s="256"/>
      <c r="R173" s="256"/>
      <c r="S173" s="293">
        <v>46143</v>
      </c>
      <c r="T173" s="294">
        <v>5.8400000000000001E-2</v>
      </c>
      <c r="U173" s="256">
        <v>32.71</v>
      </c>
      <c r="V173" s="256">
        <v>7.82</v>
      </c>
      <c r="W173" s="256"/>
      <c r="X173" s="256"/>
      <c r="Y173" s="293">
        <v>46508</v>
      </c>
      <c r="Z173" s="294">
        <v>5.8400000000000001E-2</v>
      </c>
      <c r="AA173" s="256">
        <v>34.619999999999997</v>
      </c>
      <c r="AB173" s="256">
        <v>8.7100000000000009</v>
      </c>
      <c r="AC173" s="256"/>
      <c r="AD173" s="256"/>
      <c r="AE173" s="293">
        <v>46874</v>
      </c>
      <c r="AF173" s="294">
        <v>5.8400000000000001E-2</v>
      </c>
      <c r="AG173" s="256">
        <v>36.64</v>
      </c>
      <c r="AH173" s="256">
        <v>10.17</v>
      </c>
      <c r="AI173" s="256"/>
      <c r="AJ173" s="257"/>
      <c r="AK173" s="296">
        <f>'Encargos e Benefícios'!D172</f>
        <v>3773.6</v>
      </c>
      <c r="AL173" s="296">
        <f>IF('Encargos e Benefícios'!C172=0,0,'Encargos e Benefícios'!U172/'Encargos e Benefícios'!C172)</f>
        <v>4147.6056888888888</v>
      </c>
      <c r="AM173" s="296">
        <f>IF('Encargos e Benefícios'!C172=0,0,'Encargos e Benefícios'!AC172/'Encargos e Benefícios'!C172)</f>
        <v>817.61999999999989</v>
      </c>
      <c r="AN173" s="297">
        <f>IF('Encargos e Benefícios'!C172=0,0,'Encargos e Benefícios'!AD172/'Encargos e Benefícios'!C172)</f>
        <v>8738.82568888889</v>
      </c>
      <c r="AO173" s="188">
        <v>4968.99</v>
      </c>
      <c r="AP173" s="298">
        <v>3773.6</v>
      </c>
      <c r="AQ173" s="298">
        <v>6164.38</v>
      </c>
      <c r="AR173" s="299" t="s">
        <v>113</v>
      </c>
      <c r="AS173" s="188"/>
    </row>
    <row r="174" spans="1:45">
      <c r="A174" s="286">
        <v>168</v>
      </c>
      <c r="B174" s="81" t="str">
        <f>'Encargos e Benefícios'!B173</f>
        <v>Advogado</v>
      </c>
      <c r="C174" s="287">
        <f>'Encargos e Benefícios'!C173</f>
        <v>1</v>
      </c>
      <c r="D174" s="288">
        <v>30</v>
      </c>
      <c r="E174" s="300">
        <v>45292</v>
      </c>
      <c r="F174" s="301">
        <v>47058</v>
      </c>
      <c r="G174" s="293">
        <v>45413</v>
      </c>
      <c r="H174" s="294">
        <v>5.8400000000000001E-2</v>
      </c>
      <c r="I174" s="256">
        <v>29.2</v>
      </c>
      <c r="J174" s="256">
        <v>6.87</v>
      </c>
      <c r="K174" s="256"/>
      <c r="L174" s="256"/>
      <c r="M174" s="293">
        <v>45778</v>
      </c>
      <c r="N174" s="294">
        <v>5.8400000000000001E-2</v>
      </c>
      <c r="O174" s="256">
        <v>30.9</v>
      </c>
      <c r="P174" s="256">
        <v>7.27</v>
      </c>
      <c r="Q174" s="256"/>
      <c r="R174" s="256"/>
      <c r="S174" s="293">
        <v>46143</v>
      </c>
      <c r="T174" s="294">
        <v>5.8400000000000001E-2</v>
      </c>
      <c r="U174" s="256">
        <v>32.71</v>
      </c>
      <c r="V174" s="256">
        <v>7.82</v>
      </c>
      <c r="W174" s="256"/>
      <c r="X174" s="256"/>
      <c r="Y174" s="293">
        <v>46508</v>
      </c>
      <c r="Z174" s="294">
        <v>5.8400000000000001E-2</v>
      </c>
      <c r="AA174" s="256">
        <v>34.619999999999997</v>
      </c>
      <c r="AB174" s="256">
        <v>8.7100000000000009</v>
      </c>
      <c r="AC174" s="256"/>
      <c r="AD174" s="256"/>
      <c r="AE174" s="293">
        <v>46874</v>
      </c>
      <c r="AF174" s="294">
        <v>5.8400000000000001E-2</v>
      </c>
      <c r="AG174" s="256">
        <v>36.64</v>
      </c>
      <c r="AH174" s="256">
        <v>10.17</v>
      </c>
      <c r="AI174" s="256"/>
      <c r="AJ174" s="257"/>
      <c r="AK174" s="296">
        <f>'Encargos e Benefícios'!D173</f>
        <v>2600</v>
      </c>
      <c r="AL174" s="296">
        <f>IF('Encargos e Benefícios'!C173=0,0,'Encargos e Benefícios'!U173/'Encargos e Benefícios'!C173)</f>
        <v>2114.088888888889</v>
      </c>
      <c r="AM174" s="296">
        <f>IF('Encargos e Benefícios'!C173=0,0,'Encargos e Benefícios'!AC173/'Encargos e Benefícios'!C173)</f>
        <v>954.1099999999999</v>
      </c>
      <c r="AN174" s="297">
        <f>IF('Encargos e Benefícios'!C173=0,0,'Encargos e Benefícios'!AD173/'Encargos e Benefícios'!C173)</f>
        <v>5668.1988888888891</v>
      </c>
      <c r="AO174" s="188">
        <v>2767.69</v>
      </c>
      <c r="AP174" s="298">
        <v>2500</v>
      </c>
      <c r="AQ174" s="298">
        <v>3035.37</v>
      </c>
      <c r="AR174" s="299" t="s">
        <v>113</v>
      </c>
      <c r="AS174" s="188"/>
    </row>
    <row r="175" spans="1:45">
      <c r="A175" s="286">
        <v>169</v>
      </c>
      <c r="B175" s="81" t="str">
        <f>'Encargos e Benefícios'!B174</f>
        <v>Assistente Social</v>
      </c>
      <c r="C175" s="287">
        <f>'Encargos e Benefícios'!C174</f>
        <v>1</v>
      </c>
      <c r="D175" s="288">
        <v>30</v>
      </c>
      <c r="E175" s="300">
        <v>45292</v>
      </c>
      <c r="F175" s="301">
        <v>47058</v>
      </c>
      <c r="G175" s="293">
        <v>45413</v>
      </c>
      <c r="H175" s="294">
        <v>5.8400000000000001E-2</v>
      </c>
      <c r="I175" s="256">
        <v>29.2</v>
      </c>
      <c r="J175" s="256">
        <v>6.87</v>
      </c>
      <c r="K175" s="256"/>
      <c r="L175" s="256"/>
      <c r="M175" s="293">
        <v>45778</v>
      </c>
      <c r="N175" s="294">
        <v>5.8400000000000001E-2</v>
      </c>
      <c r="O175" s="256">
        <v>30.9</v>
      </c>
      <c r="P175" s="256">
        <v>7.27</v>
      </c>
      <c r="Q175" s="256"/>
      <c r="R175" s="256"/>
      <c r="S175" s="293">
        <v>46143</v>
      </c>
      <c r="T175" s="294">
        <v>5.8400000000000001E-2</v>
      </c>
      <c r="U175" s="256">
        <v>32.71</v>
      </c>
      <c r="V175" s="256">
        <v>7.82</v>
      </c>
      <c r="W175" s="256"/>
      <c r="X175" s="256"/>
      <c r="Y175" s="293">
        <v>46508</v>
      </c>
      <c r="Z175" s="294">
        <v>5.8400000000000001E-2</v>
      </c>
      <c r="AA175" s="256">
        <v>34.619999999999997</v>
      </c>
      <c r="AB175" s="256">
        <v>8.7100000000000009</v>
      </c>
      <c r="AC175" s="256"/>
      <c r="AD175" s="256"/>
      <c r="AE175" s="293">
        <v>46874</v>
      </c>
      <c r="AF175" s="294">
        <v>5.8400000000000001E-2</v>
      </c>
      <c r="AG175" s="256">
        <v>36.64</v>
      </c>
      <c r="AH175" s="256">
        <v>10.17</v>
      </c>
      <c r="AI175" s="256"/>
      <c r="AJ175" s="257"/>
      <c r="AK175" s="296">
        <f>'Encargos e Benefícios'!D174</f>
        <v>2600</v>
      </c>
      <c r="AL175" s="296">
        <f>IF('Encargos e Benefícios'!C174=0,0,'Encargos e Benefícios'!U174/'Encargos e Benefícios'!C174)</f>
        <v>2114.088888888889</v>
      </c>
      <c r="AM175" s="296">
        <f>IF('Encargos e Benefícios'!C174=0,0,'Encargos e Benefícios'!AC174/'Encargos e Benefícios'!C174)</f>
        <v>954.1099999999999</v>
      </c>
      <c r="AN175" s="297">
        <f>IF('Encargos e Benefícios'!C174=0,0,'Encargos e Benefícios'!AD174/'Encargos e Benefícios'!C174)</f>
        <v>5668.1988888888891</v>
      </c>
      <c r="AO175" s="188">
        <v>3277.91</v>
      </c>
      <c r="AP175" s="298">
        <v>2500</v>
      </c>
      <c r="AQ175" s="298">
        <v>4055.81</v>
      </c>
      <c r="AR175" s="299" t="s">
        <v>113</v>
      </c>
      <c r="AS175" s="188"/>
    </row>
    <row r="176" spans="1:45">
      <c r="A176" s="286">
        <v>170</v>
      </c>
      <c r="B176" s="81" t="str">
        <f>'Encargos e Benefícios'!B175</f>
        <v>Pedagogo</v>
      </c>
      <c r="C176" s="287">
        <f>'Encargos e Benefícios'!C175</f>
        <v>1</v>
      </c>
      <c r="D176" s="288">
        <v>30</v>
      </c>
      <c r="E176" s="300">
        <v>45292</v>
      </c>
      <c r="F176" s="301">
        <v>47058</v>
      </c>
      <c r="G176" s="293">
        <v>45413</v>
      </c>
      <c r="H176" s="294">
        <v>5.8400000000000001E-2</v>
      </c>
      <c r="I176" s="256">
        <v>29.2</v>
      </c>
      <c r="J176" s="256">
        <v>6.87</v>
      </c>
      <c r="K176" s="256"/>
      <c r="L176" s="256"/>
      <c r="M176" s="293">
        <v>45778</v>
      </c>
      <c r="N176" s="294">
        <v>5.8400000000000001E-2</v>
      </c>
      <c r="O176" s="256">
        <v>30.9</v>
      </c>
      <c r="P176" s="256">
        <v>7.27</v>
      </c>
      <c r="Q176" s="256"/>
      <c r="R176" s="256"/>
      <c r="S176" s="293">
        <v>46143</v>
      </c>
      <c r="T176" s="294">
        <v>5.8400000000000001E-2</v>
      </c>
      <c r="U176" s="256">
        <v>32.71</v>
      </c>
      <c r="V176" s="256">
        <v>7.82</v>
      </c>
      <c r="W176" s="256"/>
      <c r="X176" s="256"/>
      <c r="Y176" s="293">
        <v>46508</v>
      </c>
      <c r="Z176" s="294">
        <v>5.8400000000000001E-2</v>
      </c>
      <c r="AA176" s="256">
        <v>34.619999999999997</v>
      </c>
      <c r="AB176" s="256">
        <v>8.7100000000000009</v>
      </c>
      <c r="AC176" s="256"/>
      <c r="AD176" s="256"/>
      <c r="AE176" s="293">
        <v>46874</v>
      </c>
      <c r="AF176" s="294">
        <v>5.8400000000000001E-2</v>
      </c>
      <c r="AG176" s="256">
        <v>36.64</v>
      </c>
      <c r="AH176" s="256">
        <v>10.17</v>
      </c>
      <c r="AI176" s="256"/>
      <c r="AJ176" s="257"/>
      <c r="AK176" s="296">
        <f>'Encargos e Benefícios'!D175</f>
        <v>2600</v>
      </c>
      <c r="AL176" s="296">
        <f>IF('Encargos e Benefícios'!C175=0,0,'Encargos e Benefícios'!U175/'Encargos e Benefícios'!C175)</f>
        <v>2114.088888888889</v>
      </c>
      <c r="AM176" s="296">
        <f>IF('Encargos e Benefícios'!C175=0,0,'Encargos e Benefícios'!AC175/'Encargos e Benefícios'!C175)</f>
        <v>954.1099999999999</v>
      </c>
      <c r="AN176" s="297">
        <f>IF('Encargos e Benefícios'!C175=0,0,'Encargos e Benefícios'!AD175/'Encargos e Benefícios'!C175)</f>
        <v>5668.1988888888891</v>
      </c>
      <c r="AO176" s="188">
        <v>2894.94</v>
      </c>
      <c r="AP176" s="298">
        <v>2489.87</v>
      </c>
      <c r="AQ176" s="298">
        <v>3300</v>
      </c>
      <c r="AR176" s="299" t="s">
        <v>113</v>
      </c>
      <c r="AS176" s="188"/>
    </row>
    <row r="177" spans="1:45">
      <c r="A177" s="286">
        <v>171</v>
      </c>
      <c r="B177" s="81" t="str">
        <f>'Encargos e Benefícios'!B176</f>
        <v>Psicologo</v>
      </c>
      <c r="C177" s="287">
        <f>'Encargos e Benefícios'!C176</f>
        <v>1</v>
      </c>
      <c r="D177" s="288">
        <v>30</v>
      </c>
      <c r="E177" s="300">
        <v>45292</v>
      </c>
      <c r="F177" s="301">
        <v>47058</v>
      </c>
      <c r="G177" s="293">
        <v>45413</v>
      </c>
      <c r="H177" s="294">
        <v>5.8400000000000001E-2</v>
      </c>
      <c r="I177" s="256">
        <v>29.2</v>
      </c>
      <c r="J177" s="256">
        <v>6.87</v>
      </c>
      <c r="K177" s="256"/>
      <c r="L177" s="256"/>
      <c r="M177" s="293">
        <v>45778</v>
      </c>
      <c r="N177" s="294">
        <v>5.8400000000000001E-2</v>
      </c>
      <c r="O177" s="256">
        <v>30.9</v>
      </c>
      <c r="P177" s="256">
        <v>7.27</v>
      </c>
      <c r="Q177" s="256"/>
      <c r="R177" s="256"/>
      <c r="S177" s="293">
        <v>46143</v>
      </c>
      <c r="T177" s="294">
        <v>5.8400000000000001E-2</v>
      </c>
      <c r="U177" s="256">
        <v>32.71</v>
      </c>
      <c r="V177" s="256">
        <v>7.82</v>
      </c>
      <c r="W177" s="256"/>
      <c r="X177" s="256"/>
      <c r="Y177" s="293">
        <v>46508</v>
      </c>
      <c r="Z177" s="294">
        <v>5.8400000000000001E-2</v>
      </c>
      <c r="AA177" s="256">
        <v>34.619999999999997</v>
      </c>
      <c r="AB177" s="256">
        <v>8.7100000000000009</v>
      </c>
      <c r="AC177" s="256"/>
      <c r="AD177" s="256"/>
      <c r="AE177" s="293">
        <v>46874</v>
      </c>
      <c r="AF177" s="294">
        <v>5.8400000000000001E-2</v>
      </c>
      <c r="AG177" s="256">
        <v>36.64</v>
      </c>
      <c r="AH177" s="256">
        <v>10.17</v>
      </c>
      <c r="AI177" s="256"/>
      <c r="AJ177" s="257"/>
      <c r="AK177" s="296">
        <f>'Encargos e Benefícios'!D176</f>
        <v>2600</v>
      </c>
      <c r="AL177" s="296">
        <f>IF('Encargos e Benefícios'!C176=0,0,'Encargos e Benefícios'!U176/'Encargos e Benefícios'!C176)</f>
        <v>2114.088888888889</v>
      </c>
      <c r="AM177" s="296">
        <f>IF('Encargos e Benefícios'!C176=0,0,'Encargos e Benefícios'!AC176/'Encargos e Benefícios'!C176)</f>
        <v>954.1099999999999</v>
      </c>
      <c r="AN177" s="297">
        <f>IF('Encargos e Benefícios'!C176=0,0,'Encargos e Benefícios'!AD176/'Encargos e Benefícios'!C176)</f>
        <v>5668.1988888888891</v>
      </c>
      <c r="AO177" s="188">
        <v>3953.69</v>
      </c>
      <c r="AP177" s="298">
        <v>2500</v>
      </c>
      <c r="AQ177" s="298">
        <v>5407.37</v>
      </c>
      <c r="AR177" s="299" t="s">
        <v>113</v>
      </c>
      <c r="AS177" s="188"/>
    </row>
    <row r="178" spans="1:45">
      <c r="A178" s="286">
        <v>172</v>
      </c>
      <c r="B178" s="81" t="str">
        <f>'Encargos e Benefícios'!B177</f>
        <v>Terapeuta Ocupacional</v>
      </c>
      <c r="C178" s="287">
        <f>'Encargos e Benefícios'!C177</f>
        <v>1</v>
      </c>
      <c r="D178" s="288">
        <v>30</v>
      </c>
      <c r="E178" s="300">
        <v>45292</v>
      </c>
      <c r="F178" s="301">
        <v>47058</v>
      </c>
      <c r="G178" s="293">
        <v>45413</v>
      </c>
      <c r="H178" s="294">
        <v>5.8400000000000001E-2</v>
      </c>
      <c r="I178" s="256">
        <v>29.2</v>
      </c>
      <c r="J178" s="256">
        <v>6.87</v>
      </c>
      <c r="K178" s="256"/>
      <c r="L178" s="256"/>
      <c r="M178" s="293">
        <v>45778</v>
      </c>
      <c r="N178" s="294">
        <v>5.8400000000000001E-2</v>
      </c>
      <c r="O178" s="256">
        <v>30.9</v>
      </c>
      <c r="P178" s="256">
        <v>7.27</v>
      </c>
      <c r="Q178" s="256"/>
      <c r="R178" s="256"/>
      <c r="S178" s="293">
        <v>46143</v>
      </c>
      <c r="T178" s="294">
        <v>5.8400000000000001E-2</v>
      </c>
      <c r="U178" s="256">
        <v>32.71</v>
      </c>
      <c r="V178" s="256">
        <v>7.82</v>
      </c>
      <c r="W178" s="256"/>
      <c r="X178" s="256"/>
      <c r="Y178" s="293">
        <v>46508</v>
      </c>
      <c r="Z178" s="294">
        <v>5.8400000000000001E-2</v>
      </c>
      <c r="AA178" s="256">
        <v>34.619999999999997</v>
      </c>
      <c r="AB178" s="256">
        <v>8.7100000000000009</v>
      </c>
      <c r="AC178" s="256"/>
      <c r="AD178" s="256"/>
      <c r="AE178" s="293">
        <v>46874</v>
      </c>
      <c r="AF178" s="294">
        <v>5.8400000000000001E-2</v>
      </c>
      <c r="AG178" s="256">
        <v>36.64</v>
      </c>
      <c r="AH178" s="256">
        <v>10.17</v>
      </c>
      <c r="AI178" s="256"/>
      <c r="AJ178" s="257"/>
      <c r="AK178" s="296">
        <f>'Encargos e Benefícios'!D177</f>
        <v>2600</v>
      </c>
      <c r="AL178" s="296">
        <f>IF('Encargos e Benefícios'!C177=0,0,'Encargos e Benefícios'!U177/'Encargos e Benefícios'!C177)</f>
        <v>2114.088888888889</v>
      </c>
      <c r="AM178" s="296">
        <f>IF('Encargos e Benefícios'!C177=0,0,'Encargos e Benefícios'!AC177/'Encargos e Benefícios'!C177)</f>
        <v>954.1099999999999</v>
      </c>
      <c r="AN178" s="297">
        <f>IF('Encargos e Benefícios'!C177=0,0,'Encargos e Benefícios'!AD177/'Encargos e Benefícios'!C177)</f>
        <v>5668.1988888888891</v>
      </c>
      <c r="AO178" s="188">
        <v>2422.3000000000002</v>
      </c>
      <c r="AP178" s="298">
        <v>1932.61</v>
      </c>
      <c r="AQ178" s="298">
        <v>2911.99</v>
      </c>
      <c r="AR178" s="299" t="s">
        <v>113</v>
      </c>
      <c r="AS178" s="188"/>
    </row>
    <row r="179" spans="1:45">
      <c r="A179" s="286">
        <v>173</v>
      </c>
      <c r="B179" s="81" t="str">
        <f>'Encargos e Benefícios'!B178</f>
        <v>Administrativo</v>
      </c>
      <c r="C179" s="287">
        <f>'Encargos e Benefícios'!C178</f>
        <v>1</v>
      </c>
      <c r="D179" s="288">
        <v>40</v>
      </c>
      <c r="E179" s="300">
        <v>45292</v>
      </c>
      <c r="F179" s="301">
        <v>47058</v>
      </c>
      <c r="G179" s="293">
        <v>45413</v>
      </c>
      <c r="H179" s="294">
        <v>5.8400000000000001E-2</v>
      </c>
      <c r="I179" s="256">
        <v>29.2</v>
      </c>
      <c r="J179" s="256">
        <v>6.87</v>
      </c>
      <c r="K179" s="256"/>
      <c r="L179" s="256"/>
      <c r="M179" s="293">
        <v>45778</v>
      </c>
      <c r="N179" s="294">
        <v>5.8400000000000001E-2</v>
      </c>
      <c r="O179" s="256">
        <v>30.9</v>
      </c>
      <c r="P179" s="256">
        <v>7.27</v>
      </c>
      <c r="Q179" s="256"/>
      <c r="R179" s="256"/>
      <c r="S179" s="293">
        <v>46143</v>
      </c>
      <c r="T179" s="294">
        <v>5.8400000000000001E-2</v>
      </c>
      <c r="U179" s="256">
        <v>32.71</v>
      </c>
      <c r="V179" s="256">
        <v>7.82</v>
      </c>
      <c r="W179" s="256"/>
      <c r="X179" s="256"/>
      <c r="Y179" s="293">
        <v>46508</v>
      </c>
      <c r="Z179" s="294">
        <v>5.8400000000000001E-2</v>
      </c>
      <c r="AA179" s="256">
        <v>34.619999999999997</v>
      </c>
      <c r="AB179" s="256">
        <v>8.7100000000000009</v>
      </c>
      <c r="AC179" s="256"/>
      <c r="AD179" s="256"/>
      <c r="AE179" s="293">
        <v>46874</v>
      </c>
      <c r="AF179" s="294">
        <v>5.8400000000000001E-2</v>
      </c>
      <c r="AG179" s="256">
        <v>36.64</v>
      </c>
      <c r="AH179" s="256">
        <v>10.17</v>
      </c>
      <c r="AI179" s="256"/>
      <c r="AJ179" s="257"/>
      <c r="AK179" s="296">
        <f>'Encargos e Benefícios'!D178</f>
        <v>1750</v>
      </c>
      <c r="AL179" s="296">
        <f>IF('Encargos e Benefícios'!C178=0,0,'Encargos e Benefícios'!U178/'Encargos e Benefícios'!C178)</f>
        <v>1422.9444444444443</v>
      </c>
      <c r="AM179" s="296">
        <f>IF('Encargos e Benefícios'!C178=0,0,'Encargos e Benefícios'!AC178/'Encargos e Benefícios'!C178)</f>
        <v>954.1099999999999</v>
      </c>
      <c r="AN179" s="297">
        <f>IF('Encargos e Benefícios'!C178=0,0,'Encargos e Benefícios'!AD178/'Encargos e Benefícios'!C178)</f>
        <v>4127.054444444444</v>
      </c>
      <c r="AO179" s="188">
        <v>2097.83</v>
      </c>
      <c r="AP179" s="298">
        <v>1500</v>
      </c>
      <c r="AQ179" s="298">
        <v>2695.66</v>
      </c>
      <c r="AR179" s="299" t="s">
        <v>113</v>
      </c>
      <c r="AS179" s="188"/>
    </row>
    <row r="180" spans="1:45">
      <c r="A180" s="286">
        <v>174</v>
      </c>
      <c r="B180" s="81" t="str">
        <f>'Encargos e Benefícios'!B179</f>
        <v>Auxiliar Educacional</v>
      </c>
      <c r="C180" s="287">
        <f>'Encargos e Benefícios'!C179</f>
        <v>1</v>
      </c>
      <c r="D180" s="288">
        <v>30</v>
      </c>
      <c r="E180" s="300">
        <v>45292</v>
      </c>
      <c r="F180" s="301">
        <v>47058</v>
      </c>
      <c r="G180" s="293">
        <v>45413</v>
      </c>
      <c r="H180" s="294">
        <v>5.8400000000000001E-2</v>
      </c>
      <c r="I180" s="256">
        <v>29.2</v>
      </c>
      <c r="J180" s="256">
        <v>6.87</v>
      </c>
      <c r="K180" s="256"/>
      <c r="L180" s="256"/>
      <c r="M180" s="293">
        <v>45778</v>
      </c>
      <c r="N180" s="294">
        <v>5.8400000000000001E-2</v>
      </c>
      <c r="O180" s="256">
        <v>30.9</v>
      </c>
      <c r="P180" s="256">
        <v>7.27</v>
      </c>
      <c r="Q180" s="256"/>
      <c r="R180" s="256"/>
      <c r="S180" s="293">
        <v>46143</v>
      </c>
      <c r="T180" s="294">
        <v>5.8400000000000001E-2</v>
      </c>
      <c r="U180" s="256">
        <v>32.71</v>
      </c>
      <c r="V180" s="256">
        <v>7.82</v>
      </c>
      <c r="W180" s="256"/>
      <c r="X180" s="256"/>
      <c r="Y180" s="293">
        <v>46508</v>
      </c>
      <c r="Z180" s="294">
        <v>5.8400000000000001E-2</v>
      </c>
      <c r="AA180" s="256">
        <v>34.619999999999997</v>
      </c>
      <c r="AB180" s="256">
        <v>8.7100000000000009</v>
      </c>
      <c r="AC180" s="256"/>
      <c r="AD180" s="256"/>
      <c r="AE180" s="293">
        <v>46874</v>
      </c>
      <c r="AF180" s="294">
        <v>5.8400000000000001E-2</v>
      </c>
      <c r="AG180" s="256">
        <v>36.64</v>
      </c>
      <c r="AH180" s="256">
        <v>10.17</v>
      </c>
      <c r="AI180" s="256"/>
      <c r="AJ180" s="257"/>
      <c r="AK180" s="296">
        <f>'Encargos e Benefícios'!D179</f>
        <v>1642</v>
      </c>
      <c r="AL180" s="296">
        <f>IF('Encargos e Benefícios'!C179=0,0,'Encargos e Benefícios'!U179/'Encargos e Benefícios'!C179)</f>
        <v>1335.1284444444443</v>
      </c>
      <c r="AM180" s="296">
        <f>IF('Encargos e Benefícios'!C179=0,0,'Encargos e Benefícios'!AC179/'Encargos e Benefícios'!C179)</f>
        <v>954.1099999999999</v>
      </c>
      <c r="AN180" s="297">
        <f>IF('Encargos e Benefícios'!C179=0,0,'Encargos e Benefícios'!AD179/'Encargos e Benefícios'!C179)</f>
        <v>3931.2384444444442</v>
      </c>
      <c r="AO180" s="188">
        <v>1750.23</v>
      </c>
      <c r="AP180" s="298">
        <v>1500</v>
      </c>
      <c r="AQ180" s="298">
        <v>2000.45</v>
      </c>
      <c r="AR180" s="299" t="s">
        <v>113</v>
      </c>
      <c r="AS180" s="188"/>
    </row>
    <row r="181" spans="1:45">
      <c r="A181" s="286">
        <v>175</v>
      </c>
      <c r="B181" s="81" t="str">
        <f>'Encargos e Benefícios'!B180</f>
        <v>Auxiliar de Serviços Gerais</v>
      </c>
      <c r="C181" s="287">
        <f>'Encargos e Benefícios'!C180</f>
        <v>1</v>
      </c>
      <c r="D181" s="288">
        <v>30</v>
      </c>
      <c r="E181" s="300">
        <v>45292</v>
      </c>
      <c r="F181" s="301">
        <v>47058</v>
      </c>
      <c r="G181" s="293">
        <v>45413</v>
      </c>
      <c r="H181" s="294">
        <v>5.8400000000000001E-2</v>
      </c>
      <c r="I181" s="256">
        <v>29.2</v>
      </c>
      <c r="J181" s="256">
        <v>6.87</v>
      </c>
      <c r="K181" s="256"/>
      <c r="L181" s="256"/>
      <c r="M181" s="293">
        <v>45778</v>
      </c>
      <c r="N181" s="294">
        <v>5.8400000000000001E-2</v>
      </c>
      <c r="O181" s="256">
        <v>30.9</v>
      </c>
      <c r="P181" s="256">
        <v>7.27</v>
      </c>
      <c r="Q181" s="256"/>
      <c r="R181" s="256"/>
      <c r="S181" s="293">
        <v>46143</v>
      </c>
      <c r="T181" s="294">
        <v>5.8400000000000001E-2</v>
      </c>
      <c r="U181" s="256">
        <v>32.71</v>
      </c>
      <c r="V181" s="256">
        <v>7.82</v>
      </c>
      <c r="W181" s="256"/>
      <c r="X181" s="256"/>
      <c r="Y181" s="293">
        <v>46508</v>
      </c>
      <c r="Z181" s="294">
        <v>5.8400000000000001E-2</v>
      </c>
      <c r="AA181" s="256">
        <v>34.619999999999997</v>
      </c>
      <c r="AB181" s="256">
        <v>8.7100000000000009</v>
      </c>
      <c r="AC181" s="256"/>
      <c r="AD181" s="256"/>
      <c r="AE181" s="293">
        <v>46874</v>
      </c>
      <c r="AF181" s="294">
        <v>5.8400000000000001E-2</v>
      </c>
      <c r="AG181" s="256">
        <v>36.64</v>
      </c>
      <c r="AH181" s="256">
        <v>10.17</v>
      </c>
      <c r="AI181" s="256"/>
      <c r="AJ181" s="257"/>
      <c r="AK181" s="296">
        <f>'Encargos e Benefícios'!D180</f>
        <v>1385</v>
      </c>
      <c r="AL181" s="296">
        <f>IF('Encargos e Benefícios'!C180=0,0,'Encargos e Benefícios'!U180/'Encargos e Benefícios'!C180)</f>
        <v>1126.1588888888887</v>
      </c>
      <c r="AM181" s="296">
        <f>IF('Encargos e Benefícios'!C180=0,0,'Encargos e Benefícios'!AC180/'Encargos e Benefícios'!C180)</f>
        <v>954.1099999999999</v>
      </c>
      <c r="AN181" s="297">
        <f>IF('Encargos e Benefícios'!C180=0,0,'Encargos e Benefícios'!AD180/'Encargos e Benefícios'!C180)</f>
        <v>3465.2688888888888</v>
      </c>
      <c r="AO181" s="188">
        <v>1437.37</v>
      </c>
      <c r="AP181" s="298">
        <v>1302</v>
      </c>
      <c r="AQ181" s="298">
        <v>1572.74</v>
      </c>
      <c r="AR181" s="299" t="s">
        <v>113</v>
      </c>
      <c r="AS181" s="188"/>
    </row>
    <row r="182" spans="1:45">
      <c r="A182" s="286">
        <v>176</v>
      </c>
      <c r="B182" s="81" t="str">
        <f>'Encargos e Benefícios'!B181</f>
        <v>Motorista</v>
      </c>
      <c r="C182" s="287">
        <f>'Encargos e Benefícios'!C181</f>
        <v>1</v>
      </c>
      <c r="D182" s="288">
        <v>40</v>
      </c>
      <c r="E182" s="300">
        <v>45292</v>
      </c>
      <c r="F182" s="301">
        <v>47058</v>
      </c>
      <c r="G182" s="293">
        <v>45413</v>
      </c>
      <c r="H182" s="294">
        <v>5.8400000000000001E-2</v>
      </c>
      <c r="I182" s="256">
        <v>29.2</v>
      </c>
      <c r="J182" s="256">
        <v>6.87</v>
      </c>
      <c r="K182" s="256"/>
      <c r="L182" s="256"/>
      <c r="M182" s="293">
        <v>45778</v>
      </c>
      <c r="N182" s="294">
        <v>5.8400000000000001E-2</v>
      </c>
      <c r="O182" s="256">
        <v>30.9</v>
      </c>
      <c r="P182" s="256">
        <v>7.27</v>
      </c>
      <c r="Q182" s="256"/>
      <c r="R182" s="256"/>
      <c r="S182" s="293">
        <v>46143</v>
      </c>
      <c r="T182" s="294">
        <v>5.8400000000000001E-2</v>
      </c>
      <c r="U182" s="256">
        <v>32.71</v>
      </c>
      <c r="V182" s="256">
        <v>7.82</v>
      </c>
      <c r="W182" s="256"/>
      <c r="X182" s="256"/>
      <c r="Y182" s="293">
        <v>46508</v>
      </c>
      <c r="Z182" s="294">
        <v>5.8400000000000001E-2</v>
      </c>
      <c r="AA182" s="256">
        <v>34.619999999999997</v>
      </c>
      <c r="AB182" s="256">
        <v>8.7100000000000009</v>
      </c>
      <c r="AC182" s="256"/>
      <c r="AD182" s="256"/>
      <c r="AE182" s="293">
        <v>46874</v>
      </c>
      <c r="AF182" s="294">
        <v>5.8400000000000001E-2</v>
      </c>
      <c r="AG182" s="256">
        <v>36.64</v>
      </c>
      <c r="AH182" s="256">
        <v>10.17</v>
      </c>
      <c r="AI182" s="256"/>
      <c r="AJ182" s="257"/>
      <c r="AK182" s="296">
        <f>'Encargos e Benefícios'!D181</f>
        <v>1452.39</v>
      </c>
      <c r="AL182" s="296">
        <f>IF('Encargos e Benefícios'!C181=0,0,'Encargos e Benefícios'!U181/'Encargos e Benefícios'!C181)</f>
        <v>1180.9544466666669</v>
      </c>
      <c r="AM182" s="296">
        <f>IF('Encargos e Benefícios'!C181=0,0,'Encargos e Benefícios'!AC181/'Encargos e Benefícios'!C181)</f>
        <v>954.1099999999999</v>
      </c>
      <c r="AN182" s="297">
        <f>IF('Encargos e Benefícios'!C181=0,0,'Encargos e Benefícios'!AD181/'Encargos e Benefícios'!C181)</f>
        <v>3587.4544466666666</v>
      </c>
      <c r="AO182" s="188">
        <v>2046.28</v>
      </c>
      <c r="AP182" s="298">
        <v>1212</v>
      </c>
      <c r="AQ182" s="298">
        <v>2880.55</v>
      </c>
      <c r="AR182" s="299" t="s">
        <v>113</v>
      </c>
      <c r="AS182" s="188"/>
    </row>
    <row r="183" spans="1:45">
      <c r="A183" s="286">
        <v>177</v>
      </c>
      <c r="B183" s="81" t="str">
        <f>'Encargos e Benefícios'!B182</f>
        <v>Socioeducador - DC</v>
      </c>
      <c r="C183" s="287">
        <f>'Encargos e Benefícios'!C182</f>
        <v>2</v>
      </c>
      <c r="D183" s="288" t="s">
        <v>504</v>
      </c>
      <c r="E183" s="300">
        <v>45292</v>
      </c>
      <c r="F183" s="301">
        <v>47058</v>
      </c>
      <c r="G183" s="293">
        <v>45413</v>
      </c>
      <c r="H183" s="294">
        <v>5.8400000000000001E-2</v>
      </c>
      <c r="I183" s="256">
        <v>29.2</v>
      </c>
      <c r="J183" s="256">
        <v>6.87</v>
      </c>
      <c r="K183" s="256"/>
      <c r="L183" s="256"/>
      <c r="M183" s="293">
        <v>45778</v>
      </c>
      <c r="N183" s="294">
        <v>5.8400000000000001E-2</v>
      </c>
      <c r="O183" s="256">
        <v>30.9</v>
      </c>
      <c r="P183" s="256">
        <v>7.27</v>
      </c>
      <c r="Q183" s="256"/>
      <c r="R183" s="256"/>
      <c r="S183" s="293">
        <v>46143</v>
      </c>
      <c r="T183" s="294">
        <v>5.8400000000000001E-2</v>
      </c>
      <c r="U183" s="256">
        <v>32.71</v>
      </c>
      <c r="V183" s="256">
        <v>7.82</v>
      </c>
      <c r="W183" s="256"/>
      <c r="X183" s="256"/>
      <c r="Y183" s="293">
        <v>46508</v>
      </c>
      <c r="Z183" s="294">
        <v>5.8400000000000001E-2</v>
      </c>
      <c r="AA183" s="256">
        <v>34.619999999999997</v>
      </c>
      <c r="AB183" s="256">
        <v>8.7100000000000009</v>
      </c>
      <c r="AC183" s="256"/>
      <c r="AD183" s="256"/>
      <c r="AE183" s="293">
        <v>46874</v>
      </c>
      <c r="AF183" s="294">
        <v>5.8400000000000001E-2</v>
      </c>
      <c r="AG183" s="256">
        <v>36.64</v>
      </c>
      <c r="AH183" s="256">
        <v>10.17</v>
      </c>
      <c r="AI183" s="256"/>
      <c r="AJ183" s="257"/>
      <c r="AK183" s="296">
        <f>'Encargos e Benefícios'!D182</f>
        <v>1900</v>
      </c>
      <c r="AL183" s="296">
        <f>IF('Encargos e Benefícios'!C182=0,0,'Encargos e Benefícios'!U182/'Encargos e Benefícios'!C182)</f>
        <v>2544.7966666666666</v>
      </c>
      <c r="AM183" s="296">
        <f>IF('Encargos e Benefícios'!C182=0,0,'Encargos e Benefícios'!AC182/'Encargos e Benefícios'!C182)</f>
        <v>455.33999999999992</v>
      </c>
      <c r="AN183" s="297">
        <f>IF('Encargos e Benefícios'!C182=0,0,'Encargos e Benefícios'!AD182/'Encargos e Benefícios'!C182)</f>
        <v>4900.1366666666672</v>
      </c>
      <c r="AO183" s="188">
        <v>2752.21</v>
      </c>
      <c r="AP183" s="298">
        <v>1764.5</v>
      </c>
      <c r="AQ183" s="298">
        <v>3739.92</v>
      </c>
      <c r="AR183" s="299" t="s">
        <v>113</v>
      </c>
      <c r="AS183" s="188"/>
    </row>
    <row r="184" spans="1:45">
      <c r="A184" s="286">
        <v>178</v>
      </c>
      <c r="B184" s="81" t="str">
        <f>'Encargos e Benefícios'!B183</f>
        <v>Socioeducador - D</v>
      </c>
      <c r="C184" s="287">
        <f>'Encargos e Benefícios'!C183</f>
        <v>12</v>
      </c>
      <c r="D184" s="288" t="s">
        <v>504</v>
      </c>
      <c r="E184" s="300">
        <v>45292</v>
      </c>
      <c r="F184" s="301">
        <v>47058</v>
      </c>
      <c r="G184" s="293">
        <v>45413</v>
      </c>
      <c r="H184" s="294">
        <v>5.8400000000000001E-2</v>
      </c>
      <c r="I184" s="256">
        <v>29.2</v>
      </c>
      <c r="J184" s="256">
        <v>6.87</v>
      </c>
      <c r="K184" s="256"/>
      <c r="L184" s="256"/>
      <c r="M184" s="293">
        <v>45778</v>
      </c>
      <c r="N184" s="294">
        <v>5.8400000000000001E-2</v>
      </c>
      <c r="O184" s="256">
        <v>30.9</v>
      </c>
      <c r="P184" s="256">
        <v>7.27</v>
      </c>
      <c r="Q184" s="256"/>
      <c r="R184" s="256"/>
      <c r="S184" s="293">
        <v>46143</v>
      </c>
      <c r="T184" s="294">
        <v>5.8400000000000001E-2</v>
      </c>
      <c r="U184" s="256">
        <v>32.71</v>
      </c>
      <c r="V184" s="256">
        <v>7.82</v>
      </c>
      <c r="W184" s="256"/>
      <c r="X184" s="256"/>
      <c r="Y184" s="293">
        <v>46508</v>
      </c>
      <c r="Z184" s="294">
        <v>5.8400000000000001E-2</v>
      </c>
      <c r="AA184" s="256">
        <v>34.619999999999997</v>
      </c>
      <c r="AB184" s="256">
        <v>8.7100000000000009</v>
      </c>
      <c r="AC184" s="256"/>
      <c r="AD184" s="256"/>
      <c r="AE184" s="293">
        <v>46874</v>
      </c>
      <c r="AF184" s="294">
        <v>5.8400000000000001E-2</v>
      </c>
      <c r="AG184" s="256">
        <v>36.64</v>
      </c>
      <c r="AH184" s="256">
        <v>10.17</v>
      </c>
      <c r="AI184" s="256"/>
      <c r="AJ184" s="257"/>
      <c r="AK184" s="296">
        <f>'Encargos e Benefícios'!D183</f>
        <v>1900</v>
      </c>
      <c r="AL184" s="296">
        <f>IF('Encargos e Benefícios'!C183=0,0,'Encargos e Benefícios'!U183/'Encargos e Benefícios'!C183)</f>
        <v>2281.7944444444447</v>
      </c>
      <c r="AM184" s="296">
        <f>IF('Encargos e Benefícios'!C183=0,0,'Encargos e Benefícios'!AC183/'Encargos e Benefícios'!C183)</f>
        <v>75.889999999999986</v>
      </c>
      <c r="AN184" s="297">
        <f>IF('Encargos e Benefícios'!C183=0,0,'Encargos e Benefícios'!AD183/'Encargos e Benefícios'!C183)</f>
        <v>4257.684444444445</v>
      </c>
      <c r="AO184" s="188">
        <v>2752.21</v>
      </c>
      <c r="AP184" s="298">
        <v>1764.5</v>
      </c>
      <c r="AQ184" s="298">
        <v>3739.92</v>
      </c>
      <c r="AR184" s="299" t="s">
        <v>113</v>
      </c>
      <c r="AS184" s="188"/>
    </row>
    <row r="185" spans="1:45">
      <c r="A185" s="286">
        <v>179</v>
      </c>
      <c r="B185" s="81" t="str">
        <f>'Encargos e Benefícios'!B184</f>
        <v>Socioeducador - NC</v>
      </c>
      <c r="C185" s="287">
        <f>'Encargos e Benefícios'!C184</f>
        <v>2</v>
      </c>
      <c r="D185" s="288" t="s">
        <v>504</v>
      </c>
      <c r="E185" s="300">
        <v>45292</v>
      </c>
      <c r="F185" s="301">
        <v>47058</v>
      </c>
      <c r="G185" s="293">
        <v>45413</v>
      </c>
      <c r="H185" s="294">
        <v>5.8400000000000001E-2</v>
      </c>
      <c r="I185" s="256">
        <v>29.2</v>
      </c>
      <c r="J185" s="256">
        <v>6.87</v>
      </c>
      <c r="K185" s="256"/>
      <c r="L185" s="256"/>
      <c r="M185" s="293">
        <v>45778</v>
      </c>
      <c r="N185" s="294">
        <v>5.8400000000000001E-2</v>
      </c>
      <c r="O185" s="256">
        <v>30.9</v>
      </c>
      <c r="P185" s="256">
        <v>7.27</v>
      </c>
      <c r="Q185" s="256"/>
      <c r="R185" s="256"/>
      <c r="S185" s="293">
        <v>46143</v>
      </c>
      <c r="T185" s="294">
        <v>5.8400000000000001E-2</v>
      </c>
      <c r="U185" s="256">
        <v>32.71</v>
      </c>
      <c r="V185" s="256">
        <v>7.82</v>
      </c>
      <c r="W185" s="256"/>
      <c r="X185" s="256"/>
      <c r="Y185" s="293">
        <v>46508</v>
      </c>
      <c r="Z185" s="294">
        <v>5.8400000000000001E-2</v>
      </c>
      <c r="AA185" s="256">
        <v>34.619999999999997</v>
      </c>
      <c r="AB185" s="256">
        <v>8.7100000000000009</v>
      </c>
      <c r="AC185" s="256"/>
      <c r="AD185" s="256"/>
      <c r="AE185" s="293">
        <v>46874</v>
      </c>
      <c r="AF185" s="294">
        <v>5.8400000000000001E-2</v>
      </c>
      <c r="AG185" s="256">
        <v>36.64</v>
      </c>
      <c r="AH185" s="256">
        <v>10.17</v>
      </c>
      <c r="AI185" s="256"/>
      <c r="AJ185" s="257"/>
      <c r="AK185" s="296">
        <f>'Encargos e Benefícios'!D184</f>
        <v>1900</v>
      </c>
      <c r="AL185" s="296">
        <f>IF('Encargos e Benefícios'!C184=0,0,'Encargos e Benefícios'!U184/'Encargos e Benefícios'!C184)</f>
        <v>3013.1818518518517</v>
      </c>
      <c r="AM185" s="296">
        <f>IF('Encargos e Benefícios'!C184=0,0,'Encargos e Benefícios'!AC184/'Encargos e Benefícios'!C184)</f>
        <v>455.33999999999992</v>
      </c>
      <c r="AN185" s="297">
        <f>IF('Encargos e Benefícios'!C184=0,0,'Encargos e Benefícios'!AD184/'Encargos e Benefícios'!C184)</f>
        <v>5368.5218518518523</v>
      </c>
      <c r="AO185" s="188">
        <v>2752.21</v>
      </c>
      <c r="AP185" s="298">
        <v>1764.5</v>
      </c>
      <c r="AQ185" s="298">
        <v>3739.92</v>
      </c>
      <c r="AR185" s="299" t="s">
        <v>113</v>
      </c>
      <c r="AS185" s="188"/>
    </row>
    <row r="186" spans="1:45" ht="13.5" thickBot="1">
      <c r="A186" s="286">
        <v>180</v>
      </c>
      <c r="B186" s="81" t="str">
        <f>'Encargos e Benefícios'!B185</f>
        <v>Socioeducador - N</v>
      </c>
      <c r="C186" s="287">
        <f>'Encargos e Benefícios'!C185</f>
        <v>6</v>
      </c>
      <c r="D186" s="288" t="s">
        <v>504</v>
      </c>
      <c r="E186" s="300">
        <v>45292</v>
      </c>
      <c r="F186" s="301">
        <v>47058</v>
      </c>
      <c r="G186" s="293">
        <v>45413</v>
      </c>
      <c r="H186" s="294">
        <v>5.8400000000000001E-2</v>
      </c>
      <c r="I186" s="256">
        <v>29.2</v>
      </c>
      <c r="J186" s="256">
        <v>6.87</v>
      </c>
      <c r="K186" s="256"/>
      <c r="L186" s="256"/>
      <c r="M186" s="293">
        <v>45778</v>
      </c>
      <c r="N186" s="294">
        <v>5.8400000000000001E-2</v>
      </c>
      <c r="O186" s="256">
        <v>30.9</v>
      </c>
      <c r="P186" s="256">
        <v>7.27</v>
      </c>
      <c r="Q186" s="256"/>
      <c r="R186" s="256"/>
      <c r="S186" s="293">
        <v>46143</v>
      </c>
      <c r="T186" s="294">
        <v>5.8400000000000001E-2</v>
      </c>
      <c r="U186" s="256">
        <v>32.71</v>
      </c>
      <c r="V186" s="256">
        <v>7.82</v>
      </c>
      <c r="W186" s="256"/>
      <c r="X186" s="256"/>
      <c r="Y186" s="293">
        <v>46508</v>
      </c>
      <c r="Z186" s="294">
        <v>5.8400000000000001E-2</v>
      </c>
      <c r="AA186" s="256">
        <v>34.619999999999997</v>
      </c>
      <c r="AB186" s="256">
        <v>8.7100000000000009</v>
      </c>
      <c r="AC186" s="256"/>
      <c r="AD186" s="256"/>
      <c r="AE186" s="293">
        <v>46874</v>
      </c>
      <c r="AF186" s="294">
        <v>5.8400000000000001E-2</v>
      </c>
      <c r="AG186" s="256">
        <v>36.64</v>
      </c>
      <c r="AH186" s="256">
        <v>10.17</v>
      </c>
      <c r="AI186" s="256"/>
      <c r="AJ186" s="257"/>
      <c r="AK186" s="296">
        <f>'Encargos e Benefícios'!D185</f>
        <v>1900</v>
      </c>
      <c r="AL186" s="296">
        <f>IF('Encargos e Benefícios'!C185=0,0,'Encargos e Benefícios'!U185/'Encargos e Benefícios'!C185)</f>
        <v>2750.1796296296302</v>
      </c>
      <c r="AM186" s="296">
        <f>IF('Encargos e Benefícios'!C185=0,0,'Encargos e Benefícios'!AC185/'Encargos e Benefícios'!C185)</f>
        <v>151.77999999999997</v>
      </c>
      <c r="AN186" s="297">
        <f>IF('Encargos e Benefícios'!C185=0,0,'Encargos e Benefícios'!AD185/'Encargos e Benefícios'!C185)</f>
        <v>4801.9596296296304</v>
      </c>
      <c r="AO186" s="188">
        <v>2752.21</v>
      </c>
      <c r="AP186" s="298">
        <v>1764.5</v>
      </c>
      <c r="AQ186" s="298">
        <v>3739.92</v>
      </c>
      <c r="AR186" s="299" t="s">
        <v>113</v>
      </c>
      <c r="AS186" s="188"/>
    </row>
    <row r="187" spans="1:45">
      <c r="A187" s="286">
        <v>181</v>
      </c>
      <c r="B187" s="81" t="str">
        <f>'Encargos e Benefícios'!B186</f>
        <v>Diretor Geral de Unidade Socioeducativa</v>
      </c>
      <c r="C187" s="287">
        <f>'Encargos e Benefícios'!C186</f>
        <v>1</v>
      </c>
      <c r="D187" s="288">
        <v>40</v>
      </c>
      <c r="E187" s="300">
        <v>45566</v>
      </c>
      <c r="F187" s="290">
        <v>47058</v>
      </c>
      <c r="G187" s="293">
        <v>45413</v>
      </c>
      <c r="H187" s="294">
        <v>5.8400000000000001E-2</v>
      </c>
      <c r="I187" s="256">
        <v>29.2</v>
      </c>
      <c r="J187" s="256">
        <v>6.87</v>
      </c>
      <c r="K187" s="256"/>
      <c r="L187" s="256"/>
      <c r="M187" s="293">
        <v>45778</v>
      </c>
      <c r="N187" s="294">
        <v>5.8400000000000001E-2</v>
      </c>
      <c r="O187" s="256">
        <v>30.9</v>
      </c>
      <c r="P187" s="256">
        <v>7.27</v>
      </c>
      <c r="Q187" s="256"/>
      <c r="R187" s="256"/>
      <c r="S187" s="293">
        <v>46143</v>
      </c>
      <c r="T187" s="294">
        <v>5.8400000000000001E-2</v>
      </c>
      <c r="U187" s="256">
        <v>32.71</v>
      </c>
      <c r="V187" s="256">
        <v>7.82</v>
      </c>
      <c r="W187" s="256"/>
      <c r="X187" s="256"/>
      <c r="Y187" s="293">
        <v>46508</v>
      </c>
      <c r="Z187" s="294">
        <v>5.8400000000000001E-2</v>
      </c>
      <c r="AA187" s="256">
        <v>34.619999999999997</v>
      </c>
      <c r="AB187" s="256">
        <v>8.7100000000000009</v>
      </c>
      <c r="AC187" s="256"/>
      <c r="AD187" s="256"/>
      <c r="AE187" s="293">
        <v>46874</v>
      </c>
      <c r="AF187" s="294">
        <v>5.8400000000000001E-2</v>
      </c>
      <c r="AG187" s="256">
        <v>36.64</v>
      </c>
      <c r="AH187" s="256">
        <v>10.17</v>
      </c>
      <c r="AI187" s="256"/>
      <c r="AJ187" s="257"/>
      <c r="AK187" s="296">
        <f>'Encargos e Benefícios'!D186</f>
        <v>6500</v>
      </c>
      <c r="AL187" s="296">
        <f>IF('Encargos e Benefícios'!C186=0,0,'Encargos e Benefícios'!U186/'Encargos e Benefícios'!C186)</f>
        <v>5194.2222222222235</v>
      </c>
      <c r="AM187" s="296">
        <f>IF('Encargos e Benefícios'!C186=0,0,'Encargos e Benefícios'!AC186/'Encargos e Benefícios'!C186)</f>
        <v>817.61999999999989</v>
      </c>
      <c r="AN187" s="297">
        <f>IF('Encargos e Benefícios'!C186=0,0,'Encargos e Benefícios'!AD186/'Encargos e Benefícios'!C186)</f>
        <v>12511.842222222222</v>
      </c>
      <c r="AO187" s="188">
        <v>6052.24</v>
      </c>
      <c r="AP187" s="298">
        <v>4239.6899999999996</v>
      </c>
      <c r="AQ187" s="298">
        <v>7864.78</v>
      </c>
      <c r="AR187" s="299" t="s">
        <v>114</v>
      </c>
      <c r="AS187" s="188"/>
    </row>
    <row r="188" spans="1:45">
      <c r="A188" s="286">
        <v>182</v>
      </c>
      <c r="B188" s="81" t="str">
        <f>'Encargos e Benefícios'!B187</f>
        <v>Subdiretor de Segurança</v>
      </c>
      <c r="C188" s="287">
        <f>'Encargos e Benefícios'!C187</f>
        <v>1</v>
      </c>
      <c r="D188" s="288">
        <v>40</v>
      </c>
      <c r="E188" s="300">
        <v>45566</v>
      </c>
      <c r="F188" s="301">
        <v>47058</v>
      </c>
      <c r="G188" s="293">
        <v>45413</v>
      </c>
      <c r="H188" s="294">
        <v>5.8400000000000001E-2</v>
      </c>
      <c r="I188" s="256">
        <v>29.2</v>
      </c>
      <c r="J188" s="256">
        <v>6.87</v>
      </c>
      <c r="K188" s="256"/>
      <c r="L188" s="256"/>
      <c r="M188" s="293">
        <v>45778</v>
      </c>
      <c r="N188" s="294">
        <v>5.8400000000000001E-2</v>
      </c>
      <c r="O188" s="256">
        <v>30.9</v>
      </c>
      <c r="P188" s="256">
        <v>7.27</v>
      </c>
      <c r="Q188" s="256"/>
      <c r="R188" s="256"/>
      <c r="S188" s="293">
        <v>46143</v>
      </c>
      <c r="T188" s="294">
        <v>5.8400000000000001E-2</v>
      </c>
      <c r="U188" s="256">
        <v>32.71</v>
      </c>
      <c r="V188" s="256">
        <v>7.82</v>
      </c>
      <c r="W188" s="256"/>
      <c r="X188" s="256"/>
      <c r="Y188" s="293">
        <v>46508</v>
      </c>
      <c r="Z188" s="294">
        <v>5.8400000000000001E-2</v>
      </c>
      <c r="AA188" s="256">
        <v>34.619999999999997</v>
      </c>
      <c r="AB188" s="256">
        <v>8.7100000000000009</v>
      </c>
      <c r="AC188" s="256"/>
      <c r="AD188" s="256"/>
      <c r="AE188" s="293">
        <v>46874</v>
      </c>
      <c r="AF188" s="294">
        <v>5.8400000000000001E-2</v>
      </c>
      <c r="AG188" s="256">
        <v>36.64</v>
      </c>
      <c r="AH188" s="256">
        <v>10.17</v>
      </c>
      <c r="AI188" s="256"/>
      <c r="AJ188" s="257"/>
      <c r="AK188" s="296">
        <f>'Encargos e Benefícios'!D187</f>
        <v>3773.6</v>
      </c>
      <c r="AL188" s="296">
        <f>IF('Encargos e Benefícios'!C187=0,0,'Encargos e Benefícios'!U187/'Encargos e Benefícios'!C187)</f>
        <v>4147.6056888888888</v>
      </c>
      <c r="AM188" s="296">
        <f>IF('Encargos e Benefícios'!C187=0,0,'Encargos e Benefícios'!AC187/'Encargos e Benefícios'!C187)</f>
        <v>817.61999999999989</v>
      </c>
      <c r="AN188" s="297">
        <f>IF('Encargos e Benefícios'!C187=0,0,'Encargos e Benefícios'!AD187/'Encargos e Benefícios'!C187)</f>
        <v>8738.82568888889</v>
      </c>
      <c r="AO188" s="188">
        <v>4968.99</v>
      </c>
      <c r="AP188" s="298">
        <v>3773.6</v>
      </c>
      <c r="AQ188" s="298">
        <v>6164.38</v>
      </c>
      <c r="AR188" s="299" t="s">
        <v>114</v>
      </c>
      <c r="AS188" s="188"/>
    </row>
    <row r="189" spans="1:45">
      <c r="A189" s="286">
        <v>183</v>
      </c>
      <c r="B189" s="81" t="str">
        <f>'Encargos e Benefícios'!B188</f>
        <v>Advogado</v>
      </c>
      <c r="C189" s="287">
        <f>'Encargos e Benefícios'!C188</f>
        <v>1</v>
      </c>
      <c r="D189" s="288">
        <v>30</v>
      </c>
      <c r="E189" s="300">
        <v>45597</v>
      </c>
      <c r="F189" s="301">
        <v>47058</v>
      </c>
      <c r="G189" s="293">
        <v>45413</v>
      </c>
      <c r="H189" s="294">
        <v>5.8400000000000001E-2</v>
      </c>
      <c r="I189" s="256">
        <v>29.2</v>
      </c>
      <c r="J189" s="256">
        <v>6.87</v>
      </c>
      <c r="K189" s="256"/>
      <c r="L189" s="256"/>
      <c r="M189" s="293">
        <v>45778</v>
      </c>
      <c r="N189" s="294">
        <v>5.8400000000000001E-2</v>
      </c>
      <c r="O189" s="256">
        <v>30.9</v>
      </c>
      <c r="P189" s="256">
        <v>7.27</v>
      </c>
      <c r="Q189" s="256"/>
      <c r="R189" s="256"/>
      <c r="S189" s="293">
        <v>46143</v>
      </c>
      <c r="T189" s="294">
        <v>5.8400000000000001E-2</v>
      </c>
      <c r="U189" s="256">
        <v>32.71</v>
      </c>
      <c r="V189" s="256">
        <v>7.82</v>
      </c>
      <c r="W189" s="256"/>
      <c r="X189" s="256"/>
      <c r="Y189" s="293">
        <v>46508</v>
      </c>
      <c r="Z189" s="294">
        <v>5.8400000000000001E-2</v>
      </c>
      <c r="AA189" s="256">
        <v>34.619999999999997</v>
      </c>
      <c r="AB189" s="256">
        <v>8.7100000000000009</v>
      </c>
      <c r="AC189" s="256"/>
      <c r="AD189" s="256"/>
      <c r="AE189" s="293">
        <v>46874</v>
      </c>
      <c r="AF189" s="294">
        <v>5.8400000000000001E-2</v>
      </c>
      <c r="AG189" s="256">
        <v>36.64</v>
      </c>
      <c r="AH189" s="256">
        <v>10.17</v>
      </c>
      <c r="AI189" s="256"/>
      <c r="AJ189" s="257"/>
      <c r="AK189" s="296">
        <f>'Encargos e Benefícios'!D188</f>
        <v>2600</v>
      </c>
      <c r="AL189" s="296">
        <f>IF('Encargos e Benefícios'!C188=0,0,'Encargos e Benefícios'!U188/'Encargos e Benefícios'!C188)</f>
        <v>2114.088888888889</v>
      </c>
      <c r="AM189" s="296">
        <f>IF('Encargos e Benefícios'!C188=0,0,'Encargos e Benefícios'!AC188/'Encargos e Benefícios'!C188)</f>
        <v>1036.21</v>
      </c>
      <c r="AN189" s="297">
        <f>IF('Encargos e Benefícios'!C188=0,0,'Encargos e Benefícios'!AD188/'Encargos e Benefícios'!C188)</f>
        <v>5750.2988888888895</v>
      </c>
      <c r="AO189" s="188">
        <v>2767.69</v>
      </c>
      <c r="AP189" s="298">
        <v>2500</v>
      </c>
      <c r="AQ189" s="298">
        <v>3035.37</v>
      </c>
      <c r="AR189" s="299" t="s">
        <v>114</v>
      </c>
      <c r="AS189" s="188"/>
    </row>
    <row r="190" spans="1:45">
      <c r="A190" s="286">
        <v>184</v>
      </c>
      <c r="B190" s="81" t="str">
        <f>'Encargos e Benefícios'!B189</f>
        <v>Assistente Social</v>
      </c>
      <c r="C190" s="287">
        <f>'Encargos e Benefícios'!C189</f>
        <v>1</v>
      </c>
      <c r="D190" s="288">
        <v>30</v>
      </c>
      <c r="E190" s="300">
        <v>45597</v>
      </c>
      <c r="F190" s="301">
        <v>47058</v>
      </c>
      <c r="G190" s="293">
        <v>45413</v>
      </c>
      <c r="H190" s="294">
        <v>5.8400000000000001E-2</v>
      </c>
      <c r="I190" s="256">
        <v>29.2</v>
      </c>
      <c r="J190" s="256">
        <v>6.87</v>
      </c>
      <c r="K190" s="256"/>
      <c r="L190" s="256"/>
      <c r="M190" s="293">
        <v>45778</v>
      </c>
      <c r="N190" s="294">
        <v>5.8400000000000001E-2</v>
      </c>
      <c r="O190" s="256">
        <v>30.9</v>
      </c>
      <c r="P190" s="256">
        <v>7.27</v>
      </c>
      <c r="Q190" s="256"/>
      <c r="R190" s="256"/>
      <c r="S190" s="293">
        <v>46143</v>
      </c>
      <c r="T190" s="294">
        <v>5.8400000000000001E-2</v>
      </c>
      <c r="U190" s="256">
        <v>32.71</v>
      </c>
      <c r="V190" s="256">
        <v>7.82</v>
      </c>
      <c r="W190" s="256"/>
      <c r="X190" s="256"/>
      <c r="Y190" s="293">
        <v>46508</v>
      </c>
      <c r="Z190" s="294">
        <v>5.8400000000000001E-2</v>
      </c>
      <c r="AA190" s="256">
        <v>34.619999999999997</v>
      </c>
      <c r="AB190" s="256">
        <v>8.7100000000000009</v>
      </c>
      <c r="AC190" s="256"/>
      <c r="AD190" s="256"/>
      <c r="AE190" s="293">
        <v>46874</v>
      </c>
      <c r="AF190" s="294">
        <v>5.8400000000000001E-2</v>
      </c>
      <c r="AG190" s="256">
        <v>36.64</v>
      </c>
      <c r="AH190" s="256">
        <v>10.17</v>
      </c>
      <c r="AI190" s="256"/>
      <c r="AJ190" s="257"/>
      <c r="AK190" s="296">
        <f>'Encargos e Benefícios'!D189</f>
        <v>2600</v>
      </c>
      <c r="AL190" s="296">
        <f>IF('Encargos e Benefícios'!C189=0,0,'Encargos e Benefícios'!U189/'Encargos e Benefícios'!C189)</f>
        <v>2114.088888888889</v>
      </c>
      <c r="AM190" s="296">
        <f>IF('Encargos e Benefícios'!C189=0,0,'Encargos e Benefícios'!AC189/'Encargos e Benefícios'!C189)</f>
        <v>1036.21</v>
      </c>
      <c r="AN190" s="297">
        <f>IF('Encargos e Benefícios'!C189=0,0,'Encargos e Benefícios'!AD189/'Encargos e Benefícios'!C189)</f>
        <v>5750.2988888888895</v>
      </c>
      <c r="AO190" s="188">
        <v>3277.91</v>
      </c>
      <c r="AP190" s="298">
        <v>2500</v>
      </c>
      <c r="AQ190" s="298">
        <v>4055.81</v>
      </c>
      <c r="AR190" s="299" t="s">
        <v>114</v>
      </c>
      <c r="AS190" s="188"/>
    </row>
    <row r="191" spans="1:45">
      <c r="A191" s="286">
        <v>185</v>
      </c>
      <c r="B191" s="81" t="str">
        <f>'Encargos e Benefícios'!B190</f>
        <v>Pedagogo</v>
      </c>
      <c r="C191" s="287">
        <f>'Encargos e Benefícios'!C190</f>
        <v>1</v>
      </c>
      <c r="D191" s="288">
        <v>30</v>
      </c>
      <c r="E191" s="300">
        <v>45597</v>
      </c>
      <c r="F191" s="301">
        <v>47058</v>
      </c>
      <c r="G191" s="293">
        <v>45413</v>
      </c>
      <c r="H191" s="294">
        <v>5.8400000000000001E-2</v>
      </c>
      <c r="I191" s="256">
        <v>29.2</v>
      </c>
      <c r="J191" s="256">
        <v>6.87</v>
      </c>
      <c r="K191" s="256"/>
      <c r="L191" s="256"/>
      <c r="M191" s="293">
        <v>45778</v>
      </c>
      <c r="N191" s="294">
        <v>5.8400000000000001E-2</v>
      </c>
      <c r="O191" s="256">
        <v>30.9</v>
      </c>
      <c r="P191" s="256">
        <v>7.27</v>
      </c>
      <c r="Q191" s="256"/>
      <c r="R191" s="256"/>
      <c r="S191" s="293">
        <v>46143</v>
      </c>
      <c r="T191" s="294">
        <v>5.8400000000000001E-2</v>
      </c>
      <c r="U191" s="256">
        <v>32.71</v>
      </c>
      <c r="V191" s="256">
        <v>7.82</v>
      </c>
      <c r="W191" s="256"/>
      <c r="X191" s="256"/>
      <c r="Y191" s="293">
        <v>46508</v>
      </c>
      <c r="Z191" s="294">
        <v>5.8400000000000001E-2</v>
      </c>
      <c r="AA191" s="256">
        <v>34.619999999999997</v>
      </c>
      <c r="AB191" s="256">
        <v>8.7100000000000009</v>
      </c>
      <c r="AC191" s="256"/>
      <c r="AD191" s="256"/>
      <c r="AE191" s="293">
        <v>46874</v>
      </c>
      <c r="AF191" s="294">
        <v>5.8400000000000001E-2</v>
      </c>
      <c r="AG191" s="256">
        <v>36.64</v>
      </c>
      <c r="AH191" s="256">
        <v>10.17</v>
      </c>
      <c r="AI191" s="256"/>
      <c r="AJ191" s="257"/>
      <c r="AK191" s="296">
        <f>'Encargos e Benefícios'!D190</f>
        <v>2600</v>
      </c>
      <c r="AL191" s="296">
        <f>IF('Encargos e Benefícios'!C190=0,0,'Encargos e Benefícios'!U190/'Encargos e Benefícios'!C190)</f>
        <v>2114.088888888889</v>
      </c>
      <c r="AM191" s="296">
        <f>IF('Encargos e Benefícios'!C190=0,0,'Encargos e Benefícios'!AC190/'Encargos e Benefícios'!C190)</f>
        <v>1036.21</v>
      </c>
      <c r="AN191" s="297">
        <f>IF('Encargos e Benefícios'!C190=0,0,'Encargos e Benefícios'!AD190/'Encargos e Benefícios'!C190)</f>
        <v>5750.2988888888895</v>
      </c>
      <c r="AO191" s="188">
        <v>2894.94</v>
      </c>
      <c r="AP191" s="298">
        <v>2489.87</v>
      </c>
      <c r="AQ191" s="298">
        <v>3300</v>
      </c>
      <c r="AR191" s="299" t="s">
        <v>114</v>
      </c>
      <c r="AS191" s="188"/>
    </row>
    <row r="192" spans="1:45">
      <c r="A192" s="286">
        <v>186</v>
      </c>
      <c r="B192" s="81" t="str">
        <f>'Encargos e Benefícios'!B191</f>
        <v>Psicologo</v>
      </c>
      <c r="C192" s="287">
        <f>'Encargos e Benefícios'!C191</f>
        <v>1</v>
      </c>
      <c r="D192" s="288">
        <v>30</v>
      </c>
      <c r="E192" s="300">
        <v>45597</v>
      </c>
      <c r="F192" s="301">
        <v>47058</v>
      </c>
      <c r="G192" s="293">
        <v>45413</v>
      </c>
      <c r="H192" s="294">
        <v>5.8400000000000001E-2</v>
      </c>
      <c r="I192" s="256">
        <v>29.2</v>
      </c>
      <c r="J192" s="256">
        <v>6.87</v>
      </c>
      <c r="K192" s="256"/>
      <c r="L192" s="256"/>
      <c r="M192" s="293">
        <v>45778</v>
      </c>
      <c r="N192" s="294">
        <v>5.8400000000000001E-2</v>
      </c>
      <c r="O192" s="256">
        <v>30.9</v>
      </c>
      <c r="P192" s="256">
        <v>7.27</v>
      </c>
      <c r="Q192" s="256"/>
      <c r="R192" s="256"/>
      <c r="S192" s="293">
        <v>46143</v>
      </c>
      <c r="T192" s="294">
        <v>5.8400000000000001E-2</v>
      </c>
      <c r="U192" s="256">
        <v>32.71</v>
      </c>
      <c r="V192" s="256">
        <v>7.82</v>
      </c>
      <c r="W192" s="256"/>
      <c r="X192" s="256"/>
      <c r="Y192" s="293">
        <v>46508</v>
      </c>
      <c r="Z192" s="294">
        <v>5.8400000000000001E-2</v>
      </c>
      <c r="AA192" s="256">
        <v>34.619999999999997</v>
      </c>
      <c r="AB192" s="256">
        <v>8.7100000000000009</v>
      </c>
      <c r="AC192" s="256"/>
      <c r="AD192" s="256"/>
      <c r="AE192" s="293">
        <v>46874</v>
      </c>
      <c r="AF192" s="294">
        <v>5.8400000000000001E-2</v>
      </c>
      <c r="AG192" s="256">
        <v>36.64</v>
      </c>
      <c r="AH192" s="256">
        <v>10.17</v>
      </c>
      <c r="AI192" s="256"/>
      <c r="AJ192" s="257"/>
      <c r="AK192" s="296">
        <f>'Encargos e Benefícios'!D191</f>
        <v>2600</v>
      </c>
      <c r="AL192" s="296">
        <f>IF('Encargos e Benefícios'!C191=0,0,'Encargos e Benefícios'!U191/'Encargos e Benefícios'!C191)</f>
        <v>2114.088888888889</v>
      </c>
      <c r="AM192" s="296">
        <f>IF('Encargos e Benefícios'!C191=0,0,'Encargos e Benefícios'!AC191/'Encargos e Benefícios'!C191)</f>
        <v>1036.21</v>
      </c>
      <c r="AN192" s="297">
        <f>IF('Encargos e Benefícios'!C191=0,0,'Encargos e Benefícios'!AD191/'Encargos e Benefícios'!C191)</f>
        <v>5750.2988888888895</v>
      </c>
      <c r="AO192" s="188">
        <v>3953.69</v>
      </c>
      <c r="AP192" s="298">
        <v>2500</v>
      </c>
      <c r="AQ192" s="298">
        <v>5407.37</v>
      </c>
      <c r="AR192" s="299" t="s">
        <v>114</v>
      </c>
      <c r="AS192" s="188"/>
    </row>
    <row r="193" spans="1:45">
      <c r="A193" s="286">
        <v>187</v>
      </c>
      <c r="B193" s="81" t="str">
        <f>'Encargos e Benefícios'!B192</f>
        <v>Terapeuta Ocupacional</v>
      </c>
      <c r="C193" s="287">
        <f>'Encargos e Benefícios'!C192</f>
        <v>1</v>
      </c>
      <c r="D193" s="288">
        <v>30</v>
      </c>
      <c r="E193" s="300">
        <v>45597</v>
      </c>
      <c r="F193" s="301">
        <v>47058</v>
      </c>
      <c r="G193" s="293">
        <v>45413</v>
      </c>
      <c r="H193" s="294">
        <v>5.8400000000000001E-2</v>
      </c>
      <c r="I193" s="256">
        <v>29.2</v>
      </c>
      <c r="J193" s="256">
        <v>6.87</v>
      </c>
      <c r="K193" s="256"/>
      <c r="L193" s="256"/>
      <c r="M193" s="293">
        <v>45778</v>
      </c>
      <c r="N193" s="294">
        <v>5.8400000000000001E-2</v>
      </c>
      <c r="O193" s="256">
        <v>30.9</v>
      </c>
      <c r="P193" s="256">
        <v>7.27</v>
      </c>
      <c r="Q193" s="256"/>
      <c r="R193" s="256"/>
      <c r="S193" s="293">
        <v>46143</v>
      </c>
      <c r="T193" s="294">
        <v>5.8400000000000001E-2</v>
      </c>
      <c r="U193" s="256">
        <v>32.71</v>
      </c>
      <c r="V193" s="256">
        <v>7.82</v>
      </c>
      <c r="W193" s="256"/>
      <c r="X193" s="256"/>
      <c r="Y193" s="293">
        <v>46508</v>
      </c>
      <c r="Z193" s="294">
        <v>5.8400000000000001E-2</v>
      </c>
      <c r="AA193" s="256">
        <v>34.619999999999997</v>
      </c>
      <c r="AB193" s="256">
        <v>8.7100000000000009</v>
      </c>
      <c r="AC193" s="256"/>
      <c r="AD193" s="256"/>
      <c r="AE193" s="293">
        <v>46874</v>
      </c>
      <c r="AF193" s="294">
        <v>5.8400000000000001E-2</v>
      </c>
      <c r="AG193" s="256">
        <v>36.64</v>
      </c>
      <c r="AH193" s="256">
        <v>10.17</v>
      </c>
      <c r="AI193" s="256"/>
      <c r="AJ193" s="257"/>
      <c r="AK193" s="296">
        <f>'Encargos e Benefícios'!D192</f>
        <v>2600</v>
      </c>
      <c r="AL193" s="296">
        <f>IF('Encargos e Benefícios'!C192=0,0,'Encargos e Benefícios'!U192/'Encargos e Benefícios'!C192)</f>
        <v>2114.088888888889</v>
      </c>
      <c r="AM193" s="296">
        <f>IF('Encargos e Benefícios'!C192=0,0,'Encargos e Benefícios'!AC192/'Encargos e Benefícios'!C192)</f>
        <v>1036.21</v>
      </c>
      <c r="AN193" s="297">
        <f>IF('Encargos e Benefícios'!C192=0,0,'Encargos e Benefícios'!AD192/'Encargos e Benefícios'!C192)</f>
        <v>5750.2988888888895</v>
      </c>
      <c r="AO193" s="188">
        <v>2422.3000000000002</v>
      </c>
      <c r="AP193" s="298">
        <v>1932.61</v>
      </c>
      <c r="AQ193" s="298">
        <v>2911.99</v>
      </c>
      <c r="AR193" s="299" t="s">
        <v>114</v>
      </c>
      <c r="AS193" s="188"/>
    </row>
    <row r="194" spans="1:45">
      <c r="A194" s="286">
        <v>188</v>
      </c>
      <c r="B194" s="81" t="str">
        <f>'Encargos e Benefícios'!B193</f>
        <v>Administrativo</v>
      </c>
      <c r="C194" s="287">
        <f>'Encargos e Benefícios'!C193</f>
        <v>1</v>
      </c>
      <c r="D194" s="288">
        <v>40</v>
      </c>
      <c r="E194" s="300">
        <v>45597</v>
      </c>
      <c r="F194" s="301">
        <v>47058</v>
      </c>
      <c r="G194" s="293">
        <v>45413</v>
      </c>
      <c r="H194" s="294">
        <v>5.8400000000000001E-2</v>
      </c>
      <c r="I194" s="256">
        <v>29.2</v>
      </c>
      <c r="J194" s="256">
        <v>6.87</v>
      </c>
      <c r="K194" s="256"/>
      <c r="L194" s="256"/>
      <c r="M194" s="293">
        <v>45778</v>
      </c>
      <c r="N194" s="294">
        <v>5.8400000000000001E-2</v>
      </c>
      <c r="O194" s="256">
        <v>30.9</v>
      </c>
      <c r="P194" s="256">
        <v>7.27</v>
      </c>
      <c r="Q194" s="256"/>
      <c r="R194" s="256"/>
      <c r="S194" s="293">
        <v>46143</v>
      </c>
      <c r="T194" s="294">
        <v>5.8400000000000001E-2</v>
      </c>
      <c r="U194" s="256">
        <v>32.71</v>
      </c>
      <c r="V194" s="256">
        <v>7.82</v>
      </c>
      <c r="W194" s="256"/>
      <c r="X194" s="256"/>
      <c r="Y194" s="293">
        <v>46508</v>
      </c>
      <c r="Z194" s="294">
        <v>5.8400000000000001E-2</v>
      </c>
      <c r="AA194" s="256">
        <v>34.619999999999997</v>
      </c>
      <c r="AB194" s="256">
        <v>8.7100000000000009</v>
      </c>
      <c r="AC194" s="256"/>
      <c r="AD194" s="256"/>
      <c r="AE194" s="293">
        <v>46874</v>
      </c>
      <c r="AF194" s="294">
        <v>5.8400000000000001E-2</v>
      </c>
      <c r="AG194" s="256">
        <v>36.64</v>
      </c>
      <c r="AH194" s="256">
        <v>10.17</v>
      </c>
      <c r="AI194" s="256"/>
      <c r="AJ194" s="257"/>
      <c r="AK194" s="296">
        <f>'Encargos e Benefícios'!D193</f>
        <v>1750</v>
      </c>
      <c r="AL194" s="296">
        <f>IF('Encargos e Benefícios'!C193=0,0,'Encargos e Benefícios'!U193/'Encargos e Benefícios'!C193)</f>
        <v>1422.9444444444443</v>
      </c>
      <c r="AM194" s="296">
        <f>IF('Encargos e Benefícios'!C193=0,0,'Encargos e Benefícios'!AC193/'Encargos e Benefícios'!C193)</f>
        <v>1036.21</v>
      </c>
      <c r="AN194" s="297">
        <f>IF('Encargos e Benefícios'!C193=0,0,'Encargos e Benefícios'!AD193/'Encargos e Benefícios'!C193)</f>
        <v>4209.1544444444444</v>
      </c>
      <c r="AO194" s="188">
        <v>2097.83</v>
      </c>
      <c r="AP194" s="298">
        <v>1500</v>
      </c>
      <c r="AQ194" s="298">
        <v>2695.66</v>
      </c>
      <c r="AR194" s="299" t="s">
        <v>114</v>
      </c>
      <c r="AS194" s="188"/>
    </row>
    <row r="195" spans="1:45">
      <c r="A195" s="286">
        <v>189</v>
      </c>
      <c r="B195" s="81" t="str">
        <f>'Encargos e Benefícios'!B194</f>
        <v>Auxiliar Educacional</v>
      </c>
      <c r="C195" s="287">
        <f>'Encargos e Benefícios'!C194</f>
        <v>1</v>
      </c>
      <c r="D195" s="288">
        <v>30</v>
      </c>
      <c r="E195" s="300">
        <v>45597</v>
      </c>
      <c r="F195" s="301">
        <v>47058</v>
      </c>
      <c r="G195" s="293">
        <v>45413</v>
      </c>
      <c r="H195" s="294">
        <v>5.8400000000000001E-2</v>
      </c>
      <c r="I195" s="256">
        <v>29.2</v>
      </c>
      <c r="J195" s="256">
        <v>6.87</v>
      </c>
      <c r="K195" s="256"/>
      <c r="L195" s="256"/>
      <c r="M195" s="293">
        <v>45778</v>
      </c>
      <c r="N195" s="294">
        <v>5.8400000000000001E-2</v>
      </c>
      <c r="O195" s="256">
        <v>30.9</v>
      </c>
      <c r="P195" s="256">
        <v>7.27</v>
      </c>
      <c r="Q195" s="256"/>
      <c r="R195" s="256"/>
      <c r="S195" s="293">
        <v>46143</v>
      </c>
      <c r="T195" s="294">
        <v>5.8400000000000001E-2</v>
      </c>
      <c r="U195" s="256">
        <v>32.71</v>
      </c>
      <c r="V195" s="256">
        <v>7.82</v>
      </c>
      <c r="W195" s="256"/>
      <c r="X195" s="256"/>
      <c r="Y195" s="293">
        <v>46508</v>
      </c>
      <c r="Z195" s="294">
        <v>5.8400000000000001E-2</v>
      </c>
      <c r="AA195" s="256">
        <v>34.619999999999997</v>
      </c>
      <c r="AB195" s="256">
        <v>8.7100000000000009</v>
      </c>
      <c r="AC195" s="256"/>
      <c r="AD195" s="256"/>
      <c r="AE195" s="293">
        <v>46874</v>
      </c>
      <c r="AF195" s="294">
        <v>5.8400000000000001E-2</v>
      </c>
      <c r="AG195" s="256">
        <v>36.64</v>
      </c>
      <c r="AH195" s="256">
        <v>10.17</v>
      </c>
      <c r="AI195" s="256"/>
      <c r="AJ195" s="257"/>
      <c r="AK195" s="296">
        <f>'Encargos e Benefícios'!D194</f>
        <v>1642</v>
      </c>
      <c r="AL195" s="296">
        <f>IF('Encargos e Benefícios'!C194=0,0,'Encargos e Benefícios'!U194/'Encargos e Benefícios'!C194)</f>
        <v>1335.1284444444443</v>
      </c>
      <c r="AM195" s="296">
        <f>IF('Encargos e Benefícios'!C194=0,0,'Encargos e Benefícios'!AC194/'Encargos e Benefícios'!C194)</f>
        <v>1036.21</v>
      </c>
      <c r="AN195" s="297">
        <f>IF('Encargos e Benefícios'!C194=0,0,'Encargos e Benefícios'!AD194/'Encargos e Benefícios'!C194)</f>
        <v>4013.3384444444446</v>
      </c>
      <c r="AO195" s="188">
        <v>1750.23</v>
      </c>
      <c r="AP195" s="298">
        <v>1500</v>
      </c>
      <c r="AQ195" s="298">
        <v>2000.45</v>
      </c>
      <c r="AR195" s="299" t="s">
        <v>114</v>
      </c>
      <c r="AS195" s="188"/>
    </row>
    <row r="196" spans="1:45">
      <c r="A196" s="286">
        <v>190</v>
      </c>
      <c r="B196" s="81" t="str">
        <f>'Encargos e Benefícios'!B195</f>
        <v>Auxiliar de Serviços Gerais</v>
      </c>
      <c r="C196" s="287">
        <f>'Encargos e Benefícios'!C195</f>
        <v>1</v>
      </c>
      <c r="D196" s="288">
        <v>30</v>
      </c>
      <c r="E196" s="300">
        <v>45597</v>
      </c>
      <c r="F196" s="301">
        <v>47058</v>
      </c>
      <c r="G196" s="293">
        <v>45413</v>
      </c>
      <c r="H196" s="294">
        <v>5.8400000000000001E-2</v>
      </c>
      <c r="I196" s="256">
        <v>29.2</v>
      </c>
      <c r="J196" s="256">
        <v>6.87</v>
      </c>
      <c r="K196" s="256"/>
      <c r="L196" s="256"/>
      <c r="M196" s="293">
        <v>45778</v>
      </c>
      <c r="N196" s="294">
        <v>5.8400000000000001E-2</v>
      </c>
      <c r="O196" s="256">
        <v>30.9</v>
      </c>
      <c r="P196" s="256">
        <v>7.27</v>
      </c>
      <c r="Q196" s="256"/>
      <c r="R196" s="256"/>
      <c r="S196" s="293">
        <v>46143</v>
      </c>
      <c r="T196" s="294">
        <v>5.8400000000000001E-2</v>
      </c>
      <c r="U196" s="256">
        <v>32.71</v>
      </c>
      <c r="V196" s="256">
        <v>7.82</v>
      </c>
      <c r="W196" s="256"/>
      <c r="X196" s="256"/>
      <c r="Y196" s="293">
        <v>46508</v>
      </c>
      <c r="Z196" s="294">
        <v>5.8400000000000001E-2</v>
      </c>
      <c r="AA196" s="256">
        <v>34.619999999999997</v>
      </c>
      <c r="AB196" s="256">
        <v>8.7100000000000009</v>
      </c>
      <c r="AC196" s="256"/>
      <c r="AD196" s="256"/>
      <c r="AE196" s="293">
        <v>46874</v>
      </c>
      <c r="AF196" s="294">
        <v>5.8400000000000001E-2</v>
      </c>
      <c r="AG196" s="256">
        <v>36.64</v>
      </c>
      <c r="AH196" s="256">
        <v>10.17</v>
      </c>
      <c r="AI196" s="256"/>
      <c r="AJ196" s="257"/>
      <c r="AK196" s="296">
        <f>'Encargos e Benefícios'!D195</f>
        <v>1385</v>
      </c>
      <c r="AL196" s="296">
        <f>IF('Encargos e Benefícios'!C195=0,0,'Encargos e Benefícios'!U195/'Encargos e Benefícios'!C195)</f>
        <v>1126.1588888888887</v>
      </c>
      <c r="AM196" s="296">
        <f>IF('Encargos e Benefícios'!C195=0,0,'Encargos e Benefícios'!AC195/'Encargos e Benefícios'!C195)</f>
        <v>1036.21</v>
      </c>
      <c r="AN196" s="297">
        <f>IF('Encargos e Benefícios'!C195=0,0,'Encargos e Benefícios'!AD195/'Encargos e Benefícios'!C195)</f>
        <v>3547.3688888888887</v>
      </c>
      <c r="AO196" s="188">
        <v>1437.37</v>
      </c>
      <c r="AP196" s="298">
        <v>1302</v>
      </c>
      <c r="AQ196" s="298">
        <v>1572.74</v>
      </c>
      <c r="AR196" s="299" t="s">
        <v>114</v>
      </c>
      <c r="AS196" s="188"/>
    </row>
    <row r="197" spans="1:45">
      <c r="A197" s="286">
        <v>191</v>
      </c>
      <c r="B197" s="81" t="str">
        <f>'Encargos e Benefícios'!B196</f>
        <v>Motorista</v>
      </c>
      <c r="C197" s="287">
        <f>'Encargos e Benefícios'!C196</f>
        <v>1</v>
      </c>
      <c r="D197" s="288">
        <v>40</v>
      </c>
      <c r="E197" s="300">
        <v>45597</v>
      </c>
      <c r="F197" s="301">
        <v>47058</v>
      </c>
      <c r="G197" s="293">
        <v>45413</v>
      </c>
      <c r="H197" s="294">
        <v>5.8400000000000001E-2</v>
      </c>
      <c r="I197" s="256">
        <v>29.2</v>
      </c>
      <c r="J197" s="256">
        <v>6.87</v>
      </c>
      <c r="K197" s="256"/>
      <c r="L197" s="256"/>
      <c r="M197" s="293">
        <v>45778</v>
      </c>
      <c r="N197" s="294">
        <v>5.8400000000000001E-2</v>
      </c>
      <c r="O197" s="256">
        <v>30.9</v>
      </c>
      <c r="P197" s="256">
        <v>7.27</v>
      </c>
      <c r="Q197" s="256"/>
      <c r="R197" s="256"/>
      <c r="S197" s="293">
        <v>46143</v>
      </c>
      <c r="T197" s="294">
        <v>5.8400000000000001E-2</v>
      </c>
      <c r="U197" s="256">
        <v>32.71</v>
      </c>
      <c r="V197" s="256">
        <v>7.82</v>
      </c>
      <c r="W197" s="256"/>
      <c r="X197" s="256"/>
      <c r="Y197" s="293">
        <v>46508</v>
      </c>
      <c r="Z197" s="294">
        <v>5.8400000000000001E-2</v>
      </c>
      <c r="AA197" s="256">
        <v>34.619999999999997</v>
      </c>
      <c r="AB197" s="256">
        <v>8.7100000000000009</v>
      </c>
      <c r="AC197" s="256"/>
      <c r="AD197" s="256"/>
      <c r="AE197" s="293">
        <v>46874</v>
      </c>
      <c r="AF197" s="294">
        <v>5.8400000000000001E-2</v>
      </c>
      <c r="AG197" s="256">
        <v>36.64</v>
      </c>
      <c r="AH197" s="256">
        <v>10.17</v>
      </c>
      <c r="AI197" s="256"/>
      <c r="AJ197" s="257"/>
      <c r="AK197" s="296">
        <f>'Encargos e Benefícios'!D196</f>
        <v>1452.39</v>
      </c>
      <c r="AL197" s="296">
        <f>IF('Encargos e Benefícios'!C196=0,0,'Encargos e Benefícios'!U196/'Encargos e Benefícios'!C196)</f>
        <v>1180.9544466666669</v>
      </c>
      <c r="AM197" s="296">
        <f>IF('Encargos e Benefícios'!C196=0,0,'Encargos e Benefícios'!AC196/'Encargos e Benefícios'!C196)</f>
        <v>1036.21</v>
      </c>
      <c r="AN197" s="297">
        <f>IF('Encargos e Benefícios'!C196=0,0,'Encargos e Benefícios'!AD196/'Encargos e Benefícios'!C196)</f>
        <v>3669.554446666667</v>
      </c>
      <c r="AO197" s="188">
        <v>2046.28</v>
      </c>
      <c r="AP197" s="298">
        <v>1212</v>
      </c>
      <c r="AQ197" s="298">
        <v>2880.55</v>
      </c>
      <c r="AR197" s="299" t="s">
        <v>114</v>
      </c>
      <c r="AS197" s="188"/>
    </row>
    <row r="198" spans="1:45">
      <c r="A198" s="286">
        <v>192</v>
      </c>
      <c r="B198" s="81" t="str">
        <f>'Encargos e Benefícios'!B197</f>
        <v>Socioeducador - DC</v>
      </c>
      <c r="C198" s="287">
        <f>'Encargos e Benefícios'!C197</f>
        <v>2</v>
      </c>
      <c r="D198" s="288" t="s">
        <v>504</v>
      </c>
      <c r="E198" s="300">
        <v>45597</v>
      </c>
      <c r="F198" s="301">
        <v>47058</v>
      </c>
      <c r="G198" s="293">
        <v>45413</v>
      </c>
      <c r="H198" s="294">
        <v>5.8400000000000001E-2</v>
      </c>
      <c r="I198" s="256">
        <v>29.2</v>
      </c>
      <c r="J198" s="256">
        <v>6.87</v>
      </c>
      <c r="K198" s="256"/>
      <c r="L198" s="256"/>
      <c r="M198" s="293">
        <v>45778</v>
      </c>
      <c r="N198" s="294">
        <v>5.8400000000000001E-2</v>
      </c>
      <c r="O198" s="256">
        <v>30.9</v>
      </c>
      <c r="P198" s="256">
        <v>7.27</v>
      </c>
      <c r="Q198" s="256"/>
      <c r="R198" s="256"/>
      <c r="S198" s="293">
        <v>46143</v>
      </c>
      <c r="T198" s="294">
        <v>5.8400000000000001E-2</v>
      </c>
      <c r="U198" s="256">
        <v>32.71</v>
      </c>
      <c r="V198" s="256">
        <v>7.82</v>
      </c>
      <c r="W198" s="256"/>
      <c r="X198" s="256"/>
      <c r="Y198" s="293">
        <v>46508</v>
      </c>
      <c r="Z198" s="294">
        <v>5.8400000000000001E-2</v>
      </c>
      <c r="AA198" s="256">
        <v>34.619999999999997</v>
      </c>
      <c r="AB198" s="256">
        <v>8.7100000000000009</v>
      </c>
      <c r="AC198" s="256"/>
      <c r="AD198" s="256"/>
      <c r="AE198" s="293">
        <v>46874</v>
      </c>
      <c r="AF198" s="294">
        <v>5.8400000000000001E-2</v>
      </c>
      <c r="AG198" s="256">
        <v>36.64</v>
      </c>
      <c r="AH198" s="256">
        <v>10.17</v>
      </c>
      <c r="AI198" s="256"/>
      <c r="AJ198" s="257"/>
      <c r="AK198" s="296">
        <f>'Encargos e Benefícios'!D197</f>
        <v>1900</v>
      </c>
      <c r="AL198" s="296">
        <f>IF('Encargos e Benefícios'!C197=0,0,'Encargos e Benefícios'!U197/'Encargos e Benefícios'!C197)</f>
        <v>2544.7966666666666</v>
      </c>
      <c r="AM198" s="296">
        <f>IF('Encargos e Benefícios'!C197=0,0,'Encargos e Benefícios'!AC197/'Encargos e Benefícios'!C197)</f>
        <v>478.86</v>
      </c>
      <c r="AN198" s="297">
        <f>IF('Encargos e Benefícios'!C197=0,0,'Encargos e Benefícios'!AD197/'Encargos e Benefícios'!C197)</f>
        <v>4923.6566666666668</v>
      </c>
      <c r="AO198" s="188">
        <v>2752.21</v>
      </c>
      <c r="AP198" s="298">
        <v>1764.5</v>
      </c>
      <c r="AQ198" s="298">
        <v>3739.92</v>
      </c>
      <c r="AR198" s="299" t="s">
        <v>114</v>
      </c>
      <c r="AS198" s="188"/>
    </row>
    <row r="199" spans="1:45">
      <c r="A199" s="286">
        <v>193</v>
      </c>
      <c r="B199" s="81" t="str">
        <f>'Encargos e Benefícios'!B198</f>
        <v>Socioeducador - D</v>
      </c>
      <c r="C199" s="287">
        <f>'Encargos e Benefícios'!C198</f>
        <v>12</v>
      </c>
      <c r="D199" s="288" t="s">
        <v>504</v>
      </c>
      <c r="E199" s="300">
        <v>45597</v>
      </c>
      <c r="F199" s="301">
        <v>47058</v>
      </c>
      <c r="G199" s="293">
        <v>45413</v>
      </c>
      <c r="H199" s="294">
        <v>5.8400000000000001E-2</v>
      </c>
      <c r="I199" s="256">
        <v>29.2</v>
      </c>
      <c r="J199" s="256">
        <v>6.87</v>
      </c>
      <c r="K199" s="256"/>
      <c r="L199" s="256"/>
      <c r="M199" s="293">
        <v>45778</v>
      </c>
      <c r="N199" s="294">
        <v>5.8400000000000001E-2</v>
      </c>
      <c r="O199" s="256">
        <v>30.9</v>
      </c>
      <c r="P199" s="256">
        <v>7.27</v>
      </c>
      <c r="Q199" s="256"/>
      <c r="R199" s="256"/>
      <c r="S199" s="293">
        <v>46143</v>
      </c>
      <c r="T199" s="294">
        <v>5.8400000000000001E-2</v>
      </c>
      <c r="U199" s="256">
        <v>32.71</v>
      </c>
      <c r="V199" s="256">
        <v>7.82</v>
      </c>
      <c r="W199" s="256"/>
      <c r="X199" s="256"/>
      <c r="Y199" s="293">
        <v>46508</v>
      </c>
      <c r="Z199" s="294">
        <v>5.8400000000000001E-2</v>
      </c>
      <c r="AA199" s="256">
        <v>34.619999999999997</v>
      </c>
      <c r="AB199" s="256">
        <v>8.7100000000000009</v>
      </c>
      <c r="AC199" s="256"/>
      <c r="AD199" s="256"/>
      <c r="AE199" s="293">
        <v>46874</v>
      </c>
      <c r="AF199" s="294">
        <v>5.8400000000000001E-2</v>
      </c>
      <c r="AG199" s="256">
        <v>36.64</v>
      </c>
      <c r="AH199" s="256">
        <v>10.17</v>
      </c>
      <c r="AI199" s="256"/>
      <c r="AJ199" s="257"/>
      <c r="AK199" s="296">
        <f>'Encargos e Benefícios'!D198</f>
        <v>1900</v>
      </c>
      <c r="AL199" s="296">
        <f>IF('Encargos e Benefícios'!C198=0,0,'Encargos e Benefícios'!U198/'Encargos e Benefícios'!C198)</f>
        <v>2281.7944444444447</v>
      </c>
      <c r="AM199" s="296">
        <f>IF('Encargos e Benefícios'!C198=0,0,'Encargos e Benefícios'!AC198/'Encargos e Benefícios'!C198)</f>
        <v>79.81</v>
      </c>
      <c r="AN199" s="297">
        <f>IF('Encargos e Benefícios'!C198=0,0,'Encargos e Benefícios'!AD198/'Encargos e Benefícios'!C198)</f>
        <v>4261.6044444444451</v>
      </c>
      <c r="AO199" s="188">
        <v>2752.21</v>
      </c>
      <c r="AP199" s="298">
        <v>1764.5</v>
      </c>
      <c r="AQ199" s="298">
        <v>3739.92</v>
      </c>
      <c r="AR199" s="299" t="s">
        <v>114</v>
      </c>
      <c r="AS199" s="188"/>
    </row>
    <row r="200" spans="1:45">
      <c r="A200" s="286">
        <v>194</v>
      </c>
      <c r="B200" s="81" t="str">
        <f>'Encargos e Benefícios'!B199</f>
        <v>Socioeducador - NC</v>
      </c>
      <c r="C200" s="287">
        <f>'Encargos e Benefícios'!C199</f>
        <v>2</v>
      </c>
      <c r="D200" s="288" t="s">
        <v>504</v>
      </c>
      <c r="E200" s="300">
        <v>45597</v>
      </c>
      <c r="F200" s="301">
        <v>47058</v>
      </c>
      <c r="G200" s="293">
        <v>45413</v>
      </c>
      <c r="H200" s="294">
        <v>5.8400000000000001E-2</v>
      </c>
      <c r="I200" s="256">
        <v>29.2</v>
      </c>
      <c r="J200" s="256">
        <v>6.87</v>
      </c>
      <c r="K200" s="256"/>
      <c r="L200" s="256"/>
      <c r="M200" s="293">
        <v>45778</v>
      </c>
      <c r="N200" s="294">
        <v>5.8400000000000001E-2</v>
      </c>
      <c r="O200" s="256">
        <v>30.9</v>
      </c>
      <c r="P200" s="256">
        <v>7.27</v>
      </c>
      <c r="Q200" s="256"/>
      <c r="R200" s="256"/>
      <c r="S200" s="293">
        <v>46143</v>
      </c>
      <c r="T200" s="294">
        <v>5.8400000000000001E-2</v>
      </c>
      <c r="U200" s="256">
        <v>32.71</v>
      </c>
      <c r="V200" s="256">
        <v>7.82</v>
      </c>
      <c r="W200" s="256"/>
      <c r="X200" s="256"/>
      <c r="Y200" s="293">
        <v>46508</v>
      </c>
      <c r="Z200" s="294">
        <v>5.8400000000000001E-2</v>
      </c>
      <c r="AA200" s="256">
        <v>34.619999999999997</v>
      </c>
      <c r="AB200" s="256">
        <v>8.7100000000000009</v>
      </c>
      <c r="AC200" s="256"/>
      <c r="AD200" s="256"/>
      <c r="AE200" s="293">
        <v>46874</v>
      </c>
      <c r="AF200" s="294">
        <v>5.8400000000000001E-2</v>
      </c>
      <c r="AG200" s="256">
        <v>36.64</v>
      </c>
      <c r="AH200" s="256">
        <v>10.17</v>
      </c>
      <c r="AI200" s="256"/>
      <c r="AJ200" s="257"/>
      <c r="AK200" s="296">
        <f>'Encargos e Benefícios'!D199</f>
        <v>1900</v>
      </c>
      <c r="AL200" s="296">
        <f>IF('Encargos e Benefícios'!C199=0,0,'Encargos e Benefícios'!U199/'Encargos e Benefícios'!C199)</f>
        <v>3013.1818518518517</v>
      </c>
      <c r="AM200" s="296">
        <f>IF('Encargos e Benefícios'!C199=0,0,'Encargos e Benefícios'!AC199/'Encargos e Benefícios'!C199)</f>
        <v>478.86</v>
      </c>
      <c r="AN200" s="297">
        <f>IF('Encargos e Benefícios'!C199=0,0,'Encargos e Benefícios'!AD199/'Encargos e Benefícios'!C199)</f>
        <v>5392.0418518518518</v>
      </c>
      <c r="AO200" s="188">
        <v>2752.21</v>
      </c>
      <c r="AP200" s="298">
        <v>1764.5</v>
      </c>
      <c r="AQ200" s="298">
        <v>3739.92</v>
      </c>
      <c r="AR200" s="299" t="s">
        <v>114</v>
      </c>
      <c r="AS200" s="188"/>
    </row>
    <row r="201" spans="1:45" ht="13.5" thickBot="1">
      <c r="A201" s="286">
        <v>195</v>
      </c>
      <c r="B201" s="81" t="str">
        <f>'Encargos e Benefícios'!B200</f>
        <v>Socioeducador - N</v>
      </c>
      <c r="C201" s="287">
        <f>'Encargos e Benefícios'!C200</f>
        <v>6</v>
      </c>
      <c r="D201" s="288" t="s">
        <v>504</v>
      </c>
      <c r="E201" s="300">
        <v>45597</v>
      </c>
      <c r="F201" s="301">
        <v>47058</v>
      </c>
      <c r="G201" s="293">
        <v>45413</v>
      </c>
      <c r="H201" s="294">
        <v>5.8400000000000001E-2</v>
      </c>
      <c r="I201" s="256">
        <v>29.2</v>
      </c>
      <c r="J201" s="256">
        <v>6.87</v>
      </c>
      <c r="K201" s="256"/>
      <c r="L201" s="256"/>
      <c r="M201" s="293">
        <v>45778</v>
      </c>
      <c r="N201" s="294">
        <v>5.8400000000000001E-2</v>
      </c>
      <c r="O201" s="256">
        <v>30.9</v>
      </c>
      <c r="P201" s="256">
        <v>7.27</v>
      </c>
      <c r="Q201" s="256"/>
      <c r="R201" s="256"/>
      <c r="S201" s="293">
        <v>46143</v>
      </c>
      <c r="T201" s="294">
        <v>5.8400000000000001E-2</v>
      </c>
      <c r="U201" s="256">
        <v>32.71</v>
      </c>
      <c r="V201" s="256">
        <v>7.82</v>
      </c>
      <c r="W201" s="256"/>
      <c r="X201" s="256"/>
      <c r="Y201" s="293">
        <v>46508</v>
      </c>
      <c r="Z201" s="294">
        <v>5.8400000000000001E-2</v>
      </c>
      <c r="AA201" s="256">
        <v>34.619999999999997</v>
      </c>
      <c r="AB201" s="256">
        <v>8.7100000000000009</v>
      </c>
      <c r="AC201" s="256"/>
      <c r="AD201" s="256"/>
      <c r="AE201" s="293">
        <v>46874</v>
      </c>
      <c r="AF201" s="294">
        <v>5.8400000000000001E-2</v>
      </c>
      <c r="AG201" s="256">
        <v>36.64</v>
      </c>
      <c r="AH201" s="256">
        <v>10.17</v>
      </c>
      <c r="AI201" s="256"/>
      <c r="AJ201" s="257"/>
      <c r="AK201" s="296">
        <f>'Encargos e Benefícios'!D200</f>
        <v>1900</v>
      </c>
      <c r="AL201" s="296">
        <f>IF('Encargos e Benefícios'!C200=0,0,'Encargos e Benefícios'!U200/'Encargos e Benefícios'!C200)</f>
        <v>2750.1796296296302</v>
      </c>
      <c r="AM201" s="296">
        <f>IF('Encargos e Benefícios'!C200=0,0,'Encargos e Benefícios'!AC200/'Encargos e Benefícios'!C200)</f>
        <v>159.62</v>
      </c>
      <c r="AN201" s="297">
        <f>IF('Encargos e Benefícios'!C200=0,0,'Encargos e Benefícios'!AD200/'Encargos e Benefícios'!C200)</f>
        <v>4809.7996296296305</v>
      </c>
      <c r="AO201" s="188">
        <v>2752.21</v>
      </c>
      <c r="AP201" s="298">
        <v>1764.5</v>
      </c>
      <c r="AQ201" s="298">
        <v>3739.92</v>
      </c>
      <c r="AR201" s="299" t="s">
        <v>114</v>
      </c>
      <c r="AS201" s="188"/>
    </row>
    <row r="202" spans="1:45">
      <c r="A202" s="286">
        <v>196</v>
      </c>
      <c r="B202" s="81" t="str">
        <f>'Encargos e Benefícios'!B201</f>
        <v>Diretor Geral de Unidade Socioeducativa</v>
      </c>
      <c r="C202" s="287">
        <f>'Encargos e Benefícios'!C201</f>
        <v>1</v>
      </c>
      <c r="D202" s="288">
        <v>40</v>
      </c>
      <c r="E202" s="300">
        <v>45658</v>
      </c>
      <c r="F202" s="290">
        <v>47058</v>
      </c>
      <c r="G202" s="293">
        <v>45413</v>
      </c>
      <c r="H202" s="294">
        <v>5.8400000000000001E-2</v>
      </c>
      <c r="I202" s="256">
        <v>29.2</v>
      </c>
      <c r="J202" s="256">
        <v>6.87</v>
      </c>
      <c r="K202" s="256"/>
      <c r="L202" s="256"/>
      <c r="M202" s="293">
        <v>45778</v>
      </c>
      <c r="N202" s="294">
        <v>5.8400000000000001E-2</v>
      </c>
      <c r="O202" s="256">
        <v>30.9</v>
      </c>
      <c r="P202" s="256">
        <v>7.27</v>
      </c>
      <c r="Q202" s="256"/>
      <c r="R202" s="256"/>
      <c r="S202" s="293">
        <v>46143</v>
      </c>
      <c r="T202" s="294">
        <v>5.8400000000000001E-2</v>
      </c>
      <c r="U202" s="256">
        <v>32.71</v>
      </c>
      <c r="V202" s="256">
        <v>7.82</v>
      </c>
      <c r="W202" s="256"/>
      <c r="X202" s="256"/>
      <c r="Y202" s="293">
        <v>46508</v>
      </c>
      <c r="Z202" s="294">
        <v>5.8400000000000001E-2</v>
      </c>
      <c r="AA202" s="256">
        <v>34.619999999999997</v>
      </c>
      <c r="AB202" s="256">
        <v>8.7100000000000009</v>
      </c>
      <c r="AC202" s="256"/>
      <c r="AD202" s="256"/>
      <c r="AE202" s="293">
        <v>46874</v>
      </c>
      <c r="AF202" s="294">
        <v>5.8400000000000001E-2</v>
      </c>
      <c r="AG202" s="256">
        <v>36.64</v>
      </c>
      <c r="AH202" s="256">
        <v>10.17</v>
      </c>
      <c r="AI202" s="256"/>
      <c r="AJ202" s="257"/>
      <c r="AK202" s="296">
        <f>'Encargos e Benefícios'!D201</f>
        <v>6500</v>
      </c>
      <c r="AL202" s="296">
        <f>IF('Encargos e Benefícios'!C201=0,0,'Encargos e Benefícios'!U201/'Encargos e Benefícios'!C201)</f>
        <v>5194.2222222222235</v>
      </c>
      <c r="AM202" s="296">
        <f>IF('Encargos e Benefícios'!C201=0,0,'Encargos e Benefícios'!AC201/'Encargos e Benefícios'!C201)</f>
        <v>817.61999999999989</v>
      </c>
      <c r="AN202" s="297">
        <f>IF('Encargos e Benefícios'!C201=0,0,'Encargos e Benefícios'!AD201/'Encargos e Benefícios'!C201)</f>
        <v>12511.842222222222</v>
      </c>
      <c r="AO202" s="188">
        <v>6052.24</v>
      </c>
      <c r="AP202" s="298">
        <v>4239.6899999999996</v>
      </c>
      <c r="AQ202" s="298">
        <v>7864.78</v>
      </c>
      <c r="AR202" s="299" t="s">
        <v>115</v>
      </c>
      <c r="AS202" s="188"/>
    </row>
    <row r="203" spans="1:45">
      <c r="A203" s="286">
        <v>197</v>
      </c>
      <c r="B203" s="81" t="str">
        <f>'Encargos e Benefícios'!B202</f>
        <v>Subdiretor de Segurança</v>
      </c>
      <c r="C203" s="287">
        <f>'Encargos e Benefícios'!C202</f>
        <v>1</v>
      </c>
      <c r="D203" s="288">
        <v>40</v>
      </c>
      <c r="E203" s="300">
        <v>45658</v>
      </c>
      <c r="F203" s="301">
        <v>47058</v>
      </c>
      <c r="G203" s="293">
        <v>45413</v>
      </c>
      <c r="H203" s="294">
        <v>5.8400000000000001E-2</v>
      </c>
      <c r="I203" s="256">
        <v>29.2</v>
      </c>
      <c r="J203" s="256">
        <v>6.87</v>
      </c>
      <c r="K203" s="256"/>
      <c r="L203" s="256"/>
      <c r="M203" s="293">
        <v>45778</v>
      </c>
      <c r="N203" s="294">
        <v>5.8400000000000001E-2</v>
      </c>
      <c r="O203" s="256">
        <v>30.9</v>
      </c>
      <c r="P203" s="256">
        <v>7.27</v>
      </c>
      <c r="Q203" s="256"/>
      <c r="R203" s="256"/>
      <c r="S203" s="293">
        <v>46143</v>
      </c>
      <c r="T203" s="294">
        <v>5.8400000000000001E-2</v>
      </c>
      <c r="U203" s="256">
        <v>32.71</v>
      </c>
      <c r="V203" s="256">
        <v>7.82</v>
      </c>
      <c r="W203" s="256"/>
      <c r="X203" s="256"/>
      <c r="Y203" s="293">
        <v>46508</v>
      </c>
      <c r="Z203" s="294">
        <v>5.8400000000000001E-2</v>
      </c>
      <c r="AA203" s="256">
        <v>34.619999999999997</v>
      </c>
      <c r="AB203" s="256">
        <v>8.7100000000000009</v>
      </c>
      <c r="AC203" s="256"/>
      <c r="AD203" s="256"/>
      <c r="AE203" s="293">
        <v>46874</v>
      </c>
      <c r="AF203" s="294">
        <v>5.8400000000000001E-2</v>
      </c>
      <c r="AG203" s="256">
        <v>36.64</v>
      </c>
      <c r="AH203" s="256">
        <v>10.17</v>
      </c>
      <c r="AI203" s="256"/>
      <c r="AJ203" s="257"/>
      <c r="AK203" s="296">
        <f>'Encargos e Benefícios'!D202</f>
        <v>3773.6</v>
      </c>
      <c r="AL203" s="296">
        <f>IF('Encargos e Benefícios'!C202=0,0,'Encargos e Benefícios'!U202/'Encargos e Benefícios'!C202)</f>
        <v>4147.6056888888888</v>
      </c>
      <c r="AM203" s="296">
        <f>IF('Encargos e Benefícios'!C202=0,0,'Encargos e Benefícios'!AC202/'Encargos e Benefícios'!C202)</f>
        <v>817.61999999999989</v>
      </c>
      <c r="AN203" s="297">
        <f>IF('Encargos e Benefícios'!C202=0,0,'Encargos e Benefícios'!AD202/'Encargos e Benefícios'!C202)</f>
        <v>8738.82568888889</v>
      </c>
      <c r="AO203" s="188">
        <v>4968.99</v>
      </c>
      <c r="AP203" s="298">
        <v>3773.6</v>
      </c>
      <c r="AQ203" s="298">
        <v>6164.38</v>
      </c>
      <c r="AR203" s="299" t="s">
        <v>115</v>
      </c>
      <c r="AS203" s="188"/>
    </row>
    <row r="204" spans="1:45">
      <c r="A204" s="286">
        <v>198</v>
      </c>
      <c r="B204" s="81" t="str">
        <f>'Encargos e Benefícios'!B203</f>
        <v>Advogado</v>
      </c>
      <c r="C204" s="287">
        <f>'Encargos e Benefícios'!C203</f>
        <v>1</v>
      </c>
      <c r="D204" s="288">
        <v>30</v>
      </c>
      <c r="E204" s="300">
        <v>45689</v>
      </c>
      <c r="F204" s="301">
        <v>47058</v>
      </c>
      <c r="G204" s="293">
        <v>45413</v>
      </c>
      <c r="H204" s="294">
        <v>5.8400000000000001E-2</v>
      </c>
      <c r="I204" s="256">
        <v>29.2</v>
      </c>
      <c r="J204" s="256">
        <v>6.87</v>
      </c>
      <c r="K204" s="256"/>
      <c r="L204" s="256"/>
      <c r="M204" s="293">
        <v>45778</v>
      </c>
      <c r="N204" s="294">
        <v>5.8400000000000001E-2</v>
      </c>
      <c r="O204" s="256">
        <v>30.9</v>
      </c>
      <c r="P204" s="256">
        <v>7.27</v>
      </c>
      <c r="Q204" s="256"/>
      <c r="R204" s="256"/>
      <c r="S204" s="293">
        <v>46143</v>
      </c>
      <c r="T204" s="294">
        <v>5.8400000000000001E-2</v>
      </c>
      <c r="U204" s="256">
        <v>32.71</v>
      </c>
      <c r="V204" s="256">
        <v>7.82</v>
      </c>
      <c r="W204" s="256"/>
      <c r="X204" s="256"/>
      <c r="Y204" s="293">
        <v>46508</v>
      </c>
      <c r="Z204" s="294">
        <v>5.8400000000000001E-2</v>
      </c>
      <c r="AA204" s="256">
        <v>34.619999999999997</v>
      </c>
      <c r="AB204" s="256">
        <v>8.7100000000000009</v>
      </c>
      <c r="AC204" s="256"/>
      <c r="AD204" s="256"/>
      <c r="AE204" s="293">
        <v>46874</v>
      </c>
      <c r="AF204" s="294">
        <v>5.8400000000000001E-2</v>
      </c>
      <c r="AG204" s="256">
        <v>36.64</v>
      </c>
      <c r="AH204" s="256">
        <v>10.17</v>
      </c>
      <c r="AI204" s="256"/>
      <c r="AJ204" s="257"/>
      <c r="AK204" s="296">
        <f>'Encargos e Benefícios'!D203</f>
        <v>2600</v>
      </c>
      <c r="AL204" s="296">
        <f>IF('Encargos e Benefícios'!C203=0,0,'Encargos e Benefícios'!U203/'Encargos e Benefícios'!C203)</f>
        <v>2114.088888888889</v>
      </c>
      <c r="AM204" s="296">
        <f>IF('Encargos e Benefícios'!C203=0,0,'Encargos e Benefícios'!AC203/'Encargos e Benefícios'!C203)</f>
        <v>929.29</v>
      </c>
      <c r="AN204" s="297">
        <f>IF('Encargos e Benefícios'!C203=0,0,'Encargos e Benefícios'!AD203/'Encargos e Benefícios'!C203)</f>
        <v>5643.3788888888894</v>
      </c>
      <c r="AO204" s="188">
        <v>2767.69</v>
      </c>
      <c r="AP204" s="298">
        <v>2500</v>
      </c>
      <c r="AQ204" s="298">
        <v>3035.37</v>
      </c>
      <c r="AR204" s="299" t="s">
        <v>115</v>
      </c>
      <c r="AS204" s="188"/>
    </row>
    <row r="205" spans="1:45">
      <c r="A205" s="286">
        <v>199</v>
      </c>
      <c r="B205" s="81" t="str">
        <f>'Encargos e Benefícios'!B204</f>
        <v>Assistente Social</v>
      </c>
      <c r="C205" s="287">
        <f>'Encargos e Benefícios'!C204</f>
        <v>1</v>
      </c>
      <c r="D205" s="288">
        <v>30</v>
      </c>
      <c r="E205" s="300">
        <v>45689</v>
      </c>
      <c r="F205" s="301">
        <v>47058</v>
      </c>
      <c r="G205" s="293">
        <v>45413</v>
      </c>
      <c r="H205" s="294">
        <v>5.8400000000000001E-2</v>
      </c>
      <c r="I205" s="256">
        <v>29.2</v>
      </c>
      <c r="J205" s="256">
        <v>6.87</v>
      </c>
      <c r="K205" s="256"/>
      <c r="L205" s="256"/>
      <c r="M205" s="293">
        <v>45778</v>
      </c>
      <c r="N205" s="294">
        <v>5.8400000000000001E-2</v>
      </c>
      <c r="O205" s="256">
        <v>30.9</v>
      </c>
      <c r="P205" s="256">
        <v>7.27</v>
      </c>
      <c r="Q205" s="256"/>
      <c r="R205" s="256"/>
      <c r="S205" s="293">
        <v>46143</v>
      </c>
      <c r="T205" s="294">
        <v>5.8400000000000001E-2</v>
      </c>
      <c r="U205" s="256">
        <v>32.71</v>
      </c>
      <c r="V205" s="256">
        <v>7.82</v>
      </c>
      <c r="W205" s="256"/>
      <c r="X205" s="256"/>
      <c r="Y205" s="293">
        <v>46508</v>
      </c>
      <c r="Z205" s="294">
        <v>5.8400000000000001E-2</v>
      </c>
      <c r="AA205" s="256">
        <v>34.619999999999997</v>
      </c>
      <c r="AB205" s="256">
        <v>8.7100000000000009</v>
      </c>
      <c r="AC205" s="256"/>
      <c r="AD205" s="256"/>
      <c r="AE205" s="293">
        <v>46874</v>
      </c>
      <c r="AF205" s="294">
        <v>5.8400000000000001E-2</v>
      </c>
      <c r="AG205" s="256">
        <v>36.64</v>
      </c>
      <c r="AH205" s="256">
        <v>10.17</v>
      </c>
      <c r="AI205" s="256"/>
      <c r="AJ205" s="257"/>
      <c r="AK205" s="296">
        <f>'Encargos e Benefícios'!D204</f>
        <v>2600</v>
      </c>
      <c r="AL205" s="296">
        <f>IF('Encargos e Benefícios'!C204=0,0,'Encargos e Benefícios'!U204/'Encargos e Benefícios'!C204)</f>
        <v>2114.088888888889</v>
      </c>
      <c r="AM205" s="296">
        <f>IF('Encargos e Benefícios'!C204=0,0,'Encargos e Benefícios'!AC204/'Encargos e Benefícios'!C204)</f>
        <v>929.29</v>
      </c>
      <c r="AN205" s="297">
        <f>IF('Encargos e Benefícios'!C204=0,0,'Encargos e Benefícios'!AD204/'Encargos e Benefícios'!C204)</f>
        <v>5643.3788888888894</v>
      </c>
      <c r="AO205" s="188">
        <v>3277.91</v>
      </c>
      <c r="AP205" s="298">
        <v>2500</v>
      </c>
      <c r="AQ205" s="298">
        <v>4055.81</v>
      </c>
      <c r="AR205" s="299" t="s">
        <v>115</v>
      </c>
      <c r="AS205" s="188"/>
    </row>
    <row r="206" spans="1:45">
      <c r="A206" s="286">
        <v>200</v>
      </c>
      <c r="B206" s="81" t="str">
        <f>'Encargos e Benefícios'!B205</f>
        <v>Pedagogo</v>
      </c>
      <c r="C206" s="287">
        <f>'Encargos e Benefícios'!C205</f>
        <v>1</v>
      </c>
      <c r="D206" s="288">
        <v>30</v>
      </c>
      <c r="E206" s="300">
        <v>45689</v>
      </c>
      <c r="F206" s="301">
        <v>47058</v>
      </c>
      <c r="G206" s="293">
        <v>45413</v>
      </c>
      <c r="H206" s="294">
        <v>5.8400000000000001E-2</v>
      </c>
      <c r="I206" s="256">
        <v>29.2</v>
      </c>
      <c r="J206" s="256">
        <v>6.87</v>
      </c>
      <c r="K206" s="256"/>
      <c r="L206" s="256"/>
      <c r="M206" s="293">
        <v>45778</v>
      </c>
      <c r="N206" s="294">
        <v>5.8400000000000001E-2</v>
      </c>
      <c r="O206" s="256">
        <v>30.9</v>
      </c>
      <c r="P206" s="256">
        <v>7.27</v>
      </c>
      <c r="Q206" s="256"/>
      <c r="R206" s="256"/>
      <c r="S206" s="293">
        <v>46143</v>
      </c>
      <c r="T206" s="294">
        <v>5.8400000000000001E-2</v>
      </c>
      <c r="U206" s="256">
        <v>32.71</v>
      </c>
      <c r="V206" s="256">
        <v>7.82</v>
      </c>
      <c r="W206" s="256"/>
      <c r="X206" s="256"/>
      <c r="Y206" s="293">
        <v>46508</v>
      </c>
      <c r="Z206" s="294">
        <v>5.8400000000000001E-2</v>
      </c>
      <c r="AA206" s="256">
        <v>34.619999999999997</v>
      </c>
      <c r="AB206" s="256">
        <v>8.7100000000000009</v>
      </c>
      <c r="AC206" s="256"/>
      <c r="AD206" s="256"/>
      <c r="AE206" s="293">
        <v>46874</v>
      </c>
      <c r="AF206" s="294">
        <v>5.8400000000000001E-2</v>
      </c>
      <c r="AG206" s="256">
        <v>36.64</v>
      </c>
      <c r="AH206" s="256">
        <v>10.17</v>
      </c>
      <c r="AI206" s="256"/>
      <c r="AJ206" s="257"/>
      <c r="AK206" s="296">
        <f>'Encargos e Benefícios'!D205</f>
        <v>2600</v>
      </c>
      <c r="AL206" s="296">
        <f>IF('Encargos e Benefícios'!C205=0,0,'Encargos e Benefícios'!U205/'Encargos e Benefícios'!C205)</f>
        <v>2114.088888888889</v>
      </c>
      <c r="AM206" s="296">
        <f>IF('Encargos e Benefícios'!C205=0,0,'Encargos e Benefícios'!AC205/'Encargos e Benefícios'!C205)</f>
        <v>929.29</v>
      </c>
      <c r="AN206" s="297">
        <f>IF('Encargos e Benefícios'!C205=0,0,'Encargos e Benefícios'!AD205/'Encargos e Benefícios'!C205)</f>
        <v>5643.3788888888894</v>
      </c>
      <c r="AO206" s="188">
        <v>2894.94</v>
      </c>
      <c r="AP206" s="298">
        <v>2489.87</v>
      </c>
      <c r="AQ206" s="298">
        <v>3300</v>
      </c>
      <c r="AR206" s="299" t="s">
        <v>115</v>
      </c>
      <c r="AS206" s="188"/>
    </row>
    <row r="207" spans="1:45">
      <c r="A207" s="286">
        <v>201</v>
      </c>
      <c r="B207" s="81" t="str">
        <f>'Encargos e Benefícios'!B206</f>
        <v>Psicologo</v>
      </c>
      <c r="C207" s="287">
        <f>'Encargos e Benefícios'!C206</f>
        <v>1</v>
      </c>
      <c r="D207" s="288">
        <v>30</v>
      </c>
      <c r="E207" s="300">
        <v>45689</v>
      </c>
      <c r="F207" s="301">
        <v>47058</v>
      </c>
      <c r="G207" s="293">
        <v>45413</v>
      </c>
      <c r="H207" s="294">
        <v>5.8400000000000001E-2</v>
      </c>
      <c r="I207" s="256">
        <v>29.2</v>
      </c>
      <c r="J207" s="256">
        <v>6.87</v>
      </c>
      <c r="K207" s="256"/>
      <c r="L207" s="256"/>
      <c r="M207" s="293">
        <v>45778</v>
      </c>
      <c r="N207" s="294">
        <v>5.8400000000000001E-2</v>
      </c>
      <c r="O207" s="256">
        <v>30.9</v>
      </c>
      <c r="P207" s="256">
        <v>7.27</v>
      </c>
      <c r="Q207" s="256"/>
      <c r="R207" s="256"/>
      <c r="S207" s="293">
        <v>46143</v>
      </c>
      <c r="T207" s="294">
        <v>5.8400000000000001E-2</v>
      </c>
      <c r="U207" s="256">
        <v>32.71</v>
      </c>
      <c r="V207" s="256">
        <v>7.82</v>
      </c>
      <c r="W207" s="256"/>
      <c r="X207" s="256"/>
      <c r="Y207" s="293">
        <v>46508</v>
      </c>
      <c r="Z207" s="294">
        <v>5.8400000000000001E-2</v>
      </c>
      <c r="AA207" s="256">
        <v>34.619999999999997</v>
      </c>
      <c r="AB207" s="256">
        <v>8.7100000000000009</v>
      </c>
      <c r="AC207" s="256"/>
      <c r="AD207" s="256"/>
      <c r="AE207" s="293">
        <v>46874</v>
      </c>
      <c r="AF207" s="294">
        <v>5.8400000000000001E-2</v>
      </c>
      <c r="AG207" s="256">
        <v>36.64</v>
      </c>
      <c r="AH207" s="256">
        <v>10.17</v>
      </c>
      <c r="AI207" s="256"/>
      <c r="AJ207" s="257"/>
      <c r="AK207" s="296">
        <f>'Encargos e Benefícios'!D206</f>
        <v>2600</v>
      </c>
      <c r="AL207" s="296">
        <f>IF('Encargos e Benefícios'!C206=0,0,'Encargos e Benefícios'!U206/'Encargos e Benefícios'!C206)</f>
        <v>2114.088888888889</v>
      </c>
      <c r="AM207" s="296">
        <f>IF('Encargos e Benefícios'!C206=0,0,'Encargos e Benefícios'!AC206/'Encargos e Benefícios'!C206)</f>
        <v>929.29</v>
      </c>
      <c r="AN207" s="297">
        <f>IF('Encargos e Benefícios'!C206=0,0,'Encargos e Benefícios'!AD206/'Encargos e Benefícios'!C206)</f>
        <v>5643.3788888888894</v>
      </c>
      <c r="AO207" s="188">
        <v>3953.69</v>
      </c>
      <c r="AP207" s="298">
        <v>2500</v>
      </c>
      <c r="AQ207" s="298">
        <v>5407.37</v>
      </c>
      <c r="AR207" s="299" t="s">
        <v>115</v>
      </c>
      <c r="AS207" s="188"/>
    </row>
    <row r="208" spans="1:45">
      <c r="A208" s="286">
        <v>202</v>
      </c>
      <c r="B208" s="81" t="str">
        <f>'Encargos e Benefícios'!B207</f>
        <v>Terapeuta Ocupacional</v>
      </c>
      <c r="C208" s="287">
        <f>'Encargos e Benefícios'!C207</f>
        <v>1</v>
      </c>
      <c r="D208" s="288">
        <v>30</v>
      </c>
      <c r="E208" s="300">
        <v>45689</v>
      </c>
      <c r="F208" s="301">
        <v>47058</v>
      </c>
      <c r="G208" s="293">
        <v>45413</v>
      </c>
      <c r="H208" s="294">
        <v>5.8400000000000001E-2</v>
      </c>
      <c r="I208" s="256">
        <v>29.2</v>
      </c>
      <c r="J208" s="256">
        <v>6.87</v>
      </c>
      <c r="K208" s="256"/>
      <c r="L208" s="256"/>
      <c r="M208" s="293">
        <v>45778</v>
      </c>
      <c r="N208" s="294">
        <v>5.8400000000000001E-2</v>
      </c>
      <c r="O208" s="256">
        <v>30.9</v>
      </c>
      <c r="P208" s="256">
        <v>7.27</v>
      </c>
      <c r="Q208" s="256"/>
      <c r="R208" s="256"/>
      <c r="S208" s="293">
        <v>46143</v>
      </c>
      <c r="T208" s="294">
        <v>5.8400000000000001E-2</v>
      </c>
      <c r="U208" s="256">
        <v>32.71</v>
      </c>
      <c r="V208" s="256">
        <v>7.82</v>
      </c>
      <c r="W208" s="256"/>
      <c r="X208" s="256"/>
      <c r="Y208" s="293">
        <v>46508</v>
      </c>
      <c r="Z208" s="294">
        <v>5.8400000000000001E-2</v>
      </c>
      <c r="AA208" s="256">
        <v>34.619999999999997</v>
      </c>
      <c r="AB208" s="256">
        <v>8.7100000000000009</v>
      </c>
      <c r="AC208" s="256"/>
      <c r="AD208" s="256"/>
      <c r="AE208" s="293">
        <v>46874</v>
      </c>
      <c r="AF208" s="294">
        <v>5.8400000000000001E-2</v>
      </c>
      <c r="AG208" s="256">
        <v>36.64</v>
      </c>
      <c r="AH208" s="256">
        <v>10.17</v>
      </c>
      <c r="AI208" s="256"/>
      <c r="AJ208" s="257"/>
      <c r="AK208" s="296">
        <f>'Encargos e Benefícios'!D207</f>
        <v>2600</v>
      </c>
      <c r="AL208" s="296">
        <f>IF('Encargos e Benefícios'!C207=0,0,'Encargos e Benefícios'!U207/'Encargos e Benefícios'!C207)</f>
        <v>2114.088888888889</v>
      </c>
      <c r="AM208" s="296">
        <f>IF('Encargos e Benefícios'!C207=0,0,'Encargos e Benefícios'!AC207/'Encargos e Benefícios'!C207)</f>
        <v>929.29</v>
      </c>
      <c r="AN208" s="297">
        <f>IF('Encargos e Benefícios'!C207=0,0,'Encargos e Benefícios'!AD207/'Encargos e Benefícios'!C207)</f>
        <v>5643.3788888888894</v>
      </c>
      <c r="AO208" s="188">
        <v>2422.3000000000002</v>
      </c>
      <c r="AP208" s="298">
        <v>1932.61</v>
      </c>
      <c r="AQ208" s="298">
        <v>2911.99</v>
      </c>
      <c r="AR208" s="299" t="s">
        <v>115</v>
      </c>
      <c r="AS208" s="188"/>
    </row>
    <row r="209" spans="1:45">
      <c r="A209" s="286">
        <v>203</v>
      </c>
      <c r="B209" s="81" t="str">
        <f>'Encargos e Benefícios'!B208</f>
        <v>Administrativo</v>
      </c>
      <c r="C209" s="287">
        <f>'Encargos e Benefícios'!C208</f>
        <v>1</v>
      </c>
      <c r="D209" s="288">
        <v>40</v>
      </c>
      <c r="E209" s="300">
        <v>45689</v>
      </c>
      <c r="F209" s="301">
        <v>47058</v>
      </c>
      <c r="G209" s="293">
        <v>45413</v>
      </c>
      <c r="H209" s="294">
        <v>5.8400000000000001E-2</v>
      </c>
      <c r="I209" s="256">
        <v>29.2</v>
      </c>
      <c r="J209" s="256">
        <v>6.87</v>
      </c>
      <c r="K209" s="256"/>
      <c r="L209" s="256"/>
      <c r="M209" s="293">
        <v>45778</v>
      </c>
      <c r="N209" s="294">
        <v>5.8400000000000001E-2</v>
      </c>
      <c r="O209" s="256">
        <v>30.9</v>
      </c>
      <c r="P209" s="256">
        <v>7.27</v>
      </c>
      <c r="Q209" s="256"/>
      <c r="R209" s="256"/>
      <c r="S209" s="293">
        <v>46143</v>
      </c>
      <c r="T209" s="294">
        <v>5.8400000000000001E-2</v>
      </c>
      <c r="U209" s="256">
        <v>32.71</v>
      </c>
      <c r="V209" s="256">
        <v>7.82</v>
      </c>
      <c r="W209" s="256"/>
      <c r="X209" s="256"/>
      <c r="Y209" s="293">
        <v>46508</v>
      </c>
      <c r="Z209" s="294">
        <v>5.8400000000000001E-2</v>
      </c>
      <c r="AA209" s="256">
        <v>34.619999999999997</v>
      </c>
      <c r="AB209" s="256">
        <v>8.7100000000000009</v>
      </c>
      <c r="AC209" s="256"/>
      <c r="AD209" s="256"/>
      <c r="AE209" s="293">
        <v>46874</v>
      </c>
      <c r="AF209" s="294">
        <v>5.8400000000000001E-2</v>
      </c>
      <c r="AG209" s="256">
        <v>36.64</v>
      </c>
      <c r="AH209" s="256">
        <v>10.17</v>
      </c>
      <c r="AI209" s="256"/>
      <c r="AJ209" s="257"/>
      <c r="AK209" s="296">
        <f>'Encargos e Benefícios'!D208</f>
        <v>1750</v>
      </c>
      <c r="AL209" s="296">
        <f>IF('Encargos e Benefícios'!C208=0,0,'Encargos e Benefícios'!U208/'Encargos e Benefícios'!C208)</f>
        <v>1422.9444444444443</v>
      </c>
      <c r="AM209" s="296">
        <f>IF('Encargos e Benefícios'!C208=0,0,'Encargos e Benefícios'!AC208/'Encargos e Benefícios'!C208)</f>
        <v>929.29</v>
      </c>
      <c r="AN209" s="297">
        <f>IF('Encargos e Benefícios'!C208=0,0,'Encargos e Benefícios'!AD208/'Encargos e Benefícios'!C208)</f>
        <v>4102.2344444444443</v>
      </c>
      <c r="AO209" s="188">
        <v>2097.83</v>
      </c>
      <c r="AP209" s="298">
        <v>1500</v>
      </c>
      <c r="AQ209" s="298">
        <v>2695.66</v>
      </c>
      <c r="AR209" s="299" t="s">
        <v>115</v>
      </c>
      <c r="AS209" s="188"/>
    </row>
    <row r="210" spans="1:45">
      <c r="A210" s="286">
        <v>204</v>
      </c>
      <c r="B210" s="81" t="str">
        <f>'Encargos e Benefícios'!B209</f>
        <v>Auxiliar Educacional</v>
      </c>
      <c r="C210" s="287">
        <f>'Encargos e Benefícios'!C209</f>
        <v>1</v>
      </c>
      <c r="D210" s="288">
        <v>30</v>
      </c>
      <c r="E210" s="300">
        <v>45689</v>
      </c>
      <c r="F210" s="301">
        <v>47058</v>
      </c>
      <c r="G210" s="293">
        <v>45413</v>
      </c>
      <c r="H210" s="294">
        <v>5.8400000000000001E-2</v>
      </c>
      <c r="I210" s="256">
        <v>29.2</v>
      </c>
      <c r="J210" s="256">
        <v>6.87</v>
      </c>
      <c r="K210" s="256"/>
      <c r="L210" s="256"/>
      <c r="M210" s="293">
        <v>45778</v>
      </c>
      <c r="N210" s="294">
        <v>5.8400000000000001E-2</v>
      </c>
      <c r="O210" s="256">
        <v>30.9</v>
      </c>
      <c r="P210" s="256">
        <v>7.27</v>
      </c>
      <c r="Q210" s="256"/>
      <c r="R210" s="256"/>
      <c r="S210" s="293">
        <v>46143</v>
      </c>
      <c r="T210" s="294">
        <v>5.8400000000000001E-2</v>
      </c>
      <c r="U210" s="256">
        <v>32.71</v>
      </c>
      <c r="V210" s="256">
        <v>7.82</v>
      </c>
      <c r="W210" s="256"/>
      <c r="X210" s="256"/>
      <c r="Y210" s="293">
        <v>46508</v>
      </c>
      <c r="Z210" s="294">
        <v>5.8400000000000001E-2</v>
      </c>
      <c r="AA210" s="256">
        <v>34.619999999999997</v>
      </c>
      <c r="AB210" s="256">
        <v>8.7100000000000009</v>
      </c>
      <c r="AC210" s="256"/>
      <c r="AD210" s="256"/>
      <c r="AE210" s="293">
        <v>46874</v>
      </c>
      <c r="AF210" s="294">
        <v>5.8400000000000001E-2</v>
      </c>
      <c r="AG210" s="256">
        <v>36.64</v>
      </c>
      <c r="AH210" s="256">
        <v>10.17</v>
      </c>
      <c r="AI210" s="256"/>
      <c r="AJ210" s="257"/>
      <c r="AK210" s="296">
        <f>'Encargos e Benefícios'!D209</f>
        <v>1642</v>
      </c>
      <c r="AL210" s="296">
        <f>IF('Encargos e Benefícios'!C209=0,0,'Encargos e Benefícios'!U209/'Encargos e Benefícios'!C209)</f>
        <v>1335.1284444444443</v>
      </c>
      <c r="AM210" s="296">
        <f>IF('Encargos e Benefícios'!C209=0,0,'Encargos e Benefícios'!AC209/'Encargos e Benefícios'!C209)</f>
        <v>929.29</v>
      </c>
      <c r="AN210" s="297">
        <f>IF('Encargos e Benefícios'!C209=0,0,'Encargos e Benefícios'!AD209/'Encargos e Benefícios'!C209)</f>
        <v>3906.4184444444445</v>
      </c>
      <c r="AO210" s="188">
        <v>1750.23</v>
      </c>
      <c r="AP210" s="298">
        <v>1500</v>
      </c>
      <c r="AQ210" s="298">
        <v>2000.45</v>
      </c>
      <c r="AR210" s="299" t="s">
        <v>115</v>
      </c>
      <c r="AS210" s="188"/>
    </row>
    <row r="211" spans="1:45">
      <c r="A211" s="286">
        <v>205</v>
      </c>
      <c r="B211" s="81" t="str">
        <f>'Encargos e Benefícios'!B210</f>
        <v>Auxiliar de Serviços Gerais</v>
      </c>
      <c r="C211" s="287">
        <f>'Encargos e Benefícios'!C210</f>
        <v>1</v>
      </c>
      <c r="D211" s="288">
        <v>30</v>
      </c>
      <c r="E211" s="300">
        <v>45689</v>
      </c>
      <c r="F211" s="301">
        <v>47058</v>
      </c>
      <c r="G211" s="293">
        <v>45413</v>
      </c>
      <c r="H211" s="294">
        <v>5.8400000000000001E-2</v>
      </c>
      <c r="I211" s="256">
        <v>29.2</v>
      </c>
      <c r="J211" s="256">
        <v>6.87</v>
      </c>
      <c r="K211" s="256"/>
      <c r="L211" s="256"/>
      <c r="M211" s="293">
        <v>45778</v>
      </c>
      <c r="N211" s="294">
        <v>5.8400000000000001E-2</v>
      </c>
      <c r="O211" s="256">
        <v>30.9</v>
      </c>
      <c r="P211" s="256">
        <v>7.27</v>
      </c>
      <c r="Q211" s="256"/>
      <c r="R211" s="256"/>
      <c r="S211" s="293">
        <v>46143</v>
      </c>
      <c r="T211" s="294">
        <v>5.8400000000000001E-2</v>
      </c>
      <c r="U211" s="256">
        <v>32.71</v>
      </c>
      <c r="V211" s="256">
        <v>7.82</v>
      </c>
      <c r="W211" s="256"/>
      <c r="X211" s="256"/>
      <c r="Y211" s="293">
        <v>46508</v>
      </c>
      <c r="Z211" s="294">
        <v>5.8400000000000001E-2</v>
      </c>
      <c r="AA211" s="256">
        <v>34.619999999999997</v>
      </c>
      <c r="AB211" s="256">
        <v>8.7100000000000009</v>
      </c>
      <c r="AC211" s="256"/>
      <c r="AD211" s="256"/>
      <c r="AE211" s="293">
        <v>46874</v>
      </c>
      <c r="AF211" s="294">
        <v>5.8400000000000001E-2</v>
      </c>
      <c r="AG211" s="256">
        <v>36.64</v>
      </c>
      <c r="AH211" s="256">
        <v>10.17</v>
      </c>
      <c r="AI211" s="256"/>
      <c r="AJ211" s="257"/>
      <c r="AK211" s="296">
        <f>'Encargos e Benefícios'!D210</f>
        <v>1385</v>
      </c>
      <c r="AL211" s="296">
        <f>IF('Encargos e Benefícios'!C210=0,0,'Encargos e Benefícios'!U210/'Encargos e Benefícios'!C210)</f>
        <v>1126.1588888888887</v>
      </c>
      <c r="AM211" s="296">
        <f>IF('Encargos e Benefícios'!C210=0,0,'Encargos e Benefícios'!AC210/'Encargos e Benefícios'!C210)</f>
        <v>929.29</v>
      </c>
      <c r="AN211" s="297">
        <f>IF('Encargos e Benefícios'!C210=0,0,'Encargos e Benefícios'!AD210/'Encargos e Benefícios'!C210)</f>
        <v>3440.4488888888886</v>
      </c>
      <c r="AO211" s="188">
        <v>1437.37</v>
      </c>
      <c r="AP211" s="298">
        <v>1302</v>
      </c>
      <c r="AQ211" s="298">
        <v>1572.74</v>
      </c>
      <c r="AR211" s="299" t="s">
        <v>115</v>
      </c>
      <c r="AS211" s="188"/>
    </row>
    <row r="212" spans="1:45">
      <c r="A212" s="286">
        <v>206</v>
      </c>
      <c r="B212" s="81" t="str">
        <f>'Encargos e Benefícios'!B211</f>
        <v>Motorista</v>
      </c>
      <c r="C212" s="287">
        <f>'Encargos e Benefícios'!C211</f>
        <v>1</v>
      </c>
      <c r="D212" s="288">
        <v>40</v>
      </c>
      <c r="E212" s="300">
        <v>45689</v>
      </c>
      <c r="F212" s="301">
        <v>47058</v>
      </c>
      <c r="G212" s="293">
        <v>45413</v>
      </c>
      <c r="H212" s="294">
        <v>5.8400000000000001E-2</v>
      </c>
      <c r="I212" s="256">
        <v>29.2</v>
      </c>
      <c r="J212" s="256">
        <v>6.87</v>
      </c>
      <c r="K212" s="256"/>
      <c r="L212" s="256"/>
      <c r="M212" s="293">
        <v>45778</v>
      </c>
      <c r="N212" s="294">
        <v>5.8400000000000001E-2</v>
      </c>
      <c r="O212" s="256">
        <v>30.9</v>
      </c>
      <c r="P212" s="256">
        <v>7.27</v>
      </c>
      <c r="Q212" s="256"/>
      <c r="R212" s="256"/>
      <c r="S212" s="293">
        <v>46143</v>
      </c>
      <c r="T212" s="294">
        <v>5.8400000000000001E-2</v>
      </c>
      <c r="U212" s="256">
        <v>32.71</v>
      </c>
      <c r="V212" s="256">
        <v>7.82</v>
      </c>
      <c r="W212" s="256"/>
      <c r="X212" s="256"/>
      <c r="Y212" s="293">
        <v>46508</v>
      </c>
      <c r="Z212" s="294">
        <v>5.8400000000000001E-2</v>
      </c>
      <c r="AA212" s="256">
        <v>34.619999999999997</v>
      </c>
      <c r="AB212" s="256">
        <v>8.7100000000000009</v>
      </c>
      <c r="AC212" s="256"/>
      <c r="AD212" s="256"/>
      <c r="AE212" s="293">
        <v>46874</v>
      </c>
      <c r="AF212" s="294">
        <v>5.8400000000000001E-2</v>
      </c>
      <c r="AG212" s="256">
        <v>36.64</v>
      </c>
      <c r="AH212" s="256">
        <v>10.17</v>
      </c>
      <c r="AI212" s="256"/>
      <c r="AJ212" s="257"/>
      <c r="AK212" s="296">
        <f>'Encargos e Benefícios'!D211</f>
        <v>1452.39</v>
      </c>
      <c r="AL212" s="296">
        <f>IF('Encargos e Benefícios'!C211=0,0,'Encargos e Benefícios'!U211/'Encargos e Benefícios'!C211)</f>
        <v>1180.9544466666669</v>
      </c>
      <c r="AM212" s="296">
        <f>IF('Encargos e Benefícios'!C211=0,0,'Encargos e Benefícios'!AC211/'Encargos e Benefícios'!C211)</f>
        <v>929.29</v>
      </c>
      <c r="AN212" s="297">
        <f>IF('Encargos e Benefícios'!C211=0,0,'Encargos e Benefícios'!AD211/'Encargos e Benefícios'!C211)</f>
        <v>3562.6344466666669</v>
      </c>
      <c r="AO212" s="188">
        <v>2046.28</v>
      </c>
      <c r="AP212" s="298">
        <v>1212</v>
      </c>
      <c r="AQ212" s="298">
        <v>2880.55</v>
      </c>
      <c r="AR212" s="299" t="s">
        <v>115</v>
      </c>
      <c r="AS212" s="188"/>
    </row>
    <row r="213" spans="1:45">
      <c r="A213" s="286">
        <v>207</v>
      </c>
      <c r="B213" s="81" t="str">
        <f>'Encargos e Benefícios'!B212</f>
        <v>Socioeducador - DC</v>
      </c>
      <c r="C213" s="287">
        <f>'Encargos e Benefícios'!C212</f>
        <v>2</v>
      </c>
      <c r="D213" s="288" t="s">
        <v>504</v>
      </c>
      <c r="E213" s="300">
        <v>45689</v>
      </c>
      <c r="F213" s="301">
        <v>47058</v>
      </c>
      <c r="G213" s="293">
        <v>45413</v>
      </c>
      <c r="H213" s="294">
        <v>5.8400000000000001E-2</v>
      </c>
      <c r="I213" s="256">
        <v>29.2</v>
      </c>
      <c r="J213" s="256">
        <v>6.87</v>
      </c>
      <c r="K213" s="256"/>
      <c r="L213" s="256"/>
      <c r="M213" s="293">
        <v>45778</v>
      </c>
      <c r="N213" s="294">
        <v>5.8400000000000001E-2</v>
      </c>
      <c r="O213" s="256">
        <v>30.9</v>
      </c>
      <c r="P213" s="256">
        <v>7.27</v>
      </c>
      <c r="Q213" s="256"/>
      <c r="R213" s="256"/>
      <c r="S213" s="293">
        <v>46143</v>
      </c>
      <c r="T213" s="294">
        <v>5.8400000000000001E-2</v>
      </c>
      <c r="U213" s="256">
        <v>32.71</v>
      </c>
      <c r="V213" s="256">
        <v>7.82</v>
      </c>
      <c r="W213" s="256"/>
      <c r="X213" s="256"/>
      <c r="Y213" s="293">
        <v>46508</v>
      </c>
      <c r="Z213" s="294">
        <v>5.8400000000000001E-2</v>
      </c>
      <c r="AA213" s="256">
        <v>34.619999999999997</v>
      </c>
      <c r="AB213" s="256">
        <v>8.7100000000000009</v>
      </c>
      <c r="AC213" s="256"/>
      <c r="AD213" s="256"/>
      <c r="AE213" s="293">
        <v>46874</v>
      </c>
      <c r="AF213" s="294">
        <v>5.8400000000000001E-2</v>
      </c>
      <c r="AG213" s="256">
        <v>36.64</v>
      </c>
      <c r="AH213" s="256">
        <v>10.17</v>
      </c>
      <c r="AI213" s="256"/>
      <c r="AJ213" s="257"/>
      <c r="AK213" s="296">
        <f>'Encargos e Benefícios'!D212</f>
        <v>1900</v>
      </c>
      <c r="AL213" s="296">
        <f>IF('Encargos e Benefícios'!C212=0,0,'Encargos e Benefícios'!U212/'Encargos e Benefícios'!C212)</f>
        <v>2544.7966666666666</v>
      </c>
      <c r="AM213" s="296">
        <f>IF('Encargos e Benefícios'!C212=0,0,'Encargos e Benefícios'!AC212/'Encargos e Benefícios'!C212)</f>
        <v>446.88</v>
      </c>
      <c r="AN213" s="297">
        <f>IF('Encargos e Benefícios'!C212=0,0,'Encargos e Benefícios'!AD212/'Encargos e Benefícios'!C212)</f>
        <v>4891.6766666666672</v>
      </c>
      <c r="AO213" s="188">
        <v>2752.21</v>
      </c>
      <c r="AP213" s="298">
        <v>1764.5</v>
      </c>
      <c r="AQ213" s="298">
        <v>3739.92</v>
      </c>
      <c r="AR213" s="299" t="s">
        <v>115</v>
      </c>
      <c r="AS213" s="188"/>
    </row>
    <row r="214" spans="1:45">
      <c r="A214" s="286">
        <v>208</v>
      </c>
      <c r="B214" s="81" t="str">
        <f>'Encargos e Benefícios'!B213</f>
        <v>Socioeducador - D</v>
      </c>
      <c r="C214" s="287">
        <f>'Encargos e Benefícios'!C213</f>
        <v>12</v>
      </c>
      <c r="D214" s="288" t="s">
        <v>504</v>
      </c>
      <c r="E214" s="300">
        <v>45689</v>
      </c>
      <c r="F214" s="301">
        <v>47058</v>
      </c>
      <c r="G214" s="293">
        <v>45413</v>
      </c>
      <c r="H214" s="294">
        <v>5.8400000000000001E-2</v>
      </c>
      <c r="I214" s="256">
        <v>29.2</v>
      </c>
      <c r="J214" s="256">
        <v>6.87</v>
      </c>
      <c r="K214" s="256"/>
      <c r="L214" s="256"/>
      <c r="M214" s="293">
        <v>45778</v>
      </c>
      <c r="N214" s="294">
        <v>5.8400000000000001E-2</v>
      </c>
      <c r="O214" s="256">
        <v>30.9</v>
      </c>
      <c r="P214" s="256">
        <v>7.27</v>
      </c>
      <c r="Q214" s="256"/>
      <c r="R214" s="256"/>
      <c r="S214" s="293">
        <v>46143</v>
      </c>
      <c r="T214" s="294">
        <v>5.8400000000000001E-2</v>
      </c>
      <c r="U214" s="256">
        <v>32.71</v>
      </c>
      <c r="V214" s="256">
        <v>7.82</v>
      </c>
      <c r="W214" s="256"/>
      <c r="X214" s="256"/>
      <c r="Y214" s="293">
        <v>46508</v>
      </c>
      <c r="Z214" s="294">
        <v>5.8400000000000001E-2</v>
      </c>
      <c r="AA214" s="256">
        <v>34.619999999999997</v>
      </c>
      <c r="AB214" s="256">
        <v>8.7100000000000009</v>
      </c>
      <c r="AC214" s="256"/>
      <c r="AD214" s="256"/>
      <c r="AE214" s="293">
        <v>46874</v>
      </c>
      <c r="AF214" s="294">
        <v>5.8400000000000001E-2</v>
      </c>
      <c r="AG214" s="256">
        <v>36.64</v>
      </c>
      <c r="AH214" s="256">
        <v>10.17</v>
      </c>
      <c r="AI214" s="256"/>
      <c r="AJ214" s="257"/>
      <c r="AK214" s="296">
        <f>'Encargos e Benefícios'!D213</f>
        <v>1900</v>
      </c>
      <c r="AL214" s="296">
        <f>IF('Encargos e Benefícios'!C213=0,0,'Encargos e Benefícios'!U213/'Encargos e Benefícios'!C213)</f>
        <v>2281.7944444444447</v>
      </c>
      <c r="AM214" s="296">
        <f>IF('Encargos e Benefícios'!C213=0,0,'Encargos e Benefícios'!AC213/'Encargos e Benefícios'!C213)</f>
        <v>74.48</v>
      </c>
      <c r="AN214" s="297">
        <f>IF('Encargos e Benefícios'!C213=0,0,'Encargos e Benefícios'!AD213/'Encargos e Benefícios'!C213)</f>
        <v>4256.2744444444452</v>
      </c>
      <c r="AO214" s="188">
        <v>2752.21</v>
      </c>
      <c r="AP214" s="298">
        <v>1764.5</v>
      </c>
      <c r="AQ214" s="298">
        <v>3739.92</v>
      </c>
      <c r="AR214" s="299" t="s">
        <v>115</v>
      </c>
      <c r="AS214" s="188"/>
    </row>
    <row r="215" spans="1:45">
      <c r="A215" s="286">
        <v>209</v>
      </c>
      <c r="B215" s="81" t="str">
        <f>'Encargos e Benefícios'!B214</f>
        <v>Socioeducador - NC</v>
      </c>
      <c r="C215" s="287">
        <f>'Encargos e Benefícios'!C214</f>
        <v>2</v>
      </c>
      <c r="D215" s="288" t="s">
        <v>504</v>
      </c>
      <c r="E215" s="300">
        <v>45689</v>
      </c>
      <c r="F215" s="301">
        <v>47058</v>
      </c>
      <c r="G215" s="293">
        <v>45413</v>
      </c>
      <c r="H215" s="294">
        <v>5.8400000000000001E-2</v>
      </c>
      <c r="I215" s="256">
        <v>29.2</v>
      </c>
      <c r="J215" s="256">
        <v>6.87</v>
      </c>
      <c r="K215" s="256"/>
      <c r="L215" s="256"/>
      <c r="M215" s="293">
        <v>45778</v>
      </c>
      <c r="N215" s="294">
        <v>5.8400000000000001E-2</v>
      </c>
      <c r="O215" s="256">
        <v>30.9</v>
      </c>
      <c r="P215" s="256">
        <v>7.27</v>
      </c>
      <c r="Q215" s="256"/>
      <c r="R215" s="256"/>
      <c r="S215" s="293">
        <v>46143</v>
      </c>
      <c r="T215" s="294">
        <v>5.8400000000000001E-2</v>
      </c>
      <c r="U215" s="256">
        <v>32.71</v>
      </c>
      <c r="V215" s="256">
        <v>7.82</v>
      </c>
      <c r="W215" s="256"/>
      <c r="X215" s="256"/>
      <c r="Y215" s="293">
        <v>46508</v>
      </c>
      <c r="Z215" s="294">
        <v>5.8400000000000001E-2</v>
      </c>
      <c r="AA215" s="256">
        <v>34.619999999999997</v>
      </c>
      <c r="AB215" s="256">
        <v>8.7100000000000009</v>
      </c>
      <c r="AC215" s="256"/>
      <c r="AD215" s="256"/>
      <c r="AE215" s="293">
        <v>46874</v>
      </c>
      <c r="AF215" s="294">
        <v>5.8400000000000001E-2</v>
      </c>
      <c r="AG215" s="256">
        <v>36.64</v>
      </c>
      <c r="AH215" s="256">
        <v>10.17</v>
      </c>
      <c r="AI215" s="256"/>
      <c r="AJ215" s="257"/>
      <c r="AK215" s="296">
        <f>'Encargos e Benefícios'!D214</f>
        <v>1900</v>
      </c>
      <c r="AL215" s="296">
        <f>IF('Encargos e Benefícios'!C214=0,0,'Encargos e Benefícios'!U214/'Encargos e Benefícios'!C214)</f>
        <v>3013.1818518518517</v>
      </c>
      <c r="AM215" s="296">
        <f>IF('Encargos e Benefícios'!C214=0,0,'Encargos e Benefícios'!AC214/'Encargos e Benefícios'!C214)</f>
        <v>446.88</v>
      </c>
      <c r="AN215" s="297">
        <f>IF('Encargos e Benefícios'!C214=0,0,'Encargos e Benefícios'!AD214/'Encargos e Benefícios'!C214)</f>
        <v>5360.0618518518522</v>
      </c>
      <c r="AO215" s="188">
        <v>2752.21</v>
      </c>
      <c r="AP215" s="298">
        <v>1764.5</v>
      </c>
      <c r="AQ215" s="298">
        <v>3739.92</v>
      </c>
      <c r="AR215" s="299" t="s">
        <v>115</v>
      </c>
      <c r="AS215" s="188"/>
    </row>
    <row r="216" spans="1:45" ht="13.5" thickBot="1">
      <c r="A216" s="286">
        <v>210</v>
      </c>
      <c r="B216" s="81" t="str">
        <f>'Encargos e Benefícios'!B215</f>
        <v>Socioeducador - N</v>
      </c>
      <c r="C216" s="287">
        <f>'Encargos e Benefícios'!C215</f>
        <v>6</v>
      </c>
      <c r="D216" s="288" t="s">
        <v>504</v>
      </c>
      <c r="E216" s="300">
        <v>45689</v>
      </c>
      <c r="F216" s="301">
        <v>47058</v>
      </c>
      <c r="G216" s="293">
        <v>45413</v>
      </c>
      <c r="H216" s="294">
        <v>5.8400000000000001E-2</v>
      </c>
      <c r="I216" s="256">
        <v>29.2</v>
      </c>
      <c r="J216" s="256">
        <v>6.87</v>
      </c>
      <c r="K216" s="256"/>
      <c r="L216" s="256"/>
      <c r="M216" s="293">
        <v>45778</v>
      </c>
      <c r="N216" s="294">
        <v>5.8400000000000001E-2</v>
      </c>
      <c r="O216" s="256">
        <v>30.9</v>
      </c>
      <c r="P216" s="256">
        <v>7.27</v>
      </c>
      <c r="Q216" s="256"/>
      <c r="R216" s="256"/>
      <c r="S216" s="293">
        <v>46143</v>
      </c>
      <c r="T216" s="294">
        <v>5.8400000000000001E-2</v>
      </c>
      <c r="U216" s="256">
        <v>32.71</v>
      </c>
      <c r="V216" s="256">
        <v>7.82</v>
      </c>
      <c r="W216" s="256"/>
      <c r="X216" s="256"/>
      <c r="Y216" s="293">
        <v>46508</v>
      </c>
      <c r="Z216" s="294">
        <v>5.8400000000000001E-2</v>
      </c>
      <c r="AA216" s="256">
        <v>34.619999999999997</v>
      </c>
      <c r="AB216" s="256">
        <v>8.7100000000000009</v>
      </c>
      <c r="AC216" s="256"/>
      <c r="AD216" s="256"/>
      <c r="AE216" s="293">
        <v>46874</v>
      </c>
      <c r="AF216" s="294">
        <v>5.8400000000000001E-2</v>
      </c>
      <c r="AG216" s="256">
        <v>36.64</v>
      </c>
      <c r="AH216" s="256">
        <v>10.17</v>
      </c>
      <c r="AI216" s="256"/>
      <c r="AJ216" s="257"/>
      <c r="AK216" s="296">
        <f>'Encargos e Benefícios'!D215</f>
        <v>1900</v>
      </c>
      <c r="AL216" s="296">
        <f>IF('Encargos e Benefícios'!C215=0,0,'Encargos e Benefícios'!U215/'Encargos e Benefícios'!C215)</f>
        <v>2750.1796296296302</v>
      </c>
      <c r="AM216" s="296">
        <f>IF('Encargos e Benefícios'!C215=0,0,'Encargos e Benefícios'!AC215/'Encargos e Benefícios'!C215)</f>
        <v>148.96</v>
      </c>
      <c r="AN216" s="297">
        <f>IF('Encargos e Benefícios'!C215=0,0,'Encargos e Benefícios'!AD215/'Encargos e Benefícios'!C215)</f>
        <v>4799.1396296296298</v>
      </c>
      <c r="AO216" s="188">
        <v>2752.21</v>
      </c>
      <c r="AP216" s="298">
        <v>1764.5</v>
      </c>
      <c r="AQ216" s="298">
        <v>3739.92</v>
      </c>
      <c r="AR216" s="299" t="s">
        <v>115</v>
      </c>
      <c r="AS216" s="188"/>
    </row>
    <row r="217" spans="1:45">
      <c r="A217" s="286">
        <v>211</v>
      </c>
      <c r="B217" s="81" t="str">
        <f>'Encargos e Benefícios'!B216</f>
        <v>Diretor Geral de Unidade Socioeducativa</v>
      </c>
      <c r="C217" s="287">
        <f>'Encargos e Benefícios'!C216</f>
        <v>1</v>
      </c>
      <c r="D217" s="288">
        <v>40</v>
      </c>
      <c r="E217" s="300">
        <v>45292</v>
      </c>
      <c r="F217" s="290">
        <v>47058</v>
      </c>
      <c r="G217" s="293">
        <v>45413</v>
      </c>
      <c r="H217" s="294">
        <v>5.8400000000000001E-2</v>
      </c>
      <c r="I217" s="256">
        <v>29.2</v>
      </c>
      <c r="J217" s="256">
        <v>6.87</v>
      </c>
      <c r="K217" s="256"/>
      <c r="L217" s="256"/>
      <c r="M217" s="293">
        <v>45778</v>
      </c>
      <c r="N217" s="294">
        <v>5.8400000000000001E-2</v>
      </c>
      <c r="O217" s="256">
        <v>30.9</v>
      </c>
      <c r="P217" s="256">
        <v>7.27</v>
      </c>
      <c r="Q217" s="256"/>
      <c r="R217" s="256"/>
      <c r="S217" s="293">
        <v>46143</v>
      </c>
      <c r="T217" s="294">
        <v>5.8400000000000001E-2</v>
      </c>
      <c r="U217" s="256">
        <v>32.71</v>
      </c>
      <c r="V217" s="256">
        <v>7.82</v>
      </c>
      <c r="W217" s="256"/>
      <c r="X217" s="256"/>
      <c r="Y217" s="293">
        <v>46508</v>
      </c>
      <c r="Z217" s="294">
        <v>5.8400000000000001E-2</v>
      </c>
      <c r="AA217" s="256">
        <v>34.619999999999997</v>
      </c>
      <c r="AB217" s="256">
        <v>8.7100000000000009</v>
      </c>
      <c r="AC217" s="256"/>
      <c r="AD217" s="256"/>
      <c r="AE217" s="293">
        <v>46874</v>
      </c>
      <c r="AF217" s="294">
        <v>5.8400000000000001E-2</v>
      </c>
      <c r="AG217" s="256">
        <v>36.64</v>
      </c>
      <c r="AH217" s="256">
        <v>10.17</v>
      </c>
      <c r="AI217" s="256"/>
      <c r="AJ217" s="257"/>
      <c r="AK217" s="296">
        <f>'Encargos e Benefícios'!D216</f>
        <v>6500</v>
      </c>
      <c r="AL217" s="296">
        <f>IF('Encargos e Benefícios'!C216=0,0,'Encargos e Benefícios'!U216/'Encargos e Benefícios'!C216)</f>
        <v>5194.2222222222235</v>
      </c>
      <c r="AM217" s="296">
        <f>IF('Encargos e Benefícios'!C216=0,0,'Encargos e Benefícios'!AC216/'Encargos e Benefícios'!C216)</f>
        <v>817.61999999999989</v>
      </c>
      <c r="AN217" s="297">
        <f>IF('Encargos e Benefícios'!C216=0,0,'Encargos e Benefícios'!AD216/'Encargos e Benefícios'!C216)</f>
        <v>12511.842222222222</v>
      </c>
      <c r="AO217" s="188">
        <v>6052.24</v>
      </c>
      <c r="AP217" s="298">
        <v>4239.6899999999996</v>
      </c>
      <c r="AQ217" s="298">
        <v>7864.78</v>
      </c>
      <c r="AR217" s="299" t="s">
        <v>116</v>
      </c>
      <c r="AS217" s="188"/>
    </row>
    <row r="218" spans="1:45">
      <c r="A218" s="286">
        <v>212</v>
      </c>
      <c r="B218" s="81" t="str">
        <f>'Encargos e Benefícios'!B217</f>
        <v>Subdiretor de Segurança</v>
      </c>
      <c r="C218" s="287">
        <f>'Encargos e Benefícios'!C217</f>
        <v>1</v>
      </c>
      <c r="D218" s="288">
        <v>40</v>
      </c>
      <c r="E218" s="300">
        <v>45292</v>
      </c>
      <c r="F218" s="301">
        <v>47058</v>
      </c>
      <c r="G218" s="293">
        <v>45413</v>
      </c>
      <c r="H218" s="294">
        <v>5.8400000000000001E-2</v>
      </c>
      <c r="I218" s="256">
        <v>29.2</v>
      </c>
      <c r="J218" s="256">
        <v>6.87</v>
      </c>
      <c r="K218" s="256"/>
      <c r="L218" s="256"/>
      <c r="M218" s="293">
        <v>45778</v>
      </c>
      <c r="N218" s="294">
        <v>5.8400000000000001E-2</v>
      </c>
      <c r="O218" s="256">
        <v>30.9</v>
      </c>
      <c r="P218" s="256">
        <v>7.27</v>
      </c>
      <c r="Q218" s="256"/>
      <c r="R218" s="256"/>
      <c r="S218" s="293">
        <v>46143</v>
      </c>
      <c r="T218" s="294">
        <v>5.8400000000000001E-2</v>
      </c>
      <c r="U218" s="256">
        <v>32.71</v>
      </c>
      <c r="V218" s="256">
        <v>7.82</v>
      </c>
      <c r="W218" s="256"/>
      <c r="X218" s="256"/>
      <c r="Y218" s="293">
        <v>46508</v>
      </c>
      <c r="Z218" s="294">
        <v>5.8400000000000001E-2</v>
      </c>
      <c r="AA218" s="256">
        <v>34.619999999999997</v>
      </c>
      <c r="AB218" s="256">
        <v>8.7100000000000009</v>
      </c>
      <c r="AC218" s="256"/>
      <c r="AD218" s="256"/>
      <c r="AE218" s="293">
        <v>46874</v>
      </c>
      <c r="AF218" s="294">
        <v>5.8400000000000001E-2</v>
      </c>
      <c r="AG218" s="256">
        <v>36.64</v>
      </c>
      <c r="AH218" s="256">
        <v>10.17</v>
      </c>
      <c r="AI218" s="256"/>
      <c r="AJ218" s="257"/>
      <c r="AK218" s="296">
        <f>'Encargos e Benefícios'!D217</f>
        <v>3773.6</v>
      </c>
      <c r="AL218" s="296">
        <f>IF('Encargos e Benefícios'!C217=0,0,'Encargos e Benefícios'!U217/'Encargos e Benefícios'!C217)</f>
        <v>4147.6056888888888</v>
      </c>
      <c r="AM218" s="296">
        <f>IF('Encargos e Benefícios'!C217=0,0,'Encargos e Benefícios'!AC217/'Encargos e Benefícios'!C217)</f>
        <v>817.61999999999989</v>
      </c>
      <c r="AN218" s="297">
        <f>IF('Encargos e Benefícios'!C217=0,0,'Encargos e Benefícios'!AD217/'Encargos e Benefícios'!C217)</f>
        <v>8738.82568888889</v>
      </c>
      <c r="AO218" s="188">
        <v>4968.99</v>
      </c>
      <c r="AP218" s="298">
        <v>3773.6</v>
      </c>
      <c r="AQ218" s="298">
        <v>6164.38</v>
      </c>
      <c r="AR218" s="299" t="s">
        <v>116</v>
      </c>
      <c r="AS218" s="188"/>
    </row>
    <row r="219" spans="1:45">
      <c r="A219" s="286">
        <v>213</v>
      </c>
      <c r="B219" s="81" t="str">
        <f>'Encargos e Benefícios'!B218</f>
        <v>Advogado</v>
      </c>
      <c r="C219" s="287">
        <f>'Encargos e Benefícios'!C218</f>
        <v>1</v>
      </c>
      <c r="D219" s="288">
        <v>30</v>
      </c>
      <c r="E219" s="300">
        <v>45323</v>
      </c>
      <c r="F219" s="301">
        <v>47058</v>
      </c>
      <c r="G219" s="293">
        <v>45413</v>
      </c>
      <c r="H219" s="294">
        <v>5.8400000000000001E-2</v>
      </c>
      <c r="I219" s="256">
        <v>29.2</v>
      </c>
      <c r="J219" s="256">
        <v>6.87</v>
      </c>
      <c r="K219" s="256"/>
      <c r="L219" s="256"/>
      <c r="M219" s="293">
        <v>45778</v>
      </c>
      <c r="N219" s="294">
        <v>5.8400000000000001E-2</v>
      </c>
      <c r="O219" s="256">
        <v>30.9</v>
      </c>
      <c r="P219" s="256">
        <v>7.27</v>
      </c>
      <c r="Q219" s="256"/>
      <c r="R219" s="256"/>
      <c r="S219" s="293">
        <v>46143</v>
      </c>
      <c r="T219" s="294">
        <v>5.8400000000000001E-2</v>
      </c>
      <c r="U219" s="256">
        <v>32.71</v>
      </c>
      <c r="V219" s="256">
        <v>7.82</v>
      </c>
      <c r="W219" s="256"/>
      <c r="X219" s="256"/>
      <c r="Y219" s="293">
        <v>46508</v>
      </c>
      <c r="Z219" s="294">
        <v>5.8400000000000001E-2</v>
      </c>
      <c r="AA219" s="256">
        <v>34.619999999999997</v>
      </c>
      <c r="AB219" s="256">
        <v>8.7100000000000009</v>
      </c>
      <c r="AC219" s="256"/>
      <c r="AD219" s="256"/>
      <c r="AE219" s="293">
        <v>46874</v>
      </c>
      <c r="AF219" s="294">
        <v>5.8400000000000001E-2</v>
      </c>
      <c r="AG219" s="256">
        <v>36.64</v>
      </c>
      <c r="AH219" s="256">
        <v>10.17</v>
      </c>
      <c r="AI219" s="256"/>
      <c r="AJ219" s="257"/>
      <c r="AK219" s="296">
        <f>'Encargos e Benefícios'!D218</f>
        <v>2600</v>
      </c>
      <c r="AL219" s="296">
        <f>IF('Encargos e Benefícios'!C218=0,0,'Encargos e Benefícios'!U218/'Encargos e Benefícios'!C218)</f>
        <v>2114.088888888889</v>
      </c>
      <c r="AM219" s="296">
        <f>IF('Encargos e Benefícios'!C218=0,0,'Encargos e Benefícios'!AC218/'Encargos e Benefícios'!C218)</f>
        <v>929.29</v>
      </c>
      <c r="AN219" s="297">
        <f>IF('Encargos e Benefícios'!C218=0,0,'Encargos e Benefícios'!AD218/'Encargos e Benefícios'!C218)</f>
        <v>5643.3788888888894</v>
      </c>
      <c r="AO219" s="188">
        <v>2365.86</v>
      </c>
      <c r="AP219" s="298">
        <v>1700</v>
      </c>
      <c r="AQ219" s="298">
        <v>3031.72</v>
      </c>
      <c r="AR219" s="299" t="s">
        <v>116</v>
      </c>
      <c r="AS219" s="188"/>
    </row>
    <row r="220" spans="1:45">
      <c r="A220" s="286">
        <v>214</v>
      </c>
      <c r="B220" s="81" t="str">
        <f>'Encargos e Benefícios'!B219</f>
        <v>Assistente Social</v>
      </c>
      <c r="C220" s="287">
        <f>'Encargos e Benefícios'!C219</f>
        <v>1</v>
      </c>
      <c r="D220" s="288">
        <v>30</v>
      </c>
      <c r="E220" s="300">
        <v>45323</v>
      </c>
      <c r="F220" s="301">
        <v>47058</v>
      </c>
      <c r="G220" s="293">
        <v>45413</v>
      </c>
      <c r="H220" s="294">
        <v>5.8400000000000001E-2</v>
      </c>
      <c r="I220" s="256">
        <v>29.2</v>
      </c>
      <c r="J220" s="256">
        <v>6.87</v>
      </c>
      <c r="K220" s="256"/>
      <c r="L220" s="256"/>
      <c r="M220" s="293">
        <v>45778</v>
      </c>
      <c r="N220" s="294">
        <v>5.8400000000000001E-2</v>
      </c>
      <c r="O220" s="256">
        <v>30.9</v>
      </c>
      <c r="P220" s="256">
        <v>7.27</v>
      </c>
      <c r="Q220" s="256"/>
      <c r="R220" s="256"/>
      <c r="S220" s="293">
        <v>46143</v>
      </c>
      <c r="T220" s="294">
        <v>5.8400000000000001E-2</v>
      </c>
      <c r="U220" s="256">
        <v>32.71</v>
      </c>
      <c r="V220" s="256">
        <v>7.82</v>
      </c>
      <c r="W220" s="256"/>
      <c r="X220" s="256"/>
      <c r="Y220" s="293">
        <v>46508</v>
      </c>
      <c r="Z220" s="294">
        <v>5.8400000000000001E-2</v>
      </c>
      <c r="AA220" s="256">
        <v>34.619999999999997</v>
      </c>
      <c r="AB220" s="256">
        <v>8.7100000000000009</v>
      </c>
      <c r="AC220" s="256"/>
      <c r="AD220" s="256"/>
      <c r="AE220" s="293">
        <v>46874</v>
      </c>
      <c r="AF220" s="294">
        <v>5.8400000000000001E-2</v>
      </c>
      <c r="AG220" s="256">
        <v>36.64</v>
      </c>
      <c r="AH220" s="256">
        <v>10.17</v>
      </c>
      <c r="AI220" s="256"/>
      <c r="AJ220" s="257"/>
      <c r="AK220" s="296">
        <f>'Encargos e Benefícios'!D219</f>
        <v>2600</v>
      </c>
      <c r="AL220" s="296">
        <f>IF('Encargos e Benefícios'!C219=0,0,'Encargos e Benefícios'!U219/'Encargos e Benefícios'!C219)</f>
        <v>2114.088888888889</v>
      </c>
      <c r="AM220" s="296">
        <f>IF('Encargos e Benefícios'!C219=0,0,'Encargos e Benefícios'!AC219/'Encargos e Benefícios'!C219)</f>
        <v>929.29</v>
      </c>
      <c r="AN220" s="297">
        <f>IF('Encargos e Benefícios'!C219=0,0,'Encargos e Benefícios'!AD219/'Encargos e Benefícios'!C219)</f>
        <v>5643.3788888888894</v>
      </c>
      <c r="AO220" s="188">
        <v>3479.77</v>
      </c>
      <c r="AP220" s="298">
        <v>2252.3200000000002</v>
      </c>
      <c r="AQ220" s="298">
        <v>4707.22</v>
      </c>
      <c r="AR220" s="299" t="s">
        <v>116</v>
      </c>
      <c r="AS220" s="188"/>
    </row>
    <row r="221" spans="1:45">
      <c r="A221" s="286">
        <v>215</v>
      </c>
      <c r="B221" s="81" t="str">
        <f>'Encargos e Benefícios'!B220</f>
        <v>Pedagogo</v>
      </c>
      <c r="C221" s="287">
        <f>'Encargos e Benefícios'!C220</f>
        <v>1</v>
      </c>
      <c r="D221" s="288">
        <v>30</v>
      </c>
      <c r="E221" s="300">
        <v>45323</v>
      </c>
      <c r="F221" s="301">
        <v>47058</v>
      </c>
      <c r="G221" s="293">
        <v>45413</v>
      </c>
      <c r="H221" s="294">
        <v>5.8400000000000001E-2</v>
      </c>
      <c r="I221" s="256">
        <v>29.2</v>
      </c>
      <c r="J221" s="256">
        <v>6.87</v>
      </c>
      <c r="K221" s="256"/>
      <c r="L221" s="256"/>
      <c r="M221" s="293">
        <v>45778</v>
      </c>
      <c r="N221" s="294">
        <v>5.8400000000000001E-2</v>
      </c>
      <c r="O221" s="256">
        <v>30.9</v>
      </c>
      <c r="P221" s="256">
        <v>7.27</v>
      </c>
      <c r="Q221" s="256"/>
      <c r="R221" s="256"/>
      <c r="S221" s="293">
        <v>46143</v>
      </c>
      <c r="T221" s="294">
        <v>5.8400000000000001E-2</v>
      </c>
      <c r="U221" s="256">
        <v>32.71</v>
      </c>
      <c r="V221" s="256">
        <v>7.82</v>
      </c>
      <c r="W221" s="256"/>
      <c r="X221" s="256"/>
      <c r="Y221" s="293">
        <v>46508</v>
      </c>
      <c r="Z221" s="294">
        <v>5.8400000000000001E-2</v>
      </c>
      <c r="AA221" s="256">
        <v>34.619999999999997</v>
      </c>
      <c r="AB221" s="256">
        <v>8.7100000000000009</v>
      </c>
      <c r="AC221" s="256"/>
      <c r="AD221" s="256"/>
      <c r="AE221" s="293">
        <v>46874</v>
      </c>
      <c r="AF221" s="294">
        <v>5.8400000000000001E-2</v>
      </c>
      <c r="AG221" s="256">
        <v>36.64</v>
      </c>
      <c r="AH221" s="256">
        <v>10.17</v>
      </c>
      <c r="AI221" s="256"/>
      <c r="AJ221" s="257"/>
      <c r="AK221" s="296">
        <f>'Encargos e Benefícios'!D220</f>
        <v>2600</v>
      </c>
      <c r="AL221" s="296">
        <f>IF('Encargos e Benefícios'!C220=0,0,'Encargos e Benefícios'!U220/'Encargos e Benefícios'!C220)</f>
        <v>2114.088888888889</v>
      </c>
      <c r="AM221" s="296">
        <f>IF('Encargos e Benefícios'!C220=0,0,'Encargos e Benefícios'!AC220/'Encargos e Benefícios'!C220)</f>
        <v>929.29</v>
      </c>
      <c r="AN221" s="297">
        <f>IF('Encargos e Benefícios'!C220=0,0,'Encargos e Benefícios'!AD220/'Encargos e Benefícios'!C220)</f>
        <v>5643.3788888888894</v>
      </c>
      <c r="AO221" s="188">
        <v>2293.52</v>
      </c>
      <c r="AP221" s="298">
        <v>1700</v>
      </c>
      <c r="AQ221" s="298">
        <v>2887.04</v>
      </c>
      <c r="AR221" s="299" t="s">
        <v>116</v>
      </c>
      <c r="AS221" s="188"/>
    </row>
    <row r="222" spans="1:45">
      <c r="A222" s="286">
        <v>216</v>
      </c>
      <c r="B222" s="81" t="str">
        <f>'Encargos e Benefícios'!B221</f>
        <v>Psicologo</v>
      </c>
      <c r="C222" s="287">
        <f>'Encargos e Benefícios'!C221</f>
        <v>1</v>
      </c>
      <c r="D222" s="288">
        <v>30</v>
      </c>
      <c r="E222" s="300">
        <v>45323</v>
      </c>
      <c r="F222" s="301">
        <v>47058</v>
      </c>
      <c r="G222" s="293">
        <v>45413</v>
      </c>
      <c r="H222" s="294">
        <v>5.8400000000000001E-2</v>
      </c>
      <c r="I222" s="256">
        <v>29.2</v>
      </c>
      <c r="J222" s="256">
        <v>6.87</v>
      </c>
      <c r="K222" s="256"/>
      <c r="L222" s="256"/>
      <c r="M222" s="293">
        <v>45778</v>
      </c>
      <c r="N222" s="294">
        <v>5.8400000000000001E-2</v>
      </c>
      <c r="O222" s="256">
        <v>30.9</v>
      </c>
      <c r="P222" s="256">
        <v>7.27</v>
      </c>
      <c r="Q222" s="256"/>
      <c r="R222" s="256"/>
      <c r="S222" s="293">
        <v>46143</v>
      </c>
      <c r="T222" s="294">
        <v>5.8400000000000001E-2</v>
      </c>
      <c r="U222" s="256">
        <v>32.71</v>
      </c>
      <c r="V222" s="256">
        <v>7.82</v>
      </c>
      <c r="W222" s="256"/>
      <c r="X222" s="256"/>
      <c r="Y222" s="293">
        <v>46508</v>
      </c>
      <c r="Z222" s="294">
        <v>5.8400000000000001E-2</v>
      </c>
      <c r="AA222" s="256">
        <v>34.619999999999997</v>
      </c>
      <c r="AB222" s="256">
        <v>8.7100000000000009</v>
      </c>
      <c r="AC222" s="256"/>
      <c r="AD222" s="256"/>
      <c r="AE222" s="293">
        <v>46874</v>
      </c>
      <c r="AF222" s="294">
        <v>5.8400000000000001E-2</v>
      </c>
      <c r="AG222" s="256">
        <v>36.64</v>
      </c>
      <c r="AH222" s="256">
        <v>10.17</v>
      </c>
      <c r="AI222" s="256"/>
      <c r="AJ222" s="257"/>
      <c r="AK222" s="296">
        <f>'Encargos e Benefícios'!D221</f>
        <v>2600</v>
      </c>
      <c r="AL222" s="296">
        <f>IF('Encargos e Benefícios'!C221=0,0,'Encargos e Benefícios'!U221/'Encargos e Benefícios'!C221)</f>
        <v>2114.088888888889</v>
      </c>
      <c r="AM222" s="296">
        <f>IF('Encargos e Benefícios'!C221=0,0,'Encargos e Benefícios'!AC221/'Encargos e Benefícios'!C221)</f>
        <v>929.29</v>
      </c>
      <c r="AN222" s="297">
        <f>IF('Encargos e Benefícios'!C221=0,0,'Encargos e Benefícios'!AD221/'Encargos e Benefícios'!C221)</f>
        <v>5643.3788888888894</v>
      </c>
      <c r="AO222" s="188">
        <v>3202.11</v>
      </c>
      <c r="AP222" s="298">
        <v>1700</v>
      </c>
      <c r="AQ222" s="298">
        <v>4704.22</v>
      </c>
      <c r="AR222" s="299" t="s">
        <v>116</v>
      </c>
      <c r="AS222" s="188"/>
    </row>
    <row r="223" spans="1:45">
      <c r="A223" s="286">
        <v>217</v>
      </c>
      <c r="B223" s="81" t="str">
        <f>'Encargos e Benefícios'!B222</f>
        <v>Terapeuta Ocupacional</v>
      </c>
      <c r="C223" s="287">
        <f>'Encargos e Benefícios'!C222</f>
        <v>1</v>
      </c>
      <c r="D223" s="288">
        <v>30</v>
      </c>
      <c r="E223" s="300">
        <v>45323</v>
      </c>
      <c r="F223" s="301">
        <v>47058</v>
      </c>
      <c r="G223" s="293">
        <v>45413</v>
      </c>
      <c r="H223" s="294">
        <v>5.8400000000000001E-2</v>
      </c>
      <c r="I223" s="256">
        <v>29.2</v>
      </c>
      <c r="J223" s="256">
        <v>6.87</v>
      </c>
      <c r="K223" s="256"/>
      <c r="L223" s="256"/>
      <c r="M223" s="293">
        <v>45778</v>
      </c>
      <c r="N223" s="294">
        <v>5.8400000000000001E-2</v>
      </c>
      <c r="O223" s="256">
        <v>30.9</v>
      </c>
      <c r="P223" s="256">
        <v>7.27</v>
      </c>
      <c r="Q223" s="256"/>
      <c r="R223" s="256"/>
      <c r="S223" s="293">
        <v>46143</v>
      </c>
      <c r="T223" s="294">
        <v>5.8400000000000001E-2</v>
      </c>
      <c r="U223" s="256">
        <v>32.71</v>
      </c>
      <c r="V223" s="256">
        <v>7.82</v>
      </c>
      <c r="W223" s="256"/>
      <c r="X223" s="256"/>
      <c r="Y223" s="293">
        <v>46508</v>
      </c>
      <c r="Z223" s="294">
        <v>5.8400000000000001E-2</v>
      </c>
      <c r="AA223" s="256">
        <v>34.619999999999997</v>
      </c>
      <c r="AB223" s="256">
        <v>8.7100000000000009</v>
      </c>
      <c r="AC223" s="256"/>
      <c r="AD223" s="256"/>
      <c r="AE223" s="293">
        <v>46874</v>
      </c>
      <c r="AF223" s="294">
        <v>5.8400000000000001E-2</v>
      </c>
      <c r="AG223" s="256">
        <v>36.64</v>
      </c>
      <c r="AH223" s="256">
        <v>10.17</v>
      </c>
      <c r="AI223" s="256"/>
      <c r="AJ223" s="257"/>
      <c r="AK223" s="296">
        <f>'Encargos e Benefícios'!D222</f>
        <v>2600</v>
      </c>
      <c r="AL223" s="296">
        <f>IF('Encargos e Benefícios'!C222=0,0,'Encargos e Benefícios'!U222/'Encargos e Benefícios'!C222)</f>
        <v>2114.088888888889</v>
      </c>
      <c r="AM223" s="296">
        <f>IF('Encargos e Benefícios'!C222=0,0,'Encargos e Benefícios'!AC222/'Encargos e Benefícios'!C222)</f>
        <v>929.29</v>
      </c>
      <c r="AN223" s="297">
        <f>IF('Encargos e Benefícios'!C222=0,0,'Encargos e Benefícios'!AD222/'Encargos e Benefícios'!C222)</f>
        <v>5643.3788888888894</v>
      </c>
      <c r="AO223" s="188">
        <v>3478.27</v>
      </c>
      <c r="AP223" s="298">
        <v>2252.3200000000002</v>
      </c>
      <c r="AQ223" s="298">
        <v>4704.22</v>
      </c>
      <c r="AR223" s="299" t="s">
        <v>116</v>
      </c>
      <c r="AS223" s="188"/>
    </row>
    <row r="224" spans="1:45">
      <c r="A224" s="286">
        <v>218</v>
      </c>
      <c r="B224" s="81" t="str">
        <f>'Encargos e Benefícios'!B223</f>
        <v>Administrativo</v>
      </c>
      <c r="C224" s="287">
        <f>'Encargos e Benefícios'!C223</f>
        <v>1</v>
      </c>
      <c r="D224" s="288">
        <v>40</v>
      </c>
      <c r="E224" s="300">
        <v>45323</v>
      </c>
      <c r="F224" s="301">
        <v>47058</v>
      </c>
      <c r="G224" s="293">
        <v>45413</v>
      </c>
      <c r="H224" s="294">
        <v>5.8400000000000001E-2</v>
      </c>
      <c r="I224" s="256">
        <v>29.2</v>
      </c>
      <c r="J224" s="256">
        <v>6.87</v>
      </c>
      <c r="K224" s="256"/>
      <c r="L224" s="256"/>
      <c r="M224" s="293">
        <v>45778</v>
      </c>
      <c r="N224" s="294">
        <v>5.8400000000000001E-2</v>
      </c>
      <c r="O224" s="256">
        <v>30.9</v>
      </c>
      <c r="P224" s="256">
        <v>7.27</v>
      </c>
      <c r="Q224" s="256"/>
      <c r="R224" s="256"/>
      <c r="S224" s="293">
        <v>46143</v>
      </c>
      <c r="T224" s="294">
        <v>5.8400000000000001E-2</v>
      </c>
      <c r="U224" s="256">
        <v>32.71</v>
      </c>
      <c r="V224" s="256">
        <v>7.82</v>
      </c>
      <c r="W224" s="256"/>
      <c r="X224" s="256"/>
      <c r="Y224" s="293">
        <v>46508</v>
      </c>
      <c r="Z224" s="294">
        <v>5.8400000000000001E-2</v>
      </c>
      <c r="AA224" s="256">
        <v>34.619999999999997</v>
      </c>
      <c r="AB224" s="256">
        <v>8.7100000000000009</v>
      </c>
      <c r="AC224" s="256"/>
      <c r="AD224" s="256"/>
      <c r="AE224" s="293">
        <v>46874</v>
      </c>
      <c r="AF224" s="294">
        <v>5.8400000000000001E-2</v>
      </c>
      <c r="AG224" s="256">
        <v>36.64</v>
      </c>
      <c r="AH224" s="256">
        <v>10.17</v>
      </c>
      <c r="AI224" s="256"/>
      <c r="AJ224" s="257"/>
      <c r="AK224" s="296">
        <f>'Encargos e Benefícios'!D223</f>
        <v>1750</v>
      </c>
      <c r="AL224" s="296">
        <f>IF('Encargos e Benefícios'!C223=0,0,'Encargos e Benefícios'!U223/'Encargos e Benefícios'!C223)</f>
        <v>1422.9444444444443</v>
      </c>
      <c r="AM224" s="296">
        <f>IF('Encargos e Benefícios'!C223=0,0,'Encargos e Benefícios'!AC223/'Encargos e Benefícios'!C223)</f>
        <v>929.29</v>
      </c>
      <c r="AN224" s="297">
        <f>IF('Encargos e Benefícios'!C223=0,0,'Encargos e Benefícios'!AD223/'Encargos e Benefícios'!C223)</f>
        <v>4102.2344444444443</v>
      </c>
      <c r="AO224" s="188">
        <v>1786.2</v>
      </c>
      <c r="AP224" s="298">
        <v>1352.9</v>
      </c>
      <c r="AQ224" s="298">
        <v>2219.4899999999998</v>
      </c>
      <c r="AR224" s="299" t="s">
        <v>116</v>
      </c>
      <c r="AS224" s="188"/>
    </row>
    <row r="225" spans="1:45">
      <c r="A225" s="286">
        <v>219</v>
      </c>
      <c r="B225" s="81" t="str">
        <f>'Encargos e Benefícios'!B224</f>
        <v>Auxiliar Educacional</v>
      </c>
      <c r="C225" s="287">
        <f>'Encargos e Benefícios'!C224</f>
        <v>1</v>
      </c>
      <c r="D225" s="288">
        <v>30</v>
      </c>
      <c r="E225" s="300">
        <v>45323</v>
      </c>
      <c r="F225" s="301">
        <v>47058</v>
      </c>
      <c r="G225" s="293">
        <v>45413</v>
      </c>
      <c r="H225" s="294">
        <v>5.8400000000000001E-2</v>
      </c>
      <c r="I225" s="256">
        <v>29.2</v>
      </c>
      <c r="J225" s="256">
        <v>6.87</v>
      </c>
      <c r="K225" s="256"/>
      <c r="L225" s="256"/>
      <c r="M225" s="293">
        <v>45778</v>
      </c>
      <c r="N225" s="294">
        <v>5.8400000000000001E-2</v>
      </c>
      <c r="O225" s="256">
        <v>30.9</v>
      </c>
      <c r="P225" s="256">
        <v>7.27</v>
      </c>
      <c r="Q225" s="256"/>
      <c r="R225" s="256"/>
      <c r="S225" s="293">
        <v>46143</v>
      </c>
      <c r="T225" s="294">
        <v>5.8400000000000001E-2</v>
      </c>
      <c r="U225" s="256">
        <v>32.71</v>
      </c>
      <c r="V225" s="256">
        <v>7.82</v>
      </c>
      <c r="W225" s="256"/>
      <c r="X225" s="256"/>
      <c r="Y225" s="293">
        <v>46508</v>
      </c>
      <c r="Z225" s="294">
        <v>5.8400000000000001E-2</v>
      </c>
      <c r="AA225" s="256">
        <v>34.619999999999997</v>
      </c>
      <c r="AB225" s="256">
        <v>8.7100000000000009</v>
      </c>
      <c r="AC225" s="256"/>
      <c r="AD225" s="256"/>
      <c r="AE225" s="293">
        <v>46874</v>
      </c>
      <c r="AF225" s="294">
        <v>5.8400000000000001E-2</v>
      </c>
      <c r="AG225" s="256">
        <v>36.64</v>
      </c>
      <c r="AH225" s="256">
        <v>10.17</v>
      </c>
      <c r="AI225" s="256"/>
      <c r="AJ225" s="257"/>
      <c r="AK225" s="296">
        <f>'Encargos e Benefícios'!D224</f>
        <v>1642</v>
      </c>
      <c r="AL225" s="296">
        <f>IF('Encargos e Benefícios'!C224=0,0,'Encargos e Benefícios'!U224/'Encargos e Benefícios'!C224)</f>
        <v>1335.1284444444443</v>
      </c>
      <c r="AM225" s="296">
        <f>IF('Encargos e Benefícios'!C224=0,0,'Encargos e Benefícios'!AC224/'Encargos e Benefícios'!C224)</f>
        <v>929.29</v>
      </c>
      <c r="AN225" s="297">
        <f>IF('Encargos e Benefícios'!C224=0,0,'Encargos e Benefícios'!AD224/'Encargos e Benefícios'!C224)</f>
        <v>3906.4184444444445</v>
      </c>
      <c r="AO225" s="188">
        <v>1756.04</v>
      </c>
      <c r="AP225" s="298">
        <v>1400</v>
      </c>
      <c r="AQ225" s="298">
        <v>2112.08</v>
      </c>
      <c r="AR225" s="299" t="s">
        <v>116</v>
      </c>
      <c r="AS225" s="188"/>
    </row>
    <row r="226" spans="1:45">
      <c r="A226" s="286">
        <v>220</v>
      </c>
      <c r="B226" s="81" t="str">
        <f>'Encargos e Benefícios'!B225</f>
        <v>Auxiliar de Serviços Gerais</v>
      </c>
      <c r="C226" s="287">
        <f>'Encargos e Benefícios'!C225</f>
        <v>1</v>
      </c>
      <c r="D226" s="288">
        <v>30</v>
      </c>
      <c r="E226" s="300">
        <v>45323</v>
      </c>
      <c r="F226" s="301">
        <v>47058</v>
      </c>
      <c r="G226" s="293">
        <v>45413</v>
      </c>
      <c r="H226" s="294">
        <v>5.8400000000000001E-2</v>
      </c>
      <c r="I226" s="256">
        <v>29.2</v>
      </c>
      <c r="J226" s="256">
        <v>6.87</v>
      </c>
      <c r="K226" s="256"/>
      <c r="L226" s="256"/>
      <c r="M226" s="293">
        <v>45778</v>
      </c>
      <c r="N226" s="294">
        <v>5.8400000000000001E-2</v>
      </c>
      <c r="O226" s="256">
        <v>30.9</v>
      </c>
      <c r="P226" s="256">
        <v>7.27</v>
      </c>
      <c r="Q226" s="256"/>
      <c r="R226" s="256"/>
      <c r="S226" s="293">
        <v>46143</v>
      </c>
      <c r="T226" s="294">
        <v>5.8400000000000001E-2</v>
      </c>
      <c r="U226" s="256">
        <v>32.71</v>
      </c>
      <c r="V226" s="256">
        <v>7.82</v>
      </c>
      <c r="W226" s="256"/>
      <c r="X226" s="256"/>
      <c r="Y226" s="293">
        <v>46508</v>
      </c>
      <c r="Z226" s="294">
        <v>5.8400000000000001E-2</v>
      </c>
      <c r="AA226" s="256">
        <v>34.619999999999997</v>
      </c>
      <c r="AB226" s="256">
        <v>8.7100000000000009</v>
      </c>
      <c r="AC226" s="256"/>
      <c r="AD226" s="256"/>
      <c r="AE226" s="293">
        <v>46874</v>
      </c>
      <c r="AF226" s="294">
        <v>5.8400000000000001E-2</v>
      </c>
      <c r="AG226" s="256">
        <v>36.64</v>
      </c>
      <c r="AH226" s="256">
        <v>10.17</v>
      </c>
      <c r="AI226" s="256"/>
      <c r="AJ226" s="257"/>
      <c r="AK226" s="296">
        <f>'Encargos e Benefícios'!D225</f>
        <v>1385</v>
      </c>
      <c r="AL226" s="296">
        <f>IF('Encargos e Benefícios'!C225=0,0,'Encargos e Benefícios'!U225/'Encargos e Benefícios'!C225)</f>
        <v>1126.1588888888887</v>
      </c>
      <c r="AM226" s="296">
        <f>IF('Encargos e Benefícios'!C225=0,0,'Encargos e Benefícios'!AC225/'Encargos e Benefícios'!C225)</f>
        <v>929.29</v>
      </c>
      <c r="AN226" s="297">
        <f>IF('Encargos e Benefícios'!C225=0,0,'Encargos e Benefícios'!AD225/'Encargos e Benefícios'!C225)</f>
        <v>3440.4488888888886</v>
      </c>
      <c r="AO226" s="188">
        <v>1380.2</v>
      </c>
      <c r="AP226" s="298">
        <v>1320</v>
      </c>
      <c r="AQ226" s="298">
        <v>1440.4</v>
      </c>
      <c r="AR226" s="299" t="s">
        <v>116</v>
      </c>
      <c r="AS226" s="188"/>
    </row>
    <row r="227" spans="1:45">
      <c r="A227" s="286">
        <v>221</v>
      </c>
      <c r="B227" s="81" t="str">
        <f>'Encargos e Benefícios'!B226</f>
        <v>Motorista</v>
      </c>
      <c r="C227" s="287">
        <f>'Encargos e Benefícios'!C226</f>
        <v>1</v>
      </c>
      <c r="D227" s="288">
        <v>40</v>
      </c>
      <c r="E227" s="300">
        <v>45323</v>
      </c>
      <c r="F227" s="301">
        <v>47058</v>
      </c>
      <c r="G227" s="293">
        <v>45413</v>
      </c>
      <c r="H227" s="294">
        <v>5.8400000000000001E-2</v>
      </c>
      <c r="I227" s="256">
        <v>29.2</v>
      </c>
      <c r="J227" s="256">
        <v>6.87</v>
      </c>
      <c r="K227" s="256"/>
      <c r="L227" s="256"/>
      <c r="M227" s="293">
        <v>45778</v>
      </c>
      <c r="N227" s="294">
        <v>5.8400000000000001E-2</v>
      </c>
      <c r="O227" s="256">
        <v>30.9</v>
      </c>
      <c r="P227" s="256">
        <v>7.27</v>
      </c>
      <c r="Q227" s="256"/>
      <c r="R227" s="256"/>
      <c r="S227" s="293">
        <v>46143</v>
      </c>
      <c r="T227" s="294">
        <v>5.8400000000000001E-2</v>
      </c>
      <c r="U227" s="256">
        <v>32.71</v>
      </c>
      <c r="V227" s="256">
        <v>7.82</v>
      </c>
      <c r="W227" s="256"/>
      <c r="X227" s="256"/>
      <c r="Y227" s="293">
        <v>46508</v>
      </c>
      <c r="Z227" s="294">
        <v>5.8400000000000001E-2</v>
      </c>
      <c r="AA227" s="256">
        <v>34.619999999999997</v>
      </c>
      <c r="AB227" s="256">
        <v>8.7100000000000009</v>
      </c>
      <c r="AC227" s="256"/>
      <c r="AD227" s="256"/>
      <c r="AE227" s="293">
        <v>46874</v>
      </c>
      <c r="AF227" s="294">
        <v>5.8400000000000001E-2</v>
      </c>
      <c r="AG227" s="256">
        <v>36.64</v>
      </c>
      <c r="AH227" s="256">
        <v>10.17</v>
      </c>
      <c r="AI227" s="256"/>
      <c r="AJ227" s="257"/>
      <c r="AK227" s="296">
        <f>'Encargos e Benefícios'!D226</f>
        <v>1452.39</v>
      </c>
      <c r="AL227" s="296">
        <f>IF('Encargos e Benefícios'!C226=0,0,'Encargos e Benefícios'!U226/'Encargos e Benefícios'!C226)</f>
        <v>1180.9544466666669</v>
      </c>
      <c r="AM227" s="296">
        <f>IF('Encargos e Benefícios'!C226=0,0,'Encargos e Benefícios'!AC226/'Encargos e Benefícios'!C226)</f>
        <v>929.29</v>
      </c>
      <c r="AN227" s="297">
        <f>IF('Encargos e Benefícios'!C226=0,0,'Encargos e Benefícios'!AD226/'Encargos e Benefícios'!C226)</f>
        <v>3562.6344466666669</v>
      </c>
      <c r="AO227" s="188">
        <v>1676.09</v>
      </c>
      <c r="AP227" s="298">
        <v>1377.85</v>
      </c>
      <c r="AQ227" s="298">
        <v>1974.32</v>
      </c>
      <c r="AR227" s="299" t="s">
        <v>116</v>
      </c>
      <c r="AS227" s="188"/>
    </row>
    <row r="228" spans="1:45">
      <c r="A228" s="286">
        <v>222</v>
      </c>
      <c r="B228" s="81" t="str">
        <f>'Encargos e Benefícios'!B227</f>
        <v>Socioeducador - DC</v>
      </c>
      <c r="C228" s="287">
        <f>'Encargos e Benefícios'!C227</f>
        <v>2</v>
      </c>
      <c r="D228" s="288" t="s">
        <v>504</v>
      </c>
      <c r="E228" s="300">
        <v>45323</v>
      </c>
      <c r="F228" s="301">
        <v>47058</v>
      </c>
      <c r="G228" s="293">
        <v>45413</v>
      </c>
      <c r="H228" s="294">
        <v>5.8400000000000001E-2</v>
      </c>
      <c r="I228" s="256">
        <v>29.2</v>
      </c>
      <c r="J228" s="256">
        <v>6.87</v>
      </c>
      <c r="K228" s="256"/>
      <c r="L228" s="256"/>
      <c r="M228" s="293">
        <v>45778</v>
      </c>
      <c r="N228" s="294">
        <v>5.8400000000000001E-2</v>
      </c>
      <c r="O228" s="256">
        <v>30.9</v>
      </c>
      <c r="P228" s="256">
        <v>7.27</v>
      </c>
      <c r="Q228" s="256"/>
      <c r="R228" s="256"/>
      <c r="S228" s="293">
        <v>46143</v>
      </c>
      <c r="T228" s="294">
        <v>5.8400000000000001E-2</v>
      </c>
      <c r="U228" s="256">
        <v>32.71</v>
      </c>
      <c r="V228" s="256">
        <v>7.82</v>
      </c>
      <c r="W228" s="256"/>
      <c r="X228" s="256"/>
      <c r="Y228" s="293">
        <v>46508</v>
      </c>
      <c r="Z228" s="294">
        <v>5.8400000000000001E-2</v>
      </c>
      <c r="AA228" s="256">
        <v>34.619999999999997</v>
      </c>
      <c r="AB228" s="256">
        <v>8.7100000000000009</v>
      </c>
      <c r="AC228" s="256"/>
      <c r="AD228" s="256"/>
      <c r="AE228" s="293">
        <v>46874</v>
      </c>
      <c r="AF228" s="294">
        <v>5.8400000000000001E-2</v>
      </c>
      <c r="AG228" s="256">
        <v>36.64</v>
      </c>
      <c r="AH228" s="256">
        <v>10.17</v>
      </c>
      <c r="AI228" s="256"/>
      <c r="AJ228" s="257"/>
      <c r="AK228" s="296">
        <f>'Encargos e Benefícios'!D227</f>
        <v>1900</v>
      </c>
      <c r="AL228" s="296">
        <f>IF('Encargos e Benefícios'!C227=0,0,'Encargos e Benefícios'!U227/'Encargos e Benefícios'!C227)</f>
        <v>2544.7966666666666</v>
      </c>
      <c r="AM228" s="296">
        <f>IF('Encargos e Benefícios'!C227=0,0,'Encargos e Benefícios'!AC227/'Encargos e Benefícios'!C227)</f>
        <v>446.88</v>
      </c>
      <c r="AN228" s="297">
        <f>IF('Encargos e Benefícios'!C227=0,0,'Encargos e Benefícios'!AD227/'Encargos e Benefícios'!C227)</f>
        <v>4891.6766666666672</v>
      </c>
      <c r="AO228" s="188">
        <v>3219.15</v>
      </c>
      <c r="AP228" s="298">
        <v>1764.5</v>
      </c>
      <c r="AQ228" s="298">
        <v>4673.8</v>
      </c>
      <c r="AR228" s="299" t="s">
        <v>116</v>
      </c>
      <c r="AS228" s="188"/>
    </row>
    <row r="229" spans="1:45">
      <c r="A229" s="286">
        <v>223</v>
      </c>
      <c r="B229" s="81" t="str">
        <f>'Encargos e Benefícios'!B228</f>
        <v>Socioeducador - D</v>
      </c>
      <c r="C229" s="287">
        <f>'Encargos e Benefícios'!C228</f>
        <v>12</v>
      </c>
      <c r="D229" s="288" t="s">
        <v>504</v>
      </c>
      <c r="E229" s="300">
        <v>45323</v>
      </c>
      <c r="F229" s="301">
        <v>47058</v>
      </c>
      <c r="G229" s="293">
        <v>45413</v>
      </c>
      <c r="H229" s="294">
        <v>5.8400000000000001E-2</v>
      </c>
      <c r="I229" s="256">
        <v>29.2</v>
      </c>
      <c r="J229" s="256">
        <v>6.87</v>
      </c>
      <c r="K229" s="256"/>
      <c r="L229" s="256"/>
      <c r="M229" s="293">
        <v>45778</v>
      </c>
      <c r="N229" s="294">
        <v>5.8400000000000001E-2</v>
      </c>
      <c r="O229" s="256">
        <v>30.9</v>
      </c>
      <c r="P229" s="256">
        <v>7.27</v>
      </c>
      <c r="Q229" s="256"/>
      <c r="R229" s="256"/>
      <c r="S229" s="293">
        <v>46143</v>
      </c>
      <c r="T229" s="294">
        <v>5.8400000000000001E-2</v>
      </c>
      <c r="U229" s="256">
        <v>32.71</v>
      </c>
      <c r="V229" s="256">
        <v>7.82</v>
      </c>
      <c r="W229" s="256"/>
      <c r="X229" s="256"/>
      <c r="Y229" s="293">
        <v>46508</v>
      </c>
      <c r="Z229" s="294">
        <v>5.8400000000000001E-2</v>
      </c>
      <c r="AA229" s="256">
        <v>34.619999999999997</v>
      </c>
      <c r="AB229" s="256">
        <v>8.7100000000000009</v>
      </c>
      <c r="AC229" s="256"/>
      <c r="AD229" s="256"/>
      <c r="AE229" s="293">
        <v>46874</v>
      </c>
      <c r="AF229" s="294">
        <v>5.8400000000000001E-2</v>
      </c>
      <c r="AG229" s="256">
        <v>36.64</v>
      </c>
      <c r="AH229" s="256">
        <v>10.17</v>
      </c>
      <c r="AI229" s="256"/>
      <c r="AJ229" s="257"/>
      <c r="AK229" s="296">
        <f>'Encargos e Benefícios'!D228</f>
        <v>1900</v>
      </c>
      <c r="AL229" s="296">
        <f>IF('Encargos e Benefícios'!C228=0,0,'Encargos e Benefícios'!U228/'Encargos e Benefícios'!C228)</f>
        <v>2281.7944444444447</v>
      </c>
      <c r="AM229" s="296">
        <f>IF('Encargos e Benefícios'!C228=0,0,'Encargos e Benefícios'!AC228/'Encargos e Benefícios'!C228)</f>
        <v>74.48</v>
      </c>
      <c r="AN229" s="297">
        <f>IF('Encargos e Benefícios'!C228=0,0,'Encargos e Benefícios'!AD228/'Encargos e Benefícios'!C228)</f>
        <v>4256.2744444444452</v>
      </c>
      <c r="AO229" s="188">
        <v>3219.15</v>
      </c>
      <c r="AP229" s="298">
        <v>1764.5</v>
      </c>
      <c r="AQ229" s="298">
        <v>4673.8</v>
      </c>
      <c r="AR229" s="299" t="s">
        <v>116</v>
      </c>
      <c r="AS229" s="188"/>
    </row>
    <row r="230" spans="1:45">
      <c r="A230" s="286">
        <v>224</v>
      </c>
      <c r="B230" s="81" t="str">
        <f>'Encargos e Benefícios'!B229</f>
        <v>Socioeducador - NC</v>
      </c>
      <c r="C230" s="287">
        <f>'Encargos e Benefícios'!C229</f>
        <v>2</v>
      </c>
      <c r="D230" s="288" t="s">
        <v>504</v>
      </c>
      <c r="E230" s="300">
        <v>45323</v>
      </c>
      <c r="F230" s="301">
        <v>47058</v>
      </c>
      <c r="G230" s="293">
        <v>45413</v>
      </c>
      <c r="H230" s="294">
        <v>5.8400000000000001E-2</v>
      </c>
      <c r="I230" s="256">
        <v>29.2</v>
      </c>
      <c r="J230" s="256">
        <v>6.87</v>
      </c>
      <c r="K230" s="256"/>
      <c r="L230" s="256"/>
      <c r="M230" s="293">
        <v>45778</v>
      </c>
      <c r="N230" s="294">
        <v>5.8400000000000001E-2</v>
      </c>
      <c r="O230" s="256">
        <v>30.9</v>
      </c>
      <c r="P230" s="256">
        <v>7.27</v>
      </c>
      <c r="Q230" s="256"/>
      <c r="R230" s="256"/>
      <c r="S230" s="293">
        <v>46143</v>
      </c>
      <c r="T230" s="294">
        <v>5.8400000000000001E-2</v>
      </c>
      <c r="U230" s="256">
        <v>32.71</v>
      </c>
      <c r="V230" s="256">
        <v>7.82</v>
      </c>
      <c r="W230" s="256"/>
      <c r="X230" s="256"/>
      <c r="Y230" s="293">
        <v>46508</v>
      </c>
      <c r="Z230" s="294">
        <v>5.8400000000000001E-2</v>
      </c>
      <c r="AA230" s="256">
        <v>34.619999999999997</v>
      </c>
      <c r="AB230" s="256">
        <v>8.7100000000000009</v>
      </c>
      <c r="AC230" s="256"/>
      <c r="AD230" s="256"/>
      <c r="AE230" s="293">
        <v>46874</v>
      </c>
      <c r="AF230" s="294">
        <v>5.8400000000000001E-2</v>
      </c>
      <c r="AG230" s="256">
        <v>36.64</v>
      </c>
      <c r="AH230" s="256">
        <v>10.17</v>
      </c>
      <c r="AI230" s="256"/>
      <c r="AJ230" s="257"/>
      <c r="AK230" s="296">
        <f>'Encargos e Benefícios'!D229</f>
        <v>1900</v>
      </c>
      <c r="AL230" s="296">
        <f>IF('Encargos e Benefícios'!C229=0,0,'Encargos e Benefícios'!U229/'Encargos e Benefícios'!C229)</f>
        <v>3013.1818518518517</v>
      </c>
      <c r="AM230" s="296">
        <f>IF('Encargos e Benefícios'!C229=0,0,'Encargos e Benefícios'!AC229/'Encargos e Benefícios'!C229)</f>
        <v>446.88</v>
      </c>
      <c r="AN230" s="297">
        <f>IF('Encargos e Benefícios'!C229=0,0,'Encargos e Benefícios'!AD229/'Encargos e Benefícios'!C229)</f>
        <v>5360.0618518518522</v>
      </c>
      <c r="AO230" s="188">
        <v>3219.15</v>
      </c>
      <c r="AP230" s="298">
        <v>1764.5</v>
      </c>
      <c r="AQ230" s="298">
        <v>4673.8</v>
      </c>
      <c r="AR230" s="299" t="s">
        <v>116</v>
      </c>
      <c r="AS230" s="188"/>
    </row>
    <row r="231" spans="1:45" ht="13.5" thickBot="1">
      <c r="A231" s="286">
        <v>225</v>
      </c>
      <c r="B231" s="81" t="str">
        <f>'Encargos e Benefícios'!B230</f>
        <v>Socioeducador - N</v>
      </c>
      <c r="C231" s="287">
        <f>'Encargos e Benefícios'!C230</f>
        <v>6</v>
      </c>
      <c r="D231" s="288" t="s">
        <v>504</v>
      </c>
      <c r="E231" s="300">
        <v>45323</v>
      </c>
      <c r="F231" s="301">
        <v>47058</v>
      </c>
      <c r="G231" s="293">
        <v>45413</v>
      </c>
      <c r="H231" s="294">
        <v>5.8400000000000001E-2</v>
      </c>
      <c r="I231" s="256">
        <v>29.2</v>
      </c>
      <c r="J231" s="256">
        <v>6.87</v>
      </c>
      <c r="K231" s="256"/>
      <c r="L231" s="256"/>
      <c r="M231" s="293">
        <v>45778</v>
      </c>
      <c r="N231" s="294">
        <v>5.8400000000000001E-2</v>
      </c>
      <c r="O231" s="256">
        <v>30.9</v>
      </c>
      <c r="P231" s="256">
        <v>7.27</v>
      </c>
      <c r="Q231" s="256"/>
      <c r="R231" s="256"/>
      <c r="S231" s="293">
        <v>46143</v>
      </c>
      <c r="T231" s="294">
        <v>5.8400000000000001E-2</v>
      </c>
      <c r="U231" s="256">
        <v>32.71</v>
      </c>
      <c r="V231" s="256">
        <v>7.82</v>
      </c>
      <c r="W231" s="256"/>
      <c r="X231" s="256"/>
      <c r="Y231" s="293">
        <v>46508</v>
      </c>
      <c r="Z231" s="294">
        <v>5.8400000000000001E-2</v>
      </c>
      <c r="AA231" s="256">
        <v>34.619999999999997</v>
      </c>
      <c r="AB231" s="256">
        <v>8.7100000000000009</v>
      </c>
      <c r="AC231" s="256"/>
      <c r="AD231" s="256"/>
      <c r="AE231" s="293">
        <v>46874</v>
      </c>
      <c r="AF231" s="294">
        <v>5.8400000000000001E-2</v>
      </c>
      <c r="AG231" s="256">
        <v>36.64</v>
      </c>
      <c r="AH231" s="256">
        <v>10.17</v>
      </c>
      <c r="AI231" s="256"/>
      <c r="AJ231" s="257"/>
      <c r="AK231" s="296">
        <f>'Encargos e Benefícios'!D230</f>
        <v>1900</v>
      </c>
      <c r="AL231" s="296">
        <f>IF('Encargos e Benefícios'!C230=0,0,'Encargos e Benefícios'!U230/'Encargos e Benefícios'!C230)</f>
        <v>2750.1796296296302</v>
      </c>
      <c r="AM231" s="296">
        <f>IF('Encargos e Benefícios'!C230=0,0,'Encargos e Benefícios'!AC230/'Encargos e Benefícios'!C230)</f>
        <v>148.96</v>
      </c>
      <c r="AN231" s="297">
        <f>IF('Encargos e Benefícios'!C230=0,0,'Encargos e Benefícios'!AD230/'Encargos e Benefícios'!C230)</f>
        <v>4799.1396296296298</v>
      </c>
      <c r="AO231" s="188">
        <v>3219.15</v>
      </c>
      <c r="AP231" s="298">
        <v>1764.5</v>
      </c>
      <c r="AQ231" s="298">
        <v>4673.8</v>
      </c>
      <c r="AR231" s="299" t="s">
        <v>116</v>
      </c>
      <c r="AS231" s="188"/>
    </row>
    <row r="232" spans="1:45">
      <c r="A232" s="286">
        <v>226</v>
      </c>
      <c r="B232" s="81" t="str">
        <f>'Encargos e Benefícios'!B231</f>
        <v>Diretor Geral de Unidade Socioeducativa</v>
      </c>
      <c r="C232" s="287">
        <f>'Encargos e Benefícios'!C231</f>
        <v>1</v>
      </c>
      <c r="D232" s="288">
        <v>40</v>
      </c>
      <c r="E232" s="289">
        <v>45261</v>
      </c>
      <c r="F232" s="290">
        <v>47058</v>
      </c>
      <c r="G232" s="293">
        <v>45413</v>
      </c>
      <c r="H232" s="294">
        <v>5.8400000000000001E-2</v>
      </c>
      <c r="I232" s="256">
        <v>29.2</v>
      </c>
      <c r="J232" s="256">
        <v>6.87</v>
      </c>
      <c r="K232" s="256"/>
      <c r="L232" s="256"/>
      <c r="M232" s="293">
        <v>45778</v>
      </c>
      <c r="N232" s="294">
        <v>5.8400000000000001E-2</v>
      </c>
      <c r="O232" s="256">
        <v>30.9</v>
      </c>
      <c r="P232" s="256">
        <v>7.27</v>
      </c>
      <c r="Q232" s="256"/>
      <c r="R232" s="256"/>
      <c r="S232" s="293">
        <v>46143</v>
      </c>
      <c r="T232" s="294">
        <v>5.8400000000000001E-2</v>
      </c>
      <c r="U232" s="256">
        <v>32.71</v>
      </c>
      <c r="V232" s="256">
        <v>7.82</v>
      </c>
      <c r="W232" s="256"/>
      <c r="X232" s="256"/>
      <c r="Y232" s="293">
        <v>46508</v>
      </c>
      <c r="Z232" s="294">
        <v>5.8400000000000001E-2</v>
      </c>
      <c r="AA232" s="256">
        <v>34.619999999999997</v>
      </c>
      <c r="AB232" s="256">
        <v>8.7100000000000009</v>
      </c>
      <c r="AC232" s="256"/>
      <c r="AD232" s="256"/>
      <c r="AE232" s="293">
        <v>46874</v>
      </c>
      <c r="AF232" s="294">
        <v>5.8400000000000001E-2</v>
      </c>
      <c r="AG232" s="256">
        <v>36.64</v>
      </c>
      <c r="AH232" s="256">
        <v>10.17</v>
      </c>
      <c r="AI232" s="256"/>
      <c r="AJ232" s="257"/>
      <c r="AK232" s="296">
        <f>'Encargos e Benefícios'!D231</f>
        <v>6500</v>
      </c>
      <c r="AL232" s="296">
        <f>IF('Encargos e Benefícios'!C231=0,0,'Encargos e Benefícios'!U231/'Encargos e Benefícios'!C231)</f>
        <v>5194.2222222222235</v>
      </c>
      <c r="AM232" s="296">
        <f>IF('Encargos e Benefícios'!C231=0,0,'Encargos e Benefícios'!AC231/'Encargos e Benefícios'!C231)</f>
        <v>817.61999999999989</v>
      </c>
      <c r="AN232" s="297">
        <f>IF('Encargos e Benefícios'!C231=0,0,'Encargos e Benefícios'!AD231/'Encargos e Benefícios'!C231)</f>
        <v>12511.842222222222</v>
      </c>
      <c r="AO232" s="188">
        <v>6052.24</v>
      </c>
      <c r="AP232" s="298">
        <v>4239.6899999999996</v>
      </c>
      <c r="AQ232" s="298">
        <v>7864.78</v>
      </c>
      <c r="AR232" s="299" t="s">
        <v>117</v>
      </c>
      <c r="AS232" s="188"/>
    </row>
    <row r="233" spans="1:45">
      <c r="A233" s="286">
        <v>227</v>
      </c>
      <c r="B233" s="81" t="str">
        <f>'Encargos e Benefícios'!B232</f>
        <v>Subdiretor de Segurança</v>
      </c>
      <c r="C233" s="287">
        <f>'Encargos e Benefícios'!C232</f>
        <v>1</v>
      </c>
      <c r="D233" s="288">
        <v>40</v>
      </c>
      <c r="E233" s="300">
        <v>45261</v>
      </c>
      <c r="F233" s="301">
        <v>47058</v>
      </c>
      <c r="G233" s="293">
        <v>45413</v>
      </c>
      <c r="H233" s="294">
        <v>5.8400000000000001E-2</v>
      </c>
      <c r="I233" s="256">
        <v>29.2</v>
      </c>
      <c r="J233" s="256">
        <v>6.87</v>
      </c>
      <c r="K233" s="256"/>
      <c r="L233" s="256"/>
      <c r="M233" s="293">
        <v>45778</v>
      </c>
      <c r="N233" s="294">
        <v>5.8400000000000001E-2</v>
      </c>
      <c r="O233" s="256">
        <v>30.9</v>
      </c>
      <c r="P233" s="256">
        <v>7.27</v>
      </c>
      <c r="Q233" s="256"/>
      <c r="R233" s="256"/>
      <c r="S233" s="293">
        <v>46143</v>
      </c>
      <c r="T233" s="294">
        <v>5.8400000000000001E-2</v>
      </c>
      <c r="U233" s="256">
        <v>32.71</v>
      </c>
      <c r="V233" s="256">
        <v>7.82</v>
      </c>
      <c r="W233" s="256"/>
      <c r="X233" s="256"/>
      <c r="Y233" s="293">
        <v>46508</v>
      </c>
      <c r="Z233" s="294">
        <v>5.8400000000000001E-2</v>
      </c>
      <c r="AA233" s="256">
        <v>34.619999999999997</v>
      </c>
      <c r="AB233" s="256">
        <v>8.7100000000000009</v>
      </c>
      <c r="AC233" s="256"/>
      <c r="AD233" s="256"/>
      <c r="AE233" s="293">
        <v>46874</v>
      </c>
      <c r="AF233" s="294">
        <v>5.8400000000000001E-2</v>
      </c>
      <c r="AG233" s="256">
        <v>36.64</v>
      </c>
      <c r="AH233" s="256">
        <v>10.17</v>
      </c>
      <c r="AI233" s="256"/>
      <c r="AJ233" s="257"/>
      <c r="AK233" s="296">
        <f>'Encargos e Benefícios'!D232</f>
        <v>3773.6</v>
      </c>
      <c r="AL233" s="296">
        <f>IF('Encargos e Benefícios'!C232=0,0,'Encargos e Benefícios'!U232/'Encargos e Benefícios'!C232)</f>
        <v>4147.6056888888888</v>
      </c>
      <c r="AM233" s="296">
        <f>IF('Encargos e Benefícios'!C232=0,0,'Encargos e Benefícios'!AC232/'Encargos e Benefícios'!C232)</f>
        <v>817.61999999999989</v>
      </c>
      <c r="AN233" s="297">
        <f>IF('Encargos e Benefícios'!C232=0,0,'Encargos e Benefícios'!AD232/'Encargos e Benefícios'!C232)</f>
        <v>8738.82568888889</v>
      </c>
      <c r="AO233" s="188">
        <v>4968.99</v>
      </c>
      <c r="AP233" s="298">
        <v>3773.6</v>
      </c>
      <c r="AQ233" s="298">
        <v>6164.38</v>
      </c>
      <c r="AR233" s="299" t="s">
        <v>117</v>
      </c>
      <c r="AS233" s="188"/>
    </row>
    <row r="234" spans="1:45">
      <c r="A234" s="286">
        <v>228</v>
      </c>
      <c r="B234" s="81" t="str">
        <f>'Encargos e Benefícios'!B233</f>
        <v>Advogado</v>
      </c>
      <c r="C234" s="287">
        <f>'Encargos e Benefícios'!C233</f>
        <v>1</v>
      </c>
      <c r="D234" s="288">
        <v>30</v>
      </c>
      <c r="E234" s="300">
        <v>45261</v>
      </c>
      <c r="F234" s="301">
        <v>47058</v>
      </c>
      <c r="G234" s="293">
        <v>45413</v>
      </c>
      <c r="H234" s="294">
        <v>5.8400000000000001E-2</v>
      </c>
      <c r="I234" s="256">
        <v>29.2</v>
      </c>
      <c r="J234" s="256">
        <v>6.87</v>
      </c>
      <c r="K234" s="256"/>
      <c r="L234" s="256"/>
      <c r="M234" s="293">
        <v>45778</v>
      </c>
      <c r="N234" s="294">
        <v>5.8400000000000001E-2</v>
      </c>
      <c r="O234" s="256">
        <v>30.9</v>
      </c>
      <c r="P234" s="256">
        <v>7.27</v>
      </c>
      <c r="Q234" s="256"/>
      <c r="R234" s="256"/>
      <c r="S234" s="293">
        <v>46143</v>
      </c>
      <c r="T234" s="294">
        <v>5.8400000000000001E-2</v>
      </c>
      <c r="U234" s="256">
        <v>32.71</v>
      </c>
      <c r="V234" s="256">
        <v>7.82</v>
      </c>
      <c r="W234" s="256"/>
      <c r="X234" s="256"/>
      <c r="Y234" s="293">
        <v>46508</v>
      </c>
      <c r="Z234" s="294">
        <v>5.8400000000000001E-2</v>
      </c>
      <c r="AA234" s="256">
        <v>34.619999999999997</v>
      </c>
      <c r="AB234" s="256">
        <v>8.7100000000000009</v>
      </c>
      <c r="AC234" s="256"/>
      <c r="AD234" s="256"/>
      <c r="AE234" s="293">
        <v>46874</v>
      </c>
      <c r="AF234" s="294">
        <v>5.8400000000000001E-2</v>
      </c>
      <c r="AG234" s="256">
        <v>36.64</v>
      </c>
      <c r="AH234" s="256">
        <v>10.17</v>
      </c>
      <c r="AI234" s="256"/>
      <c r="AJ234" s="257"/>
      <c r="AK234" s="296">
        <f>'Encargos e Benefícios'!D233</f>
        <v>2600</v>
      </c>
      <c r="AL234" s="296">
        <f>IF('Encargos e Benefícios'!C233=0,0,'Encargos e Benefícios'!U233/'Encargos e Benefícios'!C233)</f>
        <v>2114.088888888889</v>
      </c>
      <c r="AM234" s="296">
        <f>IF('Encargos e Benefícios'!C233=0,0,'Encargos e Benefícios'!AC233/'Encargos e Benefícios'!C233)</f>
        <v>929.29</v>
      </c>
      <c r="AN234" s="297">
        <f>IF('Encargos e Benefícios'!C233=0,0,'Encargos e Benefícios'!AD233/'Encargos e Benefícios'!C233)</f>
        <v>5643.3788888888894</v>
      </c>
      <c r="AO234" s="188">
        <v>2365.86</v>
      </c>
      <c r="AP234" s="298">
        <v>1700</v>
      </c>
      <c r="AQ234" s="298">
        <v>3031.72</v>
      </c>
      <c r="AR234" s="299" t="s">
        <v>117</v>
      </c>
      <c r="AS234" s="188"/>
    </row>
    <row r="235" spans="1:45">
      <c r="A235" s="286">
        <v>229</v>
      </c>
      <c r="B235" s="81" t="str">
        <f>'Encargos e Benefícios'!B234</f>
        <v>Assistente Social</v>
      </c>
      <c r="C235" s="287">
        <f>'Encargos e Benefícios'!C234</f>
        <v>1</v>
      </c>
      <c r="D235" s="288">
        <v>30</v>
      </c>
      <c r="E235" s="300">
        <v>45261</v>
      </c>
      <c r="F235" s="301">
        <v>47058</v>
      </c>
      <c r="G235" s="293">
        <v>45413</v>
      </c>
      <c r="H235" s="294">
        <v>5.8400000000000001E-2</v>
      </c>
      <c r="I235" s="256">
        <v>29.2</v>
      </c>
      <c r="J235" s="256">
        <v>6.87</v>
      </c>
      <c r="K235" s="256"/>
      <c r="L235" s="256"/>
      <c r="M235" s="293">
        <v>45778</v>
      </c>
      <c r="N235" s="294">
        <v>5.8400000000000001E-2</v>
      </c>
      <c r="O235" s="256">
        <v>30.9</v>
      </c>
      <c r="P235" s="256">
        <v>7.27</v>
      </c>
      <c r="Q235" s="256"/>
      <c r="R235" s="256"/>
      <c r="S235" s="293">
        <v>46143</v>
      </c>
      <c r="T235" s="294">
        <v>5.8400000000000001E-2</v>
      </c>
      <c r="U235" s="256">
        <v>32.71</v>
      </c>
      <c r="V235" s="256">
        <v>7.82</v>
      </c>
      <c r="W235" s="256"/>
      <c r="X235" s="256"/>
      <c r="Y235" s="293">
        <v>46508</v>
      </c>
      <c r="Z235" s="294">
        <v>5.8400000000000001E-2</v>
      </c>
      <c r="AA235" s="256">
        <v>34.619999999999997</v>
      </c>
      <c r="AB235" s="256">
        <v>8.7100000000000009</v>
      </c>
      <c r="AC235" s="256"/>
      <c r="AD235" s="256"/>
      <c r="AE235" s="293">
        <v>46874</v>
      </c>
      <c r="AF235" s="294">
        <v>5.8400000000000001E-2</v>
      </c>
      <c r="AG235" s="256">
        <v>36.64</v>
      </c>
      <c r="AH235" s="256">
        <v>10.17</v>
      </c>
      <c r="AI235" s="256"/>
      <c r="AJ235" s="257"/>
      <c r="AK235" s="296">
        <f>'Encargos e Benefícios'!D234</f>
        <v>2600</v>
      </c>
      <c r="AL235" s="296">
        <f>IF('Encargos e Benefícios'!C234=0,0,'Encargos e Benefícios'!U234/'Encargos e Benefícios'!C234)</f>
        <v>2114.088888888889</v>
      </c>
      <c r="AM235" s="296">
        <f>IF('Encargos e Benefícios'!C234=0,0,'Encargos e Benefícios'!AC234/'Encargos e Benefícios'!C234)</f>
        <v>929.29</v>
      </c>
      <c r="AN235" s="297">
        <f>IF('Encargos e Benefícios'!C234=0,0,'Encargos e Benefícios'!AD234/'Encargos e Benefícios'!C234)</f>
        <v>5643.3788888888894</v>
      </c>
      <c r="AO235" s="188">
        <v>3479.77</v>
      </c>
      <c r="AP235" s="298">
        <v>2252.3200000000002</v>
      </c>
      <c r="AQ235" s="298">
        <v>4707.22</v>
      </c>
      <c r="AR235" s="299" t="s">
        <v>117</v>
      </c>
      <c r="AS235" s="188"/>
    </row>
    <row r="236" spans="1:45">
      <c r="A236" s="286">
        <v>230</v>
      </c>
      <c r="B236" s="81" t="str">
        <f>'Encargos e Benefícios'!B235</f>
        <v>Pedagogo</v>
      </c>
      <c r="C236" s="287">
        <f>'Encargos e Benefícios'!C235</f>
        <v>1</v>
      </c>
      <c r="D236" s="288">
        <v>30</v>
      </c>
      <c r="E236" s="300">
        <v>45261</v>
      </c>
      <c r="F236" s="301">
        <v>47058</v>
      </c>
      <c r="G236" s="293">
        <v>45413</v>
      </c>
      <c r="H236" s="294">
        <v>5.8400000000000001E-2</v>
      </c>
      <c r="I236" s="256">
        <v>29.2</v>
      </c>
      <c r="J236" s="256">
        <v>6.87</v>
      </c>
      <c r="K236" s="256"/>
      <c r="L236" s="256"/>
      <c r="M236" s="293">
        <v>45778</v>
      </c>
      <c r="N236" s="294">
        <v>5.8400000000000001E-2</v>
      </c>
      <c r="O236" s="256">
        <v>30.9</v>
      </c>
      <c r="P236" s="256">
        <v>7.27</v>
      </c>
      <c r="Q236" s="256"/>
      <c r="R236" s="256"/>
      <c r="S236" s="293">
        <v>46143</v>
      </c>
      <c r="T236" s="294">
        <v>5.8400000000000001E-2</v>
      </c>
      <c r="U236" s="256">
        <v>32.71</v>
      </c>
      <c r="V236" s="256">
        <v>7.82</v>
      </c>
      <c r="W236" s="256"/>
      <c r="X236" s="256"/>
      <c r="Y236" s="293">
        <v>46508</v>
      </c>
      <c r="Z236" s="294">
        <v>5.8400000000000001E-2</v>
      </c>
      <c r="AA236" s="256">
        <v>34.619999999999997</v>
      </c>
      <c r="AB236" s="256">
        <v>8.7100000000000009</v>
      </c>
      <c r="AC236" s="256"/>
      <c r="AD236" s="256"/>
      <c r="AE236" s="293">
        <v>46874</v>
      </c>
      <c r="AF236" s="294">
        <v>5.8400000000000001E-2</v>
      </c>
      <c r="AG236" s="256">
        <v>36.64</v>
      </c>
      <c r="AH236" s="256">
        <v>10.17</v>
      </c>
      <c r="AI236" s="256"/>
      <c r="AJ236" s="257"/>
      <c r="AK236" s="296">
        <f>'Encargos e Benefícios'!D235</f>
        <v>2600</v>
      </c>
      <c r="AL236" s="296">
        <f>IF('Encargos e Benefícios'!C235=0,0,'Encargos e Benefícios'!U235/'Encargos e Benefícios'!C235)</f>
        <v>2114.088888888889</v>
      </c>
      <c r="AM236" s="296">
        <f>IF('Encargos e Benefícios'!C235=0,0,'Encargos e Benefícios'!AC235/'Encargos e Benefícios'!C235)</f>
        <v>929.29</v>
      </c>
      <c r="AN236" s="297">
        <f>IF('Encargos e Benefícios'!C235=0,0,'Encargos e Benefícios'!AD235/'Encargos e Benefícios'!C235)</f>
        <v>5643.3788888888894</v>
      </c>
      <c r="AO236" s="188">
        <v>2293.52</v>
      </c>
      <c r="AP236" s="298">
        <v>1700</v>
      </c>
      <c r="AQ236" s="298">
        <v>2887.04</v>
      </c>
      <c r="AR236" s="299" t="s">
        <v>117</v>
      </c>
      <c r="AS236" s="188"/>
    </row>
    <row r="237" spans="1:45">
      <c r="A237" s="286">
        <v>231</v>
      </c>
      <c r="B237" s="81" t="str">
        <f>'Encargos e Benefícios'!B236</f>
        <v>Psicologo</v>
      </c>
      <c r="C237" s="287">
        <f>'Encargos e Benefícios'!C236</f>
        <v>1</v>
      </c>
      <c r="D237" s="288">
        <v>30</v>
      </c>
      <c r="E237" s="300">
        <v>45261</v>
      </c>
      <c r="F237" s="301">
        <v>47058</v>
      </c>
      <c r="G237" s="293">
        <v>45413</v>
      </c>
      <c r="H237" s="294">
        <v>5.8400000000000001E-2</v>
      </c>
      <c r="I237" s="256">
        <v>29.2</v>
      </c>
      <c r="J237" s="256">
        <v>6.87</v>
      </c>
      <c r="K237" s="256"/>
      <c r="L237" s="256"/>
      <c r="M237" s="293">
        <v>45778</v>
      </c>
      <c r="N237" s="294">
        <v>5.8400000000000001E-2</v>
      </c>
      <c r="O237" s="256">
        <v>30.9</v>
      </c>
      <c r="P237" s="256">
        <v>7.27</v>
      </c>
      <c r="Q237" s="256"/>
      <c r="R237" s="256"/>
      <c r="S237" s="293">
        <v>46143</v>
      </c>
      <c r="T237" s="294">
        <v>5.8400000000000001E-2</v>
      </c>
      <c r="U237" s="256">
        <v>32.71</v>
      </c>
      <c r="V237" s="256">
        <v>7.82</v>
      </c>
      <c r="W237" s="256"/>
      <c r="X237" s="256"/>
      <c r="Y237" s="293">
        <v>46508</v>
      </c>
      <c r="Z237" s="294">
        <v>5.8400000000000001E-2</v>
      </c>
      <c r="AA237" s="256">
        <v>34.619999999999997</v>
      </c>
      <c r="AB237" s="256">
        <v>8.7100000000000009</v>
      </c>
      <c r="AC237" s="256"/>
      <c r="AD237" s="256"/>
      <c r="AE237" s="293">
        <v>46874</v>
      </c>
      <c r="AF237" s="294">
        <v>5.8400000000000001E-2</v>
      </c>
      <c r="AG237" s="256">
        <v>36.64</v>
      </c>
      <c r="AH237" s="256">
        <v>10.17</v>
      </c>
      <c r="AI237" s="256"/>
      <c r="AJ237" s="257"/>
      <c r="AK237" s="296">
        <f>'Encargos e Benefícios'!D236</f>
        <v>2600</v>
      </c>
      <c r="AL237" s="296">
        <f>IF('Encargos e Benefícios'!C236=0,0,'Encargos e Benefícios'!U236/'Encargos e Benefícios'!C236)</f>
        <v>2114.088888888889</v>
      </c>
      <c r="AM237" s="296">
        <f>IF('Encargos e Benefícios'!C236=0,0,'Encargos e Benefícios'!AC236/'Encargos e Benefícios'!C236)</f>
        <v>929.29</v>
      </c>
      <c r="AN237" s="297">
        <f>IF('Encargos e Benefícios'!C236=0,0,'Encargos e Benefícios'!AD236/'Encargos e Benefícios'!C236)</f>
        <v>5643.3788888888894</v>
      </c>
      <c r="AO237" s="188">
        <v>3202.11</v>
      </c>
      <c r="AP237" s="298">
        <v>1700</v>
      </c>
      <c r="AQ237" s="298">
        <v>4704.22</v>
      </c>
      <c r="AR237" s="299" t="s">
        <v>117</v>
      </c>
      <c r="AS237" s="188"/>
    </row>
    <row r="238" spans="1:45">
      <c r="A238" s="286">
        <v>232</v>
      </c>
      <c r="B238" s="81" t="str">
        <f>'Encargos e Benefícios'!B237</f>
        <v>Terapeuta Ocupacional</v>
      </c>
      <c r="C238" s="287">
        <f>'Encargos e Benefícios'!C237</f>
        <v>1</v>
      </c>
      <c r="D238" s="288">
        <v>30</v>
      </c>
      <c r="E238" s="300">
        <v>45261</v>
      </c>
      <c r="F238" s="301">
        <v>47058</v>
      </c>
      <c r="G238" s="293">
        <v>45413</v>
      </c>
      <c r="H238" s="294">
        <v>5.8400000000000001E-2</v>
      </c>
      <c r="I238" s="256">
        <v>29.2</v>
      </c>
      <c r="J238" s="256">
        <v>6.87</v>
      </c>
      <c r="K238" s="256"/>
      <c r="L238" s="256"/>
      <c r="M238" s="293">
        <v>45778</v>
      </c>
      <c r="N238" s="294">
        <v>5.8400000000000001E-2</v>
      </c>
      <c r="O238" s="256">
        <v>30.9</v>
      </c>
      <c r="P238" s="256">
        <v>7.27</v>
      </c>
      <c r="Q238" s="256"/>
      <c r="R238" s="256"/>
      <c r="S238" s="293">
        <v>46143</v>
      </c>
      <c r="T238" s="294">
        <v>5.8400000000000001E-2</v>
      </c>
      <c r="U238" s="256">
        <v>32.71</v>
      </c>
      <c r="V238" s="256">
        <v>7.82</v>
      </c>
      <c r="W238" s="256"/>
      <c r="X238" s="256"/>
      <c r="Y238" s="293">
        <v>46508</v>
      </c>
      <c r="Z238" s="294">
        <v>5.8400000000000001E-2</v>
      </c>
      <c r="AA238" s="256">
        <v>34.619999999999997</v>
      </c>
      <c r="AB238" s="256">
        <v>8.7100000000000009</v>
      </c>
      <c r="AC238" s="256"/>
      <c r="AD238" s="256"/>
      <c r="AE238" s="293">
        <v>46874</v>
      </c>
      <c r="AF238" s="294">
        <v>5.8400000000000001E-2</v>
      </c>
      <c r="AG238" s="256">
        <v>36.64</v>
      </c>
      <c r="AH238" s="256">
        <v>10.17</v>
      </c>
      <c r="AI238" s="256"/>
      <c r="AJ238" s="257"/>
      <c r="AK238" s="296">
        <f>'Encargos e Benefícios'!D237</f>
        <v>2600</v>
      </c>
      <c r="AL238" s="296">
        <f>IF('Encargos e Benefícios'!C237=0,0,'Encargos e Benefícios'!U237/'Encargos e Benefícios'!C237)</f>
        <v>2114.088888888889</v>
      </c>
      <c r="AM238" s="296">
        <f>IF('Encargos e Benefícios'!C237=0,0,'Encargos e Benefícios'!AC237/'Encargos e Benefícios'!C237)</f>
        <v>929.29</v>
      </c>
      <c r="AN238" s="297">
        <f>IF('Encargos e Benefícios'!C237=0,0,'Encargos e Benefícios'!AD237/'Encargos e Benefícios'!C237)</f>
        <v>5643.3788888888894</v>
      </c>
      <c r="AO238" s="188">
        <v>3478.27</v>
      </c>
      <c r="AP238" s="298">
        <v>2252.3200000000002</v>
      </c>
      <c r="AQ238" s="298">
        <v>4704.22</v>
      </c>
      <c r="AR238" s="299" t="s">
        <v>117</v>
      </c>
      <c r="AS238" s="188"/>
    </row>
    <row r="239" spans="1:45">
      <c r="A239" s="286">
        <v>233</v>
      </c>
      <c r="B239" s="81" t="str">
        <f>'Encargos e Benefícios'!B238</f>
        <v>Administrativo</v>
      </c>
      <c r="C239" s="287">
        <f>'Encargos e Benefícios'!C238</f>
        <v>1</v>
      </c>
      <c r="D239" s="288">
        <v>40</v>
      </c>
      <c r="E239" s="300">
        <v>45261</v>
      </c>
      <c r="F239" s="301">
        <v>47058</v>
      </c>
      <c r="G239" s="293">
        <v>45413</v>
      </c>
      <c r="H239" s="294">
        <v>5.8400000000000001E-2</v>
      </c>
      <c r="I239" s="256">
        <v>29.2</v>
      </c>
      <c r="J239" s="256">
        <v>6.87</v>
      </c>
      <c r="K239" s="256"/>
      <c r="L239" s="256"/>
      <c r="M239" s="293">
        <v>45778</v>
      </c>
      <c r="N239" s="294">
        <v>5.8400000000000001E-2</v>
      </c>
      <c r="O239" s="256">
        <v>30.9</v>
      </c>
      <c r="P239" s="256">
        <v>7.27</v>
      </c>
      <c r="Q239" s="256"/>
      <c r="R239" s="256"/>
      <c r="S239" s="293">
        <v>46143</v>
      </c>
      <c r="T239" s="294">
        <v>5.8400000000000001E-2</v>
      </c>
      <c r="U239" s="256">
        <v>32.71</v>
      </c>
      <c r="V239" s="256">
        <v>7.82</v>
      </c>
      <c r="W239" s="256"/>
      <c r="X239" s="256"/>
      <c r="Y239" s="293">
        <v>46508</v>
      </c>
      <c r="Z239" s="294">
        <v>5.8400000000000001E-2</v>
      </c>
      <c r="AA239" s="256">
        <v>34.619999999999997</v>
      </c>
      <c r="AB239" s="256">
        <v>8.7100000000000009</v>
      </c>
      <c r="AC239" s="256"/>
      <c r="AD239" s="256"/>
      <c r="AE239" s="293">
        <v>46874</v>
      </c>
      <c r="AF239" s="294">
        <v>5.8400000000000001E-2</v>
      </c>
      <c r="AG239" s="256">
        <v>36.64</v>
      </c>
      <c r="AH239" s="256">
        <v>10.17</v>
      </c>
      <c r="AI239" s="256"/>
      <c r="AJ239" s="257"/>
      <c r="AK239" s="296">
        <f>'Encargos e Benefícios'!D238</f>
        <v>1750</v>
      </c>
      <c r="AL239" s="296">
        <f>IF('Encargos e Benefícios'!C238=0,0,'Encargos e Benefícios'!U238/'Encargos e Benefícios'!C238)</f>
        <v>1422.9444444444443</v>
      </c>
      <c r="AM239" s="296">
        <f>IF('Encargos e Benefícios'!C238=0,0,'Encargos e Benefícios'!AC238/'Encargos e Benefícios'!C238)</f>
        <v>929.29</v>
      </c>
      <c r="AN239" s="297">
        <f>IF('Encargos e Benefícios'!C238=0,0,'Encargos e Benefícios'!AD238/'Encargos e Benefícios'!C238)</f>
        <v>4102.2344444444443</v>
      </c>
      <c r="AO239" s="188">
        <v>1786.2</v>
      </c>
      <c r="AP239" s="298">
        <v>1352.9</v>
      </c>
      <c r="AQ239" s="298">
        <v>2219.4899999999998</v>
      </c>
      <c r="AR239" s="299" t="s">
        <v>117</v>
      </c>
      <c r="AS239" s="188"/>
    </row>
    <row r="240" spans="1:45">
      <c r="A240" s="286">
        <v>234</v>
      </c>
      <c r="B240" s="81" t="str">
        <f>'Encargos e Benefícios'!B239</f>
        <v>Auxiliar Educacional</v>
      </c>
      <c r="C240" s="287">
        <f>'Encargos e Benefícios'!C239</f>
        <v>1</v>
      </c>
      <c r="D240" s="288">
        <v>30</v>
      </c>
      <c r="E240" s="300">
        <v>45261</v>
      </c>
      <c r="F240" s="301">
        <v>47058</v>
      </c>
      <c r="G240" s="293">
        <v>45413</v>
      </c>
      <c r="H240" s="294">
        <v>5.8400000000000001E-2</v>
      </c>
      <c r="I240" s="256">
        <v>29.2</v>
      </c>
      <c r="J240" s="256">
        <v>6.87</v>
      </c>
      <c r="K240" s="256"/>
      <c r="L240" s="256"/>
      <c r="M240" s="293">
        <v>45778</v>
      </c>
      <c r="N240" s="294">
        <v>5.8400000000000001E-2</v>
      </c>
      <c r="O240" s="256">
        <v>30.9</v>
      </c>
      <c r="P240" s="256">
        <v>7.27</v>
      </c>
      <c r="Q240" s="256"/>
      <c r="R240" s="256"/>
      <c r="S240" s="293">
        <v>46143</v>
      </c>
      <c r="T240" s="294">
        <v>5.8400000000000001E-2</v>
      </c>
      <c r="U240" s="256">
        <v>32.71</v>
      </c>
      <c r="V240" s="256">
        <v>7.82</v>
      </c>
      <c r="W240" s="256"/>
      <c r="X240" s="256"/>
      <c r="Y240" s="293">
        <v>46508</v>
      </c>
      <c r="Z240" s="294">
        <v>5.8400000000000001E-2</v>
      </c>
      <c r="AA240" s="256">
        <v>34.619999999999997</v>
      </c>
      <c r="AB240" s="256">
        <v>8.7100000000000009</v>
      </c>
      <c r="AC240" s="256"/>
      <c r="AD240" s="256"/>
      <c r="AE240" s="293">
        <v>46874</v>
      </c>
      <c r="AF240" s="294">
        <v>5.8400000000000001E-2</v>
      </c>
      <c r="AG240" s="256">
        <v>36.64</v>
      </c>
      <c r="AH240" s="256">
        <v>10.17</v>
      </c>
      <c r="AI240" s="256"/>
      <c r="AJ240" s="257"/>
      <c r="AK240" s="296">
        <f>'Encargos e Benefícios'!D239</f>
        <v>1642</v>
      </c>
      <c r="AL240" s="296">
        <f>IF('Encargos e Benefícios'!C239=0,0,'Encargos e Benefícios'!U239/'Encargos e Benefícios'!C239)</f>
        <v>1335.1284444444443</v>
      </c>
      <c r="AM240" s="296">
        <f>IF('Encargos e Benefícios'!C239=0,0,'Encargos e Benefícios'!AC239/'Encargos e Benefícios'!C239)</f>
        <v>929.29</v>
      </c>
      <c r="AN240" s="297">
        <f>IF('Encargos e Benefícios'!C239=0,0,'Encargos e Benefícios'!AD239/'Encargos e Benefícios'!C239)</f>
        <v>3906.4184444444445</v>
      </c>
      <c r="AO240" s="188">
        <v>1756.04</v>
      </c>
      <c r="AP240" s="298">
        <v>1400</v>
      </c>
      <c r="AQ240" s="298">
        <v>2112.08</v>
      </c>
      <c r="AR240" s="299" t="s">
        <v>117</v>
      </c>
      <c r="AS240" s="188"/>
    </row>
    <row r="241" spans="1:45">
      <c r="A241" s="286">
        <v>235</v>
      </c>
      <c r="B241" s="81" t="str">
        <f>'Encargos e Benefícios'!B240</f>
        <v>Auxiliar de Serviços Gerais</v>
      </c>
      <c r="C241" s="287">
        <f>'Encargos e Benefícios'!C240</f>
        <v>1</v>
      </c>
      <c r="D241" s="288">
        <v>30</v>
      </c>
      <c r="E241" s="300">
        <v>45261</v>
      </c>
      <c r="F241" s="301">
        <v>47058</v>
      </c>
      <c r="G241" s="293">
        <v>45413</v>
      </c>
      <c r="H241" s="294">
        <v>5.8400000000000001E-2</v>
      </c>
      <c r="I241" s="256">
        <v>29.2</v>
      </c>
      <c r="J241" s="256">
        <v>6.87</v>
      </c>
      <c r="K241" s="256"/>
      <c r="L241" s="256"/>
      <c r="M241" s="293">
        <v>45778</v>
      </c>
      <c r="N241" s="294">
        <v>5.8400000000000001E-2</v>
      </c>
      <c r="O241" s="256">
        <v>30.9</v>
      </c>
      <c r="P241" s="256">
        <v>7.27</v>
      </c>
      <c r="Q241" s="256"/>
      <c r="R241" s="256"/>
      <c r="S241" s="293">
        <v>46143</v>
      </c>
      <c r="T241" s="294">
        <v>5.8400000000000001E-2</v>
      </c>
      <c r="U241" s="256">
        <v>32.71</v>
      </c>
      <c r="V241" s="256">
        <v>7.82</v>
      </c>
      <c r="W241" s="256"/>
      <c r="X241" s="256"/>
      <c r="Y241" s="293">
        <v>46508</v>
      </c>
      <c r="Z241" s="294">
        <v>5.8400000000000001E-2</v>
      </c>
      <c r="AA241" s="256">
        <v>34.619999999999997</v>
      </c>
      <c r="AB241" s="256">
        <v>8.7100000000000009</v>
      </c>
      <c r="AC241" s="256"/>
      <c r="AD241" s="256"/>
      <c r="AE241" s="293">
        <v>46874</v>
      </c>
      <c r="AF241" s="294">
        <v>5.8400000000000001E-2</v>
      </c>
      <c r="AG241" s="256">
        <v>36.64</v>
      </c>
      <c r="AH241" s="256">
        <v>10.17</v>
      </c>
      <c r="AI241" s="256"/>
      <c r="AJ241" s="257"/>
      <c r="AK241" s="296">
        <f>'Encargos e Benefícios'!D240</f>
        <v>1385</v>
      </c>
      <c r="AL241" s="296">
        <f>IF('Encargos e Benefícios'!C240=0,0,'Encargos e Benefícios'!U240/'Encargos e Benefícios'!C240)</f>
        <v>1126.1588888888887</v>
      </c>
      <c r="AM241" s="296">
        <f>IF('Encargos e Benefícios'!C240=0,0,'Encargos e Benefícios'!AC240/'Encargos e Benefícios'!C240)</f>
        <v>929.29</v>
      </c>
      <c r="AN241" s="297">
        <f>IF('Encargos e Benefícios'!C240=0,0,'Encargos e Benefícios'!AD240/'Encargos e Benefícios'!C240)</f>
        <v>3440.4488888888886</v>
      </c>
      <c r="AO241" s="188">
        <v>1380.2</v>
      </c>
      <c r="AP241" s="298">
        <v>1320</v>
      </c>
      <c r="AQ241" s="298">
        <v>1440.4</v>
      </c>
      <c r="AR241" s="299" t="s">
        <v>117</v>
      </c>
      <c r="AS241" s="188"/>
    </row>
    <row r="242" spans="1:45">
      <c r="A242" s="286">
        <v>236</v>
      </c>
      <c r="B242" s="81" t="str">
        <f>'Encargos e Benefícios'!B241</f>
        <v>Motorista</v>
      </c>
      <c r="C242" s="287">
        <f>'Encargos e Benefícios'!C241</f>
        <v>1</v>
      </c>
      <c r="D242" s="288">
        <v>40</v>
      </c>
      <c r="E242" s="300">
        <v>45261</v>
      </c>
      <c r="F242" s="301">
        <v>47058</v>
      </c>
      <c r="G242" s="293">
        <v>45413</v>
      </c>
      <c r="H242" s="294">
        <v>5.8400000000000001E-2</v>
      </c>
      <c r="I242" s="256">
        <v>29.2</v>
      </c>
      <c r="J242" s="256">
        <v>6.87</v>
      </c>
      <c r="K242" s="256"/>
      <c r="L242" s="256"/>
      <c r="M242" s="293">
        <v>45778</v>
      </c>
      <c r="N242" s="294">
        <v>5.8400000000000001E-2</v>
      </c>
      <c r="O242" s="256">
        <v>30.9</v>
      </c>
      <c r="P242" s="256">
        <v>7.27</v>
      </c>
      <c r="Q242" s="256"/>
      <c r="R242" s="256"/>
      <c r="S242" s="293">
        <v>46143</v>
      </c>
      <c r="T242" s="294">
        <v>5.8400000000000001E-2</v>
      </c>
      <c r="U242" s="256">
        <v>32.71</v>
      </c>
      <c r="V242" s="256">
        <v>7.82</v>
      </c>
      <c r="W242" s="256"/>
      <c r="X242" s="256"/>
      <c r="Y242" s="293">
        <v>46508</v>
      </c>
      <c r="Z242" s="294">
        <v>5.8400000000000001E-2</v>
      </c>
      <c r="AA242" s="256">
        <v>34.619999999999997</v>
      </c>
      <c r="AB242" s="256">
        <v>8.7100000000000009</v>
      </c>
      <c r="AC242" s="256"/>
      <c r="AD242" s="256"/>
      <c r="AE242" s="293">
        <v>46874</v>
      </c>
      <c r="AF242" s="294">
        <v>5.8400000000000001E-2</v>
      </c>
      <c r="AG242" s="256">
        <v>36.64</v>
      </c>
      <c r="AH242" s="256">
        <v>10.17</v>
      </c>
      <c r="AI242" s="256"/>
      <c r="AJ242" s="257"/>
      <c r="AK242" s="296">
        <f>'Encargos e Benefícios'!D241</f>
        <v>1452.39</v>
      </c>
      <c r="AL242" s="296">
        <f>IF('Encargos e Benefícios'!C241=0,0,'Encargos e Benefícios'!U241/'Encargos e Benefícios'!C241)</f>
        <v>1180.9544466666669</v>
      </c>
      <c r="AM242" s="296">
        <f>IF('Encargos e Benefícios'!C241=0,0,'Encargos e Benefícios'!AC241/'Encargos e Benefícios'!C241)</f>
        <v>929.29</v>
      </c>
      <c r="AN242" s="297">
        <f>IF('Encargos e Benefícios'!C241=0,0,'Encargos e Benefícios'!AD241/'Encargos e Benefícios'!C241)</f>
        <v>3562.6344466666669</v>
      </c>
      <c r="AO242" s="188">
        <v>1676.09</v>
      </c>
      <c r="AP242" s="298">
        <v>1377.85</v>
      </c>
      <c r="AQ242" s="298">
        <v>1974.32</v>
      </c>
      <c r="AR242" s="299" t="s">
        <v>117</v>
      </c>
      <c r="AS242" s="188"/>
    </row>
    <row r="243" spans="1:45">
      <c r="A243" s="286">
        <v>237</v>
      </c>
      <c r="B243" s="81" t="str">
        <f>'Encargos e Benefícios'!B242</f>
        <v>Socioeducador - DC</v>
      </c>
      <c r="C243" s="287">
        <f>'Encargos e Benefícios'!C242</f>
        <v>2</v>
      </c>
      <c r="D243" s="288" t="s">
        <v>504</v>
      </c>
      <c r="E243" s="300">
        <v>45261</v>
      </c>
      <c r="F243" s="301">
        <v>47058</v>
      </c>
      <c r="G243" s="293">
        <v>45413</v>
      </c>
      <c r="H243" s="294">
        <v>5.8400000000000001E-2</v>
      </c>
      <c r="I243" s="256">
        <v>29.2</v>
      </c>
      <c r="J243" s="256">
        <v>6.87</v>
      </c>
      <c r="K243" s="256"/>
      <c r="L243" s="256"/>
      <c r="M243" s="293">
        <v>45778</v>
      </c>
      <c r="N243" s="294">
        <v>5.8400000000000001E-2</v>
      </c>
      <c r="O243" s="256">
        <v>30.9</v>
      </c>
      <c r="P243" s="256">
        <v>7.27</v>
      </c>
      <c r="Q243" s="256"/>
      <c r="R243" s="256"/>
      <c r="S243" s="293">
        <v>46143</v>
      </c>
      <c r="T243" s="294">
        <v>5.8400000000000001E-2</v>
      </c>
      <c r="U243" s="256">
        <v>32.71</v>
      </c>
      <c r="V243" s="256">
        <v>7.82</v>
      </c>
      <c r="W243" s="256"/>
      <c r="X243" s="256"/>
      <c r="Y243" s="293">
        <v>46508</v>
      </c>
      <c r="Z243" s="294">
        <v>5.8400000000000001E-2</v>
      </c>
      <c r="AA243" s="256">
        <v>34.619999999999997</v>
      </c>
      <c r="AB243" s="256">
        <v>8.7100000000000009</v>
      </c>
      <c r="AC243" s="256"/>
      <c r="AD243" s="256"/>
      <c r="AE243" s="293">
        <v>46874</v>
      </c>
      <c r="AF243" s="294">
        <v>5.8400000000000001E-2</v>
      </c>
      <c r="AG243" s="256">
        <v>36.64</v>
      </c>
      <c r="AH243" s="256">
        <v>10.17</v>
      </c>
      <c r="AI243" s="256"/>
      <c r="AJ243" s="257"/>
      <c r="AK243" s="296">
        <f>'Encargos e Benefícios'!D242</f>
        <v>1900</v>
      </c>
      <c r="AL243" s="296">
        <f>IF('Encargos e Benefícios'!C242=0,0,'Encargos e Benefícios'!U242/'Encargos e Benefícios'!C242)</f>
        <v>2544.7966666666666</v>
      </c>
      <c r="AM243" s="296">
        <f>IF('Encargos e Benefícios'!C242=0,0,'Encargos e Benefícios'!AC242/'Encargos e Benefícios'!C242)</f>
        <v>446.88</v>
      </c>
      <c r="AN243" s="297">
        <f>IF('Encargos e Benefícios'!C242=0,0,'Encargos e Benefícios'!AD242/'Encargos e Benefícios'!C242)</f>
        <v>4891.6766666666672</v>
      </c>
      <c r="AO243" s="188">
        <v>3219.15</v>
      </c>
      <c r="AP243" s="298">
        <v>1764.5</v>
      </c>
      <c r="AQ243" s="298">
        <v>4673.8</v>
      </c>
      <c r="AR243" s="299" t="s">
        <v>117</v>
      </c>
      <c r="AS243" s="188"/>
    </row>
    <row r="244" spans="1:45">
      <c r="A244" s="286">
        <v>238</v>
      </c>
      <c r="B244" s="81" t="str">
        <f>'Encargos e Benefícios'!B243</f>
        <v>Socioeducador - D</v>
      </c>
      <c r="C244" s="287">
        <f>'Encargos e Benefícios'!C243</f>
        <v>12</v>
      </c>
      <c r="D244" s="288" t="s">
        <v>504</v>
      </c>
      <c r="E244" s="300">
        <v>45261</v>
      </c>
      <c r="F244" s="301">
        <v>47058</v>
      </c>
      <c r="G244" s="293">
        <v>45413</v>
      </c>
      <c r="H244" s="294">
        <v>5.8400000000000001E-2</v>
      </c>
      <c r="I244" s="256">
        <v>29.2</v>
      </c>
      <c r="J244" s="256">
        <v>6.87</v>
      </c>
      <c r="K244" s="256"/>
      <c r="L244" s="256"/>
      <c r="M244" s="293">
        <v>45778</v>
      </c>
      <c r="N244" s="294">
        <v>5.8400000000000001E-2</v>
      </c>
      <c r="O244" s="256">
        <v>30.9</v>
      </c>
      <c r="P244" s="256">
        <v>7.27</v>
      </c>
      <c r="Q244" s="256"/>
      <c r="R244" s="256"/>
      <c r="S244" s="293">
        <v>46143</v>
      </c>
      <c r="T244" s="294">
        <v>5.8400000000000001E-2</v>
      </c>
      <c r="U244" s="256">
        <v>32.71</v>
      </c>
      <c r="V244" s="256">
        <v>7.82</v>
      </c>
      <c r="W244" s="256"/>
      <c r="X244" s="256"/>
      <c r="Y244" s="293">
        <v>46508</v>
      </c>
      <c r="Z244" s="294">
        <v>5.8400000000000001E-2</v>
      </c>
      <c r="AA244" s="256">
        <v>34.619999999999997</v>
      </c>
      <c r="AB244" s="256">
        <v>8.7100000000000009</v>
      </c>
      <c r="AC244" s="256"/>
      <c r="AD244" s="256"/>
      <c r="AE244" s="293">
        <v>46874</v>
      </c>
      <c r="AF244" s="294">
        <v>5.8400000000000001E-2</v>
      </c>
      <c r="AG244" s="256">
        <v>36.64</v>
      </c>
      <c r="AH244" s="256">
        <v>10.17</v>
      </c>
      <c r="AI244" s="256"/>
      <c r="AJ244" s="257"/>
      <c r="AK244" s="296">
        <f>'Encargos e Benefícios'!D243</f>
        <v>1900</v>
      </c>
      <c r="AL244" s="296">
        <f>IF('Encargos e Benefícios'!C243=0,0,'Encargos e Benefícios'!U243/'Encargos e Benefícios'!C243)</f>
        <v>2281.7944444444447</v>
      </c>
      <c r="AM244" s="296">
        <f>IF('Encargos e Benefícios'!C243=0,0,'Encargos e Benefícios'!AC243/'Encargos e Benefícios'!C243)</f>
        <v>74.48</v>
      </c>
      <c r="AN244" s="297">
        <f>IF('Encargos e Benefícios'!C243=0,0,'Encargos e Benefícios'!AD243/'Encargos e Benefícios'!C243)</f>
        <v>4256.2744444444452</v>
      </c>
      <c r="AO244" s="188">
        <v>3219.15</v>
      </c>
      <c r="AP244" s="298">
        <v>1764.5</v>
      </c>
      <c r="AQ244" s="298">
        <v>4673.8</v>
      </c>
      <c r="AR244" s="299" t="s">
        <v>117</v>
      </c>
      <c r="AS244" s="188"/>
    </row>
    <row r="245" spans="1:45">
      <c r="A245" s="286">
        <v>239</v>
      </c>
      <c r="B245" s="81" t="str">
        <f>'Encargos e Benefícios'!B244</f>
        <v>Socioeducador - NC</v>
      </c>
      <c r="C245" s="287">
        <f>'Encargos e Benefícios'!C244</f>
        <v>2</v>
      </c>
      <c r="D245" s="288" t="s">
        <v>504</v>
      </c>
      <c r="E245" s="300">
        <v>45261</v>
      </c>
      <c r="F245" s="301">
        <v>47058</v>
      </c>
      <c r="G245" s="293">
        <v>45413</v>
      </c>
      <c r="H245" s="294">
        <v>5.8400000000000001E-2</v>
      </c>
      <c r="I245" s="256">
        <v>29.2</v>
      </c>
      <c r="J245" s="256">
        <v>6.87</v>
      </c>
      <c r="K245" s="256"/>
      <c r="L245" s="256"/>
      <c r="M245" s="293">
        <v>45778</v>
      </c>
      <c r="N245" s="294">
        <v>5.8400000000000001E-2</v>
      </c>
      <c r="O245" s="256">
        <v>30.9</v>
      </c>
      <c r="P245" s="256">
        <v>7.27</v>
      </c>
      <c r="Q245" s="256"/>
      <c r="R245" s="256"/>
      <c r="S245" s="293">
        <v>46143</v>
      </c>
      <c r="T245" s="294">
        <v>5.8400000000000001E-2</v>
      </c>
      <c r="U245" s="256">
        <v>32.71</v>
      </c>
      <c r="V245" s="256">
        <v>7.82</v>
      </c>
      <c r="W245" s="256"/>
      <c r="X245" s="256"/>
      <c r="Y245" s="293">
        <v>46508</v>
      </c>
      <c r="Z245" s="294">
        <v>5.8400000000000001E-2</v>
      </c>
      <c r="AA245" s="256">
        <v>34.619999999999997</v>
      </c>
      <c r="AB245" s="256">
        <v>8.7100000000000009</v>
      </c>
      <c r="AC245" s="256"/>
      <c r="AD245" s="256"/>
      <c r="AE245" s="293">
        <v>46874</v>
      </c>
      <c r="AF245" s="294">
        <v>5.8400000000000001E-2</v>
      </c>
      <c r="AG245" s="256">
        <v>36.64</v>
      </c>
      <c r="AH245" s="256">
        <v>10.17</v>
      </c>
      <c r="AI245" s="256"/>
      <c r="AJ245" s="257"/>
      <c r="AK245" s="296">
        <f>'Encargos e Benefícios'!D244</f>
        <v>1900</v>
      </c>
      <c r="AL245" s="296">
        <f>IF('Encargos e Benefícios'!C244=0,0,'Encargos e Benefícios'!U244/'Encargos e Benefícios'!C244)</f>
        <v>3013.1818518518517</v>
      </c>
      <c r="AM245" s="296">
        <f>IF('Encargos e Benefícios'!C244=0,0,'Encargos e Benefícios'!AC244/'Encargos e Benefícios'!C244)</f>
        <v>446.88</v>
      </c>
      <c r="AN245" s="297">
        <f>IF('Encargos e Benefícios'!C244=0,0,'Encargos e Benefícios'!AD244/'Encargos e Benefícios'!C244)</f>
        <v>5360.0618518518522</v>
      </c>
      <c r="AO245" s="188">
        <v>3219.15</v>
      </c>
      <c r="AP245" s="298">
        <v>1764.5</v>
      </c>
      <c r="AQ245" s="298">
        <v>4673.8</v>
      </c>
      <c r="AR245" s="299" t="s">
        <v>117</v>
      </c>
      <c r="AS245" s="188"/>
    </row>
    <row r="246" spans="1:45" ht="13.5" thickBot="1">
      <c r="A246" s="286">
        <v>240</v>
      </c>
      <c r="B246" s="81" t="str">
        <f>'Encargos e Benefícios'!B245</f>
        <v>Socioeducador - N</v>
      </c>
      <c r="C246" s="287">
        <f>'Encargos e Benefícios'!C245</f>
        <v>6</v>
      </c>
      <c r="D246" s="288" t="s">
        <v>504</v>
      </c>
      <c r="E246" s="300">
        <v>45261</v>
      </c>
      <c r="F246" s="301">
        <v>47058</v>
      </c>
      <c r="G246" s="293">
        <v>45413</v>
      </c>
      <c r="H246" s="294">
        <v>5.8400000000000001E-2</v>
      </c>
      <c r="I246" s="256">
        <v>29.2</v>
      </c>
      <c r="J246" s="256">
        <v>6.87</v>
      </c>
      <c r="K246" s="256"/>
      <c r="L246" s="256"/>
      <c r="M246" s="293">
        <v>45778</v>
      </c>
      <c r="N246" s="294">
        <v>5.8400000000000001E-2</v>
      </c>
      <c r="O246" s="256">
        <v>30.9</v>
      </c>
      <c r="P246" s="256">
        <v>7.27</v>
      </c>
      <c r="Q246" s="256"/>
      <c r="R246" s="256"/>
      <c r="S246" s="293">
        <v>46143</v>
      </c>
      <c r="T246" s="294">
        <v>5.8400000000000001E-2</v>
      </c>
      <c r="U246" s="256">
        <v>32.71</v>
      </c>
      <c r="V246" s="256">
        <v>7.82</v>
      </c>
      <c r="W246" s="256"/>
      <c r="X246" s="256"/>
      <c r="Y246" s="293">
        <v>46508</v>
      </c>
      <c r="Z246" s="294">
        <v>5.8400000000000001E-2</v>
      </c>
      <c r="AA246" s="256">
        <v>34.619999999999997</v>
      </c>
      <c r="AB246" s="256">
        <v>8.7100000000000009</v>
      </c>
      <c r="AC246" s="256"/>
      <c r="AD246" s="256"/>
      <c r="AE246" s="293">
        <v>46874</v>
      </c>
      <c r="AF246" s="294">
        <v>5.8400000000000001E-2</v>
      </c>
      <c r="AG246" s="256">
        <v>36.64</v>
      </c>
      <c r="AH246" s="256">
        <v>10.17</v>
      </c>
      <c r="AI246" s="256"/>
      <c r="AJ246" s="257"/>
      <c r="AK246" s="296">
        <f>'Encargos e Benefícios'!D245</f>
        <v>1900</v>
      </c>
      <c r="AL246" s="296">
        <f>IF('Encargos e Benefícios'!C245=0,0,'Encargos e Benefícios'!U245/'Encargos e Benefícios'!C245)</f>
        <v>2750.1796296296302</v>
      </c>
      <c r="AM246" s="296">
        <f>IF('Encargos e Benefícios'!C245=0,0,'Encargos e Benefícios'!AC245/'Encargos e Benefícios'!C245)</f>
        <v>148.96</v>
      </c>
      <c r="AN246" s="297">
        <f>IF('Encargos e Benefícios'!C245=0,0,'Encargos e Benefícios'!AD245/'Encargos e Benefícios'!C245)</f>
        <v>4799.1396296296298</v>
      </c>
      <c r="AO246" s="188">
        <v>3219.15</v>
      </c>
      <c r="AP246" s="298">
        <v>1764.5</v>
      </c>
      <c r="AQ246" s="298">
        <v>4673.8</v>
      </c>
      <c r="AR246" s="299" t="s">
        <v>117</v>
      </c>
      <c r="AS246" s="188"/>
    </row>
    <row r="247" spans="1:45">
      <c r="A247" s="286">
        <v>241</v>
      </c>
      <c r="B247" s="81" t="str">
        <f>'Encargos e Benefícios'!B246</f>
        <v>Diretor Geral de Unidade Socioeducativa</v>
      </c>
      <c r="C247" s="287">
        <f>'Encargos e Benefícios'!C246</f>
        <v>1</v>
      </c>
      <c r="D247" s="288">
        <v>40</v>
      </c>
      <c r="E247" s="289">
        <v>45261</v>
      </c>
      <c r="F247" s="290">
        <v>47058</v>
      </c>
      <c r="G247" s="293">
        <v>45413</v>
      </c>
      <c r="H247" s="294">
        <v>5.8400000000000001E-2</v>
      </c>
      <c r="I247" s="256">
        <v>29.2</v>
      </c>
      <c r="J247" s="256">
        <v>6.87</v>
      </c>
      <c r="K247" s="256"/>
      <c r="L247" s="256"/>
      <c r="M247" s="293">
        <v>45778</v>
      </c>
      <c r="N247" s="294">
        <v>5.8400000000000001E-2</v>
      </c>
      <c r="O247" s="256">
        <v>30.9</v>
      </c>
      <c r="P247" s="256">
        <v>7.27</v>
      </c>
      <c r="Q247" s="256"/>
      <c r="R247" s="256"/>
      <c r="S247" s="293">
        <v>46143</v>
      </c>
      <c r="T247" s="294">
        <v>5.8400000000000001E-2</v>
      </c>
      <c r="U247" s="256">
        <v>32.71</v>
      </c>
      <c r="V247" s="256">
        <v>7.82</v>
      </c>
      <c r="W247" s="256"/>
      <c r="X247" s="256"/>
      <c r="Y247" s="293">
        <v>46508</v>
      </c>
      <c r="Z247" s="294">
        <v>5.8400000000000001E-2</v>
      </c>
      <c r="AA247" s="256">
        <v>34.619999999999997</v>
      </c>
      <c r="AB247" s="256">
        <v>8.7100000000000009</v>
      </c>
      <c r="AC247" s="256"/>
      <c r="AD247" s="256"/>
      <c r="AE247" s="293">
        <v>46874</v>
      </c>
      <c r="AF247" s="294">
        <v>5.8400000000000001E-2</v>
      </c>
      <c r="AG247" s="256">
        <v>36.64</v>
      </c>
      <c r="AH247" s="256">
        <v>10.17</v>
      </c>
      <c r="AI247" s="256"/>
      <c r="AJ247" s="257"/>
      <c r="AK247" s="296">
        <f>'Encargos e Benefícios'!D246</f>
        <v>6500</v>
      </c>
      <c r="AL247" s="296">
        <f>IF('Encargos e Benefícios'!C246=0,0,'Encargos e Benefícios'!U246/'Encargos e Benefícios'!C246)</f>
        <v>5194.2222222222235</v>
      </c>
      <c r="AM247" s="296">
        <f>IF('Encargos e Benefícios'!C246=0,0,'Encargos e Benefícios'!AC246/'Encargos e Benefícios'!C246)</f>
        <v>817.61999999999989</v>
      </c>
      <c r="AN247" s="297">
        <f>IF('Encargos e Benefícios'!C246=0,0,'Encargos e Benefícios'!AD246/'Encargos e Benefícios'!C246)</f>
        <v>12511.842222222222</v>
      </c>
      <c r="AO247" s="188">
        <v>6052.24</v>
      </c>
      <c r="AP247" s="298">
        <v>4239.6899999999996</v>
      </c>
      <c r="AQ247" s="298">
        <v>7864.78</v>
      </c>
      <c r="AR247" s="299" t="s">
        <v>118</v>
      </c>
      <c r="AS247" s="188"/>
    </row>
    <row r="248" spans="1:45">
      <c r="A248" s="286">
        <v>242</v>
      </c>
      <c r="B248" s="81" t="str">
        <f>'Encargos e Benefícios'!B247</f>
        <v>Subdiretor de Segurança</v>
      </c>
      <c r="C248" s="287">
        <f>'Encargos e Benefícios'!C247</f>
        <v>1</v>
      </c>
      <c r="D248" s="288">
        <v>40</v>
      </c>
      <c r="E248" s="300">
        <v>45261</v>
      </c>
      <c r="F248" s="301">
        <v>47058</v>
      </c>
      <c r="G248" s="293">
        <v>45413</v>
      </c>
      <c r="H248" s="294">
        <v>5.8400000000000001E-2</v>
      </c>
      <c r="I248" s="256">
        <v>29.2</v>
      </c>
      <c r="J248" s="256">
        <v>6.87</v>
      </c>
      <c r="K248" s="256"/>
      <c r="L248" s="256"/>
      <c r="M248" s="293">
        <v>45778</v>
      </c>
      <c r="N248" s="294">
        <v>5.8400000000000001E-2</v>
      </c>
      <c r="O248" s="256">
        <v>30.9</v>
      </c>
      <c r="P248" s="256">
        <v>7.27</v>
      </c>
      <c r="Q248" s="256"/>
      <c r="R248" s="256"/>
      <c r="S248" s="293">
        <v>46143</v>
      </c>
      <c r="T248" s="294">
        <v>5.8400000000000001E-2</v>
      </c>
      <c r="U248" s="256">
        <v>32.71</v>
      </c>
      <c r="V248" s="256">
        <v>7.82</v>
      </c>
      <c r="W248" s="256"/>
      <c r="X248" s="256"/>
      <c r="Y248" s="293">
        <v>46508</v>
      </c>
      <c r="Z248" s="294">
        <v>5.8400000000000001E-2</v>
      </c>
      <c r="AA248" s="256">
        <v>34.619999999999997</v>
      </c>
      <c r="AB248" s="256">
        <v>8.7100000000000009</v>
      </c>
      <c r="AC248" s="256"/>
      <c r="AD248" s="256"/>
      <c r="AE248" s="293">
        <v>46874</v>
      </c>
      <c r="AF248" s="294">
        <v>5.8400000000000001E-2</v>
      </c>
      <c r="AG248" s="256">
        <v>36.64</v>
      </c>
      <c r="AH248" s="256">
        <v>10.17</v>
      </c>
      <c r="AI248" s="256"/>
      <c r="AJ248" s="257"/>
      <c r="AK248" s="296">
        <f>'Encargos e Benefícios'!D247</f>
        <v>3773.6</v>
      </c>
      <c r="AL248" s="296">
        <f>IF('Encargos e Benefícios'!C247=0,0,'Encargos e Benefícios'!U247/'Encargos e Benefícios'!C247)</f>
        <v>4147.6056888888888</v>
      </c>
      <c r="AM248" s="296">
        <f>IF('Encargos e Benefícios'!C247=0,0,'Encargos e Benefícios'!AC247/'Encargos e Benefícios'!C247)</f>
        <v>817.61999999999989</v>
      </c>
      <c r="AN248" s="297">
        <f>IF('Encargos e Benefícios'!C247=0,0,'Encargos e Benefícios'!AD247/'Encargos e Benefícios'!C247)</f>
        <v>8738.82568888889</v>
      </c>
      <c r="AO248" s="188">
        <v>4968.99</v>
      </c>
      <c r="AP248" s="298">
        <v>3773.6</v>
      </c>
      <c r="AQ248" s="298">
        <v>6164.38</v>
      </c>
      <c r="AR248" s="299" t="s">
        <v>118</v>
      </c>
      <c r="AS248" s="188"/>
    </row>
    <row r="249" spans="1:45">
      <c r="A249" s="286">
        <v>243</v>
      </c>
      <c r="B249" s="81" t="str">
        <f>'Encargos e Benefícios'!B248</f>
        <v>Advogado</v>
      </c>
      <c r="C249" s="287">
        <f>'Encargos e Benefícios'!C248</f>
        <v>1</v>
      </c>
      <c r="D249" s="288">
        <v>30</v>
      </c>
      <c r="E249" s="300">
        <v>45261</v>
      </c>
      <c r="F249" s="301">
        <v>47058</v>
      </c>
      <c r="G249" s="293">
        <v>45413</v>
      </c>
      <c r="H249" s="294">
        <v>5.8400000000000001E-2</v>
      </c>
      <c r="I249" s="256">
        <v>29.2</v>
      </c>
      <c r="J249" s="256">
        <v>6.87</v>
      </c>
      <c r="K249" s="256"/>
      <c r="L249" s="256"/>
      <c r="M249" s="293">
        <v>45778</v>
      </c>
      <c r="N249" s="294">
        <v>5.8400000000000001E-2</v>
      </c>
      <c r="O249" s="256">
        <v>30.9</v>
      </c>
      <c r="P249" s="256">
        <v>7.27</v>
      </c>
      <c r="Q249" s="256"/>
      <c r="R249" s="256"/>
      <c r="S249" s="293">
        <v>46143</v>
      </c>
      <c r="T249" s="294">
        <v>5.8400000000000001E-2</v>
      </c>
      <c r="U249" s="256">
        <v>32.71</v>
      </c>
      <c r="V249" s="256">
        <v>7.82</v>
      </c>
      <c r="W249" s="256"/>
      <c r="X249" s="256"/>
      <c r="Y249" s="293">
        <v>46508</v>
      </c>
      <c r="Z249" s="294">
        <v>5.8400000000000001E-2</v>
      </c>
      <c r="AA249" s="256">
        <v>34.619999999999997</v>
      </c>
      <c r="AB249" s="256">
        <v>8.7100000000000009</v>
      </c>
      <c r="AC249" s="256"/>
      <c r="AD249" s="256"/>
      <c r="AE249" s="293">
        <v>46874</v>
      </c>
      <c r="AF249" s="294">
        <v>5.8400000000000001E-2</v>
      </c>
      <c r="AG249" s="256">
        <v>36.64</v>
      </c>
      <c r="AH249" s="256">
        <v>10.17</v>
      </c>
      <c r="AI249" s="256"/>
      <c r="AJ249" s="257"/>
      <c r="AK249" s="296">
        <f>'Encargos e Benefícios'!D248</f>
        <v>2600</v>
      </c>
      <c r="AL249" s="296">
        <f>IF('Encargos e Benefícios'!C248=0,0,'Encargos e Benefícios'!U248/'Encargos e Benefícios'!C248)</f>
        <v>2114.088888888889</v>
      </c>
      <c r="AM249" s="296">
        <f>IF('Encargos e Benefícios'!C248=0,0,'Encargos e Benefícios'!AC248/'Encargos e Benefícios'!C248)</f>
        <v>929.29</v>
      </c>
      <c r="AN249" s="297">
        <f>IF('Encargos e Benefícios'!C248=0,0,'Encargos e Benefícios'!AD248/'Encargos e Benefícios'!C248)</f>
        <v>5643.3788888888894</v>
      </c>
      <c r="AO249" s="188">
        <v>2365.86</v>
      </c>
      <c r="AP249" s="298">
        <v>1700</v>
      </c>
      <c r="AQ249" s="298">
        <v>3031.72</v>
      </c>
      <c r="AR249" s="299" t="s">
        <v>118</v>
      </c>
      <c r="AS249" s="188"/>
    </row>
    <row r="250" spans="1:45">
      <c r="A250" s="286">
        <v>244</v>
      </c>
      <c r="B250" s="81" t="str">
        <f>'Encargos e Benefícios'!B249</f>
        <v>Assistente Social</v>
      </c>
      <c r="C250" s="287">
        <f>'Encargos e Benefícios'!C249</f>
        <v>1</v>
      </c>
      <c r="D250" s="288">
        <v>30</v>
      </c>
      <c r="E250" s="300">
        <v>45261</v>
      </c>
      <c r="F250" s="301">
        <v>47058</v>
      </c>
      <c r="G250" s="293">
        <v>45413</v>
      </c>
      <c r="H250" s="294">
        <v>5.8400000000000001E-2</v>
      </c>
      <c r="I250" s="256">
        <v>29.2</v>
      </c>
      <c r="J250" s="256">
        <v>6.87</v>
      </c>
      <c r="K250" s="256"/>
      <c r="L250" s="256"/>
      <c r="M250" s="293">
        <v>45778</v>
      </c>
      <c r="N250" s="294">
        <v>5.8400000000000001E-2</v>
      </c>
      <c r="O250" s="256">
        <v>30.9</v>
      </c>
      <c r="P250" s="256">
        <v>7.27</v>
      </c>
      <c r="Q250" s="256"/>
      <c r="R250" s="256"/>
      <c r="S250" s="293">
        <v>46143</v>
      </c>
      <c r="T250" s="294">
        <v>5.8400000000000001E-2</v>
      </c>
      <c r="U250" s="256">
        <v>32.71</v>
      </c>
      <c r="V250" s="256">
        <v>7.82</v>
      </c>
      <c r="W250" s="256"/>
      <c r="X250" s="256"/>
      <c r="Y250" s="293">
        <v>46508</v>
      </c>
      <c r="Z250" s="294">
        <v>5.8400000000000001E-2</v>
      </c>
      <c r="AA250" s="256">
        <v>34.619999999999997</v>
      </c>
      <c r="AB250" s="256">
        <v>8.7100000000000009</v>
      </c>
      <c r="AC250" s="256"/>
      <c r="AD250" s="256"/>
      <c r="AE250" s="293">
        <v>46874</v>
      </c>
      <c r="AF250" s="294">
        <v>5.8400000000000001E-2</v>
      </c>
      <c r="AG250" s="256">
        <v>36.64</v>
      </c>
      <c r="AH250" s="256">
        <v>10.17</v>
      </c>
      <c r="AI250" s="256"/>
      <c r="AJ250" s="257"/>
      <c r="AK250" s="296">
        <f>'Encargos e Benefícios'!D249</f>
        <v>2600</v>
      </c>
      <c r="AL250" s="296">
        <f>IF('Encargos e Benefícios'!C249=0,0,'Encargos e Benefícios'!U249/'Encargos e Benefícios'!C249)</f>
        <v>2114.088888888889</v>
      </c>
      <c r="AM250" s="296">
        <f>IF('Encargos e Benefícios'!C249=0,0,'Encargos e Benefícios'!AC249/'Encargos e Benefícios'!C249)</f>
        <v>929.29</v>
      </c>
      <c r="AN250" s="297">
        <f>IF('Encargos e Benefícios'!C249=0,0,'Encargos e Benefícios'!AD249/'Encargos e Benefícios'!C249)</f>
        <v>5643.3788888888894</v>
      </c>
      <c r="AO250" s="188">
        <v>3479.77</v>
      </c>
      <c r="AP250" s="298">
        <v>2252.3200000000002</v>
      </c>
      <c r="AQ250" s="298">
        <v>4707.22</v>
      </c>
      <c r="AR250" s="299" t="s">
        <v>118</v>
      </c>
      <c r="AS250" s="188"/>
    </row>
    <row r="251" spans="1:45">
      <c r="A251" s="286">
        <v>245</v>
      </c>
      <c r="B251" s="81" t="str">
        <f>'Encargos e Benefícios'!B250</f>
        <v>Pedagogo</v>
      </c>
      <c r="C251" s="287">
        <f>'Encargos e Benefícios'!C250</f>
        <v>1</v>
      </c>
      <c r="D251" s="288">
        <v>30</v>
      </c>
      <c r="E251" s="300">
        <v>45261</v>
      </c>
      <c r="F251" s="301">
        <v>47058</v>
      </c>
      <c r="G251" s="293">
        <v>45413</v>
      </c>
      <c r="H251" s="294">
        <v>5.8400000000000001E-2</v>
      </c>
      <c r="I251" s="256">
        <v>29.2</v>
      </c>
      <c r="J251" s="256">
        <v>6.87</v>
      </c>
      <c r="K251" s="256"/>
      <c r="L251" s="256"/>
      <c r="M251" s="293">
        <v>45778</v>
      </c>
      <c r="N251" s="294">
        <v>5.8400000000000001E-2</v>
      </c>
      <c r="O251" s="256">
        <v>30.9</v>
      </c>
      <c r="P251" s="256">
        <v>7.27</v>
      </c>
      <c r="Q251" s="256"/>
      <c r="R251" s="256"/>
      <c r="S251" s="293">
        <v>46143</v>
      </c>
      <c r="T251" s="294">
        <v>5.8400000000000001E-2</v>
      </c>
      <c r="U251" s="256">
        <v>32.71</v>
      </c>
      <c r="V251" s="256">
        <v>7.82</v>
      </c>
      <c r="W251" s="256"/>
      <c r="X251" s="256"/>
      <c r="Y251" s="293">
        <v>46508</v>
      </c>
      <c r="Z251" s="294">
        <v>5.8400000000000001E-2</v>
      </c>
      <c r="AA251" s="256">
        <v>34.619999999999997</v>
      </c>
      <c r="AB251" s="256">
        <v>8.7100000000000009</v>
      </c>
      <c r="AC251" s="256"/>
      <c r="AD251" s="256"/>
      <c r="AE251" s="293">
        <v>46874</v>
      </c>
      <c r="AF251" s="294">
        <v>5.8400000000000001E-2</v>
      </c>
      <c r="AG251" s="256">
        <v>36.64</v>
      </c>
      <c r="AH251" s="256">
        <v>10.17</v>
      </c>
      <c r="AI251" s="256"/>
      <c r="AJ251" s="257"/>
      <c r="AK251" s="296">
        <f>'Encargos e Benefícios'!D250</f>
        <v>2600</v>
      </c>
      <c r="AL251" s="296">
        <f>IF('Encargos e Benefícios'!C250=0,0,'Encargos e Benefícios'!U250/'Encargos e Benefícios'!C250)</f>
        <v>2114.088888888889</v>
      </c>
      <c r="AM251" s="296">
        <f>IF('Encargos e Benefícios'!C250=0,0,'Encargos e Benefícios'!AC250/'Encargos e Benefícios'!C250)</f>
        <v>929.29</v>
      </c>
      <c r="AN251" s="297">
        <f>IF('Encargos e Benefícios'!C250=0,0,'Encargos e Benefícios'!AD250/'Encargos e Benefícios'!C250)</f>
        <v>5643.3788888888894</v>
      </c>
      <c r="AO251" s="188">
        <v>2293.52</v>
      </c>
      <c r="AP251" s="298">
        <v>1700</v>
      </c>
      <c r="AQ251" s="298">
        <v>2887.04</v>
      </c>
      <c r="AR251" s="299" t="s">
        <v>118</v>
      </c>
      <c r="AS251" s="188"/>
    </row>
    <row r="252" spans="1:45">
      <c r="A252" s="286">
        <v>246</v>
      </c>
      <c r="B252" s="81" t="str">
        <f>'Encargos e Benefícios'!B251</f>
        <v>Psicologo</v>
      </c>
      <c r="C252" s="287">
        <f>'Encargos e Benefícios'!C251</f>
        <v>1</v>
      </c>
      <c r="D252" s="288">
        <v>30</v>
      </c>
      <c r="E252" s="300">
        <v>45261</v>
      </c>
      <c r="F252" s="301">
        <v>47058</v>
      </c>
      <c r="G252" s="293">
        <v>45413</v>
      </c>
      <c r="H252" s="294">
        <v>5.8400000000000001E-2</v>
      </c>
      <c r="I252" s="256">
        <v>29.2</v>
      </c>
      <c r="J252" s="256">
        <v>6.87</v>
      </c>
      <c r="K252" s="256"/>
      <c r="L252" s="256"/>
      <c r="M252" s="293">
        <v>45778</v>
      </c>
      <c r="N252" s="294">
        <v>5.8400000000000001E-2</v>
      </c>
      <c r="O252" s="256">
        <v>30.9</v>
      </c>
      <c r="P252" s="256">
        <v>7.27</v>
      </c>
      <c r="Q252" s="256"/>
      <c r="R252" s="256"/>
      <c r="S252" s="293">
        <v>46143</v>
      </c>
      <c r="T252" s="294">
        <v>5.8400000000000001E-2</v>
      </c>
      <c r="U252" s="256">
        <v>32.71</v>
      </c>
      <c r="V252" s="256">
        <v>7.82</v>
      </c>
      <c r="W252" s="256"/>
      <c r="X252" s="256"/>
      <c r="Y252" s="293">
        <v>46508</v>
      </c>
      <c r="Z252" s="294">
        <v>5.8400000000000001E-2</v>
      </c>
      <c r="AA252" s="256">
        <v>34.619999999999997</v>
      </c>
      <c r="AB252" s="256">
        <v>8.7100000000000009</v>
      </c>
      <c r="AC252" s="256"/>
      <c r="AD252" s="256"/>
      <c r="AE252" s="293">
        <v>46874</v>
      </c>
      <c r="AF252" s="294">
        <v>5.8400000000000001E-2</v>
      </c>
      <c r="AG252" s="256">
        <v>36.64</v>
      </c>
      <c r="AH252" s="256">
        <v>10.17</v>
      </c>
      <c r="AI252" s="256"/>
      <c r="AJ252" s="257"/>
      <c r="AK252" s="296">
        <f>'Encargos e Benefícios'!D251</f>
        <v>2600</v>
      </c>
      <c r="AL252" s="296">
        <f>IF('Encargos e Benefícios'!C251=0,0,'Encargos e Benefícios'!U251/'Encargos e Benefícios'!C251)</f>
        <v>2114.088888888889</v>
      </c>
      <c r="AM252" s="296">
        <f>IF('Encargos e Benefícios'!C251=0,0,'Encargos e Benefícios'!AC251/'Encargos e Benefícios'!C251)</f>
        <v>929.29</v>
      </c>
      <c r="AN252" s="297">
        <f>IF('Encargos e Benefícios'!C251=0,0,'Encargos e Benefícios'!AD251/'Encargos e Benefícios'!C251)</f>
        <v>5643.3788888888894</v>
      </c>
      <c r="AO252" s="188">
        <v>3202.11</v>
      </c>
      <c r="AP252" s="298">
        <v>1700</v>
      </c>
      <c r="AQ252" s="298">
        <v>4704.22</v>
      </c>
      <c r="AR252" s="299" t="s">
        <v>118</v>
      </c>
      <c r="AS252" s="188"/>
    </row>
    <row r="253" spans="1:45">
      <c r="A253" s="286">
        <v>247</v>
      </c>
      <c r="B253" s="81" t="str">
        <f>'Encargos e Benefícios'!B252</f>
        <v>Terapeuta Ocupacional</v>
      </c>
      <c r="C253" s="287">
        <f>'Encargos e Benefícios'!C252</f>
        <v>1</v>
      </c>
      <c r="D253" s="288">
        <v>30</v>
      </c>
      <c r="E253" s="300">
        <v>45261</v>
      </c>
      <c r="F253" s="301">
        <v>47058</v>
      </c>
      <c r="G253" s="293">
        <v>45413</v>
      </c>
      <c r="H253" s="294">
        <v>5.8400000000000001E-2</v>
      </c>
      <c r="I253" s="256">
        <v>29.2</v>
      </c>
      <c r="J253" s="256">
        <v>6.87</v>
      </c>
      <c r="K253" s="256"/>
      <c r="L253" s="256"/>
      <c r="M253" s="293">
        <v>45778</v>
      </c>
      <c r="N253" s="294">
        <v>5.8400000000000001E-2</v>
      </c>
      <c r="O253" s="256">
        <v>30.9</v>
      </c>
      <c r="P253" s="256">
        <v>7.27</v>
      </c>
      <c r="Q253" s="256"/>
      <c r="R253" s="256"/>
      <c r="S253" s="293">
        <v>46143</v>
      </c>
      <c r="T253" s="294">
        <v>5.8400000000000001E-2</v>
      </c>
      <c r="U253" s="256">
        <v>32.71</v>
      </c>
      <c r="V253" s="256">
        <v>7.82</v>
      </c>
      <c r="W253" s="256"/>
      <c r="X253" s="256"/>
      <c r="Y253" s="293">
        <v>46508</v>
      </c>
      <c r="Z253" s="294">
        <v>5.8400000000000001E-2</v>
      </c>
      <c r="AA253" s="256">
        <v>34.619999999999997</v>
      </c>
      <c r="AB253" s="256">
        <v>8.7100000000000009</v>
      </c>
      <c r="AC253" s="256"/>
      <c r="AD253" s="256"/>
      <c r="AE253" s="293">
        <v>46874</v>
      </c>
      <c r="AF253" s="294">
        <v>5.8400000000000001E-2</v>
      </c>
      <c r="AG253" s="256">
        <v>36.64</v>
      </c>
      <c r="AH253" s="256">
        <v>10.17</v>
      </c>
      <c r="AI253" s="256"/>
      <c r="AJ253" s="257"/>
      <c r="AK253" s="296">
        <f>'Encargos e Benefícios'!D252</f>
        <v>2600</v>
      </c>
      <c r="AL253" s="296">
        <f>IF('Encargos e Benefícios'!C252=0,0,'Encargos e Benefícios'!U252/'Encargos e Benefícios'!C252)</f>
        <v>2114.088888888889</v>
      </c>
      <c r="AM253" s="296">
        <f>IF('Encargos e Benefícios'!C252=0,0,'Encargos e Benefícios'!AC252/'Encargos e Benefícios'!C252)</f>
        <v>929.29</v>
      </c>
      <c r="AN253" s="297">
        <f>IF('Encargos e Benefícios'!C252=0,0,'Encargos e Benefícios'!AD252/'Encargos e Benefícios'!C252)</f>
        <v>5643.3788888888894</v>
      </c>
      <c r="AO253" s="188">
        <v>3478.27</v>
      </c>
      <c r="AP253" s="298">
        <v>2252.3200000000002</v>
      </c>
      <c r="AQ253" s="298">
        <v>4704.22</v>
      </c>
      <c r="AR253" s="299" t="s">
        <v>118</v>
      </c>
      <c r="AS253" s="188"/>
    </row>
    <row r="254" spans="1:45">
      <c r="A254" s="286">
        <v>248</v>
      </c>
      <c r="B254" s="81" t="str">
        <f>'Encargos e Benefícios'!B253</f>
        <v>Administrativo</v>
      </c>
      <c r="C254" s="287">
        <f>'Encargos e Benefícios'!C253</f>
        <v>1</v>
      </c>
      <c r="D254" s="288">
        <v>40</v>
      </c>
      <c r="E254" s="300">
        <v>45261</v>
      </c>
      <c r="F254" s="301">
        <v>47058</v>
      </c>
      <c r="G254" s="293">
        <v>45413</v>
      </c>
      <c r="H254" s="294">
        <v>5.8400000000000001E-2</v>
      </c>
      <c r="I254" s="256">
        <v>29.2</v>
      </c>
      <c r="J254" s="256">
        <v>6.87</v>
      </c>
      <c r="K254" s="256"/>
      <c r="L254" s="256"/>
      <c r="M254" s="293">
        <v>45778</v>
      </c>
      <c r="N254" s="294">
        <v>5.8400000000000001E-2</v>
      </c>
      <c r="O254" s="256">
        <v>30.9</v>
      </c>
      <c r="P254" s="256">
        <v>7.27</v>
      </c>
      <c r="Q254" s="256"/>
      <c r="R254" s="256"/>
      <c r="S254" s="293">
        <v>46143</v>
      </c>
      <c r="T254" s="294">
        <v>5.8400000000000001E-2</v>
      </c>
      <c r="U254" s="256">
        <v>32.71</v>
      </c>
      <c r="V254" s="256">
        <v>7.82</v>
      </c>
      <c r="W254" s="256"/>
      <c r="X254" s="256"/>
      <c r="Y254" s="293">
        <v>46508</v>
      </c>
      <c r="Z254" s="294">
        <v>5.8400000000000001E-2</v>
      </c>
      <c r="AA254" s="256">
        <v>34.619999999999997</v>
      </c>
      <c r="AB254" s="256">
        <v>8.7100000000000009</v>
      </c>
      <c r="AC254" s="256"/>
      <c r="AD254" s="256"/>
      <c r="AE254" s="293">
        <v>46874</v>
      </c>
      <c r="AF254" s="294">
        <v>5.8400000000000001E-2</v>
      </c>
      <c r="AG254" s="256">
        <v>36.64</v>
      </c>
      <c r="AH254" s="256">
        <v>10.17</v>
      </c>
      <c r="AI254" s="256"/>
      <c r="AJ254" s="257"/>
      <c r="AK254" s="296">
        <f>'Encargos e Benefícios'!D253</f>
        <v>1750</v>
      </c>
      <c r="AL254" s="296">
        <f>IF('Encargos e Benefícios'!C253=0,0,'Encargos e Benefícios'!U253/'Encargos e Benefícios'!C253)</f>
        <v>1422.9444444444443</v>
      </c>
      <c r="AM254" s="296">
        <f>IF('Encargos e Benefícios'!C253=0,0,'Encargos e Benefícios'!AC253/'Encargos e Benefícios'!C253)</f>
        <v>929.29</v>
      </c>
      <c r="AN254" s="297">
        <f>IF('Encargos e Benefícios'!C253=0,0,'Encargos e Benefícios'!AD253/'Encargos e Benefícios'!C253)</f>
        <v>4102.2344444444443</v>
      </c>
      <c r="AO254" s="188">
        <v>1786.2</v>
      </c>
      <c r="AP254" s="298">
        <v>1352.9</v>
      </c>
      <c r="AQ254" s="298">
        <v>2219.4899999999998</v>
      </c>
      <c r="AR254" s="299" t="s">
        <v>118</v>
      </c>
      <c r="AS254" s="188"/>
    </row>
    <row r="255" spans="1:45">
      <c r="A255" s="286">
        <v>249</v>
      </c>
      <c r="B255" s="81" t="str">
        <f>'Encargos e Benefícios'!B254</f>
        <v>Auxiliar Educacional</v>
      </c>
      <c r="C255" s="287">
        <f>'Encargos e Benefícios'!C254</f>
        <v>1</v>
      </c>
      <c r="D255" s="288">
        <v>30</v>
      </c>
      <c r="E255" s="300">
        <v>45261</v>
      </c>
      <c r="F255" s="301">
        <v>47058</v>
      </c>
      <c r="G255" s="293">
        <v>45413</v>
      </c>
      <c r="H255" s="294">
        <v>5.8400000000000001E-2</v>
      </c>
      <c r="I255" s="256">
        <v>29.2</v>
      </c>
      <c r="J255" s="256">
        <v>6.87</v>
      </c>
      <c r="K255" s="256"/>
      <c r="L255" s="256"/>
      <c r="M255" s="293">
        <v>45778</v>
      </c>
      <c r="N255" s="294">
        <v>5.8400000000000001E-2</v>
      </c>
      <c r="O255" s="256">
        <v>30.9</v>
      </c>
      <c r="P255" s="256">
        <v>7.27</v>
      </c>
      <c r="Q255" s="256"/>
      <c r="R255" s="256"/>
      <c r="S255" s="293">
        <v>46143</v>
      </c>
      <c r="T255" s="294">
        <v>5.8400000000000001E-2</v>
      </c>
      <c r="U255" s="256">
        <v>32.71</v>
      </c>
      <c r="V255" s="256">
        <v>7.82</v>
      </c>
      <c r="W255" s="256"/>
      <c r="X255" s="256"/>
      <c r="Y255" s="293">
        <v>46508</v>
      </c>
      <c r="Z255" s="294">
        <v>5.8400000000000001E-2</v>
      </c>
      <c r="AA255" s="256">
        <v>34.619999999999997</v>
      </c>
      <c r="AB255" s="256">
        <v>8.7100000000000009</v>
      </c>
      <c r="AC255" s="256"/>
      <c r="AD255" s="256"/>
      <c r="AE255" s="293">
        <v>46874</v>
      </c>
      <c r="AF255" s="294">
        <v>5.8400000000000001E-2</v>
      </c>
      <c r="AG255" s="256">
        <v>36.64</v>
      </c>
      <c r="AH255" s="256">
        <v>10.17</v>
      </c>
      <c r="AI255" s="256"/>
      <c r="AJ255" s="257"/>
      <c r="AK255" s="296">
        <f>'Encargos e Benefícios'!D254</f>
        <v>1642</v>
      </c>
      <c r="AL255" s="296">
        <f>IF('Encargos e Benefícios'!C254=0,0,'Encargos e Benefícios'!U254/'Encargos e Benefícios'!C254)</f>
        <v>1335.1284444444443</v>
      </c>
      <c r="AM255" s="296">
        <f>IF('Encargos e Benefícios'!C254=0,0,'Encargos e Benefícios'!AC254/'Encargos e Benefícios'!C254)</f>
        <v>929.29</v>
      </c>
      <c r="AN255" s="297">
        <f>IF('Encargos e Benefícios'!C254=0,0,'Encargos e Benefícios'!AD254/'Encargos e Benefícios'!C254)</f>
        <v>3906.4184444444445</v>
      </c>
      <c r="AO255" s="188">
        <v>1756.04</v>
      </c>
      <c r="AP255" s="298">
        <v>1400</v>
      </c>
      <c r="AQ255" s="298">
        <v>2112.08</v>
      </c>
      <c r="AR255" s="299" t="s">
        <v>118</v>
      </c>
      <c r="AS255" s="188"/>
    </row>
    <row r="256" spans="1:45">
      <c r="A256" s="286">
        <v>250</v>
      </c>
      <c r="B256" s="81" t="str">
        <f>'Encargos e Benefícios'!B255</f>
        <v>Auxiliar de Serviços Gerais</v>
      </c>
      <c r="C256" s="287">
        <f>'Encargos e Benefícios'!C255</f>
        <v>1</v>
      </c>
      <c r="D256" s="288">
        <v>30</v>
      </c>
      <c r="E256" s="300">
        <v>45261</v>
      </c>
      <c r="F256" s="301">
        <v>47058</v>
      </c>
      <c r="G256" s="293">
        <v>45413</v>
      </c>
      <c r="H256" s="294">
        <v>5.8400000000000001E-2</v>
      </c>
      <c r="I256" s="256">
        <v>29.2</v>
      </c>
      <c r="J256" s="256">
        <v>6.87</v>
      </c>
      <c r="K256" s="256"/>
      <c r="L256" s="256"/>
      <c r="M256" s="293">
        <v>45778</v>
      </c>
      <c r="N256" s="294">
        <v>5.8400000000000001E-2</v>
      </c>
      <c r="O256" s="256">
        <v>30.9</v>
      </c>
      <c r="P256" s="256">
        <v>7.27</v>
      </c>
      <c r="Q256" s="256"/>
      <c r="R256" s="256"/>
      <c r="S256" s="293">
        <v>46143</v>
      </c>
      <c r="T256" s="294">
        <v>5.8400000000000001E-2</v>
      </c>
      <c r="U256" s="256">
        <v>32.71</v>
      </c>
      <c r="V256" s="256">
        <v>7.82</v>
      </c>
      <c r="W256" s="256"/>
      <c r="X256" s="256"/>
      <c r="Y256" s="293">
        <v>46508</v>
      </c>
      <c r="Z256" s="294">
        <v>5.8400000000000001E-2</v>
      </c>
      <c r="AA256" s="256">
        <v>34.619999999999997</v>
      </c>
      <c r="AB256" s="256">
        <v>8.7100000000000009</v>
      </c>
      <c r="AC256" s="256"/>
      <c r="AD256" s="256"/>
      <c r="AE256" s="293">
        <v>46874</v>
      </c>
      <c r="AF256" s="294">
        <v>5.8400000000000001E-2</v>
      </c>
      <c r="AG256" s="256">
        <v>36.64</v>
      </c>
      <c r="AH256" s="256">
        <v>10.17</v>
      </c>
      <c r="AI256" s="256"/>
      <c r="AJ256" s="257"/>
      <c r="AK256" s="296">
        <f>'Encargos e Benefícios'!D255</f>
        <v>1385</v>
      </c>
      <c r="AL256" s="296">
        <f>IF('Encargos e Benefícios'!C255=0,0,'Encargos e Benefícios'!U255/'Encargos e Benefícios'!C255)</f>
        <v>1126.1588888888887</v>
      </c>
      <c r="AM256" s="296">
        <f>IF('Encargos e Benefícios'!C255=0,0,'Encargos e Benefícios'!AC255/'Encargos e Benefícios'!C255)</f>
        <v>929.29</v>
      </c>
      <c r="AN256" s="297">
        <f>IF('Encargos e Benefícios'!C255=0,0,'Encargos e Benefícios'!AD255/'Encargos e Benefícios'!C255)</f>
        <v>3440.4488888888886</v>
      </c>
      <c r="AO256" s="188">
        <v>1380.2</v>
      </c>
      <c r="AP256" s="298">
        <v>1320</v>
      </c>
      <c r="AQ256" s="298">
        <v>1440.4</v>
      </c>
      <c r="AR256" s="299" t="s">
        <v>118</v>
      </c>
      <c r="AS256" s="188"/>
    </row>
    <row r="257" spans="1:45">
      <c r="A257" s="286">
        <v>251</v>
      </c>
      <c r="B257" s="81" t="str">
        <f>'Encargos e Benefícios'!B256</f>
        <v>Motorista</v>
      </c>
      <c r="C257" s="287">
        <f>'Encargos e Benefícios'!C256</f>
        <v>1</v>
      </c>
      <c r="D257" s="288">
        <v>40</v>
      </c>
      <c r="E257" s="300">
        <v>45261</v>
      </c>
      <c r="F257" s="301">
        <v>47058</v>
      </c>
      <c r="G257" s="293">
        <v>45413</v>
      </c>
      <c r="H257" s="294">
        <v>5.8400000000000001E-2</v>
      </c>
      <c r="I257" s="256">
        <v>29.2</v>
      </c>
      <c r="J257" s="256">
        <v>6.87</v>
      </c>
      <c r="K257" s="256"/>
      <c r="L257" s="256"/>
      <c r="M257" s="293">
        <v>45778</v>
      </c>
      <c r="N257" s="294">
        <v>5.8400000000000001E-2</v>
      </c>
      <c r="O257" s="256">
        <v>30.9</v>
      </c>
      <c r="P257" s="256">
        <v>7.27</v>
      </c>
      <c r="Q257" s="256"/>
      <c r="R257" s="256"/>
      <c r="S257" s="293">
        <v>46143</v>
      </c>
      <c r="T257" s="294">
        <v>5.8400000000000001E-2</v>
      </c>
      <c r="U257" s="256">
        <v>32.71</v>
      </c>
      <c r="V257" s="256">
        <v>7.82</v>
      </c>
      <c r="W257" s="256"/>
      <c r="X257" s="256"/>
      <c r="Y257" s="293">
        <v>46508</v>
      </c>
      <c r="Z257" s="294">
        <v>5.8400000000000001E-2</v>
      </c>
      <c r="AA257" s="256">
        <v>34.619999999999997</v>
      </c>
      <c r="AB257" s="256">
        <v>8.7100000000000009</v>
      </c>
      <c r="AC257" s="256"/>
      <c r="AD257" s="256"/>
      <c r="AE257" s="293">
        <v>46874</v>
      </c>
      <c r="AF257" s="294">
        <v>5.8400000000000001E-2</v>
      </c>
      <c r="AG257" s="256">
        <v>36.64</v>
      </c>
      <c r="AH257" s="256">
        <v>10.17</v>
      </c>
      <c r="AI257" s="256"/>
      <c r="AJ257" s="257"/>
      <c r="AK257" s="296">
        <f>'Encargos e Benefícios'!D256</f>
        <v>1452.39</v>
      </c>
      <c r="AL257" s="296">
        <f>IF('Encargos e Benefícios'!C256=0,0,'Encargos e Benefícios'!U256/'Encargos e Benefícios'!C256)</f>
        <v>1180.9544466666669</v>
      </c>
      <c r="AM257" s="296">
        <f>IF('Encargos e Benefícios'!C256=0,0,'Encargos e Benefícios'!AC256/'Encargos e Benefícios'!C256)</f>
        <v>929.29</v>
      </c>
      <c r="AN257" s="297">
        <f>IF('Encargos e Benefícios'!C256=0,0,'Encargos e Benefícios'!AD256/'Encargos e Benefícios'!C256)</f>
        <v>3562.6344466666669</v>
      </c>
      <c r="AO257" s="188">
        <v>1676.09</v>
      </c>
      <c r="AP257" s="298">
        <v>1377.85</v>
      </c>
      <c r="AQ257" s="298">
        <v>1974.32</v>
      </c>
      <c r="AR257" s="299" t="s">
        <v>118</v>
      </c>
      <c r="AS257" s="188"/>
    </row>
    <row r="258" spans="1:45">
      <c r="A258" s="286">
        <v>252</v>
      </c>
      <c r="B258" s="81" t="str">
        <f>'Encargos e Benefícios'!B257</f>
        <v>Socioeducador - DC</v>
      </c>
      <c r="C258" s="287">
        <f>'Encargos e Benefícios'!C257</f>
        <v>2</v>
      </c>
      <c r="D258" s="288" t="s">
        <v>504</v>
      </c>
      <c r="E258" s="300">
        <v>45261</v>
      </c>
      <c r="F258" s="301">
        <v>47058</v>
      </c>
      <c r="G258" s="293">
        <v>45413</v>
      </c>
      <c r="H258" s="294">
        <v>5.8400000000000001E-2</v>
      </c>
      <c r="I258" s="256">
        <v>29.2</v>
      </c>
      <c r="J258" s="256">
        <v>6.87</v>
      </c>
      <c r="K258" s="256"/>
      <c r="L258" s="256"/>
      <c r="M258" s="293">
        <v>45778</v>
      </c>
      <c r="N258" s="294">
        <v>5.8400000000000001E-2</v>
      </c>
      <c r="O258" s="256">
        <v>30.9</v>
      </c>
      <c r="P258" s="256">
        <v>7.27</v>
      </c>
      <c r="Q258" s="256"/>
      <c r="R258" s="256"/>
      <c r="S258" s="293">
        <v>46143</v>
      </c>
      <c r="T258" s="294">
        <v>5.8400000000000001E-2</v>
      </c>
      <c r="U258" s="256">
        <v>32.71</v>
      </c>
      <c r="V258" s="256">
        <v>7.82</v>
      </c>
      <c r="W258" s="256"/>
      <c r="X258" s="256"/>
      <c r="Y258" s="293">
        <v>46508</v>
      </c>
      <c r="Z258" s="294">
        <v>5.8400000000000001E-2</v>
      </c>
      <c r="AA258" s="256">
        <v>34.619999999999997</v>
      </c>
      <c r="AB258" s="256">
        <v>8.7100000000000009</v>
      </c>
      <c r="AC258" s="256"/>
      <c r="AD258" s="256"/>
      <c r="AE258" s="293">
        <v>46874</v>
      </c>
      <c r="AF258" s="294">
        <v>5.8400000000000001E-2</v>
      </c>
      <c r="AG258" s="256">
        <v>36.64</v>
      </c>
      <c r="AH258" s="256">
        <v>10.17</v>
      </c>
      <c r="AI258" s="256"/>
      <c r="AJ258" s="257"/>
      <c r="AK258" s="296">
        <f>'Encargos e Benefícios'!D257</f>
        <v>1900</v>
      </c>
      <c r="AL258" s="296">
        <f>IF('Encargos e Benefícios'!C257=0,0,'Encargos e Benefícios'!U257/'Encargos e Benefícios'!C257)</f>
        <v>2544.7966666666666</v>
      </c>
      <c r="AM258" s="296">
        <f>IF('Encargos e Benefícios'!C257=0,0,'Encargos e Benefícios'!AC257/'Encargos e Benefícios'!C257)</f>
        <v>446.88</v>
      </c>
      <c r="AN258" s="297">
        <f>IF('Encargos e Benefícios'!C257=0,0,'Encargos e Benefícios'!AD257/'Encargos e Benefícios'!C257)</f>
        <v>4891.6766666666672</v>
      </c>
      <c r="AO258" s="188">
        <v>3219.15</v>
      </c>
      <c r="AP258" s="298">
        <v>1764.5</v>
      </c>
      <c r="AQ258" s="298">
        <v>4673.8</v>
      </c>
      <c r="AR258" s="299" t="s">
        <v>118</v>
      </c>
      <c r="AS258" s="188"/>
    </row>
    <row r="259" spans="1:45">
      <c r="A259" s="286">
        <v>253</v>
      </c>
      <c r="B259" s="81" t="str">
        <f>'Encargos e Benefícios'!B258</f>
        <v>Socioeducador - D</v>
      </c>
      <c r="C259" s="287">
        <f>'Encargos e Benefícios'!C258</f>
        <v>12</v>
      </c>
      <c r="D259" s="288" t="s">
        <v>504</v>
      </c>
      <c r="E259" s="300">
        <v>45261</v>
      </c>
      <c r="F259" s="301">
        <v>47058</v>
      </c>
      <c r="G259" s="293">
        <v>45413</v>
      </c>
      <c r="H259" s="294">
        <v>5.8400000000000001E-2</v>
      </c>
      <c r="I259" s="256">
        <v>29.2</v>
      </c>
      <c r="J259" s="256">
        <v>6.87</v>
      </c>
      <c r="K259" s="256"/>
      <c r="L259" s="256"/>
      <c r="M259" s="293">
        <v>45778</v>
      </c>
      <c r="N259" s="294">
        <v>5.8400000000000001E-2</v>
      </c>
      <c r="O259" s="256">
        <v>30.9</v>
      </c>
      <c r="P259" s="256">
        <v>7.27</v>
      </c>
      <c r="Q259" s="256"/>
      <c r="R259" s="256"/>
      <c r="S259" s="293">
        <v>46143</v>
      </c>
      <c r="T259" s="294">
        <v>5.8400000000000001E-2</v>
      </c>
      <c r="U259" s="256">
        <v>32.71</v>
      </c>
      <c r="V259" s="256">
        <v>7.82</v>
      </c>
      <c r="W259" s="256"/>
      <c r="X259" s="256"/>
      <c r="Y259" s="293">
        <v>46508</v>
      </c>
      <c r="Z259" s="294">
        <v>5.8400000000000001E-2</v>
      </c>
      <c r="AA259" s="256">
        <v>34.619999999999997</v>
      </c>
      <c r="AB259" s="256">
        <v>8.7100000000000009</v>
      </c>
      <c r="AC259" s="256"/>
      <c r="AD259" s="256"/>
      <c r="AE259" s="293">
        <v>46874</v>
      </c>
      <c r="AF259" s="294">
        <v>5.8400000000000001E-2</v>
      </c>
      <c r="AG259" s="256">
        <v>36.64</v>
      </c>
      <c r="AH259" s="256">
        <v>10.17</v>
      </c>
      <c r="AI259" s="256"/>
      <c r="AJ259" s="257"/>
      <c r="AK259" s="296">
        <f>'Encargos e Benefícios'!D258</f>
        <v>1900</v>
      </c>
      <c r="AL259" s="296">
        <f>IF('Encargos e Benefícios'!C258=0,0,'Encargos e Benefícios'!U258/'Encargos e Benefícios'!C258)</f>
        <v>2281.7944444444447</v>
      </c>
      <c r="AM259" s="296">
        <f>IF('Encargos e Benefícios'!C258=0,0,'Encargos e Benefícios'!AC258/'Encargos e Benefícios'!C258)</f>
        <v>74.48</v>
      </c>
      <c r="AN259" s="297">
        <f>IF('Encargos e Benefícios'!C258=0,0,'Encargos e Benefícios'!AD258/'Encargos e Benefícios'!C258)</f>
        <v>4256.2744444444452</v>
      </c>
      <c r="AO259" s="188">
        <v>3219.15</v>
      </c>
      <c r="AP259" s="298">
        <v>1764.5</v>
      </c>
      <c r="AQ259" s="298">
        <v>4673.8</v>
      </c>
      <c r="AR259" s="299" t="s">
        <v>118</v>
      </c>
      <c r="AS259" s="188"/>
    </row>
    <row r="260" spans="1:45">
      <c r="A260" s="286">
        <v>254</v>
      </c>
      <c r="B260" s="81" t="str">
        <f>'Encargos e Benefícios'!B259</f>
        <v>Socioeducador - NC</v>
      </c>
      <c r="C260" s="287">
        <f>'Encargos e Benefícios'!C259</f>
        <v>2</v>
      </c>
      <c r="D260" s="288" t="s">
        <v>504</v>
      </c>
      <c r="E260" s="300">
        <v>45261</v>
      </c>
      <c r="F260" s="301">
        <v>47058</v>
      </c>
      <c r="G260" s="293">
        <v>45413</v>
      </c>
      <c r="H260" s="294">
        <v>5.8400000000000001E-2</v>
      </c>
      <c r="I260" s="256">
        <v>29.2</v>
      </c>
      <c r="J260" s="256">
        <v>6.87</v>
      </c>
      <c r="K260" s="256"/>
      <c r="L260" s="256"/>
      <c r="M260" s="293">
        <v>45778</v>
      </c>
      <c r="N260" s="294">
        <v>5.8400000000000001E-2</v>
      </c>
      <c r="O260" s="256">
        <v>30.9</v>
      </c>
      <c r="P260" s="256">
        <v>7.27</v>
      </c>
      <c r="Q260" s="256"/>
      <c r="R260" s="256"/>
      <c r="S260" s="293">
        <v>46143</v>
      </c>
      <c r="T260" s="294">
        <v>5.8400000000000001E-2</v>
      </c>
      <c r="U260" s="256">
        <v>32.71</v>
      </c>
      <c r="V260" s="256">
        <v>7.82</v>
      </c>
      <c r="W260" s="256"/>
      <c r="X260" s="256"/>
      <c r="Y260" s="293">
        <v>46508</v>
      </c>
      <c r="Z260" s="294">
        <v>5.8400000000000001E-2</v>
      </c>
      <c r="AA260" s="256">
        <v>34.619999999999997</v>
      </c>
      <c r="AB260" s="256">
        <v>8.7100000000000009</v>
      </c>
      <c r="AC260" s="256"/>
      <c r="AD260" s="256"/>
      <c r="AE260" s="293">
        <v>46874</v>
      </c>
      <c r="AF260" s="294">
        <v>5.8400000000000001E-2</v>
      </c>
      <c r="AG260" s="256">
        <v>36.64</v>
      </c>
      <c r="AH260" s="256">
        <v>10.17</v>
      </c>
      <c r="AI260" s="256"/>
      <c r="AJ260" s="257"/>
      <c r="AK260" s="296">
        <f>'Encargos e Benefícios'!D259</f>
        <v>1900</v>
      </c>
      <c r="AL260" s="296">
        <f>IF('Encargos e Benefícios'!C259=0,0,'Encargos e Benefícios'!U259/'Encargos e Benefícios'!C259)</f>
        <v>3013.1818518518517</v>
      </c>
      <c r="AM260" s="296">
        <f>IF('Encargos e Benefícios'!C259=0,0,'Encargos e Benefícios'!AC259/'Encargos e Benefícios'!C259)</f>
        <v>446.88</v>
      </c>
      <c r="AN260" s="297">
        <f>IF('Encargos e Benefícios'!C259=0,0,'Encargos e Benefícios'!AD259/'Encargos e Benefícios'!C259)</f>
        <v>5360.0618518518522</v>
      </c>
      <c r="AO260" s="188">
        <v>3219.15</v>
      </c>
      <c r="AP260" s="298">
        <v>1764.5</v>
      </c>
      <c r="AQ260" s="298">
        <v>4673.8</v>
      </c>
      <c r="AR260" s="299" t="s">
        <v>118</v>
      </c>
      <c r="AS260" s="188"/>
    </row>
    <row r="261" spans="1:45" ht="13.5" thickBot="1">
      <c r="A261" s="286">
        <v>255</v>
      </c>
      <c r="B261" s="81" t="str">
        <f>'Encargos e Benefícios'!B260</f>
        <v>Socioeducador - N</v>
      </c>
      <c r="C261" s="287">
        <f>'Encargos e Benefícios'!C260</f>
        <v>6</v>
      </c>
      <c r="D261" s="288" t="s">
        <v>504</v>
      </c>
      <c r="E261" s="300">
        <v>45261</v>
      </c>
      <c r="F261" s="301">
        <v>47058</v>
      </c>
      <c r="G261" s="293">
        <v>45413</v>
      </c>
      <c r="H261" s="294">
        <v>5.8400000000000001E-2</v>
      </c>
      <c r="I261" s="256">
        <v>29.2</v>
      </c>
      <c r="J261" s="256">
        <v>6.87</v>
      </c>
      <c r="K261" s="256"/>
      <c r="L261" s="256"/>
      <c r="M261" s="293">
        <v>45778</v>
      </c>
      <c r="N261" s="294">
        <v>5.8400000000000001E-2</v>
      </c>
      <c r="O261" s="256">
        <v>30.9</v>
      </c>
      <c r="P261" s="256">
        <v>7.27</v>
      </c>
      <c r="Q261" s="256"/>
      <c r="R261" s="256"/>
      <c r="S261" s="293">
        <v>46143</v>
      </c>
      <c r="T261" s="294">
        <v>5.8400000000000001E-2</v>
      </c>
      <c r="U261" s="256">
        <v>32.71</v>
      </c>
      <c r="V261" s="256">
        <v>7.82</v>
      </c>
      <c r="W261" s="256"/>
      <c r="X261" s="256"/>
      <c r="Y261" s="293">
        <v>46508</v>
      </c>
      <c r="Z261" s="294">
        <v>5.8400000000000001E-2</v>
      </c>
      <c r="AA261" s="256">
        <v>34.619999999999997</v>
      </c>
      <c r="AB261" s="256">
        <v>8.7100000000000009</v>
      </c>
      <c r="AC261" s="256"/>
      <c r="AD261" s="256"/>
      <c r="AE261" s="293">
        <v>46874</v>
      </c>
      <c r="AF261" s="294">
        <v>5.8400000000000001E-2</v>
      </c>
      <c r="AG261" s="256">
        <v>36.64</v>
      </c>
      <c r="AH261" s="256">
        <v>10.17</v>
      </c>
      <c r="AI261" s="256"/>
      <c r="AJ261" s="257"/>
      <c r="AK261" s="296">
        <f>'Encargos e Benefícios'!D260</f>
        <v>1900</v>
      </c>
      <c r="AL261" s="296">
        <f>IF('Encargos e Benefícios'!C260=0,0,'Encargos e Benefícios'!U260/'Encargos e Benefícios'!C260)</f>
        <v>2750.1796296296302</v>
      </c>
      <c r="AM261" s="296">
        <f>IF('Encargos e Benefícios'!C260=0,0,'Encargos e Benefícios'!AC260/'Encargos e Benefícios'!C260)</f>
        <v>148.96</v>
      </c>
      <c r="AN261" s="297">
        <f>IF('Encargos e Benefícios'!C260=0,0,'Encargos e Benefícios'!AD260/'Encargos e Benefícios'!C260)</f>
        <v>4799.1396296296298</v>
      </c>
      <c r="AO261" s="188">
        <v>3219.15</v>
      </c>
      <c r="AP261" s="298">
        <v>1764.5</v>
      </c>
      <c r="AQ261" s="298">
        <v>4673.8</v>
      </c>
      <c r="AR261" s="299" t="s">
        <v>118</v>
      </c>
      <c r="AS261" s="188"/>
    </row>
    <row r="262" spans="1:45">
      <c r="A262" s="286">
        <v>256</v>
      </c>
      <c r="B262" s="81" t="str">
        <f>'Encargos e Benefícios'!B261</f>
        <v>Diretor Geral de Unidade Socioeducativa</v>
      </c>
      <c r="C262" s="287">
        <f>'Encargos e Benefícios'!C261</f>
        <v>1</v>
      </c>
      <c r="D262" s="288">
        <v>40</v>
      </c>
      <c r="E262" s="289">
        <v>45261</v>
      </c>
      <c r="F262" s="290">
        <v>47058</v>
      </c>
      <c r="G262" s="293">
        <v>45413</v>
      </c>
      <c r="H262" s="294">
        <v>5.8400000000000001E-2</v>
      </c>
      <c r="I262" s="256">
        <v>29.2</v>
      </c>
      <c r="J262" s="256">
        <v>6.87</v>
      </c>
      <c r="K262" s="256"/>
      <c r="L262" s="256"/>
      <c r="M262" s="293">
        <v>45778</v>
      </c>
      <c r="N262" s="294">
        <v>5.8400000000000001E-2</v>
      </c>
      <c r="O262" s="256">
        <v>30.9</v>
      </c>
      <c r="P262" s="256">
        <v>7.27</v>
      </c>
      <c r="Q262" s="256"/>
      <c r="R262" s="256"/>
      <c r="S262" s="293">
        <v>46143</v>
      </c>
      <c r="T262" s="294">
        <v>5.8400000000000001E-2</v>
      </c>
      <c r="U262" s="256">
        <v>32.71</v>
      </c>
      <c r="V262" s="256">
        <v>7.82</v>
      </c>
      <c r="W262" s="256"/>
      <c r="X262" s="256"/>
      <c r="Y262" s="293">
        <v>46508</v>
      </c>
      <c r="Z262" s="294">
        <v>5.8400000000000001E-2</v>
      </c>
      <c r="AA262" s="256">
        <v>34.619999999999997</v>
      </c>
      <c r="AB262" s="256">
        <v>8.7100000000000009</v>
      </c>
      <c r="AC262" s="256"/>
      <c r="AD262" s="256"/>
      <c r="AE262" s="293">
        <v>46874</v>
      </c>
      <c r="AF262" s="294">
        <v>5.8400000000000001E-2</v>
      </c>
      <c r="AG262" s="256">
        <v>36.64</v>
      </c>
      <c r="AH262" s="256">
        <v>10.17</v>
      </c>
      <c r="AI262" s="256"/>
      <c r="AJ262" s="257"/>
      <c r="AK262" s="296">
        <f>'Encargos e Benefícios'!D261</f>
        <v>6500</v>
      </c>
      <c r="AL262" s="296">
        <f>IF('Encargos e Benefícios'!C261=0,0,'Encargos e Benefícios'!U261/'Encargos e Benefícios'!C261)</f>
        <v>5194.2222222222235</v>
      </c>
      <c r="AM262" s="296">
        <f>IF('Encargos e Benefícios'!C261=0,0,'Encargos e Benefícios'!AC261/'Encargos e Benefícios'!C261)</f>
        <v>817.61999999999989</v>
      </c>
      <c r="AN262" s="297">
        <f>IF('Encargos e Benefícios'!C261=0,0,'Encargos e Benefícios'!AD261/'Encargos e Benefícios'!C261)</f>
        <v>12511.842222222222</v>
      </c>
      <c r="AO262" s="188">
        <v>6052.24</v>
      </c>
      <c r="AP262" s="298">
        <v>4239.6899999999996</v>
      </c>
      <c r="AQ262" s="298">
        <v>7864.78</v>
      </c>
      <c r="AR262" s="299" t="s">
        <v>119</v>
      </c>
      <c r="AS262" s="188"/>
    </row>
    <row r="263" spans="1:45">
      <c r="A263" s="286">
        <v>257</v>
      </c>
      <c r="B263" s="81" t="str">
        <f>'Encargos e Benefícios'!B262</f>
        <v>Subdiretor de Segurança</v>
      </c>
      <c r="C263" s="287">
        <f>'Encargos e Benefícios'!C262</f>
        <v>1</v>
      </c>
      <c r="D263" s="288">
        <v>40</v>
      </c>
      <c r="E263" s="300">
        <v>45261</v>
      </c>
      <c r="F263" s="301">
        <v>47058</v>
      </c>
      <c r="G263" s="293">
        <v>45413</v>
      </c>
      <c r="H263" s="294">
        <v>5.8400000000000001E-2</v>
      </c>
      <c r="I263" s="256">
        <v>29.2</v>
      </c>
      <c r="J263" s="256">
        <v>6.87</v>
      </c>
      <c r="K263" s="256"/>
      <c r="L263" s="256"/>
      <c r="M263" s="293">
        <v>45778</v>
      </c>
      <c r="N263" s="294">
        <v>5.8400000000000001E-2</v>
      </c>
      <c r="O263" s="256">
        <v>30.9</v>
      </c>
      <c r="P263" s="256">
        <v>7.27</v>
      </c>
      <c r="Q263" s="256"/>
      <c r="R263" s="256"/>
      <c r="S263" s="293">
        <v>46143</v>
      </c>
      <c r="T263" s="294">
        <v>5.8400000000000001E-2</v>
      </c>
      <c r="U263" s="256">
        <v>32.71</v>
      </c>
      <c r="V263" s="256">
        <v>7.82</v>
      </c>
      <c r="W263" s="256"/>
      <c r="X263" s="256"/>
      <c r="Y263" s="293">
        <v>46508</v>
      </c>
      <c r="Z263" s="294">
        <v>5.8400000000000001E-2</v>
      </c>
      <c r="AA263" s="256">
        <v>34.619999999999997</v>
      </c>
      <c r="AB263" s="256">
        <v>8.7100000000000009</v>
      </c>
      <c r="AC263" s="256"/>
      <c r="AD263" s="256"/>
      <c r="AE263" s="293">
        <v>46874</v>
      </c>
      <c r="AF263" s="294">
        <v>5.8400000000000001E-2</v>
      </c>
      <c r="AG263" s="256">
        <v>36.64</v>
      </c>
      <c r="AH263" s="256">
        <v>10.17</v>
      </c>
      <c r="AI263" s="256"/>
      <c r="AJ263" s="257"/>
      <c r="AK263" s="296">
        <f>'Encargos e Benefícios'!D262</f>
        <v>3773.6</v>
      </c>
      <c r="AL263" s="296">
        <f>IF('Encargos e Benefícios'!C262=0,0,'Encargos e Benefícios'!U262/'Encargos e Benefícios'!C262)</f>
        <v>4147.6056888888888</v>
      </c>
      <c r="AM263" s="296">
        <f>IF('Encargos e Benefícios'!C262=0,0,'Encargos e Benefícios'!AC262/'Encargos e Benefícios'!C262)</f>
        <v>817.61999999999989</v>
      </c>
      <c r="AN263" s="297">
        <f>IF('Encargos e Benefícios'!C262=0,0,'Encargos e Benefícios'!AD262/'Encargos e Benefícios'!C262)</f>
        <v>8738.82568888889</v>
      </c>
      <c r="AO263" s="188">
        <v>4968.99</v>
      </c>
      <c r="AP263" s="298">
        <v>3773.6</v>
      </c>
      <c r="AQ263" s="298">
        <v>6164.38</v>
      </c>
      <c r="AR263" s="299" t="s">
        <v>119</v>
      </c>
      <c r="AS263" s="188"/>
    </row>
    <row r="264" spans="1:45">
      <c r="A264" s="286">
        <v>258</v>
      </c>
      <c r="B264" s="81" t="str">
        <f>'Encargos e Benefícios'!B263</f>
        <v>Advogado</v>
      </c>
      <c r="C264" s="287">
        <f>'Encargos e Benefícios'!C263</f>
        <v>1</v>
      </c>
      <c r="D264" s="288">
        <v>30</v>
      </c>
      <c r="E264" s="300">
        <v>45261</v>
      </c>
      <c r="F264" s="301">
        <v>47058</v>
      </c>
      <c r="G264" s="293">
        <v>45413</v>
      </c>
      <c r="H264" s="294">
        <v>5.8400000000000001E-2</v>
      </c>
      <c r="I264" s="256">
        <v>29.2</v>
      </c>
      <c r="J264" s="256">
        <v>6.87</v>
      </c>
      <c r="K264" s="256"/>
      <c r="L264" s="256"/>
      <c r="M264" s="293">
        <v>45778</v>
      </c>
      <c r="N264" s="294">
        <v>5.8400000000000001E-2</v>
      </c>
      <c r="O264" s="256">
        <v>30.9</v>
      </c>
      <c r="P264" s="256">
        <v>7.27</v>
      </c>
      <c r="Q264" s="256"/>
      <c r="R264" s="256"/>
      <c r="S264" s="293">
        <v>46143</v>
      </c>
      <c r="T264" s="294">
        <v>5.8400000000000001E-2</v>
      </c>
      <c r="U264" s="256">
        <v>32.71</v>
      </c>
      <c r="V264" s="256">
        <v>7.82</v>
      </c>
      <c r="W264" s="256"/>
      <c r="X264" s="256"/>
      <c r="Y264" s="293">
        <v>46508</v>
      </c>
      <c r="Z264" s="294">
        <v>5.8400000000000001E-2</v>
      </c>
      <c r="AA264" s="256">
        <v>34.619999999999997</v>
      </c>
      <c r="AB264" s="256">
        <v>8.7100000000000009</v>
      </c>
      <c r="AC264" s="256"/>
      <c r="AD264" s="256"/>
      <c r="AE264" s="293">
        <v>46874</v>
      </c>
      <c r="AF264" s="294">
        <v>5.8400000000000001E-2</v>
      </c>
      <c r="AG264" s="256">
        <v>36.64</v>
      </c>
      <c r="AH264" s="256">
        <v>10.17</v>
      </c>
      <c r="AI264" s="256"/>
      <c r="AJ264" s="257"/>
      <c r="AK264" s="296">
        <f>'Encargos e Benefícios'!D263</f>
        <v>2600</v>
      </c>
      <c r="AL264" s="296">
        <f>IF('Encargos e Benefícios'!C263=0,0,'Encargos e Benefícios'!U263/'Encargos e Benefícios'!C263)</f>
        <v>2114.088888888889</v>
      </c>
      <c r="AM264" s="296">
        <f>IF('Encargos e Benefícios'!C263=0,0,'Encargos e Benefícios'!AC263/'Encargos e Benefícios'!C263)</f>
        <v>935.5</v>
      </c>
      <c r="AN264" s="297">
        <f>IF('Encargos e Benefícios'!C263=0,0,'Encargos e Benefícios'!AD263/'Encargos e Benefícios'!C263)</f>
        <v>5649.5888888888894</v>
      </c>
      <c r="AO264" s="188">
        <v>2365.86</v>
      </c>
      <c r="AP264" s="298">
        <v>1700</v>
      </c>
      <c r="AQ264" s="298">
        <v>3031.72</v>
      </c>
      <c r="AR264" s="299" t="s">
        <v>119</v>
      </c>
      <c r="AS264" s="188"/>
    </row>
    <row r="265" spans="1:45">
      <c r="A265" s="286">
        <v>259</v>
      </c>
      <c r="B265" s="81" t="str">
        <f>'Encargos e Benefícios'!B264</f>
        <v>Assistente Social</v>
      </c>
      <c r="C265" s="287">
        <f>'Encargos e Benefícios'!C264</f>
        <v>1</v>
      </c>
      <c r="D265" s="288">
        <v>30</v>
      </c>
      <c r="E265" s="300">
        <v>45261</v>
      </c>
      <c r="F265" s="301">
        <v>47058</v>
      </c>
      <c r="G265" s="293">
        <v>45413</v>
      </c>
      <c r="H265" s="294">
        <v>5.8400000000000001E-2</v>
      </c>
      <c r="I265" s="256">
        <v>29.2</v>
      </c>
      <c r="J265" s="256">
        <v>6.87</v>
      </c>
      <c r="K265" s="256"/>
      <c r="L265" s="256"/>
      <c r="M265" s="293">
        <v>45778</v>
      </c>
      <c r="N265" s="294">
        <v>5.8400000000000001E-2</v>
      </c>
      <c r="O265" s="256">
        <v>30.9</v>
      </c>
      <c r="P265" s="256">
        <v>7.27</v>
      </c>
      <c r="Q265" s="256"/>
      <c r="R265" s="256"/>
      <c r="S265" s="293">
        <v>46143</v>
      </c>
      <c r="T265" s="294">
        <v>5.8400000000000001E-2</v>
      </c>
      <c r="U265" s="256">
        <v>32.71</v>
      </c>
      <c r="V265" s="256">
        <v>7.82</v>
      </c>
      <c r="W265" s="256"/>
      <c r="X265" s="256"/>
      <c r="Y265" s="293">
        <v>46508</v>
      </c>
      <c r="Z265" s="294">
        <v>5.8400000000000001E-2</v>
      </c>
      <c r="AA265" s="256">
        <v>34.619999999999997</v>
      </c>
      <c r="AB265" s="256">
        <v>8.7100000000000009</v>
      </c>
      <c r="AC265" s="256"/>
      <c r="AD265" s="256"/>
      <c r="AE265" s="293">
        <v>46874</v>
      </c>
      <c r="AF265" s="294">
        <v>5.8400000000000001E-2</v>
      </c>
      <c r="AG265" s="256">
        <v>36.64</v>
      </c>
      <c r="AH265" s="256">
        <v>10.17</v>
      </c>
      <c r="AI265" s="256"/>
      <c r="AJ265" s="257"/>
      <c r="AK265" s="296">
        <f>'Encargos e Benefícios'!D264</f>
        <v>2600</v>
      </c>
      <c r="AL265" s="296">
        <f>IF('Encargos e Benefícios'!C264=0,0,'Encargos e Benefícios'!U264/'Encargos e Benefícios'!C264)</f>
        <v>2114.088888888889</v>
      </c>
      <c r="AM265" s="296">
        <f>IF('Encargos e Benefícios'!C264=0,0,'Encargos e Benefícios'!AC264/'Encargos e Benefícios'!C264)</f>
        <v>935.5</v>
      </c>
      <c r="AN265" s="297">
        <f>IF('Encargos e Benefícios'!C264=0,0,'Encargos e Benefícios'!AD264/'Encargos e Benefícios'!C264)</f>
        <v>5649.5888888888894</v>
      </c>
      <c r="AO265" s="188">
        <v>3479.77</v>
      </c>
      <c r="AP265" s="298">
        <v>2252.3200000000002</v>
      </c>
      <c r="AQ265" s="298">
        <v>4707.22</v>
      </c>
      <c r="AR265" s="299" t="s">
        <v>119</v>
      </c>
      <c r="AS265" s="188"/>
    </row>
    <row r="266" spans="1:45">
      <c r="A266" s="286">
        <v>260</v>
      </c>
      <c r="B266" s="81" t="str">
        <f>'Encargos e Benefícios'!B265</f>
        <v>Pedagogo</v>
      </c>
      <c r="C266" s="287">
        <f>'Encargos e Benefícios'!C265</f>
        <v>1</v>
      </c>
      <c r="D266" s="288">
        <v>30</v>
      </c>
      <c r="E266" s="300">
        <v>45261</v>
      </c>
      <c r="F266" s="301">
        <v>47058</v>
      </c>
      <c r="G266" s="293">
        <v>45413</v>
      </c>
      <c r="H266" s="294">
        <v>5.8400000000000001E-2</v>
      </c>
      <c r="I266" s="256">
        <v>29.2</v>
      </c>
      <c r="J266" s="256">
        <v>6.87</v>
      </c>
      <c r="K266" s="256"/>
      <c r="L266" s="256"/>
      <c r="M266" s="293">
        <v>45778</v>
      </c>
      <c r="N266" s="294">
        <v>5.8400000000000001E-2</v>
      </c>
      <c r="O266" s="256">
        <v>30.9</v>
      </c>
      <c r="P266" s="256">
        <v>7.27</v>
      </c>
      <c r="Q266" s="256"/>
      <c r="R266" s="256"/>
      <c r="S266" s="293">
        <v>46143</v>
      </c>
      <c r="T266" s="294">
        <v>5.8400000000000001E-2</v>
      </c>
      <c r="U266" s="256">
        <v>32.71</v>
      </c>
      <c r="V266" s="256">
        <v>7.82</v>
      </c>
      <c r="W266" s="256"/>
      <c r="X266" s="256"/>
      <c r="Y266" s="293">
        <v>46508</v>
      </c>
      <c r="Z266" s="294">
        <v>5.8400000000000001E-2</v>
      </c>
      <c r="AA266" s="256">
        <v>34.619999999999997</v>
      </c>
      <c r="AB266" s="256">
        <v>8.7100000000000009</v>
      </c>
      <c r="AC266" s="256"/>
      <c r="AD266" s="256"/>
      <c r="AE266" s="293">
        <v>46874</v>
      </c>
      <c r="AF266" s="294">
        <v>5.8400000000000001E-2</v>
      </c>
      <c r="AG266" s="256">
        <v>36.64</v>
      </c>
      <c r="AH266" s="256">
        <v>10.17</v>
      </c>
      <c r="AI266" s="256"/>
      <c r="AJ266" s="257"/>
      <c r="AK266" s="296">
        <f>'Encargos e Benefícios'!D265</f>
        <v>2600</v>
      </c>
      <c r="AL266" s="296">
        <f>IF('Encargos e Benefícios'!C265=0,0,'Encargos e Benefícios'!U265/'Encargos e Benefícios'!C265)</f>
        <v>2114.088888888889</v>
      </c>
      <c r="AM266" s="296">
        <f>IF('Encargos e Benefícios'!C265=0,0,'Encargos e Benefícios'!AC265/'Encargos e Benefícios'!C265)</f>
        <v>935.5</v>
      </c>
      <c r="AN266" s="297">
        <f>IF('Encargos e Benefícios'!C265=0,0,'Encargos e Benefícios'!AD265/'Encargos e Benefícios'!C265)</f>
        <v>5649.5888888888894</v>
      </c>
      <c r="AO266" s="188">
        <v>2293.52</v>
      </c>
      <c r="AP266" s="298">
        <v>1700</v>
      </c>
      <c r="AQ266" s="298">
        <v>2887.04</v>
      </c>
      <c r="AR266" s="299" t="s">
        <v>119</v>
      </c>
      <c r="AS266" s="188"/>
    </row>
    <row r="267" spans="1:45">
      <c r="A267" s="286">
        <v>261</v>
      </c>
      <c r="B267" s="81" t="str">
        <f>'Encargos e Benefícios'!B266</f>
        <v>Psicologo</v>
      </c>
      <c r="C267" s="287">
        <f>'Encargos e Benefícios'!C266</f>
        <v>1</v>
      </c>
      <c r="D267" s="288">
        <v>30</v>
      </c>
      <c r="E267" s="300">
        <v>45261</v>
      </c>
      <c r="F267" s="301">
        <v>47058</v>
      </c>
      <c r="G267" s="293">
        <v>45413</v>
      </c>
      <c r="H267" s="294">
        <v>5.8400000000000001E-2</v>
      </c>
      <c r="I267" s="256">
        <v>29.2</v>
      </c>
      <c r="J267" s="256">
        <v>6.87</v>
      </c>
      <c r="K267" s="256"/>
      <c r="L267" s="256"/>
      <c r="M267" s="293">
        <v>45778</v>
      </c>
      <c r="N267" s="294">
        <v>5.8400000000000001E-2</v>
      </c>
      <c r="O267" s="256">
        <v>30.9</v>
      </c>
      <c r="P267" s="256">
        <v>7.27</v>
      </c>
      <c r="Q267" s="256"/>
      <c r="R267" s="256"/>
      <c r="S267" s="293">
        <v>46143</v>
      </c>
      <c r="T267" s="294">
        <v>5.8400000000000001E-2</v>
      </c>
      <c r="U267" s="256">
        <v>32.71</v>
      </c>
      <c r="V267" s="256">
        <v>7.82</v>
      </c>
      <c r="W267" s="256"/>
      <c r="X267" s="256"/>
      <c r="Y267" s="293">
        <v>46508</v>
      </c>
      <c r="Z267" s="294">
        <v>5.8400000000000001E-2</v>
      </c>
      <c r="AA267" s="256">
        <v>34.619999999999997</v>
      </c>
      <c r="AB267" s="256">
        <v>8.7100000000000009</v>
      </c>
      <c r="AC267" s="256"/>
      <c r="AD267" s="256"/>
      <c r="AE267" s="293">
        <v>46874</v>
      </c>
      <c r="AF267" s="294">
        <v>5.8400000000000001E-2</v>
      </c>
      <c r="AG267" s="256">
        <v>36.64</v>
      </c>
      <c r="AH267" s="256">
        <v>10.17</v>
      </c>
      <c r="AI267" s="256"/>
      <c r="AJ267" s="257"/>
      <c r="AK267" s="296">
        <f>'Encargos e Benefícios'!D266</f>
        <v>2600</v>
      </c>
      <c r="AL267" s="296">
        <f>IF('Encargos e Benefícios'!C266=0,0,'Encargos e Benefícios'!U266/'Encargos e Benefícios'!C266)</f>
        <v>2114.088888888889</v>
      </c>
      <c r="AM267" s="296">
        <f>IF('Encargos e Benefícios'!C266=0,0,'Encargos e Benefícios'!AC266/'Encargos e Benefícios'!C266)</f>
        <v>935.5</v>
      </c>
      <c r="AN267" s="297">
        <f>IF('Encargos e Benefícios'!C266=0,0,'Encargos e Benefícios'!AD266/'Encargos e Benefícios'!C266)</f>
        <v>5649.5888888888894</v>
      </c>
      <c r="AO267" s="188">
        <v>3202.11</v>
      </c>
      <c r="AP267" s="298">
        <v>1700</v>
      </c>
      <c r="AQ267" s="298">
        <v>4704.22</v>
      </c>
      <c r="AR267" s="299" t="s">
        <v>119</v>
      </c>
      <c r="AS267" s="188"/>
    </row>
    <row r="268" spans="1:45">
      <c r="A268" s="286">
        <v>262</v>
      </c>
      <c r="B268" s="81" t="str">
        <f>'Encargos e Benefícios'!B267</f>
        <v>Terapeuta Ocupacional</v>
      </c>
      <c r="C268" s="287">
        <f>'Encargos e Benefícios'!C267</f>
        <v>1</v>
      </c>
      <c r="D268" s="288">
        <v>30</v>
      </c>
      <c r="E268" s="300">
        <v>45261</v>
      </c>
      <c r="F268" s="301">
        <v>47058</v>
      </c>
      <c r="G268" s="293">
        <v>45413</v>
      </c>
      <c r="H268" s="294">
        <v>5.8400000000000001E-2</v>
      </c>
      <c r="I268" s="256">
        <v>29.2</v>
      </c>
      <c r="J268" s="256">
        <v>6.87</v>
      </c>
      <c r="K268" s="256"/>
      <c r="L268" s="256"/>
      <c r="M268" s="293">
        <v>45778</v>
      </c>
      <c r="N268" s="294">
        <v>5.8400000000000001E-2</v>
      </c>
      <c r="O268" s="256">
        <v>30.9</v>
      </c>
      <c r="P268" s="256">
        <v>7.27</v>
      </c>
      <c r="Q268" s="256"/>
      <c r="R268" s="256"/>
      <c r="S268" s="293">
        <v>46143</v>
      </c>
      <c r="T268" s="294">
        <v>5.8400000000000001E-2</v>
      </c>
      <c r="U268" s="256">
        <v>32.71</v>
      </c>
      <c r="V268" s="256">
        <v>7.82</v>
      </c>
      <c r="W268" s="256"/>
      <c r="X268" s="256"/>
      <c r="Y268" s="293">
        <v>46508</v>
      </c>
      <c r="Z268" s="294">
        <v>5.8400000000000001E-2</v>
      </c>
      <c r="AA268" s="256">
        <v>34.619999999999997</v>
      </c>
      <c r="AB268" s="256">
        <v>8.7100000000000009</v>
      </c>
      <c r="AC268" s="256"/>
      <c r="AD268" s="256"/>
      <c r="AE268" s="293">
        <v>46874</v>
      </c>
      <c r="AF268" s="294">
        <v>5.8400000000000001E-2</v>
      </c>
      <c r="AG268" s="256">
        <v>36.64</v>
      </c>
      <c r="AH268" s="256">
        <v>10.17</v>
      </c>
      <c r="AI268" s="256"/>
      <c r="AJ268" s="257"/>
      <c r="AK268" s="296">
        <f>'Encargos e Benefícios'!D267</f>
        <v>2600</v>
      </c>
      <c r="AL268" s="296">
        <f>IF('Encargos e Benefícios'!C267=0,0,'Encargos e Benefícios'!U267/'Encargos e Benefícios'!C267)</f>
        <v>2114.088888888889</v>
      </c>
      <c r="AM268" s="296">
        <f>IF('Encargos e Benefícios'!C267=0,0,'Encargos e Benefícios'!AC267/'Encargos e Benefícios'!C267)</f>
        <v>935.5</v>
      </c>
      <c r="AN268" s="297">
        <f>IF('Encargos e Benefícios'!C267=0,0,'Encargos e Benefícios'!AD267/'Encargos e Benefícios'!C267)</f>
        <v>5649.5888888888894</v>
      </c>
      <c r="AO268" s="188">
        <v>3478.27</v>
      </c>
      <c r="AP268" s="298">
        <v>2252.3200000000002</v>
      </c>
      <c r="AQ268" s="298">
        <v>4704.22</v>
      </c>
      <c r="AR268" s="299" t="s">
        <v>119</v>
      </c>
      <c r="AS268" s="188"/>
    </row>
    <row r="269" spans="1:45">
      <c r="A269" s="286">
        <v>263</v>
      </c>
      <c r="B269" s="81" t="str">
        <f>'Encargos e Benefícios'!B268</f>
        <v>Administrativo</v>
      </c>
      <c r="C269" s="287">
        <f>'Encargos e Benefícios'!C268</f>
        <v>1</v>
      </c>
      <c r="D269" s="288">
        <v>40</v>
      </c>
      <c r="E269" s="300">
        <v>45261</v>
      </c>
      <c r="F269" s="301">
        <v>47058</v>
      </c>
      <c r="G269" s="293">
        <v>45413</v>
      </c>
      <c r="H269" s="294">
        <v>5.8400000000000001E-2</v>
      </c>
      <c r="I269" s="256">
        <v>29.2</v>
      </c>
      <c r="J269" s="256">
        <v>6.87</v>
      </c>
      <c r="K269" s="256"/>
      <c r="L269" s="256"/>
      <c r="M269" s="293">
        <v>45778</v>
      </c>
      <c r="N269" s="294">
        <v>5.8400000000000001E-2</v>
      </c>
      <c r="O269" s="256">
        <v>30.9</v>
      </c>
      <c r="P269" s="256">
        <v>7.27</v>
      </c>
      <c r="Q269" s="256"/>
      <c r="R269" s="256"/>
      <c r="S269" s="293">
        <v>46143</v>
      </c>
      <c r="T269" s="294">
        <v>5.8400000000000001E-2</v>
      </c>
      <c r="U269" s="256">
        <v>32.71</v>
      </c>
      <c r="V269" s="256">
        <v>7.82</v>
      </c>
      <c r="W269" s="256"/>
      <c r="X269" s="256"/>
      <c r="Y269" s="293">
        <v>46508</v>
      </c>
      <c r="Z269" s="294">
        <v>5.8400000000000001E-2</v>
      </c>
      <c r="AA269" s="256">
        <v>34.619999999999997</v>
      </c>
      <c r="AB269" s="256">
        <v>8.7100000000000009</v>
      </c>
      <c r="AC269" s="256"/>
      <c r="AD269" s="256"/>
      <c r="AE269" s="293">
        <v>46874</v>
      </c>
      <c r="AF269" s="294">
        <v>5.8400000000000001E-2</v>
      </c>
      <c r="AG269" s="256">
        <v>36.64</v>
      </c>
      <c r="AH269" s="256">
        <v>10.17</v>
      </c>
      <c r="AI269" s="256"/>
      <c r="AJ269" s="257"/>
      <c r="AK269" s="296">
        <f>'Encargos e Benefícios'!D268</f>
        <v>1750</v>
      </c>
      <c r="AL269" s="296">
        <f>IF('Encargos e Benefícios'!C268=0,0,'Encargos e Benefícios'!U268/'Encargos e Benefícios'!C268)</f>
        <v>1422.9444444444443</v>
      </c>
      <c r="AM269" s="296">
        <f>IF('Encargos e Benefícios'!C268=0,0,'Encargos e Benefícios'!AC268/'Encargos e Benefícios'!C268)</f>
        <v>935.5</v>
      </c>
      <c r="AN269" s="297">
        <f>IF('Encargos e Benefícios'!C268=0,0,'Encargos e Benefícios'!AD268/'Encargos e Benefícios'!C268)</f>
        <v>4108.4444444444443</v>
      </c>
      <c r="AO269" s="188">
        <v>1786.2</v>
      </c>
      <c r="AP269" s="298">
        <v>1352.9</v>
      </c>
      <c r="AQ269" s="298">
        <v>2219.4899999999998</v>
      </c>
      <c r="AR269" s="299" t="s">
        <v>119</v>
      </c>
      <c r="AS269" s="188"/>
    </row>
    <row r="270" spans="1:45">
      <c r="A270" s="286">
        <v>264</v>
      </c>
      <c r="B270" s="81" t="str">
        <f>'Encargos e Benefícios'!B269</f>
        <v>Auxiliar Educacional</v>
      </c>
      <c r="C270" s="287">
        <f>'Encargos e Benefícios'!C269</f>
        <v>1</v>
      </c>
      <c r="D270" s="288">
        <v>30</v>
      </c>
      <c r="E270" s="300">
        <v>45261</v>
      </c>
      <c r="F270" s="301">
        <v>47058</v>
      </c>
      <c r="G270" s="293">
        <v>45413</v>
      </c>
      <c r="H270" s="294">
        <v>5.8400000000000001E-2</v>
      </c>
      <c r="I270" s="256">
        <v>29.2</v>
      </c>
      <c r="J270" s="256">
        <v>6.87</v>
      </c>
      <c r="K270" s="256"/>
      <c r="L270" s="256"/>
      <c r="M270" s="293">
        <v>45778</v>
      </c>
      <c r="N270" s="294">
        <v>5.8400000000000001E-2</v>
      </c>
      <c r="O270" s="256">
        <v>30.9</v>
      </c>
      <c r="P270" s="256">
        <v>7.27</v>
      </c>
      <c r="Q270" s="256"/>
      <c r="R270" s="256"/>
      <c r="S270" s="293">
        <v>46143</v>
      </c>
      <c r="T270" s="294">
        <v>5.8400000000000001E-2</v>
      </c>
      <c r="U270" s="256">
        <v>32.71</v>
      </c>
      <c r="V270" s="256">
        <v>7.82</v>
      </c>
      <c r="W270" s="256"/>
      <c r="X270" s="256"/>
      <c r="Y270" s="293">
        <v>46508</v>
      </c>
      <c r="Z270" s="294">
        <v>5.8400000000000001E-2</v>
      </c>
      <c r="AA270" s="256">
        <v>34.619999999999997</v>
      </c>
      <c r="AB270" s="256">
        <v>8.7100000000000009</v>
      </c>
      <c r="AC270" s="256"/>
      <c r="AD270" s="256"/>
      <c r="AE270" s="293">
        <v>46874</v>
      </c>
      <c r="AF270" s="294">
        <v>5.8400000000000001E-2</v>
      </c>
      <c r="AG270" s="256">
        <v>36.64</v>
      </c>
      <c r="AH270" s="256">
        <v>10.17</v>
      </c>
      <c r="AI270" s="256"/>
      <c r="AJ270" s="257"/>
      <c r="AK270" s="296">
        <f>'Encargos e Benefícios'!D269</f>
        <v>1642</v>
      </c>
      <c r="AL270" s="296">
        <f>IF('Encargos e Benefícios'!C269=0,0,'Encargos e Benefícios'!U269/'Encargos e Benefícios'!C269)</f>
        <v>1335.1284444444443</v>
      </c>
      <c r="AM270" s="296">
        <f>IF('Encargos e Benefícios'!C269=0,0,'Encargos e Benefícios'!AC269/'Encargos e Benefícios'!C269)</f>
        <v>935.5</v>
      </c>
      <c r="AN270" s="297">
        <f>IF('Encargos e Benefícios'!C269=0,0,'Encargos e Benefícios'!AD269/'Encargos e Benefícios'!C269)</f>
        <v>3912.6284444444445</v>
      </c>
      <c r="AO270" s="188">
        <v>1756.04</v>
      </c>
      <c r="AP270" s="298">
        <v>1400</v>
      </c>
      <c r="AQ270" s="298">
        <v>2112.08</v>
      </c>
      <c r="AR270" s="299" t="s">
        <v>119</v>
      </c>
      <c r="AS270" s="188"/>
    </row>
    <row r="271" spans="1:45">
      <c r="A271" s="286">
        <v>265</v>
      </c>
      <c r="B271" s="81" t="str">
        <f>'Encargos e Benefícios'!B270</f>
        <v>Auxiliar de Serviços Gerais</v>
      </c>
      <c r="C271" s="287">
        <f>'Encargos e Benefícios'!C270</f>
        <v>1</v>
      </c>
      <c r="D271" s="288">
        <v>30</v>
      </c>
      <c r="E271" s="300">
        <v>45261</v>
      </c>
      <c r="F271" s="301">
        <v>47058</v>
      </c>
      <c r="G271" s="293">
        <v>45413</v>
      </c>
      <c r="H271" s="294">
        <v>5.8400000000000001E-2</v>
      </c>
      <c r="I271" s="256">
        <v>29.2</v>
      </c>
      <c r="J271" s="256">
        <v>6.87</v>
      </c>
      <c r="K271" s="256"/>
      <c r="L271" s="256"/>
      <c r="M271" s="293">
        <v>45778</v>
      </c>
      <c r="N271" s="294">
        <v>5.8400000000000001E-2</v>
      </c>
      <c r="O271" s="256">
        <v>30.9</v>
      </c>
      <c r="P271" s="256">
        <v>7.27</v>
      </c>
      <c r="Q271" s="256"/>
      <c r="R271" s="256"/>
      <c r="S271" s="293">
        <v>46143</v>
      </c>
      <c r="T271" s="294">
        <v>5.8400000000000001E-2</v>
      </c>
      <c r="U271" s="256">
        <v>32.71</v>
      </c>
      <c r="V271" s="256">
        <v>7.82</v>
      </c>
      <c r="W271" s="256"/>
      <c r="X271" s="256"/>
      <c r="Y271" s="293">
        <v>46508</v>
      </c>
      <c r="Z271" s="294">
        <v>5.8400000000000001E-2</v>
      </c>
      <c r="AA271" s="256">
        <v>34.619999999999997</v>
      </c>
      <c r="AB271" s="256">
        <v>8.7100000000000009</v>
      </c>
      <c r="AC271" s="256"/>
      <c r="AD271" s="256"/>
      <c r="AE271" s="293">
        <v>46874</v>
      </c>
      <c r="AF271" s="294">
        <v>5.8400000000000001E-2</v>
      </c>
      <c r="AG271" s="256">
        <v>36.64</v>
      </c>
      <c r="AH271" s="256">
        <v>10.17</v>
      </c>
      <c r="AI271" s="256"/>
      <c r="AJ271" s="257"/>
      <c r="AK271" s="296">
        <f>'Encargos e Benefícios'!D270</f>
        <v>1385</v>
      </c>
      <c r="AL271" s="296">
        <f>IF('Encargos e Benefícios'!C270=0,0,'Encargos e Benefícios'!U270/'Encargos e Benefícios'!C270)</f>
        <v>1126.1588888888887</v>
      </c>
      <c r="AM271" s="296">
        <f>IF('Encargos e Benefícios'!C270=0,0,'Encargos e Benefícios'!AC270/'Encargos e Benefícios'!C270)</f>
        <v>935.5</v>
      </c>
      <c r="AN271" s="297">
        <f>IF('Encargos e Benefícios'!C270=0,0,'Encargos e Benefícios'!AD270/'Encargos e Benefícios'!C270)</f>
        <v>3446.6588888888887</v>
      </c>
      <c r="AO271" s="188">
        <v>1380.2</v>
      </c>
      <c r="AP271" s="298">
        <v>1320</v>
      </c>
      <c r="AQ271" s="298">
        <v>1440.4</v>
      </c>
      <c r="AR271" s="299" t="s">
        <v>119</v>
      </c>
      <c r="AS271" s="188"/>
    </row>
    <row r="272" spans="1:45">
      <c r="A272" s="286">
        <v>266</v>
      </c>
      <c r="B272" s="81" t="str">
        <f>'Encargos e Benefícios'!B271</f>
        <v>Motorista</v>
      </c>
      <c r="C272" s="287">
        <f>'Encargos e Benefícios'!C271</f>
        <v>1</v>
      </c>
      <c r="D272" s="288">
        <v>40</v>
      </c>
      <c r="E272" s="300">
        <v>45261</v>
      </c>
      <c r="F272" s="301">
        <v>47058</v>
      </c>
      <c r="G272" s="293">
        <v>45413</v>
      </c>
      <c r="H272" s="294">
        <v>5.8400000000000001E-2</v>
      </c>
      <c r="I272" s="256">
        <v>29.2</v>
      </c>
      <c r="J272" s="256">
        <v>6.87</v>
      </c>
      <c r="K272" s="256"/>
      <c r="L272" s="256"/>
      <c r="M272" s="293">
        <v>45778</v>
      </c>
      <c r="N272" s="294">
        <v>5.8400000000000001E-2</v>
      </c>
      <c r="O272" s="256">
        <v>30.9</v>
      </c>
      <c r="P272" s="256">
        <v>7.27</v>
      </c>
      <c r="Q272" s="256"/>
      <c r="R272" s="256"/>
      <c r="S272" s="293">
        <v>46143</v>
      </c>
      <c r="T272" s="294">
        <v>5.8400000000000001E-2</v>
      </c>
      <c r="U272" s="256">
        <v>32.71</v>
      </c>
      <c r="V272" s="256">
        <v>7.82</v>
      </c>
      <c r="W272" s="256"/>
      <c r="X272" s="256"/>
      <c r="Y272" s="293">
        <v>46508</v>
      </c>
      <c r="Z272" s="294">
        <v>5.8400000000000001E-2</v>
      </c>
      <c r="AA272" s="256">
        <v>34.619999999999997</v>
      </c>
      <c r="AB272" s="256">
        <v>8.7100000000000009</v>
      </c>
      <c r="AC272" s="256"/>
      <c r="AD272" s="256"/>
      <c r="AE272" s="293">
        <v>46874</v>
      </c>
      <c r="AF272" s="294">
        <v>5.8400000000000001E-2</v>
      </c>
      <c r="AG272" s="256">
        <v>36.64</v>
      </c>
      <c r="AH272" s="256">
        <v>10.17</v>
      </c>
      <c r="AI272" s="256"/>
      <c r="AJ272" s="257"/>
      <c r="AK272" s="296">
        <f>'Encargos e Benefícios'!D271</f>
        <v>1452.39</v>
      </c>
      <c r="AL272" s="296">
        <f>IF('Encargos e Benefícios'!C271=0,0,'Encargos e Benefícios'!U271/'Encargos e Benefícios'!C271)</f>
        <v>1180.9544466666669</v>
      </c>
      <c r="AM272" s="296">
        <f>IF('Encargos e Benefícios'!C271=0,0,'Encargos e Benefícios'!AC271/'Encargos e Benefícios'!C271)</f>
        <v>935.5</v>
      </c>
      <c r="AN272" s="297">
        <f>IF('Encargos e Benefícios'!C271=0,0,'Encargos e Benefícios'!AD271/'Encargos e Benefícios'!C271)</f>
        <v>3568.844446666667</v>
      </c>
      <c r="AO272" s="188">
        <v>1676.09</v>
      </c>
      <c r="AP272" s="298">
        <v>1377.85</v>
      </c>
      <c r="AQ272" s="298">
        <v>1974.32</v>
      </c>
      <c r="AR272" s="299" t="s">
        <v>119</v>
      </c>
      <c r="AS272" s="188"/>
    </row>
    <row r="273" spans="1:45">
      <c r="A273" s="286">
        <v>267</v>
      </c>
      <c r="B273" s="81" t="str">
        <f>'Encargos e Benefícios'!B272</f>
        <v>Socioeducador - DC</v>
      </c>
      <c r="C273" s="287">
        <f>'Encargos e Benefícios'!C272</f>
        <v>2</v>
      </c>
      <c r="D273" s="288" t="s">
        <v>504</v>
      </c>
      <c r="E273" s="300">
        <v>45261</v>
      </c>
      <c r="F273" s="301">
        <v>47058</v>
      </c>
      <c r="G273" s="293">
        <v>45413</v>
      </c>
      <c r="H273" s="294">
        <v>5.8400000000000001E-2</v>
      </c>
      <c r="I273" s="256">
        <v>29.2</v>
      </c>
      <c r="J273" s="256">
        <v>6.87</v>
      </c>
      <c r="K273" s="256"/>
      <c r="L273" s="256"/>
      <c r="M273" s="293">
        <v>45778</v>
      </c>
      <c r="N273" s="294">
        <v>5.8400000000000001E-2</v>
      </c>
      <c r="O273" s="256">
        <v>30.9</v>
      </c>
      <c r="P273" s="256">
        <v>7.27</v>
      </c>
      <c r="Q273" s="256"/>
      <c r="R273" s="256"/>
      <c r="S273" s="293">
        <v>46143</v>
      </c>
      <c r="T273" s="294">
        <v>5.8400000000000001E-2</v>
      </c>
      <c r="U273" s="256">
        <v>32.71</v>
      </c>
      <c r="V273" s="256">
        <v>7.82</v>
      </c>
      <c r="W273" s="256"/>
      <c r="X273" s="256"/>
      <c r="Y273" s="293">
        <v>46508</v>
      </c>
      <c r="Z273" s="294">
        <v>5.8400000000000001E-2</v>
      </c>
      <c r="AA273" s="256">
        <v>34.619999999999997</v>
      </c>
      <c r="AB273" s="256">
        <v>8.7100000000000009</v>
      </c>
      <c r="AC273" s="256"/>
      <c r="AD273" s="256"/>
      <c r="AE273" s="293">
        <v>46874</v>
      </c>
      <c r="AF273" s="294">
        <v>5.8400000000000001E-2</v>
      </c>
      <c r="AG273" s="256">
        <v>36.64</v>
      </c>
      <c r="AH273" s="256">
        <v>10.17</v>
      </c>
      <c r="AI273" s="256"/>
      <c r="AJ273" s="257"/>
      <c r="AK273" s="296">
        <f>'Encargos e Benefícios'!D272</f>
        <v>1900</v>
      </c>
      <c r="AL273" s="296">
        <f>IF('Encargos e Benefícios'!C272=0,0,'Encargos e Benefícios'!U272/'Encargos e Benefícios'!C272)</f>
        <v>2544.7966666666666</v>
      </c>
      <c r="AM273" s="296">
        <f>IF('Encargos e Benefícios'!C272=0,0,'Encargos e Benefícios'!AC272/'Encargos e Benefícios'!C272)</f>
        <v>448.995</v>
      </c>
      <c r="AN273" s="297">
        <f>IF('Encargos e Benefícios'!C272=0,0,'Encargos e Benefícios'!AD272/'Encargos e Benefícios'!C272)</f>
        <v>4893.791666666667</v>
      </c>
      <c r="AO273" s="188">
        <v>3219.15</v>
      </c>
      <c r="AP273" s="298">
        <v>1764.5</v>
      </c>
      <c r="AQ273" s="298">
        <v>4673.8</v>
      </c>
      <c r="AR273" s="299" t="s">
        <v>119</v>
      </c>
      <c r="AS273" s="188"/>
    </row>
    <row r="274" spans="1:45">
      <c r="A274" s="286">
        <v>268</v>
      </c>
      <c r="B274" s="81" t="str">
        <f>'Encargos e Benefícios'!B273</f>
        <v>Socioeducador - D</v>
      </c>
      <c r="C274" s="287">
        <f>'Encargos e Benefícios'!C273</f>
        <v>12</v>
      </c>
      <c r="D274" s="288" t="s">
        <v>504</v>
      </c>
      <c r="E274" s="300">
        <v>45261</v>
      </c>
      <c r="F274" s="301">
        <v>47058</v>
      </c>
      <c r="G274" s="293">
        <v>45413</v>
      </c>
      <c r="H274" s="294">
        <v>5.8400000000000001E-2</v>
      </c>
      <c r="I274" s="256">
        <v>29.2</v>
      </c>
      <c r="J274" s="256">
        <v>6.87</v>
      </c>
      <c r="K274" s="256"/>
      <c r="L274" s="256"/>
      <c r="M274" s="293">
        <v>45778</v>
      </c>
      <c r="N274" s="294">
        <v>5.8400000000000001E-2</v>
      </c>
      <c r="O274" s="256">
        <v>30.9</v>
      </c>
      <c r="P274" s="256">
        <v>7.27</v>
      </c>
      <c r="Q274" s="256"/>
      <c r="R274" s="256"/>
      <c r="S274" s="293">
        <v>46143</v>
      </c>
      <c r="T274" s="294">
        <v>5.8400000000000001E-2</v>
      </c>
      <c r="U274" s="256">
        <v>32.71</v>
      </c>
      <c r="V274" s="256">
        <v>7.82</v>
      </c>
      <c r="W274" s="256"/>
      <c r="X274" s="256"/>
      <c r="Y274" s="293">
        <v>46508</v>
      </c>
      <c r="Z274" s="294">
        <v>5.8400000000000001E-2</v>
      </c>
      <c r="AA274" s="256">
        <v>34.619999999999997</v>
      </c>
      <c r="AB274" s="256">
        <v>8.7100000000000009</v>
      </c>
      <c r="AC274" s="256"/>
      <c r="AD274" s="256"/>
      <c r="AE274" s="293">
        <v>46874</v>
      </c>
      <c r="AF274" s="294">
        <v>5.8400000000000001E-2</v>
      </c>
      <c r="AG274" s="256">
        <v>36.64</v>
      </c>
      <c r="AH274" s="256">
        <v>10.17</v>
      </c>
      <c r="AI274" s="256"/>
      <c r="AJ274" s="257"/>
      <c r="AK274" s="296">
        <f>'Encargos e Benefícios'!D273</f>
        <v>1900</v>
      </c>
      <c r="AL274" s="296">
        <f>IF('Encargos e Benefícios'!C273=0,0,'Encargos e Benefícios'!U273/'Encargos e Benefícios'!C273)</f>
        <v>2281.7944444444447</v>
      </c>
      <c r="AM274" s="296">
        <f>IF('Encargos e Benefícios'!C273=0,0,'Encargos e Benefícios'!AC273/'Encargos e Benefícios'!C273)</f>
        <v>74.832499999999996</v>
      </c>
      <c r="AN274" s="297">
        <f>IF('Encargos e Benefícios'!C273=0,0,'Encargos e Benefícios'!AD273/'Encargos e Benefícios'!C273)</f>
        <v>4256.6269444444451</v>
      </c>
      <c r="AO274" s="188">
        <v>3219.15</v>
      </c>
      <c r="AP274" s="298">
        <v>1764.5</v>
      </c>
      <c r="AQ274" s="298">
        <v>4673.8</v>
      </c>
      <c r="AR274" s="299" t="s">
        <v>119</v>
      </c>
      <c r="AS274" s="188"/>
    </row>
    <row r="275" spans="1:45">
      <c r="A275" s="286">
        <v>269</v>
      </c>
      <c r="B275" s="81" t="str">
        <f>'Encargos e Benefícios'!B274</f>
        <v>Socioeducador - NC</v>
      </c>
      <c r="C275" s="287">
        <f>'Encargos e Benefícios'!C274</f>
        <v>2</v>
      </c>
      <c r="D275" s="288" t="s">
        <v>504</v>
      </c>
      <c r="E275" s="300">
        <v>45261</v>
      </c>
      <c r="F275" s="301">
        <v>47058</v>
      </c>
      <c r="G275" s="293">
        <v>45413</v>
      </c>
      <c r="H275" s="294">
        <v>5.8400000000000001E-2</v>
      </c>
      <c r="I275" s="256">
        <v>29.2</v>
      </c>
      <c r="J275" s="256">
        <v>6.87</v>
      </c>
      <c r="K275" s="256"/>
      <c r="L275" s="256"/>
      <c r="M275" s="293">
        <v>45778</v>
      </c>
      <c r="N275" s="294">
        <v>5.8400000000000001E-2</v>
      </c>
      <c r="O275" s="256">
        <v>30.9</v>
      </c>
      <c r="P275" s="256">
        <v>7.27</v>
      </c>
      <c r="Q275" s="256"/>
      <c r="R275" s="256"/>
      <c r="S275" s="293">
        <v>46143</v>
      </c>
      <c r="T275" s="294">
        <v>5.8400000000000001E-2</v>
      </c>
      <c r="U275" s="256">
        <v>32.71</v>
      </c>
      <c r="V275" s="256">
        <v>7.82</v>
      </c>
      <c r="W275" s="256"/>
      <c r="X275" s="256"/>
      <c r="Y275" s="293">
        <v>46508</v>
      </c>
      <c r="Z275" s="294">
        <v>5.8400000000000001E-2</v>
      </c>
      <c r="AA275" s="256">
        <v>34.619999999999997</v>
      </c>
      <c r="AB275" s="256">
        <v>8.7100000000000009</v>
      </c>
      <c r="AC275" s="256"/>
      <c r="AD275" s="256"/>
      <c r="AE275" s="293">
        <v>46874</v>
      </c>
      <c r="AF275" s="294">
        <v>5.8400000000000001E-2</v>
      </c>
      <c r="AG275" s="256">
        <v>36.64</v>
      </c>
      <c r="AH275" s="256">
        <v>10.17</v>
      </c>
      <c r="AI275" s="256"/>
      <c r="AJ275" s="257"/>
      <c r="AK275" s="296">
        <f>'Encargos e Benefícios'!D274</f>
        <v>1900</v>
      </c>
      <c r="AL275" s="296">
        <f>IF('Encargos e Benefícios'!C274=0,0,'Encargos e Benefícios'!U274/'Encargos e Benefícios'!C274)</f>
        <v>3013.1818518518517</v>
      </c>
      <c r="AM275" s="296">
        <f>IF('Encargos e Benefícios'!C274=0,0,'Encargos e Benefícios'!AC274/'Encargos e Benefícios'!C274)</f>
        <v>448.995</v>
      </c>
      <c r="AN275" s="297">
        <f>IF('Encargos e Benefícios'!C274=0,0,'Encargos e Benefícios'!AD274/'Encargos e Benefícios'!C274)</f>
        <v>5362.176851851852</v>
      </c>
      <c r="AO275" s="188">
        <v>3219.15</v>
      </c>
      <c r="AP275" s="298">
        <v>1764.5</v>
      </c>
      <c r="AQ275" s="298">
        <v>4673.8</v>
      </c>
      <c r="AR275" s="299" t="s">
        <v>119</v>
      </c>
      <c r="AS275" s="188"/>
    </row>
    <row r="276" spans="1:45" ht="13.5" thickBot="1">
      <c r="A276" s="286">
        <v>270</v>
      </c>
      <c r="B276" s="81" t="str">
        <f>'Encargos e Benefícios'!B275</f>
        <v>Socioeducador - N</v>
      </c>
      <c r="C276" s="287">
        <f>'Encargos e Benefícios'!C275</f>
        <v>6</v>
      </c>
      <c r="D276" s="288" t="s">
        <v>504</v>
      </c>
      <c r="E276" s="300">
        <v>45261</v>
      </c>
      <c r="F276" s="301">
        <v>47058</v>
      </c>
      <c r="G276" s="293">
        <v>45413</v>
      </c>
      <c r="H276" s="294">
        <v>5.8400000000000001E-2</v>
      </c>
      <c r="I276" s="256">
        <v>29.2</v>
      </c>
      <c r="J276" s="256">
        <v>6.87</v>
      </c>
      <c r="K276" s="256"/>
      <c r="L276" s="256"/>
      <c r="M276" s="293">
        <v>45778</v>
      </c>
      <c r="N276" s="294">
        <v>5.8400000000000001E-2</v>
      </c>
      <c r="O276" s="256">
        <v>30.9</v>
      </c>
      <c r="P276" s="256">
        <v>7.27</v>
      </c>
      <c r="Q276" s="256"/>
      <c r="R276" s="256"/>
      <c r="S276" s="293">
        <v>46143</v>
      </c>
      <c r="T276" s="294">
        <v>5.8400000000000001E-2</v>
      </c>
      <c r="U276" s="256">
        <v>32.71</v>
      </c>
      <c r="V276" s="256">
        <v>7.82</v>
      </c>
      <c r="W276" s="256"/>
      <c r="X276" s="256"/>
      <c r="Y276" s="293">
        <v>46508</v>
      </c>
      <c r="Z276" s="294">
        <v>5.8400000000000001E-2</v>
      </c>
      <c r="AA276" s="256">
        <v>34.619999999999997</v>
      </c>
      <c r="AB276" s="256">
        <v>8.7100000000000009</v>
      </c>
      <c r="AC276" s="256"/>
      <c r="AD276" s="256"/>
      <c r="AE276" s="293">
        <v>46874</v>
      </c>
      <c r="AF276" s="294">
        <v>5.8400000000000001E-2</v>
      </c>
      <c r="AG276" s="256">
        <v>36.64</v>
      </c>
      <c r="AH276" s="256">
        <v>10.17</v>
      </c>
      <c r="AI276" s="256"/>
      <c r="AJ276" s="257"/>
      <c r="AK276" s="296">
        <f>'Encargos e Benefícios'!D275</f>
        <v>1900</v>
      </c>
      <c r="AL276" s="296">
        <f>IF('Encargos e Benefícios'!C275=0,0,'Encargos e Benefícios'!U275/'Encargos e Benefícios'!C275)</f>
        <v>2750.1796296296302</v>
      </c>
      <c r="AM276" s="296">
        <f>IF('Encargos e Benefícios'!C275=0,0,'Encargos e Benefícios'!AC275/'Encargos e Benefícios'!C275)</f>
        <v>149.66499999999999</v>
      </c>
      <c r="AN276" s="297">
        <f>IF('Encargos e Benefícios'!C275=0,0,'Encargos e Benefícios'!AD275/'Encargos e Benefícios'!C275)</f>
        <v>4799.8446296296306</v>
      </c>
      <c r="AO276" s="188">
        <v>3219.15</v>
      </c>
      <c r="AP276" s="298">
        <v>1764.5</v>
      </c>
      <c r="AQ276" s="298">
        <v>4673.8</v>
      </c>
      <c r="AR276" s="299" t="s">
        <v>119</v>
      </c>
      <c r="AS276" s="188"/>
    </row>
    <row r="277" spans="1:45">
      <c r="A277" s="286">
        <v>271</v>
      </c>
      <c r="B277" s="81" t="str">
        <f>'Encargos e Benefícios'!B276</f>
        <v>Diretor Geral de Unidade Socioeducativa</v>
      </c>
      <c r="C277" s="287">
        <f>'Encargos e Benefícios'!C276</f>
        <v>1</v>
      </c>
      <c r="D277" s="288">
        <v>40</v>
      </c>
      <c r="E277" s="289">
        <v>45261</v>
      </c>
      <c r="F277" s="290">
        <v>47058</v>
      </c>
      <c r="G277" s="293">
        <v>45413</v>
      </c>
      <c r="H277" s="294">
        <v>5.8400000000000001E-2</v>
      </c>
      <c r="I277" s="256">
        <v>29.2</v>
      </c>
      <c r="J277" s="256">
        <v>6.87</v>
      </c>
      <c r="K277" s="256"/>
      <c r="L277" s="256"/>
      <c r="M277" s="293">
        <v>45778</v>
      </c>
      <c r="N277" s="294">
        <v>5.8400000000000001E-2</v>
      </c>
      <c r="O277" s="256">
        <v>30.9</v>
      </c>
      <c r="P277" s="256">
        <v>7.27</v>
      </c>
      <c r="Q277" s="256"/>
      <c r="R277" s="256"/>
      <c r="S277" s="293">
        <v>46143</v>
      </c>
      <c r="T277" s="294">
        <v>5.8400000000000001E-2</v>
      </c>
      <c r="U277" s="256">
        <v>32.71</v>
      </c>
      <c r="V277" s="256">
        <v>7.82</v>
      </c>
      <c r="W277" s="256"/>
      <c r="X277" s="256"/>
      <c r="Y277" s="293">
        <v>46508</v>
      </c>
      <c r="Z277" s="294">
        <v>5.8400000000000001E-2</v>
      </c>
      <c r="AA277" s="256">
        <v>34.619999999999997</v>
      </c>
      <c r="AB277" s="256">
        <v>8.7100000000000009</v>
      </c>
      <c r="AC277" s="256"/>
      <c r="AD277" s="256"/>
      <c r="AE277" s="293">
        <v>46874</v>
      </c>
      <c r="AF277" s="294">
        <v>5.8400000000000001E-2</v>
      </c>
      <c r="AG277" s="256">
        <v>36.64</v>
      </c>
      <c r="AH277" s="256">
        <v>10.17</v>
      </c>
      <c r="AI277" s="256"/>
      <c r="AJ277" s="257"/>
      <c r="AK277" s="296">
        <f>'Encargos e Benefícios'!D276</f>
        <v>6500</v>
      </c>
      <c r="AL277" s="296">
        <f>IF('Encargos e Benefícios'!C276=0,0,'Encargos e Benefícios'!U276/'Encargos e Benefícios'!C276)</f>
        <v>5194.2222222222235</v>
      </c>
      <c r="AM277" s="296">
        <f>IF('Encargos e Benefícios'!C276=0,0,'Encargos e Benefícios'!AC276/'Encargos e Benefícios'!C276)</f>
        <v>817.61999999999989</v>
      </c>
      <c r="AN277" s="297">
        <f>IF('Encargos e Benefícios'!C276=0,0,'Encargos e Benefícios'!AD276/'Encargos e Benefícios'!C276)</f>
        <v>12511.842222222222</v>
      </c>
      <c r="AO277" s="188">
        <v>6052.24</v>
      </c>
      <c r="AP277" s="298">
        <v>4239.6899999999996</v>
      </c>
      <c r="AQ277" s="298">
        <v>7864.78</v>
      </c>
      <c r="AR277" s="299" t="s">
        <v>120</v>
      </c>
      <c r="AS277" s="188"/>
    </row>
    <row r="278" spans="1:45">
      <c r="A278" s="286">
        <v>272</v>
      </c>
      <c r="B278" s="81" t="str">
        <f>'Encargos e Benefícios'!B277</f>
        <v>Subdiretor de Segurança</v>
      </c>
      <c r="C278" s="287">
        <f>'Encargos e Benefícios'!C277</f>
        <v>1</v>
      </c>
      <c r="D278" s="288">
        <v>40</v>
      </c>
      <c r="E278" s="300">
        <v>45261</v>
      </c>
      <c r="F278" s="301">
        <v>47058</v>
      </c>
      <c r="G278" s="293">
        <v>45413</v>
      </c>
      <c r="H278" s="294">
        <v>5.8400000000000001E-2</v>
      </c>
      <c r="I278" s="256">
        <v>29.2</v>
      </c>
      <c r="J278" s="256">
        <v>6.87</v>
      </c>
      <c r="K278" s="256"/>
      <c r="L278" s="256"/>
      <c r="M278" s="293">
        <v>45778</v>
      </c>
      <c r="N278" s="294">
        <v>5.8400000000000001E-2</v>
      </c>
      <c r="O278" s="256">
        <v>30.9</v>
      </c>
      <c r="P278" s="256">
        <v>7.27</v>
      </c>
      <c r="Q278" s="256"/>
      <c r="R278" s="256"/>
      <c r="S278" s="293">
        <v>46143</v>
      </c>
      <c r="T278" s="294">
        <v>5.8400000000000001E-2</v>
      </c>
      <c r="U278" s="256">
        <v>32.71</v>
      </c>
      <c r="V278" s="256">
        <v>7.82</v>
      </c>
      <c r="W278" s="256"/>
      <c r="X278" s="256"/>
      <c r="Y278" s="293">
        <v>46508</v>
      </c>
      <c r="Z278" s="294">
        <v>5.8400000000000001E-2</v>
      </c>
      <c r="AA278" s="256">
        <v>34.619999999999997</v>
      </c>
      <c r="AB278" s="256">
        <v>8.7100000000000009</v>
      </c>
      <c r="AC278" s="256"/>
      <c r="AD278" s="256"/>
      <c r="AE278" s="293">
        <v>46874</v>
      </c>
      <c r="AF278" s="294">
        <v>5.8400000000000001E-2</v>
      </c>
      <c r="AG278" s="256">
        <v>36.64</v>
      </c>
      <c r="AH278" s="256">
        <v>10.17</v>
      </c>
      <c r="AI278" s="256"/>
      <c r="AJ278" s="257"/>
      <c r="AK278" s="296">
        <f>'Encargos e Benefícios'!D277</f>
        <v>3773.6</v>
      </c>
      <c r="AL278" s="296">
        <f>IF('Encargos e Benefícios'!C277=0,0,'Encargos e Benefícios'!U277/'Encargos e Benefícios'!C277)</f>
        <v>4147.6056888888888</v>
      </c>
      <c r="AM278" s="296">
        <f>IF('Encargos e Benefícios'!C277=0,0,'Encargos e Benefícios'!AC277/'Encargos e Benefícios'!C277)</f>
        <v>817.61999999999989</v>
      </c>
      <c r="AN278" s="297">
        <f>IF('Encargos e Benefícios'!C277=0,0,'Encargos e Benefícios'!AD277/'Encargos e Benefícios'!C277)</f>
        <v>8738.82568888889</v>
      </c>
      <c r="AO278" s="188">
        <v>4968.99</v>
      </c>
      <c r="AP278" s="298">
        <v>3773.6</v>
      </c>
      <c r="AQ278" s="298">
        <v>6164.38</v>
      </c>
      <c r="AR278" s="299" t="s">
        <v>120</v>
      </c>
      <c r="AS278" s="188"/>
    </row>
    <row r="279" spans="1:45">
      <c r="A279" s="286">
        <v>273</v>
      </c>
      <c r="B279" s="81" t="str">
        <f>'Encargos e Benefícios'!B278</f>
        <v>Advogado</v>
      </c>
      <c r="C279" s="287">
        <f>'Encargos e Benefícios'!C278</f>
        <v>1</v>
      </c>
      <c r="D279" s="288">
        <v>30</v>
      </c>
      <c r="E279" s="300">
        <v>45261</v>
      </c>
      <c r="F279" s="301">
        <v>47058</v>
      </c>
      <c r="G279" s="293">
        <v>45413</v>
      </c>
      <c r="H279" s="294">
        <v>5.8400000000000001E-2</v>
      </c>
      <c r="I279" s="256">
        <v>29.2</v>
      </c>
      <c r="J279" s="256">
        <v>6.87</v>
      </c>
      <c r="K279" s="256"/>
      <c r="L279" s="256"/>
      <c r="M279" s="293">
        <v>45778</v>
      </c>
      <c r="N279" s="294">
        <v>5.8400000000000001E-2</v>
      </c>
      <c r="O279" s="256">
        <v>30.9</v>
      </c>
      <c r="P279" s="256">
        <v>7.27</v>
      </c>
      <c r="Q279" s="256"/>
      <c r="R279" s="256"/>
      <c r="S279" s="293">
        <v>46143</v>
      </c>
      <c r="T279" s="294">
        <v>5.8400000000000001E-2</v>
      </c>
      <c r="U279" s="256">
        <v>32.71</v>
      </c>
      <c r="V279" s="256">
        <v>7.82</v>
      </c>
      <c r="W279" s="256"/>
      <c r="X279" s="256"/>
      <c r="Y279" s="293">
        <v>46508</v>
      </c>
      <c r="Z279" s="294">
        <v>5.8400000000000001E-2</v>
      </c>
      <c r="AA279" s="256">
        <v>34.619999999999997</v>
      </c>
      <c r="AB279" s="256">
        <v>8.7100000000000009</v>
      </c>
      <c r="AC279" s="256"/>
      <c r="AD279" s="256"/>
      <c r="AE279" s="293">
        <v>46874</v>
      </c>
      <c r="AF279" s="294">
        <v>5.8400000000000001E-2</v>
      </c>
      <c r="AG279" s="256">
        <v>36.64</v>
      </c>
      <c r="AH279" s="256">
        <v>10.17</v>
      </c>
      <c r="AI279" s="256"/>
      <c r="AJ279" s="257"/>
      <c r="AK279" s="296">
        <f>'Encargos e Benefícios'!D278</f>
        <v>2600</v>
      </c>
      <c r="AL279" s="296">
        <f>IF('Encargos e Benefícios'!C278=0,0,'Encargos e Benefícios'!U278/'Encargos e Benefícios'!C278)</f>
        <v>2114.088888888889</v>
      </c>
      <c r="AM279" s="296">
        <f>IF('Encargos e Benefícios'!C278=0,0,'Encargos e Benefícios'!AC278/'Encargos e Benefícios'!C278)</f>
        <v>916.87999999999988</v>
      </c>
      <c r="AN279" s="297">
        <f>IF('Encargos e Benefícios'!C278=0,0,'Encargos e Benefícios'!AD278/'Encargos e Benefícios'!C278)</f>
        <v>5630.9688888888895</v>
      </c>
      <c r="AO279" s="188">
        <v>2365.86</v>
      </c>
      <c r="AP279" s="298">
        <v>1700</v>
      </c>
      <c r="AQ279" s="298">
        <v>3031.72</v>
      </c>
      <c r="AR279" s="299" t="s">
        <v>120</v>
      </c>
      <c r="AS279" s="188"/>
    </row>
    <row r="280" spans="1:45">
      <c r="A280" s="286">
        <v>274</v>
      </c>
      <c r="B280" s="81" t="str">
        <f>'Encargos e Benefícios'!B279</f>
        <v>Assistente Social</v>
      </c>
      <c r="C280" s="287">
        <f>'Encargos e Benefícios'!C279</f>
        <v>1</v>
      </c>
      <c r="D280" s="288">
        <v>30</v>
      </c>
      <c r="E280" s="300">
        <v>45261</v>
      </c>
      <c r="F280" s="301">
        <v>47058</v>
      </c>
      <c r="G280" s="293">
        <v>45413</v>
      </c>
      <c r="H280" s="294">
        <v>5.8400000000000001E-2</v>
      </c>
      <c r="I280" s="256">
        <v>29.2</v>
      </c>
      <c r="J280" s="256">
        <v>6.87</v>
      </c>
      <c r="K280" s="256"/>
      <c r="L280" s="256"/>
      <c r="M280" s="293">
        <v>45778</v>
      </c>
      <c r="N280" s="294">
        <v>5.8400000000000001E-2</v>
      </c>
      <c r="O280" s="256">
        <v>30.9</v>
      </c>
      <c r="P280" s="256">
        <v>7.27</v>
      </c>
      <c r="Q280" s="256"/>
      <c r="R280" s="256"/>
      <c r="S280" s="293">
        <v>46143</v>
      </c>
      <c r="T280" s="294">
        <v>5.8400000000000001E-2</v>
      </c>
      <c r="U280" s="256">
        <v>32.71</v>
      </c>
      <c r="V280" s="256">
        <v>7.82</v>
      </c>
      <c r="W280" s="256"/>
      <c r="X280" s="256"/>
      <c r="Y280" s="293">
        <v>46508</v>
      </c>
      <c r="Z280" s="294">
        <v>5.8400000000000001E-2</v>
      </c>
      <c r="AA280" s="256">
        <v>34.619999999999997</v>
      </c>
      <c r="AB280" s="256">
        <v>8.7100000000000009</v>
      </c>
      <c r="AC280" s="256"/>
      <c r="AD280" s="256"/>
      <c r="AE280" s="293">
        <v>46874</v>
      </c>
      <c r="AF280" s="294">
        <v>5.8400000000000001E-2</v>
      </c>
      <c r="AG280" s="256">
        <v>36.64</v>
      </c>
      <c r="AH280" s="256">
        <v>10.17</v>
      </c>
      <c r="AI280" s="256"/>
      <c r="AJ280" s="257"/>
      <c r="AK280" s="296">
        <f>'Encargos e Benefícios'!D279</f>
        <v>2600</v>
      </c>
      <c r="AL280" s="296">
        <f>IF('Encargos e Benefícios'!C279=0,0,'Encargos e Benefícios'!U279/'Encargos e Benefícios'!C279)</f>
        <v>2114.088888888889</v>
      </c>
      <c r="AM280" s="296">
        <f>IF('Encargos e Benefícios'!C279=0,0,'Encargos e Benefícios'!AC279/'Encargos e Benefícios'!C279)</f>
        <v>916.87999999999988</v>
      </c>
      <c r="AN280" s="297">
        <f>IF('Encargos e Benefícios'!C279=0,0,'Encargos e Benefícios'!AD279/'Encargos e Benefícios'!C279)</f>
        <v>5630.9688888888895</v>
      </c>
      <c r="AO280" s="188">
        <v>3479.77</v>
      </c>
      <c r="AP280" s="298">
        <v>2252.3200000000002</v>
      </c>
      <c r="AQ280" s="298">
        <v>4707.22</v>
      </c>
      <c r="AR280" s="299" t="s">
        <v>120</v>
      </c>
      <c r="AS280" s="188"/>
    </row>
    <row r="281" spans="1:45">
      <c r="A281" s="286">
        <v>275</v>
      </c>
      <c r="B281" s="81" t="str">
        <f>'Encargos e Benefícios'!B280</f>
        <v>Pedagogo</v>
      </c>
      <c r="C281" s="287">
        <f>'Encargos e Benefícios'!C280</f>
        <v>1</v>
      </c>
      <c r="D281" s="288">
        <v>30</v>
      </c>
      <c r="E281" s="300">
        <v>45261</v>
      </c>
      <c r="F281" s="301">
        <v>47058</v>
      </c>
      <c r="G281" s="293">
        <v>45413</v>
      </c>
      <c r="H281" s="294">
        <v>5.8400000000000001E-2</v>
      </c>
      <c r="I281" s="256">
        <v>29.2</v>
      </c>
      <c r="J281" s="256">
        <v>6.87</v>
      </c>
      <c r="K281" s="256"/>
      <c r="L281" s="256"/>
      <c r="M281" s="293">
        <v>45778</v>
      </c>
      <c r="N281" s="294">
        <v>5.8400000000000001E-2</v>
      </c>
      <c r="O281" s="256">
        <v>30.9</v>
      </c>
      <c r="P281" s="256">
        <v>7.27</v>
      </c>
      <c r="Q281" s="256"/>
      <c r="R281" s="256"/>
      <c r="S281" s="293">
        <v>46143</v>
      </c>
      <c r="T281" s="294">
        <v>5.8400000000000001E-2</v>
      </c>
      <c r="U281" s="256">
        <v>32.71</v>
      </c>
      <c r="V281" s="256">
        <v>7.82</v>
      </c>
      <c r="W281" s="256"/>
      <c r="X281" s="256"/>
      <c r="Y281" s="293">
        <v>46508</v>
      </c>
      <c r="Z281" s="294">
        <v>5.8400000000000001E-2</v>
      </c>
      <c r="AA281" s="256">
        <v>34.619999999999997</v>
      </c>
      <c r="AB281" s="256">
        <v>8.7100000000000009</v>
      </c>
      <c r="AC281" s="256"/>
      <c r="AD281" s="256"/>
      <c r="AE281" s="293">
        <v>46874</v>
      </c>
      <c r="AF281" s="294">
        <v>5.8400000000000001E-2</v>
      </c>
      <c r="AG281" s="256">
        <v>36.64</v>
      </c>
      <c r="AH281" s="256">
        <v>10.17</v>
      </c>
      <c r="AI281" s="256"/>
      <c r="AJ281" s="257"/>
      <c r="AK281" s="296">
        <f>'Encargos e Benefícios'!D280</f>
        <v>2600</v>
      </c>
      <c r="AL281" s="296">
        <f>IF('Encargos e Benefícios'!C280=0,0,'Encargos e Benefícios'!U280/'Encargos e Benefícios'!C280)</f>
        <v>2114.088888888889</v>
      </c>
      <c r="AM281" s="296">
        <f>IF('Encargos e Benefícios'!C280=0,0,'Encargos e Benefícios'!AC280/'Encargos e Benefícios'!C280)</f>
        <v>916.87999999999988</v>
      </c>
      <c r="AN281" s="297">
        <f>IF('Encargos e Benefícios'!C280=0,0,'Encargos e Benefícios'!AD280/'Encargos e Benefícios'!C280)</f>
        <v>5630.9688888888895</v>
      </c>
      <c r="AO281" s="188">
        <v>2293.52</v>
      </c>
      <c r="AP281" s="298">
        <v>1700</v>
      </c>
      <c r="AQ281" s="298">
        <v>2887.04</v>
      </c>
      <c r="AR281" s="299" t="s">
        <v>120</v>
      </c>
      <c r="AS281" s="188"/>
    </row>
    <row r="282" spans="1:45">
      <c r="A282" s="286">
        <v>276</v>
      </c>
      <c r="B282" s="81" t="str">
        <f>'Encargos e Benefícios'!B281</f>
        <v>Psicologo</v>
      </c>
      <c r="C282" s="287">
        <f>'Encargos e Benefícios'!C281</f>
        <v>1</v>
      </c>
      <c r="D282" s="288">
        <v>30</v>
      </c>
      <c r="E282" s="300">
        <v>45261</v>
      </c>
      <c r="F282" s="301">
        <v>47058</v>
      </c>
      <c r="G282" s="293">
        <v>45413</v>
      </c>
      <c r="H282" s="294">
        <v>5.8400000000000001E-2</v>
      </c>
      <c r="I282" s="256">
        <v>29.2</v>
      </c>
      <c r="J282" s="256">
        <v>6.87</v>
      </c>
      <c r="K282" s="256"/>
      <c r="L282" s="256"/>
      <c r="M282" s="293">
        <v>45778</v>
      </c>
      <c r="N282" s="294">
        <v>5.8400000000000001E-2</v>
      </c>
      <c r="O282" s="256">
        <v>30.9</v>
      </c>
      <c r="P282" s="256">
        <v>7.27</v>
      </c>
      <c r="Q282" s="256"/>
      <c r="R282" s="256"/>
      <c r="S282" s="293">
        <v>46143</v>
      </c>
      <c r="T282" s="294">
        <v>5.8400000000000001E-2</v>
      </c>
      <c r="U282" s="256">
        <v>32.71</v>
      </c>
      <c r="V282" s="256">
        <v>7.82</v>
      </c>
      <c r="W282" s="256"/>
      <c r="X282" s="256"/>
      <c r="Y282" s="293">
        <v>46508</v>
      </c>
      <c r="Z282" s="294">
        <v>5.8400000000000001E-2</v>
      </c>
      <c r="AA282" s="256">
        <v>34.619999999999997</v>
      </c>
      <c r="AB282" s="256">
        <v>8.7100000000000009</v>
      </c>
      <c r="AC282" s="256"/>
      <c r="AD282" s="256"/>
      <c r="AE282" s="293">
        <v>46874</v>
      </c>
      <c r="AF282" s="294">
        <v>5.8400000000000001E-2</v>
      </c>
      <c r="AG282" s="256">
        <v>36.64</v>
      </c>
      <c r="AH282" s="256">
        <v>10.17</v>
      </c>
      <c r="AI282" s="256"/>
      <c r="AJ282" s="257"/>
      <c r="AK282" s="296">
        <f>'Encargos e Benefícios'!D281</f>
        <v>2600</v>
      </c>
      <c r="AL282" s="296">
        <f>IF('Encargos e Benefícios'!C281=0,0,'Encargos e Benefícios'!U281/'Encargos e Benefícios'!C281)</f>
        <v>2114.088888888889</v>
      </c>
      <c r="AM282" s="296">
        <f>IF('Encargos e Benefícios'!C281=0,0,'Encargos e Benefícios'!AC281/'Encargos e Benefícios'!C281)</f>
        <v>916.87999999999988</v>
      </c>
      <c r="AN282" s="297">
        <f>IF('Encargos e Benefícios'!C281=0,0,'Encargos e Benefícios'!AD281/'Encargos e Benefícios'!C281)</f>
        <v>5630.9688888888895</v>
      </c>
      <c r="AO282" s="188">
        <v>3202.11</v>
      </c>
      <c r="AP282" s="298">
        <v>1700</v>
      </c>
      <c r="AQ282" s="298">
        <v>4704.22</v>
      </c>
      <c r="AR282" s="299" t="s">
        <v>120</v>
      </c>
      <c r="AS282" s="188"/>
    </row>
    <row r="283" spans="1:45">
      <c r="A283" s="286">
        <v>277</v>
      </c>
      <c r="B283" s="81" t="str">
        <f>'Encargos e Benefícios'!B282</f>
        <v>Terapeuta Ocupacional</v>
      </c>
      <c r="C283" s="287">
        <f>'Encargos e Benefícios'!C282</f>
        <v>1</v>
      </c>
      <c r="D283" s="288">
        <v>30</v>
      </c>
      <c r="E283" s="300">
        <v>45261</v>
      </c>
      <c r="F283" s="301">
        <v>47058</v>
      </c>
      <c r="G283" s="293">
        <v>45413</v>
      </c>
      <c r="H283" s="294">
        <v>5.8400000000000001E-2</v>
      </c>
      <c r="I283" s="256">
        <v>29.2</v>
      </c>
      <c r="J283" s="256">
        <v>6.87</v>
      </c>
      <c r="K283" s="256"/>
      <c r="L283" s="256"/>
      <c r="M283" s="293">
        <v>45778</v>
      </c>
      <c r="N283" s="294">
        <v>5.8400000000000001E-2</v>
      </c>
      <c r="O283" s="256">
        <v>30.9</v>
      </c>
      <c r="P283" s="256">
        <v>7.27</v>
      </c>
      <c r="Q283" s="256"/>
      <c r="R283" s="256"/>
      <c r="S283" s="293">
        <v>46143</v>
      </c>
      <c r="T283" s="294">
        <v>5.8400000000000001E-2</v>
      </c>
      <c r="U283" s="256">
        <v>32.71</v>
      </c>
      <c r="V283" s="256">
        <v>7.82</v>
      </c>
      <c r="W283" s="256"/>
      <c r="X283" s="256"/>
      <c r="Y283" s="293">
        <v>46508</v>
      </c>
      <c r="Z283" s="294">
        <v>5.8400000000000001E-2</v>
      </c>
      <c r="AA283" s="256">
        <v>34.619999999999997</v>
      </c>
      <c r="AB283" s="256">
        <v>8.7100000000000009</v>
      </c>
      <c r="AC283" s="256"/>
      <c r="AD283" s="256"/>
      <c r="AE283" s="293">
        <v>46874</v>
      </c>
      <c r="AF283" s="294">
        <v>5.8400000000000001E-2</v>
      </c>
      <c r="AG283" s="256">
        <v>36.64</v>
      </c>
      <c r="AH283" s="256">
        <v>10.17</v>
      </c>
      <c r="AI283" s="256"/>
      <c r="AJ283" s="257"/>
      <c r="AK283" s="296">
        <f>'Encargos e Benefícios'!D282</f>
        <v>2600</v>
      </c>
      <c r="AL283" s="296">
        <f>IF('Encargos e Benefícios'!C282=0,0,'Encargos e Benefícios'!U282/'Encargos e Benefícios'!C282)</f>
        <v>2114.088888888889</v>
      </c>
      <c r="AM283" s="296">
        <f>IF('Encargos e Benefícios'!C282=0,0,'Encargos e Benefícios'!AC282/'Encargos e Benefícios'!C282)</f>
        <v>916.87999999999988</v>
      </c>
      <c r="AN283" s="297">
        <f>IF('Encargos e Benefícios'!C282=0,0,'Encargos e Benefícios'!AD282/'Encargos e Benefícios'!C282)</f>
        <v>5630.9688888888895</v>
      </c>
      <c r="AO283" s="188">
        <v>3478.27</v>
      </c>
      <c r="AP283" s="298">
        <v>2252.3200000000002</v>
      </c>
      <c r="AQ283" s="298">
        <v>4704.22</v>
      </c>
      <c r="AR283" s="299" t="s">
        <v>120</v>
      </c>
      <c r="AS283" s="188"/>
    </row>
    <row r="284" spans="1:45">
      <c r="A284" s="286">
        <v>278</v>
      </c>
      <c r="B284" s="81" t="str">
        <f>'Encargos e Benefícios'!B283</f>
        <v>Administrativo</v>
      </c>
      <c r="C284" s="287">
        <f>'Encargos e Benefícios'!C283</f>
        <v>1</v>
      </c>
      <c r="D284" s="288">
        <v>40</v>
      </c>
      <c r="E284" s="300">
        <v>45261</v>
      </c>
      <c r="F284" s="301">
        <v>47058</v>
      </c>
      <c r="G284" s="293">
        <v>45413</v>
      </c>
      <c r="H284" s="294">
        <v>5.8400000000000001E-2</v>
      </c>
      <c r="I284" s="256">
        <v>29.2</v>
      </c>
      <c r="J284" s="256">
        <v>6.87</v>
      </c>
      <c r="K284" s="256"/>
      <c r="L284" s="256"/>
      <c r="M284" s="293">
        <v>45778</v>
      </c>
      <c r="N284" s="294">
        <v>5.8400000000000001E-2</v>
      </c>
      <c r="O284" s="256">
        <v>30.9</v>
      </c>
      <c r="P284" s="256">
        <v>7.27</v>
      </c>
      <c r="Q284" s="256"/>
      <c r="R284" s="256"/>
      <c r="S284" s="293">
        <v>46143</v>
      </c>
      <c r="T284" s="294">
        <v>5.8400000000000001E-2</v>
      </c>
      <c r="U284" s="256">
        <v>32.71</v>
      </c>
      <c r="V284" s="256">
        <v>7.82</v>
      </c>
      <c r="W284" s="256"/>
      <c r="X284" s="256"/>
      <c r="Y284" s="293">
        <v>46508</v>
      </c>
      <c r="Z284" s="294">
        <v>5.8400000000000001E-2</v>
      </c>
      <c r="AA284" s="256">
        <v>34.619999999999997</v>
      </c>
      <c r="AB284" s="256">
        <v>8.7100000000000009</v>
      </c>
      <c r="AC284" s="256"/>
      <c r="AD284" s="256"/>
      <c r="AE284" s="293">
        <v>46874</v>
      </c>
      <c r="AF284" s="294">
        <v>5.8400000000000001E-2</v>
      </c>
      <c r="AG284" s="256">
        <v>36.64</v>
      </c>
      <c r="AH284" s="256">
        <v>10.17</v>
      </c>
      <c r="AI284" s="256"/>
      <c r="AJ284" s="257"/>
      <c r="AK284" s="296">
        <f>'Encargos e Benefícios'!D283</f>
        <v>1750</v>
      </c>
      <c r="AL284" s="296">
        <f>IF('Encargos e Benefícios'!C283=0,0,'Encargos e Benefícios'!U283/'Encargos e Benefícios'!C283)</f>
        <v>1422.9444444444443</v>
      </c>
      <c r="AM284" s="296">
        <f>IF('Encargos e Benefícios'!C283=0,0,'Encargos e Benefícios'!AC283/'Encargos e Benefícios'!C283)</f>
        <v>916.87999999999988</v>
      </c>
      <c r="AN284" s="297">
        <f>IF('Encargos e Benefícios'!C283=0,0,'Encargos e Benefícios'!AD283/'Encargos e Benefícios'!C283)</f>
        <v>4089.8244444444445</v>
      </c>
      <c r="AO284" s="188">
        <v>1786.2</v>
      </c>
      <c r="AP284" s="298">
        <v>1352.9</v>
      </c>
      <c r="AQ284" s="298">
        <v>2219.4899999999998</v>
      </c>
      <c r="AR284" s="299" t="s">
        <v>120</v>
      </c>
      <c r="AS284" s="188"/>
    </row>
    <row r="285" spans="1:45">
      <c r="A285" s="286">
        <v>279</v>
      </c>
      <c r="B285" s="81" t="str">
        <f>'Encargos e Benefícios'!B284</f>
        <v>Auxiliar Educacional</v>
      </c>
      <c r="C285" s="287">
        <f>'Encargos e Benefícios'!C284</f>
        <v>1</v>
      </c>
      <c r="D285" s="288">
        <v>30</v>
      </c>
      <c r="E285" s="300">
        <v>45261</v>
      </c>
      <c r="F285" s="301">
        <v>47058</v>
      </c>
      <c r="G285" s="293">
        <v>45413</v>
      </c>
      <c r="H285" s="294">
        <v>5.8400000000000001E-2</v>
      </c>
      <c r="I285" s="256">
        <v>29.2</v>
      </c>
      <c r="J285" s="256">
        <v>6.87</v>
      </c>
      <c r="K285" s="256"/>
      <c r="L285" s="256"/>
      <c r="M285" s="293">
        <v>45778</v>
      </c>
      <c r="N285" s="294">
        <v>5.8400000000000001E-2</v>
      </c>
      <c r="O285" s="256">
        <v>30.9</v>
      </c>
      <c r="P285" s="256">
        <v>7.27</v>
      </c>
      <c r="Q285" s="256"/>
      <c r="R285" s="256"/>
      <c r="S285" s="293">
        <v>46143</v>
      </c>
      <c r="T285" s="294">
        <v>5.8400000000000001E-2</v>
      </c>
      <c r="U285" s="256">
        <v>32.71</v>
      </c>
      <c r="V285" s="256">
        <v>7.82</v>
      </c>
      <c r="W285" s="256"/>
      <c r="X285" s="256"/>
      <c r="Y285" s="293">
        <v>46508</v>
      </c>
      <c r="Z285" s="294">
        <v>5.8400000000000001E-2</v>
      </c>
      <c r="AA285" s="256">
        <v>34.619999999999997</v>
      </c>
      <c r="AB285" s="256">
        <v>8.7100000000000009</v>
      </c>
      <c r="AC285" s="256"/>
      <c r="AD285" s="256"/>
      <c r="AE285" s="293">
        <v>46874</v>
      </c>
      <c r="AF285" s="294">
        <v>5.8400000000000001E-2</v>
      </c>
      <c r="AG285" s="256">
        <v>36.64</v>
      </c>
      <c r="AH285" s="256">
        <v>10.17</v>
      </c>
      <c r="AI285" s="256"/>
      <c r="AJ285" s="257"/>
      <c r="AK285" s="296">
        <f>'Encargos e Benefícios'!D284</f>
        <v>1642</v>
      </c>
      <c r="AL285" s="296">
        <f>IF('Encargos e Benefícios'!C284=0,0,'Encargos e Benefícios'!U284/'Encargos e Benefícios'!C284)</f>
        <v>1335.1284444444443</v>
      </c>
      <c r="AM285" s="296">
        <f>IF('Encargos e Benefícios'!C284=0,0,'Encargos e Benefícios'!AC284/'Encargos e Benefícios'!C284)</f>
        <v>916.87999999999988</v>
      </c>
      <c r="AN285" s="297">
        <f>IF('Encargos e Benefícios'!C284=0,0,'Encargos e Benefícios'!AD284/'Encargos e Benefícios'!C284)</f>
        <v>3894.0084444444446</v>
      </c>
      <c r="AO285" s="188">
        <v>1756.04</v>
      </c>
      <c r="AP285" s="298">
        <v>1400</v>
      </c>
      <c r="AQ285" s="298">
        <v>2112.08</v>
      </c>
      <c r="AR285" s="299" t="s">
        <v>120</v>
      </c>
      <c r="AS285" s="188"/>
    </row>
    <row r="286" spans="1:45">
      <c r="A286" s="286">
        <v>280</v>
      </c>
      <c r="B286" s="81" t="str">
        <f>'Encargos e Benefícios'!B285</f>
        <v>Auxiliar de Serviços Gerais</v>
      </c>
      <c r="C286" s="287">
        <f>'Encargos e Benefícios'!C285</f>
        <v>1</v>
      </c>
      <c r="D286" s="288">
        <v>30</v>
      </c>
      <c r="E286" s="300">
        <v>45261</v>
      </c>
      <c r="F286" s="301">
        <v>47058</v>
      </c>
      <c r="G286" s="293">
        <v>45413</v>
      </c>
      <c r="H286" s="294">
        <v>5.8400000000000001E-2</v>
      </c>
      <c r="I286" s="256">
        <v>29.2</v>
      </c>
      <c r="J286" s="256">
        <v>6.87</v>
      </c>
      <c r="K286" s="256"/>
      <c r="L286" s="256"/>
      <c r="M286" s="293">
        <v>45778</v>
      </c>
      <c r="N286" s="294">
        <v>5.8400000000000001E-2</v>
      </c>
      <c r="O286" s="256">
        <v>30.9</v>
      </c>
      <c r="P286" s="256">
        <v>7.27</v>
      </c>
      <c r="Q286" s="256"/>
      <c r="R286" s="256"/>
      <c r="S286" s="293">
        <v>46143</v>
      </c>
      <c r="T286" s="294">
        <v>5.8400000000000001E-2</v>
      </c>
      <c r="U286" s="256">
        <v>32.71</v>
      </c>
      <c r="V286" s="256">
        <v>7.82</v>
      </c>
      <c r="W286" s="256"/>
      <c r="X286" s="256"/>
      <c r="Y286" s="293">
        <v>46508</v>
      </c>
      <c r="Z286" s="294">
        <v>5.8400000000000001E-2</v>
      </c>
      <c r="AA286" s="256">
        <v>34.619999999999997</v>
      </c>
      <c r="AB286" s="256">
        <v>8.7100000000000009</v>
      </c>
      <c r="AC286" s="256"/>
      <c r="AD286" s="256"/>
      <c r="AE286" s="293">
        <v>46874</v>
      </c>
      <c r="AF286" s="294">
        <v>5.8400000000000001E-2</v>
      </c>
      <c r="AG286" s="256">
        <v>36.64</v>
      </c>
      <c r="AH286" s="256">
        <v>10.17</v>
      </c>
      <c r="AI286" s="256"/>
      <c r="AJ286" s="257"/>
      <c r="AK286" s="296">
        <f>'Encargos e Benefícios'!D285</f>
        <v>1385</v>
      </c>
      <c r="AL286" s="296">
        <f>IF('Encargos e Benefícios'!C285=0,0,'Encargos e Benefícios'!U285/'Encargos e Benefícios'!C285)</f>
        <v>1126.1588888888887</v>
      </c>
      <c r="AM286" s="296">
        <f>IF('Encargos e Benefícios'!C285=0,0,'Encargos e Benefícios'!AC285/'Encargos e Benefícios'!C285)</f>
        <v>916.87999999999988</v>
      </c>
      <c r="AN286" s="297">
        <f>IF('Encargos e Benefícios'!C285=0,0,'Encargos e Benefícios'!AD285/'Encargos e Benefícios'!C285)</f>
        <v>3428.0388888888883</v>
      </c>
      <c r="AO286" s="188">
        <v>1380.2</v>
      </c>
      <c r="AP286" s="298">
        <v>1320</v>
      </c>
      <c r="AQ286" s="298">
        <v>1440.4</v>
      </c>
      <c r="AR286" s="299" t="s">
        <v>120</v>
      </c>
      <c r="AS286" s="188"/>
    </row>
    <row r="287" spans="1:45">
      <c r="A287" s="286">
        <v>281</v>
      </c>
      <c r="B287" s="81" t="str">
        <f>'Encargos e Benefícios'!B286</f>
        <v>Motorista</v>
      </c>
      <c r="C287" s="287">
        <f>'Encargos e Benefícios'!C286</f>
        <v>1</v>
      </c>
      <c r="D287" s="288">
        <v>40</v>
      </c>
      <c r="E287" s="300">
        <v>45261</v>
      </c>
      <c r="F287" s="301">
        <v>47058</v>
      </c>
      <c r="G287" s="293">
        <v>45413</v>
      </c>
      <c r="H287" s="294">
        <v>5.8400000000000001E-2</v>
      </c>
      <c r="I287" s="256">
        <v>29.2</v>
      </c>
      <c r="J287" s="256">
        <v>6.87</v>
      </c>
      <c r="K287" s="256"/>
      <c r="L287" s="256"/>
      <c r="M287" s="293">
        <v>45778</v>
      </c>
      <c r="N287" s="294">
        <v>5.8400000000000001E-2</v>
      </c>
      <c r="O287" s="256">
        <v>30.9</v>
      </c>
      <c r="P287" s="256">
        <v>7.27</v>
      </c>
      <c r="Q287" s="256"/>
      <c r="R287" s="256"/>
      <c r="S287" s="293">
        <v>46143</v>
      </c>
      <c r="T287" s="294">
        <v>5.8400000000000001E-2</v>
      </c>
      <c r="U287" s="256">
        <v>32.71</v>
      </c>
      <c r="V287" s="256">
        <v>7.82</v>
      </c>
      <c r="W287" s="256"/>
      <c r="X287" s="256"/>
      <c r="Y287" s="293">
        <v>46508</v>
      </c>
      <c r="Z287" s="294">
        <v>5.8400000000000001E-2</v>
      </c>
      <c r="AA287" s="256">
        <v>34.619999999999997</v>
      </c>
      <c r="AB287" s="256">
        <v>8.7100000000000009</v>
      </c>
      <c r="AC287" s="256"/>
      <c r="AD287" s="256"/>
      <c r="AE287" s="293">
        <v>46874</v>
      </c>
      <c r="AF287" s="294">
        <v>5.8400000000000001E-2</v>
      </c>
      <c r="AG287" s="256">
        <v>36.64</v>
      </c>
      <c r="AH287" s="256">
        <v>10.17</v>
      </c>
      <c r="AI287" s="256"/>
      <c r="AJ287" s="257"/>
      <c r="AK287" s="296">
        <f>'Encargos e Benefícios'!D286</f>
        <v>1452.39</v>
      </c>
      <c r="AL287" s="296">
        <f>IF('Encargos e Benefícios'!C286=0,0,'Encargos e Benefícios'!U286/'Encargos e Benefícios'!C286)</f>
        <v>1180.9544466666669</v>
      </c>
      <c r="AM287" s="296">
        <f>IF('Encargos e Benefícios'!C286=0,0,'Encargos e Benefícios'!AC286/'Encargos e Benefícios'!C286)</f>
        <v>916.87999999999988</v>
      </c>
      <c r="AN287" s="297">
        <f>IF('Encargos e Benefícios'!C286=0,0,'Encargos e Benefícios'!AD286/'Encargos e Benefícios'!C286)</f>
        <v>3550.2244466666671</v>
      </c>
      <c r="AO287" s="188">
        <v>1676.09</v>
      </c>
      <c r="AP287" s="298">
        <v>1377.85</v>
      </c>
      <c r="AQ287" s="298">
        <v>1974.32</v>
      </c>
      <c r="AR287" s="299" t="s">
        <v>120</v>
      </c>
      <c r="AS287" s="188"/>
    </row>
    <row r="288" spans="1:45">
      <c r="A288" s="286">
        <v>282</v>
      </c>
      <c r="B288" s="81" t="str">
        <f>'Encargos e Benefícios'!B287</f>
        <v>Socioeducador - DC</v>
      </c>
      <c r="C288" s="287">
        <f>'Encargos e Benefícios'!C287</f>
        <v>2</v>
      </c>
      <c r="D288" s="288" t="s">
        <v>504</v>
      </c>
      <c r="E288" s="300">
        <v>45261</v>
      </c>
      <c r="F288" s="301">
        <v>47058</v>
      </c>
      <c r="G288" s="293">
        <v>45413</v>
      </c>
      <c r="H288" s="294">
        <v>5.8400000000000001E-2</v>
      </c>
      <c r="I288" s="256">
        <v>29.2</v>
      </c>
      <c r="J288" s="256">
        <v>6.87</v>
      </c>
      <c r="K288" s="256"/>
      <c r="L288" s="256"/>
      <c r="M288" s="293">
        <v>45778</v>
      </c>
      <c r="N288" s="294">
        <v>5.8400000000000001E-2</v>
      </c>
      <c r="O288" s="256">
        <v>30.9</v>
      </c>
      <c r="P288" s="256">
        <v>7.27</v>
      </c>
      <c r="Q288" s="256"/>
      <c r="R288" s="256"/>
      <c r="S288" s="293">
        <v>46143</v>
      </c>
      <c r="T288" s="294">
        <v>5.8400000000000001E-2</v>
      </c>
      <c r="U288" s="256">
        <v>32.71</v>
      </c>
      <c r="V288" s="256">
        <v>7.82</v>
      </c>
      <c r="W288" s="256"/>
      <c r="X288" s="256"/>
      <c r="Y288" s="293">
        <v>46508</v>
      </c>
      <c r="Z288" s="294">
        <v>5.8400000000000001E-2</v>
      </c>
      <c r="AA288" s="256">
        <v>34.619999999999997</v>
      </c>
      <c r="AB288" s="256">
        <v>8.7100000000000009</v>
      </c>
      <c r="AC288" s="256"/>
      <c r="AD288" s="256"/>
      <c r="AE288" s="293">
        <v>46874</v>
      </c>
      <c r="AF288" s="294">
        <v>5.8400000000000001E-2</v>
      </c>
      <c r="AG288" s="256">
        <v>36.64</v>
      </c>
      <c r="AH288" s="256">
        <v>10.17</v>
      </c>
      <c r="AI288" s="256"/>
      <c r="AJ288" s="257"/>
      <c r="AK288" s="296">
        <f>'Encargos e Benefícios'!D287</f>
        <v>1900</v>
      </c>
      <c r="AL288" s="296">
        <f>IF('Encargos e Benefícios'!C287=0,0,'Encargos e Benefícios'!U287/'Encargos e Benefícios'!C287)</f>
        <v>2544.7966666666666</v>
      </c>
      <c r="AM288" s="296">
        <f>IF('Encargos e Benefícios'!C287=0,0,'Encargos e Benefícios'!AC287/'Encargos e Benefícios'!C287)</f>
        <v>442.65</v>
      </c>
      <c r="AN288" s="297">
        <f>IF('Encargos e Benefícios'!C287=0,0,'Encargos e Benefícios'!AD287/'Encargos e Benefícios'!C287)</f>
        <v>4887.4466666666667</v>
      </c>
      <c r="AO288" s="188">
        <v>3219.15</v>
      </c>
      <c r="AP288" s="298">
        <v>1764.5</v>
      </c>
      <c r="AQ288" s="298">
        <v>4673.8</v>
      </c>
      <c r="AR288" s="299" t="s">
        <v>120</v>
      </c>
      <c r="AS288" s="188"/>
    </row>
    <row r="289" spans="1:45">
      <c r="A289" s="286">
        <v>283</v>
      </c>
      <c r="B289" s="81" t="str">
        <f>'Encargos e Benefícios'!B288</f>
        <v>Socioeducador - D</v>
      </c>
      <c r="C289" s="287">
        <f>'Encargos e Benefícios'!C288</f>
        <v>12</v>
      </c>
      <c r="D289" s="288" t="s">
        <v>504</v>
      </c>
      <c r="E289" s="300">
        <v>45261</v>
      </c>
      <c r="F289" s="301">
        <v>47058</v>
      </c>
      <c r="G289" s="293">
        <v>45413</v>
      </c>
      <c r="H289" s="294">
        <v>5.8400000000000001E-2</v>
      </c>
      <c r="I289" s="256">
        <v>29.2</v>
      </c>
      <c r="J289" s="256">
        <v>6.87</v>
      </c>
      <c r="K289" s="256"/>
      <c r="L289" s="256"/>
      <c r="M289" s="293">
        <v>45778</v>
      </c>
      <c r="N289" s="294">
        <v>5.8400000000000001E-2</v>
      </c>
      <c r="O289" s="256">
        <v>30.9</v>
      </c>
      <c r="P289" s="256">
        <v>7.27</v>
      </c>
      <c r="Q289" s="256"/>
      <c r="R289" s="256"/>
      <c r="S289" s="293">
        <v>46143</v>
      </c>
      <c r="T289" s="294">
        <v>5.8400000000000001E-2</v>
      </c>
      <c r="U289" s="256">
        <v>32.71</v>
      </c>
      <c r="V289" s="256">
        <v>7.82</v>
      </c>
      <c r="W289" s="256"/>
      <c r="X289" s="256"/>
      <c r="Y289" s="293">
        <v>46508</v>
      </c>
      <c r="Z289" s="294">
        <v>5.8400000000000001E-2</v>
      </c>
      <c r="AA289" s="256">
        <v>34.619999999999997</v>
      </c>
      <c r="AB289" s="256">
        <v>8.7100000000000009</v>
      </c>
      <c r="AC289" s="256"/>
      <c r="AD289" s="256"/>
      <c r="AE289" s="293">
        <v>46874</v>
      </c>
      <c r="AF289" s="294">
        <v>5.8400000000000001E-2</v>
      </c>
      <c r="AG289" s="256">
        <v>36.64</v>
      </c>
      <c r="AH289" s="256">
        <v>10.17</v>
      </c>
      <c r="AI289" s="256"/>
      <c r="AJ289" s="257"/>
      <c r="AK289" s="296">
        <f>'Encargos e Benefícios'!D288</f>
        <v>1900</v>
      </c>
      <c r="AL289" s="296">
        <f>IF('Encargos e Benefícios'!C288=0,0,'Encargos e Benefícios'!U288/'Encargos e Benefícios'!C288)</f>
        <v>2281.7944444444447</v>
      </c>
      <c r="AM289" s="296">
        <f>IF('Encargos e Benefícios'!C288=0,0,'Encargos e Benefícios'!AC288/'Encargos e Benefícios'!C288)</f>
        <v>73.774999999999991</v>
      </c>
      <c r="AN289" s="297">
        <f>IF('Encargos e Benefícios'!C288=0,0,'Encargos e Benefícios'!AD288/'Encargos e Benefícios'!C288)</f>
        <v>4255.5694444444453</v>
      </c>
      <c r="AO289" s="188">
        <v>3219.15</v>
      </c>
      <c r="AP289" s="298">
        <v>1764.5</v>
      </c>
      <c r="AQ289" s="298">
        <v>4673.8</v>
      </c>
      <c r="AR289" s="299" t="s">
        <v>120</v>
      </c>
      <c r="AS289" s="188"/>
    </row>
    <row r="290" spans="1:45">
      <c r="A290" s="286">
        <v>284</v>
      </c>
      <c r="B290" s="81" t="str">
        <f>'Encargos e Benefícios'!B289</f>
        <v>Socioeducador - NC</v>
      </c>
      <c r="C290" s="287">
        <f>'Encargos e Benefícios'!C289</f>
        <v>2</v>
      </c>
      <c r="D290" s="288" t="s">
        <v>504</v>
      </c>
      <c r="E290" s="300">
        <v>45261</v>
      </c>
      <c r="F290" s="301">
        <v>47058</v>
      </c>
      <c r="G290" s="293">
        <v>45413</v>
      </c>
      <c r="H290" s="294">
        <v>5.8400000000000001E-2</v>
      </c>
      <c r="I290" s="256">
        <v>29.2</v>
      </c>
      <c r="J290" s="256">
        <v>6.87</v>
      </c>
      <c r="K290" s="256"/>
      <c r="L290" s="256"/>
      <c r="M290" s="293">
        <v>45778</v>
      </c>
      <c r="N290" s="294">
        <v>5.8400000000000001E-2</v>
      </c>
      <c r="O290" s="256">
        <v>30.9</v>
      </c>
      <c r="P290" s="256">
        <v>7.27</v>
      </c>
      <c r="Q290" s="256"/>
      <c r="R290" s="256"/>
      <c r="S290" s="293">
        <v>46143</v>
      </c>
      <c r="T290" s="294">
        <v>5.8400000000000001E-2</v>
      </c>
      <c r="U290" s="256">
        <v>32.71</v>
      </c>
      <c r="V290" s="256">
        <v>7.82</v>
      </c>
      <c r="W290" s="256"/>
      <c r="X290" s="256"/>
      <c r="Y290" s="293">
        <v>46508</v>
      </c>
      <c r="Z290" s="294">
        <v>5.8400000000000001E-2</v>
      </c>
      <c r="AA290" s="256">
        <v>34.619999999999997</v>
      </c>
      <c r="AB290" s="256">
        <v>8.7100000000000009</v>
      </c>
      <c r="AC290" s="256"/>
      <c r="AD290" s="256"/>
      <c r="AE290" s="293">
        <v>46874</v>
      </c>
      <c r="AF290" s="294">
        <v>5.8400000000000001E-2</v>
      </c>
      <c r="AG290" s="256">
        <v>36.64</v>
      </c>
      <c r="AH290" s="256">
        <v>10.17</v>
      </c>
      <c r="AI290" s="256"/>
      <c r="AJ290" s="257"/>
      <c r="AK290" s="296">
        <f>'Encargos e Benefícios'!D289</f>
        <v>1900</v>
      </c>
      <c r="AL290" s="296">
        <f>IF('Encargos e Benefícios'!C289=0,0,'Encargos e Benefícios'!U289/'Encargos e Benefícios'!C289)</f>
        <v>3013.1818518518517</v>
      </c>
      <c r="AM290" s="296">
        <f>IF('Encargos e Benefícios'!C289=0,0,'Encargos e Benefícios'!AC289/'Encargos e Benefícios'!C289)</f>
        <v>442.65</v>
      </c>
      <c r="AN290" s="297">
        <f>IF('Encargos e Benefícios'!C289=0,0,'Encargos e Benefícios'!AD289/'Encargos e Benefícios'!C289)</f>
        <v>5355.8318518518518</v>
      </c>
      <c r="AO290" s="188">
        <v>3219.15</v>
      </c>
      <c r="AP290" s="298">
        <v>1764.5</v>
      </c>
      <c r="AQ290" s="298">
        <v>4673.8</v>
      </c>
      <c r="AR290" s="299" t="s">
        <v>120</v>
      </c>
      <c r="AS290" s="188"/>
    </row>
    <row r="291" spans="1:45">
      <c r="A291" s="286">
        <v>285</v>
      </c>
      <c r="B291" s="81" t="str">
        <f>'Encargos e Benefícios'!B290</f>
        <v>Socioeducador - N</v>
      </c>
      <c r="C291" s="287">
        <f>'Encargos e Benefícios'!C290</f>
        <v>6</v>
      </c>
      <c r="D291" s="288" t="s">
        <v>504</v>
      </c>
      <c r="E291" s="300">
        <v>45261</v>
      </c>
      <c r="F291" s="301">
        <v>47058</v>
      </c>
      <c r="G291" s="293">
        <v>45413</v>
      </c>
      <c r="H291" s="294">
        <v>5.8400000000000001E-2</v>
      </c>
      <c r="I291" s="256">
        <v>29.2</v>
      </c>
      <c r="J291" s="256">
        <v>6.87</v>
      </c>
      <c r="K291" s="256"/>
      <c r="L291" s="256"/>
      <c r="M291" s="293">
        <v>45778</v>
      </c>
      <c r="N291" s="294">
        <v>5.8400000000000001E-2</v>
      </c>
      <c r="O291" s="256">
        <v>30.9</v>
      </c>
      <c r="P291" s="256">
        <v>7.27</v>
      </c>
      <c r="Q291" s="256"/>
      <c r="R291" s="256"/>
      <c r="S291" s="293">
        <v>46143</v>
      </c>
      <c r="T291" s="294">
        <v>5.8400000000000001E-2</v>
      </c>
      <c r="U291" s="256">
        <v>32.71</v>
      </c>
      <c r="V291" s="256">
        <v>7.82</v>
      </c>
      <c r="W291" s="256"/>
      <c r="X291" s="256"/>
      <c r="Y291" s="293">
        <v>46508</v>
      </c>
      <c r="Z291" s="294">
        <v>5.8400000000000001E-2</v>
      </c>
      <c r="AA291" s="256">
        <v>34.619999999999997</v>
      </c>
      <c r="AB291" s="256">
        <v>8.7100000000000009</v>
      </c>
      <c r="AC291" s="256"/>
      <c r="AD291" s="256"/>
      <c r="AE291" s="293">
        <v>46874</v>
      </c>
      <c r="AF291" s="294">
        <v>5.8400000000000001E-2</v>
      </c>
      <c r="AG291" s="256">
        <v>36.64</v>
      </c>
      <c r="AH291" s="256">
        <v>10.17</v>
      </c>
      <c r="AI291" s="256"/>
      <c r="AJ291" s="257"/>
      <c r="AK291" s="296">
        <f>'Encargos e Benefícios'!D290</f>
        <v>1900</v>
      </c>
      <c r="AL291" s="296">
        <f>IF('Encargos e Benefícios'!C290=0,0,'Encargos e Benefícios'!U290/'Encargos e Benefícios'!C290)</f>
        <v>2750.1796296296302</v>
      </c>
      <c r="AM291" s="296">
        <f>IF('Encargos e Benefícios'!C290=0,0,'Encargos e Benefícios'!AC290/'Encargos e Benefícios'!C290)</f>
        <v>147.54999999999998</v>
      </c>
      <c r="AN291" s="297">
        <f>IF('Encargos e Benefícios'!C290=0,0,'Encargos e Benefícios'!AD290/'Encargos e Benefícios'!C290)</f>
        <v>4797.7296296296299</v>
      </c>
      <c r="AO291" s="188">
        <v>3219.15</v>
      </c>
      <c r="AP291" s="298">
        <v>1764.5</v>
      </c>
      <c r="AQ291" s="298">
        <v>4673.8</v>
      </c>
      <c r="AR291" s="299" t="s">
        <v>120</v>
      </c>
      <c r="AS291" s="188"/>
    </row>
    <row r="292" spans="1:45">
      <c r="A292" s="286">
        <v>286</v>
      </c>
      <c r="B292" s="81" t="str">
        <f>'Encargos e Benefícios'!B291</f>
        <v>Coordenador Técnico 1</v>
      </c>
      <c r="C292" s="287">
        <f>'Encargos e Benefícios'!C291</f>
        <v>1</v>
      </c>
      <c r="D292" s="288">
        <v>44</v>
      </c>
      <c r="E292" s="300">
        <v>45261</v>
      </c>
      <c r="F292" s="301">
        <v>47058</v>
      </c>
      <c r="G292" s="293">
        <v>45413</v>
      </c>
      <c r="H292" s="294">
        <v>5.8400000000000001E-2</v>
      </c>
      <c r="I292" s="256">
        <v>29.2</v>
      </c>
      <c r="J292" s="256">
        <v>6.87</v>
      </c>
      <c r="K292" s="256"/>
      <c r="L292" s="256"/>
      <c r="M292" s="293">
        <v>45778</v>
      </c>
      <c r="N292" s="294">
        <v>5.8400000000000001E-2</v>
      </c>
      <c r="O292" s="256">
        <v>30.9</v>
      </c>
      <c r="P292" s="256">
        <v>7.27</v>
      </c>
      <c r="Q292" s="256"/>
      <c r="R292" s="256"/>
      <c r="S292" s="293">
        <v>46143</v>
      </c>
      <c r="T292" s="294">
        <v>5.8400000000000001E-2</v>
      </c>
      <c r="U292" s="256">
        <v>32.71</v>
      </c>
      <c r="V292" s="256">
        <v>7.82</v>
      </c>
      <c r="W292" s="256"/>
      <c r="X292" s="256"/>
      <c r="Y292" s="293">
        <v>46508</v>
      </c>
      <c r="Z292" s="294">
        <v>5.8400000000000001E-2</v>
      </c>
      <c r="AA292" s="256">
        <v>34.619999999999997</v>
      </c>
      <c r="AB292" s="256">
        <v>8.7100000000000009</v>
      </c>
      <c r="AC292" s="256"/>
      <c r="AD292" s="256"/>
      <c r="AE292" s="293">
        <v>46874</v>
      </c>
      <c r="AF292" s="294">
        <v>5.8400000000000001E-2</v>
      </c>
      <c r="AG292" s="256">
        <v>36.64</v>
      </c>
      <c r="AH292" s="256">
        <v>10.17</v>
      </c>
      <c r="AI292" s="256"/>
      <c r="AJ292" s="257"/>
      <c r="AK292" s="296">
        <f>'Encargos e Benefícios'!D291</f>
        <v>8000</v>
      </c>
      <c r="AL292" s="296">
        <f>IF('Encargos e Benefícios'!C291=0,0,'Encargos e Benefícios'!U291/'Encargos e Benefícios'!C291)</f>
        <v>9161.3333333333321</v>
      </c>
      <c r="AM292" s="296">
        <f>IF('Encargos e Benefícios'!C291=0,0,'Encargos e Benefícios'!AC291/'Encargos e Benefícios'!C291)</f>
        <v>817.61999999999989</v>
      </c>
      <c r="AN292" s="297">
        <f>IF('Encargos e Benefícios'!C291=0,0,'Encargos e Benefícios'!AD291/'Encargos e Benefícios'!C291)</f>
        <v>17978.953333333331</v>
      </c>
      <c r="AO292" s="188"/>
      <c r="AP292" s="298"/>
      <c r="AQ292" s="298"/>
      <c r="AR292" s="299" t="s">
        <v>101</v>
      </c>
      <c r="AS292" s="188"/>
    </row>
    <row r="293" spans="1:45">
      <c r="A293" s="286">
        <v>287</v>
      </c>
      <c r="B293" s="81" t="str">
        <f>'Encargos e Benefícios'!B292</f>
        <v>Coordenador Técnico 2</v>
      </c>
      <c r="C293" s="287">
        <f>'Encargos e Benefícios'!C292</f>
        <v>3</v>
      </c>
      <c r="D293" s="288">
        <v>44</v>
      </c>
      <c r="E293" s="300">
        <v>45261</v>
      </c>
      <c r="F293" s="301">
        <v>47058</v>
      </c>
      <c r="G293" s="293">
        <v>45413</v>
      </c>
      <c r="H293" s="294">
        <v>5.8400000000000001E-2</v>
      </c>
      <c r="I293" s="256">
        <v>29.2</v>
      </c>
      <c r="J293" s="256">
        <v>6.87</v>
      </c>
      <c r="K293" s="256"/>
      <c r="L293" s="256"/>
      <c r="M293" s="293">
        <v>45778</v>
      </c>
      <c r="N293" s="294">
        <v>5.8400000000000001E-2</v>
      </c>
      <c r="O293" s="256">
        <v>30.9</v>
      </c>
      <c r="P293" s="256">
        <v>7.27</v>
      </c>
      <c r="Q293" s="256"/>
      <c r="R293" s="256"/>
      <c r="S293" s="293">
        <v>46143</v>
      </c>
      <c r="T293" s="294">
        <v>5.8400000000000001E-2</v>
      </c>
      <c r="U293" s="256">
        <v>32.71</v>
      </c>
      <c r="V293" s="256">
        <v>7.82</v>
      </c>
      <c r="W293" s="256"/>
      <c r="X293" s="256"/>
      <c r="Y293" s="293">
        <v>46508</v>
      </c>
      <c r="Z293" s="294">
        <v>5.8400000000000001E-2</v>
      </c>
      <c r="AA293" s="256">
        <v>34.619999999999997</v>
      </c>
      <c r="AB293" s="256">
        <v>8.7100000000000009</v>
      </c>
      <c r="AC293" s="256"/>
      <c r="AD293" s="256"/>
      <c r="AE293" s="293">
        <v>46874</v>
      </c>
      <c r="AF293" s="294">
        <v>5.8400000000000001E-2</v>
      </c>
      <c r="AG293" s="256">
        <v>36.64</v>
      </c>
      <c r="AH293" s="256">
        <v>10.17</v>
      </c>
      <c r="AI293" s="256"/>
      <c r="AJ293" s="257"/>
      <c r="AK293" s="296">
        <f>'Encargos e Benefícios'!D292</f>
        <v>7000</v>
      </c>
      <c r="AL293" s="296">
        <f>IF('Encargos e Benefícios'!C292=0,0,'Encargos e Benefícios'!U292/'Encargos e Benefícios'!C292)</f>
        <v>6516.5925925925922</v>
      </c>
      <c r="AM293" s="296">
        <f>IF('Encargos e Benefícios'!C292=0,0,'Encargos e Benefícios'!AC292/'Encargos e Benefícios'!C292)</f>
        <v>272.53999999999996</v>
      </c>
      <c r="AN293" s="297">
        <f>IF('Encargos e Benefícios'!C292=0,0,'Encargos e Benefícios'!AD292/'Encargos e Benefícios'!C292)</f>
        <v>13789.132592592594</v>
      </c>
      <c r="AO293" s="188"/>
      <c r="AP293" s="298"/>
      <c r="AQ293" s="298"/>
      <c r="AR293" s="299" t="s">
        <v>101</v>
      </c>
      <c r="AS293" s="188"/>
    </row>
    <row r="294" spans="1:45" ht="13.5" thickBot="1">
      <c r="A294" s="286">
        <v>288</v>
      </c>
      <c r="B294" s="81" t="str">
        <f>'Encargos e Benefícios'!B293</f>
        <v>Analista Administrativo</v>
      </c>
      <c r="C294" s="287">
        <f>'Encargos e Benefícios'!C293</f>
        <v>5</v>
      </c>
      <c r="D294" s="288">
        <v>44</v>
      </c>
      <c r="E294" s="300">
        <v>45261</v>
      </c>
      <c r="F294" s="301">
        <v>47058</v>
      </c>
      <c r="G294" s="293">
        <v>45413</v>
      </c>
      <c r="H294" s="294">
        <v>5.8400000000000001E-2</v>
      </c>
      <c r="I294" s="256">
        <v>29.2</v>
      </c>
      <c r="J294" s="256">
        <v>6.87</v>
      </c>
      <c r="K294" s="256"/>
      <c r="L294" s="256"/>
      <c r="M294" s="293">
        <v>45778</v>
      </c>
      <c r="N294" s="304">
        <v>5.8400000000000001E-2</v>
      </c>
      <c r="O294" s="256">
        <v>30.9</v>
      </c>
      <c r="P294" s="256">
        <v>7.27</v>
      </c>
      <c r="Q294" s="256"/>
      <c r="R294" s="256"/>
      <c r="S294" s="293">
        <v>46143</v>
      </c>
      <c r="T294" s="294">
        <v>5.8400000000000001E-2</v>
      </c>
      <c r="U294" s="256">
        <v>32.71</v>
      </c>
      <c r="V294" s="256">
        <v>7.82</v>
      </c>
      <c r="W294" s="256"/>
      <c r="X294" s="256"/>
      <c r="Y294" s="293">
        <v>46508</v>
      </c>
      <c r="Z294" s="294">
        <v>5.8400000000000001E-2</v>
      </c>
      <c r="AA294" s="256">
        <v>34.619999999999997</v>
      </c>
      <c r="AB294" s="256">
        <v>8.7100000000000009</v>
      </c>
      <c r="AC294" s="256"/>
      <c r="AD294" s="256"/>
      <c r="AE294" s="293">
        <v>46874</v>
      </c>
      <c r="AF294" s="294">
        <v>5.8400000000000001E-2</v>
      </c>
      <c r="AG294" s="256">
        <v>36.64</v>
      </c>
      <c r="AH294" s="256">
        <v>10.17</v>
      </c>
      <c r="AI294" s="256"/>
      <c r="AJ294" s="257"/>
      <c r="AK294" s="296">
        <f>'Encargos e Benefícios'!D293</f>
        <v>2800</v>
      </c>
      <c r="AL294" s="296">
        <f>IF('Encargos e Benefícios'!C293=0,0,'Encargos e Benefícios'!U293/'Encargos e Benefícios'!C293)</f>
        <v>2237.5111111111109</v>
      </c>
      <c r="AM294" s="296">
        <f>IF('Encargos e Benefícios'!C293=0,0,'Encargos e Benefícios'!AC293/'Encargos e Benefícios'!C293)</f>
        <v>182.13599999999997</v>
      </c>
      <c r="AN294" s="297">
        <f>IF('Encargos e Benefícios'!C293=0,0,'Encargos e Benefícios'!AD293/'Encargos e Benefícios'!C293)</f>
        <v>5219.6471111111114</v>
      </c>
      <c r="AO294" s="188"/>
      <c r="AP294" s="298"/>
      <c r="AQ294" s="298"/>
      <c r="AR294" s="299" t="s">
        <v>101</v>
      </c>
      <c r="AS294" s="188"/>
    </row>
    <row r="295" spans="1:45" ht="13.5" hidden="1" thickBot="1">
      <c r="A295" s="286">
        <v>289</v>
      </c>
      <c r="B295" s="81">
        <f>'Encargos e Benefícios'!B294</f>
        <v>0</v>
      </c>
      <c r="C295" s="287">
        <f>'Encargos e Benefícios'!C294</f>
        <v>0</v>
      </c>
      <c r="D295" s="288"/>
      <c r="E295" s="300"/>
      <c r="F295" s="301"/>
      <c r="G295" s="293"/>
      <c r="H295" s="292">
        <v>5.8400000000000001E-2</v>
      </c>
      <c r="I295" s="256"/>
      <c r="J295" s="256"/>
      <c r="K295" s="256"/>
      <c r="L295" s="256"/>
      <c r="M295" s="293"/>
      <c r="N295" s="292">
        <v>5.8400000000000001E-2</v>
      </c>
      <c r="O295" s="256"/>
      <c r="P295" s="256"/>
      <c r="Q295" s="256"/>
      <c r="R295" s="256"/>
      <c r="S295" s="293"/>
      <c r="T295" s="294"/>
      <c r="U295" s="256"/>
      <c r="V295" s="256"/>
      <c r="W295" s="256"/>
      <c r="X295" s="256"/>
      <c r="Y295" s="293"/>
      <c r="Z295" s="294"/>
      <c r="AA295" s="256"/>
      <c r="AB295" s="256">
        <v>8.7100000000000009</v>
      </c>
      <c r="AC295" s="256"/>
      <c r="AD295" s="256"/>
      <c r="AE295" s="293"/>
      <c r="AF295" s="294"/>
      <c r="AG295" s="256"/>
      <c r="AH295" s="256"/>
      <c r="AI295" s="256"/>
      <c r="AJ295" s="257"/>
      <c r="AK295" s="296">
        <f>'Encargos e Benefícios'!D294</f>
        <v>0</v>
      </c>
      <c r="AL295" s="296">
        <f>IF('Encargos e Benefícios'!C294=0,0,'Encargos e Benefícios'!U294/'Encargos e Benefícios'!C294)</f>
        <v>0</v>
      </c>
      <c r="AM295" s="296">
        <f>IF('Encargos e Benefícios'!C294=0,0,'Encargos e Benefícios'!AC294/'Encargos e Benefícios'!C294)</f>
        <v>0</v>
      </c>
      <c r="AN295" s="297">
        <f>IF('Encargos e Benefícios'!C294=0,0,'Encargos e Benefícios'!AD294/'Encargos e Benefícios'!C294)</f>
        <v>0</v>
      </c>
      <c r="AO295" s="188"/>
      <c r="AP295" s="298"/>
      <c r="AQ295" s="298"/>
      <c r="AR295" s="302"/>
      <c r="AS295" s="188"/>
    </row>
    <row r="296" spans="1:45" ht="13.5" hidden="1" thickBot="1">
      <c r="A296" s="286">
        <v>290</v>
      </c>
      <c r="B296" s="81">
        <f>'Encargos e Benefícios'!B295</f>
        <v>0</v>
      </c>
      <c r="C296" s="287">
        <f>'Encargos e Benefícios'!C295</f>
        <v>0</v>
      </c>
      <c r="D296" s="288"/>
      <c r="E296" s="300"/>
      <c r="F296" s="301"/>
      <c r="G296" s="293"/>
      <c r="H296" s="292">
        <v>5.8400000000000001E-2</v>
      </c>
      <c r="I296" s="256"/>
      <c r="J296" s="256"/>
      <c r="K296" s="256"/>
      <c r="L296" s="256"/>
      <c r="M296" s="293"/>
      <c r="N296" s="292">
        <v>5.8400000000000001E-2</v>
      </c>
      <c r="O296" s="256"/>
      <c r="P296" s="256"/>
      <c r="Q296" s="256"/>
      <c r="R296" s="256"/>
      <c r="S296" s="293"/>
      <c r="T296" s="294"/>
      <c r="U296" s="256"/>
      <c r="V296" s="256"/>
      <c r="W296" s="256"/>
      <c r="X296" s="256"/>
      <c r="Y296" s="293"/>
      <c r="Z296" s="294"/>
      <c r="AA296" s="256"/>
      <c r="AB296" s="256">
        <v>8.7100000000000009</v>
      </c>
      <c r="AC296" s="256"/>
      <c r="AD296" s="256"/>
      <c r="AE296" s="293"/>
      <c r="AF296" s="294"/>
      <c r="AG296" s="256"/>
      <c r="AH296" s="256"/>
      <c r="AI296" s="256"/>
      <c r="AJ296" s="257"/>
      <c r="AK296" s="296">
        <f>'Encargos e Benefícios'!D295</f>
        <v>0</v>
      </c>
      <c r="AL296" s="296">
        <f>IF('Encargos e Benefícios'!C295=0,0,'Encargos e Benefícios'!U295/'Encargos e Benefícios'!C295)</f>
        <v>0</v>
      </c>
      <c r="AM296" s="296">
        <f>IF('Encargos e Benefícios'!C295=0,0,'Encargos e Benefícios'!AC295/'Encargos e Benefícios'!C295)</f>
        <v>0</v>
      </c>
      <c r="AN296" s="297">
        <f>IF('Encargos e Benefícios'!C295=0,0,'Encargos e Benefícios'!AD295/'Encargos e Benefícios'!C295)</f>
        <v>0</v>
      </c>
      <c r="AO296" s="188"/>
      <c r="AP296" s="298"/>
      <c r="AQ296" s="298"/>
      <c r="AR296" s="302"/>
      <c r="AS296" s="188"/>
    </row>
    <row r="297" spans="1:45" ht="13.5" hidden="1" thickBot="1">
      <c r="A297" s="286">
        <v>291</v>
      </c>
      <c r="B297" s="81">
        <f>'Encargos e Benefícios'!B296</f>
        <v>0</v>
      </c>
      <c r="C297" s="287">
        <f>'Encargos e Benefícios'!C296</f>
        <v>0</v>
      </c>
      <c r="D297" s="288"/>
      <c r="E297" s="300"/>
      <c r="F297" s="301"/>
      <c r="G297" s="293"/>
      <c r="H297" s="292">
        <v>5.8400000000000001E-2</v>
      </c>
      <c r="I297" s="256"/>
      <c r="J297" s="256"/>
      <c r="K297" s="256"/>
      <c r="L297" s="256"/>
      <c r="M297" s="293"/>
      <c r="N297" s="292">
        <v>5.8400000000000001E-2</v>
      </c>
      <c r="O297" s="256"/>
      <c r="P297" s="256"/>
      <c r="Q297" s="256"/>
      <c r="R297" s="256"/>
      <c r="S297" s="293"/>
      <c r="T297" s="294"/>
      <c r="U297" s="256"/>
      <c r="V297" s="256"/>
      <c r="W297" s="256"/>
      <c r="X297" s="256"/>
      <c r="Y297" s="293"/>
      <c r="Z297" s="294"/>
      <c r="AA297" s="256"/>
      <c r="AB297" s="256">
        <v>8.7100000000000009</v>
      </c>
      <c r="AC297" s="256"/>
      <c r="AD297" s="256"/>
      <c r="AE297" s="293"/>
      <c r="AF297" s="294"/>
      <c r="AG297" s="256"/>
      <c r="AH297" s="256"/>
      <c r="AI297" s="256"/>
      <c r="AJ297" s="257"/>
      <c r="AK297" s="296">
        <f>'Encargos e Benefícios'!D296</f>
        <v>0</v>
      </c>
      <c r="AL297" s="296">
        <f>IF('Encargos e Benefícios'!C296=0,0,'Encargos e Benefícios'!U296/'Encargos e Benefícios'!C296)</f>
        <v>0</v>
      </c>
      <c r="AM297" s="296">
        <f>IF('Encargos e Benefícios'!C296=0,0,'Encargos e Benefícios'!AC296/'Encargos e Benefícios'!C296)</f>
        <v>0</v>
      </c>
      <c r="AN297" s="297">
        <f>IF('Encargos e Benefícios'!C296=0,0,'Encargos e Benefícios'!AD296/'Encargos e Benefícios'!C296)</f>
        <v>0</v>
      </c>
      <c r="AO297" s="188"/>
      <c r="AP297" s="298"/>
      <c r="AQ297" s="298"/>
      <c r="AR297" s="302"/>
      <c r="AS297" s="188"/>
    </row>
    <row r="298" spans="1:45" ht="13.5" hidden="1" thickBot="1">
      <c r="A298" s="286">
        <v>292</v>
      </c>
      <c r="B298" s="81">
        <f>'Encargos e Benefícios'!B297</f>
        <v>0</v>
      </c>
      <c r="C298" s="287">
        <f>'Encargos e Benefícios'!C297</f>
        <v>0</v>
      </c>
      <c r="D298" s="288"/>
      <c r="E298" s="300"/>
      <c r="F298" s="301"/>
      <c r="G298" s="293"/>
      <c r="H298" s="292">
        <v>5.8400000000000001E-2</v>
      </c>
      <c r="I298" s="256"/>
      <c r="J298" s="256"/>
      <c r="K298" s="256"/>
      <c r="L298" s="256"/>
      <c r="M298" s="293"/>
      <c r="N298" s="292">
        <v>5.8400000000000001E-2</v>
      </c>
      <c r="O298" s="256"/>
      <c r="P298" s="256"/>
      <c r="Q298" s="256"/>
      <c r="R298" s="256"/>
      <c r="S298" s="293"/>
      <c r="T298" s="294"/>
      <c r="U298" s="256"/>
      <c r="V298" s="256"/>
      <c r="W298" s="256"/>
      <c r="X298" s="256"/>
      <c r="Y298" s="293"/>
      <c r="Z298" s="294"/>
      <c r="AA298" s="256"/>
      <c r="AB298" s="256">
        <v>8.7100000000000009</v>
      </c>
      <c r="AC298" s="256"/>
      <c r="AD298" s="256"/>
      <c r="AE298" s="293"/>
      <c r="AF298" s="294"/>
      <c r="AG298" s="256"/>
      <c r="AH298" s="256"/>
      <c r="AI298" s="256"/>
      <c r="AJ298" s="257"/>
      <c r="AK298" s="296">
        <f>'Encargos e Benefícios'!D297</f>
        <v>0</v>
      </c>
      <c r="AL298" s="296">
        <f>IF('Encargos e Benefícios'!C297=0,0,'Encargos e Benefícios'!U297/'Encargos e Benefícios'!C297)</f>
        <v>0</v>
      </c>
      <c r="AM298" s="296">
        <f>IF('Encargos e Benefícios'!C297=0,0,'Encargos e Benefícios'!AC297/'Encargos e Benefícios'!C297)</f>
        <v>0</v>
      </c>
      <c r="AN298" s="297">
        <f>IF('Encargos e Benefícios'!C297=0,0,'Encargos e Benefícios'!AD297/'Encargos e Benefícios'!C297)</f>
        <v>0</v>
      </c>
      <c r="AO298" s="188"/>
      <c r="AP298" s="298"/>
      <c r="AQ298" s="298"/>
      <c r="AR298" s="302"/>
      <c r="AS298" s="188"/>
    </row>
    <row r="299" spans="1:45" ht="13.5" hidden="1" thickBot="1">
      <c r="A299" s="286">
        <v>293</v>
      </c>
      <c r="B299" s="81">
        <f>'Encargos e Benefícios'!B298</f>
        <v>0</v>
      </c>
      <c r="C299" s="287">
        <f>'Encargos e Benefícios'!C298</f>
        <v>0</v>
      </c>
      <c r="D299" s="288"/>
      <c r="E299" s="300"/>
      <c r="F299" s="301"/>
      <c r="G299" s="293"/>
      <c r="H299" s="292">
        <v>5.8400000000000001E-2</v>
      </c>
      <c r="I299" s="256"/>
      <c r="J299" s="256"/>
      <c r="K299" s="256"/>
      <c r="L299" s="256"/>
      <c r="M299" s="293"/>
      <c r="N299" s="292">
        <v>5.8400000000000001E-2</v>
      </c>
      <c r="O299" s="256"/>
      <c r="P299" s="256"/>
      <c r="Q299" s="256"/>
      <c r="R299" s="256"/>
      <c r="S299" s="293"/>
      <c r="T299" s="294"/>
      <c r="U299" s="256"/>
      <c r="V299" s="256"/>
      <c r="W299" s="256"/>
      <c r="X299" s="256"/>
      <c r="Y299" s="293"/>
      <c r="Z299" s="294"/>
      <c r="AA299" s="256"/>
      <c r="AB299" s="256">
        <v>8.7100000000000009</v>
      </c>
      <c r="AC299" s="256"/>
      <c r="AD299" s="256"/>
      <c r="AE299" s="293"/>
      <c r="AF299" s="294"/>
      <c r="AG299" s="256"/>
      <c r="AH299" s="256"/>
      <c r="AI299" s="256"/>
      <c r="AJ299" s="257"/>
      <c r="AK299" s="296">
        <f>'Encargos e Benefícios'!D298</f>
        <v>0</v>
      </c>
      <c r="AL299" s="296">
        <f>IF('Encargos e Benefícios'!C298=0,0,'Encargos e Benefícios'!U298/'Encargos e Benefícios'!C298)</f>
        <v>0</v>
      </c>
      <c r="AM299" s="296">
        <f>IF('Encargos e Benefícios'!C298=0,0,'Encargos e Benefícios'!AC298/'Encargos e Benefícios'!C298)</f>
        <v>0</v>
      </c>
      <c r="AN299" s="297">
        <f>IF('Encargos e Benefícios'!C298=0,0,'Encargos e Benefícios'!AD298/'Encargos e Benefícios'!C298)</f>
        <v>0</v>
      </c>
      <c r="AO299" s="188"/>
      <c r="AP299" s="298"/>
      <c r="AQ299" s="298"/>
      <c r="AR299" s="302"/>
      <c r="AS299" s="188"/>
    </row>
    <row r="300" spans="1:45" ht="13.5" hidden="1" thickBot="1">
      <c r="A300" s="286">
        <v>294</v>
      </c>
      <c r="B300" s="81">
        <f>'Encargos e Benefícios'!B299</f>
        <v>0</v>
      </c>
      <c r="C300" s="287">
        <f>'Encargos e Benefícios'!C299</f>
        <v>0</v>
      </c>
      <c r="D300" s="288"/>
      <c r="E300" s="300"/>
      <c r="F300" s="301"/>
      <c r="G300" s="293"/>
      <c r="H300" s="292">
        <v>5.8400000000000001E-2</v>
      </c>
      <c r="I300" s="256"/>
      <c r="J300" s="256"/>
      <c r="K300" s="256"/>
      <c r="L300" s="256"/>
      <c r="M300" s="293"/>
      <c r="N300" s="292">
        <v>5.8400000000000001E-2</v>
      </c>
      <c r="O300" s="256"/>
      <c r="P300" s="256"/>
      <c r="Q300" s="256"/>
      <c r="R300" s="256"/>
      <c r="S300" s="293"/>
      <c r="T300" s="294"/>
      <c r="U300" s="256"/>
      <c r="V300" s="256"/>
      <c r="W300" s="256"/>
      <c r="X300" s="256"/>
      <c r="Y300" s="293"/>
      <c r="Z300" s="294"/>
      <c r="AA300" s="256"/>
      <c r="AB300" s="256">
        <v>8.7100000000000009</v>
      </c>
      <c r="AC300" s="256"/>
      <c r="AD300" s="256"/>
      <c r="AE300" s="293"/>
      <c r="AF300" s="294"/>
      <c r="AG300" s="256"/>
      <c r="AH300" s="256"/>
      <c r="AI300" s="256"/>
      <c r="AJ300" s="257"/>
      <c r="AK300" s="296">
        <f>'Encargos e Benefícios'!D299</f>
        <v>0</v>
      </c>
      <c r="AL300" s="296">
        <f>IF('Encargos e Benefícios'!C299=0,0,'Encargos e Benefícios'!U299/'Encargos e Benefícios'!C299)</f>
        <v>0</v>
      </c>
      <c r="AM300" s="296">
        <f>IF('Encargos e Benefícios'!C299=0,0,'Encargos e Benefícios'!AC299/'Encargos e Benefícios'!C299)</f>
        <v>0</v>
      </c>
      <c r="AN300" s="297">
        <f>IF('Encargos e Benefícios'!C299=0,0,'Encargos e Benefícios'!AD299/'Encargos e Benefícios'!C299)</f>
        <v>0</v>
      </c>
      <c r="AO300" s="188"/>
      <c r="AP300" s="298"/>
      <c r="AQ300" s="298"/>
      <c r="AR300" s="302"/>
      <c r="AS300" s="188"/>
    </row>
    <row r="301" spans="1:45" ht="13.5" hidden="1" thickBot="1">
      <c r="A301" s="286">
        <v>295</v>
      </c>
      <c r="B301" s="81">
        <f>'Encargos e Benefícios'!B300</f>
        <v>0</v>
      </c>
      <c r="C301" s="287">
        <f>'Encargos e Benefícios'!C300</f>
        <v>0</v>
      </c>
      <c r="D301" s="288"/>
      <c r="E301" s="300"/>
      <c r="F301" s="301"/>
      <c r="G301" s="293"/>
      <c r="H301" s="292">
        <v>5.8400000000000001E-2</v>
      </c>
      <c r="I301" s="256"/>
      <c r="J301" s="256"/>
      <c r="K301" s="256"/>
      <c r="L301" s="256"/>
      <c r="M301" s="293"/>
      <c r="N301" s="292">
        <v>5.8400000000000001E-2</v>
      </c>
      <c r="O301" s="256"/>
      <c r="P301" s="256"/>
      <c r="Q301" s="256"/>
      <c r="R301" s="256"/>
      <c r="S301" s="293"/>
      <c r="T301" s="294"/>
      <c r="U301" s="256"/>
      <c r="V301" s="256"/>
      <c r="W301" s="256"/>
      <c r="X301" s="256"/>
      <c r="Y301" s="293"/>
      <c r="Z301" s="294"/>
      <c r="AA301" s="256"/>
      <c r="AB301" s="256">
        <v>8.7100000000000009</v>
      </c>
      <c r="AC301" s="256"/>
      <c r="AD301" s="256"/>
      <c r="AE301" s="293"/>
      <c r="AF301" s="294"/>
      <c r="AG301" s="256"/>
      <c r="AH301" s="256"/>
      <c r="AI301" s="256"/>
      <c r="AJ301" s="257"/>
      <c r="AK301" s="296">
        <f>'Encargos e Benefícios'!D300</f>
        <v>0</v>
      </c>
      <c r="AL301" s="296">
        <f>IF('Encargos e Benefícios'!C300=0,0,'Encargos e Benefícios'!U300/'Encargos e Benefícios'!C300)</f>
        <v>0</v>
      </c>
      <c r="AM301" s="296">
        <f>IF('Encargos e Benefícios'!C300=0,0,'Encargos e Benefícios'!AC300/'Encargos e Benefícios'!C300)</f>
        <v>0</v>
      </c>
      <c r="AN301" s="297">
        <f>IF('Encargos e Benefícios'!C300=0,0,'Encargos e Benefícios'!AD300/'Encargos e Benefícios'!C300)</f>
        <v>0</v>
      </c>
      <c r="AO301" s="188"/>
      <c r="AP301" s="298"/>
      <c r="AQ301" s="298"/>
      <c r="AR301" s="302"/>
      <c r="AS301" s="188"/>
    </row>
    <row r="302" spans="1:45" ht="13.5" hidden="1" thickBot="1">
      <c r="A302" s="286">
        <v>296</v>
      </c>
      <c r="B302" s="81">
        <f>'Encargos e Benefícios'!B301</f>
        <v>0</v>
      </c>
      <c r="C302" s="287">
        <f>'Encargos e Benefícios'!C301</f>
        <v>0</v>
      </c>
      <c r="D302" s="288"/>
      <c r="E302" s="300"/>
      <c r="F302" s="301"/>
      <c r="G302" s="293"/>
      <c r="H302" s="292">
        <v>5.8400000000000001E-2</v>
      </c>
      <c r="I302" s="256"/>
      <c r="J302" s="256"/>
      <c r="K302" s="256"/>
      <c r="L302" s="256"/>
      <c r="M302" s="293"/>
      <c r="N302" s="292">
        <v>5.8400000000000001E-2</v>
      </c>
      <c r="O302" s="256"/>
      <c r="P302" s="256"/>
      <c r="Q302" s="256"/>
      <c r="R302" s="256"/>
      <c r="S302" s="293"/>
      <c r="T302" s="294"/>
      <c r="U302" s="256"/>
      <c r="V302" s="256"/>
      <c r="W302" s="256"/>
      <c r="X302" s="256"/>
      <c r="Y302" s="293"/>
      <c r="Z302" s="294"/>
      <c r="AA302" s="256"/>
      <c r="AB302" s="256">
        <v>8.7100000000000009</v>
      </c>
      <c r="AC302" s="256"/>
      <c r="AD302" s="256"/>
      <c r="AE302" s="293"/>
      <c r="AF302" s="294"/>
      <c r="AG302" s="256"/>
      <c r="AH302" s="256"/>
      <c r="AI302" s="256"/>
      <c r="AJ302" s="257"/>
      <c r="AK302" s="296">
        <f>'Encargos e Benefícios'!D301</f>
        <v>0</v>
      </c>
      <c r="AL302" s="296">
        <f>IF('Encargos e Benefícios'!C301=0,0,'Encargos e Benefícios'!U301/'Encargos e Benefícios'!C301)</f>
        <v>0</v>
      </c>
      <c r="AM302" s="296">
        <f>IF('Encargos e Benefícios'!C301=0,0,'Encargos e Benefícios'!AC301/'Encargos e Benefícios'!C301)</f>
        <v>0</v>
      </c>
      <c r="AN302" s="297">
        <f>IF('Encargos e Benefícios'!C301=0,0,'Encargos e Benefícios'!AD301/'Encargos e Benefícios'!C301)</f>
        <v>0</v>
      </c>
      <c r="AO302" s="188"/>
      <c r="AP302" s="298"/>
      <c r="AQ302" s="298"/>
      <c r="AR302" s="302"/>
      <c r="AS302" s="188"/>
    </row>
    <row r="303" spans="1:45" ht="13.5" hidden="1" thickBot="1">
      <c r="A303" s="286">
        <v>297</v>
      </c>
      <c r="B303" s="81">
        <f>'Encargos e Benefícios'!B302</f>
        <v>0</v>
      </c>
      <c r="C303" s="287">
        <f>'Encargos e Benefícios'!C302</f>
        <v>0</v>
      </c>
      <c r="D303" s="288"/>
      <c r="E303" s="300"/>
      <c r="F303" s="301"/>
      <c r="G303" s="293"/>
      <c r="H303" s="292">
        <v>5.8400000000000001E-2</v>
      </c>
      <c r="I303" s="256"/>
      <c r="J303" s="256"/>
      <c r="K303" s="256"/>
      <c r="L303" s="256"/>
      <c r="M303" s="293"/>
      <c r="N303" s="292">
        <v>5.8400000000000001E-2</v>
      </c>
      <c r="O303" s="256"/>
      <c r="P303" s="256"/>
      <c r="Q303" s="256"/>
      <c r="R303" s="256"/>
      <c r="S303" s="293"/>
      <c r="T303" s="294"/>
      <c r="U303" s="256"/>
      <c r="V303" s="256"/>
      <c r="W303" s="256"/>
      <c r="X303" s="256"/>
      <c r="Y303" s="293"/>
      <c r="Z303" s="294"/>
      <c r="AA303" s="256"/>
      <c r="AB303" s="256">
        <v>8.7100000000000009</v>
      </c>
      <c r="AC303" s="256"/>
      <c r="AD303" s="256"/>
      <c r="AE303" s="293"/>
      <c r="AF303" s="294"/>
      <c r="AG303" s="256"/>
      <c r="AH303" s="256"/>
      <c r="AI303" s="256"/>
      <c r="AJ303" s="257"/>
      <c r="AK303" s="296">
        <f>'Encargos e Benefícios'!D302</f>
        <v>0</v>
      </c>
      <c r="AL303" s="296">
        <f>IF('Encargos e Benefícios'!C302=0,0,'Encargos e Benefícios'!U302/'Encargos e Benefícios'!C302)</f>
        <v>0</v>
      </c>
      <c r="AM303" s="296">
        <f>IF('Encargos e Benefícios'!C302=0,0,'Encargos e Benefícios'!AC302/'Encargos e Benefícios'!C302)</f>
        <v>0</v>
      </c>
      <c r="AN303" s="297">
        <f>IF('Encargos e Benefícios'!C302=0,0,'Encargos e Benefícios'!AD302/'Encargos e Benefícios'!C302)</f>
        <v>0</v>
      </c>
      <c r="AO303" s="188"/>
      <c r="AP303" s="298"/>
      <c r="AQ303" s="298"/>
      <c r="AR303" s="302"/>
      <c r="AS303" s="188"/>
    </row>
    <row r="304" spans="1:45" ht="13.5" hidden="1" thickBot="1">
      <c r="A304" s="286">
        <v>298</v>
      </c>
      <c r="B304" s="81">
        <f>'Encargos e Benefícios'!B303</f>
        <v>0</v>
      </c>
      <c r="C304" s="287">
        <f>'Encargos e Benefícios'!C303</f>
        <v>0</v>
      </c>
      <c r="D304" s="288"/>
      <c r="E304" s="300"/>
      <c r="F304" s="301"/>
      <c r="G304" s="293"/>
      <c r="H304" s="292">
        <v>5.8400000000000001E-2</v>
      </c>
      <c r="I304" s="256"/>
      <c r="J304" s="256"/>
      <c r="K304" s="256"/>
      <c r="L304" s="256"/>
      <c r="M304" s="293"/>
      <c r="N304" s="292">
        <v>5.8400000000000001E-2</v>
      </c>
      <c r="O304" s="256"/>
      <c r="P304" s="256"/>
      <c r="Q304" s="256"/>
      <c r="R304" s="256"/>
      <c r="S304" s="293"/>
      <c r="T304" s="294"/>
      <c r="U304" s="256"/>
      <c r="V304" s="256"/>
      <c r="W304" s="256"/>
      <c r="X304" s="256"/>
      <c r="Y304" s="293"/>
      <c r="Z304" s="294"/>
      <c r="AA304" s="256"/>
      <c r="AB304" s="256">
        <v>8.7100000000000009</v>
      </c>
      <c r="AC304" s="256"/>
      <c r="AD304" s="256"/>
      <c r="AE304" s="293"/>
      <c r="AF304" s="294"/>
      <c r="AG304" s="256"/>
      <c r="AH304" s="256"/>
      <c r="AI304" s="256"/>
      <c r="AJ304" s="257"/>
      <c r="AK304" s="296">
        <f>'Encargos e Benefícios'!D303</f>
        <v>0</v>
      </c>
      <c r="AL304" s="296">
        <f>IF('Encargos e Benefícios'!C303=0,0,'Encargos e Benefícios'!U303/'Encargos e Benefícios'!C303)</f>
        <v>0</v>
      </c>
      <c r="AM304" s="296">
        <f>IF('Encargos e Benefícios'!C303=0,0,'Encargos e Benefícios'!AC303/'Encargos e Benefícios'!C303)</f>
        <v>0</v>
      </c>
      <c r="AN304" s="297">
        <f>IF('Encargos e Benefícios'!C303=0,0,'Encargos e Benefícios'!AD303/'Encargos e Benefícios'!C303)</f>
        <v>0</v>
      </c>
      <c r="AO304" s="188"/>
      <c r="AP304" s="298"/>
      <c r="AQ304" s="298"/>
      <c r="AR304" s="302"/>
      <c r="AS304" s="188"/>
    </row>
    <row r="305" spans="1:45" ht="13.5" hidden="1" thickBot="1">
      <c r="A305" s="286">
        <v>299</v>
      </c>
      <c r="B305" s="81">
        <f>'Encargos e Benefícios'!B304</f>
        <v>0</v>
      </c>
      <c r="C305" s="287">
        <f>'Encargos e Benefícios'!C304</f>
        <v>0</v>
      </c>
      <c r="D305" s="288"/>
      <c r="E305" s="300"/>
      <c r="F305" s="301"/>
      <c r="G305" s="293"/>
      <c r="H305" s="292">
        <v>5.8400000000000001E-2</v>
      </c>
      <c r="I305" s="256"/>
      <c r="J305" s="256"/>
      <c r="K305" s="256"/>
      <c r="L305" s="256"/>
      <c r="M305" s="293"/>
      <c r="N305" s="292">
        <v>5.8400000000000001E-2</v>
      </c>
      <c r="O305" s="256"/>
      <c r="P305" s="256"/>
      <c r="Q305" s="256"/>
      <c r="R305" s="256"/>
      <c r="S305" s="293"/>
      <c r="T305" s="294"/>
      <c r="U305" s="256"/>
      <c r="V305" s="256"/>
      <c r="W305" s="256"/>
      <c r="X305" s="256"/>
      <c r="Y305" s="293"/>
      <c r="Z305" s="294"/>
      <c r="AA305" s="256"/>
      <c r="AB305" s="256">
        <v>8.7100000000000009</v>
      </c>
      <c r="AC305" s="256"/>
      <c r="AD305" s="256"/>
      <c r="AE305" s="293"/>
      <c r="AF305" s="294"/>
      <c r="AG305" s="256"/>
      <c r="AH305" s="256"/>
      <c r="AI305" s="256"/>
      <c r="AJ305" s="257"/>
      <c r="AK305" s="296">
        <f>'Encargos e Benefícios'!D304</f>
        <v>0</v>
      </c>
      <c r="AL305" s="296">
        <f>IF('Encargos e Benefícios'!C304=0,0,'Encargos e Benefícios'!U304/'Encargos e Benefícios'!C304)</f>
        <v>0</v>
      </c>
      <c r="AM305" s="296">
        <f>IF('Encargos e Benefícios'!C304=0,0,'Encargos e Benefícios'!AC304/'Encargos e Benefícios'!C304)</f>
        <v>0</v>
      </c>
      <c r="AN305" s="297">
        <f>IF('Encargos e Benefícios'!C304=0,0,'Encargos e Benefícios'!AD304/'Encargos e Benefícios'!C304)</f>
        <v>0</v>
      </c>
      <c r="AO305" s="188"/>
      <c r="AP305" s="298"/>
      <c r="AQ305" s="298"/>
      <c r="AR305" s="302"/>
      <c r="AS305" s="188"/>
    </row>
    <row r="306" spans="1:45" ht="13.5" hidden="1" thickBot="1">
      <c r="A306" s="286">
        <v>300</v>
      </c>
      <c r="B306" s="81">
        <f>'Encargos e Benefícios'!B305</f>
        <v>0</v>
      </c>
      <c r="C306" s="287">
        <f>'Encargos e Benefícios'!C305</f>
        <v>0</v>
      </c>
      <c r="D306" s="288"/>
      <c r="E306" s="300"/>
      <c r="F306" s="301"/>
      <c r="G306" s="293"/>
      <c r="H306" s="292">
        <v>5.8400000000000001E-2</v>
      </c>
      <c r="I306" s="256"/>
      <c r="J306" s="256"/>
      <c r="K306" s="256"/>
      <c r="L306" s="256"/>
      <c r="M306" s="293"/>
      <c r="N306" s="292">
        <v>5.8400000000000001E-2</v>
      </c>
      <c r="O306" s="256"/>
      <c r="P306" s="256"/>
      <c r="Q306" s="256"/>
      <c r="R306" s="256"/>
      <c r="S306" s="293"/>
      <c r="T306" s="294"/>
      <c r="U306" s="256"/>
      <c r="V306" s="256"/>
      <c r="W306" s="256"/>
      <c r="X306" s="256"/>
      <c r="Y306" s="293"/>
      <c r="Z306" s="294"/>
      <c r="AA306" s="256"/>
      <c r="AB306" s="256">
        <v>8.7100000000000009</v>
      </c>
      <c r="AC306" s="256"/>
      <c r="AD306" s="256"/>
      <c r="AE306" s="293"/>
      <c r="AF306" s="294"/>
      <c r="AG306" s="256"/>
      <c r="AH306" s="256"/>
      <c r="AI306" s="256"/>
      <c r="AJ306" s="257"/>
      <c r="AK306" s="296">
        <f>'Encargos e Benefícios'!D305</f>
        <v>0</v>
      </c>
      <c r="AL306" s="296">
        <f>IF('Encargos e Benefícios'!C305=0,0,'Encargos e Benefícios'!U305/'Encargos e Benefícios'!C305)</f>
        <v>0</v>
      </c>
      <c r="AM306" s="296">
        <f>IF('Encargos e Benefícios'!C305=0,0,'Encargos e Benefícios'!AC305/'Encargos e Benefícios'!C305)</f>
        <v>0</v>
      </c>
      <c r="AN306" s="297">
        <f>IF('Encargos e Benefícios'!C305=0,0,'Encargos e Benefícios'!AD305/'Encargos e Benefícios'!C305)</f>
        <v>0</v>
      </c>
      <c r="AO306" s="188"/>
      <c r="AP306" s="298"/>
      <c r="AQ306" s="298"/>
      <c r="AR306" s="302"/>
      <c r="AS306" s="188"/>
    </row>
    <row r="307" spans="1:45" ht="13.5" hidden="1" thickBot="1">
      <c r="A307" s="286">
        <v>301</v>
      </c>
      <c r="B307" s="81">
        <f>'Encargos e Benefícios'!B306</f>
        <v>0</v>
      </c>
      <c r="C307" s="287">
        <f>'Encargos e Benefícios'!C306</f>
        <v>0</v>
      </c>
      <c r="D307" s="288"/>
      <c r="E307" s="300"/>
      <c r="F307" s="301"/>
      <c r="G307" s="293"/>
      <c r="H307" s="292">
        <v>5.8400000000000001E-2</v>
      </c>
      <c r="I307" s="256"/>
      <c r="J307" s="256"/>
      <c r="K307" s="256"/>
      <c r="L307" s="256"/>
      <c r="M307" s="293"/>
      <c r="N307" s="292">
        <v>5.8400000000000001E-2</v>
      </c>
      <c r="O307" s="256"/>
      <c r="P307" s="256"/>
      <c r="Q307" s="256"/>
      <c r="R307" s="256"/>
      <c r="S307" s="293"/>
      <c r="T307" s="294"/>
      <c r="U307" s="256"/>
      <c r="V307" s="256"/>
      <c r="W307" s="256"/>
      <c r="X307" s="256"/>
      <c r="Y307" s="293"/>
      <c r="Z307" s="294"/>
      <c r="AA307" s="256"/>
      <c r="AB307" s="256">
        <v>8.7100000000000009</v>
      </c>
      <c r="AC307" s="256"/>
      <c r="AD307" s="256"/>
      <c r="AE307" s="293"/>
      <c r="AF307" s="294"/>
      <c r="AG307" s="256"/>
      <c r="AH307" s="256"/>
      <c r="AI307" s="256"/>
      <c r="AJ307" s="257"/>
      <c r="AK307" s="296">
        <f>'Encargos e Benefícios'!D306</f>
        <v>0</v>
      </c>
      <c r="AL307" s="296">
        <f>IF('Encargos e Benefícios'!C306=0,0,'Encargos e Benefícios'!U306/'Encargos e Benefícios'!C306)</f>
        <v>0</v>
      </c>
      <c r="AM307" s="296">
        <f>IF('Encargos e Benefícios'!C306=0,0,'Encargos e Benefícios'!AC306/'Encargos e Benefícios'!C306)</f>
        <v>0</v>
      </c>
      <c r="AN307" s="297">
        <f>IF('Encargos e Benefícios'!C306=0,0,'Encargos e Benefícios'!AD306/'Encargos e Benefícios'!C306)</f>
        <v>0</v>
      </c>
      <c r="AO307" s="188"/>
      <c r="AP307" s="298"/>
      <c r="AQ307" s="298"/>
      <c r="AR307" s="302"/>
      <c r="AS307" s="188"/>
    </row>
    <row r="308" spans="1:45" ht="13.5" hidden="1" thickBot="1">
      <c r="A308" s="286">
        <v>302</v>
      </c>
      <c r="B308" s="81">
        <f>'Encargos e Benefícios'!B307</f>
        <v>0</v>
      </c>
      <c r="C308" s="287">
        <f>'Encargos e Benefícios'!C307</f>
        <v>0</v>
      </c>
      <c r="D308" s="288"/>
      <c r="E308" s="300"/>
      <c r="F308" s="301"/>
      <c r="G308" s="293"/>
      <c r="H308" s="292">
        <v>5.8400000000000001E-2</v>
      </c>
      <c r="I308" s="256"/>
      <c r="J308" s="256"/>
      <c r="K308" s="256"/>
      <c r="L308" s="256"/>
      <c r="M308" s="293"/>
      <c r="N308" s="292">
        <v>5.8400000000000001E-2</v>
      </c>
      <c r="O308" s="256"/>
      <c r="P308" s="256"/>
      <c r="Q308" s="256"/>
      <c r="R308" s="256"/>
      <c r="S308" s="293"/>
      <c r="T308" s="294"/>
      <c r="U308" s="256"/>
      <c r="V308" s="256"/>
      <c r="W308" s="256"/>
      <c r="X308" s="256"/>
      <c r="Y308" s="293"/>
      <c r="Z308" s="294"/>
      <c r="AA308" s="256"/>
      <c r="AB308" s="256">
        <v>8.7100000000000009</v>
      </c>
      <c r="AC308" s="256"/>
      <c r="AD308" s="256"/>
      <c r="AE308" s="293"/>
      <c r="AF308" s="294"/>
      <c r="AG308" s="256"/>
      <c r="AH308" s="256"/>
      <c r="AI308" s="256"/>
      <c r="AJ308" s="257"/>
      <c r="AK308" s="296">
        <f>'Encargos e Benefícios'!D307</f>
        <v>0</v>
      </c>
      <c r="AL308" s="296">
        <f>IF('Encargos e Benefícios'!C307=0,0,'Encargos e Benefícios'!U307/'Encargos e Benefícios'!C307)</f>
        <v>0</v>
      </c>
      <c r="AM308" s="296">
        <f>IF('Encargos e Benefícios'!C307=0,0,'Encargos e Benefícios'!AC307/'Encargos e Benefícios'!C307)</f>
        <v>0</v>
      </c>
      <c r="AN308" s="297">
        <f>IF('Encargos e Benefícios'!C307=0,0,'Encargos e Benefícios'!AD307/'Encargos e Benefícios'!C307)</f>
        <v>0</v>
      </c>
      <c r="AO308" s="188"/>
      <c r="AP308" s="298"/>
      <c r="AQ308" s="298"/>
      <c r="AR308" s="302"/>
      <c r="AS308" s="188"/>
    </row>
    <row r="309" spans="1:45" ht="13.5" hidden="1" thickBot="1">
      <c r="A309" s="286">
        <v>303</v>
      </c>
      <c r="B309" s="81">
        <f>'Encargos e Benefícios'!B308</f>
        <v>0</v>
      </c>
      <c r="C309" s="287">
        <f>'Encargos e Benefícios'!C308</f>
        <v>0</v>
      </c>
      <c r="D309" s="288"/>
      <c r="E309" s="300"/>
      <c r="F309" s="301"/>
      <c r="G309" s="293"/>
      <c r="H309" s="292">
        <v>5.8400000000000001E-2</v>
      </c>
      <c r="I309" s="256"/>
      <c r="J309" s="256"/>
      <c r="K309" s="256"/>
      <c r="L309" s="256"/>
      <c r="M309" s="293"/>
      <c r="N309" s="292">
        <v>5.8400000000000001E-2</v>
      </c>
      <c r="O309" s="256"/>
      <c r="P309" s="256"/>
      <c r="Q309" s="256"/>
      <c r="R309" s="256"/>
      <c r="S309" s="293"/>
      <c r="T309" s="294"/>
      <c r="U309" s="256"/>
      <c r="V309" s="256"/>
      <c r="W309" s="256"/>
      <c r="X309" s="256"/>
      <c r="Y309" s="293"/>
      <c r="Z309" s="294"/>
      <c r="AA309" s="256"/>
      <c r="AB309" s="256">
        <v>8.7100000000000009</v>
      </c>
      <c r="AC309" s="256"/>
      <c r="AD309" s="256"/>
      <c r="AE309" s="293"/>
      <c r="AF309" s="294"/>
      <c r="AG309" s="256"/>
      <c r="AH309" s="256"/>
      <c r="AI309" s="256"/>
      <c r="AJ309" s="257"/>
      <c r="AK309" s="296">
        <f>'Encargos e Benefícios'!D308</f>
        <v>0</v>
      </c>
      <c r="AL309" s="296">
        <f>IF('Encargos e Benefícios'!C308=0,0,'Encargos e Benefícios'!U308/'Encargos e Benefícios'!C308)</f>
        <v>0</v>
      </c>
      <c r="AM309" s="296">
        <f>IF('Encargos e Benefícios'!C308=0,0,'Encargos e Benefícios'!AC308/'Encargos e Benefícios'!C308)</f>
        <v>0</v>
      </c>
      <c r="AN309" s="297">
        <f>IF('Encargos e Benefícios'!C308=0,0,'Encargos e Benefícios'!AD308/'Encargos e Benefícios'!C308)</f>
        <v>0</v>
      </c>
      <c r="AO309" s="188"/>
      <c r="AP309" s="298"/>
      <c r="AQ309" s="298"/>
      <c r="AR309" s="302"/>
      <c r="AS309" s="188"/>
    </row>
    <row r="310" spans="1:45" ht="13.5" hidden="1" thickBot="1">
      <c r="A310" s="286">
        <v>304</v>
      </c>
      <c r="B310" s="81">
        <f>'Encargos e Benefícios'!B309</f>
        <v>0</v>
      </c>
      <c r="C310" s="287">
        <f>'Encargos e Benefícios'!C309</f>
        <v>0</v>
      </c>
      <c r="D310" s="288"/>
      <c r="E310" s="300"/>
      <c r="F310" s="301"/>
      <c r="G310" s="293"/>
      <c r="H310" s="292">
        <v>5.8400000000000001E-2</v>
      </c>
      <c r="I310" s="256"/>
      <c r="J310" s="256"/>
      <c r="K310" s="256"/>
      <c r="L310" s="256"/>
      <c r="M310" s="293"/>
      <c r="N310" s="292">
        <v>5.8400000000000001E-2</v>
      </c>
      <c r="O310" s="256"/>
      <c r="P310" s="256"/>
      <c r="Q310" s="256"/>
      <c r="R310" s="256"/>
      <c r="S310" s="293"/>
      <c r="T310" s="294"/>
      <c r="U310" s="256"/>
      <c r="V310" s="256"/>
      <c r="W310" s="256"/>
      <c r="X310" s="256"/>
      <c r="Y310" s="293"/>
      <c r="Z310" s="294"/>
      <c r="AA310" s="256"/>
      <c r="AB310" s="256">
        <v>8.7100000000000009</v>
      </c>
      <c r="AC310" s="256"/>
      <c r="AD310" s="256"/>
      <c r="AE310" s="293"/>
      <c r="AF310" s="294"/>
      <c r="AG310" s="256"/>
      <c r="AH310" s="256"/>
      <c r="AI310" s="256"/>
      <c r="AJ310" s="257"/>
      <c r="AK310" s="296">
        <f>'Encargos e Benefícios'!D309</f>
        <v>0</v>
      </c>
      <c r="AL310" s="296">
        <f>IF('Encargos e Benefícios'!C309=0,0,'Encargos e Benefícios'!U309/'Encargos e Benefícios'!C309)</f>
        <v>0</v>
      </c>
      <c r="AM310" s="296">
        <f>IF('Encargos e Benefícios'!C309=0,0,'Encargos e Benefícios'!AC309/'Encargos e Benefícios'!C309)</f>
        <v>0</v>
      </c>
      <c r="AN310" s="297">
        <f>IF('Encargos e Benefícios'!C309=0,0,'Encargos e Benefícios'!AD309/'Encargos e Benefícios'!C309)</f>
        <v>0</v>
      </c>
      <c r="AO310" s="188"/>
      <c r="AP310" s="298"/>
      <c r="AQ310" s="298"/>
      <c r="AR310" s="302"/>
      <c r="AS310" s="188"/>
    </row>
    <row r="311" spans="1:45" ht="13.5" hidden="1" thickBot="1">
      <c r="A311" s="286">
        <v>305</v>
      </c>
      <c r="B311" s="81">
        <f>'Encargos e Benefícios'!B310</f>
        <v>0</v>
      </c>
      <c r="C311" s="287">
        <f>'Encargos e Benefícios'!C310</f>
        <v>0</v>
      </c>
      <c r="D311" s="288"/>
      <c r="E311" s="300"/>
      <c r="F311" s="301"/>
      <c r="G311" s="293"/>
      <c r="H311" s="292">
        <v>5.8400000000000001E-2</v>
      </c>
      <c r="I311" s="256"/>
      <c r="J311" s="256"/>
      <c r="K311" s="256"/>
      <c r="L311" s="256"/>
      <c r="M311" s="293"/>
      <c r="N311" s="292">
        <v>5.8400000000000001E-2</v>
      </c>
      <c r="O311" s="256"/>
      <c r="P311" s="256"/>
      <c r="Q311" s="256"/>
      <c r="R311" s="256"/>
      <c r="S311" s="293"/>
      <c r="T311" s="294"/>
      <c r="U311" s="256"/>
      <c r="V311" s="256"/>
      <c r="W311" s="256"/>
      <c r="X311" s="256"/>
      <c r="Y311" s="293"/>
      <c r="Z311" s="294"/>
      <c r="AA311" s="256"/>
      <c r="AB311" s="256">
        <v>8.7100000000000009</v>
      </c>
      <c r="AC311" s="256"/>
      <c r="AD311" s="256"/>
      <c r="AE311" s="293"/>
      <c r="AF311" s="294"/>
      <c r="AG311" s="256"/>
      <c r="AH311" s="256"/>
      <c r="AI311" s="256"/>
      <c r="AJ311" s="257"/>
      <c r="AK311" s="296">
        <f>'Encargos e Benefícios'!D310</f>
        <v>0</v>
      </c>
      <c r="AL311" s="296">
        <f>IF('Encargos e Benefícios'!C310=0,0,'Encargos e Benefícios'!U310/'Encargos e Benefícios'!C310)</f>
        <v>0</v>
      </c>
      <c r="AM311" s="296">
        <f>IF('Encargos e Benefícios'!C310=0,0,'Encargos e Benefícios'!AC310/'Encargos e Benefícios'!C310)</f>
        <v>0</v>
      </c>
      <c r="AN311" s="297">
        <f>IF('Encargos e Benefícios'!C310=0,0,'Encargos e Benefícios'!AD310/'Encargos e Benefícios'!C310)</f>
        <v>0</v>
      </c>
      <c r="AO311" s="188"/>
      <c r="AP311" s="298"/>
      <c r="AQ311" s="298"/>
      <c r="AR311" s="302"/>
      <c r="AS311" s="188"/>
    </row>
    <row r="312" spans="1:45" ht="13.5" hidden="1" thickBot="1">
      <c r="A312" s="286">
        <v>306</v>
      </c>
      <c r="B312" s="81">
        <f>'Encargos e Benefícios'!B311</f>
        <v>0</v>
      </c>
      <c r="C312" s="287">
        <f>'Encargos e Benefícios'!C311</f>
        <v>0</v>
      </c>
      <c r="D312" s="288"/>
      <c r="E312" s="300"/>
      <c r="F312" s="301"/>
      <c r="G312" s="293"/>
      <c r="H312" s="292">
        <v>5.8400000000000001E-2</v>
      </c>
      <c r="I312" s="256"/>
      <c r="J312" s="256"/>
      <c r="K312" s="256"/>
      <c r="L312" s="256"/>
      <c r="M312" s="293"/>
      <c r="N312" s="292">
        <v>5.8400000000000001E-2</v>
      </c>
      <c r="O312" s="256"/>
      <c r="P312" s="256"/>
      <c r="Q312" s="256"/>
      <c r="R312" s="256"/>
      <c r="S312" s="293"/>
      <c r="T312" s="294"/>
      <c r="U312" s="256"/>
      <c r="V312" s="256"/>
      <c r="W312" s="256"/>
      <c r="X312" s="256"/>
      <c r="Y312" s="293"/>
      <c r="Z312" s="294"/>
      <c r="AA312" s="256"/>
      <c r="AB312" s="256">
        <v>8.7100000000000009</v>
      </c>
      <c r="AC312" s="256"/>
      <c r="AD312" s="256"/>
      <c r="AE312" s="293"/>
      <c r="AF312" s="294"/>
      <c r="AG312" s="256"/>
      <c r="AH312" s="256"/>
      <c r="AI312" s="256"/>
      <c r="AJ312" s="257"/>
      <c r="AK312" s="296">
        <f>'Encargos e Benefícios'!D311</f>
        <v>0</v>
      </c>
      <c r="AL312" s="296">
        <f>IF('Encargos e Benefícios'!C311=0,0,'Encargos e Benefícios'!U311/'Encargos e Benefícios'!C311)</f>
        <v>0</v>
      </c>
      <c r="AM312" s="296">
        <f>IF('Encargos e Benefícios'!C311=0,0,'Encargos e Benefícios'!AC311/'Encargos e Benefícios'!C311)</f>
        <v>0</v>
      </c>
      <c r="AN312" s="297">
        <f>IF('Encargos e Benefícios'!C311=0,0,'Encargos e Benefícios'!AD311/'Encargos e Benefícios'!C311)</f>
        <v>0</v>
      </c>
      <c r="AO312" s="188"/>
      <c r="AP312" s="298"/>
      <c r="AQ312" s="298"/>
      <c r="AR312" s="302"/>
      <c r="AS312" s="188"/>
    </row>
    <row r="313" spans="1:45" ht="13.5" hidden="1" thickBot="1">
      <c r="A313" s="286">
        <v>307</v>
      </c>
      <c r="B313" s="81">
        <f>'Encargos e Benefícios'!B312</f>
        <v>0</v>
      </c>
      <c r="C313" s="287">
        <f>'Encargos e Benefícios'!C312</f>
        <v>0</v>
      </c>
      <c r="D313" s="288"/>
      <c r="E313" s="300"/>
      <c r="F313" s="301"/>
      <c r="G313" s="293"/>
      <c r="H313" s="292">
        <v>5.8400000000000001E-2</v>
      </c>
      <c r="I313" s="256"/>
      <c r="J313" s="256"/>
      <c r="K313" s="256"/>
      <c r="L313" s="256"/>
      <c r="M313" s="293"/>
      <c r="N313" s="292">
        <v>5.8400000000000001E-2</v>
      </c>
      <c r="O313" s="256"/>
      <c r="P313" s="256"/>
      <c r="Q313" s="256"/>
      <c r="R313" s="256"/>
      <c r="S313" s="293"/>
      <c r="T313" s="294"/>
      <c r="U313" s="256"/>
      <c r="V313" s="256"/>
      <c r="W313" s="256"/>
      <c r="X313" s="256"/>
      <c r="Y313" s="293"/>
      <c r="Z313" s="294"/>
      <c r="AA313" s="256"/>
      <c r="AB313" s="256">
        <v>8.7100000000000009</v>
      </c>
      <c r="AC313" s="256"/>
      <c r="AD313" s="256"/>
      <c r="AE313" s="293"/>
      <c r="AF313" s="294"/>
      <c r="AG313" s="256"/>
      <c r="AH313" s="256"/>
      <c r="AI313" s="256"/>
      <c r="AJ313" s="257"/>
      <c r="AK313" s="296">
        <f>'Encargos e Benefícios'!D312</f>
        <v>0</v>
      </c>
      <c r="AL313" s="296">
        <f>IF('Encargos e Benefícios'!C312=0,0,'Encargos e Benefícios'!U312/'Encargos e Benefícios'!C312)</f>
        <v>0</v>
      </c>
      <c r="AM313" s="296">
        <f>IF('Encargos e Benefícios'!C312=0,0,'Encargos e Benefícios'!AC312/'Encargos e Benefícios'!C312)</f>
        <v>0</v>
      </c>
      <c r="AN313" s="297">
        <f>IF('Encargos e Benefícios'!C312=0,0,'Encargos e Benefícios'!AD312/'Encargos e Benefícios'!C312)</f>
        <v>0</v>
      </c>
      <c r="AO313" s="188"/>
      <c r="AP313" s="298"/>
      <c r="AQ313" s="298"/>
      <c r="AR313" s="302"/>
      <c r="AS313" s="188"/>
    </row>
    <row r="314" spans="1:45" ht="13.5" hidden="1" thickBot="1">
      <c r="A314" s="286">
        <v>308</v>
      </c>
      <c r="B314" s="81">
        <f>'Encargos e Benefícios'!B313</f>
        <v>0</v>
      </c>
      <c r="C314" s="287">
        <f>'Encargos e Benefícios'!C313</f>
        <v>0</v>
      </c>
      <c r="D314" s="288"/>
      <c r="E314" s="300"/>
      <c r="F314" s="301"/>
      <c r="G314" s="293"/>
      <c r="H314" s="292">
        <v>5.8400000000000001E-2</v>
      </c>
      <c r="I314" s="256"/>
      <c r="J314" s="256"/>
      <c r="K314" s="256"/>
      <c r="L314" s="256"/>
      <c r="M314" s="293"/>
      <c r="N314" s="292">
        <v>5.8400000000000001E-2</v>
      </c>
      <c r="O314" s="256"/>
      <c r="P314" s="256"/>
      <c r="Q314" s="256"/>
      <c r="R314" s="256"/>
      <c r="S314" s="293"/>
      <c r="T314" s="294"/>
      <c r="U314" s="256"/>
      <c r="V314" s="256"/>
      <c r="W314" s="256"/>
      <c r="X314" s="256"/>
      <c r="Y314" s="293"/>
      <c r="Z314" s="294"/>
      <c r="AA314" s="256"/>
      <c r="AB314" s="256">
        <v>8.7100000000000009</v>
      </c>
      <c r="AC314" s="256"/>
      <c r="AD314" s="256"/>
      <c r="AE314" s="293"/>
      <c r="AF314" s="294"/>
      <c r="AG314" s="256"/>
      <c r="AH314" s="256"/>
      <c r="AI314" s="256"/>
      <c r="AJ314" s="257"/>
      <c r="AK314" s="296">
        <f>'Encargos e Benefícios'!D313</f>
        <v>0</v>
      </c>
      <c r="AL314" s="296">
        <f>IF('Encargos e Benefícios'!C313=0,0,'Encargos e Benefícios'!U313/'Encargos e Benefícios'!C313)</f>
        <v>0</v>
      </c>
      <c r="AM314" s="296">
        <f>IF('Encargos e Benefícios'!C313=0,0,'Encargos e Benefícios'!AC313/'Encargos e Benefícios'!C313)</f>
        <v>0</v>
      </c>
      <c r="AN314" s="297">
        <f>IF('Encargos e Benefícios'!C313=0,0,'Encargos e Benefícios'!AD313/'Encargos e Benefícios'!C313)</f>
        <v>0</v>
      </c>
      <c r="AO314" s="188"/>
      <c r="AP314" s="298"/>
      <c r="AQ314" s="298"/>
      <c r="AR314" s="302"/>
      <c r="AS314" s="188"/>
    </row>
    <row r="315" spans="1:45" ht="13.5" hidden="1" thickBot="1">
      <c r="A315" s="286">
        <v>309</v>
      </c>
      <c r="B315" s="81">
        <f>'Encargos e Benefícios'!B314</f>
        <v>0</v>
      </c>
      <c r="C315" s="287">
        <f>'Encargos e Benefícios'!C314</f>
        <v>0</v>
      </c>
      <c r="D315" s="288"/>
      <c r="E315" s="300"/>
      <c r="F315" s="301"/>
      <c r="G315" s="293"/>
      <c r="H315" s="292">
        <v>5.8400000000000001E-2</v>
      </c>
      <c r="I315" s="256"/>
      <c r="J315" s="256"/>
      <c r="K315" s="256"/>
      <c r="L315" s="256"/>
      <c r="M315" s="293"/>
      <c r="N315" s="292">
        <v>5.8400000000000001E-2</v>
      </c>
      <c r="O315" s="256"/>
      <c r="P315" s="256"/>
      <c r="Q315" s="256"/>
      <c r="R315" s="256"/>
      <c r="S315" s="293"/>
      <c r="T315" s="294"/>
      <c r="U315" s="256"/>
      <c r="V315" s="256"/>
      <c r="W315" s="256"/>
      <c r="X315" s="256"/>
      <c r="Y315" s="293"/>
      <c r="Z315" s="294"/>
      <c r="AA315" s="256"/>
      <c r="AB315" s="256">
        <v>8.7100000000000009</v>
      </c>
      <c r="AC315" s="256"/>
      <c r="AD315" s="256"/>
      <c r="AE315" s="293"/>
      <c r="AF315" s="294"/>
      <c r="AG315" s="256"/>
      <c r="AH315" s="256"/>
      <c r="AI315" s="256"/>
      <c r="AJ315" s="257"/>
      <c r="AK315" s="296">
        <f>'Encargos e Benefícios'!D314</f>
        <v>0</v>
      </c>
      <c r="AL315" s="296">
        <f>IF('Encargos e Benefícios'!C314=0,0,'Encargos e Benefícios'!U314/'Encargos e Benefícios'!C314)</f>
        <v>0</v>
      </c>
      <c r="AM315" s="296">
        <f>IF('Encargos e Benefícios'!C314=0,0,'Encargos e Benefícios'!AC314/'Encargos e Benefícios'!C314)</f>
        <v>0</v>
      </c>
      <c r="AN315" s="297">
        <f>IF('Encargos e Benefícios'!C314=0,0,'Encargos e Benefícios'!AD314/'Encargos e Benefícios'!C314)</f>
        <v>0</v>
      </c>
      <c r="AO315" s="188"/>
      <c r="AP315" s="298"/>
      <c r="AQ315" s="298"/>
      <c r="AR315" s="302"/>
      <c r="AS315" s="188"/>
    </row>
    <row r="316" spans="1:45" ht="13.5" hidden="1" thickBot="1">
      <c r="A316" s="286">
        <v>310</v>
      </c>
      <c r="B316" s="81">
        <f>'Encargos e Benefícios'!B315</f>
        <v>0</v>
      </c>
      <c r="C316" s="287">
        <f>'Encargos e Benefícios'!C315</f>
        <v>0</v>
      </c>
      <c r="D316" s="288"/>
      <c r="E316" s="300"/>
      <c r="F316" s="301"/>
      <c r="G316" s="293"/>
      <c r="H316" s="292">
        <v>5.8400000000000001E-2</v>
      </c>
      <c r="I316" s="256"/>
      <c r="J316" s="256"/>
      <c r="K316" s="256"/>
      <c r="L316" s="256"/>
      <c r="M316" s="293"/>
      <c r="N316" s="292">
        <v>5.8400000000000001E-2</v>
      </c>
      <c r="O316" s="256"/>
      <c r="P316" s="256"/>
      <c r="Q316" s="256"/>
      <c r="R316" s="256"/>
      <c r="S316" s="293"/>
      <c r="T316" s="294"/>
      <c r="U316" s="256"/>
      <c r="V316" s="256"/>
      <c r="W316" s="256"/>
      <c r="X316" s="256"/>
      <c r="Y316" s="293"/>
      <c r="Z316" s="294"/>
      <c r="AA316" s="256"/>
      <c r="AB316" s="256">
        <v>8.7100000000000009</v>
      </c>
      <c r="AC316" s="256"/>
      <c r="AD316" s="256"/>
      <c r="AE316" s="293"/>
      <c r="AF316" s="294"/>
      <c r="AG316" s="256"/>
      <c r="AH316" s="256"/>
      <c r="AI316" s="256"/>
      <c r="AJ316" s="257"/>
      <c r="AK316" s="296">
        <f>'Encargos e Benefícios'!D315</f>
        <v>0</v>
      </c>
      <c r="AL316" s="296">
        <f>IF('Encargos e Benefícios'!C315=0,0,'Encargos e Benefícios'!U315/'Encargos e Benefícios'!C315)</f>
        <v>0</v>
      </c>
      <c r="AM316" s="296">
        <f>IF('Encargos e Benefícios'!C315=0,0,'Encargos e Benefícios'!AC315/'Encargos e Benefícios'!C315)</f>
        <v>0</v>
      </c>
      <c r="AN316" s="297">
        <f>IF('Encargos e Benefícios'!C315=0,0,'Encargos e Benefícios'!AD315/'Encargos e Benefícios'!C315)</f>
        <v>0</v>
      </c>
      <c r="AO316" s="188"/>
      <c r="AP316" s="298"/>
      <c r="AQ316" s="298"/>
      <c r="AR316" s="302"/>
      <c r="AS316" s="188"/>
    </row>
    <row r="317" spans="1:45" ht="13.5" hidden="1" thickBot="1">
      <c r="A317" s="286">
        <v>311</v>
      </c>
      <c r="B317" s="81">
        <f>'Encargos e Benefícios'!B316</f>
        <v>0</v>
      </c>
      <c r="C317" s="287">
        <f>'Encargos e Benefícios'!C316</f>
        <v>0</v>
      </c>
      <c r="D317" s="288"/>
      <c r="E317" s="300"/>
      <c r="F317" s="301"/>
      <c r="G317" s="293"/>
      <c r="H317" s="292">
        <v>5.8400000000000001E-2</v>
      </c>
      <c r="I317" s="256"/>
      <c r="J317" s="256"/>
      <c r="K317" s="256"/>
      <c r="L317" s="256"/>
      <c r="M317" s="293"/>
      <c r="N317" s="292">
        <v>5.8400000000000001E-2</v>
      </c>
      <c r="O317" s="256"/>
      <c r="P317" s="256"/>
      <c r="Q317" s="256"/>
      <c r="R317" s="256"/>
      <c r="S317" s="293"/>
      <c r="T317" s="294"/>
      <c r="U317" s="256"/>
      <c r="V317" s="256"/>
      <c r="W317" s="256"/>
      <c r="X317" s="256"/>
      <c r="Y317" s="293"/>
      <c r="Z317" s="294"/>
      <c r="AA317" s="256"/>
      <c r="AB317" s="256">
        <v>8.7100000000000009</v>
      </c>
      <c r="AC317" s="256"/>
      <c r="AD317" s="256"/>
      <c r="AE317" s="293"/>
      <c r="AF317" s="294"/>
      <c r="AG317" s="256"/>
      <c r="AH317" s="256"/>
      <c r="AI317" s="256"/>
      <c r="AJ317" s="257"/>
      <c r="AK317" s="296">
        <f>'Encargos e Benefícios'!D316</f>
        <v>0</v>
      </c>
      <c r="AL317" s="296">
        <f>IF('Encargos e Benefícios'!C316=0,0,'Encargos e Benefícios'!U316/'Encargos e Benefícios'!C316)</f>
        <v>0</v>
      </c>
      <c r="AM317" s="296">
        <f>IF('Encargos e Benefícios'!C316=0,0,'Encargos e Benefícios'!AC316/'Encargos e Benefícios'!C316)</f>
        <v>0</v>
      </c>
      <c r="AN317" s="297">
        <f>IF('Encargos e Benefícios'!C316=0,0,'Encargos e Benefícios'!AD316/'Encargos e Benefícios'!C316)</f>
        <v>0</v>
      </c>
      <c r="AO317" s="188"/>
      <c r="AP317" s="298"/>
      <c r="AQ317" s="298"/>
      <c r="AR317" s="302"/>
      <c r="AS317" s="188"/>
    </row>
    <row r="318" spans="1:45" ht="13.5" hidden="1" thickBot="1">
      <c r="A318" s="286">
        <v>312</v>
      </c>
      <c r="B318" s="81">
        <f>'Encargos e Benefícios'!B317</f>
        <v>0</v>
      </c>
      <c r="C318" s="287">
        <f>'Encargos e Benefícios'!C317</f>
        <v>0</v>
      </c>
      <c r="D318" s="288"/>
      <c r="E318" s="300"/>
      <c r="F318" s="301"/>
      <c r="G318" s="293"/>
      <c r="H318" s="292">
        <v>5.8400000000000001E-2</v>
      </c>
      <c r="I318" s="256"/>
      <c r="J318" s="256"/>
      <c r="K318" s="256"/>
      <c r="L318" s="256"/>
      <c r="M318" s="293"/>
      <c r="N318" s="292">
        <v>5.8400000000000001E-2</v>
      </c>
      <c r="O318" s="256"/>
      <c r="P318" s="256"/>
      <c r="Q318" s="256"/>
      <c r="R318" s="256"/>
      <c r="S318" s="293"/>
      <c r="T318" s="294"/>
      <c r="U318" s="256"/>
      <c r="V318" s="256"/>
      <c r="W318" s="256"/>
      <c r="X318" s="256"/>
      <c r="Y318" s="293"/>
      <c r="Z318" s="294"/>
      <c r="AA318" s="256"/>
      <c r="AB318" s="256">
        <v>8.7100000000000009</v>
      </c>
      <c r="AC318" s="256"/>
      <c r="AD318" s="256"/>
      <c r="AE318" s="293"/>
      <c r="AF318" s="294"/>
      <c r="AG318" s="256"/>
      <c r="AH318" s="256"/>
      <c r="AI318" s="256"/>
      <c r="AJ318" s="257"/>
      <c r="AK318" s="296">
        <f>'Encargos e Benefícios'!D317</f>
        <v>0</v>
      </c>
      <c r="AL318" s="296">
        <f>IF('Encargos e Benefícios'!C317=0,0,'Encargos e Benefícios'!U317/'Encargos e Benefícios'!C317)</f>
        <v>0</v>
      </c>
      <c r="AM318" s="296">
        <f>IF('Encargos e Benefícios'!C317=0,0,'Encargos e Benefícios'!AC317/'Encargos e Benefícios'!C317)</f>
        <v>0</v>
      </c>
      <c r="AN318" s="297">
        <f>IF('Encargos e Benefícios'!C317=0,0,'Encargos e Benefícios'!AD317/'Encargos e Benefícios'!C317)</f>
        <v>0</v>
      </c>
      <c r="AO318" s="188"/>
      <c r="AP318" s="298"/>
      <c r="AQ318" s="298"/>
      <c r="AR318" s="302"/>
      <c r="AS318" s="188"/>
    </row>
    <row r="319" spans="1:45" ht="13.5" hidden="1" thickBot="1">
      <c r="A319" s="286">
        <v>313</v>
      </c>
      <c r="B319" s="81">
        <f>'Encargos e Benefícios'!B318</f>
        <v>0</v>
      </c>
      <c r="C319" s="287">
        <f>'Encargos e Benefícios'!C318</f>
        <v>0</v>
      </c>
      <c r="D319" s="288"/>
      <c r="E319" s="300"/>
      <c r="F319" s="301"/>
      <c r="G319" s="293"/>
      <c r="H319" s="292">
        <v>5.8400000000000001E-2</v>
      </c>
      <c r="I319" s="256"/>
      <c r="J319" s="256"/>
      <c r="K319" s="256"/>
      <c r="L319" s="256"/>
      <c r="M319" s="293"/>
      <c r="N319" s="292">
        <v>5.8400000000000001E-2</v>
      </c>
      <c r="O319" s="256"/>
      <c r="P319" s="256"/>
      <c r="Q319" s="256"/>
      <c r="R319" s="256"/>
      <c r="S319" s="293"/>
      <c r="T319" s="294"/>
      <c r="U319" s="256"/>
      <c r="V319" s="256"/>
      <c r="W319" s="256"/>
      <c r="X319" s="256"/>
      <c r="Y319" s="293"/>
      <c r="Z319" s="294"/>
      <c r="AA319" s="256"/>
      <c r="AB319" s="256">
        <v>8.7100000000000009</v>
      </c>
      <c r="AC319" s="256"/>
      <c r="AD319" s="256"/>
      <c r="AE319" s="293"/>
      <c r="AF319" s="294"/>
      <c r="AG319" s="256"/>
      <c r="AH319" s="256"/>
      <c r="AI319" s="256"/>
      <c r="AJ319" s="257"/>
      <c r="AK319" s="296">
        <f>'Encargos e Benefícios'!D318</f>
        <v>0</v>
      </c>
      <c r="AL319" s="296">
        <f>IF('Encargos e Benefícios'!C318=0,0,'Encargos e Benefícios'!U318/'Encargos e Benefícios'!C318)</f>
        <v>0</v>
      </c>
      <c r="AM319" s="296">
        <f>IF('Encargos e Benefícios'!C318=0,0,'Encargos e Benefícios'!AC318/'Encargos e Benefícios'!C318)</f>
        <v>0</v>
      </c>
      <c r="AN319" s="297">
        <f>IF('Encargos e Benefícios'!C318=0,0,'Encargos e Benefícios'!AD318/'Encargos e Benefícios'!C318)</f>
        <v>0</v>
      </c>
      <c r="AO319" s="188"/>
      <c r="AP319" s="298"/>
      <c r="AQ319" s="298"/>
      <c r="AR319" s="302"/>
      <c r="AS319" s="188"/>
    </row>
    <row r="320" spans="1:45" ht="13.5" hidden="1" thickBot="1">
      <c r="A320" s="286">
        <v>314</v>
      </c>
      <c r="B320" s="81">
        <f>'Encargos e Benefícios'!B319</f>
        <v>0</v>
      </c>
      <c r="C320" s="287">
        <f>'Encargos e Benefícios'!C319</f>
        <v>0</v>
      </c>
      <c r="D320" s="288"/>
      <c r="E320" s="300"/>
      <c r="F320" s="301"/>
      <c r="G320" s="293"/>
      <c r="H320" s="292">
        <v>5.8400000000000001E-2</v>
      </c>
      <c r="I320" s="256"/>
      <c r="J320" s="256"/>
      <c r="K320" s="256"/>
      <c r="L320" s="256"/>
      <c r="M320" s="293"/>
      <c r="N320" s="292">
        <v>5.8400000000000001E-2</v>
      </c>
      <c r="O320" s="256"/>
      <c r="P320" s="256"/>
      <c r="Q320" s="256"/>
      <c r="R320" s="256"/>
      <c r="S320" s="293"/>
      <c r="T320" s="294"/>
      <c r="U320" s="256"/>
      <c r="V320" s="256"/>
      <c r="W320" s="256"/>
      <c r="X320" s="256"/>
      <c r="Y320" s="293"/>
      <c r="Z320" s="294"/>
      <c r="AA320" s="256"/>
      <c r="AB320" s="256">
        <v>8.7100000000000009</v>
      </c>
      <c r="AC320" s="256"/>
      <c r="AD320" s="256"/>
      <c r="AE320" s="293"/>
      <c r="AF320" s="294"/>
      <c r="AG320" s="256"/>
      <c r="AH320" s="256"/>
      <c r="AI320" s="256"/>
      <c r="AJ320" s="257"/>
      <c r="AK320" s="296">
        <f>'Encargos e Benefícios'!D319</f>
        <v>0</v>
      </c>
      <c r="AL320" s="296">
        <f>IF('Encargos e Benefícios'!C319=0,0,'Encargos e Benefícios'!U319/'Encargos e Benefícios'!C319)</f>
        <v>0</v>
      </c>
      <c r="AM320" s="296">
        <f>IF('Encargos e Benefícios'!C319=0,0,'Encargos e Benefícios'!AC319/'Encargos e Benefícios'!C319)</f>
        <v>0</v>
      </c>
      <c r="AN320" s="297">
        <f>IF('Encargos e Benefícios'!C319=0,0,'Encargos e Benefícios'!AD319/'Encargos e Benefícios'!C319)</f>
        <v>0</v>
      </c>
      <c r="AO320" s="188"/>
      <c r="AP320" s="298"/>
      <c r="AQ320" s="298"/>
      <c r="AR320" s="302"/>
      <c r="AS320" s="188"/>
    </row>
    <row r="321" spans="1:45" ht="13.5" hidden="1" thickBot="1">
      <c r="A321" s="286">
        <v>315</v>
      </c>
      <c r="B321" s="81">
        <f>'Encargos e Benefícios'!B320</f>
        <v>0</v>
      </c>
      <c r="C321" s="287">
        <f>'Encargos e Benefícios'!C320</f>
        <v>0</v>
      </c>
      <c r="D321" s="288"/>
      <c r="E321" s="300"/>
      <c r="F321" s="301"/>
      <c r="G321" s="293"/>
      <c r="H321" s="292">
        <v>5.8400000000000001E-2</v>
      </c>
      <c r="I321" s="256"/>
      <c r="J321" s="256"/>
      <c r="K321" s="256"/>
      <c r="L321" s="256"/>
      <c r="M321" s="293"/>
      <c r="N321" s="292">
        <v>5.8400000000000001E-2</v>
      </c>
      <c r="O321" s="256"/>
      <c r="P321" s="256"/>
      <c r="Q321" s="256"/>
      <c r="R321" s="256"/>
      <c r="S321" s="293"/>
      <c r="T321" s="294"/>
      <c r="U321" s="256"/>
      <c r="V321" s="256"/>
      <c r="W321" s="256"/>
      <c r="X321" s="256"/>
      <c r="Y321" s="293"/>
      <c r="Z321" s="294"/>
      <c r="AA321" s="256"/>
      <c r="AB321" s="256">
        <v>8.7100000000000009</v>
      </c>
      <c r="AC321" s="256"/>
      <c r="AD321" s="256"/>
      <c r="AE321" s="293"/>
      <c r="AF321" s="294"/>
      <c r="AG321" s="256"/>
      <c r="AH321" s="256"/>
      <c r="AI321" s="256"/>
      <c r="AJ321" s="257"/>
      <c r="AK321" s="296">
        <f>'Encargos e Benefícios'!D320</f>
        <v>0</v>
      </c>
      <c r="AL321" s="296">
        <f>IF('Encargos e Benefícios'!C320=0,0,'Encargos e Benefícios'!U320/'Encargos e Benefícios'!C320)</f>
        <v>0</v>
      </c>
      <c r="AM321" s="296">
        <f>IF('Encargos e Benefícios'!C320=0,0,'Encargos e Benefícios'!AC320/'Encargos e Benefícios'!C320)</f>
        <v>0</v>
      </c>
      <c r="AN321" s="297">
        <f>IF('Encargos e Benefícios'!C320=0,0,'Encargos e Benefícios'!AD320/'Encargos e Benefícios'!C320)</f>
        <v>0</v>
      </c>
      <c r="AO321" s="188"/>
      <c r="AP321" s="298"/>
      <c r="AQ321" s="298"/>
      <c r="AR321" s="302"/>
      <c r="AS321" s="188"/>
    </row>
    <row r="322" spans="1:45" ht="13.5" hidden="1" thickBot="1">
      <c r="A322" s="286">
        <v>316</v>
      </c>
      <c r="B322" s="81">
        <f>'Encargos e Benefícios'!B321</f>
        <v>0</v>
      </c>
      <c r="C322" s="287">
        <f>'Encargos e Benefícios'!C321</f>
        <v>0</v>
      </c>
      <c r="D322" s="288"/>
      <c r="E322" s="300"/>
      <c r="F322" s="301"/>
      <c r="G322" s="293"/>
      <c r="H322" s="292">
        <v>5.8400000000000001E-2</v>
      </c>
      <c r="I322" s="256"/>
      <c r="J322" s="256"/>
      <c r="K322" s="256"/>
      <c r="L322" s="256"/>
      <c r="M322" s="293"/>
      <c r="N322" s="292">
        <v>5.8400000000000001E-2</v>
      </c>
      <c r="O322" s="256"/>
      <c r="P322" s="256"/>
      <c r="Q322" s="256"/>
      <c r="R322" s="256"/>
      <c r="S322" s="293"/>
      <c r="T322" s="294"/>
      <c r="U322" s="256"/>
      <c r="V322" s="256"/>
      <c r="W322" s="256"/>
      <c r="X322" s="256"/>
      <c r="Y322" s="293"/>
      <c r="Z322" s="294"/>
      <c r="AA322" s="256"/>
      <c r="AB322" s="256">
        <v>8.7100000000000009</v>
      </c>
      <c r="AC322" s="256"/>
      <c r="AD322" s="256"/>
      <c r="AE322" s="293"/>
      <c r="AF322" s="294"/>
      <c r="AG322" s="256"/>
      <c r="AH322" s="256"/>
      <c r="AI322" s="256"/>
      <c r="AJ322" s="257"/>
      <c r="AK322" s="296">
        <f>'Encargos e Benefícios'!D321</f>
        <v>0</v>
      </c>
      <c r="AL322" s="296">
        <f>IF('Encargos e Benefícios'!C321=0,0,'Encargos e Benefícios'!U321/'Encargos e Benefícios'!C321)</f>
        <v>0</v>
      </c>
      <c r="AM322" s="296">
        <f>IF('Encargos e Benefícios'!C321=0,0,'Encargos e Benefícios'!AC321/'Encargos e Benefícios'!C321)</f>
        <v>0</v>
      </c>
      <c r="AN322" s="297">
        <f>IF('Encargos e Benefícios'!C321=0,0,'Encargos e Benefícios'!AD321/'Encargos e Benefícios'!C321)</f>
        <v>0</v>
      </c>
      <c r="AO322" s="188"/>
      <c r="AP322" s="298"/>
      <c r="AQ322" s="298"/>
      <c r="AR322" s="302"/>
      <c r="AS322" s="188"/>
    </row>
    <row r="323" spans="1:45" ht="13.5" hidden="1" thickBot="1">
      <c r="A323" s="286">
        <v>317</v>
      </c>
      <c r="B323" s="81">
        <f>'Encargos e Benefícios'!B322</f>
        <v>0</v>
      </c>
      <c r="C323" s="287">
        <f>'Encargos e Benefícios'!C322</f>
        <v>0</v>
      </c>
      <c r="D323" s="288"/>
      <c r="E323" s="300"/>
      <c r="F323" s="301"/>
      <c r="G323" s="293"/>
      <c r="H323" s="292">
        <v>5.8400000000000001E-2</v>
      </c>
      <c r="I323" s="256"/>
      <c r="J323" s="256"/>
      <c r="K323" s="256"/>
      <c r="L323" s="256"/>
      <c r="M323" s="293"/>
      <c r="N323" s="292">
        <v>5.8400000000000001E-2</v>
      </c>
      <c r="O323" s="256"/>
      <c r="P323" s="256"/>
      <c r="Q323" s="256"/>
      <c r="R323" s="256"/>
      <c r="S323" s="293"/>
      <c r="T323" s="294"/>
      <c r="U323" s="256"/>
      <c r="V323" s="256"/>
      <c r="W323" s="256"/>
      <c r="X323" s="256"/>
      <c r="Y323" s="293"/>
      <c r="Z323" s="294"/>
      <c r="AA323" s="256"/>
      <c r="AB323" s="256">
        <v>8.7100000000000009</v>
      </c>
      <c r="AC323" s="256"/>
      <c r="AD323" s="256"/>
      <c r="AE323" s="293"/>
      <c r="AF323" s="294"/>
      <c r="AG323" s="256"/>
      <c r="AH323" s="256"/>
      <c r="AI323" s="256"/>
      <c r="AJ323" s="257"/>
      <c r="AK323" s="296">
        <f>'Encargos e Benefícios'!D322</f>
        <v>0</v>
      </c>
      <c r="AL323" s="296">
        <f>IF('Encargos e Benefícios'!C322=0,0,'Encargos e Benefícios'!U322/'Encargos e Benefícios'!C322)</f>
        <v>0</v>
      </c>
      <c r="AM323" s="296">
        <f>IF('Encargos e Benefícios'!C322=0,0,'Encargos e Benefícios'!AC322/'Encargos e Benefícios'!C322)</f>
        <v>0</v>
      </c>
      <c r="AN323" s="297">
        <f>IF('Encargos e Benefícios'!C322=0,0,'Encargos e Benefícios'!AD322/'Encargos e Benefícios'!C322)</f>
        <v>0</v>
      </c>
      <c r="AO323" s="188"/>
      <c r="AP323" s="298"/>
      <c r="AQ323" s="298"/>
      <c r="AR323" s="302"/>
      <c r="AS323" s="188"/>
    </row>
    <row r="324" spans="1:45" ht="13.5" hidden="1" thickBot="1">
      <c r="A324" s="286">
        <v>318</v>
      </c>
      <c r="B324" s="81">
        <f>'Encargos e Benefícios'!B323</f>
        <v>0</v>
      </c>
      <c r="C324" s="287">
        <f>'Encargos e Benefícios'!C323</f>
        <v>0</v>
      </c>
      <c r="D324" s="288"/>
      <c r="E324" s="300"/>
      <c r="F324" s="301"/>
      <c r="G324" s="293"/>
      <c r="H324" s="292">
        <v>5.8400000000000001E-2</v>
      </c>
      <c r="I324" s="256"/>
      <c r="J324" s="256"/>
      <c r="K324" s="256"/>
      <c r="L324" s="256"/>
      <c r="M324" s="293"/>
      <c r="N324" s="292">
        <v>5.8400000000000001E-2</v>
      </c>
      <c r="O324" s="256"/>
      <c r="P324" s="256"/>
      <c r="Q324" s="256"/>
      <c r="R324" s="256"/>
      <c r="S324" s="293"/>
      <c r="T324" s="294"/>
      <c r="U324" s="256"/>
      <c r="V324" s="256"/>
      <c r="W324" s="256"/>
      <c r="X324" s="256"/>
      <c r="Y324" s="293"/>
      <c r="Z324" s="294"/>
      <c r="AA324" s="256"/>
      <c r="AB324" s="256">
        <v>8.7100000000000009</v>
      </c>
      <c r="AC324" s="256"/>
      <c r="AD324" s="256"/>
      <c r="AE324" s="293"/>
      <c r="AF324" s="294"/>
      <c r="AG324" s="256"/>
      <c r="AH324" s="256"/>
      <c r="AI324" s="256"/>
      <c r="AJ324" s="257"/>
      <c r="AK324" s="296">
        <f>'Encargos e Benefícios'!D323</f>
        <v>0</v>
      </c>
      <c r="AL324" s="296">
        <f>IF('Encargos e Benefícios'!C323=0,0,'Encargos e Benefícios'!U323/'Encargos e Benefícios'!C323)</f>
        <v>0</v>
      </c>
      <c r="AM324" s="296">
        <f>IF('Encargos e Benefícios'!C323=0,0,'Encargos e Benefícios'!AC323/'Encargos e Benefícios'!C323)</f>
        <v>0</v>
      </c>
      <c r="AN324" s="297">
        <f>IF('Encargos e Benefícios'!C323=0,0,'Encargos e Benefícios'!AD323/'Encargos e Benefícios'!C323)</f>
        <v>0</v>
      </c>
      <c r="AO324" s="188"/>
      <c r="AP324" s="298"/>
      <c r="AQ324" s="298"/>
      <c r="AR324" s="302"/>
      <c r="AS324" s="188"/>
    </row>
    <row r="325" spans="1:45" ht="13.5" hidden="1" thickBot="1">
      <c r="A325" s="286">
        <v>319</v>
      </c>
      <c r="B325" s="81">
        <f>'Encargos e Benefícios'!B324</f>
        <v>0</v>
      </c>
      <c r="C325" s="287">
        <f>'Encargos e Benefícios'!C324</f>
        <v>0</v>
      </c>
      <c r="D325" s="288"/>
      <c r="E325" s="300"/>
      <c r="F325" s="301"/>
      <c r="G325" s="293"/>
      <c r="H325" s="292">
        <v>5.8400000000000001E-2</v>
      </c>
      <c r="I325" s="256"/>
      <c r="J325" s="256"/>
      <c r="K325" s="256"/>
      <c r="L325" s="256"/>
      <c r="M325" s="293"/>
      <c r="N325" s="292">
        <v>5.8400000000000001E-2</v>
      </c>
      <c r="O325" s="256"/>
      <c r="P325" s="256"/>
      <c r="Q325" s="256"/>
      <c r="R325" s="256"/>
      <c r="S325" s="293"/>
      <c r="T325" s="294"/>
      <c r="U325" s="256"/>
      <c r="V325" s="256"/>
      <c r="W325" s="256"/>
      <c r="X325" s="256"/>
      <c r="Y325" s="293"/>
      <c r="Z325" s="294"/>
      <c r="AA325" s="256"/>
      <c r="AB325" s="256">
        <v>8.7100000000000009</v>
      </c>
      <c r="AC325" s="256"/>
      <c r="AD325" s="256"/>
      <c r="AE325" s="293"/>
      <c r="AF325" s="294"/>
      <c r="AG325" s="256"/>
      <c r="AH325" s="256"/>
      <c r="AI325" s="256"/>
      <c r="AJ325" s="257"/>
      <c r="AK325" s="296">
        <f>'Encargos e Benefícios'!D324</f>
        <v>0</v>
      </c>
      <c r="AL325" s="296">
        <f>IF('Encargos e Benefícios'!C324=0,0,'Encargos e Benefícios'!U324/'Encargos e Benefícios'!C324)</f>
        <v>0</v>
      </c>
      <c r="AM325" s="296">
        <f>IF('Encargos e Benefícios'!C324=0,0,'Encargos e Benefícios'!AC324/'Encargos e Benefícios'!C324)</f>
        <v>0</v>
      </c>
      <c r="AN325" s="297">
        <f>IF('Encargos e Benefícios'!C324=0,0,'Encargos e Benefícios'!AD324/'Encargos e Benefícios'!C324)</f>
        <v>0</v>
      </c>
      <c r="AO325" s="188"/>
      <c r="AP325" s="298"/>
      <c r="AQ325" s="298"/>
      <c r="AR325" s="302"/>
      <c r="AS325" s="188"/>
    </row>
    <row r="326" spans="1:45" ht="13.5" hidden="1" thickBot="1">
      <c r="A326" s="286">
        <v>320</v>
      </c>
      <c r="B326" s="81">
        <f>'Encargos e Benefícios'!B325</f>
        <v>0</v>
      </c>
      <c r="C326" s="287">
        <f>'Encargos e Benefícios'!C325</f>
        <v>0</v>
      </c>
      <c r="D326" s="288"/>
      <c r="E326" s="300"/>
      <c r="F326" s="301"/>
      <c r="G326" s="293"/>
      <c r="H326" s="292">
        <v>5.8400000000000001E-2</v>
      </c>
      <c r="I326" s="256"/>
      <c r="J326" s="256"/>
      <c r="K326" s="256"/>
      <c r="L326" s="256"/>
      <c r="M326" s="293"/>
      <c r="N326" s="292">
        <v>5.8400000000000001E-2</v>
      </c>
      <c r="O326" s="256"/>
      <c r="P326" s="256"/>
      <c r="Q326" s="256"/>
      <c r="R326" s="256"/>
      <c r="S326" s="293"/>
      <c r="T326" s="294"/>
      <c r="U326" s="256"/>
      <c r="V326" s="256"/>
      <c r="W326" s="256"/>
      <c r="X326" s="256"/>
      <c r="Y326" s="293"/>
      <c r="Z326" s="294"/>
      <c r="AA326" s="256"/>
      <c r="AB326" s="256">
        <v>8.7100000000000009</v>
      </c>
      <c r="AC326" s="256"/>
      <c r="AD326" s="256"/>
      <c r="AE326" s="293"/>
      <c r="AF326" s="294"/>
      <c r="AG326" s="256"/>
      <c r="AH326" s="256"/>
      <c r="AI326" s="256"/>
      <c r="AJ326" s="257"/>
      <c r="AK326" s="296">
        <f>'Encargos e Benefícios'!D325</f>
        <v>0</v>
      </c>
      <c r="AL326" s="296">
        <f>IF('Encargos e Benefícios'!C325=0,0,'Encargos e Benefícios'!U325/'Encargos e Benefícios'!C325)</f>
        <v>0</v>
      </c>
      <c r="AM326" s="296">
        <f>IF('Encargos e Benefícios'!C325=0,0,'Encargos e Benefícios'!AC325/'Encargos e Benefícios'!C325)</f>
        <v>0</v>
      </c>
      <c r="AN326" s="297">
        <f>IF('Encargos e Benefícios'!C325=0,0,'Encargos e Benefícios'!AD325/'Encargos e Benefícios'!C325)</f>
        <v>0</v>
      </c>
      <c r="AO326" s="188"/>
      <c r="AP326" s="298"/>
      <c r="AQ326" s="298"/>
      <c r="AR326" s="302"/>
      <c r="AS326" s="188"/>
    </row>
    <row r="327" spans="1:45" ht="13.5" hidden="1" thickBot="1">
      <c r="A327" s="286">
        <v>321</v>
      </c>
      <c r="B327" s="81">
        <f>'Encargos e Benefícios'!B326</f>
        <v>0</v>
      </c>
      <c r="C327" s="287">
        <f>'Encargos e Benefícios'!C326</f>
        <v>0</v>
      </c>
      <c r="D327" s="288"/>
      <c r="E327" s="300"/>
      <c r="F327" s="301"/>
      <c r="G327" s="293"/>
      <c r="H327" s="292">
        <v>5.8400000000000001E-2</v>
      </c>
      <c r="I327" s="256"/>
      <c r="J327" s="256"/>
      <c r="K327" s="256"/>
      <c r="L327" s="256"/>
      <c r="M327" s="293"/>
      <c r="N327" s="292">
        <v>5.8400000000000001E-2</v>
      </c>
      <c r="O327" s="256"/>
      <c r="P327" s="256"/>
      <c r="Q327" s="256"/>
      <c r="R327" s="256"/>
      <c r="S327" s="293"/>
      <c r="T327" s="294"/>
      <c r="U327" s="256"/>
      <c r="V327" s="256"/>
      <c r="W327" s="256"/>
      <c r="X327" s="256"/>
      <c r="Y327" s="293"/>
      <c r="Z327" s="294"/>
      <c r="AA327" s="256"/>
      <c r="AB327" s="256">
        <v>8.7100000000000009</v>
      </c>
      <c r="AC327" s="256"/>
      <c r="AD327" s="256"/>
      <c r="AE327" s="293"/>
      <c r="AF327" s="294"/>
      <c r="AG327" s="256"/>
      <c r="AH327" s="256"/>
      <c r="AI327" s="256"/>
      <c r="AJ327" s="257"/>
      <c r="AK327" s="296">
        <f>'Encargos e Benefícios'!D326</f>
        <v>0</v>
      </c>
      <c r="AL327" s="296">
        <f>IF('Encargos e Benefícios'!C326=0,0,'Encargos e Benefícios'!U326/'Encargos e Benefícios'!C326)</f>
        <v>0</v>
      </c>
      <c r="AM327" s="296">
        <f>IF('Encargos e Benefícios'!C326=0,0,'Encargos e Benefícios'!AC326/'Encargos e Benefícios'!C326)</f>
        <v>0</v>
      </c>
      <c r="AN327" s="297">
        <f>IF('Encargos e Benefícios'!C326=0,0,'Encargos e Benefícios'!AD326/'Encargos e Benefícios'!C326)</f>
        <v>0</v>
      </c>
      <c r="AO327" s="188"/>
      <c r="AP327" s="298"/>
      <c r="AQ327" s="298"/>
      <c r="AR327" s="302"/>
      <c r="AS327" s="188"/>
    </row>
    <row r="328" spans="1:45" ht="13.5" hidden="1" thickBot="1">
      <c r="A328" s="286">
        <v>322</v>
      </c>
      <c r="B328" s="81">
        <f>'Encargos e Benefícios'!B327</f>
        <v>0</v>
      </c>
      <c r="C328" s="287">
        <f>'Encargos e Benefícios'!C327</f>
        <v>0</v>
      </c>
      <c r="D328" s="288"/>
      <c r="E328" s="300"/>
      <c r="F328" s="301"/>
      <c r="G328" s="293"/>
      <c r="H328" s="292">
        <v>5.8400000000000001E-2</v>
      </c>
      <c r="I328" s="256"/>
      <c r="J328" s="256"/>
      <c r="K328" s="256"/>
      <c r="L328" s="256"/>
      <c r="M328" s="293"/>
      <c r="N328" s="292">
        <v>5.8400000000000001E-2</v>
      </c>
      <c r="O328" s="256"/>
      <c r="P328" s="256"/>
      <c r="Q328" s="256"/>
      <c r="R328" s="256"/>
      <c r="S328" s="293"/>
      <c r="T328" s="294"/>
      <c r="U328" s="256"/>
      <c r="V328" s="256"/>
      <c r="W328" s="256"/>
      <c r="X328" s="256"/>
      <c r="Y328" s="293"/>
      <c r="Z328" s="294"/>
      <c r="AA328" s="256"/>
      <c r="AB328" s="256">
        <v>8.7100000000000009</v>
      </c>
      <c r="AC328" s="256"/>
      <c r="AD328" s="256"/>
      <c r="AE328" s="293"/>
      <c r="AF328" s="294"/>
      <c r="AG328" s="256"/>
      <c r="AH328" s="256"/>
      <c r="AI328" s="256"/>
      <c r="AJ328" s="257"/>
      <c r="AK328" s="296">
        <f>'Encargos e Benefícios'!D327</f>
        <v>0</v>
      </c>
      <c r="AL328" s="296">
        <f>IF('Encargos e Benefícios'!C327=0,0,'Encargos e Benefícios'!U327/'Encargos e Benefícios'!C327)</f>
        <v>0</v>
      </c>
      <c r="AM328" s="296">
        <f>IF('Encargos e Benefícios'!C327=0,0,'Encargos e Benefícios'!AC327/'Encargos e Benefícios'!C327)</f>
        <v>0</v>
      </c>
      <c r="AN328" s="297">
        <f>IF('Encargos e Benefícios'!C327=0,0,'Encargos e Benefícios'!AD327/'Encargos e Benefícios'!C327)</f>
        <v>0</v>
      </c>
      <c r="AO328" s="188"/>
      <c r="AP328" s="298"/>
      <c r="AQ328" s="298"/>
      <c r="AR328" s="302"/>
      <c r="AS328" s="188"/>
    </row>
    <row r="329" spans="1:45" ht="13.5" hidden="1" thickBot="1">
      <c r="A329" s="286">
        <v>323</v>
      </c>
      <c r="B329" s="81">
        <f>'Encargos e Benefícios'!B328</f>
        <v>0</v>
      </c>
      <c r="C329" s="287">
        <f>'Encargos e Benefícios'!C328</f>
        <v>0</v>
      </c>
      <c r="D329" s="288"/>
      <c r="E329" s="300"/>
      <c r="F329" s="301"/>
      <c r="G329" s="293"/>
      <c r="H329" s="292">
        <v>5.8400000000000001E-2</v>
      </c>
      <c r="I329" s="256"/>
      <c r="J329" s="256"/>
      <c r="K329" s="256"/>
      <c r="L329" s="256"/>
      <c r="M329" s="293"/>
      <c r="N329" s="292">
        <v>5.8400000000000001E-2</v>
      </c>
      <c r="O329" s="256"/>
      <c r="P329" s="256"/>
      <c r="Q329" s="256"/>
      <c r="R329" s="256"/>
      <c r="S329" s="293"/>
      <c r="T329" s="294"/>
      <c r="U329" s="256"/>
      <c r="V329" s="256"/>
      <c r="W329" s="256"/>
      <c r="X329" s="256"/>
      <c r="Y329" s="293"/>
      <c r="Z329" s="294"/>
      <c r="AA329" s="256"/>
      <c r="AB329" s="256">
        <v>8.7100000000000009</v>
      </c>
      <c r="AC329" s="256"/>
      <c r="AD329" s="256"/>
      <c r="AE329" s="293"/>
      <c r="AF329" s="294"/>
      <c r="AG329" s="256"/>
      <c r="AH329" s="256"/>
      <c r="AI329" s="256"/>
      <c r="AJ329" s="257"/>
      <c r="AK329" s="296">
        <f>'Encargos e Benefícios'!D328</f>
        <v>0</v>
      </c>
      <c r="AL329" s="296">
        <f>IF('Encargos e Benefícios'!C328=0,0,'Encargos e Benefícios'!U328/'Encargos e Benefícios'!C328)</f>
        <v>0</v>
      </c>
      <c r="AM329" s="296">
        <f>IF('Encargos e Benefícios'!C328=0,0,'Encargos e Benefícios'!AC328/'Encargos e Benefícios'!C328)</f>
        <v>0</v>
      </c>
      <c r="AN329" s="297">
        <f>IF('Encargos e Benefícios'!C328=0,0,'Encargos e Benefícios'!AD328/'Encargos e Benefícios'!C328)</f>
        <v>0</v>
      </c>
      <c r="AO329" s="188"/>
      <c r="AP329" s="298"/>
      <c r="AQ329" s="298"/>
      <c r="AR329" s="302"/>
      <c r="AS329" s="188"/>
    </row>
    <row r="330" spans="1:45" ht="13.5" hidden="1" thickBot="1">
      <c r="A330" s="286">
        <v>324</v>
      </c>
      <c r="B330" s="81">
        <f>'Encargos e Benefícios'!B329</f>
        <v>0</v>
      </c>
      <c r="C330" s="287">
        <f>'Encargos e Benefícios'!C329</f>
        <v>0</v>
      </c>
      <c r="D330" s="288"/>
      <c r="E330" s="300"/>
      <c r="F330" s="301"/>
      <c r="G330" s="293"/>
      <c r="H330" s="292">
        <v>5.8400000000000001E-2</v>
      </c>
      <c r="I330" s="256"/>
      <c r="J330" s="256"/>
      <c r="K330" s="256"/>
      <c r="L330" s="256"/>
      <c r="M330" s="293"/>
      <c r="N330" s="292">
        <v>5.8400000000000001E-2</v>
      </c>
      <c r="O330" s="256"/>
      <c r="P330" s="256"/>
      <c r="Q330" s="256"/>
      <c r="R330" s="256"/>
      <c r="S330" s="293"/>
      <c r="T330" s="294"/>
      <c r="U330" s="256"/>
      <c r="V330" s="256"/>
      <c r="W330" s="256"/>
      <c r="X330" s="256"/>
      <c r="Y330" s="293"/>
      <c r="Z330" s="294"/>
      <c r="AA330" s="256"/>
      <c r="AB330" s="256">
        <v>8.7100000000000009</v>
      </c>
      <c r="AC330" s="256"/>
      <c r="AD330" s="256"/>
      <c r="AE330" s="293"/>
      <c r="AF330" s="294"/>
      <c r="AG330" s="256"/>
      <c r="AH330" s="256"/>
      <c r="AI330" s="256"/>
      <c r="AJ330" s="257"/>
      <c r="AK330" s="296">
        <f>'Encargos e Benefícios'!D329</f>
        <v>0</v>
      </c>
      <c r="AL330" s="296">
        <f>IF('Encargos e Benefícios'!C329=0,0,'Encargos e Benefícios'!U329/'Encargos e Benefícios'!C329)</f>
        <v>0</v>
      </c>
      <c r="AM330" s="296">
        <f>IF('Encargos e Benefícios'!C329=0,0,'Encargos e Benefícios'!AC329/'Encargos e Benefícios'!C329)</f>
        <v>0</v>
      </c>
      <c r="AN330" s="297">
        <f>IF('Encargos e Benefícios'!C329=0,0,'Encargos e Benefícios'!AD329/'Encargos e Benefícios'!C329)</f>
        <v>0</v>
      </c>
      <c r="AO330" s="188"/>
      <c r="AP330" s="298"/>
      <c r="AQ330" s="298"/>
      <c r="AR330" s="302"/>
      <c r="AS330" s="188"/>
    </row>
    <row r="331" spans="1:45" ht="13.5" hidden="1" thickBot="1">
      <c r="A331" s="286">
        <v>325</v>
      </c>
      <c r="B331" s="81">
        <f>'Encargos e Benefícios'!B330</f>
        <v>0</v>
      </c>
      <c r="C331" s="287">
        <f>'Encargos e Benefícios'!C330</f>
        <v>0</v>
      </c>
      <c r="D331" s="288"/>
      <c r="E331" s="300"/>
      <c r="F331" s="301"/>
      <c r="G331" s="293"/>
      <c r="H331" s="292">
        <v>5.8400000000000001E-2</v>
      </c>
      <c r="I331" s="256"/>
      <c r="J331" s="256"/>
      <c r="K331" s="256"/>
      <c r="L331" s="256"/>
      <c r="M331" s="293"/>
      <c r="N331" s="292">
        <v>5.8400000000000001E-2</v>
      </c>
      <c r="O331" s="256"/>
      <c r="P331" s="256"/>
      <c r="Q331" s="256"/>
      <c r="R331" s="256"/>
      <c r="S331" s="293"/>
      <c r="T331" s="294"/>
      <c r="U331" s="256"/>
      <c r="V331" s="256"/>
      <c r="W331" s="256"/>
      <c r="X331" s="256"/>
      <c r="Y331" s="293"/>
      <c r="Z331" s="294"/>
      <c r="AA331" s="256"/>
      <c r="AB331" s="256">
        <v>8.7100000000000009</v>
      </c>
      <c r="AC331" s="256"/>
      <c r="AD331" s="256"/>
      <c r="AE331" s="293"/>
      <c r="AF331" s="294"/>
      <c r="AG331" s="256"/>
      <c r="AH331" s="256"/>
      <c r="AI331" s="256"/>
      <c r="AJ331" s="257"/>
      <c r="AK331" s="296">
        <f>'Encargos e Benefícios'!D330</f>
        <v>0</v>
      </c>
      <c r="AL331" s="296">
        <f>IF('Encargos e Benefícios'!C330=0,0,'Encargos e Benefícios'!U330/'Encargos e Benefícios'!C330)</f>
        <v>0</v>
      </c>
      <c r="AM331" s="296">
        <f>IF('Encargos e Benefícios'!C330=0,0,'Encargos e Benefícios'!AC330/'Encargos e Benefícios'!C330)</f>
        <v>0</v>
      </c>
      <c r="AN331" s="297">
        <f>IF('Encargos e Benefícios'!C330=0,0,'Encargos e Benefícios'!AD330/'Encargos e Benefícios'!C330)</f>
        <v>0</v>
      </c>
      <c r="AO331" s="188"/>
      <c r="AP331" s="298"/>
      <c r="AQ331" s="298"/>
      <c r="AR331" s="302"/>
      <c r="AS331" s="188"/>
    </row>
    <row r="332" spans="1:45" ht="13.5" hidden="1" thickBot="1">
      <c r="A332" s="286">
        <v>326</v>
      </c>
      <c r="B332" s="81">
        <f>'Encargos e Benefícios'!B331</f>
        <v>0</v>
      </c>
      <c r="C332" s="287">
        <f>'Encargos e Benefícios'!C331</f>
        <v>0</v>
      </c>
      <c r="D332" s="288"/>
      <c r="E332" s="300"/>
      <c r="F332" s="301"/>
      <c r="G332" s="293"/>
      <c r="H332" s="292">
        <v>5.8400000000000001E-2</v>
      </c>
      <c r="I332" s="256"/>
      <c r="J332" s="256"/>
      <c r="K332" s="256"/>
      <c r="L332" s="256"/>
      <c r="M332" s="293"/>
      <c r="N332" s="292">
        <v>5.8400000000000001E-2</v>
      </c>
      <c r="O332" s="256"/>
      <c r="P332" s="256"/>
      <c r="Q332" s="256"/>
      <c r="R332" s="256"/>
      <c r="S332" s="293"/>
      <c r="T332" s="294"/>
      <c r="U332" s="256"/>
      <c r="V332" s="256"/>
      <c r="W332" s="256"/>
      <c r="X332" s="256"/>
      <c r="Y332" s="293"/>
      <c r="Z332" s="294"/>
      <c r="AA332" s="256"/>
      <c r="AB332" s="256">
        <v>8.7100000000000009</v>
      </c>
      <c r="AC332" s="256"/>
      <c r="AD332" s="256"/>
      <c r="AE332" s="293"/>
      <c r="AF332" s="294"/>
      <c r="AG332" s="256"/>
      <c r="AH332" s="256"/>
      <c r="AI332" s="256"/>
      <c r="AJ332" s="257"/>
      <c r="AK332" s="296">
        <f>'Encargos e Benefícios'!D331</f>
        <v>0</v>
      </c>
      <c r="AL332" s="296">
        <f>IF('Encargos e Benefícios'!C331=0,0,'Encargos e Benefícios'!U331/'Encargos e Benefícios'!C331)</f>
        <v>0</v>
      </c>
      <c r="AM332" s="296">
        <f>IF('Encargos e Benefícios'!C331=0,0,'Encargos e Benefícios'!AC331/'Encargos e Benefícios'!C331)</f>
        <v>0</v>
      </c>
      <c r="AN332" s="297">
        <f>IF('Encargos e Benefícios'!C331=0,0,'Encargos e Benefícios'!AD331/'Encargos e Benefícios'!C331)</f>
        <v>0</v>
      </c>
      <c r="AO332" s="188"/>
      <c r="AP332" s="298"/>
      <c r="AQ332" s="298"/>
      <c r="AR332" s="302"/>
      <c r="AS332" s="188"/>
    </row>
    <row r="333" spans="1:45" ht="13.5" hidden="1" thickBot="1">
      <c r="A333" s="286">
        <v>327</v>
      </c>
      <c r="B333" s="81">
        <f>'Encargos e Benefícios'!B332</f>
        <v>0</v>
      </c>
      <c r="C333" s="287">
        <f>'Encargos e Benefícios'!C332</f>
        <v>0</v>
      </c>
      <c r="D333" s="288"/>
      <c r="E333" s="300"/>
      <c r="F333" s="301"/>
      <c r="G333" s="293"/>
      <c r="H333" s="292">
        <v>5.8400000000000001E-2</v>
      </c>
      <c r="I333" s="256"/>
      <c r="J333" s="256"/>
      <c r="K333" s="256"/>
      <c r="L333" s="256"/>
      <c r="M333" s="293"/>
      <c r="N333" s="292">
        <v>5.8400000000000001E-2</v>
      </c>
      <c r="O333" s="256"/>
      <c r="P333" s="256"/>
      <c r="Q333" s="256"/>
      <c r="R333" s="256"/>
      <c r="S333" s="293"/>
      <c r="T333" s="294"/>
      <c r="U333" s="256"/>
      <c r="V333" s="256"/>
      <c r="W333" s="256"/>
      <c r="X333" s="256"/>
      <c r="Y333" s="293"/>
      <c r="Z333" s="294"/>
      <c r="AA333" s="256"/>
      <c r="AB333" s="256">
        <v>8.7100000000000009</v>
      </c>
      <c r="AC333" s="256"/>
      <c r="AD333" s="256"/>
      <c r="AE333" s="293"/>
      <c r="AF333" s="294"/>
      <c r="AG333" s="256"/>
      <c r="AH333" s="256"/>
      <c r="AI333" s="256"/>
      <c r="AJ333" s="257"/>
      <c r="AK333" s="296">
        <f>'Encargos e Benefícios'!D332</f>
        <v>0</v>
      </c>
      <c r="AL333" s="296">
        <f>IF('Encargos e Benefícios'!C332=0,0,'Encargos e Benefícios'!U332/'Encargos e Benefícios'!C332)</f>
        <v>0</v>
      </c>
      <c r="AM333" s="296">
        <f>IF('Encargos e Benefícios'!C332=0,0,'Encargos e Benefícios'!AC332/'Encargos e Benefícios'!C332)</f>
        <v>0</v>
      </c>
      <c r="AN333" s="297">
        <f>IF('Encargos e Benefícios'!C332=0,0,'Encargos e Benefícios'!AD332/'Encargos e Benefícios'!C332)</f>
        <v>0</v>
      </c>
      <c r="AO333" s="188"/>
      <c r="AP333" s="298"/>
      <c r="AQ333" s="298"/>
      <c r="AR333" s="302"/>
      <c r="AS333" s="188"/>
    </row>
    <row r="334" spans="1:45" ht="13.5" hidden="1" thickBot="1">
      <c r="A334" s="286">
        <v>328</v>
      </c>
      <c r="B334" s="81">
        <f>'Encargos e Benefícios'!B333</f>
        <v>0</v>
      </c>
      <c r="C334" s="287">
        <f>'Encargos e Benefícios'!C333</f>
        <v>0</v>
      </c>
      <c r="D334" s="288"/>
      <c r="E334" s="300"/>
      <c r="F334" s="301"/>
      <c r="G334" s="293"/>
      <c r="H334" s="292">
        <v>5.8400000000000001E-2</v>
      </c>
      <c r="I334" s="256"/>
      <c r="J334" s="256"/>
      <c r="K334" s="256"/>
      <c r="L334" s="256"/>
      <c r="M334" s="293"/>
      <c r="N334" s="292">
        <v>5.8400000000000001E-2</v>
      </c>
      <c r="O334" s="256"/>
      <c r="P334" s="256"/>
      <c r="Q334" s="256"/>
      <c r="R334" s="256"/>
      <c r="S334" s="293"/>
      <c r="T334" s="294"/>
      <c r="U334" s="256"/>
      <c r="V334" s="256"/>
      <c r="W334" s="256"/>
      <c r="X334" s="256"/>
      <c r="Y334" s="293"/>
      <c r="Z334" s="294"/>
      <c r="AA334" s="256"/>
      <c r="AB334" s="256">
        <v>8.7100000000000009</v>
      </c>
      <c r="AC334" s="256"/>
      <c r="AD334" s="256"/>
      <c r="AE334" s="293"/>
      <c r="AF334" s="294"/>
      <c r="AG334" s="256"/>
      <c r="AH334" s="256"/>
      <c r="AI334" s="256"/>
      <c r="AJ334" s="257"/>
      <c r="AK334" s="296">
        <f>'Encargos e Benefícios'!D333</f>
        <v>0</v>
      </c>
      <c r="AL334" s="296">
        <f>IF('Encargos e Benefícios'!C333=0,0,'Encargos e Benefícios'!U333/'Encargos e Benefícios'!C333)</f>
        <v>0</v>
      </c>
      <c r="AM334" s="296">
        <f>IF('Encargos e Benefícios'!C333=0,0,'Encargos e Benefícios'!AC333/'Encargos e Benefícios'!C333)</f>
        <v>0</v>
      </c>
      <c r="AN334" s="297">
        <f>IF('Encargos e Benefícios'!C333=0,0,'Encargos e Benefícios'!AD333/'Encargos e Benefícios'!C333)</f>
        <v>0</v>
      </c>
      <c r="AO334" s="188"/>
      <c r="AP334" s="298"/>
      <c r="AQ334" s="298"/>
      <c r="AR334" s="302"/>
      <c r="AS334" s="188"/>
    </row>
    <row r="335" spans="1:45" ht="13.5" hidden="1" thickBot="1">
      <c r="A335" s="286">
        <v>329</v>
      </c>
      <c r="B335" s="81">
        <f>'Encargos e Benefícios'!B334</f>
        <v>0</v>
      </c>
      <c r="C335" s="287">
        <f>'Encargos e Benefícios'!C334</f>
        <v>0</v>
      </c>
      <c r="D335" s="288"/>
      <c r="E335" s="300"/>
      <c r="F335" s="301"/>
      <c r="G335" s="293"/>
      <c r="H335" s="292">
        <v>5.8400000000000001E-2</v>
      </c>
      <c r="I335" s="256"/>
      <c r="J335" s="256"/>
      <c r="K335" s="256"/>
      <c r="L335" s="256"/>
      <c r="M335" s="293"/>
      <c r="N335" s="292">
        <v>5.8400000000000001E-2</v>
      </c>
      <c r="O335" s="256"/>
      <c r="P335" s="256"/>
      <c r="Q335" s="256"/>
      <c r="R335" s="256"/>
      <c r="S335" s="293"/>
      <c r="T335" s="294"/>
      <c r="U335" s="256"/>
      <c r="V335" s="256"/>
      <c r="W335" s="256"/>
      <c r="X335" s="256"/>
      <c r="Y335" s="293"/>
      <c r="Z335" s="294"/>
      <c r="AA335" s="256"/>
      <c r="AB335" s="256">
        <v>8.7100000000000009</v>
      </c>
      <c r="AC335" s="256"/>
      <c r="AD335" s="256"/>
      <c r="AE335" s="293"/>
      <c r="AF335" s="294"/>
      <c r="AG335" s="256"/>
      <c r="AH335" s="256"/>
      <c r="AI335" s="256"/>
      <c r="AJ335" s="257"/>
      <c r="AK335" s="296">
        <f>'Encargos e Benefícios'!D334</f>
        <v>0</v>
      </c>
      <c r="AL335" s="296">
        <f>IF('Encargos e Benefícios'!C334=0,0,'Encargos e Benefícios'!U334/'Encargos e Benefícios'!C334)</f>
        <v>0</v>
      </c>
      <c r="AM335" s="296">
        <f>IF('Encargos e Benefícios'!C334=0,0,'Encargos e Benefícios'!AC334/'Encargos e Benefícios'!C334)</f>
        <v>0</v>
      </c>
      <c r="AN335" s="297">
        <f>IF('Encargos e Benefícios'!C334=0,0,'Encargos e Benefícios'!AD334/'Encargos e Benefícios'!C334)</f>
        <v>0</v>
      </c>
      <c r="AO335" s="188"/>
      <c r="AP335" s="298"/>
      <c r="AQ335" s="298"/>
      <c r="AR335" s="302"/>
      <c r="AS335" s="188"/>
    </row>
    <row r="336" spans="1:45" ht="13.5" hidden="1" thickBot="1">
      <c r="A336" s="286">
        <v>330</v>
      </c>
      <c r="B336" s="81">
        <f>'Encargos e Benefícios'!B335</f>
        <v>0</v>
      </c>
      <c r="C336" s="287">
        <f>'Encargos e Benefícios'!C335</f>
        <v>0</v>
      </c>
      <c r="D336" s="288"/>
      <c r="E336" s="300"/>
      <c r="F336" s="301"/>
      <c r="G336" s="293"/>
      <c r="H336" s="292">
        <v>5.8400000000000001E-2</v>
      </c>
      <c r="I336" s="256"/>
      <c r="J336" s="256"/>
      <c r="K336" s="256"/>
      <c r="L336" s="256"/>
      <c r="M336" s="293"/>
      <c r="N336" s="292">
        <v>5.8400000000000001E-2</v>
      </c>
      <c r="O336" s="256"/>
      <c r="P336" s="256"/>
      <c r="Q336" s="256"/>
      <c r="R336" s="256"/>
      <c r="S336" s="293"/>
      <c r="T336" s="294"/>
      <c r="U336" s="256"/>
      <c r="V336" s="256"/>
      <c r="W336" s="256"/>
      <c r="X336" s="256"/>
      <c r="Y336" s="293"/>
      <c r="Z336" s="294"/>
      <c r="AA336" s="256"/>
      <c r="AB336" s="256">
        <v>8.7100000000000009</v>
      </c>
      <c r="AC336" s="256"/>
      <c r="AD336" s="256"/>
      <c r="AE336" s="293"/>
      <c r="AF336" s="294"/>
      <c r="AG336" s="256"/>
      <c r="AH336" s="256"/>
      <c r="AI336" s="256"/>
      <c r="AJ336" s="257"/>
      <c r="AK336" s="296">
        <f>'Encargos e Benefícios'!D335</f>
        <v>0</v>
      </c>
      <c r="AL336" s="296">
        <f>IF('Encargos e Benefícios'!C335=0,0,'Encargos e Benefícios'!U335/'Encargos e Benefícios'!C335)</f>
        <v>0</v>
      </c>
      <c r="AM336" s="296">
        <f>IF('Encargos e Benefícios'!C335=0,0,'Encargos e Benefícios'!AC335/'Encargos e Benefícios'!C335)</f>
        <v>0</v>
      </c>
      <c r="AN336" s="297">
        <f>IF('Encargos e Benefícios'!C335=0,0,'Encargos e Benefícios'!AD335/'Encargos e Benefícios'!C335)</f>
        <v>0</v>
      </c>
      <c r="AO336" s="188"/>
      <c r="AP336" s="298"/>
      <c r="AQ336" s="298"/>
      <c r="AR336" s="302"/>
      <c r="AS336" s="188"/>
    </row>
    <row r="337" spans="1:45" ht="13.5" hidden="1" thickBot="1">
      <c r="A337" s="286">
        <v>331</v>
      </c>
      <c r="B337" s="81">
        <f>'Encargos e Benefícios'!B336</f>
        <v>0</v>
      </c>
      <c r="C337" s="287">
        <f>'Encargos e Benefícios'!C336</f>
        <v>0</v>
      </c>
      <c r="D337" s="288"/>
      <c r="E337" s="300"/>
      <c r="F337" s="301"/>
      <c r="G337" s="293"/>
      <c r="H337" s="292">
        <v>5.8400000000000001E-2</v>
      </c>
      <c r="I337" s="256"/>
      <c r="J337" s="256"/>
      <c r="K337" s="256"/>
      <c r="L337" s="256"/>
      <c r="M337" s="293"/>
      <c r="N337" s="292">
        <v>5.8400000000000001E-2</v>
      </c>
      <c r="O337" s="256"/>
      <c r="P337" s="256"/>
      <c r="Q337" s="256"/>
      <c r="R337" s="256"/>
      <c r="S337" s="293"/>
      <c r="T337" s="294"/>
      <c r="U337" s="256"/>
      <c r="V337" s="256"/>
      <c r="W337" s="256"/>
      <c r="X337" s="256"/>
      <c r="Y337" s="293"/>
      <c r="Z337" s="294"/>
      <c r="AA337" s="256"/>
      <c r="AB337" s="256">
        <v>8.7100000000000009</v>
      </c>
      <c r="AC337" s="256"/>
      <c r="AD337" s="256"/>
      <c r="AE337" s="293"/>
      <c r="AF337" s="294"/>
      <c r="AG337" s="256"/>
      <c r="AH337" s="256"/>
      <c r="AI337" s="256"/>
      <c r="AJ337" s="257"/>
      <c r="AK337" s="296">
        <f>'Encargos e Benefícios'!D336</f>
        <v>0</v>
      </c>
      <c r="AL337" s="296">
        <f>IF('Encargos e Benefícios'!C336=0,0,'Encargos e Benefícios'!U336/'Encargos e Benefícios'!C336)</f>
        <v>0</v>
      </c>
      <c r="AM337" s="296">
        <f>IF('Encargos e Benefícios'!C336=0,0,'Encargos e Benefícios'!AC336/'Encargos e Benefícios'!C336)</f>
        <v>0</v>
      </c>
      <c r="AN337" s="297">
        <f>IF('Encargos e Benefícios'!C336=0,0,'Encargos e Benefícios'!AD336/'Encargos e Benefícios'!C336)</f>
        <v>0</v>
      </c>
      <c r="AO337" s="188"/>
      <c r="AP337" s="298"/>
      <c r="AQ337" s="298"/>
      <c r="AR337" s="302"/>
      <c r="AS337" s="188"/>
    </row>
    <row r="338" spans="1:45" ht="13.5" hidden="1" thickBot="1">
      <c r="A338" s="286">
        <v>332</v>
      </c>
      <c r="B338" s="81">
        <f>'Encargos e Benefícios'!B337</f>
        <v>0</v>
      </c>
      <c r="C338" s="287">
        <f>'Encargos e Benefícios'!C337</f>
        <v>0</v>
      </c>
      <c r="D338" s="288"/>
      <c r="E338" s="300"/>
      <c r="F338" s="301"/>
      <c r="G338" s="293"/>
      <c r="H338" s="292">
        <v>5.8400000000000001E-2</v>
      </c>
      <c r="I338" s="256"/>
      <c r="J338" s="256"/>
      <c r="K338" s="256"/>
      <c r="L338" s="256"/>
      <c r="M338" s="293"/>
      <c r="N338" s="292">
        <v>5.8400000000000001E-2</v>
      </c>
      <c r="O338" s="256"/>
      <c r="P338" s="256"/>
      <c r="Q338" s="256"/>
      <c r="R338" s="256"/>
      <c r="S338" s="293"/>
      <c r="T338" s="294"/>
      <c r="U338" s="256"/>
      <c r="V338" s="256"/>
      <c r="W338" s="256"/>
      <c r="X338" s="256"/>
      <c r="Y338" s="293"/>
      <c r="Z338" s="294"/>
      <c r="AA338" s="256"/>
      <c r="AB338" s="256">
        <v>8.7100000000000009</v>
      </c>
      <c r="AC338" s="256"/>
      <c r="AD338" s="256"/>
      <c r="AE338" s="293"/>
      <c r="AF338" s="294"/>
      <c r="AG338" s="256"/>
      <c r="AH338" s="256"/>
      <c r="AI338" s="256"/>
      <c r="AJ338" s="257"/>
      <c r="AK338" s="296">
        <f>'Encargos e Benefícios'!D337</f>
        <v>0</v>
      </c>
      <c r="AL338" s="296">
        <f>IF('Encargos e Benefícios'!C337=0,0,'Encargos e Benefícios'!U337/'Encargos e Benefícios'!C337)</f>
        <v>0</v>
      </c>
      <c r="AM338" s="296">
        <f>IF('Encargos e Benefícios'!C337=0,0,'Encargos e Benefícios'!AC337/'Encargos e Benefícios'!C337)</f>
        <v>0</v>
      </c>
      <c r="AN338" s="297">
        <f>IF('Encargos e Benefícios'!C337=0,0,'Encargos e Benefícios'!AD337/'Encargos e Benefícios'!C337)</f>
        <v>0</v>
      </c>
      <c r="AO338" s="188"/>
      <c r="AP338" s="298"/>
      <c r="AQ338" s="298"/>
      <c r="AR338" s="302"/>
      <c r="AS338" s="188"/>
    </row>
    <row r="339" spans="1:45" ht="13.5" hidden="1" thickBot="1">
      <c r="A339" s="286">
        <v>333</v>
      </c>
      <c r="B339" s="81">
        <f>'Encargos e Benefícios'!B338</f>
        <v>0</v>
      </c>
      <c r="C339" s="287">
        <f>'Encargos e Benefícios'!C338</f>
        <v>0</v>
      </c>
      <c r="D339" s="288"/>
      <c r="E339" s="300"/>
      <c r="F339" s="301"/>
      <c r="G339" s="293"/>
      <c r="H339" s="292">
        <v>5.8400000000000001E-2</v>
      </c>
      <c r="I339" s="256"/>
      <c r="J339" s="256"/>
      <c r="K339" s="256"/>
      <c r="L339" s="256"/>
      <c r="M339" s="293"/>
      <c r="N339" s="292">
        <v>5.8400000000000001E-2</v>
      </c>
      <c r="O339" s="256"/>
      <c r="P339" s="256"/>
      <c r="Q339" s="256"/>
      <c r="R339" s="256"/>
      <c r="S339" s="293"/>
      <c r="T339" s="294"/>
      <c r="U339" s="256"/>
      <c r="V339" s="256"/>
      <c r="W339" s="256"/>
      <c r="X339" s="256"/>
      <c r="Y339" s="293"/>
      <c r="Z339" s="294"/>
      <c r="AA339" s="256"/>
      <c r="AB339" s="256">
        <v>8.7100000000000009</v>
      </c>
      <c r="AC339" s="256"/>
      <c r="AD339" s="256"/>
      <c r="AE339" s="293"/>
      <c r="AF339" s="294"/>
      <c r="AG339" s="256"/>
      <c r="AH339" s="256"/>
      <c r="AI339" s="256"/>
      <c r="AJ339" s="257"/>
      <c r="AK339" s="296">
        <f>'Encargos e Benefícios'!D338</f>
        <v>0</v>
      </c>
      <c r="AL339" s="296">
        <f>IF('Encargos e Benefícios'!C338=0,0,'Encargos e Benefícios'!U338/'Encargos e Benefícios'!C338)</f>
        <v>0</v>
      </c>
      <c r="AM339" s="296">
        <f>IF('Encargos e Benefícios'!C338=0,0,'Encargos e Benefícios'!AC338/'Encargos e Benefícios'!C338)</f>
        <v>0</v>
      </c>
      <c r="AN339" s="297">
        <f>IF('Encargos e Benefícios'!C338=0,0,'Encargos e Benefícios'!AD338/'Encargos e Benefícios'!C338)</f>
        <v>0</v>
      </c>
      <c r="AO339" s="188"/>
      <c r="AP339" s="298"/>
      <c r="AQ339" s="298"/>
      <c r="AR339" s="302"/>
      <c r="AS339" s="188"/>
    </row>
    <row r="340" spans="1:45" ht="13.5" hidden="1" thickBot="1">
      <c r="A340" s="286">
        <v>334</v>
      </c>
      <c r="B340" s="81">
        <f>'Encargos e Benefícios'!B339</f>
        <v>0</v>
      </c>
      <c r="C340" s="287">
        <f>'Encargos e Benefícios'!C339</f>
        <v>0</v>
      </c>
      <c r="D340" s="288"/>
      <c r="E340" s="300"/>
      <c r="F340" s="301"/>
      <c r="G340" s="293"/>
      <c r="H340" s="292">
        <v>5.8400000000000001E-2</v>
      </c>
      <c r="I340" s="256"/>
      <c r="J340" s="256"/>
      <c r="K340" s="256"/>
      <c r="L340" s="256"/>
      <c r="M340" s="293"/>
      <c r="N340" s="292">
        <v>5.8400000000000001E-2</v>
      </c>
      <c r="O340" s="256"/>
      <c r="P340" s="256"/>
      <c r="Q340" s="256"/>
      <c r="R340" s="256"/>
      <c r="S340" s="293"/>
      <c r="T340" s="294"/>
      <c r="U340" s="256"/>
      <c r="V340" s="256"/>
      <c r="W340" s="256"/>
      <c r="X340" s="256"/>
      <c r="Y340" s="293"/>
      <c r="Z340" s="294"/>
      <c r="AA340" s="256"/>
      <c r="AB340" s="256">
        <v>8.7100000000000009</v>
      </c>
      <c r="AC340" s="256"/>
      <c r="AD340" s="256"/>
      <c r="AE340" s="293"/>
      <c r="AF340" s="294"/>
      <c r="AG340" s="256"/>
      <c r="AH340" s="256"/>
      <c r="AI340" s="256"/>
      <c r="AJ340" s="257"/>
      <c r="AK340" s="296">
        <f>'Encargos e Benefícios'!D339</f>
        <v>0</v>
      </c>
      <c r="AL340" s="296">
        <f>IF('Encargos e Benefícios'!C339=0,0,'Encargos e Benefícios'!U339/'Encargos e Benefícios'!C339)</f>
        <v>0</v>
      </c>
      <c r="AM340" s="296">
        <f>IF('Encargos e Benefícios'!C339=0,0,'Encargos e Benefícios'!AC339/'Encargos e Benefícios'!C339)</f>
        <v>0</v>
      </c>
      <c r="AN340" s="297">
        <f>IF('Encargos e Benefícios'!C339=0,0,'Encargos e Benefícios'!AD339/'Encargos e Benefícios'!C339)</f>
        <v>0</v>
      </c>
      <c r="AO340" s="188"/>
      <c r="AP340" s="298"/>
      <c r="AQ340" s="298"/>
      <c r="AR340" s="302"/>
      <c r="AS340" s="188"/>
    </row>
    <row r="341" spans="1:45" ht="13.5" hidden="1" thickBot="1">
      <c r="A341" s="286">
        <v>335</v>
      </c>
      <c r="B341" s="81">
        <f>'Encargos e Benefícios'!B340</f>
        <v>0</v>
      </c>
      <c r="C341" s="287">
        <f>'Encargos e Benefícios'!C340</f>
        <v>0</v>
      </c>
      <c r="D341" s="288"/>
      <c r="E341" s="300"/>
      <c r="F341" s="301"/>
      <c r="G341" s="293"/>
      <c r="H341" s="292">
        <v>5.8400000000000001E-2</v>
      </c>
      <c r="I341" s="256"/>
      <c r="J341" s="256"/>
      <c r="K341" s="256"/>
      <c r="L341" s="256"/>
      <c r="M341" s="293"/>
      <c r="N341" s="292">
        <v>5.8400000000000001E-2</v>
      </c>
      <c r="O341" s="256"/>
      <c r="P341" s="256"/>
      <c r="Q341" s="256"/>
      <c r="R341" s="256"/>
      <c r="S341" s="293"/>
      <c r="T341" s="294"/>
      <c r="U341" s="256"/>
      <c r="V341" s="256"/>
      <c r="W341" s="256"/>
      <c r="X341" s="256"/>
      <c r="Y341" s="293"/>
      <c r="Z341" s="294"/>
      <c r="AA341" s="256"/>
      <c r="AB341" s="256">
        <v>8.7100000000000009</v>
      </c>
      <c r="AC341" s="256"/>
      <c r="AD341" s="256"/>
      <c r="AE341" s="293"/>
      <c r="AF341" s="294"/>
      <c r="AG341" s="256"/>
      <c r="AH341" s="256"/>
      <c r="AI341" s="256"/>
      <c r="AJ341" s="257"/>
      <c r="AK341" s="296">
        <f>'Encargos e Benefícios'!D340</f>
        <v>0</v>
      </c>
      <c r="AL341" s="296">
        <f>IF('Encargos e Benefícios'!C340=0,0,'Encargos e Benefícios'!U340/'Encargos e Benefícios'!C340)</f>
        <v>0</v>
      </c>
      <c r="AM341" s="296">
        <f>IF('Encargos e Benefícios'!C340=0,0,'Encargos e Benefícios'!AC340/'Encargos e Benefícios'!C340)</f>
        <v>0</v>
      </c>
      <c r="AN341" s="297">
        <f>IF('Encargos e Benefícios'!C340=0,0,'Encargos e Benefícios'!AD340/'Encargos e Benefícios'!C340)</f>
        <v>0</v>
      </c>
      <c r="AO341" s="188"/>
      <c r="AP341" s="298"/>
      <c r="AQ341" s="298"/>
      <c r="AR341" s="302"/>
      <c r="AS341" s="188"/>
    </row>
    <row r="342" spans="1:45" ht="13.5" hidden="1" thickBot="1">
      <c r="A342" s="286">
        <v>336</v>
      </c>
      <c r="B342" s="81">
        <f>'Encargos e Benefícios'!B341</f>
        <v>0</v>
      </c>
      <c r="C342" s="287">
        <f>'Encargos e Benefícios'!C341</f>
        <v>0</v>
      </c>
      <c r="D342" s="288"/>
      <c r="E342" s="300"/>
      <c r="F342" s="301"/>
      <c r="G342" s="293"/>
      <c r="H342" s="292">
        <v>5.8400000000000001E-2</v>
      </c>
      <c r="I342" s="256"/>
      <c r="J342" s="256"/>
      <c r="K342" s="256"/>
      <c r="L342" s="256"/>
      <c r="M342" s="293"/>
      <c r="N342" s="292">
        <v>5.8400000000000001E-2</v>
      </c>
      <c r="O342" s="256"/>
      <c r="P342" s="256"/>
      <c r="Q342" s="256"/>
      <c r="R342" s="256"/>
      <c r="S342" s="293"/>
      <c r="T342" s="294"/>
      <c r="U342" s="256"/>
      <c r="V342" s="256"/>
      <c r="W342" s="256"/>
      <c r="X342" s="256"/>
      <c r="Y342" s="293"/>
      <c r="Z342" s="294"/>
      <c r="AA342" s="256"/>
      <c r="AB342" s="256">
        <v>8.7100000000000009</v>
      </c>
      <c r="AC342" s="256"/>
      <c r="AD342" s="256"/>
      <c r="AE342" s="293"/>
      <c r="AF342" s="294"/>
      <c r="AG342" s="256"/>
      <c r="AH342" s="256"/>
      <c r="AI342" s="256"/>
      <c r="AJ342" s="257"/>
      <c r="AK342" s="296">
        <f>'Encargos e Benefícios'!D341</f>
        <v>0</v>
      </c>
      <c r="AL342" s="296">
        <f>IF('Encargos e Benefícios'!C341=0,0,'Encargos e Benefícios'!U341/'Encargos e Benefícios'!C341)</f>
        <v>0</v>
      </c>
      <c r="AM342" s="296">
        <f>IF('Encargos e Benefícios'!C341=0,0,'Encargos e Benefícios'!AC341/'Encargos e Benefícios'!C341)</f>
        <v>0</v>
      </c>
      <c r="AN342" s="297">
        <f>IF('Encargos e Benefícios'!C341=0,0,'Encargos e Benefícios'!AD341/'Encargos e Benefícios'!C341)</f>
        <v>0</v>
      </c>
      <c r="AO342" s="188"/>
      <c r="AP342" s="298"/>
      <c r="AQ342" s="298"/>
      <c r="AR342" s="302"/>
      <c r="AS342" s="188"/>
    </row>
    <row r="343" spans="1:45" ht="13.5" hidden="1" thickBot="1">
      <c r="A343" s="286">
        <v>337</v>
      </c>
      <c r="B343" s="81">
        <f>'Encargos e Benefícios'!B342</f>
        <v>0</v>
      </c>
      <c r="C343" s="287">
        <f>'Encargos e Benefícios'!C342</f>
        <v>0</v>
      </c>
      <c r="D343" s="288"/>
      <c r="E343" s="300"/>
      <c r="F343" s="301"/>
      <c r="G343" s="293"/>
      <c r="H343" s="292">
        <v>5.8400000000000001E-2</v>
      </c>
      <c r="I343" s="256"/>
      <c r="J343" s="256"/>
      <c r="K343" s="256"/>
      <c r="L343" s="256"/>
      <c r="M343" s="293"/>
      <c r="N343" s="292">
        <v>5.8400000000000001E-2</v>
      </c>
      <c r="O343" s="256"/>
      <c r="P343" s="256"/>
      <c r="Q343" s="256"/>
      <c r="R343" s="256"/>
      <c r="S343" s="293"/>
      <c r="T343" s="294"/>
      <c r="U343" s="256"/>
      <c r="V343" s="256"/>
      <c r="W343" s="256"/>
      <c r="X343" s="256"/>
      <c r="Y343" s="293"/>
      <c r="Z343" s="294"/>
      <c r="AA343" s="256"/>
      <c r="AB343" s="256">
        <v>8.7100000000000009</v>
      </c>
      <c r="AC343" s="256"/>
      <c r="AD343" s="256"/>
      <c r="AE343" s="293"/>
      <c r="AF343" s="294"/>
      <c r="AG343" s="256"/>
      <c r="AH343" s="256"/>
      <c r="AI343" s="256"/>
      <c r="AJ343" s="257"/>
      <c r="AK343" s="296">
        <f>'Encargos e Benefícios'!D342</f>
        <v>0</v>
      </c>
      <c r="AL343" s="296">
        <f>IF('Encargos e Benefícios'!C342=0,0,'Encargos e Benefícios'!U342/'Encargos e Benefícios'!C342)</f>
        <v>0</v>
      </c>
      <c r="AM343" s="296">
        <f>IF('Encargos e Benefícios'!C342=0,0,'Encargos e Benefícios'!AC342/'Encargos e Benefícios'!C342)</f>
        <v>0</v>
      </c>
      <c r="AN343" s="297">
        <f>IF('Encargos e Benefícios'!C342=0,0,'Encargos e Benefícios'!AD342/'Encargos e Benefícios'!C342)</f>
        <v>0</v>
      </c>
      <c r="AO343" s="188"/>
      <c r="AP343" s="298"/>
      <c r="AQ343" s="298"/>
      <c r="AR343" s="302"/>
      <c r="AS343" s="188"/>
    </row>
    <row r="344" spans="1:45" ht="13.5" hidden="1" thickBot="1">
      <c r="A344" s="286">
        <v>338</v>
      </c>
      <c r="B344" s="81">
        <f>'Encargos e Benefícios'!B343</f>
        <v>0</v>
      </c>
      <c r="C344" s="287">
        <f>'Encargos e Benefícios'!C343</f>
        <v>0</v>
      </c>
      <c r="D344" s="288"/>
      <c r="E344" s="300"/>
      <c r="F344" s="301"/>
      <c r="G344" s="293"/>
      <c r="H344" s="292">
        <v>5.8400000000000001E-2</v>
      </c>
      <c r="I344" s="256"/>
      <c r="J344" s="256"/>
      <c r="K344" s="256"/>
      <c r="L344" s="256"/>
      <c r="M344" s="293"/>
      <c r="N344" s="292">
        <v>5.8400000000000001E-2</v>
      </c>
      <c r="O344" s="256"/>
      <c r="P344" s="256"/>
      <c r="Q344" s="256"/>
      <c r="R344" s="256"/>
      <c r="S344" s="293"/>
      <c r="T344" s="294"/>
      <c r="U344" s="256"/>
      <c r="V344" s="256"/>
      <c r="W344" s="256"/>
      <c r="X344" s="256"/>
      <c r="Y344" s="293"/>
      <c r="Z344" s="294"/>
      <c r="AA344" s="256"/>
      <c r="AB344" s="256">
        <v>8.7100000000000009</v>
      </c>
      <c r="AC344" s="256"/>
      <c r="AD344" s="256"/>
      <c r="AE344" s="293"/>
      <c r="AF344" s="294"/>
      <c r="AG344" s="256"/>
      <c r="AH344" s="256"/>
      <c r="AI344" s="256"/>
      <c r="AJ344" s="257"/>
      <c r="AK344" s="296">
        <f>'Encargos e Benefícios'!D343</f>
        <v>0</v>
      </c>
      <c r="AL344" s="296">
        <f>IF('Encargos e Benefícios'!C343=0,0,'Encargos e Benefícios'!U343/'Encargos e Benefícios'!C343)</f>
        <v>0</v>
      </c>
      <c r="AM344" s="296">
        <f>IF('Encargos e Benefícios'!C343=0,0,'Encargos e Benefícios'!AC343/'Encargos e Benefícios'!C343)</f>
        <v>0</v>
      </c>
      <c r="AN344" s="297">
        <f>IF('Encargos e Benefícios'!C343=0,0,'Encargos e Benefícios'!AD343/'Encargos e Benefícios'!C343)</f>
        <v>0</v>
      </c>
      <c r="AO344" s="188"/>
      <c r="AP344" s="298"/>
      <c r="AQ344" s="298"/>
      <c r="AR344" s="302"/>
      <c r="AS344" s="188"/>
    </row>
    <row r="345" spans="1:45" ht="13.5" hidden="1" thickBot="1">
      <c r="A345" s="286">
        <v>339</v>
      </c>
      <c r="B345" s="81">
        <f>'Encargos e Benefícios'!B344</f>
        <v>0</v>
      </c>
      <c r="C345" s="287">
        <f>'Encargos e Benefícios'!C344</f>
        <v>0</v>
      </c>
      <c r="D345" s="288"/>
      <c r="E345" s="300"/>
      <c r="F345" s="301"/>
      <c r="G345" s="293"/>
      <c r="H345" s="292">
        <v>5.8400000000000001E-2</v>
      </c>
      <c r="I345" s="256"/>
      <c r="J345" s="256"/>
      <c r="K345" s="256"/>
      <c r="L345" s="256"/>
      <c r="M345" s="293"/>
      <c r="N345" s="292">
        <v>5.8400000000000001E-2</v>
      </c>
      <c r="O345" s="256"/>
      <c r="P345" s="256"/>
      <c r="Q345" s="256"/>
      <c r="R345" s="256"/>
      <c r="S345" s="293"/>
      <c r="T345" s="294"/>
      <c r="U345" s="256"/>
      <c r="V345" s="256"/>
      <c r="W345" s="256"/>
      <c r="X345" s="256"/>
      <c r="Y345" s="293"/>
      <c r="Z345" s="294"/>
      <c r="AA345" s="256"/>
      <c r="AB345" s="256">
        <v>8.7100000000000009</v>
      </c>
      <c r="AC345" s="256"/>
      <c r="AD345" s="256"/>
      <c r="AE345" s="293"/>
      <c r="AF345" s="294"/>
      <c r="AG345" s="256"/>
      <c r="AH345" s="256"/>
      <c r="AI345" s="256"/>
      <c r="AJ345" s="257"/>
      <c r="AK345" s="296">
        <f>'Encargos e Benefícios'!D344</f>
        <v>0</v>
      </c>
      <c r="AL345" s="296">
        <f>IF('Encargos e Benefícios'!C344=0,0,'Encargos e Benefícios'!U344/'Encargos e Benefícios'!C344)</f>
        <v>0</v>
      </c>
      <c r="AM345" s="296">
        <f>IF('Encargos e Benefícios'!C344=0,0,'Encargos e Benefícios'!AC344/'Encargos e Benefícios'!C344)</f>
        <v>0</v>
      </c>
      <c r="AN345" s="297">
        <f>IF('Encargos e Benefícios'!C344=0,0,'Encargos e Benefícios'!AD344/'Encargos e Benefícios'!C344)</f>
        <v>0</v>
      </c>
      <c r="AO345" s="188"/>
      <c r="AP345" s="298"/>
      <c r="AQ345" s="298"/>
      <c r="AR345" s="302"/>
      <c r="AS345" s="188"/>
    </row>
    <row r="346" spans="1:45" ht="13.5" hidden="1" thickBot="1">
      <c r="A346" s="286">
        <v>340</v>
      </c>
      <c r="B346" s="81">
        <f>'Encargos e Benefícios'!B345</f>
        <v>0</v>
      </c>
      <c r="C346" s="287">
        <f>'Encargos e Benefícios'!C345</f>
        <v>0</v>
      </c>
      <c r="D346" s="288"/>
      <c r="E346" s="300"/>
      <c r="F346" s="301"/>
      <c r="G346" s="293"/>
      <c r="H346" s="292">
        <v>5.8400000000000001E-2</v>
      </c>
      <c r="I346" s="256"/>
      <c r="J346" s="256"/>
      <c r="K346" s="256"/>
      <c r="L346" s="256"/>
      <c r="M346" s="293"/>
      <c r="N346" s="292">
        <v>5.8400000000000001E-2</v>
      </c>
      <c r="O346" s="256"/>
      <c r="P346" s="256"/>
      <c r="Q346" s="256"/>
      <c r="R346" s="256"/>
      <c r="S346" s="293"/>
      <c r="T346" s="294"/>
      <c r="U346" s="256"/>
      <c r="V346" s="256"/>
      <c r="W346" s="256"/>
      <c r="X346" s="256"/>
      <c r="Y346" s="293"/>
      <c r="Z346" s="294"/>
      <c r="AA346" s="256"/>
      <c r="AB346" s="256">
        <v>8.7100000000000009</v>
      </c>
      <c r="AC346" s="256"/>
      <c r="AD346" s="256"/>
      <c r="AE346" s="293"/>
      <c r="AF346" s="294"/>
      <c r="AG346" s="256"/>
      <c r="AH346" s="256"/>
      <c r="AI346" s="256"/>
      <c r="AJ346" s="257"/>
      <c r="AK346" s="296">
        <f>'Encargos e Benefícios'!D345</f>
        <v>0</v>
      </c>
      <c r="AL346" s="296">
        <f>IF('Encargos e Benefícios'!C345=0,0,'Encargos e Benefícios'!U345/'Encargos e Benefícios'!C345)</f>
        <v>0</v>
      </c>
      <c r="AM346" s="296">
        <f>IF('Encargos e Benefícios'!C345=0,0,'Encargos e Benefícios'!AC345/'Encargos e Benefícios'!C345)</f>
        <v>0</v>
      </c>
      <c r="AN346" s="297">
        <f>IF('Encargos e Benefícios'!C345=0,0,'Encargos e Benefícios'!AD345/'Encargos e Benefícios'!C345)</f>
        <v>0</v>
      </c>
      <c r="AO346" s="188"/>
      <c r="AP346" s="298"/>
      <c r="AQ346" s="298"/>
      <c r="AR346" s="302"/>
      <c r="AS346" s="188"/>
    </row>
    <row r="347" spans="1:45" ht="13.5" hidden="1" thickBot="1">
      <c r="A347" s="286">
        <v>341</v>
      </c>
      <c r="B347" s="81">
        <f>'Encargos e Benefícios'!B346</f>
        <v>0</v>
      </c>
      <c r="C347" s="287">
        <f>'Encargos e Benefícios'!C346</f>
        <v>0</v>
      </c>
      <c r="D347" s="288"/>
      <c r="E347" s="300"/>
      <c r="F347" s="301"/>
      <c r="G347" s="293"/>
      <c r="H347" s="292">
        <v>5.8400000000000001E-2</v>
      </c>
      <c r="I347" s="256"/>
      <c r="J347" s="256"/>
      <c r="K347" s="256"/>
      <c r="L347" s="256"/>
      <c r="M347" s="293"/>
      <c r="N347" s="292">
        <v>5.8400000000000001E-2</v>
      </c>
      <c r="O347" s="256"/>
      <c r="P347" s="256"/>
      <c r="Q347" s="256"/>
      <c r="R347" s="256"/>
      <c r="S347" s="293"/>
      <c r="T347" s="294"/>
      <c r="U347" s="256"/>
      <c r="V347" s="256"/>
      <c r="W347" s="256"/>
      <c r="X347" s="256"/>
      <c r="Y347" s="293"/>
      <c r="Z347" s="294"/>
      <c r="AA347" s="256"/>
      <c r="AB347" s="256">
        <v>8.7100000000000009</v>
      </c>
      <c r="AC347" s="256"/>
      <c r="AD347" s="256"/>
      <c r="AE347" s="293"/>
      <c r="AF347" s="294"/>
      <c r="AG347" s="256"/>
      <c r="AH347" s="256"/>
      <c r="AI347" s="256"/>
      <c r="AJ347" s="257"/>
      <c r="AK347" s="296">
        <f>'Encargos e Benefícios'!D346</f>
        <v>0</v>
      </c>
      <c r="AL347" s="296">
        <f>IF('Encargos e Benefícios'!C346=0,0,'Encargos e Benefícios'!U346/'Encargos e Benefícios'!C346)</f>
        <v>0</v>
      </c>
      <c r="AM347" s="296">
        <f>IF('Encargos e Benefícios'!C346=0,0,'Encargos e Benefícios'!AC346/'Encargos e Benefícios'!C346)</f>
        <v>0</v>
      </c>
      <c r="AN347" s="297">
        <f>IF('Encargos e Benefícios'!C346=0,0,'Encargos e Benefícios'!AD346/'Encargos e Benefícios'!C346)</f>
        <v>0</v>
      </c>
      <c r="AO347" s="188"/>
      <c r="AP347" s="298"/>
      <c r="AQ347" s="298"/>
      <c r="AR347" s="302"/>
      <c r="AS347" s="188"/>
    </row>
    <row r="348" spans="1:45" ht="13.5" hidden="1" thickBot="1">
      <c r="A348" s="286">
        <v>342</v>
      </c>
      <c r="B348" s="81">
        <f>'Encargos e Benefícios'!B347</f>
        <v>0</v>
      </c>
      <c r="C348" s="287">
        <f>'Encargos e Benefícios'!C347</f>
        <v>0</v>
      </c>
      <c r="D348" s="288"/>
      <c r="E348" s="300"/>
      <c r="F348" s="301"/>
      <c r="G348" s="293"/>
      <c r="H348" s="292">
        <v>5.8400000000000001E-2</v>
      </c>
      <c r="I348" s="256"/>
      <c r="J348" s="256"/>
      <c r="K348" s="256"/>
      <c r="L348" s="256"/>
      <c r="M348" s="293"/>
      <c r="N348" s="292">
        <v>5.8400000000000001E-2</v>
      </c>
      <c r="O348" s="256"/>
      <c r="P348" s="256"/>
      <c r="Q348" s="256"/>
      <c r="R348" s="256"/>
      <c r="S348" s="293"/>
      <c r="T348" s="294"/>
      <c r="U348" s="256"/>
      <c r="V348" s="256"/>
      <c r="W348" s="256"/>
      <c r="X348" s="256"/>
      <c r="Y348" s="293"/>
      <c r="Z348" s="294"/>
      <c r="AA348" s="256"/>
      <c r="AB348" s="256">
        <v>8.7100000000000009</v>
      </c>
      <c r="AC348" s="256"/>
      <c r="AD348" s="256"/>
      <c r="AE348" s="293"/>
      <c r="AF348" s="294"/>
      <c r="AG348" s="256"/>
      <c r="AH348" s="256"/>
      <c r="AI348" s="256"/>
      <c r="AJ348" s="257"/>
      <c r="AK348" s="296">
        <f>'Encargos e Benefícios'!D347</f>
        <v>0</v>
      </c>
      <c r="AL348" s="296">
        <f>IF('Encargos e Benefícios'!C347=0,0,'Encargos e Benefícios'!U347/'Encargos e Benefícios'!C347)</f>
        <v>0</v>
      </c>
      <c r="AM348" s="296">
        <f>IF('Encargos e Benefícios'!C347=0,0,'Encargos e Benefícios'!AC347/'Encargos e Benefícios'!C347)</f>
        <v>0</v>
      </c>
      <c r="AN348" s="297">
        <f>IF('Encargos e Benefícios'!C347=0,0,'Encargos e Benefícios'!AD347/'Encargos e Benefícios'!C347)</f>
        <v>0</v>
      </c>
      <c r="AO348" s="188"/>
      <c r="AP348" s="298"/>
      <c r="AQ348" s="298"/>
      <c r="AR348" s="302"/>
      <c r="AS348" s="188"/>
    </row>
    <row r="349" spans="1:45" ht="13.5" hidden="1" thickBot="1">
      <c r="A349" s="286">
        <v>343</v>
      </c>
      <c r="B349" s="81">
        <f>'Encargos e Benefícios'!B348</f>
        <v>0</v>
      </c>
      <c r="C349" s="287">
        <f>'Encargos e Benefícios'!C348</f>
        <v>0</v>
      </c>
      <c r="D349" s="288"/>
      <c r="E349" s="300"/>
      <c r="F349" s="301"/>
      <c r="G349" s="293"/>
      <c r="H349" s="292">
        <v>5.8400000000000001E-2</v>
      </c>
      <c r="I349" s="256"/>
      <c r="J349" s="256"/>
      <c r="K349" s="256"/>
      <c r="L349" s="256"/>
      <c r="M349" s="293"/>
      <c r="N349" s="292">
        <v>5.8400000000000001E-2</v>
      </c>
      <c r="O349" s="256"/>
      <c r="P349" s="256"/>
      <c r="Q349" s="256"/>
      <c r="R349" s="256"/>
      <c r="S349" s="293"/>
      <c r="T349" s="294"/>
      <c r="U349" s="256"/>
      <c r="V349" s="256"/>
      <c r="W349" s="256"/>
      <c r="X349" s="256"/>
      <c r="Y349" s="293"/>
      <c r="Z349" s="294"/>
      <c r="AA349" s="256"/>
      <c r="AB349" s="256">
        <v>8.7100000000000009</v>
      </c>
      <c r="AC349" s="256"/>
      <c r="AD349" s="256"/>
      <c r="AE349" s="293"/>
      <c r="AF349" s="294"/>
      <c r="AG349" s="256"/>
      <c r="AH349" s="256"/>
      <c r="AI349" s="256"/>
      <c r="AJ349" s="257"/>
      <c r="AK349" s="296">
        <f>'Encargos e Benefícios'!D348</f>
        <v>0</v>
      </c>
      <c r="AL349" s="296">
        <f>IF('Encargos e Benefícios'!C348=0,0,'Encargos e Benefícios'!U348/'Encargos e Benefícios'!C348)</f>
        <v>0</v>
      </c>
      <c r="AM349" s="296">
        <f>IF('Encargos e Benefícios'!C348=0,0,'Encargos e Benefícios'!AC348/'Encargos e Benefícios'!C348)</f>
        <v>0</v>
      </c>
      <c r="AN349" s="297">
        <f>IF('Encargos e Benefícios'!C348=0,0,'Encargos e Benefícios'!AD348/'Encargos e Benefícios'!C348)</f>
        <v>0</v>
      </c>
      <c r="AO349" s="188"/>
      <c r="AP349" s="298"/>
      <c r="AQ349" s="298"/>
      <c r="AR349" s="302"/>
      <c r="AS349" s="188"/>
    </row>
    <row r="350" spans="1:45" ht="13.5" hidden="1" thickBot="1">
      <c r="A350" s="286">
        <v>344</v>
      </c>
      <c r="B350" s="81">
        <f>'Encargos e Benefícios'!B349</f>
        <v>0</v>
      </c>
      <c r="C350" s="287">
        <f>'Encargos e Benefícios'!C349</f>
        <v>0</v>
      </c>
      <c r="D350" s="288"/>
      <c r="E350" s="300"/>
      <c r="F350" s="301"/>
      <c r="G350" s="293"/>
      <c r="H350" s="292">
        <v>5.8400000000000001E-2</v>
      </c>
      <c r="I350" s="256"/>
      <c r="J350" s="256"/>
      <c r="K350" s="256"/>
      <c r="L350" s="256"/>
      <c r="M350" s="293"/>
      <c r="N350" s="292">
        <v>5.8400000000000001E-2</v>
      </c>
      <c r="O350" s="256"/>
      <c r="P350" s="256"/>
      <c r="Q350" s="256"/>
      <c r="R350" s="256"/>
      <c r="S350" s="293"/>
      <c r="T350" s="294"/>
      <c r="U350" s="256"/>
      <c r="V350" s="256"/>
      <c r="W350" s="256"/>
      <c r="X350" s="256"/>
      <c r="Y350" s="293"/>
      <c r="Z350" s="294"/>
      <c r="AA350" s="256"/>
      <c r="AB350" s="256">
        <v>8.7100000000000009</v>
      </c>
      <c r="AC350" s="256"/>
      <c r="AD350" s="256"/>
      <c r="AE350" s="293"/>
      <c r="AF350" s="294"/>
      <c r="AG350" s="256"/>
      <c r="AH350" s="256"/>
      <c r="AI350" s="256"/>
      <c r="AJ350" s="257"/>
      <c r="AK350" s="296">
        <f>'Encargos e Benefícios'!D349</f>
        <v>0</v>
      </c>
      <c r="AL350" s="296">
        <f>IF('Encargos e Benefícios'!C349=0,0,'Encargos e Benefícios'!U349/'Encargos e Benefícios'!C349)</f>
        <v>0</v>
      </c>
      <c r="AM350" s="296">
        <f>IF('Encargos e Benefícios'!C349=0,0,'Encargos e Benefícios'!AC349/'Encargos e Benefícios'!C349)</f>
        <v>0</v>
      </c>
      <c r="AN350" s="297">
        <f>IF('Encargos e Benefícios'!C349=0,0,'Encargos e Benefícios'!AD349/'Encargos e Benefícios'!C349)</f>
        <v>0</v>
      </c>
      <c r="AO350" s="188"/>
      <c r="AP350" s="298"/>
      <c r="AQ350" s="298"/>
      <c r="AR350" s="302"/>
      <c r="AS350" s="188"/>
    </row>
    <row r="351" spans="1:45" ht="13.5" hidden="1" thickBot="1">
      <c r="A351" s="286">
        <v>345</v>
      </c>
      <c r="B351" s="81">
        <f>'Encargos e Benefícios'!B350</f>
        <v>0</v>
      </c>
      <c r="C351" s="287">
        <f>'Encargos e Benefícios'!C350</f>
        <v>0</v>
      </c>
      <c r="D351" s="288"/>
      <c r="E351" s="300"/>
      <c r="F351" s="301"/>
      <c r="G351" s="293"/>
      <c r="H351" s="292">
        <v>5.8400000000000001E-2</v>
      </c>
      <c r="I351" s="256"/>
      <c r="J351" s="256"/>
      <c r="K351" s="256"/>
      <c r="L351" s="256"/>
      <c r="M351" s="293"/>
      <c r="N351" s="292">
        <v>5.8400000000000001E-2</v>
      </c>
      <c r="O351" s="256"/>
      <c r="P351" s="256"/>
      <c r="Q351" s="256"/>
      <c r="R351" s="256"/>
      <c r="S351" s="293"/>
      <c r="T351" s="294"/>
      <c r="U351" s="256"/>
      <c r="V351" s="256"/>
      <c r="W351" s="256"/>
      <c r="X351" s="256"/>
      <c r="Y351" s="293"/>
      <c r="Z351" s="294"/>
      <c r="AA351" s="256"/>
      <c r="AB351" s="256">
        <v>8.7100000000000009</v>
      </c>
      <c r="AC351" s="256"/>
      <c r="AD351" s="256"/>
      <c r="AE351" s="293"/>
      <c r="AF351" s="294"/>
      <c r="AG351" s="256"/>
      <c r="AH351" s="256"/>
      <c r="AI351" s="256"/>
      <c r="AJ351" s="257"/>
      <c r="AK351" s="296">
        <f>'Encargos e Benefícios'!D350</f>
        <v>0</v>
      </c>
      <c r="AL351" s="296">
        <f>IF('Encargos e Benefícios'!C350=0,0,'Encargos e Benefícios'!U350/'Encargos e Benefícios'!C350)</f>
        <v>0</v>
      </c>
      <c r="AM351" s="296">
        <f>IF('Encargos e Benefícios'!C350=0,0,'Encargos e Benefícios'!AC350/'Encargos e Benefícios'!C350)</f>
        <v>0</v>
      </c>
      <c r="AN351" s="297">
        <f>IF('Encargos e Benefícios'!C350=0,0,'Encargos e Benefícios'!AD350/'Encargos e Benefícios'!C350)</f>
        <v>0</v>
      </c>
      <c r="AO351" s="188"/>
      <c r="AP351" s="298"/>
      <c r="AQ351" s="298"/>
      <c r="AR351" s="302"/>
      <c r="AS351" s="188"/>
    </row>
    <row r="352" spans="1:45" ht="13.5" hidden="1" thickBot="1">
      <c r="A352" s="286">
        <v>346</v>
      </c>
      <c r="B352" s="81">
        <f>'Encargos e Benefícios'!B351</f>
        <v>0</v>
      </c>
      <c r="C352" s="287">
        <f>'Encargos e Benefícios'!C351</f>
        <v>0</v>
      </c>
      <c r="D352" s="288"/>
      <c r="E352" s="300"/>
      <c r="F352" s="301"/>
      <c r="G352" s="293"/>
      <c r="H352" s="292">
        <v>5.8400000000000001E-2</v>
      </c>
      <c r="I352" s="256"/>
      <c r="J352" s="256"/>
      <c r="K352" s="256"/>
      <c r="L352" s="256"/>
      <c r="M352" s="293"/>
      <c r="N352" s="292">
        <v>5.8400000000000001E-2</v>
      </c>
      <c r="O352" s="256"/>
      <c r="P352" s="256"/>
      <c r="Q352" s="256"/>
      <c r="R352" s="256"/>
      <c r="S352" s="293"/>
      <c r="T352" s="294"/>
      <c r="U352" s="256"/>
      <c r="V352" s="256"/>
      <c r="W352" s="256"/>
      <c r="X352" s="256"/>
      <c r="Y352" s="293"/>
      <c r="Z352" s="294"/>
      <c r="AA352" s="256"/>
      <c r="AB352" s="256">
        <v>8.7100000000000009</v>
      </c>
      <c r="AC352" s="256"/>
      <c r="AD352" s="256"/>
      <c r="AE352" s="293"/>
      <c r="AF352" s="294"/>
      <c r="AG352" s="256"/>
      <c r="AH352" s="256"/>
      <c r="AI352" s="256"/>
      <c r="AJ352" s="257"/>
      <c r="AK352" s="296">
        <f>'Encargos e Benefícios'!D351</f>
        <v>0</v>
      </c>
      <c r="AL352" s="296">
        <f>IF('Encargos e Benefícios'!C351=0,0,'Encargos e Benefícios'!U351/'Encargos e Benefícios'!C351)</f>
        <v>0</v>
      </c>
      <c r="AM352" s="296">
        <f>IF('Encargos e Benefícios'!C351=0,0,'Encargos e Benefícios'!AC351/'Encargos e Benefícios'!C351)</f>
        <v>0</v>
      </c>
      <c r="AN352" s="297">
        <f>IF('Encargos e Benefícios'!C351=0,0,'Encargos e Benefícios'!AD351/'Encargos e Benefícios'!C351)</f>
        <v>0</v>
      </c>
      <c r="AO352" s="188"/>
      <c r="AP352" s="298"/>
      <c r="AQ352" s="298"/>
      <c r="AR352" s="302"/>
      <c r="AS352" s="188"/>
    </row>
    <row r="353" spans="1:45" ht="13.5" hidden="1" thickBot="1">
      <c r="A353" s="286">
        <v>347</v>
      </c>
      <c r="B353" s="81">
        <f>'Encargos e Benefícios'!B352</f>
        <v>0</v>
      </c>
      <c r="C353" s="287">
        <f>'Encargos e Benefícios'!C352</f>
        <v>0</v>
      </c>
      <c r="D353" s="288"/>
      <c r="E353" s="300"/>
      <c r="F353" s="301"/>
      <c r="G353" s="293"/>
      <c r="H353" s="292">
        <v>5.8400000000000001E-2</v>
      </c>
      <c r="I353" s="256"/>
      <c r="J353" s="256"/>
      <c r="K353" s="256"/>
      <c r="L353" s="256"/>
      <c r="M353" s="293"/>
      <c r="N353" s="292">
        <v>5.8400000000000001E-2</v>
      </c>
      <c r="O353" s="256"/>
      <c r="P353" s="256"/>
      <c r="Q353" s="256"/>
      <c r="R353" s="256"/>
      <c r="S353" s="293"/>
      <c r="T353" s="294"/>
      <c r="U353" s="256"/>
      <c r="V353" s="256"/>
      <c r="W353" s="256"/>
      <c r="X353" s="256"/>
      <c r="Y353" s="293"/>
      <c r="Z353" s="294"/>
      <c r="AA353" s="256"/>
      <c r="AB353" s="256">
        <v>8.7100000000000009</v>
      </c>
      <c r="AC353" s="256"/>
      <c r="AD353" s="256"/>
      <c r="AE353" s="293"/>
      <c r="AF353" s="294"/>
      <c r="AG353" s="256"/>
      <c r="AH353" s="256"/>
      <c r="AI353" s="256"/>
      <c r="AJ353" s="257"/>
      <c r="AK353" s="296">
        <f>'Encargos e Benefícios'!D352</f>
        <v>0</v>
      </c>
      <c r="AL353" s="296">
        <f>IF('Encargos e Benefícios'!C352=0,0,'Encargos e Benefícios'!U352/'Encargos e Benefícios'!C352)</f>
        <v>0</v>
      </c>
      <c r="AM353" s="296">
        <f>IF('Encargos e Benefícios'!C352=0,0,'Encargos e Benefícios'!AC352/'Encargos e Benefícios'!C352)</f>
        <v>0</v>
      </c>
      <c r="AN353" s="297">
        <f>IF('Encargos e Benefícios'!C352=0,0,'Encargos e Benefícios'!AD352/'Encargos e Benefícios'!C352)</f>
        <v>0</v>
      </c>
      <c r="AO353" s="188"/>
      <c r="AP353" s="298"/>
      <c r="AQ353" s="298"/>
      <c r="AR353" s="302"/>
      <c r="AS353" s="188"/>
    </row>
    <row r="354" spans="1:45" ht="13.5" hidden="1" thickBot="1">
      <c r="A354" s="286">
        <v>348</v>
      </c>
      <c r="B354" s="81">
        <f>'Encargos e Benefícios'!B353</f>
        <v>0</v>
      </c>
      <c r="C354" s="287">
        <f>'Encargos e Benefícios'!C353</f>
        <v>0</v>
      </c>
      <c r="D354" s="288"/>
      <c r="E354" s="300"/>
      <c r="F354" s="301"/>
      <c r="G354" s="293"/>
      <c r="H354" s="292">
        <v>5.8400000000000001E-2</v>
      </c>
      <c r="I354" s="256"/>
      <c r="J354" s="256"/>
      <c r="K354" s="256"/>
      <c r="L354" s="256"/>
      <c r="M354" s="293"/>
      <c r="N354" s="292">
        <v>5.8400000000000001E-2</v>
      </c>
      <c r="O354" s="256"/>
      <c r="P354" s="256"/>
      <c r="Q354" s="256"/>
      <c r="R354" s="256"/>
      <c r="S354" s="293"/>
      <c r="T354" s="294"/>
      <c r="U354" s="256"/>
      <c r="V354" s="256"/>
      <c r="W354" s="256"/>
      <c r="X354" s="256"/>
      <c r="Y354" s="293"/>
      <c r="Z354" s="294"/>
      <c r="AA354" s="256"/>
      <c r="AB354" s="256">
        <v>8.7100000000000009</v>
      </c>
      <c r="AC354" s="256"/>
      <c r="AD354" s="256"/>
      <c r="AE354" s="293"/>
      <c r="AF354" s="294"/>
      <c r="AG354" s="256"/>
      <c r="AH354" s="256"/>
      <c r="AI354" s="256"/>
      <c r="AJ354" s="257"/>
      <c r="AK354" s="296">
        <f>'Encargos e Benefícios'!D353</f>
        <v>0</v>
      </c>
      <c r="AL354" s="296">
        <f>IF('Encargos e Benefícios'!C353=0,0,'Encargos e Benefícios'!U353/'Encargos e Benefícios'!C353)</f>
        <v>0</v>
      </c>
      <c r="AM354" s="296">
        <f>IF('Encargos e Benefícios'!C353=0,0,'Encargos e Benefícios'!AC353/'Encargos e Benefícios'!C353)</f>
        <v>0</v>
      </c>
      <c r="AN354" s="297">
        <f>IF('Encargos e Benefícios'!C353=0,0,'Encargos e Benefícios'!AD353/'Encargos e Benefícios'!C353)</f>
        <v>0</v>
      </c>
      <c r="AO354" s="188"/>
      <c r="AP354" s="298"/>
      <c r="AQ354" s="298"/>
      <c r="AR354" s="302"/>
      <c r="AS354" s="188"/>
    </row>
    <row r="355" spans="1:45" ht="13.5" hidden="1" thickBot="1">
      <c r="A355" s="286">
        <v>349</v>
      </c>
      <c r="B355" s="81">
        <f>'Encargos e Benefícios'!B354</f>
        <v>0</v>
      </c>
      <c r="C355" s="287">
        <f>'Encargos e Benefícios'!C354</f>
        <v>0</v>
      </c>
      <c r="D355" s="288"/>
      <c r="E355" s="300"/>
      <c r="F355" s="301"/>
      <c r="G355" s="293"/>
      <c r="H355" s="292">
        <v>5.8400000000000001E-2</v>
      </c>
      <c r="I355" s="256"/>
      <c r="J355" s="256"/>
      <c r="K355" s="256"/>
      <c r="L355" s="256"/>
      <c r="M355" s="293"/>
      <c r="N355" s="292">
        <v>5.8400000000000001E-2</v>
      </c>
      <c r="O355" s="256"/>
      <c r="P355" s="256"/>
      <c r="Q355" s="256"/>
      <c r="R355" s="256"/>
      <c r="S355" s="293"/>
      <c r="T355" s="294"/>
      <c r="U355" s="256"/>
      <c r="V355" s="256"/>
      <c r="W355" s="256"/>
      <c r="X355" s="256"/>
      <c r="Y355" s="293"/>
      <c r="Z355" s="294"/>
      <c r="AA355" s="256"/>
      <c r="AB355" s="256">
        <v>8.7100000000000009</v>
      </c>
      <c r="AC355" s="256"/>
      <c r="AD355" s="256"/>
      <c r="AE355" s="293"/>
      <c r="AF355" s="294"/>
      <c r="AG355" s="256"/>
      <c r="AH355" s="256"/>
      <c r="AI355" s="256"/>
      <c r="AJ355" s="257"/>
      <c r="AK355" s="296">
        <f>'Encargos e Benefícios'!D354</f>
        <v>0</v>
      </c>
      <c r="AL355" s="296">
        <f>IF('Encargos e Benefícios'!C354=0,0,'Encargos e Benefícios'!U354/'Encargos e Benefícios'!C354)</f>
        <v>0</v>
      </c>
      <c r="AM355" s="296">
        <f>IF('Encargos e Benefícios'!C354=0,0,'Encargos e Benefícios'!AC354/'Encargos e Benefícios'!C354)</f>
        <v>0</v>
      </c>
      <c r="AN355" s="297">
        <f>IF('Encargos e Benefícios'!C354=0,0,'Encargos e Benefícios'!AD354/'Encargos e Benefícios'!C354)</f>
        <v>0</v>
      </c>
      <c r="AO355" s="188"/>
      <c r="AP355" s="298"/>
      <c r="AQ355" s="298"/>
      <c r="AR355" s="302"/>
      <c r="AS355" s="188"/>
    </row>
    <row r="356" spans="1:45" ht="13.5" hidden="1" thickBot="1">
      <c r="A356" s="286">
        <v>350</v>
      </c>
      <c r="B356" s="81">
        <f>'Encargos e Benefícios'!B355</f>
        <v>0</v>
      </c>
      <c r="C356" s="287">
        <f>'Encargos e Benefícios'!C355</f>
        <v>0</v>
      </c>
      <c r="D356" s="288"/>
      <c r="E356" s="300"/>
      <c r="F356" s="301"/>
      <c r="G356" s="293"/>
      <c r="H356" s="292">
        <v>5.8400000000000001E-2</v>
      </c>
      <c r="I356" s="256"/>
      <c r="J356" s="256"/>
      <c r="K356" s="256"/>
      <c r="L356" s="256"/>
      <c r="M356" s="293"/>
      <c r="N356" s="292">
        <v>5.8400000000000001E-2</v>
      </c>
      <c r="O356" s="256"/>
      <c r="P356" s="256"/>
      <c r="Q356" s="256"/>
      <c r="R356" s="256"/>
      <c r="S356" s="293"/>
      <c r="T356" s="294"/>
      <c r="U356" s="256"/>
      <c r="V356" s="256"/>
      <c r="W356" s="256"/>
      <c r="X356" s="256"/>
      <c r="Y356" s="293"/>
      <c r="Z356" s="294"/>
      <c r="AA356" s="256"/>
      <c r="AB356" s="256">
        <v>8.7100000000000009</v>
      </c>
      <c r="AC356" s="256"/>
      <c r="AD356" s="256"/>
      <c r="AE356" s="293"/>
      <c r="AF356" s="294"/>
      <c r="AG356" s="256"/>
      <c r="AH356" s="256"/>
      <c r="AI356" s="256"/>
      <c r="AJ356" s="257"/>
      <c r="AK356" s="296">
        <f>'Encargos e Benefícios'!D355</f>
        <v>0</v>
      </c>
      <c r="AL356" s="296">
        <f>IF('Encargos e Benefícios'!C355=0,0,'Encargos e Benefícios'!U355/'Encargos e Benefícios'!C355)</f>
        <v>0</v>
      </c>
      <c r="AM356" s="296">
        <f>IF('Encargos e Benefícios'!C355=0,0,'Encargos e Benefícios'!AC355/'Encargos e Benefícios'!C355)</f>
        <v>0</v>
      </c>
      <c r="AN356" s="297">
        <f>IF('Encargos e Benefícios'!C355=0,0,'Encargos e Benefícios'!AD355/'Encargos e Benefícios'!C355)</f>
        <v>0</v>
      </c>
      <c r="AO356" s="188"/>
      <c r="AP356" s="298"/>
      <c r="AQ356" s="298"/>
      <c r="AR356" s="302"/>
      <c r="AS356" s="188"/>
    </row>
    <row r="357" spans="1:45" ht="13.5" hidden="1" thickBot="1">
      <c r="A357" s="286">
        <v>351</v>
      </c>
      <c r="B357" s="81">
        <f>'Encargos e Benefícios'!B356</f>
        <v>0</v>
      </c>
      <c r="C357" s="287">
        <f>'Encargos e Benefícios'!C356</f>
        <v>0</v>
      </c>
      <c r="D357" s="288"/>
      <c r="E357" s="300"/>
      <c r="F357" s="301"/>
      <c r="G357" s="293"/>
      <c r="H357" s="292">
        <v>5.8400000000000001E-2</v>
      </c>
      <c r="I357" s="256"/>
      <c r="J357" s="256"/>
      <c r="K357" s="256"/>
      <c r="L357" s="256"/>
      <c r="M357" s="293"/>
      <c r="N357" s="292">
        <v>5.8400000000000001E-2</v>
      </c>
      <c r="O357" s="256"/>
      <c r="P357" s="256"/>
      <c r="Q357" s="256"/>
      <c r="R357" s="256"/>
      <c r="S357" s="293"/>
      <c r="T357" s="294"/>
      <c r="U357" s="256"/>
      <c r="V357" s="256"/>
      <c r="W357" s="256"/>
      <c r="X357" s="256"/>
      <c r="Y357" s="293"/>
      <c r="Z357" s="294"/>
      <c r="AA357" s="256"/>
      <c r="AB357" s="256">
        <v>8.7100000000000009</v>
      </c>
      <c r="AC357" s="256"/>
      <c r="AD357" s="256"/>
      <c r="AE357" s="293"/>
      <c r="AF357" s="294"/>
      <c r="AG357" s="256"/>
      <c r="AH357" s="256"/>
      <c r="AI357" s="256"/>
      <c r="AJ357" s="257"/>
      <c r="AK357" s="296">
        <f>'Encargos e Benefícios'!D356</f>
        <v>0</v>
      </c>
      <c r="AL357" s="296">
        <f>IF('Encargos e Benefícios'!C356=0,0,'Encargos e Benefícios'!U356/'Encargos e Benefícios'!C356)</f>
        <v>0</v>
      </c>
      <c r="AM357" s="296">
        <f>IF('Encargos e Benefícios'!C356=0,0,'Encargos e Benefícios'!AC356/'Encargos e Benefícios'!C356)</f>
        <v>0</v>
      </c>
      <c r="AN357" s="297">
        <f>IF('Encargos e Benefícios'!C356=0,0,'Encargos e Benefícios'!AD356/'Encargos e Benefícios'!C356)</f>
        <v>0</v>
      </c>
      <c r="AO357" s="188"/>
      <c r="AP357" s="298"/>
      <c r="AQ357" s="298"/>
      <c r="AR357" s="302"/>
      <c r="AS357" s="188"/>
    </row>
    <row r="358" spans="1:45" ht="13.5" hidden="1" thickBot="1">
      <c r="A358" s="286">
        <v>352</v>
      </c>
      <c r="B358" s="81">
        <f>'Encargos e Benefícios'!B357</f>
        <v>0</v>
      </c>
      <c r="C358" s="287">
        <f>'Encargos e Benefícios'!C357</f>
        <v>0</v>
      </c>
      <c r="D358" s="288"/>
      <c r="E358" s="300"/>
      <c r="F358" s="301"/>
      <c r="G358" s="293"/>
      <c r="H358" s="292">
        <v>5.8400000000000001E-2</v>
      </c>
      <c r="I358" s="256"/>
      <c r="J358" s="256"/>
      <c r="K358" s="256"/>
      <c r="L358" s="256"/>
      <c r="M358" s="293"/>
      <c r="N358" s="292">
        <v>5.8400000000000001E-2</v>
      </c>
      <c r="O358" s="256"/>
      <c r="P358" s="256"/>
      <c r="Q358" s="256"/>
      <c r="R358" s="256"/>
      <c r="S358" s="293"/>
      <c r="T358" s="294"/>
      <c r="U358" s="256"/>
      <c r="V358" s="256"/>
      <c r="W358" s="256"/>
      <c r="X358" s="256"/>
      <c r="Y358" s="293"/>
      <c r="Z358" s="294"/>
      <c r="AA358" s="256"/>
      <c r="AB358" s="256">
        <v>8.7100000000000009</v>
      </c>
      <c r="AC358" s="256"/>
      <c r="AD358" s="256"/>
      <c r="AE358" s="293"/>
      <c r="AF358" s="294"/>
      <c r="AG358" s="256"/>
      <c r="AH358" s="256"/>
      <c r="AI358" s="256"/>
      <c r="AJ358" s="257"/>
      <c r="AK358" s="296">
        <f>'Encargos e Benefícios'!D357</f>
        <v>0</v>
      </c>
      <c r="AL358" s="296">
        <f>IF('Encargos e Benefícios'!C357=0,0,'Encargos e Benefícios'!U357/'Encargos e Benefícios'!C357)</f>
        <v>0</v>
      </c>
      <c r="AM358" s="296">
        <f>IF('Encargos e Benefícios'!C357=0,0,'Encargos e Benefícios'!AC357/'Encargos e Benefícios'!C357)</f>
        <v>0</v>
      </c>
      <c r="AN358" s="297">
        <f>IF('Encargos e Benefícios'!C357=0,0,'Encargos e Benefícios'!AD357/'Encargos e Benefícios'!C357)</f>
        <v>0</v>
      </c>
      <c r="AO358" s="188"/>
      <c r="AP358" s="298"/>
      <c r="AQ358" s="298"/>
      <c r="AR358" s="302"/>
      <c r="AS358" s="188"/>
    </row>
    <row r="359" spans="1:45" ht="13.5" hidden="1" thickBot="1">
      <c r="A359" s="286">
        <v>353</v>
      </c>
      <c r="B359" s="81">
        <f>'Encargos e Benefícios'!B358</f>
        <v>0</v>
      </c>
      <c r="C359" s="287">
        <f>'Encargos e Benefícios'!C358</f>
        <v>0</v>
      </c>
      <c r="D359" s="288"/>
      <c r="E359" s="300"/>
      <c r="F359" s="301"/>
      <c r="G359" s="293"/>
      <c r="H359" s="292">
        <v>5.8400000000000001E-2</v>
      </c>
      <c r="I359" s="256"/>
      <c r="J359" s="256"/>
      <c r="K359" s="256"/>
      <c r="L359" s="256"/>
      <c r="M359" s="293"/>
      <c r="N359" s="292">
        <v>5.8400000000000001E-2</v>
      </c>
      <c r="O359" s="256"/>
      <c r="P359" s="256"/>
      <c r="Q359" s="256"/>
      <c r="R359" s="256"/>
      <c r="S359" s="293"/>
      <c r="T359" s="294"/>
      <c r="U359" s="256"/>
      <c r="V359" s="256"/>
      <c r="W359" s="256"/>
      <c r="X359" s="256"/>
      <c r="Y359" s="293"/>
      <c r="Z359" s="294"/>
      <c r="AA359" s="256"/>
      <c r="AB359" s="256">
        <v>8.7100000000000009</v>
      </c>
      <c r="AC359" s="256"/>
      <c r="AD359" s="256"/>
      <c r="AE359" s="293"/>
      <c r="AF359" s="294"/>
      <c r="AG359" s="256"/>
      <c r="AH359" s="256"/>
      <c r="AI359" s="256"/>
      <c r="AJ359" s="257"/>
      <c r="AK359" s="296">
        <f>'Encargos e Benefícios'!D358</f>
        <v>0</v>
      </c>
      <c r="AL359" s="296">
        <f>IF('Encargos e Benefícios'!C358=0,0,'Encargos e Benefícios'!U358/'Encargos e Benefícios'!C358)</f>
        <v>0</v>
      </c>
      <c r="AM359" s="296">
        <f>IF('Encargos e Benefícios'!C358=0,0,'Encargos e Benefícios'!AC358/'Encargos e Benefícios'!C358)</f>
        <v>0</v>
      </c>
      <c r="AN359" s="297">
        <f>IF('Encargos e Benefícios'!C358=0,0,'Encargos e Benefícios'!AD358/'Encargos e Benefícios'!C358)</f>
        <v>0</v>
      </c>
      <c r="AO359" s="188"/>
      <c r="AP359" s="298"/>
      <c r="AQ359" s="298"/>
      <c r="AR359" s="302"/>
      <c r="AS359" s="188"/>
    </row>
    <row r="360" spans="1:45" ht="13.5" hidden="1" thickBot="1">
      <c r="A360" s="286">
        <v>354</v>
      </c>
      <c r="B360" s="81">
        <f>'Encargos e Benefícios'!B359</f>
        <v>0</v>
      </c>
      <c r="C360" s="287">
        <f>'Encargos e Benefícios'!C359</f>
        <v>0</v>
      </c>
      <c r="D360" s="288"/>
      <c r="E360" s="300"/>
      <c r="F360" s="301"/>
      <c r="G360" s="293"/>
      <c r="H360" s="292">
        <v>5.8400000000000001E-2</v>
      </c>
      <c r="I360" s="256"/>
      <c r="J360" s="256"/>
      <c r="K360" s="256"/>
      <c r="L360" s="256"/>
      <c r="M360" s="293"/>
      <c r="N360" s="292">
        <v>5.8400000000000001E-2</v>
      </c>
      <c r="O360" s="256"/>
      <c r="P360" s="256"/>
      <c r="Q360" s="256"/>
      <c r="R360" s="256"/>
      <c r="S360" s="293"/>
      <c r="T360" s="294"/>
      <c r="U360" s="256"/>
      <c r="V360" s="256"/>
      <c r="W360" s="256"/>
      <c r="X360" s="256"/>
      <c r="Y360" s="293"/>
      <c r="Z360" s="294"/>
      <c r="AA360" s="256"/>
      <c r="AB360" s="256">
        <v>8.7100000000000009</v>
      </c>
      <c r="AC360" s="256"/>
      <c r="AD360" s="256"/>
      <c r="AE360" s="293"/>
      <c r="AF360" s="294"/>
      <c r="AG360" s="256"/>
      <c r="AH360" s="256"/>
      <c r="AI360" s="256"/>
      <c r="AJ360" s="257"/>
      <c r="AK360" s="296">
        <f>'Encargos e Benefícios'!D359</f>
        <v>0</v>
      </c>
      <c r="AL360" s="296">
        <f>IF('Encargos e Benefícios'!C359=0,0,'Encargos e Benefícios'!U359/'Encargos e Benefícios'!C359)</f>
        <v>0</v>
      </c>
      <c r="AM360" s="296">
        <f>IF('Encargos e Benefícios'!C359=0,0,'Encargos e Benefícios'!AC359/'Encargos e Benefícios'!C359)</f>
        <v>0</v>
      </c>
      <c r="AN360" s="297">
        <f>IF('Encargos e Benefícios'!C359=0,0,'Encargos e Benefícios'!AD359/'Encargos e Benefícios'!C359)</f>
        <v>0</v>
      </c>
      <c r="AO360" s="188"/>
      <c r="AP360" s="298"/>
      <c r="AQ360" s="298"/>
      <c r="AR360" s="302"/>
      <c r="AS360" s="188"/>
    </row>
    <row r="361" spans="1:45" ht="13.5" hidden="1" thickBot="1">
      <c r="A361" s="286">
        <v>355</v>
      </c>
      <c r="B361" s="81">
        <f>'Encargos e Benefícios'!B360</f>
        <v>0</v>
      </c>
      <c r="C361" s="287">
        <f>'Encargos e Benefícios'!C360</f>
        <v>0</v>
      </c>
      <c r="D361" s="288"/>
      <c r="E361" s="300"/>
      <c r="F361" s="301"/>
      <c r="G361" s="293"/>
      <c r="H361" s="292">
        <v>5.8400000000000001E-2</v>
      </c>
      <c r="I361" s="256"/>
      <c r="J361" s="256"/>
      <c r="K361" s="256"/>
      <c r="L361" s="256"/>
      <c r="M361" s="293"/>
      <c r="N361" s="292">
        <v>5.8400000000000001E-2</v>
      </c>
      <c r="O361" s="256"/>
      <c r="P361" s="256"/>
      <c r="Q361" s="256"/>
      <c r="R361" s="256"/>
      <c r="S361" s="293"/>
      <c r="T361" s="294"/>
      <c r="U361" s="256"/>
      <c r="V361" s="256"/>
      <c r="W361" s="256"/>
      <c r="X361" s="256"/>
      <c r="Y361" s="293"/>
      <c r="Z361" s="294"/>
      <c r="AA361" s="256"/>
      <c r="AB361" s="256">
        <v>8.7100000000000009</v>
      </c>
      <c r="AC361" s="256"/>
      <c r="AD361" s="256"/>
      <c r="AE361" s="293"/>
      <c r="AF361" s="294"/>
      <c r="AG361" s="256"/>
      <c r="AH361" s="256"/>
      <c r="AI361" s="256"/>
      <c r="AJ361" s="257"/>
      <c r="AK361" s="296">
        <f>'Encargos e Benefícios'!D360</f>
        <v>0</v>
      </c>
      <c r="AL361" s="296">
        <f>IF('Encargos e Benefícios'!C360=0,0,'Encargos e Benefícios'!U360/'Encargos e Benefícios'!C360)</f>
        <v>0</v>
      </c>
      <c r="AM361" s="296">
        <f>IF('Encargos e Benefícios'!C360=0,0,'Encargos e Benefícios'!AC360/'Encargos e Benefícios'!C360)</f>
        <v>0</v>
      </c>
      <c r="AN361" s="297">
        <f>IF('Encargos e Benefícios'!C360=0,0,'Encargos e Benefícios'!AD360/'Encargos e Benefícios'!C360)</f>
        <v>0</v>
      </c>
      <c r="AO361" s="188"/>
      <c r="AP361" s="298"/>
      <c r="AQ361" s="298"/>
      <c r="AR361" s="302"/>
      <c r="AS361" s="188"/>
    </row>
    <row r="362" spans="1:45" ht="13.5" hidden="1" thickBot="1">
      <c r="A362" s="286">
        <v>356</v>
      </c>
      <c r="B362" s="81">
        <f>'Encargos e Benefícios'!B361</f>
        <v>0</v>
      </c>
      <c r="C362" s="287">
        <f>'Encargos e Benefícios'!C361</f>
        <v>0</v>
      </c>
      <c r="D362" s="288"/>
      <c r="E362" s="300"/>
      <c r="F362" s="301"/>
      <c r="G362" s="293"/>
      <c r="H362" s="292">
        <v>5.8400000000000001E-2</v>
      </c>
      <c r="I362" s="256"/>
      <c r="J362" s="256"/>
      <c r="K362" s="256"/>
      <c r="L362" s="256"/>
      <c r="M362" s="293"/>
      <c r="N362" s="292">
        <v>5.8400000000000001E-2</v>
      </c>
      <c r="O362" s="256"/>
      <c r="P362" s="256"/>
      <c r="Q362" s="256"/>
      <c r="R362" s="256"/>
      <c r="S362" s="293"/>
      <c r="T362" s="294"/>
      <c r="U362" s="256"/>
      <c r="V362" s="256"/>
      <c r="W362" s="256"/>
      <c r="X362" s="256"/>
      <c r="Y362" s="293"/>
      <c r="Z362" s="294"/>
      <c r="AA362" s="256"/>
      <c r="AB362" s="256">
        <v>8.7100000000000009</v>
      </c>
      <c r="AC362" s="256"/>
      <c r="AD362" s="256"/>
      <c r="AE362" s="293"/>
      <c r="AF362" s="294"/>
      <c r="AG362" s="256"/>
      <c r="AH362" s="256"/>
      <c r="AI362" s="256"/>
      <c r="AJ362" s="257"/>
      <c r="AK362" s="296">
        <f>'Encargos e Benefícios'!D361</f>
        <v>0</v>
      </c>
      <c r="AL362" s="296">
        <f>IF('Encargos e Benefícios'!C361=0,0,'Encargos e Benefícios'!U361/'Encargos e Benefícios'!C361)</f>
        <v>0</v>
      </c>
      <c r="AM362" s="296">
        <f>IF('Encargos e Benefícios'!C361=0,0,'Encargos e Benefícios'!AC361/'Encargos e Benefícios'!C361)</f>
        <v>0</v>
      </c>
      <c r="AN362" s="297">
        <f>IF('Encargos e Benefícios'!C361=0,0,'Encargos e Benefícios'!AD361/'Encargos e Benefícios'!C361)</f>
        <v>0</v>
      </c>
      <c r="AO362" s="188"/>
      <c r="AP362" s="298"/>
      <c r="AQ362" s="298"/>
      <c r="AR362" s="302"/>
      <c r="AS362" s="188"/>
    </row>
    <row r="363" spans="1:45" ht="13.5" hidden="1" thickBot="1">
      <c r="A363" s="286">
        <v>357</v>
      </c>
      <c r="B363" s="81">
        <f>'Encargos e Benefícios'!B362</f>
        <v>0</v>
      </c>
      <c r="C363" s="287">
        <f>'Encargos e Benefícios'!C362</f>
        <v>0</v>
      </c>
      <c r="D363" s="288"/>
      <c r="E363" s="300"/>
      <c r="F363" s="301"/>
      <c r="G363" s="293"/>
      <c r="H363" s="292">
        <v>5.8400000000000001E-2</v>
      </c>
      <c r="I363" s="256"/>
      <c r="J363" s="256"/>
      <c r="K363" s="256"/>
      <c r="L363" s="256"/>
      <c r="M363" s="293"/>
      <c r="N363" s="292">
        <v>5.8400000000000001E-2</v>
      </c>
      <c r="O363" s="256"/>
      <c r="P363" s="256"/>
      <c r="Q363" s="256"/>
      <c r="R363" s="256"/>
      <c r="S363" s="293"/>
      <c r="T363" s="294"/>
      <c r="U363" s="256"/>
      <c r="V363" s="256"/>
      <c r="W363" s="256"/>
      <c r="X363" s="256"/>
      <c r="Y363" s="293"/>
      <c r="Z363" s="294"/>
      <c r="AA363" s="256"/>
      <c r="AB363" s="256">
        <v>8.7100000000000009</v>
      </c>
      <c r="AC363" s="256"/>
      <c r="AD363" s="256"/>
      <c r="AE363" s="293"/>
      <c r="AF363" s="294"/>
      <c r="AG363" s="256"/>
      <c r="AH363" s="256"/>
      <c r="AI363" s="256"/>
      <c r="AJ363" s="257"/>
      <c r="AK363" s="296">
        <f>'Encargos e Benefícios'!D362</f>
        <v>0</v>
      </c>
      <c r="AL363" s="296">
        <f>IF('Encargos e Benefícios'!C362=0,0,'Encargos e Benefícios'!U362/'Encargos e Benefícios'!C362)</f>
        <v>0</v>
      </c>
      <c r="AM363" s="296">
        <f>IF('Encargos e Benefícios'!C362=0,0,'Encargos e Benefícios'!AC362/'Encargos e Benefícios'!C362)</f>
        <v>0</v>
      </c>
      <c r="AN363" s="297">
        <f>IF('Encargos e Benefícios'!C362=0,0,'Encargos e Benefícios'!AD362/'Encargos e Benefícios'!C362)</f>
        <v>0</v>
      </c>
      <c r="AO363" s="188"/>
      <c r="AP363" s="298"/>
      <c r="AQ363" s="298"/>
      <c r="AR363" s="302"/>
      <c r="AS363" s="188"/>
    </row>
    <row r="364" spans="1:45" ht="13.5" hidden="1" thickBot="1">
      <c r="A364" s="286">
        <v>358</v>
      </c>
      <c r="B364" s="81">
        <f>'Encargos e Benefícios'!B363</f>
        <v>0</v>
      </c>
      <c r="C364" s="287">
        <f>'Encargos e Benefícios'!C363</f>
        <v>0</v>
      </c>
      <c r="D364" s="288"/>
      <c r="E364" s="300"/>
      <c r="F364" s="301"/>
      <c r="G364" s="293"/>
      <c r="H364" s="292">
        <v>5.8400000000000001E-2</v>
      </c>
      <c r="I364" s="256"/>
      <c r="J364" s="256"/>
      <c r="K364" s="256"/>
      <c r="L364" s="256"/>
      <c r="M364" s="293"/>
      <c r="N364" s="292">
        <v>5.8400000000000001E-2</v>
      </c>
      <c r="O364" s="256"/>
      <c r="P364" s="256"/>
      <c r="Q364" s="256"/>
      <c r="R364" s="256"/>
      <c r="S364" s="293"/>
      <c r="T364" s="294"/>
      <c r="U364" s="256"/>
      <c r="V364" s="256"/>
      <c r="W364" s="256"/>
      <c r="X364" s="256"/>
      <c r="Y364" s="293"/>
      <c r="Z364" s="294"/>
      <c r="AA364" s="256"/>
      <c r="AB364" s="256">
        <v>8.7100000000000009</v>
      </c>
      <c r="AC364" s="256"/>
      <c r="AD364" s="256"/>
      <c r="AE364" s="293"/>
      <c r="AF364" s="294"/>
      <c r="AG364" s="256"/>
      <c r="AH364" s="256"/>
      <c r="AI364" s="256"/>
      <c r="AJ364" s="257"/>
      <c r="AK364" s="296">
        <f>'Encargos e Benefícios'!D363</f>
        <v>0</v>
      </c>
      <c r="AL364" s="296">
        <f>IF('Encargos e Benefícios'!C363=0,0,'Encargos e Benefícios'!U363/'Encargos e Benefícios'!C363)</f>
        <v>0</v>
      </c>
      <c r="AM364" s="296">
        <f>IF('Encargos e Benefícios'!C363=0,0,'Encargos e Benefícios'!AC363/'Encargos e Benefícios'!C363)</f>
        <v>0</v>
      </c>
      <c r="AN364" s="297">
        <f>IF('Encargos e Benefícios'!C363=0,0,'Encargos e Benefícios'!AD363/'Encargos e Benefícios'!C363)</f>
        <v>0</v>
      </c>
      <c r="AO364" s="188"/>
      <c r="AP364" s="298"/>
      <c r="AQ364" s="298"/>
      <c r="AR364" s="302"/>
      <c r="AS364" s="188"/>
    </row>
    <row r="365" spans="1:45" ht="13.5" hidden="1" thickBot="1">
      <c r="A365" s="286">
        <v>359</v>
      </c>
      <c r="B365" s="81">
        <f>'Encargos e Benefícios'!B364</f>
        <v>0</v>
      </c>
      <c r="C365" s="287">
        <f>'Encargos e Benefícios'!C364</f>
        <v>0</v>
      </c>
      <c r="D365" s="288"/>
      <c r="E365" s="300"/>
      <c r="F365" s="301"/>
      <c r="G365" s="293"/>
      <c r="H365" s="292">
        <v>5.8400000000000001E-2</v>
      </c>
      <c r="I365" s="256"/>
      <c r="J365" s="256"/>
      <c r="K365" s="256"/>
      <c r="L365" s="256"/>
      <c r="M365" s="293"/>
      <c r="N365" s="292">
        <v>5.8400000000000001E-2</v>
      </c>
      <c r="O365" s="256"/>
      <c r="P365" s="256"/>
      <c r="Q365" s="256"/>
      <c r="R365" s="256"/>
      <c r="S365" s="293"/>
      <c r="T365" s="294"/>
      <c r="U365" s="256"/>
      <c r="V365" s="256"/>
      <c r="W365" s="256"/>
      <c r="X365" s="256"/>
      <c r="Y365" s="293"/>
      <c r="Z365" s="294"/>
      <c r="AA365" s="256"/>
      <c r="AB365" s="256">
        <v>8.7100000000000009</v>
      </c>
      <c r="AC365" s="256"/>
      <c r="AD365" s="256"/>
      <c r="AE365" s="293"/>
      <c r="AF365" s="294"/>
      <c r="AG365" s="256"/>
      <c r="AH365" s="256"/>
      <c r="AI365" s="256"/>
      <c r="AJ365" s="257"/>
      <c r="AK365" s="296">
        <f>'Encargos e Benefícios'!D364</f>
        <v>0</v>
      </c>
      <c r="AL365" s="296">
        <f>IF('Encargos e Benefícios'!C364=0,0,'Encargos e Benefícios'!U364/'Encargos e Benefícios'!C364)</f>
        <v>0</v>
      </c>
      <c r="AM365" s="296">
        <f>IF('Encargos e Benefícios'!C364=0,0,'Encargos e Benefícios'!AC364/'Encargos e Benefícios'!C364)</f>
        <v>0</v>
      </c>
      <c r="AN365" s="297">
        <f>IF('Encargos e Benefícios'!C364=0,0,'Encargos e Benefícios'!AD364/'Encargos e Benefícios'!C364)</f>
        <v>0</v>
      </c>
      <c r="AO365" s="188"/>
      <c r="AP365" s="298"/>
      <c r="AQ365" s="298"/>
      <c r="AR365" s="302"/>
      <c r="AS365" s="188"/>
    </row>
    <row r="366" spans="1:45" ht="13.5" hidden="1" thickBot="1">
      <c r="A366" s="286">
        <v>360</v>
      </c>
      <c r="B366" s="81">
        <f>'Encargos e Benefícios'!B365</f>
        <v>0</v>
      </c>
      <c r="C366" s="287">
        <f>'Encargos e Benefícios'!C365</f>
        <v>0</v>
      </c>
      <c r="D366" s="288"/>
      <c r="E366" s="300"/>
      <c r="F366" s="301"/>
      <c r="G366" s="293"/>
      <c r="H366" s="292">
        <v>5.8400000000000001E-2</v>
      </c>
      <c r="I366" s="256"/>
      <c r="J366" s="256"/>
      <c r="K366" s="256"/>
      <c r="L366" s="256"/>
      <c r="M366" s="293"/>
      <c r="N366" s="292">
        <v>5.8400000000000001E-2</v>
      </c>
      <c r="O366" s="256"/>
      <c r="P366" s="256"/>
      <c r="Q366" s="256"/>
      <c r="R366" s="256"/>
      <c r="S366" s="293"/>
      <c r="T366" s="294"/>
      <c r="U366" s="256"/>
      <c r="V366" s="256"/>
      <c r="W366" s="256"/>
      <c r="X366" s="256"/>
      <c r="Y366" s="293"/>
      <c r="Z366" s="294"/>
      <c r="AA366" s="256"/>
      <c r="AB366" s="256">
        <v>8.7100000000000009</v>
      </c>
      <c r="AC366" s="256"/>
      <c r="AD366" s="256"/>
      <c r="AE366" s="293"/>
      <c r="AF366" s="294"/>
      <c r="AG366" s="256"/>
      <c r="AH366" s="256"/>
      <c r="AI366" s="256"/>
      <c r="AJ366" s="257"/>
      <c r="AK366" s="296">
        <f>'Encargos e Benefícios'!D365</f>
        <v>0</v>
      </c>
      <c r="AL366" s="296">
        <f>IF('Encargos e Benefícios'!C365=0,0,'Encargos e Benefícios'!U365/'Encargos e Benefícios'!C365)</f>
        <v>0</v>
      </c>
      <c r="AM366" s="296">
        <f>IF('Encargos e Benefícios'!C365=0,0,'Encargos e Benefícios'!AC365/'Encargos e Benefícios'!C365)</f>
        <v>0</v>
      </c>
      <c r="AN366" s="297">
        <f>IF('Encargos e Benefícios'!C365=0,0,'Encargos e Benefícios'!AD365/'Encargos e Benefícios'!C365)</f>
        <v>0</v>
      </c>
      <c r="AO366" s="188"/>
      <c r="AP366" s="298"/>
      <c r="AQ366" s="298"/>
      <c r="AR366" s="302"/>
      <c r="AS366" s="188"/>
    </row>
    <row r="367" spans="1:45" ht="13.5" hidden="1" thickBot="1">
      <c r="A367" s="286">
        <v>361</v>
      </c>
      <c r="B367" s="81">
        <f>'Encargos e Benefícios'!B366</f>
        <v>0</v>
      </c>
      <c r="C367" s="287">
        <f>'Encargos e Benefícios'!C366</f>
        <v>0</v>
      </c>
      <c r="D367" s="288"/>
      <c r="E367" s="300"/>
      <c r="F367" s="301"/>
      <c r="G367" s="293"/>
      <c r="H367" s="292">
        <v>5.8400000000000001E-2</v>
      </c>
      <c r="I367" s="256"/>
      <c r="J367" s="256"/>
      <c r="K367" s="256"/>
      <c r="L367" s="256"/>
      <c r="M367" s="293"/>
      <c r="N367" s="292">
        <v>5.8400000000000001E-2</v>
      </c>
      <c r="O367" s="256"/>
      <c r="P367" s="256"/>
      <c r="Q367" s="256"/>
      <c r="R367" s="256"/>
      <c r="S367" s="293"/>
      <c r="T367" s="294"/>
      <c r="U367" s="256"/>
      <c r="V367" s="256"/>
      <c r="W367" s="256"/>
      <c r="X367" s="256"/>
      <c r="Y367" s="293"/>
      <c r="Z367" s="294"/>
      <c r="AA367" s="256"/>
      <c r="AB367" s="256">
        <v>8.7100000000000009</v>
      </c>
      <c r="AC367" s="256"/>
      <c r="AD367" s="256"/>
      <c r="AE367" s="293"/>
      <c r="AF367" s="294"/>
      <c r="AG367" s="256"/>
      <c r="AH367" s="256"/>
      <c r="AI367" s="256"/>
      <c r="AJ367" s="257"/>
      <c r="AK367" s="296">
        <f>'Encargos e Benefícios'!D366</f>
        <v>0</v>
      </c>
      <c r="AL367" s="296">
        <f>IF('Encargos e Benefícios'!C366=0,0,'Encargos e Benefícios'!U366/'Encargos e Benefícios'!C366)</f>
        <v>0</v>
      </c>
      <c r="AM367" s="296">
        <f>IF('Encargos e Benefícios'!C366=0,0,'Encargos e Benefícios'!AC366/'Encargos e Benefícios'!C366)</f>
        <v>0</v>
      </c>
      <c r="AN367" s="297">
        <f>IF('Encargos e Benefícios'!C366=0,0,'Encargos e Benefícios'!AD366/'Encargos e Benefícios'!C366)</f>
        <v>0</v>
      </c>
      <c r="AO367" s="188"/>
      <c r="AP367" s="298"/>
      <c r="AQ367" s="298"/>
      <c r="AR367" s="302"/>
      <c r="AS367" s="188"/>
    </row>
    <row r="368" spans="1:45" ht="13.5" hidden="1" thickBot="1">
      <c r="A368" s="286">
        <v>362</v>
      </c>
      <c r="B368" s="81">
        <f>'Encargos e Benefícios'!B367</f>
        <v>0</v>
      </c>
      <c r="C368" s="287">
        <f>'Encargos e Benefícios'!C367</f>
        <v>0</v>
      </c>
      <c r="D368" s="288"/>
      <c r="E368" s="300"/>
      <c r="F368" s="301"/>
      <c r="G368" s="293"/>
      <c r="H368" s="292">
        <v>5.8400000000000001E-2</v>
      </c>
      <c r="I368" s="256"/>
      <c r="J368" s="256"/>
      <c r="K368" s="256"/>
      <c r="L368" s="256"/>
      <c r="M368" s="293"/>
      <c r="N368" s="292">
        <v>5.8400000000000001E-2</v>
      </c>
      <c r="O368" s="256"/>
      <c r="P368" s="256"/>
      <c r="Q368" s="256"/>
      <c r="R368" s="256"/>
      <c r="S368" s="293"/>
      <c r="T368" s="294"/>
      <c r="U368" s="256"/>
      <c r="V368" s="256"/>
      <c r="W368" s="256"/>
      <c r="X368" s="256"/>
      <c r="Y368" s="293"/>
      <c r="Z368" s="294"/>
      <c r="AA368" s="256"/>
      <c r="AB368" s="256">
        <v>8.7100000000000009</v>
      </c>
      <c r="AC368" s="256"/>
      <c r="AD368" s="256"/>
      <c r="AE368" s="293"/>
      <c r="AF368" s="294"/>
      <c r="AG368" s="256"/>
      <c r="AH368" s="256"/>
      <c r="AI368" s="256"/>
      <c r="AJ368" s="257"/>
      <c r="AK368" s="296">
        <f>'Encargos e Benefícios'!D367</f>
        <v>0</v>
      </c>
      <c r="AL368" s="296">
        <f>IF('Encargos e Benefícios'!C367=0,0,'Encargos e Benefícios'!U367/'Encargos e Benefícios'!C367)</f>
        <v>0</v>
      </c>
      <c r="AM368" s="296">
        <f>IF('Encargos e Benefícios'!C367=0,0,'Encargos e Benefícios'!AC367/'Encargos e Benefícios'!C367)</f>
        <v>0</v>
      </c>
      <c r="AN368" s="297">
        <f>IF('Encargos e Benefícios'!C367=0,0,'Encargos e Benefícios'!AD367/'Encargos e Benefícios'!C367)</f>
        <v>0</v>
      </c>
      <c r="AO368" s="188"/>
      <c r="AP368" s="298"/>
      <c r="AQ368" s="298"/>
      <c r="AR368" s="302"/>
      <c r="AS368" s="188"/>
    </row>
    <row r="369" spans="1:45" ht="13.5" hidden="1" thickBot="1">
      <c r="A369" s="286">
        <v>363</v>
      </c>
      <c r="B369" s="81">
        <f>'Encargos e Benefícios'!B368</f>
        <v>0</v>
      </c>
      <c r="C369" s="287">
        <f>'Encargos e Benefícios'!C368</f>
        <v>0</v>
      </c>
      <c r="D369" s="288"/>
      <c r="E369" s="300"/>
      <c r="F369" s="301"/>
      <c r="G369" s="293"/>
      <c r="H369" s="292">
        <v>5.8400000000000001E-2</v>
      </c>
      <c r="I369" s="256"/>
      <c r="J369" s="256"/>
      <c r="K369" s="256"/>
      <c r="L369" s="256"/>
      <c r="M369" s="293"/>
      <c r="N369" s="292">
        <v>5.8400000000000001E-2</v>
      </c>
      <c r="O369" s="256"/>
      <c r="P369" s="256"/>
      <c r="Q369" s="256"/>
      <c r="R369" s="256"/>
      <c r="S369" s="293"/>
      <c r="T369" s="294"/>
      <c r="U369" s="256"/>
      <c r="V369" s="256"/>
      <c r="W369" s="256"/>
      <c r="X369" s="256"/>
      <c r="Y369" s="293"/>
      <c r="Z369" s="294"/>
      <c r="AA369" s="256"/>
      <c r="AB369" s="256">
        <v>8.7100000000000009</v>
      </c>
      <c r="AC369" s="256"/>
      <c r="AD369" s="256"/>
      <c r="AE369" s="293"/>
      <c r="AF369" s="294"/>
      <c r="AG369" s="256"/>
      <c r="AH369" s="256"/>
      <c r="AI369" s="256"/>
      <c r="AJ369" s="257"/>
      <c r="AK369" s="296">
        <f>'Encargos e Benefícios'!D368</f>
        <v>0</v>
      </c>
      <c r="AL369" s="296">
        <f>IF('Encargos e Benefícios'!C368=0,0,'Encargos e Benefícios'!U368/'Encargos e Benefícios'!C368)</f>
        <v>0</v>
      </c>
      <c r="AM369" s="296">
        <f>IF('Encargos e Benefícios'!C368=0,0,'Encargos e Benefícios'!AC368/'Encargos e Benefícios'!C368)</f>
        <v>0</v>
      </c>
      <c r="AN369" s="297">
        <f>IF('Encargos e Benefícios'!C368=0,0,'Encargos e Benefícios'!AD368/'Encargos e Benefícios'!C368)</f>
        <v>0</v>
      </c>
      <c r="AO369" s="188"/>
      <c r="AP369" s="298"/>
      <c r="AQ369" s="298"/>
      <c r="AR369" s="302"/>
      <c r="AS369" s="188"/>
    </row>
    <row r="370" spans="1:45" ht="13.5" hidden="1" thickBot="1">
      <c r="A370" s="286">
        <v>364</v>
      </c>
      <c r="B370" s="81">
        <f>'Encargos e Benefícios'!B369</f>
        <v>0</v>
      </c>
      <c r="C370" s="287">
        <f>'Encargos e Benefícios'!C369</f>
        <v>0</v>
      </c>
      <c r="D370" s="288"/>
      <c r="E370" s="300"/>
      <c r="F370" s="301"/>
      <c r="G370" s="293"/>
      <c r="H370" s="292">
        <v>5.8400000000000001E-2</v>
      </c>
      <c r="I370" s="256"/>
      <c r="J370" s="256"/>
      <c r="K370" s="256"/>
      <c r="L370" s="256"/>
      <c r="M370" s="293"/>
      <c r="N370" s="292">
        <v>5.8400000000000001E-2</v>
      </c>
      <c r="O370" s="256"/>
      <c r="P370" s="256"/>
      <c r="Q370" s="256"/>
      <c r="R370" s="256"/>
      <c r="S370" s="293"/>
      <c r="T370" s="294"/>
      <c r="U370" s="256"/>
      <c r="V370" s="256"/>
      <c r="W370" s="256"/>
      <c r="X370" s="256"/>
      <c r="Y370" s="293"/>
      <c r="Z370" s="294"/>
      <c r="AA370" s="256"/>
      <c r="AB370" s="256">
        <v>8.7100000000000009</v>
      </c>
      <c r="AC370" s="256"/>
      <c r="AD370" s="256"/>
      <c r="AE370" s="293"/>
      <c r="AF370" s="294"/>
      <c r="AG370" s="256"/>
      <c r="AH370" s="256"/>
      <c r="AI370" s="256"/>
      <c r="AJ370" s="257"/>
      <c r="AK370" s="296">
        <f>'Encargos e Benefícios'!D369</f>
        <v>0</v>
      </c>
      <c r="AL370" s="296">
        <f>IF('Encargos e Benefícios'!C369=0,0,'Encargos e Benefícios'!U369/'Encargos e Benefícios'!C369)</f>
        <v>0</v>
      </c>
      <c r="AM370" s="296">
        <f>IF('Encargos e Benefícios'!C369=0,0,'Encargos e Benefícios'!AC369/'Encargos e Benefícios'!C369)</f>
        <v>0</v>
      </c>
      <c r="AN370" s="297">
        <f>IF('Encargos e Benefícios'!C369=0,0,'Encargos e Benefícios'!AD369/'Encargos e Benefícios'!C369)</f>
        <v>0</v>
      </c>
      <c r="AO370" s="188"/>
      <c r="AP370" s="298"/>
      <c r="AQ370" s="298"/>
      <c r="AR370" s="302"/>
      <c r="AS370" s="188"/>
    </row>
    <row r="371" spans="1:45" ht="13.5" hidden="1" thickBot="1">
      <c r="A371" s="286">
        <v>365</v>
      </c>
      <c r="B371" s="81">
        <f>'Encargos e Benefícios'!B370</f>
        <v>0</v>
      </c>
      <c r="C371" s="287">
        <f>'Encargos e Benefícios'!C370</f>
        <v>0</v>
      </c>
      <c r="D371" s="288"/>
      <c r="E371" s="300"/>
      <c r="F371" s="301"/>
      <c r="G371" s="293"/>
      <c r="H371" s="292">
        <v>5.8400000000000001E-2</v>
      </c>
      <c r="I371" s="256"/>
      <c r="J371" s="256"/>
      <c r="K371" s="256"/>
      <c r="L371" s="256"/>
      <c r="M371" s="293"/>
      <c r="N371" s="292">
        <v>5.8400000000000001E-2</v>
      </c>
      <c r="O371" s="256"/>
      <c r="P371" s="256"/>
      <c r="Q371" s="256"/>
      <c r="R371" s="256"/>
      <c r="S371" s="293"/>
      <c r="T371" s="294"/>
      <c r="U371" s="256"/>
      <c r="V371" s="256"/>
      <c r="W371" s="256"/>
      <c r="X371" s="256"/>
      <c r="Y371" s="293"/>
      <c r="Z371" s="294"/>
      <c r="AA371" s="256"/>
      <c r="AB371" s="256">
        <v>8.7100000000000009</v>
      </c>
      <c r="AC371" s="256"/>
      <c r="AD371" s="256"/>
      <c r="AE371" s="293"/>
      <c r="AF371" s="294"/>
      <c r="AG371" s="256"/>
      <c r="AH371" s="256"/>
      <c r="AI371" s="256"/>
      <c r="AJ371" s="257"/>
      <c r="AK371" s="296">
        <f>'Encargos e Benefícios'!D370</f>
        <v>0</v>
      </c>
      <c r="AL371" s="296">
        <f>IF('Encargos e Benefícios'!C370=0,0,'Encargos e Benefícios'!U370/'Encargos e Benefícios'!C370)</f>
        <v>0</v>
      </c>
      <c r="AM371" s="296">
        <f>IF('Encargos e Benefícios'!C370=0,0,'Encargos e Benefícios'!AC370/'Encargos e Benefícios'!C370)</f>
        <v>0</v>
      </c>
      <c r="AN371" s="297">
        <f>IF('Encargos e Benefícios'!C370=0,0,'Encargos e Benefícios'!AD370/'Encargos e Benefícios'!C370)</f>
        <v>0</v>
      </c>
      <c r="AO371" s="188"/>
      <c r="AP371" s="298"/>
      <c r="AQ371" s="298"/>
      <c r="AR371" s="302"/>
      <c r="AS371" s="188"/>
    </row>
    <row r="372" spans="1:45" ht="13.5" hidden="1" thickBot="1">
      <c r="A372" s="286">
        <v>366</v>
      </c>
      <c r="B372" s="81">
        <f>'Encargos e Benefícios'!B371</f>
        <v>0</v>
      </c>
      <c r="C372" s="287">
        <f>'Encargos e Benefícios'!C371</f>
        <v>0</v>
      </c>
      <c r="D372" s="288"/>
      <c r="E372" s="300"/>
      <c r="F372" s="301"/>
      <c r="G372" s="293"/>
      <c r="H372" s="292">
        <v>5.8400000000000001E-2</v>
      </c>
      <c r="I372" s="256"/>
      <c r="J372" s="256"/>
      <c r="K372" s="256"/>
      <c r="L372" s="256"/>
      <c r="M372" s="293"/>
      <c r="N372" s="292">
        <v>5.8400000000000001E-2</v>
      </c>
      <c r="O372" s="256"/>
      <c r="P372" s="256"/>
      <c r="Q372" s="256"/>
      <c r="R372" s="256"/>
      <c r="S372" s="293"/>
      <c r="T372" s="294"/>
      <c r="U372" s="256"/>
      <c r="V372" s="256"/>
      <c r="W372" s="256"/>
      <c r="X372" s="256"/>
      <c r="Y372" s="293"/>
      <c r="Z372" s="294"/>
      <c r="AA372" s="256"/>
      <c r="AB372" s="256">
        <v>8.7100000000000009</v>
      </c>
      <c r="AC372" s="256"/>
      <c r="AD372" s="256"/>
      <c r="AE372" s="293"/>
      <c r="AF372" s="294"/>
      <c r="AG372" s="256"/>
      <c r="AH372" s="256"/>
      <c r="AI372" s="256"/>
      <c r="AJ372" s="257"/>
      <c r="AK372" s="296">
        <f>'Encargos e Benefícios'!D371</f>
        <v>0</v>
      </c>
      <c r="AL372" s="296">
        <f>IF('Encargos e Benefícios'!C371=0,0,'Encargos e Benefícios'!U371/'Encargos e Benefícios'!C371)</f>
        <v>0</v>
      </c>
      <c r="AM372" s="296">
        <f>IF('Encargos e Benefícios'!C371=0,0,'Encargos e Benefícios'!AC371/'Encargos e Benefícios'!C371)</f>
        <v>0</v>
      </c>
      <c r="AN372" s="297">
        <f>IF('Encargos e Benefícios'!C371=0,0,'Encargos e Benefícios'!AD371/'Encargos e Benefícios'!C371)</f>
        <v>0</v>
      </c>
      <c r="AO372" s="188"/>
      <c r="AP372" s="298"/>
      <c r="AQ372" s="298"/>
      <c r="AR372" s="302"/>
      <c r="AS372" s="188"/>
    </row>
    <row r="373" spans="1:45" ht="13.5" hidden="1" thickBot="1">
      <c r="A373" s="286">
        <v>367</v>
      </c>
      <c r="B373" s="81">
        <f>'Encargos e Benefícios'!B372</f>
        <v>0</v>
      </c>
      <c r="C373" s="287">
        <f>'Encargos e Benefícios'!C372</f>
        <v>0</v>
      </c>
      <c r="D373" s="288"/>
      <c r="E373" s="300"/>
      <c r="F373" s="301"/>
      <c r="G373" s="293"/>
      <c r="H373" s="292">
        <v>5.8400000000000001E-2</v>
      </c>
      <c r="I373" s="256"/>
      <c r="J373" s="256"/>
      <c r="K373" s="256"/>
      <c r="L373" s="256"/>
      <c r="M373" s="293"/>
      <c r="N373" s="292">
        <v>5.8400000000000001E-2</v>
      </c>
      <c r="O373" s="256"/>
      <c r="P373" s="256"/>
      <c r="Q373" s="256"/>
      <c r="R373" s="256"/>
      <c r="S373" s="293"/>
      <c r="T373" s="294"/>
      <c r="U373" s="256"/>
      <c r="V373" s="256"/>
      <c r="W373" s="256"/>
      <c r="X373" s="256"/>
      <c r="Y373" s="293"/>
      <c r="Z373" s="294"/>
      <c r="AA373" s="256"/>
      <c r="AB373" s="256">
        <v>8.7100000000000009</v>
      </c>
      <c r="AC373" s="256"/>
      <c r="AD373" s="256"/>
      <c r="AE373" s="293"/>
      <c r="AF373" s="294"/>
      <c r="AG373" s="256"/>
      <c r="AH373" s="256"/>
      <c r="AI373" s="256"/>
      <c r="AJ373" s="257"/>
      <c r="AK373" s="296">
        <f>'Encargos e Benefícios'!D372</f>
        <v>0</v>
      </c>
      <c r="AL373" s="296">
        <f>IF('Encargos e Benefícios'!C372=0,0,'Encargos e Benefícios'!U372/'Encargos e Benefícios'!C372)</f>
        <v>0</v>
      </c>
      <c r="AM373" s="296">
        <f>IF('Encargos e Benefícios'!C372=0,0,'Encargos e Benefícios'!AC372/'Encargos e Benefícios'!C372)</f>
        <v>0</v>
      </c>
      <c r="AN373" s="297">
        <f>IF('Encargos e Benefícios'!C372=0,0,'Encargos e Benefícios'!AD372/'Encargos e Benefícios'!C372)</f>
        <v>0</v>
      </c>
      <c r="AO373" s="188"/>
      <c r="AP373" s="298"/>
      <c r="AQ373" s="298"/>
      <c r="AR373" s="302"/>
      <c r="AS373" s="188"/>
    </row>
    <row r="374" spans="1:45" ht="13.5" hidden="1" thickBot="1">
      <c r="A374" s="286">
        <v>368</v>
      </c>
      <c r="B374" s="81">
        <f>'Encargos e Benefícios'!B373</f>
        <v>0</v>
      </c>
      <c r="C374" s="287">
        <f>'Encargos e Benefícios'!C373</f>
        <v>0</v>
      </c>
      <c r="D374" s="288"/>
      <c r="E374" s="300"/>
      <c r="F374" s="301"/>
      <c r="G374" s="293"/>
      <c r="H374" s="292">
        <v>5.8400000000000001E-2</v>
      </c>
      <c r="I374" s="256"/>
      <c r="J374" s="256"/>
      <c r="K374" s="256"/>
      <c r="L374" s="256"/>
      <c r="M374" s="293"/>
      <c r="N374" s="292">
        <v>5.8400000000000001E-2</v>
      </c>
      <c r="O374" s="256"/>
      <c r="P374" s="256"/>
      <c r="Q374" s="256"/>
      <c r="R374" s="256"/>
      <c r="S374" s="293"/>
      <c r="T374" s="294"/>
      <c r="U374" s="256"/>
      <c r="V374" s="256"/>
      <c r="W374" s="256"/>
      <c r="X374" s="256"/>
      <c r="Y374" s="293"/>
      <c r="Z374" s="294"/>
      <c r="AA374" s="256"/>
      <c r="AB374" s="256">
        <v>8.7100000000000009</v>
      </c>
      <c r="AC374" s="256"/>
      <c r="AD374" s="256"/>
      <c r="AE374" s="293"/>
      <c r="AF374" s="294"/>
      <c r="AG374" s="256"/>
      <c r="AH374" s="256"/>
      <c r="AI374" s="256"/>
      <c r="AJ374" s="257"/>
      <c r="AK374" s="296">
        <f>'Encargos e Benefícios'!D373</f>
        <v>0</v>
      </c>
      <c r="AL374" s="296">
        <f>IF('Encargos e Benefícios'!C373=0,0,'Encargos e Benefícios'!U373/'Encargos e Benefícios'!C373)</f>
        <v>0</v>
      </c>
      <c r="AM374" s="296">
        <f>IF('Encargos e Benefícios'!C373=0,0,'Encargos e Benefícios'!AC373/'Encargos e Benefícios'!C373)</f>
        <v>0</v>
      </c>
      <c r="AN374" s="297">
        <f>IF('Encargos e Benefícios'!C373=0,0,'Encargos e Benefícios'!AD373/'Encargos e Benefícios'!C373)</f>
        <v>0</v>
      </c>
      <c r="AO374" s="188"/>
      <c r="AP374" s="298"/>
      <c r="AQ374" s="298"/>
      <c r="AR374" s="302"/>
      <c r="AS374" s="188"/>
    </row>
    <row r="375" spans="1:45" ht="13.5" hidden="1" thickBot="1">
      <c r="A375" s="286">
        <v>369</v>
      </c>
      <c r="B375" s="81">
        <f>'Encargos e Benefícios'!B374</f>
        <v>0</v>
      </c>
      <c r="C375" s="287">
        <f>'Encargos e Benefícios'!C374</f>
        <v>0</v>
      </c>
      <c r="D375" s="288"/>
      <c r="E375" s="300"/>
      <c r="F375" s="301"/>
      <c r="G375" s="293"/>
      <c r="H375" s="292">
        <v>5.8400000000000001E-2</v>
      </c>
      <c r="I375" s="256"/>
      <c r="J375" s="256"/>
      <c r="K375" s="256"/>
      <c r="L375" s="256"/>
      <c r="M375" s="293"/>
      <c r="N375" s="292">
        <v>5.8400000000000001E-2</v>
      </c>
      <c r="O375" s="256"/>
      <c r="P375" s="256"/>
      <c r="Q375" s="256"/>
      <c r="R375" s="256"/>
      <c r="S375" s="293"/>
      <c r="T375" s="294"/>
      <c r="U375" s="256"/>
      <c r="V375" s="256"/>
      <c r="W375" s="256"/>
      <c r="X375" s="256"/>
      <c r="Y375" s="293"/>
      <c r="Z375" s="294"/>
      <c r="AA375" s="256"/>
      <c r="AB375" s="256">
        <v>8.7100000000000009</v>
      </c>
      <c r="AC375" s="256"/>
      <c r="AD375" s="256"/>
      <c r="AE375" s="293"/>
      <c r="AF375" s="294"/>
      <c r="AG375" s="256"/>
      <c r="AH375" s="256"/>
      <c r="AI375" s="256"/>
      <c r="AJ375" s="257"/>
      <c r="AK375" s="296">
        <f>'Encargos e Benefícios'!D374</f>
        <v>0</v>
      </c>
      <c r="AL375" s="296">
        <f>IF('Encargos e Benefícios'!C374=0,0,'Encargos e Benefícios'!U374/'Encargos e Benefícios'!C374)</f>
        <v>0</v>
      </c>
      <c r="AM375" s="296">
        <f>IF('Encargos e Benefícios'!C374=0,0,'Encargos e Benefícios'!AC374/'Encargos e Benefícios'!C374)</f>
        <v>0</v>
      </c>
      <c r="AN375" s="297">
        <f>IF('Encargos e Benefícios'!C374=0,0,'Encargos e Benefícios'!AD374/'Encargos e Benefícios'!C374)</f>
        <v>0</v>
      </c>
      <c r="AO375" s="188"/>
      <c r="AP375" s="298"/>
      <c r="AQ375" s="298"/>
      <c r="AR375" s="302"/>
      <c r="AS375" s="188"/>
    </row>
    <row r="376" spans="1:45" ht="13.5" hidden="1" thickBot="1">
      <c r="A376" s="286">
        <v>370</v>
      </c>
      <c r="B376" s="81">
        <f>'Encargos e Benefícios'!B375</f>
        <v>0</v>
      </c>
      <c r="C376" s="287">
        <f>'Encargos e Benefícios'!C375</f>
        <v>0</v>
      </c>
      <c r="D376" s="288"/>
      <c r="E376" s="300"/>
      <c r="F376" s="301"/>
      <c r="G376" s="293"/>
      <c r="H376" s="292">
        <v>5.8400000000000001E-2</v>
      </c>
      <c r="I376" s="256"/>
      <c r="J376" s="256"/>
      <c r="K376" s="256"/>
      <c r="L376" s="256"/>
      <c r="M376" s="293"/>
      <c r="N376" s="292">
        <v>5.8400000000000001E-2</v>
      </c>
      <c r="O376" s="256"/>
      <c r="P376" s="256"/>
      <c r="Q376" s="256"/>
      <c r="R376" s="256"/>
      <c r="S376" s="293"/>
      <c r="T376" s="294"/>
      <c r="U376" s="256"/>
      <c r="V376" s="256"/>
      <c r="W376" s="256"/>
      <c r="X376" s="256"/>
      <c r="Y376" s="293"/>
      <c r="Z376" s="294"/>
      <c r="AA376" s="256"/>
      <c r="AB376" s="256">
        <v>8.7100000000000009</v>
      </c>
      <c r="AC376" s="256"/>
      <c r="AD376" s="256"/>
      <c r="AE376" s="293"/>
      <c r="AF376" s="294"/>
      <c r="AG376" s="256"/>
      <c r="AH376" s="256"/>
      <c r="AI376" s="256"/>
      <c r="AJ376" s="257"/>
      <c r="AK376" s="296">
        <f>'Encargos e Benefícios'!D375</f>
        <v>0</v>
      </c>
      <c r="AL376" s="296">
        <f>IF('Encargos e Benefícios'!C375=0,0,'Encargos e Benefícios'!U375/'Encargos e Benefícios'!C375)</f>
        <v>0</v>
      </c>
      <c r="AM376" s="296">
        <f>IF('Encargos e Benefícios'!C375=0,0,'Encargos e Benefícios'!AC375/'Encargos e Benefícios'!C375)</f>
        <v>0</v>
      </c>
      <c r="AN376" s="297">
        <f>IF('Encargos e Benefícios'!C375=0,0,'Encargos e Benefícios'!AD375/'Encargos e Benefícios'!C375)</f>
        <v>0</v>
      </c>
      <c r="AO376" s="188"/>
      <c r="AP376" s="298"/>
      <c r="AQ376" s="298"/>
      <c r="AR376" s="302"/>
      <c r="AS376" s="188"/>
    </row>
    <row r="377" spans="1:45" ht="13.5" hidden="1" thickBot="1">
      <c r="A377" s="286">
        <v>371</v>
      </c>
      <c r="B377" s="81">
        <f>'Encargos e Benefícios'!B376</f>
        <v>0</v>
      </c>
      <c r="C377" s="287">
        <f>'Encargos e Benefícios'!C376</f>
        <v>0</v>
      </c>
      <c r="D377" s="288"/>
      <c r="E377" s="300"/>
      <c r="F377" s="301"/>
      <c r="G377" s="293"/>
      <c r="H377" s="292">
        <v>5.8400000000000001E-2</v>
      </c>
      <c r="I377" s="256"/>
      <c r="J377" s="256"/>
      <c r="K377" s="256"/>
      <c r="L377" s="256"/>
      <c r="M377" s="293"/>
      <c r="N377" s="292">
        <v>5.8400000000000001E-2</v>
      </c>
      <c r="O377" s="256"/>
      <c r="P377" s="256"/>
      <c r="Q377" s="256"/>
      <c r="R377" s="256"/>
      <c r="S377" s="293"/>
      <c r="T377" s="294"/>
      <c r="U377" s="256"/>
      <c r="V377" s="256"/>
      <c r="W377" s="256"/>
      <c r="X377" s="256"/>
      <c r="Y377" s="293"/>
      <c r="Z377" s="294"/>
      <c r="AA377" s="256"/>
      <c r="AB377" s="256">
        <v>8.7100000000000009</v>
      </c>
      <c r="AC377" s="256"/>
      <c r="AD377" s="256"/>
      <c r="AE377" s="293"/>
      <c r="AF377" s="294"/>
      <c r="AG377" s="256"/>
      <c r="AH377" s="256"/>
      <c r="AI377" s="256"/>
      <c r="AJ377" s="257"/>
      <c r="AK377" s="296">
        <f>'Encargos e Benefícios'!D376</f>
        <v>0</v>
      </c>
      <c r="AL377" s="296">
        <f>IF('Encargos e Benefícios'!C376=0,0,'Encargos e Benefícios'!U376/'Encargos e Benefícios'!C376)</f>
        <v>0</v>
      </c>
      <c r="AM377" s="296">
        <f>IF('Encargos e Benefícios'!C376=0,0,'Encargos e Benefícios'!AC376/'Encargos e Benefícios'!C376)</f>
        <v>0</v>
      </c>
      <c r="AN377" s="297">
        <f>IF('Encargos e Benefícios'!C376=0,0,'Encargos e Benefícios'!AD376/'Encargos e Benefícios'!C376)</f>
        <v>0</v>
      </c>
      <c r="AO377" s="188"/>
      <c r="AP377" s="298"/>
      <c r="AQ377" s="298"/>
      <c r="AR377" s="302"/>
      <c r="AS377" s="188"/>
    </row>
    <row r="378" spans="1:45" ht="13.5" hidden="1" thickBot="1">
      <c r="A378" s="286">
        <v>372</v>
      </c>
      <c r="B378" s="81">
        <f>'Encargos e Benefícios'!B377</f>
        <v>0</v>
      </c>
      <c r="C378" s="287">
        <f>'Encargos e Benefícios'!C377</f>
        <v>0</v>
      </c>
      <c r="D378" s="288"/>
      <c r="E378" s="300"/>
      <c r="F378" s="301"/>
      <c r="G378" s="293"/>
      <c r="H378" s="292">
        <v>5.8400000000000001E-2</v>
      </c>
      <c r="I378" s="256"/>
      <c r="J378" s="256"/>
      <c r="K378" s="256"/>
      <c r="L378" s="256"/>
      <c r="M378" s="293"/>
      <c r="N378" s="292">
        <v>5.8400000000000001E-2</v>
      </c>
      <c r="O378" s="256"/>
      <c r="P378" s="256"/>
      <c r="Q378" s="256"/>
      <c r="R378" s="256"/>
      <c r="S378" s="293"/>
      <c r="T378" s="294"/>
      <c r="U378" s="256"/>
      <c r="V378" s="256"/>
      <c r="W378" s="256"/>
      <c r="X378" s="256"/>
      <c r="Y378" s="293"/>
      <c r="Z378" s="294"/>
      <c r="AA378" s="256"/>
      <c r="AB378" s="256">
        <v>8.7100000000000009</v>
      </c>
      <c r="AC378" s="256"/>
      <c r="AD378" s="256"/>
      <c r="AE378" s="293"/>
      <c r="AF378" s="294"/>
      <c r="AG378" s="256"/>
      <c r="AH378" s="256"/>
      <c r="AI378" s="256"/>
      <c r="AJ378" s="257"/>
      <c r="AK378" s="296">
        <f>'Encargos e Benefícios'!D377</f>
        <v>0</v>
      </c>
      <c r="AL378" s="296">
        <f>IF('Encargos e Benefícios'!C377=0,0,'Encargos e Benefícios'!U377/'Encargos e Benefícios'!C377)</f>
        <v>0</v>
      </c>
      <c r="AM378" s="296">
        <f>IF('Encargos e Benefícios'!C377=0,0,'Encargos e Benefícios'!AC377/'Encargos e Benefícios'!C377)</f>
        <v>0</v>
      </c>
      <c r="AN378" s="297">
        <f>IF('Encargos e Benefícios'!C377=0,0,'Encargos e Benefícios'!AD377/'Encargos e Benefícios'!C377)</f>
        <v>0</v>
      </c>
      <c r="AO378" s="188"/>
      <c r="AP378" s="298"/>
      <c r="AQ378" s="298"/>
      <c r="AR378" s="302"/>
      <c r="AS378" s="188"/>
    </row>
    <row r="379" spans="1:45" ht="13.5" hidden="1" thickBot="1">
      <c r="A379" s="286">
        <v>373</v>
      </c>
      <c r="B379" s="81">
        <f>'Encargos e Benefícios'!B378</f>
        <v>0</v>
      </c>
      <c r="C379" s="287">
        <f>'Encargos e Benefícios'!C378</f>
        <v>0</v>
      </c>
      <c r="D379" s="288"/>
      <c r="E379" s="300"/>
      <c r="F379" s="301"/>
      <c r="G379" s="293"/>
      <c r="H379" s="292">
        <v>5.8400000000000001E-2</v>
      </c>
      <c r="I379" s="256"/>
      <c r="J379" s="256"/>
      <c r="K379" s="256"/>
      <c r="L379" s="256"/>
      <c r="M379" s="293"/>
      <c r="N379" s="292">
        <v>5.8400000000000001E-2</v>
      </c>
      <c r="O379" s="256"/>
      <c r="P379" s="256"/>
      <c r="Q379" s="256"/>
      <c r="R379" s="256"/>
      <c r="S379" s="293"/>
      <c r="T379" s="294"/>
      <c r="U379" s="256"/>
      <c r="V379" s="256"/>
      <c r="W379" s="256"/>
      <c r="X379" s="256"/>
      <c r="Y379" s="293"/>
      <c r="Z379" s="294"/>
      <c r="AA379" s="256"/>
      <c r="AB379" s="256">
        <v>8.7100000000000009</v>
      </c>
      <c r="AC379" s="256"/>
      <c r="AD379" s="256"/>
      <c r="AE379" s="293"/>
      <c r="AF379" s="294"/>
      <c r="AG379" s="256"/>
      <c r="AH379" s="256"/>
      <c r="AI379" s="256"/>
      <c r="AJ379" s="257"/>
      <c r="AK379" s="296">
        <f>'Encargos e Benefícios'!D378</f>
        <v>0</v>
      </c>
      <c r="AL379" s="296">
        <f>IF('Encargos e Benefícios'!C378=0,0,'Encargos e Benefícios'!U378/'Encargos e Benefícios'!C378)</f>
        <v>0</v>
      </c>
      <c r="AM379" s="296">
        <f>IF('Encargos e Benefícios'!C378=0,0,'Encargos e Benefícios'!AC378/'Encargos e Benefícios'!C378)</f>
        <v>0</v>
      </c>
      <c r="AN379" s="297">
        <f>IF('Encargos e Benefícios'!C378=0,0,'Encargos e Benefícios'!AD378/'Encargos e Benefícios'!C378)</f>
        <v>0</v>
      </c>
      <c r="AO379" s="188"/>
      <c r="AP379" s="298"/>
      <c r="AQ379" s="298"/>
      <c r="AR379" s="302"/>
      <c r="AS379" s="188"/>
    </row>
    <row r="380" spans="1:45" ht="13.5" hidden="1" thickBot="1">
      <c r="A380" s="286">
        <v>374</v>
      </c>
      <c r="B380" s="81">
        <f>'Encargos e Benefícios'!B379</f>
        <v>0</v>
      </c>
      <c r="C380" s="287">
        <f>'Encargos e Benefícios'!C379</f>
        <v>0</v>
      </c>
      <c r="D380" s="288"/>
      <c r="E380" s="300"/>
      <c r="F380" s="301"/>
      <c r="G380" s="293"/>
      <c r="H380" s="292">
        <v>5.8400000000000001E-2</v>
      </c>
      <c r="I380" s="256"/>
      <c r="J380" s="256"/>
      <c r="K380" s="256"/>
      <c r="L380" s="256"/>
      <c r="M380" s="293"/>
      <c r="N380" s="292">
        <v>5.8400000000000001E-2</v>
      </c>
      <c r="O380" s="256"/>
      <c r="P380" s="256"/>
      <c r="Q380" s="256"/>
      <c r="R380" s="256"/>
      <c r="S380" s="293"/>
      <c r="T380" s="294"/>
      <c r="U380" s="256"/>
      <c r="V380" s="256"/>
      <c r="W380" s="256"/>
      <c r="X380" s="256"/>
      <c r="Y380" s="293"/>
      <c r="Z380" s="294"/>
      <c r="AA380" s="256"/>
      <c r="AB380" s="256">
        <v>8.7100000000000009</v>
      </c>
      <c r="AC380" s="256"/>
      <c r="AD380" s="256"/>
      <c r="AE380" s="293"/>
      <c r="AF380" s="294"/>
      <c r="AG380" s="256"/>
      <c r="AH380" s="256"/>
      <c r="AI380" s="256"/>
      <c r="AJ380" s="257"/>
      <c r="AK380" s="296">
        <f>'Encargos e Benefícios'!D379</f>
        <v>0</v>
      </c>
      <c r="AL380" s="296">
        <f>IF('Encargos e Benefícios'!C379=0,0,'Encargos e Benefícios'!U379/'Encargos e Benefícios'!C379)</f>
        <v>0</v>
      </c>
      <c r="AM380" s="296">
        <f>IF('Encargos e Benefícios'!C379=0,0,'Encargos e Benefícios'!AC379/'Encargos e Benefícios'!C379)</f>
        <v>0</v>
      </c>
      <c r="AN380" s="297">
        <f>IF('Encargos e Benefícios'!C379=0,0,'Encargos e Benefícios'!AD379/'Encargos e Benefícios'!C379)</f>
        <v>0</v>
      </c>
      <c r="AO380" s="188"/>
      <c r="AP380" s="298"/>
      <c r="AQ380" s="298"/>
      <c r="AR380" s="302"/>
      <c r="AS380" s="188"/>
    </row>
    <row r="381" spans="1:45" ht="13.5" hidden="1" thickBot="1">
      <c r="A381" s="286">
        <v>375</v>
      </c>
      <c r="B381" s="81">
        <f>'Encargos e Benefícios'!B380</f>
        <v>0</v>
      </c>
      <c r="C381" s="287">
        <f>'Encargos e Benefícios'!C380</f>
        <v>0</v>
      </c>
      <c r="D381" s="288"/>
      <c r="E381" s="300"/>
      <c r="F381" s="301"/>
      <c r="G381" s="293"/>
      <c r="H381" s="292">
        <v>5.8400000000000001E-2</v>
      </c>
      <c r="I381" s="256"/>
      <c r="J381" s="256"/>
      <c r="K381" s="256"/>
      <c r="L381" s="256"/>
      <c r="M381" s="293"/>
      <c r="N381" s="292">
        <v>5.8400000000000001E-2</v>
      </c>
      <c r="O381" s="256"/>
      <c r="P381" s="256"/>
      <c r="Q381" s="256"/>
      <c r="R381" s="256"/>
      <c r="S381" s="293"/>
      <c r="T381" s="294"/>
      <c r="U381" s="256"/>
      <c r="V381" s="256"/>
      <c r="W381" s="256"/>
      <c r="X381" s="256"/>
      <c r="Y381" s="293"/>
      <c r="Z381" s="294"/>
      <c r="AA381" s="256"/>
      <c r="AB381" s="256">
        <v>8.7100000000000009</v>
      </c>
      <c r="AC381" s="256"/>
      <c r="AD381" s="256"/>
      <c r="AE381" s="293"/>
      <c r="AF381" s="294"/>
      <c r="AG381" s="256"/>
      <c r="AH381" s="256"/>
      <c r="AI381" s="256"/>
      <c r="AJ381" s="257"/>
      <c r="AK381" s="296">
        <f>'Encargos e Benefícios'!D380</f>
        <v>0</v>
      </c>
      <c r="AL381" s="296">
        <f>IF('Encargos e Benefícios'!C380=0,0,'Encargos e Benefícios'!U380/'Encargos e Benefícios'!C380)</f>
        <v>0</v>
      </c>
      <c r="AM381" s="296">
        <f>IF('Encargos e Benefícios'!C380=0,0,'Encargos e Benefícios'!AC380/'Encargos e Benefícios'!C380)</f>
        <v>0</v>
      </c>
      <c r="AN381" s="297">
        <f>IF('Encargos e Benefícios'!C380=0,0,'Encargos e Benefícios'!AD380/'Encargos e Benefícios'!C380)</f>
        <v>0</v>
      </c>
      <c r="AO381" s="188"/>
      <c r="AP381" s="298"/>
      <c r="AQ381" s="298"/>
      <c r="AR381" s="302"/>
      <c r="AS381" s="188"/>
    </row>
    <row r="382" spans="1:45" ht="13.5" hidden="1" thickBot="1">
      <c r="A382" s="286">
        <v>376</v>
      </c>
      <c r="B382" s="81">
        <f>'Encargos e Benefícios'!B381</f>
        <v>0</v>
      </c>
      <c r="C382" s="287">
        <f>'Encargos e Benefícios'!C381</f>
        <v>0</v>
      </c>
      <c r="D382" s="288"/>
      <c r="E382" s="300"/>
      <c r="F382" s="301"/>
      <c r="G382" s="293"/>
      <c r="H382" s="292">
        <v>5.8400000000000001E-2</v>
      </c>
      <c r="I382" s="256"/>
      <c r="J382" s="256"/>
      <c r="K382" s="256"/>
      <c r="L382" s="256"/>
      <c r="M382" s="293"/>
      <c r="N382" s="292">
        <v>5.8400000000000001E-2</v>
      </c>
      <c r="O382" s="256"/>
      <c r="P382" s="256"/>
      <c r="Q382" s="256"/>
      <c r="R382" s="256"/>
      <c r="S382" s="293"/>
      <c r="T382" s="294"/>
      <c r="U382" s="256"/>
      <c r="V382" s="256"/>
      <c r="W382" s="256"/>
      <c r="X382" s="256"/>
      <c r="Y382" s="293"/>
      <c r="Z382" s="294"/>
      <c r="AA382" s="256"/>
      <c r="AB382" s="256">
        <v>8.7100000000000009</v>
      </c>
      <c r="AC382" s="256"/>
      <c r="AD382" s="256"/>
      <c r="AE382" s="293"/>
      <c r="AF382" s="294"/>
      <c r="AG382" s="256"/>
      <c r="AH382" s="256"/>
      <c r="AI382" s="256"/>
      <c r="AJ382" s="257"/>
      <c r="AK382" s="296">
        <f>'Encargos e Benefícios'!D381</f>
        <v>0</v>
      </c>
      <c r="AL382" s="296">
        <f>IF('Encargos e Benefícios'!C381=0,0,'Encargos e Benefícios'!U381/'Encargos e Benefícios'!C381)</f>
        <v>0</v>
      </c>
      <c r="AM382" s="296">
        <f>IF('Encargos e Benefícios'!C381=0,0,'Encargos e Benefícios'!AC381/'Encargos e Benefícios'!C381)</f>
        <v>0</v>
      </c>
      <c r="AN382" s="297">
        <f>IF('Encargos e Benefícios'!C381=0,0,'Encargos e Benefícios'!AD381/'Encargos e Benefícios'!C381)</f>
        <v>0</v>
      </c>
      <c r="AO382" s="188"/>
      <c r="AP382" s="298"/>
      <c r="AQ382" s="298"/>
      <c r="AR382" s="302"/>
      <c r="AS382" s="188"/>
    </row>
    <row r="383" spans="1:45" ht="13.5" hidden="1" thickBot="1">
      <c r="A383" s="286">
        <v>377</v>
      </c>
      <c r="B383" s="81">
        <f>'Encargos e Benefícios'!B382</f>
        <v>0</v>
      </c>
      <c r="C383" s="287">
        <f>'Encargos e Benefícios'!C382</f>
        <v>0</v>
      </c>
      <c r="D383" s="288"/>
      <c r="E383" s="300"/>
      <c r="F383" s="301"/>
      <c r="G383" s="293"/>
      <c r="H383" s="292">
        <v>5.8400000000000001E-2</v>
      </c>
      <c r="I383" s="256"/>
      <c r="J383" s="256"/>
      <c r="K383" s="256"/>
      <c r="L383" s="256"/>
      <c r="M383" s="293"/>
      <c r="N383" s="292">
        <v>5.8400000000000001E-2</v>
      </c>
      <c r="O383" s="256"/>
      <c r="P383" s="256"/>
      <c r="Q383" s="256"/>
      <c r="R383" s="256"/>
      <c r="S383" s="293"/>
      <c r="T383" s="294"/>
      <c r="U383" s="256"/>
      <c r="V383" s="256"/>
      <c r="W383" s="256"/>
      <c r="X383" s="256"/>
      <c r="Y383" s="293"/>
      <c r="Z383" s="294"/>
      <c r="AA383" s="256"/>
      <c r="AB383" s="256">
        <v>8.7100000000000009</v>
      </c>
      <c r="AC383" s="256"/>
      <c r="AD383" s="256"/>
      <c r="AE383" s="293"/>
      <c r="AF383" s="294"/>
      <c r="AG383" s="256"/>
      <c r="AH383" s="256"/>
      <c r="AI383" s="256"/>
      <c r="AJ383" s="257"/>
      <c r="AK383" s="296">
        <f>'Encargos e Benefícios'!D382</f>
        <v>0</v>
      </c>
      <c r="AL383" s="296">
        <f>IF('Encargos e Benefícios'!C382=0,0,'Encargos e Benefícios'!U382/'Encargos e Benefícios'!C382)</f>
        <v>0</v>
      </c>
      <c r="AM383" s="296">
        <f>IF('Encargos e Benefícios'!C382=0,0,'Encargos e Benefícios'!AC382/'Encargos e Benefícios'!C382)</f>
        <v>0</v>
      </c>
      <c r="AN383" s="297">
        <f>IF('Encargos e Benefícios'!C382=0,0,'Encargos e Benefícios'!AD382/'Encargos e Benefícios'!C382)</f>
        <v>0</v>
      </c>
      <c r="AO383" s="188"/>
      <c r="AP383" s="298"/>
      <c r="AQ383" s="298"/>
      <c r="AR383" s="302"/>
      <c r="AS383" s="188"/>
    </row>
    <row r="384" spans="1:45" ht="13.5" hidden="1" thickBot="1">
      <c r="A384" s="286">
        <v>378</v>
      </c>
      <c r="B384" s="81">
        <f>'Encargos e Benefícios'!B383</f>
        <v>0</v>
      </c>
      <c r="C384" s="287">
        <f>'Encargos e Benefícios'!C383</f>
        <v>0</v>
      </c>
      <c r="D384" s="288"/>
      <c r="E384" s="300"/>
      <c r="F384" s="301"/>
      <c r="G384" s="293"/>
      <c r="H384" s="292">
        <v>5.8400000000000001E-2</v>
      </c>
      <c r="I384" s="256"/>
      <c r="J384" s="256"/>
      <c r="K384" s="256"/>
      <c r="L384" s="256"/>
      <c r="M384" s="293"/>
      <c r="N384" s="292">
        <v>5.8400000000000001E-2</v>
      </c>
      <c r="O384" s="256"/>
      <c r="P384" s="256"/>
      <c r="Q384" s="256"/>
      <c r="R384" s="256"/>
      <c r="S384" s="293"/>
      <c r="T384" s="294"/>
      <c r="U384" s="256"/>
      <c r="V384" s="256"/>
      <c r="W384" s="256"/>
      <c r="X384" s="256"/>
      <c r="Y384" s="293"/>
      <c r="Z384" s="294"/>
      <c r="AA384" s="256"/>
      <c r="AB384" s="256">
        <v>8.7100000000000009</v>
      </c>
      <c r="AC384" s="256"/>
      <c r="AD384" s="256"/>
      <c r="AE384" s="293"/>
      <c r="AF384" s="294"/>
      <c r="AG384" s="256"/>
      <c r="AH384" s="256"/>
      <c r="AI384" s="256"/>
      <c r="AJ384" s="257"/>
      <c r="AK384" s="296">
        <f>'Encargos e Benefícios'!D383</f>
        <v>0</v>
      </c>
      <c r="AL384" s="296">
        <f>IF('Encargos e Benefícios'!C383=0,0,'Encargos e Benefícios'!U383/'Encargos e Benefícios'!C383)</f>
        <v>0</v>
      </c>
      <c r="AM384" s="296">
        <f>IF('Encargos e Benefícios'!C383=0,0,'Encargos e Benefícios'!AC383/'Encargos e Benefícios'!C383)</f>
        <v>0</v>
      </c>
      <c r="AN384" s="297">
        <f>IF('Encargos e Benefícios'!C383=0,0,'Encargos e Benefícios'!AD383/'Encargos e Benefícios'!C383)</f>
        <v>0</v>
      </c>
      <c r="AO384" s="188"/>
      <c r="AP384" s="298"/>
      <c r="AQ384" s="298"/>
      <c r="AR384" s="302"/>
      <c r="AS384" s="188"/>
    </row>
    <row r="385" spans="1:45" ht="13.5" hidden="1" thickBot="1">
      <c r="A385" s="286">
        <v>379</v>
      </c>
      <c r="B385" s="81">
        <f>'Encargos e Benefícios'!B384</f>
        <v>0</v>
      </c>
      <c r="C385" s="287">
        <f>'Encargos e Benefícios'!C384</f>
        <v>0</v>
      </c>
      <c r="D385" s="288"/>
      <c r="E385" s="300"/>
      <c r="F385" s="301"/>
      <c r="G385" s="293"/>
      <c r="H385" s="292">
        <v>5.8400000000000001E-2</v>
      </c>
      <c r="I385" s="256"/>
      <c r="J385" s="256"/>
      <c r="K385" s="256"/>
      <c r="L385" s="256"/>
      <c r="M385" s="293"/>
      <c r="N385" s="292">
        <v>5.8400000000000001E-2</v>
      </c>
      <c r="O385" s="256"/>
      <c r="P385" s="256"/>
      <c r="Q385" s="256"/>
      <c r="R385" s="256"/>
      <c r="S385" s="293"/>
      <c r="T385" s="294"/>
      <c r="U385" s="256"/>
      <c r="V385" s="256"/>
      <c r="W385" s="256"/>
      <c r="X385" s="256"/>
      <c r="Y385" s="293"/>
      <c r="Z385" s="294"/>
      <c r="AA385" s="256"/>
      <c r="AB385" s="256">
        <v>8.7100000000000009</v>
      </c>
      <c r="AC385" s="256"/>
      <c r="AD385" s="256"/>
      <c r="AE385" s="293"/>
      <c r="AF385" s="294"/>
      <c r="AG385" s="256"/>
      <c r="AH385" s="256"/>
      <c r="AI385" s="256"/>
      <c r="AJ385" s="257"/>
      <c r="AK385" s="296">
        <f>'Encargos e Benefícios'!D384</f>
        <v>0</v>
      </c>
      <c r="AL385" s="296">
        <f>IF('Encargos e Benefícios'!C384=0,0,'Encargos e Benefícios'!U384/'Encargos e Benefícios'!C384)</f>
        <v>0</v>
      </c>
      <c r="AM385" s="296">
        <f>IF('Encargos e Benefícios'!C384=0,0,'Encargos e Benefícios'!AC384/'Encargos e Benefícios'!C384)</f>
        <v>0</v>
      </c>
      <c r="AN385" s="297">
        <f>IF('Encargos e Benefícios'!C384=0,0,'Encargos e Benefícios'!AD384/'Encargos e Benefícios'!C384)</f>
        <v>0</v>
      </c>
      <c r="AO385" s="188"/>
      <c r="AP385" s="298"/>
      <c r="AQ385" s="298"/>
      <c r="AR385" s="302"/>
      <c r="AS385" s="188"/>
    </row>
    <row r="386" spans="1:45" ht="13.5" hidden="1" thickBot="1">
      <c r="A386" s="286">
        <v>380</v>
      </c>
      <c r="B386" s="81">
        <f>'Encargos e Benefícios'!B385</f>
        <v>0</v>
      </c>
      <c r="C386" s="287">
        <f>'Encargos e Benefícios'!C385</f>
        <v>0</v>
      </c>
      <c r="D386" s="288"/>
      <c r="E386" s="300"/>
      <c r="F386" s="301"/>
      <c r="G386" s="293"/>
      <c r="H386" s="292">
        <v>5.8400000000000001E-2</v>
      </c>
      <c r="I386" s="256"/>
      <c r="J386" s="256"/>
      <c r="K386" s="256"/>
      <c r="L386" s="256"/>
      <c r="M386" s="293"/>
      <c r="N386" s="292">
        <v>5.8400000000000001E-2</v>
      </c>
      <c r="O386" s="256"/>
      <c r="P386" s="256"/>
      <c r="Q386" s="256"/>
      <c r="R386" s="256"/>
      <c r="S386" s="293"/>
      <c r="T386" s="294"/>
      <c r="U386" s="256"/>
      <c r="V386" s="256"/>
      <c r="W386" s="256"/>
      <c r="X386" s="256"/>
      <c r="Y386" s="293"/>
      <c r="Z386" s="294"/>
      <c r="AA386" s="256"/>
      <c r="AB386" s="256">
        <v>8.7100000000000009</v>
      </c>
      <c r="AC386" s="256"/>
      <c r="AD386" s="256"/>
      <c r="AE386" s="293"/>
      <c r="AF386" s="294"/>
      <c r="AG386" s="256"/>
      <c r="AH386" s="256"/>
      <c r="AI386" s="256"/>
      <c r="AJ386" s="257"/>
      <c r="AK386" s="296">
        <f>'Encargos e Benefícios'!D385</f>
        <v>0</v>
      </c>
      <c r="AL386" s="296">
        <f>IF('Encargos e Benefícios'!C385=0,0,'Encargos e Benefícios'!U385/'Encargos e Benefícios'!C385)</f>
        <v>0</v>
      </c>
      <c r="AM386" s="296">
        <f>IF('Encargos e Benefícios'!C385=0,0,'Encargos e Benefícios'!AC385/'Encargos e Benefícios'!C385)</f>
        <v>0</v>
      </c>
      <c r="AN386" s="297">
        <f>IF('Encargos e Benefícios'!C385=0,0,'Encargos e Benefícios'!AD385/'Encargos e Benefícios'!C385)</f>
        <v>0</v>
      </c>
      <c r="AO386" s="188"/>
      <c r="AP386" s="298"/>
      <c r="AQ386" s="298"/>
      <c r="AR386" s="302"/>
      <c r="AS386" s="188"/>
    </row>
    <row r="387" spans="1:45" ht="13.5" hidden="1" thickBot="1">
      <c r="A387" s="286">
        <v>381</v>
      </c>
      <c r="B387" s="81">
        <f>'Encargos e Benefícios'!B386</f>
        <v>0</v>
      </c>
      <c r="C387" s="287">
        <f>'Encargos e Benefícios'!C386</f>
        <v>0</v>
      </c>
      <c r="D387" s="288"/>
      <c r="E387" s="300"/>
      <c r="F387" s="301"/>
      <c r="G387" s="293"/>
      <c r="H387" s="292">
        <v>5.8400000000000001E-2</v>
      </c>
      <c r="I387" s="256"/>
      <c r="J387" s="256"/>
      <c r="K387" s="256"/>
      <c r="L387" s="256"/>
      <c r="M387" s="293"/>
      <c r="N387" s="292">
        <v>5.8400000000000001E-2</v>
      </c>
      <c r="O387" s="256"/>
      <c r="P387" s="256"/>
      <c r="Q387" s="256"/>
      <c r="R387" s="256"/>
      <c r="S387" s="293"/>
      <c r="T387" s="294"/>
      <c r="U387" s="256"/>
      <c r="V387" s="256"/>
      <c r="W387" s="256"/>
      <c r="X387" s="256"/>
      <c r="Y387" s="293"/>
      <c r="Z387" s="294"/>
      <c r="AA387" s="256"/>
      <c r="AB387" s="256">
        <v>8.7100000000000009</v>
      </c>
      <c r="AC387" s="256"/>
      <c r="AD387" s="256"/>
      <c r="AE387" s="293"/>
      <c r="AF387" s="294"/>
      <c r="AG387" s="256"/>
      <c r="AH387" s="256"/>
      <c r="AI387" s="256"/>
      <c r="AJ387" s="257"/>
      <c r="AK387" s="296">
        <f>'Encargos e Benefícios'!D386</f>
        <v>0</v>
      </c>
      <c r="AL387" s="296">
        <f>IF('Encargos e Benefícios'!C386=0,0,'Encargos e Benefícios'!U386/'Encargos e Benefícios'!C386)</f>
        <v>0</v>
      </c>
      <c r="AM387" s="296">
        <f>IF('Encargos e Benefícios'!C386=0,0,'Encargos e Benefícios'!AC386/'Encargos e Benefícios'!C386)</f>
        <v>0</v>
      </c>
      <c r="AN387" s="297">
        <f>IF('Encargos e Benefícios'!C386=0,0,'Encargos e Benefícios'!AD386/'Encargos e Benefícios'!C386)</f>
        <v>0</v>
      </c>
      <c r="AO387" s="188"/>
      <c r="AP387" s="298"/>
      <c r="AQ387" s="298"/>
      <c r="AR387" s="302"/>
      <c r="AS387" s="188"/>
    </row>
    <row r="388" spans="1:45" ht="13.5" hidden="1" thickBot="1">
      <c r="A388" s="286">
        <v>382</v>
      </c>
      <c r="B388" s="81">
        <f>'Encargos e Benefícios'!B387</f>
        <v>0</v>
      </c>
      <c r="C388" s="287">
        <f>'Encargos e Benefícios'!C387</f>
        <v>0</v>
      </c>
      <c r="D388" s="288"/>
      <c r="E388" s="300"/>
      <c r="F388" s="301"/>
      <c r="G388" s="293"/>
      <c r="H388" s="292">
        <v>5.8400000000000001E-2</v>
      </c>
      <c r="I388" s="256"/>
      <c r="J388" s="256"/>
      <c r="K388" s="256"/>
      <c r="L388" s="256"/>
      <c r="M388" s="293"/>
      <c r="N388" s="292">
        <v>5.8400000000000001E-2</v>
      </c>
      <c r="O388" s="256"/>
      <c r="P388" s="256"/>
      <c r="Q388" s="256"/>
      <c r="R388" s="256"/>
      <c r="S388" s="293"/>
      <c r="T388" s="294"/>
      <c r="U388" s="256"/>
      <c r="V388" s="256"/>
      <c r="W388" s="256"/>
      <c r="X388" s="256"/>
      <c r="Y388" s="293"/>
      <c r="Z388" s="294"/>
      <c r="AA388" s="256"/>
      <c r="AB388" s="256">
        <v>8.7100000000000009</v>
      </c>
      <c r="AC388" s="256"/>
      <c r="AD388" s="256"/>
      <c r="AE388" s="293"/>
      <c r="AF388" s="294"/>
      <c r="AG388" s="256"/>
      <c r="AH388" s="256"/>
      <c r="AI388" s="256"/>
      <c r="AJ388" s="257"/>
      <c r="AK388" s="296">
        <f>'Encargos e Benefícios'!D387</f>
        <v>0</v>
      </c>
      <c r="AL388" s="296">
        <f>IF('Encargos e Benefícios'!C387=0,0,'Encargos e Benefícios'!U387/'Encargos e Benefícios'!C387)</f>
        <v>0</v>
      </c>
      <c r="AM388" s="296">
        <f>IF('Encargos e Benefícios'!C387=0,0,'Encargos e Benefícios'!AC387/'Encargos e Benefícios'!C387)</f>
        <v>0</v>
      </c>
      <c r="AN388" s="297">
        <f>IF('Encargos e Benefícios'!C387=0,0,'Encargos e Benefícios'!AD387/'Encargos e Benefícios'!C387)</f>
        <v>0</v>
      </c>
      <c r="AO388" s="188"/>
      <c r="AP388" s="298"/>
      <c r="AQ388" s="298"/>
      <c r="AR388" s="302"/>
      <c r="AS388" s="188"/>
    </row>
    <row r="389" spans="1:45" ht="13.5" hidden="1" thickBot="1">
      <c r="A389" s="286">
        <v>383</v>
      </c>
      <c r="B389" s="81">
        <f>'Encargos e Benefícios'!B388</f>
        <v>0</v>
      </c>
      <c r="C389" s="287">
        <f>'Encargos e Benefícios'!C388</f>
        <v>0</v>
      </c>
      <c r="D389" s="288"/>
      <c r="E389" s="300"/>
      <c r="F389" s="301"/>
      <c r="G389" s="293"/>
      <c r="H389" s="292">
        <v>5.8400000000000001E-2</v>
      </c>
      <c r="I389" s="256"/>
      <c r="J389" s="256"/>
      <c r="K389" s="256"/>
      <c r="L389" s="256"/>
      <c r="M389" s="293"/>
      <c r="N389" s="292">
        <v>5.8400000000000001E-2</v>
      </c>
      <c r="O389" s="256"/>
      <c r="P389" s="256"/>
      <c r="Q389" s="256"/>
      <c r="R389" s="256"/>
      <c r="S389" s="293"/>
      <c r="T389" s="294"/>
      <c r="U389" s="256"/>
      <c r="V389" s="256"/>
      <c r="W389" s="256"/>
      <c r="X389" s="256"/>
      <c r="Y389" s="293"/>
      <c r="Z389" s="294"/>
      <c r="AA389" s="256"/>
      <c r="AB389" s="256">
        <v>8.7100000000000009</v>
      </c>
      <c r="AC389" s="256"/>
      <c r="AD389" s="256"/>
      <c r="AE389" s="293"/>
      <c r="AF389" s="294"/>
      <c r="AG389" s="256"/>
      <c r="AH389" s="256"/>
      <c r="AI389" s="256"/>
      <c r="AJ389" s="257"/>
      <c r="AK389" s="296">
        <f>'Encargos e Benefícios'!D388</f>
        <v>0</v>
      </c>
      <c r="AL389" s="296">
        <f>IF('Encargos e Benefícios'!C388=0,0,'Encargos e Benefícios'!U388/'Encargos e Benefícios'!C388)</f>
        <v>0</v>
      </c>
      <c r="AM389" s="296">
        <f>IF('Encargos e Benefícios'!C388=0,0,'Encargos e Benefícios'!AC388/'Encargos e Benefícios'!C388)</f>
        <v>0</v>
      </c>
      <c r="AN389" s="297">
        <f>IF('Encargos e Benefícios'!C388=0,0,'Encargos e Benefícios'!AD388/'Encargos e Benefícios'!C388)</f>
        <v>0</v>
      </c>
      <c r="AO389" s="188"/>
      <c r="AP389" s="298"/>
      <c r="AQ389" s="298"/>
      <c r="AR389" s="302"/>
      <c r="AS389" s="188"/>
    </row>
    <row r="390" spans="1:45" ht="13.5" hidden="1" thickBot="1">
      <c r="A390" s="286">
        <v>384</v>
      </c>
      <c r="B390" s="81">
        <f>'Encargos e Benefícios'!B389</f>
        <v>0</v>
      </c>
      <c r="C390" s="287">
        <f>'Encargos e Benefícios'!C389</f>
        <v>0</v>
      </c>
      <c r="D390" s="288"/>
      <c r="E390" s="300"/>
      <c r="F390" s="301"/>
      <c r="G390" s="293"/>
      <c r="H390" s="292">
        <v>5.8400000000000001E-2</v>
      </c>
      <c r="I390" s="256"/>
      <c r="J390" s="256"/>
      <c r="K390" s="256"/>
      <c r="L390" s="256"/>
      <c r="M390" s="293"/>
      <c r="N390" s="292">
        <v>5.8400000000000001E-2</v>
      </c>
      <c r="O390" s="256"/>
      <c r="P390" s="256"/>
      <c r="Q390" s="256"/>
      <c r="R390" s="256"/>
      <c r="S390" s="293"/>
      <c r="T390" s="294"/>
      <c r="U390" s="256"/>
      <c r="V390" s="256"/>
      <c r="W390" s="256"/>
      <c r="X390" s="256"/>
      <c r="Y390" s="293"/>
      <c r="Z390" s="294"/>
      <c r="AA390" s="256"/>
      <c r="AB390" s="256">
        <v>8.7100000000000009</v>
      </c>
      <c r="AC390" s="256"/>
      <c r="AD390" s="256"/>
      <c r="AE390" s="293"/>
      <c r="AF390" s="294"/>
      <c r="AG390" s="256"/>
      <c r="AH390" s="256"/>
      <c r="AI390" s="256"/>
      <c r="AJ390" s="257"/>
      <c r="AK390" s="296">
        <f>'Encargos e Benefícios'!D389</f>
        <v>0</v>
      </c>
      <c r="AL390" s="296">
        <f>IF('Encargos e Benefícios'!C389=0,0,'Encargos e Benefícios'!U389/'Encargos e Benefícios'!C389)</f>
        <v>0</v>
      </c>
      <c r="AM390" s="296">
        <f>IF('Encargos e Benefícios'!C389=0,0,'Encargos e Benefícios'!AC389/'Encargos e Benefícios'!C389)</f>
        <v>0</v>
      </c>
      <c r="AN390" s="297">
        <f>IF('Encargos e Benefícios'!C389=0,0,'Encargos e Benefícios'!AD389/'Encargos e Benefícios'!C389)</f>
        <v>0</v>
      </c>
      <c r="AO390" s="188"/>
      <c r="AP390" s="298"/>
      <c r="AQ390" s="298"/>
      <c r="AR390" s="302"/>
      <c r="AS390" s="188"/>
    </row>
    <row r="391" spans="1:45" ht="13.5" hidden="1" thickBot="1">
      <c r="A391" s="286">
        <v>385</v>
      </c>
      <c r="B391" s="81">
        <f>'Encargos e Benefícios'!B390</f>
        <v>0</v>
      </c>
      <c r="C391" s="287">
        <f>'Encargos e Benefícios'!C390</f>
        <v>0</v>
      </c>
      <c r="D391" s="288"/>
      <c r="E391" s="300"/>
      <c r="F391" s="301"/>
      <c r="G391" s="293"/>
      <c r="H391" s="292">
        <v>5.8400000000000001E-2</v>
      </c>
      <c r="I391" s="256"/>
      <c r="J391" s="256"/>
      <c r="K391" s="256"/>
      <c r="L391" s="256"/>
      <c r="M391" s="293"/>
      <c r="N391" s="292">
        <v>5.8400000000000001E-2</v>
      </c>
      <c r="O391" s="256"/>
      <c r="P391" s="256"/>
      <c r="Q391" s="256"/>
      <c r="R391" s="256"/>
      <c r="S391" s="293"/>
      <c r="T391" s="294"/>
      <c r="U391" s="256"/>
      <c r="V391" s="256"/>
      <c r="W391" s="256"/>
      <c r="X391" s="256"/>
      <c r="Y391" s="293"/>
      <c r="Z391" s="294"/>
      <c r="AA391" s="256"/>
      <c r="AB391" s="256">
        <v>8.7100000000000009</v>
      </c>
      <c r="AC391" s="256"/>
      <c r="AD391" s="256"/>
      <c r="AE391" s="293"/>
      <c r="AF391" s="294"/>
      <c r="AG391" s="256"/>
      <c r="AH391" s="256"/>
      <c r="AI391" s="256"/>
      <c r="AJ391" s="257"/>
      <c r="AK391" s="296">
        <f>'Encargos e Benefícios'!D390</f>
        <v>0</v>
      </c>
      <c r="AL391" s="296">
        <f>IF('Encargos e Benefícios'!C390=0,0,'Encargos e Benefícios'!U390/'Encargos e Benefícios'!C390)</f>
        <v>0</v>
      </c>
      <c r="AM391" s="296">
        <f>IF('Encargos e Benefícios'!C390=0,0,'Encargos e Benefícios'!AC390/'Encargos e Benefícios'!C390)</f>
        <v>0</v>
      </c>
      <c r="AN391" s="297">
        <f>IF('Encargos e Benefícios'!C390=0,0,'Encargos e Benefícios'!AD390/'Encargos e Benefícios'!C390)</f>
        <v>0</v>
      </c>
      <c r="AO391" s="188"/>
      <c r="AP391" s="298"/>
      <c r="AQ391" s="298"/>
      <c r="AR391" s="302"/>
      <c r="AS391" s="188"/>
    </row>
    <row r="392" spans="1:45" ht="13.5" hidden="1" thickBot="1">
      <c r="A392" s="286">
        <v>386</v>
      </c>
      <c r="B392" s="81">
        <f>'Encargos e Benefícios'!B391</f>
        <v>0</v>
      </c>
      <c r="C392" s="287">
        <f>'Encargos e Benefícios'!C391</f>
        <v>0</v>
      </c>
      <c r="D392" s="288"/>
      <c r="E392" s="300"/>
      <c r="F392" s="301"/>
      <c r="G392" s="293"/>
      <c r="H392" s="292">
        <v>5.8400000000000001E-2</v>
      </c>
      <c r="I392" s="256"/>
      <c r="J392" s="256"/>
      <c r="K392" s="256"/>
      <c r="L392" s="256"/>
      <c r="M392" s="293"/>
      <c r="N392" s="292">
        <v>5.8400000000000001E-2</v>
      </c>
      <c r="O392" s="256"/>
      <c r="P392" s="256"/>
      <c r="Q392" s="256"/>
      <c r="R392" s="256"/>
      <c r="S392" s="293"/>
      <c r="T392" s="294"/>
      <c r="U392" s="256"/>
      <c r="V392" s="256"/>
      <c r="W392" s="256"/>
      <c r="X392" s="256"/>
      <c r="Y392" s="293"/>
      <c r="Z392" s="294"/>
      <c r="AA392" s="256"/>
      <c r="AB392" s="256">
        <v>8.7100000000000009</v>
      </c>
      <c r="AC392" s="256"/>
      <c r="AD392" s="256"/>
      <c r="AE392" s="293"/>
      <c r="AF392" s="294"/>
      <c r="AG392" s="256"/>
      <c r="AH392" s="256"/>
      <c r="AI392" s="256"/>
      <c r="AJ392" s="257"/>
      <c r="AK392" s="296">
        <f>'Encargos e Benefícios'!D391</f>
        <v>0</v>
      </c>
      <c r="AL392" s="296">
        <f>IF('Encargos e Benefícios'!C391=0,0,'Encargos e Benefícios'!U391/'Encargos e Benefícios'!C391)</f>
        <v>0</v>
      </c>
      <c r="AM392" s="296">
        <f>IF('Encargos e Benefícios'!C391=0,0,'Encargos e Benefícios'!AC391/'Encargos e Benefícios'!C391)</f>
        <v>0</v>
      </c>
      <c r="AN392" s="297">
        <f>IF('Encargos e Benefícios'!C391=0,0,'Encargos e Benefícios'!AD391/'Encargos e Benefícios'!C391)</f>
        <v>0</v>
      </c>
      <c r="AO392" s="188"/>
      <c r="AP392" s="298"/>
      <c r="AQ392" s="298"/>
      <c r="AR392" s="302"/>
      <c r="AS392" s="188"/>
    </row>
    <row r="393" spans="1:45" ht="13.5" hidden="1" thickBot="1">
      <c r="A393" s="286">
        <v>387</v>
      </c>
      <c r="B393" s="81">
        <f>'Encargos e Benefícios'!B392</f>
        <v>0</v>
      </c>
      <c r="C393" s="287">
        <f>'Encargos e Benefícios'!C392</f>
        <v>0</v>
      </c>
      <c r="D393" s="288"/>
      <c r="E393" s="300"/>
      <c r="F393" s="301"/>
      <c r="G393" s="293"/>
      <c r="H393" s="292">
        <v>5.8400000000000001E-2</v>
      </c>
      <c r="I393" s="256"/>
      <c r="J393" s="256"/>
      <c r="K393" s="256"/>
      <c r="L393" s="256"/>
      <c r="M393" s="293"/>
      <c r="N393" s="292">
        <v>5.8400000000000001E-2</v>
      </c>
      <c r="O393" s="256"/>
      <c r="P393" s="256"/>
      <c r="Q393" s="256"/>
      <c r="R393" s="256"/>
      <c r="S393" s="293"/>
      <c r="T393" s="294"/>
      <c r="U393" s="256"/>
      <c r="V393" s="256"/>
      <c r="W393" s="256"/>
      <c r="X393" s="256"/>
      <c r="Y393" s="293"/>
      <c r="Z393" s="294"/>
      <c r="AA393" s="256"/>
      <c r="AB393" s="256">
        <v>8.7100000000000009</v>
      </c>
      <c r="AC393" s="256"/>
      <c r="AD393" s="256"/>
      <c r="AE393" s="293"/>
      <c r="AF393" s="294"/>
      <c r="AG393" s="256"/>
      <c r="AH393" s="256"/>
      <c r="AI393" s="256"/>
      <c r="AJ393" s="257"/>
      <c r="AK393" s="296">
        <f>'Encargos e Benefícios'!D392</f>
        <v>0</v>
      </c>
      <c r="AL393" s="296">
        <f>IF('Encargos e Benefícios'!C392=0,0,'Encargos e Benefícios'!U392/'Encargos e Benefícios'!C392)</f>
        <v>0</v>
      </c>
      <c r="AM393" s="296">
        <f>IF('Encargos e Benefícios'!C392=0,0,'Encargos e Benefícios'!AC392/'Encargos e Benefícios'!C392)</f>
        <v>0</v>
      </c>
      <c r="AN393" s="297">
        <f>IF('Encargos e Benefícios'!C392=0,0,'Encargos e Benefícios'!AD392/'Encargos e Benefícios'!C392)</f>
        <v>0</v>
      </c>
      <c r="AO393" s="188"/>
      <c r="AP393" s="298"/>
      <c r="AQ393" s="298"/>
      <c r="AR393" s="302"/>
      <c r="AS393" s="188"/>
    </row>
    <row r="394" spans="1:45" ht="13.5" hidden="1" thickBot="1">
      <c r="A394" s="286">
        <v>388</v>
      </c>
      <c r="B394" s="81">
        <f>'Encargos e Benefícios'!B393</f>
        <v>0</v>
      </c>
      <c r="C394" s="287">
        <f>'Encargos e Benefícios'!C393</f>
        <v>0</v>
      </c>
      <c r="D394" s="288"/>
      <c r="E394" s="300"/>
      <c r="F394" s="301"/>
      <c r="G394" s="293"/>
      <c r="H394" s="292">
        <v>5.8400000000000001E-2</v>
      </c>
      <c r="I394" s="256"/>
      <c r="J394" s="256"/>
      <c r="K394" s="256"/>
      <c r="L394" s="256"/>
      <c r="M394" s="293"/>
      <c r="N394" s="292">
        <v>5.8400000000000001E-2</v>
      </c>
      <c r="O394" s="256"/>
      <c r="P394" s="256"/>
      <c r="Q394" s="256"/>
      <c r="R394" s="256"/>
      <c r="S394" s="293"/>
      <c r="T394" s="294"/>
      <c r="U394" s="256"/>
      <c r="V394" s="256"/>
      <c r="W394" s="256"/>
      <c r="X394" s="256"/>
      <c r="Y394" s="293"/>
      <c r="Z394" s="294"/>
      <c r="AA394" s="256"/>
      <c r="AB394" s="256">
        <v>8.7100000000000009</v>
      </c>
      <c r="AC394" s="256"/>
      <c r="AD394" s="256"/>
      <c r="AE394" s="293"/>
      <c r="AF394" s="294"/>
      <c r="AG394" s="256"/>
      <c r="AH394" s="256"/>
      <c r="AI394" s="256"/>
      <c r="AJ394" s="257"/>
      <c r="AK394" s="296">
        <f>'Encargos e Benefícios'!D393</f>
        <v>0</v>
      </c>
      <c r="AL394" s="296">
        <f>IF('Encargos e Benefícios'!C393=0,0,'Encargos e Benefícios'!U393/'Encargos e Benefícios'!C393)</f>
        <v>0</v>
      </c>
      <c r="AM394" s="296">
        <f>IF('Encargos e Benefícios'!C393=0,0,'Encargos e Benefícios'!AC393/'Encargos e Benefícios'!C393)</f>
        <v>0</v>
      </c>
      <c r="AN394" s="297">
        <f>IF('Encargos e Benefícios'!C393=0,0,'Encargos e Benefícios'!AD393/'Encargos e Benefícios'!C393)</f>
        <v>0</v>
      </c>
      <c r="AO394" s="188"/>
      <c r="AP394" s="298"/>
      <c r="AQ394" s="298"/>
      <c r="AR394" s="302"/>
      <c r="AS394" s="188"/>
    </row>
    <row r="395" spans="1:45" ht="13.5" hidden="1" thickBot="1">
      <c r="A395" s="286">
        <v>389</v>
      </c>
      <c r="B395" s="81">
        <f>'Encargos e Benefícios'!B394</f>
        <v>0</v>
      </c>
      <c r="C395" s="287">
        <f>'Encargos e Benefícios'!C394</f>
        <v>0</v>
      </c>
      <c r="D395" s="288"/>
      <c r="E395" s="300"/>
      <c r="F395" s="301"/>
      <c r="G395" s="293"/>
      <c r="H395" s="292">
        <v>5.8400000000000001E-2</v>
      </c>
      <c r="I395" s="256"/>
      <c r="J395" s="256"/>
      <c r="K395" s="256"/>
      <c r="L395" s="256"/>
      <c r="M395" s="293"/>
      <c r="N395" s="292">
        <v>5.8400000000000001E-2</v>
      </c>
      <c r="O395" s="256"/>
      <c r="P395" s="256"/>
      <c r="Q395" s="256"/>
      <c r="R395" s="256"/>
      <c r="S395" s="293"/>
      <c r="T395" s="294"/>
      <c r="U395" s="256"/>
      <c r="V395" s="256"/>
      <c r="W395" s="256"/>
      <c r="X395" s="256"/>
      <c r="Y395" s="293"/>
      <c r="Z395" s="294"/>
      <c r="AA395" s="256"/>
      <c r="AB395" s="256">
        <v>8.7100000000000009</v>
      </c>
      <c r="AC395" s="256"/>
      <c r="AD395" s="256"/>
      <c r="AE395" s="293"/>
      <c r="AF395" s="294"/>
      <c r="AG395" s="256"/>
      <c r="AH395" s="256"/>
      <c r="AI395" s="256"/>
      <c r="AJ395" s="257"/>
      <c r="AK395" s="296">
        <f>'Encargos e Benefícios'!D394</f>
        <v>0</v>
      </c>
      <c r="AL395" s="296">
        <f>IF('Encargos e Benefícios'!C394=0,0,'Encargos e Benefícios'!U394/'Encargos e Benefícios'!C394)</f>
        <v>0</v>
      </c>
      <c r="AM395" s="296">
        <f>IF('Encargos e Benefícios'!C394=0,0,'Encargos e Benefícios'!AC394/'Encargos e Benefícios'!C394)</f>
        <v>0</v>
      </c>
      <c r="AN395" s="297">
        <f>IF('Encargos e Benefícios'!C394=0,0,'Encargos e Benefícios'!AD394/'Encargos e Benefícios'!C394)</f>
        <v>0</v>
      </c>
      <c r="AO395" s="188"/>
      <c r="AP395" s="298"/>
      <c r="AQ395" s="298"/>
      <c r="AR395" s="302"/>
      <c r="AS395" s="188"/>
    </row>
    <row r="396" spans="1:45" ht="13.5" hidden="1" thickBot="1">
      <c r="A396" s="286">
        <v>390</v>
      </c>
      <c r="B396" s="81">
        <f>'Encargos e Benefícios'!B395</f>
        <v>0</v>
      </c>
      <c r="C396" s="287">
        <f>'Encargos e Benefícios'!C395</f>
        <v>0</v>
      </c>
      <c r="D396" s="288"/>
      <c r="E396" s="300"/>
      <c r="F396" s="301"/>
      <c r="G396" s="293"/>
      <c r="H396" s="292">
        <v>5.8400000000000001E-2</v>
      </c>
      <c r="I396" s="256"/>
      <c r="J396" s="256"/>
      <c r="K396" s="256"/>
      <c r="L396" s="256"/>
      <c r="M396" s="293"/>
      <c r="N396" s="292">
        <v>5.8400000000000001E-2</v>
      </c>
      <c r="O396" s="256"/>
      <c r="P396" s="256"/>
      <c r="Q396" s="256"/>
      <c r="R396" s="256"/>
      <c r="S396" s="293"/>
      <c r="T396" s="294"/>
      <c r="U396" s="256"/>
      <c r="V396" s="256"/>
      <c r="W396" s="256"/>
      <c r="X396" s="256"/>
      <c r="Y396" s="293"/>
      <c r="Z396" s="294"/>
      <c r="AA396" s="256"/>
      <c r="AB396" s="256">
        <v>8.7100000000000009</v>
      </c>
      <c r="AC396" s="256"/>
      <c r="AD396" s="256"/>
      <c r="AE396" s="293"/>
      <c r="AF396" s="294"/>
      <c r="AG396" s="256"/>
      <c r="AH396" s="256"/>
      <c r="AI396" s="256"/>
      <c r="AJ396" s="257"/>
      <c r="AK396" s="296">
        <f>'Encargos e Benefícios'!D395</f>
        <v>0</v>
      </c>
      <c r="AL396" s="296">
        <f>IF('Encargos e Benefícios'!C395=0,0,'Encargos e Benefícios'!U395/'Encargos e Benefícios'!C395)</f>
        <v>0</v>
      </c>
      <c r="AM396" s="296">
        <f>IF('Encargos e Benefícios'!C395=0,0,'Encargos e Benefícios'!AC395/'Encargos e Benefícios'!C395)</f>
        <v>0</v>
      </c>
      <c r="AN396" s="297">
        <f>IF('Encargos e Benefícios'!C395=0,0,'Encargos e Benefícios'!AD395/'Encargos e Benefícios'!C395)</f>
        <v>0</v>
      </c>
      <c r="AO396" s="188"/>
      <c r="AP396" s="298"/>
      <c r="AQ396" s="298"/>
      <c r="AR396" s="302"/>
      <c r="AS396" s="188"/>
    </row>
    <row r="397" spans="1:45" ht="13.5" hidden="1" thickBot="1">
      <c r="A397" s="286">
        <v>391</v>
      </c>
      <c r="B397" s="81">
        <f>'Encargos e Benefícios'!B396</f>
        <v>0</v>
      </c>
      <c r="C397" s="287">
        <f>'Encargos e Benefícios'!C396</f>
        <v>0</v>
      </c>
      <c r="D397" s="288"/>
      <c r="E397" s="300"/>
      <c r="F397" s="301"/>
      <c r="G397" s="293"/>
      <c r="H397" s="292">
        <v>5.8400000000000001E-2</v>
      </c>
      <c r="I397" s="256"/>
      <c r="J397" s="256"/>
      <c r="K397" s="256"/>
      <c r="L397" s="256"/>
      <c r="M397" s="293"/>
      <c r="N397" s="292">
        <v>5.8400000000000001E-2</v>
      </c>
      <c r="O397" s="256"/>
      <c r="P397" s="256"/>
      <c r="Q397" s="256"/>
      <c r="R397" s="256"/>
      <c r="S397" s="293"/>
      <c r="T397" s="294"/>
      <c r="U397" s="256"/>
      <c r="V397" s="256"/>
      <c r="W397" s="256"/>
      <c r="X397" s="256"/>
      <c r="Y397" s="293"/>
      <c r="Z397" s="294"/>
      <c r="AA397" s="256"/>
      <c r="AB397" s="256">
        <v>8.7100000000000009</v>
      </c>
      <c r="AC397" s="256"/>
      <c r="AD397" s="256"/>
      <c r="AE397" s="293"/>
      <c r="AF397" s="294"/>
      <c r="AG397" s="256"/>
      <c r="AH397" s="256"/>
      <c r="AI397" s="256"/>
      <c r="AJ397" s="257"/>
      <c r="AK397" s="296">
        <f>'Encargos e Benefícios'!D396</f>
        <v>0</v>
      </c>
      <c r="AL397" s="296">
        <f>IF('Encargos e Benefícios'!C396=0,0,'Encargos e Benefícios'!U396/'Encargos e Benefícios'!C396)</f>
        <v>0</v>
      </c>
      <c r="AM397" s="296">
        <f>IF('Encargos e Benefícios'!C396=0,0,'Encargos e Benefícios'!AC396/'Encargos e Benefícios'!C396)</f>
        <v>0</v>
      </c>
      <c r="AN397" s="297">
        <f>IF('Encargos e Benefícios'!C396=0,0,'Encargos e Benefícios'!AD396/'Encargos e Benefícios'!C396)</f>
        <v>0</v>
      </c>
      <c r="AO397" s="188"/>
      <c r="AP397" s="298"/>
      <c r="AQ397" s="298"/>
      <c r="AR397" s="302"/>
      <c r="AS397" s="188"/>
    </row>
    <row r="398" spans="1:45" ht="13.5" hidden="1" thickBot="1">
      <c r="A398" s="286">
        <v>392</v>
      </c>
      <c r="B398" s="81">
        <f>'Encargos e Benefícios'!B397</f>
        <v>0</v>
      </c>
      <c r="C398" s="287">
        <f>'Encargos e Benefícios'!C397</f>
        <v>0</v>
      </c>
      <c r="D398" s="288"/>
      <c r="E398" s="300"/>
      <c r="F398" s="301"/>
      <c r="G398" s="293"/>
      <c r="H398" s="292">
        <v>5.8400000000000001E-2</v>
      </c>
      <c r="I398" s="256"/>
      <c r="J398" s="256"/>
      <c r="K398" s="256"/>
      <c r="L398" s="256"/>
      <c r="M398" s="293"/>
      <c r="N398" s="292">
        <v>5.8400000000000001E-2</v>
      </c>
      <c r="O398" s="256"/>
      <c r="P398" s="256"/>
      <c r="Q398" s="256"/>
      <c r="R398" s="256"/>
      <c r="S398" s="293"/>
      <c r="T398" s="294"/>
      <c r="U398" s="256"/>
      <c r="V398" s="256"/>
      <c r="W398" s="256"/>
      <c r="X398" s="256"/>
      <c r="Y398" s="293"/>
      <c r="Z398" s="294"/>
      <c r="AA398" s="256"/>
      <c r="AB398" s="256">
        <v>8.7100000000000009</v>
      </c>
      <c r="AC398" s="256"/>
      <c r="AD398" s="256"/>
      <c r="AE398" s="293"/>
      <c r="AF398" s="294"/>
      <c r="AG398" s="256"/>
      <c r="AH398" s="256"/>
      <c r="AI398" s="256"/>
      <c r="AJ398" s="257"/>
      <c r="AK398" s="296">
        <f>'Encargos e Benefícios'!D397</f>
        <v>0</v>
      </c>
      <c r="AL398" s="296">
        <f>IF('Encargos e Benefícios'!C397=0,0,'Encargos e Benefícios'!U397/'Encargos e Benefícios'!C397)</f>
        <v>0</v>
      </c>
      <c r="AM398" s="296">
        <f>IF('Encargos e Benefícios'!C397=0,0,'Encargos e Benefícios'!AC397/'Encargos e Benefícios'!C397)</f>
        <v>0</v>
      </c>
      <c r="AN398" s="297">
        <f>IF('Encargos e Benefícios'!C397=0,0,'Encargos e Benefícios'!AD397/'Encargos e Benefícios'!C397)</f>
        <v>0</v>
      </c>
      <c r="AO398" s="188"/>
      <c r="AP398" s="298"/>
      <c r="AQ398" s="298"/>
      <c r="AR398" s="302"/>
      <c r="AS398" s="188"/>
    </row>
    <row r="399" spans="1:45" ht="13.5" hidden="1" thickBot="1">
      <c r="A399" s="286">
        <v>393</v>
      </c>
      <c r="B399" s="81">
        <f>'Encargos e Benefícios'!B398</f>
        <v>0</v>
      </c>
      <c r="C399" s="287">
        <f>'Encargos e Benefícios'!C398</f>
        <v>0</v>
      </c>
      <c r="D399" s="288"/>
      <c r="E399" s="300"/>
      <c r="F399" s="301"/>
      <c r="G399" s="293"/>
      <c r="H399" s="292">
        <v>5.8400000000000001E-2</v>
      </c>
      <c r="I399" s="256"/>
      <c r="J399" s="256"/>
      <c r="K399" s="256"/>
      <c r="L399" s="256"/>
      <c r="M399" s="293"/>
      <c r="N399" s="292">
        <v>5.8400000000000001E-2</v>
      </c>
      <c r="O399" s="256"/>
      <c r="P399" s="256"/>
      <c r="Q399" s="256"/>
      <c r="R399" s="256"/>
      <c r="S399" s="293"/>
      <c r="T399" s="294"/>
      <c r="U399" s="256"/>
      <c r="V399" s="256"/>
      <c r="W399" s="256"/>
      <c r="X399" s="256"/>
      <c r="Y399" s="293"/>
      <c r="Z399" s="294"/>
      <c r="AA399" s="256"/>
      <c r="AB399" s="256">
        <v>8.7100000000000009</v>
      </c>
      <c r="AC399" s="256"/>
      <c r="AD399" s="256"/>
      <c r="AE399" s="293"/>
      <c r="AF399" s="294"/>
      <c r="AG399" s="256"/>
      <c r="AH399" s="256"/>
      <c r="AI399" s="256"/>
      <c r="AJ399" s="257"/>
      <c r="AK399" s="296">
        <f>'Encargos e Benefícios'!D398</f>
        <v>0</v>
      </c>
      <c r="AL399" s="296">
        <f>IF('Encargos e Benefícios'!C398=0,0,'Encargos e Benefícios'!U398/'Encargos e Benefícios'!C398)</f>
        <v>0</v>
      </c>
      <c r="AM399" s="296">
        <f>IF('Encargos e Benefícios'!C398=0,0,'Encargos e Benefícios'!AC398/'Encargos e Benefícios'!C398)</f>
        <v>0</v>
      </c>
      <c r="AN399" s="297">
        <f>IF('Encargos e Benefícios'!C398=0,0,'Encargos e Benefícios'!AD398/'Encargos e Benefícios'!C398)</f>
        <v>0</v>
      </c>
      <c r="AO399" s="188"/>
      <c r="AP399" s="298"/>
      <c r="AQ399" s="298"/>
      <c r="AR399" s="302"/>
      <c r="AS399" s="188"/>
    </row>
    <row r="400" spans="1:45" ht="13.5" hidden="1" thickBot="1">
      <c r="A400" s="286">
        <v>394</v>
      </c>
      <c r="B400" s="81">
        <f>'Encargos e Benefícios'!B399</f>
        <v>0</v>
      </c>
      <c r="C400" s="287">
        <f>'Encargos e Benefícios'!C399</f>
        <v>0</v>
      </c>
      <c r="D400" s="288"/>
      <c r="E400" s="300"/>
      <c r="F400" s="301"/>
      <c r="G400" s="293"/>
      <c r="H400" s="292">
        <v>5.8400000000000001E-2</v>
      </c>
      <c r="I400" s="256"/>
      <c r="J400" s="256"/>
      <c r="K400" s="256"/>
      <c r="L400" s="256"/>
      <c r="M400" s="293"/>
      <c r="N400" s="292">
        <v>5.8400000000000001E-2</v>
      </c>
      <c r="O400" s="256"/>
      <c r="P400" s="256"/>
      <c r="Q400" s="256"/>
      <c r="R400" s="256"/>
      <c r="S400" s="293"/>
      <c r="T400" s="294"/>
      <c r="U400" s="256"/>
      <c r="V400" s="256"/>
      <c r="W400" s="256"/>
      <c r="X400" s="256"/>
      <c r="Y400" s="293"/>
      <c r="Z400" s="294"/>
      <c r="AA400" s="256"/>
      <c r="AB400" s="256">
        <v>8.7100000000000009</v>
      </c>
      <c r="AC400" s="256"/>
      <c r="AD400" s="256"/>
      <c r="AE400" s="293"/>
      <c r="AF400" s="294"/>
      <c r="AG400" s="256"/>
      <c r="AH400" s="256"/>
      <c r="AI400" s="256"/>
      <c r="AJ400" s="257"/>
      <c r="AK400" s="296">
        <f>'Encargos e Benefícios'!D399</f>
        <v>0</v>
      </c>
      <c r="AL400" s="296">
        <f>IF('Encargos e Benefícios'!C399=0,0,'Encargos e Benefícios'!U399/'Encargos e Benefícios'!C399)</f>
        <v>0</v>
      </c>
      <c r="AM400" s="296">
        <f>IF('Encargos e Benefícios'!C399=0,0,'Encargos e Benefícios'!AC399/'Encargos e Benefícios'!C399)</f>
        <v>0</v>
      </c>
      <c r="AN400" s="297">
        <f>IF('Encargos e Benefícios'!C399=0,0,'Encargos e Benefícios'!AD399/'Encargos e Benefícios'!C399)</f>
        <v>0</v>
      </c>
      <c r="AO400" s="188"/>
      <c r="AP400" s="298"/>
      <c r="AQ400" s="298"/>
      <c r="AR400" s="302"/>
      <c r="AS400" s="188"/>
    </row>
    <row r="401" spans="1:45" ht="13.5" hidden="1" thickBot="1">
      <c r="A401" s="286">
        <v>395</v>
      </c>
      <c r="B401" s="81">
        <f>'Encargos e Benefícios'!B400</f>
        <v>0</v>
      </c>
      <c r="C401" s="287">
        <f>'Encargos e Benefícios'!C400</f>
        <v>0</v>
      </c>
      <c r="D401" s="288"/>
      <c r="E401" s="300"/>
      <c r="F401" s="301"/>
      <c r="G401" s="293"/>
      <c r="H401" s="292">
        <v>5.8400000000000001E-2</v>
      </c>
      <c r="I401" s="256"/>
      <c r="J401" s="256"/>
      <c r="K401" s="256"/>
      <c r="L401" s="256"/>
      <c r="M401" s="293"/>
      <c r="N401" s="292">
        <v>5.8400000000000001E-2</v>
      </c>
      <c r="O401" s="256"/>
      <c r="P401" s="256"/>
      <c r="Q401" s="256"/>
      <c r="R401" s="256"/>
      <c r="S401" s="293"/>
      <c r="T401" s="294"/>
      <c r="U401" s="256"/>
      <c r="V401" s="256"/>
      <c r="W401" s="256"/>
      <c r="X401" s="256"/>
      <c r="Y401" s="293"/>
      <c r="Z401" s="294"/>
      <c r="AA401" s="256"/>
      <c r="AB401" s="256">
        <v>8.7100000000000009</v>
      </c>
      <c r="AC401" s="256"/>
      <c r="AD401" s="256"/>
      <c r="AE401" s="293"/>
      <c r="AF401" s="294"/>
      <c r="AG401" s="256"/>
      <c r="AH401" s="256"/>
      <c r="AI401" s="256"/>
      <c r="AJ401" s="257"/>
      <c r="AK401" s="296">
        <f>'Encargos e Benefícios'!D400</f>
        <v>0</v>
      </c>
      <c r="AL401" s="296">
        <f>IF('Encargos e Benefícios'!C400=0,0,'Encargos e Benefícios'!U400/'Encargos e Benefícios'!C400)</f>
        <v>0</v>
      </c>
      <c r="AM401" s="296">
        <f>IF('Encargos e Benefícios'!C400=0,0,'Encargos e Benefícios'!AC400/'Encargos e Benefícios'!C400)</f>
        <v>0</v>
      </c>
      <c r="AN401" s="297">
        <f>IF('Encargos e Benefícios'!C400=0,0,'Encargos e Benefícios'!AD400/'Encargos e Benefícios'!C400)</f>
        <v>0</v>
      </c>
      <c r="AO401" s="188"/>
      <c r="AP401" s="298"/>
      <c r="AQ401" s="298"/>
      <c r="AR401" s="302"/>
      <c r="AS401" s="188"/>
    </row>
    <row r="402" spans="1:45" ht="13.5" hidden="1" thickBot="1">
      <c r="A402" s="286">
        <v>396</v>
      </c>
      <c r="B402" s="81">
        <f>'Encargos e Benefícios'!B401</f>
        <v>0</v>
      </c>
      <c r="C402" s="287">
        <f>'Encargos e Benefícios'!C401</f>
        <v>0</v>
      </c>
      <c r="D402" s="288"/>
      <c r="E402" s="300"/>
      <c r="F402" s="301"/>
      <c r="G402" s="293"/>
      <c r="H402" s="292">
        <v>5.8400000000000001E-2</v>
      </c>
      <c r="I402" s="256"/>
      <c r="J402" s="256"/>
      <c r="K402" s="256"/>
      <c r="L402" s="256"/>
      <c r="M402" s="293"/>
      <c r="N402" s="292">
        <v>5.8400000000000001E-2</v>
      </c>
      <c r="O402" s="256"/>
      <c r="P402" s="256"/>
      <c r="Q402" s="256"/>
      <c r="R402" s="256"/>
      <c r="S402" s="293"/>
      <c r="T402" s="294"/>
      <c r="U402" s="256"/>
      <c r="V402" s="256"/>
      <c r="W402" s="256"/>
      <c r="X402" s="256"/>
      <c r="Y402" s="293"/>
      <c r="Z402" s="294"/>
      <c r="AA402" s="256"/>
      <c r="AB402" s="256">
        <v>8.7100000000000009</v>
      </c>
      <c r="AC402" s="256"/>
      <c r="AD402" s="256"/>
      <c r="AE402" s="293"/>
      <c r="AF402" s="294"/>
      <c r="AG402" s="256"/>
      <c r="AH402" s="256"/>
      <c r="AI402" s="256"/>
      <c r="AJ402" s="257"/>
      <c r="AK402" s="296">
        <f>'Encargos e Benefícios'!D401</f>
        <v>0</v>
      </c>
      <c r="AL402" s="296">
        <f>IF('Encargos e Benefícios'!C401=0,0,'Encargos e Benefícios'!U401/'Encargos e Benefícios'!C401)</f>
        <v>0</v>
      </c>
      <c r="AM402" s="296">
        <f>IF('Encargos e Benefícios'!C401=0,0,'Encargos e Benefícios'!AC401/'Encargos e Benefícios'!C401)</f>
        <v>0</v>
      </c>
      <c r="AN402" s="297">
        <f>IF('Encargos e Benefícios'!C401=0,0,'Encargos e Benefícios'!AD401/'Encargos e Benefícios'!C401)</f>
        <v>0</v>
      </c>
      <c r="AO402" s="188"/>
      <c r="AP402" s="298"/>
      <c r="AQ402" s="298"/>
      <c r="AR402" s="302"/>
      <c r="AS402" s="188"/>
    </row>
    <row r="403" spans="1:45" ht="13.5" hidden="1" thickBot="1">
      <c r="A403" s="286">
        <v>397</v>
      </c>
      <c r="B403" s="81">
        <f>'Encargos e Benefícios'!B402</f>
        <v>0</v>
      </c>
      <c r="C403" s="287">
        <f>'Encargos e Benefícios'!C402</f>
        <v>0</v>
      </c>
      <c r="D403" s="288"/>
      <c r="E403" s="300"/>
      <c r="F403" s="301"/>
      <c r="G403" s="293"/>
      <c r="H403" s="292">
        <v>5.8400000000000001E-2</v>
      </c>
      <c r="I403" s="256"/>
      <c r="J403" s="256"/>
      <c r="K403" s="256"/>
      <c r="L403" s="256"/>
      <c r="M403" s="293"/>
      <c r="N403" s="292">
        <v>5.8400000000000001E-2</v>
      </c>
      <c r="O403" s="256"/>
      <c r="P403" s="256"/>
      <c r="Q403" s="256"/>
      <c r="R403" s="256"/>
      <c r="S403" s="293"/>
      <c r="T403" s="294"/>
      <c r="U403" s="256"/>
      <c r="V403" s="256"/>
      <c r="W403" s="256"/>
      <c r="X403" s="256"/>
      <c r="Y403" s="293"/>
      <c r="Z403" s="294"/>
      <c r="AA403" s="256"/>
      <c r="AB403" s="256">
        <v>8.7100000000000009</v>
      </c>
      <c r="AC403" s="256"/>
      <c r="AD403" s="256"/>
      <c r="AE403" s="293"/>
      <c r="AF403" s="294"/>
      <c r="AG403" s="256"/>
      <c r="AH403" s="256"/>
      <c r="AI403" s="256"/>
      <c r="AJ403" s="257"/>
      <c r="AK403" s="296">
        <f>'Encargos e Benefícios'!D402</f>
        <v>0</v>
      </c>
      <c r="AL403" s="296">
        <f>IF('Encargos e Benefícios'!C402=0,0,'Encargos e Benefícios'!U402/'Encargos e Benefícios'!C402)</f>
        <v>0</v>
      </c>
      <c r="AM403" s="296">
        <f>IF('Encargos e Benefícios'!C402=0,0,'Encargos e Benefícios'!AC402/'Encargos e Benefícios'!C402)</f>
        <v>0</v>
      </c>
      <c r="AN403" s="297">
        <f>IF('Encargos e Benefícios'!C402=0,0,'Encargos e Benefícios'!AD402/'Encargos e Benefícios'!C402)</f>
        <v>0</v>
      </c>
      <c r="AO403" s="188"/>
      <c r="AP403" s="298"/>
      <c r="AQ403" s="298"/>
      <c r="AR403" s="302"/>
      <c r="AS403" s="188"/>
    </row>
    <row r="404" spans="1:45" ht="13.5" hidden="1" thickBot="1">
      <c r="A404" s="286">
        <v>398</v>
      </c>
      <c r="B404" s="81">
        <f>'Encargos e Benefícios'!B403</f>
        <v>0</v>
      </c>
      <c r="C404" s="287">
        <f>'Encargos e Benefícios'!C403</f>
        <v>0</v>
      </c>
      <c r="D404" s="288"/>
      <c r="E404" s="300"/>
      <c r="F404" s="301"/>
      <c r="G404" s="293"/>
      <c r="H404" s="292">
        <v>5.8400000000000001E-2</v>
      </c>
      <c r="I404" s="256"/>
      <c r="J404" s="256"/>
      <c r="K404" s="256"/>
      <c r="L404" s="256"/>
      <c r="M404" s="293"/>
      <c r="N404" s="292">
        <v>5.8400000000000001E-2</v>
      </c>
      <c r="O404" s="256"/>
      <c r="P404" s="256"/>
      <c r="Q404" s="256"/>
      <c r="R404" s="256"/>
      <c r="S404" s="293"/>
      <c r="T404" s="294"/>
      <c r="U404" s="256"/>
      <c r="V404" s="256"/>
      <c r="W404" s="256"/>
      <c r="X404" s="256"/>
      <c r="Y404" s="293"/>
      <c r="Z404" s="294"/>
      <c r="AA404" s="256"/>
      <c r="AB404" s="256">
        <v>8.7100000000000009</v>
      </c>
      <c r="AC404" s="256"/>
      <c r="AD404" s="256"/>
      <c r="AE404" s="293"/>
      <c r="AF404" s="294"/>
      <c r="AG404" s="256"/>
      <c r="AH404" s="256"/>
      <c r="AI404" s="256"/>
      <c r="AJ404" s="257"/>
      <c r="AK404" s="296">
        <f>'Encargos e Benefícios'!D403</f>
        <v>0</v>
      </c>
      <c r="AL404" s="296">
        <f>IF('Encargos e Benefícios'!C403=0,0,'Encargos e Benefícios'!U403/'Encargos e Benefícios'!C403)</f>
        <v>0</v>
      </c>
      <c r="AM404" s="296">
        <f>IF('Encargos e Benefícios'!C403=0,0,'Encargos e Benefícios'!AC403/'Encargos e Benefícios'!C403)</f>
        <v>0</v>
      </c>
      <c r="AN404" s="297">
        <f>IF('Encargos e Benefícios'!C403=0,0,'Encargos e Benefícios'!AD403/'Encargos e Benefícios'!C403)</f>
        <v>0</v>
      </c>
      <c r="AO404" s="188"/>
      <c r="AP404" s="298"/>
      <c r="AQ404" s="298"/>
      <c r="AR404" s="302"/>
      <c r="AS404" s="188"/>
    </row>
    <row r="405" spans="1:45" ht="13.5" hidden="1" thickBot="1">
      <c r="A405" s="286">
        <v>399</v>
      </c>
      <c r="B405" s="81">
        <f>'Encargos e Benefícios'!B404</f>
        <v>0</v>
      </c>
      <c r="C405" s="287">
        <f>'Encargos e Benefícios'!C404</f>
        <v>0</v>
      </c>
      <c r="D405" s="288"/>
      <c r="E405" s="300"/>
      <c r="F405" s="301"/>
      <c r="G405" s="293"/>
      <c r="H405" s="292">
        <v>5.8400000000000001E-2</v>
      </c>
      <c r="I405" s="256"/>
      <c r="J405" s="256"/>
      <c r="K405" s="256"/>
      <c r="L405" s="256"/>
      <c r="M405" s="293"/>
      <c r="N405" s="292">
        <v>5.8400000000000001E-2</v>
      </c>
      <c r="O405" s="256"/>
      <c r="P405" s="256"/>
      <c r="Q405" s="256"/>
      <c r="R405" s="256"/>
      <c r="S405" s="293"/>
      <c r="T405" s="294"/>
      <c r="U405" s="256"/>
      <c r="V405" s="256"/>
      <c r="W405" s="256"/>
      <c r="X405" s="256"/>
      <c r="Y405" s="293"/>
      <c r="Z405" s="294"/>
      <c r="AA405" s="256"/>
      <c r="AB405" s="256">
        <v>8.7100000000000009</v>
      </c>
      <c r="AC405" s="256"/>
      <c r="AD405" s="256"/>
      <c r="AE405" s="293"/>
      <c r="AF405" s="294"/>
      <c r="AG405" s="256"/>
      <c r="AH405" s="256"/>
      <c r="AI405" s="256"/>
      <c r="AJ405" s="257"/>
      <c r="AK405" s="296">
        <f>'Encargos e Benefícios'!D404</f>
        <v>0</v>
      </c>
      <c r="AL405" s="296">
        <f>IF('Encargos e Benefícios'!C404=0,0,'Encargos e Benefícios'!U404/'Encargos e Benefícios'!C404)</f>
        <v>0</v>
      </c>
      <c r="AM405" s="296">
        <f>IF('Encargos e Benefícios'!C404=0,0,'Encargos e Benefícios'!AC404/'Encargos e Benefícios'!C404)</f>
        <v>0</v>
      </c>
      <c r="AN405" s="297">
        <f>IF('Encargos e Benefícios'!C404=0,0,'Encargos e Benefícios'!AD404/'Encargos e Benefícios'!C404)</f>
        <v>0</v>
      </c>
      <c r="AO405" s="188"/>
      <c r="AP405" s="298"/>
      <c r="AQ405" s="298"/>
      <c r="AR405" s="302"/>
      <c r="AS405" s="188"/>
    </row>
    <row r="406" spans="1:45" ht="13.5" hidden="1" thickBot="1">
      <c r="A406" s="286">
        <v>400</v>
      </c>
      <c r="B406" s="81">
        <f>'Encargos e Benefícios'!B405</f>
        <v>0</v>
      </c>
      <c r="C406" s="287">
        <f>'Encargos e Benefícios'!C405</f>
        <v>0</v>
      </c>
      <c r="D406" s="288"/>
      <c r="E406" s="300"/>
      <c r="F406" s="301"/>
      <c r="G406" s="293"/>
      <c r="H406" s="292">
        <v>5.8400000000000001E-2</v>
      </c>
      <c r="I406" s="256"/>
      <c r="J406" s="256"/>
      <c r="K406" s="256"/>
      <c r="L406" s="256"/>
      <c r="M406" s="293"/>
      <c r="N406" s="292">
        <v>5.8400000000000001E-2</v>
      </c>
      <c r="O406" s="256"/>
      <c r="P406" s="256"/>
      <c r="Q406" s="256"/>
      <c r="R406" s="256"/>
      <c r="S406" s="293"/>
      <c r="T406" s="294"/>
      <c r="U406" s="256"/>
      <c r="V406" s="256"/>
      <c r="W406" s="256"/>
      <c r="X406" s="256"/>
      <c r="Y406" s="293"/>
      <c r="Z406" s="294"/>
      <c r="AA406" s="256"/>
      <c r="AB406" s="256">
        <v>8.7100000000000009</v>
      </c>
      <c r="AC406" s="256"/>
      <c r="AD406" s="256"/>
      <c r="AE406" s="293"/>
      <c r="AF406" s="294"/>
      <c r="AG406" s="256"/>
      <c r="AH406" s="256"/>
      <c r="AI406" s="256"/>
      <c r="AJ406" s="257"/>
      <c r="AK406" s="296">
        <f>'Encargos e Benefícios'!D405</f>
        <v>0</v>
      </c>
      <c r="AL406" s="296">
        <f>IF('Encargos e Benefícios'!C405=0,0,'Encargos e Benefícios'!U405/'Encargos e Benefícios'!C405)</f>
        <v>0</v>
      </c>
      <c r="AM406" s="296">
        <f>IF('Encargos e Benefícios'!C405=0,0,'Encargos e Benefícios'!AC405/'Encargos e Benefícios'!C405)</f>
        <v>0</v>
      </c>
      <c r="AN406" s="297">
        <f>IF('Encargos e Benefícios'!C405=0,0,'Encargos e Benefícios'!AD405/'Encargos e Benefícios'!C405)</f>
        <v>0</v>
      </c>
      <c r="AO406" s="188"/>
      <c r="AP406" s="298"/>
      <c r="AQ406" s="298"/>
      <c r="AR406" s="302"/>
      <c r="AS406" s="188"/>
    </row>
    <row r="407" spans="1:45" ht="13.5" hidden="1" thickBot="1">
      <c r="A407" s="286">
        <v>401</v>
      </c>
      <c r="B407" s="81">
        <f>'Encargos e Benefícios'!B406</f>
        <v>0</v>
      </c>
      <c r="C407" s="287">
        <f>'Encargos e Benefícios'!C406</f>
        <v>0</v>
      </c>
      <c r="D407" s="288"/>
      <c r="E407" s="300"/>
      <c r="F407" s="301"/>
      <c r="G407" s="293"/>
      <c r="H407" s="292">
        <v>5.8400000000000001E-2</v>
      </c>
      <c r="I407" s="256"/>
      <c r="J407" s="256"/>
      <c r="K407" s="256"/>
      <c r="L407" s="256"/>
      <c r="M407" s="293"/>
      <c r="N407" s="292">
        <v>5.8400000000000001E-2</v>
      </c>
      <c r="O407" s="256"/>
      <c r="P407" s="256"/>
      <c r="Q407" s="256"/>
      <c r="R407" s="256"/>
      <c r="S407" s="293"/>
      <c r="T407" s="294"/>
      <c r="U407" s="256"/>
      <c r="V407" s="256"/>
      <c r="W407" s="256"/>
      <c r="X407" s="256"/>
      <c r="Y407" s="293"/>
      <c r="Z407" s="294"/>
      <c r="AA407" s="256"/>
      <c r="AB407" s="256">
        <v>8.7100000000000009</v>
      </c>
      <c r="AC407" s="256"/>
      <c r="AD407" s="256"/>
      <c r="AE407" s="293"/>
      <c r="AF407" s="294"/>
      <c r="AG407" s="256"/>
      <c r="AH407" s="256"/>
      <c r="AI407" s="256"/>
      <c r="AJ407" s="257"/>
      <c r="AK407" s="296">
        <f>'Encargos e Benefícios'!D406</f>
        <v>0</v>
      </c>
      <c r="AL407" s="296">
        <f>IF('Encargos e Benefícios'!C406=0,0,'Encargos e Benefícios'!U406/'Encargos e Benefícios'!C406)</f>
        <v>0</v>
      </c>
      <c r="AM407" s="296">
        <f>IF('Encargos e Benefícios'!C406=0,0,'Encargos e Benefícios'!AC406/'Encargos e Benefícios'!C406)</f>
        <v>0</v>
      </c>
      <c r="AN407" s="297">
        <f>IF('Encargos e Benefícios'!C406=0,0,'Encargos e Benefícios'!AD406/'Encargos e Benefícios'!C406)</f>
        <v>0</v>
      </c>
      <c r="AO407" s="188"/>
      <c r="AP407" s="298"/>
      <c r="AQ407" s="298"/>
      <c r="AR407" s="302"/>
      <c r="AS407" s="188"/>
    </row>
    <row r="408" spans="1:45" ht="13.5" hidden="1" thickBot="1">
      <c r="A408" s="286">
        <v>402</v>
      </c>
      <c r="B408" s="81">
        <f>'Encargos e Benefícios'!B407</f>
        <v>0</v>
      </c>
      <c r="C408" s="287">
        <f>'Encargos e Benefícios'!C407</f>
        <v>0</v>
      </c>
      <c r="D408" s="288"/>
      <c r="E408" s="300"/>
      <c r="F408" s="301"/>
      <c r="G408" s="293"/>
      <c r="H408" s="292">
        <v>5.8400000000000001E-2</v>
      </c>
      <c r="I408" s="256"/>
      <c r="J408" s="256"/>
      <c r="K408" s="256"/>
      <c r="L408" s="256"/>
      <c r="M408" s="293"/>
      <c r="N408" s="292">
        <v>5.8400000000000001E-2</v>
      </c>
      <c r="O408" s="256"/>
      <c r="P408" s="256"/>
      <c r="Q408" s="256"/>
      <c r="R408" s="256"/>
      <c r="S408" s="293"/>
      <c r="T408" s="294"/>
      <c r="U408" s="256"/>
      <c r="V408" s="256"/>
      <c r="W408" s="256"/>
      <c r="X408" s="256"/>
      <c r="Y408" s="293"/>
      <c r="Z408" s="294"/>
      <c r="AA408" s="256"/>
      <c r="AB408" s="256">
        <v>8.7100000000000009</v>
      </c>
      <c r="AC408" s="256"/>
      <c r="AD408" s="256"/>
      <c r="AE408" s="293"/>
      <c r="AF408" s="294"/>
      <c r="AG408" s="256"/>
      <c r="AH408" s="256"/>
      <c r="AI408" s="256"/>
      <c r="AJ408" s="257"/>
      <c r="AK408" s="296">
        <f>'Encargos e Benefícios'!D407</f>
        <v>0</v>
      </c>
      <c r="AL408" s="296">
        <f>IF('Encargos e Benefícios'!C407=0,0,'Encargos e Benefícios'!U407/'Encargos e Benefícios'!C407)</f>
        <v>0</v>
      </c>
      <c r="AM408" s="296">
        <f>IF('Encargos e Benefícios'!C407=0,0,'Encargos e Benefícios'!AC407/'Encargos e Benefícios'!C407)</f>
        <v>0</v>
      </c>
      <c r="AN408" s="297">
        <f>IF('Encargos e Benefícios'!C407=0,0,'Encargos e Benefícios'!AD407/'Encargos e Benefícios'!C407)</f>
        <v>0</v>
      </c>
      <c r="AO408" s="188"/>
      <c r="AP408" s="298"/>
      <c r="AQ408" s="298"/>
      <c r="AR408" s="302"/>
      <c r="AS408" s="188"/>
    </row>
    <row r="409" spans="1:45" ht="13.5" hidden="1" thickBot="1">
      <c r="A409" s="286">
        <v>403</v>
      </c>
      <c r="B409" s="81">
        <f>'Encargos e Benefícios'!B408</f>
        <v>0</v>
      </c>
      <c r="C409" s="287">
        <f>'Encargos e Benefícios'!C408</f>
        <v>0</v>
      </c>
      <c r="D409" s="288"/>
      <c r="E409" s="300"/>
      <c r="F409" s="301"/>
      <c r="G409" s="293"/>
      <c r="H409" s="292">
        <v>5.8400000000000001E-2</v>
      </c>
      <c r="I409" s="256"/>
      <c r="J409" s="256"/>
      <c r="K409" s="256"/>
      <c r="L409" s="256"/>
      <c r="M409" s="293"/>
      <c r="N409" s="292">
        <v>5.8400000000000001E-2</v>
      </c>
      <c r="O409" s="256"/>
      <c r="P409" s="256"/>
      <c r="Q409" s="256"/>
      <c r="R409" s="256"/>
      <c r="S409" s="293"/>
      <c r="T409" s="294"/>
      <c r="U409" s="256"/>
      <c r="V409" s="256"/>
      <c r="W409" s="256"/>
      <c r="X409" s="256"/>
      <c r="Y409" s="293"/>
      <c r="Z409" s="294"/>
      <c r="AA409" s="256"/>
      <c r="AB409" s="256">
        <v>8.7100000000000009</v>
      </c>
      <c r="AC409" s="256"/>
      <c r="AD409" s="256"/>
      <c r="AE409" s="293"/>
      <c r="AF409" s="294"/>
      <c r="AG409" s="256"/>
      <c r="AH409" s="256"/>
      <c r="AI409" s="256"/>
      <c r="AJ409" s="257"/>
      <c r="AK409" s="296">
        <f>'Encargos e Benefícios'!D408</f>
        <v>0</v>
      </c>
      <c r="AL409" s="296">
        <f>IF('Encargos e Benefícios'!C408=0,0,'Encargos e Benefícios'!U408/'Encargos e Benefícios'!C408)</f>
        <v>0</v>
      </c>
      <c r="AM409" s="296">
        <f>IF('Encargos e Benefícios'!C408=0,0,'Encargos e Benefícios'!AC408/'Encargos e Benefícios'!C408)</f>
        <v>0</v>
      </c>
      <c r="AN409" s="297">
        <f>IF('Encargos e Benefícios'!C408=0,0,'Encargos e Benefícios'!AD408/'Encargos e Benefícios'!C408)</f>
        <v>0</v>
      </c>
      <c r="AO409" s="188"/>
      <c r="AP409" s="298"/>
      <c r="AQ409" s="298"/>
      <c r="AR409" s="302"/>
      <c r="AS409" s="188"/>
    </row>
    <row r="410" spans="1:45" ht="13.5" hidden="1" thickBot="1">
      <c r="A410" s="286">
        <v>404</v>
      </c>
      <c r="B410" s="81">
        <f>'Encargos e Benefícios'!B409</f>
        <v>0</v>
      </c>
      <c r="C410" s="287">
        <f>'Encargos e Benefícios'!C409</f>
        <v>0</v>
      </c>
      <c r="D410" s="288"/>
      <c r="E410" s="300"/>
      <c r="F410" s="301"/>
      <c r="G410" s="293"/>
      <c r="H410" s="292">
        <v>5.8400000000000001E-2</v>
      </c>
      <c r="I410" s="256"/>
      <c r="J410" s="256"/>
      <c r="K410" s="256"/>
      <c r="L410" s="256"/>
      <c r="M410" s="293"/>
      <c r="N410" s="292">
        <v>5.8400000000000001E-2</v>
      </c>
      <c r="O410" s="256"/>
      <c r="P410" s="256"/>
      <c r="Q410" s="256"/>
      <c r="R410" s="256"/>
      <c r="S410" s="293"/>
      <c r="T410" s="294"/>
      <c r="U410" s="256"/>
      <c r="V410" s="256"/>
      <c r="W410" s="256"/>
      <c r="X410" s="256"/>
      <c r="Y410" s="293"/>
      <c r="Z410" s="294"/>
      <c r="AA410" s="256"/>
      <c r="AB410" s="256">
        <v>8.7100000000000009</v>
      </c>
      <c r="AC410" s="256"/>
      <c r="AD410" s="256"/>
      <c r="AE410" s="293"/>
      <c r="AF410" s="294"/>
      <c r="AG410" s="256"/>
      <c r="AH410" s="256"/>
      <c r="AI410" s="256"/>
      <c r="AJ410" s="257"/>
      <c r="AK410" s="296">
        <f>'Encargos e Benefícios'!D409</f>
        <v>0</v>
      </c>
      <c r="AL410" s="296">
        <f>IF('Encargos e Benefícios'!C409=0,0,'Encargos e Benefícios'!U409/'Encargos e Benefícios'!C409)</f>
        <v>0</v>
      </c>
      <c r="AM410" s="296">
        <f>IF('Encargos e Benefícios'!C409=0,0,'Encargos e Benefícios'!AC409/'Encargos e Benefícios'!C409)</f>
        <v>0</v>
      </c>
      <c r="AN410" s="297">
        <f>IF('Encargos e Benefícios'!C409=0,0,'Encargos e Benefícios'!AD409/'Encargos e Benefícios'!C409)</f>
        <v>0</v>
      </c>
      <c r="AO410" s="188"/>
      <c r="AP410" s="298"/>
      <c r="AQ410" s="298"/>
      <c r="AR410" s="302"/>
      <c r="AS410" s="188"/>
    </row>
    <row r="411" spans="1:45" ht="13.5" hidden="1" thickBot="1">
      <c r="A411" s="286">
        <v>405</v>
      </c>
      <c r="B411" s="81">
        <f>'Encargos e Benefícios'!B410</f>
        <v>0</v>
      </c>
      <c r="C411" s="287">
        <f>'Encargos e Benefícios'!C410</f>
        <v>0</v>
      </c>
      <c r="D411" s="288"/>
      <c r="E411" s="300"/>
      <c r="F411" s="301"/>
      <c r="G411" s="293"/>
      <c r="H411" s="292">
        <v>5.8400000000000001E-2</v>
      </c>
      <c r="I411" s="256"/>
      <c r="J411" s="256"/>
      <c r="K411" s="256"/>
      <c r="L411" s="256"/>
      <c r="M411" s="293"/>
      <c r="N411" s="292">
        <v>5.8400000000000001E-2</v>
      </c>
      <c r="O411" s="256"/>
      <c r="P411" s="256"/>
      <c r="Q411" s="256"/>
      <c r="R411" s="256"/>
      <c r="S411" s="293"/>
      <c r="T411" s="294"/>
      <c r="U411" s="256"/>
      <c r="V411" s="256"/>
      <c r="W411" s="256"/>
      <c r="X411" s="256"/>
      <c r="Y411" s="293"/>
      <c r="Z411" s="294"/>
      <c r="AA411" s="256"/>
      <c r="AB411" s="256">
        <v>8.7100000000000009</v>
      </c>
      <c r="AC411" s="256"/>
      <c r="AD411" s="256"/>
      <c r="AE411" s="293"/>
      <c r="AF411" s="294"/>
      <c r="AG411" s="256"/>
      <c r="AH411" s="256"/>
      <c r="AI411" s="256"/>
      <c r="AJ411" s="257"/>
      <c r="AK411" s="296">
        <f>'Encargos e Benefícios'!D410</f>
        <v>0</v>
      </c>
      <c r="AL411" s="296">
        <f>IF('Encargos e Benefícios'!C410=0,0,'Encargos e Benefícios'!U410/'Encargos e Benefícios'!C410)</f>
        <v>0</v>
      </c>
      <c r="AM411" s="296">
        <f>IF('Encargos e Benefícios'!C410=0,0,'Encargos e Benefícios'!AC410/'Encargos e Benefícios'!C410)</f>
        <v>0</v>
      </c>
      <c r="AN411" s="297">
        <f>IF('Encargos e Benefícios'!C410=0,0,'Encargos e Benefícios'!AD410/'Encargos e Benefícios'!C410)</f>
        <v>0</v>
      </c>
      <c r="AO411" s="188"/>
      <c r="AP411" s="298"/>
      <c r="AQ411" s="298"/>
      <c r="AR411" s="302"/>
      <c r="AS411" s="188"/>
    </row>
    <row r="412" spans="1:45" ht="13.5" hidden="1" thickBot="1">
      <c r="A412" s="286">
        <v>406</v>
      </c>
      <c r="B412" s="81">
        <f>'Encargos e Benefícios'!B411</f>
        <v>0</v>
      </c>
      <c r="C412" s="287">
        <f>'Encargos e Benefícios'!C411</f>
        <v>0</v>
      </c>
      <c r="D412" s="288"/>
      <c r="E412" s="300"/>
      <c r="F412" s="301"/>
      <c r="G412" s="293"/>
      <c r="H412" s="292">
        <v>5.8400000000000001E-2</v>
      </c>
      <c r="I412" s="256"/>
      <c r="J412" s="256"/>
      <c r="K412" s="256"/>
      <c r="L412" s="256"/>
      <c r="M412" s="293"/>
      <c r="N412" s="292">
        <v>5.8400000000000001E-2</v>
      </c>
      <c r="O412" s="256"/>
      <c r="P412" s="256"/>
      <c r="Q412" s="256"/>
      <c r="R412" s="256"/>
      <c r="S412" s="293"/>
      <c r="T412" s="294"/>
      <c r="U412" s="256"/>
      <c r="V412" s="256"/>
      <c r="W412" s="256"/>
      <c r="X412" s="256"/>
      <c r="Y412" s="293"/>
      <c r="Z412" s="294"/>
      <c r="AA412" s="256"/>
      <c r="AB412" s="256">
        <v>8.7100000000000009</v>
      </c>
      <c r="AC412" s="256"/>
      <c r="AD412" s="256"/>
      <c r="AE412" s="293"/>
      <c r="AF412" s="294"/>
      <c r="AG412" s="256"/>
      <c r="AH412" s="256"/>
      <c r="AI412" s="256"/>
      <c r="AJ412" s="257"/>
      <c r="AK412" s="296">
        <f>'Encargos e Benefícios'!D411</f>
        <v>0</v>
      </c>
      <c r="AL412" s="296">
        <f>IF('Encargos e Benefícios'!C411=0,0,'Encargos e Benefícios'!U411/'Encargos e Benefícios'!C411)</f>
        <v>0</v>
      </c>
      <c r="AM412" s="296">
        <f>IF('Encargos e Benefícios'!C411=0,0,'Encargos e Benefícios'!AC411/'Encargos e Benefícios'!C411)</f>
        <v>0</v>
      </c>
      <c r="AN412" s="297">
        <f>IF('Encargos e Benefícios'!C411=0,0,'Encargos e Benefícios'!AD411/'Encargos e Benefícios'!C411)</f>
        <v>0</v>
      </c>
      <c r="AO412" s="188"/>
      <c r="AP412" s="298"/>
      <c r="AQ412" s="298"/>
      <c r="AR412" s="302"/>
      <c r="AS412" s="188"/>
    </row>
    <row r="413" spans="1:45" ht="13.5" hidden="1" thickBot="1">
      <c r="A413" s="286">
        <v>407</v>
      </c>
      <c r="B413" s="81">
        <f>'Encargos e Benefícios'!B412</f>
        <v>0</v>
      </c>
      <c r="C413" s="287">
        <f>'Encargos e Benefícios'!C412</f>
        <v>0</v>
      </c>
      <c r="D413" s="288"/>
      <c r="E413" s="300"/>
      <c r="F413" s="301"/>
      <c r="G413" s="293"/>
      <c r="H413" s="292">
        <v>5.8400000000000001E-2</v>
      </c>
      <c r="I413" s="256"/>
      <c r="J413" s="256"/>
      <c r="K413" s="256"/>
      <c r="L413" s="256"/>
      <c r="M413" s="293"/>
      <c r="N413" s="292">
        <v>5.8400000000000001E-2</v>
      </c>
      <c r="O413" s="256"/>
      <c r="P413" s="256"/>
      <c r="Q413" s="256"/>
      <c r="R413" s="256"/>
      <c r="S413" s="293"/>
      <c r="T413" s="294"/>
      <c r="U413" s="256"/>
      <c r="V413" s="256"/>
      <c r="W413" s="256"/>
      <c r="X413" s="256"/>
      <c r="Y413" s="293"/>
      <c r="Z413" s="294"/>
      <c r="AA413" s="256"/>
      <c r="AB413" s="256">
        <v>8.7100000000000009</v>
      </c>
      <c r="AC413" s="256"/>
      <c r="AD413" s="256"/>
      <c r="AE413" s="293"/>
      <c r="AF413" s="294"/>
      <c r="AG413" s="256"/>
      <c r="AH413" s="256"/>
      <c r="AI413" s="256"/>
      <c r="AJ413" s="257"/>
      <c r="AK413" s="296">
        <f>'Encargos e Benefícios'!D412</f>
        <v>0</v>
      </c>
      <c r="AL413" s="296">
        <f>IF('Encargos e Benefícios'!C412=0,0,'Encargos e Benefícios'!U412/'Encargos e Benefícios'!C412)</f>
        <v>0</v>
      </c>
      <c r="AM413" s="296">
        <f>IF('Encargos e Benefícios'!C412=0,0,'Encargos e Benefícios'!AC412/'Encargos e Benefícios'!C412)</f>
        <v>0</v>
      </c>
      <c r="AN413" s="297">
        <f>IF('Encargos e Benefícios'!C412=0,0,'Encargos e Benefícios'!AD412/'Encargos e Benefícios'!C412)</f>
        <v>0</v>
      </c>
      <c r="AO413" s="188"/>
      <c r="AP413" s="298"/>
      <c r="AQ413" s="298"/>
      <c r="AR413" s="302"/>
      <c r="AS413" s="188"/>
    </row>
    <row r="414" spans="1:45" ht="13.5" hidden="1" thickBot="1">
      <c r="A414" s="286">
        <v>408</v>
      </c>
      <c r="B414" s="81">
        <f>'Encargos e Benefícios'!B413</f>
        <v>0</v>
      </c>
      <c r="C414" s="287">
        <f>'Encargos e Benefícios'!C413</f>
        <v>0</v>
      </c>
      <c r="D414" s="288"/>
      <c r="E414" s="300"/>
      <c r="F414" s="301"/>
      <c r="G414" s="293"/>
      <c r="H414" s="292">
        <v>5.8400000000000001E-2</v>
      </c>
      <c r="I414" s="256"/>
      <c r="J414" s="256"/>
      <c r="K414" s="256"/>
      <c r="L414" s="256"/>
      <c r="M414" s="293"/>
      <c r="N414" s="292">
        <v>5.8400000000000001E-2</v>
      </c>
      <c r="O414" s="256"/>
      <c r="P414" s="256"/>
      <c r="Q414" s="256"/>
      <c r="R414" s="256"/>
      <c r="S414" s="293"/>
      <c r="T414" s="294"/>
      <c r="U414" s="256"/>
      <c r="V414" s="256"/>
      <c r="W414" s="256"/>
      <c r="X414" s="256"/>
      <c r="Y414" s="293"/>
      <c r="Z414" s="294"/>
      <c r="AA414" s="256"/>
      <c r="AB414" s="256">
        <v>8.7100000000000009</v>
      </c>
      <c r="AC414" s="256"/>
      <c r="AD414" s="256"/>
      <c r="AE414" s="293"/>
      <c r="AF414" s="294"/>
      <c r="AG414" s="256"/>
      <c r="AH414" s="256"/>
      <c r="AI414" s="256"/>
      <c r="AJ414" s="257"/>
      <c r="AK414" s="296">
        <f>'Encargos e Benefícios'!D413</f>
        <v>0</v>
      </c>
      <c r="AL414" s="296">
        <f>IF('Encargos e Benefícios'!C413=0,0,'Encargos e Benefícios'!U413/'Encargos e Benefícios'!C413)</f>
        <v>0</v>
      </c>
      <c r="AM414" s="296">
        <f>IF('Encargos e Benefícios'!C413=0,0,'Encargos e Benefícios'!AC413/'Encargos e Benefícios'!C413)</f>
        <v>0</v>
      </c>
      <c r="AN414" s="297">
        <f>IF('Encargos e Benefícios'!C413=0,0,'Encargos e Benefícios'!AD413/'Encargos e Benefícios'!C413)</f>
        <v>0</v>
      </c>
      <c r="AO414" s="188"/>
      <c r="AP414" s="298"/>
      <c r="AQ414" s="298"/>
      <c r="AR414" s="302"/>
      <c r="AS414" s="188"/>
    </row>
    <row r="415" spans="1:45" ht="13.5" hidden="1" thickBot="1">
      <c r="A415" s="286">
        <v>409</v>
      </c>
      <c r="B415" s="81">
        <f>'Encargos e Benefícios'!B414</f>
        <v>0</v>
      </c>
      <c r="C415" s="287">
        <f>'Encargos e Benefícios'!C414</f>
        <v>0</v>
      </c>
      <c r="D415" s="288"/>
      <c r="E415" s="300"/>
      <c r="F415" s="301"/>
      <c r="G415" s="293"/>
      <c r="H415" s="292">
        <v>5.8400000000000001E-2</v>
      </c>
      <c r="I415" s="256"/>
      <c r="J415" s="256"/>
      <c r="K415" s="256"/>
      <c r="L415" s="256"/>
      <c r="M415" s="293"/>
      <c r="N415" s="292">
        <v>5.8400000000000001E-2</v>
      </c>
      <c r="O415" s="256"/>
      <c r="P415" s="256"/>
      <c r="Q415" s="256"/>
      <c r="R415" s="256"/>
      <c r="S415" s="293"/>
      <c r="T415" s="294"/>
      <c r="U415" s="256"/>
      <c r="V415" s="256"/>
      <c r="W415" s="256"/>
      <c r="X415" s="256"/>
      <c r="Y415" s="293"/>
      <c r="Z415" s="294"/>
      <c r="AA415" s="256"/>
      <c r="AB415" s="256">
        <v>8.7100000000000009</v>
      </c>
      <c r="AC415" s="256"/>
      <c r="AD415" s="256"/>
      <c r="AE415" s="293"/>
      <c r="AF415" s="294"/>
      <c r="AG415" s="256"/>
      <c r="AH415" s="256"/>
      <c r="AI415" s="256"/>
      <c r="AJ415" s="257"/>
      <c r="AK415" s="296">
        <f>'Encargos e Benefícios'!D414</f>
        <v>0</v>
      </c>
      <c r="AL415" s="296">
        <f>IF('Encargos e Benefícios'!C414=0,0,'Encargos e Benefícios'!U414/'Encargos e Benefícios'!C414)</f>
        <v>0</v>
      </c>
      <c r="AM415" s="296">
        <f>IF('Encargos e Benefícios'!C414=0,0,'Encargos e Benefícios'!AC414/'Encargos e Benefícios'!C414)</f>
        <v>0</v>
      </c>
      <c r="AN415" s="297">
        <f>IF('Encargos e Benefícios'!C414=0,0,'Encargos e Benefícios'!AD414/'Encargos e Benefícios'!C414)</f>
        <v>0</v>
      </c>
      <c r="AO415" s="188"/>
      <c r="AP415" s="298"/>
      <c r="AQ415" s="298"/>
      <c r="AR415" s="302"/>
      <c r="AS415" s="188"/>
    </row>
    <row r="416" spans="1:45" ht="13.5" hidden="1" thickBot="1">
      <c r="A416" s="286">
        <v>410</v>
      </c>
      <c r="B416" s="81">
        <f>'Encargos e Benefícios'!B415</f>
        <v>0</v>
      </c>
      <c r="C416" s="287">
        <f>'Encargos e Benefícios'!C415</f>
        <v>0</v>
      </c>
      <c r="D416" s="288"/>
      <c r="E416" s="300"/>
      <c r="F416" s="301"/>
      <c r="G416" s="293"/>
      <c r="H416" s="292">
        <v>5.8400000000000001E-2</v>
      </c>
      <c r="I416" s="256"/>
      <c r="J416" s="256"/>
      <c r="K416" s="256"/>
      <c r="L416" s="256"/>
      <c r="M416" s="293"/>
      <c r="N416" s="292">
        <v>5.8400000000000001E-2</v>
      </c>
      <c r="O416" s="256"/>
      <c r="P416" s="256"/>
      <c r="Q416" s="256"/>
      <c r="R416" s="256"/>
      <c r="S416" s="293"/>
      <c r="T416" s="294"/>
      <c r="U416" s="256"/>
      <c r="V416" s="256"/>
      <c r="W416" s="256"/>
      <c r="X416" s="256"/>
      <c r="Y416" s="293"/>
      <c r="Z416" s="294"/>
      <c r="AA416" s="256"/>
      <c r="AB416" s="256">
        <v>8.7100000000000009</v>
      </c>
      <c r="AC416" s="256"/>
      <c r="AD416" s="256"/>
      <c r="AE416" s="293"/>
      <c r="AF416" s="294"/>
      <c r="AG416" s="256"/>
      <c r="AH416" s="256"/>
      <c r="AI416" s="256"/>
      <c r="AJ416" s="257"/>
      <c r="AK416" s="296">
        <f>'Encargos e Benefícios'!D415</f>
        <v>0</v>
      </c>
      <c r="AL416" s="296">
        <f>IF('Encargos e Benefícios'!C415=0,0,'Encargos e Benefícios'!U415/'Encargos e Benefícios'!C415)</f>
        <v>0</v>
      </c>
      <c r="AM416" s="296">
        <f>IF('Encargos e Benefícios'!C415=0,0,'Encargos e Benefícios'!AC415/'Encargos e Benefícios'!C415)</f>
        <v>0</v>
      </c>
      <c r="AN416" s="297">
        <f>IF('Encargos e Benefícios'!C415=0,0,'Encargos e Benefícios'!AD415/'Encargos e Benefícios'!C415)</f>
        <v>0</v>
      </c>
      <c r="AO416" s="188"/>
      <c r="AP416" s="298"/>
      <c r="AQ416" s="298"/>
      <c r="AR416" s="302"/>
      <c r="AS416" s="188"/>
    </row>
    <row r="417" spans="1:45" ht="13.5" hidden="1" thickBot="1">
      <c r="A417" s="286">
        <v>411</v>
      </c>
      <c r="B417" s="81">
        <f>'Encargos e Benefícios'!B416</f>
        <v>0</v>
      </c>
      <c r="C417" s="287">
        <f>'Encargos e Benefícios'!C416</f>
        <v>0</v>
      </c>
      <c r="D417" s="288"/>
      <c r="E417" s="300"/>
      <c r="F417" s="301"/>
      <c r="G417" s="293"/>
      <c r="H417" s="292">
        <v>5.8400000000000001E-2</v>
      </c>
      <c r="I417" s="256"/>
      <c r="J417" s="256"/>
      <c r="K417" s="256"/>
      <c r="L417" s="256"/>
      <c r="M417" s="293"/>
      <c r="N417" s="292">
        <v>5.8400000000000001E-2</v>
      </c>
      <c r="O417" s="256"/>
      <c r="P417" s="256"/>
      <c r="Q417" s="256"/>
      <c r="R417" s="256"/>
      <c r="S417" s="293"/>
      <c r="T417" s="294"/>
      <c r="U417" s="256"/>
      <c r="V417" s="256"/>
      <c r="W417" s="256"/>
      <c r="X417" s="256"/>
      <c r="Y417" s="293"/>
      <c r="Z417" s="294"/>
      <c r="AA417" s="256"/>
      <c r="AB417" s="256">
        <v>8.7100000000000009</v>
      </c>
      <c r="AC417" s="256"/>
      <c r="AD417" s="256"/>
      <c r="AE417" s="293"/>
      <c r="AF417" s="294"/>
      <c r="AG417" s="256"/>
      <c r="AH417" s="256"/>
      <c r="AI417" s="256"/>
      <c r="AJ417" s="257"/>
      <c r="AK417" s="296">
        <f>'Encargos e Benefícios'!D416</f>
        <v>0</v>
      </c>
      <c r="AL417" s="296">
        <f>IF('Encargos e Benefícios'!C416=0,0,'Encargos e Benefícios'!U416/'Encargos e Benefícios'!C416)</f>
        <v>0</v>
      </c>
      <c r="AM417" s="296">
        <f>IF('Encargos e Benefícios'!C416=0,0,'Encargos e Benefícios'!AC416/'Encargos e Benefícios'!C416)</f>
        <v>0</v>
      </c>
      <c r="AN417" s="297">
        <f>IF('Encargos e Benefícios'!C416=0,0,'Encargos e Benefícios'!AD416/'Encargos e Benefícios'!C416)</f>
        <v>0</v>
      </c>
      <c r="AO417" s="188"/>
      <c r="AP417" s="298"/>
      <c r="AQ417" s="298"/>
      <c r="AR417" s="302"/>
      <c r="AS417" s="188"/>
    </row>
    <row r="418" spans="1:45" ht="13.5" hidden="1" thickBot="1">
      <c r="A418" s="286">
        <v>412</v>
      </c>
      <c r="B418" s="81">
        <f>'Encargos e Benefícios'!B417</f>
        <v>0</v>
      </c>
      <c r="C418" s="287">
        <f>'Encargos e Benefícios'!C417</f>
        <v>0</v>
      </c>
      <c r="D418" s="288"/>
      <c r="E418" s="300"/>
      <c r="F418" s="301"/>
      <c r="G418" s="293"/>
      <c r="H418" s="292">
        <v>5.8400000000000001E-2</v>
      </c>
      <c r="I418" s="256"/>
      <c r="J418" s="256"/>
      <c r="K418" s="256"/>
      <c r="L418" s="256"/>
      <c r="M418" s="293"/>
      <c r="N418" s="292">
        <v>5.8400000000000001E-2</v>
      </c>
      <c r="O418" s="256"/>
      <c r="P418" s="256"/>
      <c r="Q418" s="256"/>
      <c r="R418" s="256"/>
      <c r="S418" s="293"/>
      <c r="T418" s="294"/>
      <c r="U418" s="256"/>
      <c r="V418" s="256"/>
      <c r="W418" s="256"/>
      <c r="X418" s="256"/>
      <c r="Y418" s="293"/>
      <c r="Z418" s="294"/>
      <c r="AA418" s="256"/>
      <c r="AB418" s="256">
        <v>8.7100000000000009</v>
      </c>
      <c r="AC418" s="256"/>
      <c r="AD418" s="256"/>
      <c r="AE418" s="293"/>
      <c r="AF418" s="294"/>
      <c r="AG418" s="256"/>
      <c r="AH418" s="256"/>
      <c r="AI418" s="256"/>
      <c r="AJ418" s="257"/>
      <c r="AK418" s="296">
        <f>'Encargos e Benefícios'!D417</f>
        <v>0</v>
      </c>
      <c r="AL418" s="296">
        <f>IF('Encargos e Benefícios'!C417=0,0,'Encargos e Benefícios'!U417/'Encargos e Benefícios'!C417)</f>
        <v>0</v>
      </c>
      <c r="AM418" s="296">
        <f>IF('Encargos e Benefícios'!C417=0,0,'Encargos e Benefícios'!AC417/'Encargos e Benefícios'!C417)</f>
        <v>0</v>
      </c>
      <c r="AN418" s="297">
        <f>IF('Encargos e Benefícios'!C417=0,0,'Encargos e Benefícios'!AD417/'Encargos e Benefícios'!C417)</f>
        <v>0</v>
      </c>
      <c r="AO418" s="188"/>
      <c r="AP418" s="298"/>
      <c r="AQ418" s="298"/>
      <c r="AR418" s="302"/>
      <c r="AS418" s="188"/>
    </row>
    <row r="419" spans="1:45" ht="13.5" hidden="1" thickBot="1">
      <c r="A419" s="286">
        <v>413</v>
      </c>
      <c r="B419" s="81">
        <f>'Encargos e Benefícios'!B418</f>
        <v>0</v>
      </c>
      <c r="C419" s="287">
        <f>'Encargos e Benefícios'!C418</f>
        <v>0</v>
      </c>
      <c r="D419" s="288"/>
      <c r="E419" s="300"/>
      <c r="F419" s="301"/>
      <c r="G419" s="293"/>
      <c r="H419" s="292">
        <v>5.8400000000000001E-2</v>
      </c>
      <c r="I419" s="256"/>
      <c r="J419" s="256"/>
      <c r="K419" s="256"/>
      <c r="L419" s="256"/>
      <c r="M419" s="293"/>
      <c r="N419" s="292">
        <v>5.8400000000000001E-2</v>
      </c>
      <c r="O419" s="256"/>
      <c r="P419" s="256"/>
      <c r="Q419" s="256"/>
      <c r="R419" s="256"/>
      <c r="S419" s="293"/>
      <c r="T419" s="294"/>
      <c r="U419" s="256"/>
      <c r="V419" s="256"/>
      <c r="W419" s="256"/>
      <c r="X419" s="256"/>
      <c r="Y419" s="293"/>
      <c r="Z419" s="294"/>
      <c r="AA419" s="256"/>
      <c r="AB419" s="256">
        <v>8.7100000000000009</v>
      </c>
      <c r="AC419" s="256"/>
      <c r="AD419" s="256"/>
      <c r="AE419" s="293"/>
      <c r="AF419" s="294"/>
      <c r="AG419" s="256"/>
      <c r="AH419" s="256"/>
      <c r="AI419" s="256"/>
      <c r="AJ419" s="257"/>
      <c r="AK419" s="296">
        <f>'Encargos e Benefícios'!D418</f>
        <v>0</v>
      </c>
      <c r="AL419" s="296">
        <f>IF('Encargos e Benefícios'!C418=0,0,'Encargos e Benefícios'!U418/'Encargos e Benefícios'!C418)</f>
        <v>0</v>
      </c>
      <c r="AM419" s="296">
        <f>IF('Encargos e Benefícios'!C418=0,0,'Encargos e Benefícios'!AC418/'Encargos e Benefícios'!C418)</f>
        <v>0</v>
      </c>
      <c r="AN419" s="297">
        <f>IF('Encargos e Benefícios'!C418=0,0,'Encargos e Benefícios'!AD418/'Encargos e Benefícios'!C418)</f>
        <v>0</v>
      </c>
      <c r="AO419" s="188"/>
      <c r="AP419" s="298"/>
      <c r="AQ419" s="298"/>
      <c r="AR419" s="302"/>
      <c r="AS419" s="188"/>
    </row>
    <row r="420" spans="1:45" ht="13.5" hidden="1" thickBot="1">
      <c r="A420" s="286">
        <v>414</v>
      </c>
      <c r="B420" s="81">
        <f>'Encargos e Benefícios'!B419</f>
        <v>0</v>
      </c>
      <c r="C420" s="287">
        <f>'Encargos e Benefícios'!C419</f>
        <v>0</v>
      </c>
      <c r="D420" s="288"/>
      <c r="E420" s="300"/>
      <c r="F420" s="301"/>
      <c r="G420" s="293"/>
      <c r="H420" s="292">
        <v>5.8400000000000001E-2</v>
      </c>
      <c r="I420" s="256"/>
      <c r="J420" s="256"/>
      <c r="K420" s="256"/>
      <c r="L420" s="256"/>
      <c r="M420" s="293"/>
      <c r="N420" s="292">
        <v>5.8400000000000001E-2</v>
      </c>
      <c r="O420" s="256"/>
      <c r="P420" s="256"/>
      <c r="Q420" s="256"/>
      <c r="R420" s="256"/>
      <c r="S420" s="293"/>
      <c r="T420" s="294"/>
      <c r="U420" s="256"/>
      <c r="V420" s="256"/>
      <c r="W420" s="256"/>
      <c r="X420" s="256"/>
      <c r="Y420" s="293"/>
      <c r="Z420" s="294"/>
      <c r="AA420" s="256"/>
      <c r="AB420" s="256">
        <v>8.7100000000000009</v>
      </c>
      <c r="AC420" s="256"/>
      <c r="AD420" s="256"/>
      <c r="AE420" s="293"/>
      <c r="AF420" s="294"/>
      <c r="AG420" s="256"/>
      <c r="AH420" s="256"/>
      <c r="AI420" s="256"/>
      <c r="AJ420" s="257"/>
      <c r="AK420" s="296">
        <f>'Encargos e Benefícios'!D419</f>
        <v>0</v>
      </c>
      <c r="AL420" s="296">
        <f>IF('Encargos e Benefícios'!C419=0,0,'Encargos e Benefícios'!U419/'Encargos e Benefícios'!C419)</f>
        <v>0</v>
      </c>
      <c r="AM420" s="296">
        <f>IF('Encargos e Benefícios'!C419=0,0,'Encargos e Benefícios'!AC419/'Encargos e Benefícios'!C419)</f>
        <v>0</v>
      </c>
      <c r="AN420" s="297">
        <f>IF('Encargos e Benefícios'!C419=0,0,'Encargos e Benefícios'!AD419/'Encargos e Benefícios'!C419)</f>
        <v>0</v>
      </c>
      <c r="AO420" s="188"/>
      <c r="AP420" s="298"/>
      <c r="AQ420" s="298"/>
      <c r="AR420" s="302"/>
      <c r="AS420" s="188"/>
    </row>
    <row r="421" spans="1:45" ht="13.5" hidden="1" thickBot="1">
      <c r="A421" s="286">
        <v>415</v>
      </c>
      <c r="B421" s="81">
        <f>'Encargos e Benefícios'!B420</f>
        <v>0</v>
      </c>
      <c r="C421" s="287">
        <f>'Encargos e Benefícios'!C420</f>
        <v>0</v>
      </c>
      <c r="D421" s="288"/>
      <c r="E421" s="300"/>
      <c r="F421" s="301"/>
      <c r="G421" s="293"/>
      <c r="H421" s="292">
        <v>5.8400000000000001E-2</v>
      </c>
      <c r="I421" s="256"/>
      <c r="J421" s="256"/>
      <c r="K421" s="256"/>
      <c r="L421" s="256"/>
      <c r="M421" s="293"/>
      <c r="N421" s="292">
        <v>5.8400000000000001E-2</v>
      </c>
      <c r="O421" s="256"/>
      <c r="P421" s="256"/>
      <c r="Q421" s="256"/>
      <c r="R421" s="256"/>
      <c r="S421" s="293"/>
      <c r="T421" s="294"/>
      <c r="U421" s="256"/>
      <c r="V421" s="256"/>
      <c r="W421" s="256"/>
      <c r="X421" s="256"/>
      <c r="Y421" s="293"/>
      <c r="Z421" s="294"/>
      <c r="AA421" s="256"/>
      <c r="AB421" s="256">
        <v>8.7100000000000009</v>
      </c>
      <c r="AC421" s="256"/>
      <c r="AD421" s="256"/>
      <c r="AE421" s="293"/>
      <c r="AF421" s="294"/>
      <c r="AG421" s="256"/>
      <c r="AH421" s="256"/>
      <c r="AI421" s="256"/>
      <c r="AJ421" s="257"/>
      <c r="AK421" s="296">
        <f>'Encargos e Benefícios'!D420</f>
        <v>0</v>
      </c>
      <c r="AL421" s="296">
        <f>IF('Encargos e Benefícios'!C420=0,0,'Encargos e Benefícios'!U420/'Encargos e Benefícios'!C420)</f>
        <v>0</v>
      </c>
      <c r="AM421" s="296">
        <f>IF('Encargos e Benefícios'!C420=0,0,'Encargos e Benefícios'!AC420/'Encargos e Benefícios'!C420)</f>
        <v>0</v>
      </c>
      <c r="AN421" s="297">
        <f>IF('Encargos e Benefícios'!C420=0,0,'Encargos e Benefícios'!AD420/'Encargos e Benefícios'!C420)</f>
        <v>0</v>
      </c>
      <c r="AO421" s="188"/>
      <c r="AP421" s="298"/>
      <c r="AQ421" s="298"/>
      <c r="AR421" s="302"/>
      <c r="AS421" s="188"/>
    </row>
    <row r="422" spans="1:45" ht="13.5" hidden="1" thickBot="1">
      <c r="A422" s="286">
        <v>416</v>
      </c>
      <c r="B422" s="81">
        <f>'Encargos e Benefícios'!B421</f>
        <v>0</v>
      </c>
      <c r="C422" s="287">
        <f>'Encargos e Benefícios'!C421</f>
        <v>0</v>
      </c>
      <c r="D422" s="288"/>
      <c r="E422" s="300"/>
      <c r="F422" s="301"/>
      <c r="G422" s="293"/>
      <c r="H422" s="292">
        <v>5.8400000000000001E-2</v>
      </c>
      <c r="I422" s="256"/>
      <c r="J422" s="256"/>
      <c r="K422" s="256"/>
      <c r="L422" s="256"/>
      <c r="M422" s="293"/>
      <c r="N422" s="292">
        <v>5.8400000000000001E-2</v>
      </c>
      <c r="O422" s="256"/>
      <c r="P422" s="256"/>
      <c r="Q422" s="256"/>
      <c r="R422" s="256"/>
      <c r="S422" s="293"/>
      <c r="T422" s="294"/>
      <c r="U422" s="256"/>
      <c r="V422" s="256"/>
      <c r="W422" s="256"/>
      <c r="X422" s="256"/>
      <c r="Y422" s="293"/>
      <c r="Z422" s="294"/>
      <c r="AA422" s="256"/>
      <c r="AB422" s="256">
        <v>8.7100000000000009</v>
      </c>
      <c r="AC422" s="256"/>
      <c r="AD422" s="256"/>
      <c r="AE422" s="293"/>
      <c r="AF422" s="294"/>
      <c r="AG422" s="256"/>
      <c r="AH422" s="256"/>
      <c r="AI422" s="256"/>
      <c r="AJ422" s="257"/>
      <c r="AK422" s="296">
        <f>'Encargos e Benefícios'!D421</f>
        <v>0</v>
      </c>
      <c r="AL422" s="296">
        <f>IF('Encargos e Benefícios'!C421=0,0,'Encargos e Benefícios'!U421/'Encargos e Benefícios'!C421)</f>
        <v>0</v>
      </c>
      <c r="AM422" s="296">
        <f>IF('Encargos e Benefícios'!C421=0,0,'Encargos e Benefícios'!AC421/'Encargos e Benefícios'!C421)</f>
        <v>0</v>
      </c>
      <c r="AN422" s="297">
        <f>IF('Encargos e Benefícios'!C421=0,0,'Encargos e Benefícios'!AD421/'Encargos e Benefícios'!C421)</f>
        <v>0</v>
      </c>
      <c r="AO422" s="188"/>
      <c r="AP422" s="298"/>
      <c r="AQ422" s="298"/>
      <c r="AR422" s="302"/>
      <c r="AS422" s="188"/>
    </row>
    <row r="423" spans="1:45" ht="13.5" hidden="1" thickBot="1">
      <c r="A423" s="286">
        <v>417</v>
      </c>
      <c r="B423" s="81">
        <f>'Encargos e Benefícios'!B422</f>
        <v>0</v>
      </c>
      <c r="C423" s="287">
        <f>'Encargos e Benefícios'!C422</f>
        <v>0</v>
      </c>
      <c r="D423" s="288"/>
      <c r="E423" s="300"/>
      <c r="F423" s="301"/>
      <c r="G423" s="293"/>
      <c r="H423" s="292">
        <v>5.8400000000000001E-2</v>
      </c>
      <c r="I423" s="256"/>
      <c r="J423" s="256"/>
      <c r="K423" s="256"/>
      <c r="L423" s="256"/>
      <c r="M423" s="293"/>
      <c r="N423" s="292">
        <v>5.8400000000000001E-2</v>
      </c>
      <c r="O423" s="256"/>
      <c r="P423" s="256"/>
      <c r="Q423" s="256"/>
      <c r="R423" s="256"/>
      <c r="S423" s="293"/>
      <c r="T423" s="294"/>
      <c r="U423" s="256"/>
      <c r="V423" s="256"/>
      <c r="W423" s="256"/>
      <c r="X423" s="256"/>
      <c r="Y423" s="293"/>
      <c r="Z423" s="294"/>
      <c r="AA423" s="256"/>
      <c r="AB423" s="256">
        <v>8.7100000000000009</v>
      </c>
      <c r="AC423" s="256"/>
      <c r="AD423" s="256"/>
      <c r="AE423" s="293"/>
      <c r="AF423" s="294"/>
      <c r="AG423" s="256"/>
      <c r="AH423" s="256"/>
      <c r="AI423" s="256"/>
      <c r="AJ423" s="257"/>
      <c r="AK423" s="296">
        <f>'Encargos e Benefícios'!D422</f>
        <v>0</v>
      </c>
      <c r="AL423" s="296">
        <f>IF('Encargos e Benefícios'!C422=0,0,'Encargos e Benefícios'!U422/'Encargos e Benefícios'!C422)</f>
        <v>0</v>
      </c>
      <c r="AM423" s="296">
        <f>IF('Encargos e Benefícios'!C422=0,0,'Encargos e Benefícios'!AC422/'Encargos e Benefícios'!C422)</f>
        <v>0</v>
      </c>
      <c r="AN423" s="297">
        <f>IF('Encargos e Benefícios'!C422=0,0,'Encargos e Benefícios'!AD422/'Encargos e Benefícios'!C422)</f>
        <v>0</v>
      </c>
      <c r="AO423" s="188"/>
      <c r="AP423" s="298"/>
      <c r="AQ423" s="298"/>
      <c r="AR423" s="302"/>
      <c r="AS423" s="188"/>
    </row>
    <row r="424" spans="1:45" ht="13.5" hidden="1" thickBot="1">
      <c r="A424" s="286">
        <v>418</v>
      </c>
      <c r="B424" s="81">
        <f>'Encargos e Benefícios'!B423</f>
        <v>0</v>
      </c>
      <c r="C424" s="287">
        <f>'Encargos e Benefícios'!C423</f>
        <v>0</v>
      </c>
      <c r="D424" s="288"/>
      <c r="E424" s="300"/>
      <c r="F424" s="301"/>
      <c r="G424" s="293"/>
      <c r="H424" s="292">
        <v>5.8400000000000001E-2</v>
      </c>
      <c r="I424" s="256"/>
      <c r="J424" s="256"/>
      <c r="K424" s="256"/>
      <c r="L424" s="256"/>
      <c r="M424" s="293"/>
      <c r="N424" s="292">
        <v>5.8400000000000001E-2</v>
      </c>
      <c r="O424" s="256"/>
      <c r="P424" s="256"/>
      <c r="Q424" s="256"/>
      <c r="R424" s="256"/>
      <c r="S424" s="293"/>
      <c r="T424" s="294"/>
      <c r="U424" s="256"/>
      <c r="V424" s="256"/>
      <c r="W424" s="256"/>
      <c r="X424" s="256"/>
      <c r="Y424" s="293"/>
      <c r="Z424" s="294"/>
      <c r="AA424" s="256"/>
      <c r="AB424" s="256">
        <v>8.7100000000000009</v>
      </c>
      <c r="AC424" s="256"/>
      <c r="AD424" s="256"/>
      <c r="AE424" s="293"/>
      <c r="AF424" s="294"/>
      <c r="AG424" s="256"/>
      <c r="AH424" s="256"/>
      <c r="AI424" s="256"/>
      <c r="AJ424" s="257"/>
      <c r="AK424" s="296">
        <f>'Encargos e Benefícios'!D423</f>
        <v>0</v>
      </c>
      <c r="AL424" s="296">
        <f>IF('Encargos e Benefícios'!C423=0,0,'Encargos e Benefícios'!U423/'Encargos e Benefícios'!C423)</f>
        <v>0</v>
      </c>
      <c r="AM424" s="296">
        <f>IF('Encargos e Benefícios'!C423=0,0,'Encargos e Benefícios'!AC423/'Encargos e Benefícios'!C423)</f>
        <v>0</v>
      </c>
      <c r="AN424" s="297">
        <f>IF('Encargos e Benefícios'!C423=0,0,'Encargos e Benefícios'!AD423/'Encargos e Benefícios'!C423)</f>
        <v>0</v>
      </c>
      <c r="AO424" s="188"/>
      <c r="AP424" s="298"/>
      <c r="AQ424" s="298"/>
      <c r="AR424" s="302"/>
      <c r="AS424" s="188"/>
    </row>
    <row r="425" spans="1:45" ht="13.5" hidden="1" thickBot="1">
      <c r="A425" s="286">
        <v>419</v>
      </c>
      <c r="B425" s="81">
        <f>'Encargos e Benefícios'!B424</f>
        <v>0</v>
      </c>
      <c r="C425" s="287">
        <f>'Encargos e Benefícios'!C424</f>
        <v>0</v>
      </c>
      <c r="D425" s="288"/>
      <c r="E425" s="300"/>
      <c r="F425" s="301"/>
      <c r="G425" s="293"/>
      <c r="H425" s="292">
        <v>5.8400000000000001E-2</v>
      </c>
      <c r="I425" s="256"/>
      <c r="J425" s="256"/>
      <c r="K425" s="256"/>
      <c r="L425" s="256"/>
      <c r="M425" s="293"/>
      <c r="N425" s="292">
        <v>5.8400000000000001E-2</v>
      </c>
      <c r="O425" s="256"/>
      <c r="P425" s="256"/>
      <c r="Q425" s="256"/>
      <c r="R425" s="256"/>
      <c r="S425" s="293"/>
      <c r="T425" s="294"/>
      <c r="U425" s="256"/>
      <c r="V425" s="256"/>
      <c r="W425" s="256"/>
      <c r="X425" s="256"/>
      <c r="Y425" s="293"/>
      <c r="Z425" s="294"/>
      <c r="AA425" s="256"/>
      <c r="AB425" s="256">
        <v>8.7100000000000009</v>
      </c>
      <c r="AC425" s="256"/>
      <c r="AD425" s="256"/>
      <c r="AE425" s="293"/>
      <c r="AF425" s="294"/>
      <c r="AG425" s="256"/>
      <c r="AH425" s="256"/>
      <c r="AI425" s="256"/>
      <c r="AJ425" s="257"/>
      <c r="AK425" s="296">
        <f>'Encargos e Benefícios'!D424</f>
        <v>0</v>
      </c>
      <c r="AL425" s="296">
        <f>IF('Encargos e Benefícios'!C424=0,0,'Encargos e Benefícios'!U424/'Encargos e Benefícios'!C424)</f>
        <v>0</v>
      </c>
      <c r="AM425" s="296">
        <f>IF('Encargos e Benefícios'!C424=0,0,'Encargos e Benefícios'!AC424/'Encargos e Benefícios'!C424)</f>
        <v>0</v>
      </c>
      <c r="AN425" s="297">
        <f>IF('Encargos e Benefícios'!C424=0,0,'Encargos e Benefícios'!AD424/'Encargos e Benefícios'!C424)</f>
        <v>0</v>
      </c>
      <c r="AO425" s="188"/>
      <c r="AP425" s="298"/>
      <c r="AQ425" s="298"/>
      <c r="AR425" s="302"/>
      <c r="AS425" s="188"/>
    </row>
    <row r="426" spans="1:45" ht="13.5" hidden="1" thickBot="1">
      <c r="A426" s="286">
        <v>420</v>
      </c>
      <c r="B426" s="81">
        <f>'Encargos e Benefícios'!B425</f>
        <v>0</v>
      </c>
      <c r="C426" s="287">
        <f>'Encargos e Benefícios'!C425</f>
        <v>0</v>
      </c>
      <c r="D426" s="288"/>
      <c r="E426" s="300"/>
      <c r="F426" s="301"/>
      <c r="G426" s="293"/>
      <c r="H426" s="292">
        <v>5.8400000000000001E-2</v>
      </c>
      <c r="I426" s="256"/>
      <c r="J426" s="256"/>
      <c r="K426" s="256"/>
      <c r="L426" s="256"/>
      <c r="M426" s="293"/>
      <c r="N426" s="292">
        <v>5.8400000000000001E-2</v>
      </c>
      <c r="O426" s="256"/>
      <c r="P426" s="256"/>
      <c r="Q426" s="256"/>
      <c r="R426" s="256"/>
      <c r="S426" s="293"/>
      <c r="T426" s="294"/>
      <c r="U426" s="256"/>
      <c r="V426" s="256"/>
      <c r="W426" s="256"/>
      <c r="X426" s="256"/>
      <c r="Y426" s="293"/>
      <c r="Z426" s="294"/>
      <c r="AA426" s="256"/>
      <c r="AB426" s="256">
        <v>8.7100000000000009</v>
      </c>
      <c r="AC426" s="256"/>
      <c r="AD426" s="256"/>
      <c r="AE426" s="293"/>
      <c r="AF426" s="294"/>
      <c r="AG426" s="256"/>
      <c r="AH426" s="256"/>
      <c r="AI426" s="256"/>
      <c r="AJ426" s="257"/>
      <c r="AK426" s="296">
        <f>'Encargos e Benefícios'!D425</f>
        <v>0</v>
      </c>
      <c r="AL426" s="296">
        <f>IF('Encargos e Benefícios'!C425=0,0,'Encargos e Benefícios'!U425/'Encargos e Benefícios'!C425)</f>
        <v>0</v>
      </c>
      <c r="AM426" s="296">
        <f>IF('Encargos e Benefícios'!C425=0,0,'Encargos e Benefícios'!AC425/'Encargos e Benefícios'!C425)</f>
        <v>0</v>
      </c>
      <c r="AN426" s="297">
        <f>IF('Encargos e Benefícios'!C425=0,0,'Encargos e Benefícios'!AD425/'Encargos e Benefícios'!C425)</f>
        <v>0</v>
      </c>
      <c r="AO426" s="188"/>
      <c r="AP426" s="298"/>
      <c r="AQ426" s="298"/>
      <c r="AR426" s="302"/>
      <c r="AS426" s="188"/>
    </row>
    <row r="427" spans="1:45" ht="13.5" hidden="1" thickBot="1">
      <c r="A427" s="286">
        <v>421</v>
      </c>
      <c r="B427" s="81">
        <f>'Encargos e Benefícios'!B426</f>
        <v>0</v>
      </c>
      <c r="C427" s="287">
        <f>'Encargos e Benefícios'!C426</f>
        <v>0</v>
      </c>
      <c r="D427" s="288"/>
      <c r="E427" s="300"/>
      <c r="F427" s="301"/>
      <c r="G427" s="293"/>
      <c r="H427" s="292">
        <v>5.8400000000000001E-2</v>
      </c>
      <c r="I427" s="256"/>
      <c r="J427" s="256"/>
      <c r="K427" s="256"/>
      <c r="L427" s="256"/>
      <c r="M427" s="293"/>
      <c r="N427" s="292">
        <v>5.8400000000000001E-2</v>
      </c>
      <c r="O427" s="256"/>
      <c r="P427" s="256"/>
      <c r="Q427" s="256"/>
      <c r="R427" s="256"/>
      <c r="S427" s="293"/>
      <c r="T427" s="294"/>
      <c r="U427" s="256"/>
      <c r="V427" s="256"/>
      <c r="W427" s="256"/>
      <c r="X427" s="256"/>
      <c r="Y427" s="293"/>
      <c r="Z427" s="294"/>
      <c r="AA427" s="256"/>
      <c r="AB427" s="256">
        <v>8.7100000000000009</v>
      </c>
      <c r="AC427" s="256"/>
      <c r="AD427" s="256"/>
      <c r="AE427" s="293"/>
      <c r="AF427" s="294"/>
      <c r="AG427" s="256"/>
      <c r="AH427" s="256"/>
      <c r="AI427" s="256"/>
      <c r="AJ427" s="257"/>
      <c r="AK427" s="296">
        <f>'Encargos e Benefícios'!D426</f>
        <v>0</v>
      </c>
      <c r="AL427" s="296">
        <f>IF('Encargos e Benefícios'!C426=0,0,'Encargos e Benefícios'!U426/'Encargos e Benefícios'!C426)</f>
        <v>0</v>
      </c>
      <c r="AM427" s="296">
        <f>IF('Encargos e Benefícios'!C426=0,0,'Encargos e Benefícios'!AC426/'Encargos e Benefícios'!C426)</f>
        <v>0</v>
      </c>
      <c r="AN427" s="297">
        <f>IF('Encargos e Benefícios'!C426=0,0,'Encargos e Benefícios'!AD426/'Encargos e Benefícios'!C426)</f>
        <v>0</v>
      </c>
      <c r="AO427" s="188"/>
      <c r="AP427" s="298"/>
      <c r="AQ427" s="298"/>
      <c r="AR427" s="302"/>
      <c r="AS427" s="188"/>
    </row>
    <row r="428" spans="1:45" ht="13.5" hidden="1" thickBot="1">
      <c r="A428" s="286">
        <v>422</v>
      </c>
      <c r="B428" s="81">
        <f>'Encargos e Benefícios'!B427</f>
        <v>0</v>
      </c>
      <c r="C428" s="287">
        <f>'Encargos e Benefícios'!C427</f>
        <v>0</v>
      </c>
      <c r="D428" s="288"/>
      <c r="E428" s="300"/>
      <c r="F428" s="301"/>
      <c r="G428" s="293"/>
      <c r="H428" s="292">
        <v>5.8400000000000001E-2</v>
      </c>
      <c r="I428" s="256"/>
      <c r="J428" s="256"/>
      <c r="K428" s="256"/>
      <c r="L428" s="256"/>
      <c r="M428" s="293"/>
      <c r="N428" s="292">
        <v>5.8400000000000001E-2</v>
      </c>
      <c r="O428" s="256"/>
      <c r="P428" s="256"/>
      <c r="Q428" s="256"/>
      <c r="R428" s="256"/>
      <c r="S428" s="293"/>
      <c r="T428" s="294"/>
      <c r="U428" s="256"/>
      <c r="V428" s="256"/>
      <c r="W428" s="256"/>
      <c r="X428" s="256"/>
      <c r="Y428" s="293"/>
      <c r="Z428" s="294"/>
      <c r="AA428" s="256"/>
      <c r="AB428" s="256">
        <v>8.7100000000000009</v>
      </c>
      <c r="AC428" s="256"/>
      <c r="AD428" s="256"/>
      <c r="AE428" s="293"/>
      <c r="AF428" s="294"/>
      <c r="AG428" s="256"/>
      <c r="AH428" s="256"/>
      <c r="AI428" s="256"/>
      <c r="AJ428" s="257"/>
      <c r="AK428" s="296">
        <f>'Encargos e Benefícios'!D427</f>
        <v>0</v>
      </c>
      <c r="AL428" s="296">
        <f>IF('Encargos e Benefícios'!C427=0,0,'Encargos e Benefícios'!U427/'Encargos e Benefícios'!C427)</f>
        <v>0</v>
      </c>
      <c r="AM428" s="296">
        <f>IF('Encargos e Benefícios'!C427=0,0,'Encargos e Benefícios'!AC427/'Encargos e Benefícios'!C427)</f>
        <v>0</v>
      </c>
      <c r="AN428" s="297">
        <f>IF('Encargos e Benefícios'!C427=0,0,'Encargos e Benefícios'!AD427/'Encargos e Benefícios'!C427)</f>
        <v>0</v>
      </c>
      <c r="AO428" s="188"/>
      <c r="AP428" s="298"/>
      <c r="AQ428" s="298"/>
      <c r="AR428" s="302"/>
      <c r="AS428" s="188"/>
    </row>
    <row r="429" spans="1:45" ht="13.5" hidden="1" thickBot="1">
      <c r="A429" s="286">
        <v>423</v>
      </c>
      <c r="B429" s="81">
        <f>'Encargos e Benefícios'!B428</f>
        <v>0</v>
      </c>
      <c r="C429" s="287">
        <f>'Encargos e Benefícios'!C428</f>
        <v>0</v>
      </c>
      <c r="D429" s="288"/>
      <c r="E429" s="300"/>
      <c r="F429" s="301"/>
      <c r="G429" s="293"/>
      <c r="H429" s="292">
        <v>5.8400000000000001E-2</v>
      </c>
      <c r="I429" s="256"/>
      <c r="J429" s="256"/>
      <c r="K429" s="256"/>
      <c r="L429" s="256"/>
      <c r="M429" s="293"/>
      <c r="N429" s="292">
        <v>5.8400000000000001E-2</v>
      </c>
      <c r="O429" s="256"/>
      <c r="P429" s="256"/>
      <c r="Q429" s="256"/>
      <c r="R429" s="256"/>
      <c r="S429" s="293"/>
      <c r="T429" s="294"/>
      <c r="U429" s="256"/>
      <c r="V429" s="256"/>
      <c r="W429" s="256"/>
      <c r="X429" s="256"/>
      <c r="Y429" s="293"/>
      <c r="Z429" s="294"/>
      <c r="AA429" s="256"/>
      <c r="AB429" s="256">
        <v>8.7100000000000009</v>
      </c>
      <c r="AC429" s="256"/>
      <c r="AD429" s="256"/>
      <c r="AE429" s="293"/>
      <c r="AF429" s="294"/>
      <c r="AG429" s="256"/>
      <c r="AH429" s="256"/>
      <c r="AI429" s="256"/>
      <c r="AJ429" s="257"/>
      <c r="AK429" s="296">
        <f>'Encargos e Benefícios'!D428</f>
        <v>0</v>
      </c>
      <c r="AL429" s="296">
        <f>IF('Encargos e Benefícios'!C428=0,0,'Encargos e Benefícios'!U428/'Encargos e Benefícios'!C428)</f>
        <v>0</v>
      </c>
      <c r="AM429" s="296">
        <f>IF('Encargos e Benefícios'!C428=0,0,'Encargos e Benefícios'!AC428/'Encargos e Benefícios'!C428)</f>
        <v>0</v>
      </c>
      <c r="AN429" s="297">
        <f>IF('Encargos e Benefícios'!C428=0,0,'Encargos e Benefícios'!AD428/'Encargos e Benefícios'!C428)</f>
        <v>0</v>
      </c>
      <c r="AO429" s="188"/>
      <c r="AP429" s="298"/>
      <c r="AQ429" s="298"/>
      <c r="AR429" s="302"/>
      <c r="AS429" s="188"/>
    </row>
    <row r="430" spans="1:45" ht="13.5" hidden="1" thickBot="1">
      <c r="A430" s="286">
        <v>424</v>
      </c>
      <c r="B430" s="81">
        <f>'Encargos e Benefícios'!B429</f>
        <v>0</v>
      </c>
      <c r="C430" s="287">
        <f>'Encargos e Benefícios'!C429</f>
        <v>0</v>
      </c>
      <c r="D430" s="288"/>
      <c r="E430" s="300"/>
      <c r="F430" s="301"/>
      <c r="G430" s="293"/>
      <c r="H430" s="292">
        <v>5.8400000000000001E-2</v>
      </c>
      <c r="I430" s="256"/>
      <c r="J430" s="256"/>
      <c r="K430" s="256"/>
      <c r="L430" s="256"/>
      <c r="M430" s="293"/>
      <c r="N430" s="292">
        <v>5.8400000000000001E-2</v>
      </c>
      <c r="O430" s="256"/>
      <c r="P430" s="256"/>
      <c r="Q430" s="256"/>
      <c r="R430" s="256"/>
      <c r="S430" s="293"/>
      <c r="T430" s="294"/>
      <c r="U430" s="256"/>
      <c r="V430" s="256"/>
      <c r="W430" s="256"/>
      <c r="X430" s="256"/>
      <c r="Y430" s="293"/>
      <c r="Z430" s="294"/>
      <c r="AA430" s="256"/>
      <c r="AB430" s="256">
        <v>8.7100000000000009</v>
      </c>
      <c r="AC430" s="256"/>
      <c r="AD430" s="256"/>
      <c r="AE430" s="293"/>
      <c r="AF430" s="294"/>
      <c r="AG430" s="256"/>
      <c r="AH430" s="256"/>
      <c r="AI430" s="256"/>
      <c r="AJ430" s="257"/>
      <c r="AK430" s="296">
        <f>'Encargos e Benefícios'!D429</f>
        <v>0</v>
      </c>
      <c r="AL430" s="296">
        <f>IF('Encargos e Benefícios'!C429=0,0,'Encargos e Benefícios'!U429/'Encargos e Benefícios'!C429)</f>
        <v>0</v>
      </c>
      <c r="AM430" s="296">
        <f>IF('Encargos e Benefícios'!C429=0,0,'Encargos e Benefícios'!AC429/'Encargos e Benefícios'!C429)</f>
        <v>0</v>
      </c>
      <c r="AN430" s="297">
        <f>IF('Encargos e Benefícios'!C429=0,0,'Encargos e Benefícios'!AD429/'Encargos e Benefícios'!C429)</f>
        <v>0</v>
      </c>
      <c r="AO430" s="188"/>
      <c r="AP430" s="298"/>
      <c r="AQ430" s="298"/>
      <c r="AR430" s="302"/>
      <c r="AS430" s="188"/>
    </row>
    <row r="431" spans="1:45" ht="13.5" hidden="1" thickBot="1">
      <c r="A431" s="286">
        <v>425</v>
      </c>
      <c r="B431" s="81">
        <f>'Encargos e Benefícios'!B430</f>
        <v>0</v>
      </c>
      <c r="C431" s="287">
        <f>'Encargos e Benefícios'!C430</f>
        <v>0</v>
      </c>
      <c r="D431" s="288"/>
      <c r="E431" s="300"/>
      <c r="F431" s="301"/>
      <c r="G431" s="293"/>
      <c r="H431" s="292">
        <v>5.8400000000000001E-2</v>
      </c>
      <c r="I431" s="256"/>
      <c r="J431" s="256"/>
      <c r="K431" s="256"/>
      <c r="L431" s="256"/>
      <c r="M431" s="293"/>
      <c r="N431" s="292">
        <v>5.8400000000000001E-2</v>
      </c>
      <c r="O431" s="256"/>
      <c r="P431" s="256"/>
      <c r="Q431" s="256"/>
      <c r="R431" s="256"/>
      <c r="S431" s="293"/>
      <c r="T431" s="294"/>
      <c r="U431" s="256"/>
      <c r="V431" s="256"/>
      <c r="W431" s="256"/>
      <c r="X431" s="256"/>
      <c r="Y431" s="293"/>
      <c r="Z431" s="294"/>
      <c r="AA431" s="256"/>
      <c r="AB431" s="256">
        <v>8.7100000000000009</v>
      </c>
      <c r="AC431" s="256"/>
      <c r="AD431" s="256"/>
      <c r="AE431" s="293"/>
      <c r="AF431" s="294"/>
      <c r="AG431" s="256"/>
      <c r="AH431" s="256"/>
      <c r="AI431" s="256"/>
      <c r="AJ431" s="257"/>
      <c r="AK431" s="296">
        <f>'Encargos e Benefícios'!D430</f>
        <v>0</v>
      </c>
      <c r="AL431" s="296">
        <f>IF('Encargos e Benefícios'!C430=0,0,'Encargos e Benefícios'!U430/'Encargos e Benefícios'!C430)</f>
        <v>0</v>
      </c>
      <c r="AM431" s="296">
        <f>IF('Encargos e Benefícios'!C430=0,0,'Encargos e Benefícios'!AC430/'Encargos e Benefícios'!C430)</f>
        <v>0</v>
      </c>
      <c r="AN431" s="297">
        <f>IF('Encargos e Benefícios'!C430=0,0,'Encargos e Benefícios'!AD430/'Encargos e Benefícios'!C430)</f>
        <v>0</v>
      </c>
      <c r="AO431" s="188"/>
      <c r="AP431" s="298"/>
      <c r="AQ431" s="298"/>
      <c r="AR431" s="302"/>
      <c r="AS431" s="188"/>
    </row>
    <row r="432" spans="1:45" ht="13.5" hidden="1" thickBot="1">
      <c r="A432" s="286">
        <v>426</v>
      </c>
      <c r="B432" s="81">
        <f>'Encargos e Benefícios'!B431</f>
        <v>0</v>
      </c>
      <c r="C432" s="287">
        <f>'Encargos e Benefícios'!C431</f>
        <v>0</v>
      </c>
      <c r="D432" s="288"/>
      <c r="E432" s="300"/>
      <c r="F432" s="301"/>
      <c r="G432" s="293"/>
      <c r="H432" s="292">
        <v>5.8400000000000001E-2</v>
      </c>
      <c r="I432" s="256"/>
      <c r="J432" s="256"/>
      <c r="K432" s="256"/>
      <c r="L432" s="256"/>
      <c r="M432" s="293"/>
      <c r="N432" s="292">
        <v>5.8400000000000001E-2</v>
      </c>
      <c r="O432" s="256"/>
      <c r="P432" s="256"/>
      <c r="Q432" s="256"/>
      <c r="R432" s="256"/>
      <c r="S432" s="293"/>
      <c r="T432" s="294"/>
      <c r="U432" s="256"/>
      <c r="V432" s="256"/>
      <c r="W432" s="256"/>
      <c r="X432" s="256"/>
      <c r="Y432" s="293"/>
      <c r="Z432" s="294"/>
      <c r="AA432" s="256"/>
      <c r="AB432" s="256">
        <v>8.7100000000000009</v>
      </c>
      <c r="AC432" s="256"/>
      <c r="AD432" s="256"/>
      <c r="AE432" s="293"/>
      <c r="AF432" s="294"/>
      <c r="AG432" s="256"/>
      <c r="AH432" s="256"/>
      <c r="AI432" s="256"/>
      <c r="AJ432" s="257"/>
      <c r="AK432" s="296">
        <f>'Encargos e Benefícios'!D431</f>
        <v>0</v>
      </c>
      <c r="AL432" s="296">
        <f>IF('Encargos e Benefícios'!C431=0,0,'Encargos e Benefícios'!U431/'Encargos e Benefícios'!C431)</f>
        <v>0</v>
      </c>
      <c r="AM432" s="296">
        <f>IF('Encargos e Benefícios'!C431=0,0,'Encargos e Benefícios'!AC431/'Encargos e Benefícios'!C431)</f>
        <v>0</v>
      </c>
      <c r="AN432" s="297">
        <f>IF('Encargos e Benefícios'!C431=0,0,'Encargos e Benefícios'!AD431/'Encargos e Benefícios'!C431)</f>
        <v>0</v>
      </c>
      <c r="AO432" s="188"/>
      <c r="AP432" s="298"/>
      <c r="AQ432" s="298"/>
      <c r="AR432" s="302"/>
      <c r="AS432" s="188"/>
    </row>
    <row r="433" spans="1:45" ht="13.5" hidden="1" thickBot="1">
      <c r="A433" s="286">
        <v>427</v>
      </c>
      <c r="B433" s="81">
        <f>'Encargos e Benefícios'!B432</f>
        <v>0</v>
      </c>
      <c r="C433" s="287">
        <f>'Encargos e Benefícios'!C432</f>
        <v>0</v>
      </c>
      <c r="D433" s="288"/>
      <c r="E433" s="300"/>
      <c r="F433" s="301"/>
      <c r="G433" s="293"/>
      <c r="H433" s="292">
        <v>5.8400000000000001E-2</v>
      </c>
      <c r="I433" s="256"/>
      <c r="J433" s="256"/>
      <c r="K433" s="256"/>
      <c r="L433" s="256"/>
      <c r="M433" s="293"/>
      <c r="N433" s="292">
        <v>5.8400000000000001E-2</v>
      </c>
      <c r="O433" s="256"/>
      <c r="P433" s="256"/>
      <c r="Q433" s="256"/>
      <c r="R433" s="256"/>
      <c r="S433" s="293"/>
      <c r="T433" s="294"/>
      <c r="U433" s="256"/>
      <c r="V433" s="256"/>
      <c r="W433" s="256"/>
      <c r="X433" s="256"/>
      <c r="Y433" s="293"/>
      <c r="Z433" s="294"/>
      <c r="AA433" s="256"/>
      <c r="AB433" s="256">
        <v>8.7100000000000009</v>
      </c>
      <c r="AC433" s="256"/>
      <c r="AD433" s="256"/>
      <c r="AE433" s="293"/>
      <c r="AF433" s="294"/>
      <c r="AG433" s="256"/>
      <c r="AH433" s="256"/>
      <c r="AI433" s="256"/>
      <c r="AJ433" s="257"/>
      <c r="AK433" s="296">
        <f>'Encargos e Benefícios'!D432</f>
        <v>0</v>
      </c>
      <c r="AL433" s="296">
        <f>IF('Encargos e Benefícios'!C432=0,0,'Encargos e Benefícios'!U432/'Encargos e Benefícios'!C432)</f>
        <v>0</v>
      </c>
      <c r="AM433" s="296">
        <f>IF('Encargos e Benefícios'!C432=0,0,'Encargos e Benefícios'!AC432/'Encargos e Benefícios'!C432)</f>
        <v>0</v>
      </c>
      <c r="AN433" s="297">
        <f>IF('Encargos e Benefícios'!C432=0,0,'Encargos e Benefícios'!AD432/'Encargos e Benefícios'!C432)</f>
        <v>0</v>
      </c>
      <c r="AO433" s="188"/>
      <c r="AP433" s="298"/>
      <c r="AQ433" s="298"/>
      <c r="AR433" s="302"/>
      <c r="AS433" s="188"/>
    </row>
    <row r="434" spans="1:45" ht="13.5" hidden="1" thickBot="1">
      <c r="A434" s="286">
        <v>428</v>
      </c>
      <c r="B434" s="81">
        <f>'Encargos e Benefícios'!B433</f>
        <v>0</v>
      </c>
      <c r="C434" s="287">
        <f>'Encargos e Benefícios'!C433</f>
        <v>0</v>
      </c>
      <c r="D434" s="288"/>
      <c r="E434" s="300"/>
      <c r="F434" s="301"/>
      <c r="G434" s="293"/>
      <c r="H434" s="292">
        <v>5.8400000000000001E-2</v>
      </c>
      <c r="I434" s="256"/>
      <c r="J434" s="256"/>
      <c r="K434" s="256"/>
      <c r="L434" s="256"/>
      <c r="M434" s="293"/>
      <c r="N434" s="292">
        <v>5.8400000000000001E-2</v>
      </c>
      <c r="O434" s="256"/>
      <c r="P434" s="256"/>
      <c r="Q434" s="256"/>
      <c r="R434" s="256"/>
      <c r="S434" s="293"/>
      <c r="T434" s="294"/>
      <c r="U434" s="256"/>
      <c r="V434" s="256"/>
      <c r="W434" s="256"/>
      <c r="X434" s="256"/>
      <c r="Y434" s="293"/>
      <c r="Z434" s="294"/>
      <c r="AA434" s="256"/>
      <c r="AB434" s="256">
        <v>8.7100000000000009</v>
      </c>
      <c r="AC434" s="256"/>
      <c r="AD434" s="256"/>
      <c r="AE434" s="293"/>
      <c r="AF434" s="294"/>
      <c r="AG434" s="256"/>
      <c r="AH434" s="256"/>
      <c r="AI434" s="256"/>
      <c r="AJ434" s="257"/>
      <c r="AK434" s="296">
        <f>'Encargos e Benefícios'!D433</f>
        <v>0</v>
      </c>
      <c r="AL434" s="296">
        <f>IF('Encargos e Benefícios'!C433=0,0,'Encargos e Benefícios'!U433/'Encargos e Benefícios'!C433)</f>
        <v>0</v>
      </c>
      <c r="AM434" s="296">
        <f>IF('Encargos e Benefícios'!C433=0,0,'Encargos e Benefícios'!AC433/'Encargos e Benefícios'!C433)</f>
        <v>0</v>
      </c>
      <c r="AN434" s="297">
        <f>IF('Encargos e Benefícios'!C433=0,0,'Encargos e Benefícios'!AD433/'Encargos e Benefícios'!C433)</f>
        <v>0</v>
      </c>
      <c r="AO434" s="188"/>
      <c r="AP434" s="298"/>
      <c r="AQ434" s="298"/>
      <c r="AR434" s="302"/>
      <c r="AS434" s="188"/>
    </row>
    <row r="435" spans="1:45" ht="13.5" hidden="1" thickBot="1">
      <c r="A435" s="286">
        <v>429</v>
      </c>
      <c r="B435" s="81">
        <f>'Encargos e Benefícios'!B434</f>
        <v>0</v>
      </c>
      <c r="C435" s="287">
        <f>'Encargos e Benefícios'!C434</f>
        <v>0</v>
      </c>
      <c r="D435" s="288"/>
      <c r="E435" s="300"/>
      <c r="F435" s="301"/>
      <c r="G435" s="293"/>
      <c r="H435" s="292">
        <v>5.8400000000000001E-2</v>
      </c>
      <c r="I435" s="256"/>
      <c r="J435" s="256"/>
      <c r="K435" s="256"/>
      <c r="L435" s="256"/>
      <c r="M435" s="293"/>
      <c r="N435" s="292">
        <v>5.8400000000000001E-2</v>
      </c>
      <c r="O435" s="256"/>
      <c r="P435" s="256"/>
      <c r="Q435" s="256"/>
      <c r="R435" s="256"/>
      <c r="S435" s="293"/>
      <c r="T435" s="294"/>
      <c r="U435" s="256"/>
      <c r="V435" s="256"/>
      <c r="W435" s="256"/>
      <c r="X435" s="256"/>
      <c r="Y435" s="293"/>
      <c r="Z435" s="294"/>
      <c r="AA435" s="256"/>
      <c r="AB435" s="256">
        <v>8.7100000000000009</v>
      </c>
      <c r="AC435" s="256"/>
      <c r="AD435" s="256"/>
      <c r="AE435" s="293"/>
      <c r="AF435" s="294"/>
      <c r="AG435" s="256"/>
      <c r="AH435" s="256"/>
      <c r="AI435" s="256"/>
      <c r="AJ435" s="257"/>
      <c r="AK435" s="296">
        <f>'Encargos e Benefícios'!D434</f>
        <v>0</v>
      </c>
      <c r="AL435" s="296">
        <f>IF('Encargos e Benefícios'!C434=0,0,'Encargos e Benefícios'!U434/'Encargos e Benefícios'!C434)</f>
        <v>0</v>
      </c>
      <c r="AM435" s="296">
        <f>IF('Encargos e Benefícios'!C434=0,0,'Encargos e Benefícios'!AC434/'Encargos e Benefícios'!C434)</f>
        <v>0</v>
      </c>
      <c r="AN435" s="297">
        <f>IF('Encargos e Benefícios'!C434=0,0,'Encargos e Benefícios'!AD434/'Encargos e Benefícios'!C434)</f>
        <v>0</v>
      </c>
      <c r="AO435" s="188"/>
      <c r="AP435" s="298"/>
      <c r="AQ435" s="298"/>
      <c r="AR435" s="302"/>
      <c r="AS435" s="188"/>
    </row>
    <row r="436" spans="1:45" ht="13.5" hidden="1" thickBot="1">
      <c r="A436" s="286">
        <v>430</v>
      </c>
      <c r="B436" s="81">
        <f>'Encargos e Benefícios'!B435</f>
        <v>0</v>
      </c>
      <c r="C436" s="287">
        <f>'Encargos e Benefícios'!C435</f>
        <v>0</v>
      </c>
      <c r="D436" s="288"/>
      <c r="E436" s="300"/>
      <c r="F436" s="301"/>
      <c r="G436" s="293"/>
      <c r="H436" s="292">
        <v>5.8400000000000001E-2</v>
      </c>
      <c r="I436" s="256"/>
      <c r="J436" s="256"/>
      <c r="K436" s="256"/>
      <c r="L436" s="256"/>
      <c r="M436" s="293"/>
      <c r="N436" s="292">
        <v>5.8400000000000001E-2</v>
      </c>
      <c r="O436" s="256"/>
      <c r="P436" s="256"/>
      <c r="Q436" s="256"/>
      <c r="R436" s="256"/>
      <c r="S436" s="293"/>
      <c r="T436" s="294"/>
      <c r="U436" s="256"/>
      <c r="V436" s="256"/>
      <c r="W436" s="256"/>
      <c r="X436" s="256"/>
      <c r="Y436" s="293"/>
      <c r="Z436" s="294"/>
      <c r="AA436" s="256"/>
      <c r="AB436" s="256">
        <v>8.7100000000000009</v>
      </c>
      <c r="AC436" s="256"/>
      <c r="AD436" s="256"/>
      <c r="AE436" s="293"/>
      <c r="AF436" s="294"/>
      <c r="AG436" s="256"/>
      <c r="AH436" s="256"/>
      <c r="AI436" s="256"/>
      <c r="AJ436" s="257"/>
      <c r="AK436" s="296">
        <f>'Encargos e Benefícios'!D435</f>
        <v>0</v>
      </c>
      <c r="AL436" s="296">
        <f>IF('Encargos e Benefícios'!C435=0,0,'Encargos e Benefícios'!U435/'Encargos e Benefícios'!C435)</f>
        <v>0</v>
      </c>
      <c r="AM436" s="296">
        <f>IF('Encargos e Benefícios'!C435=0,0,'Encargos e Benefícios'!AC435/'Encargos e Benefícios'!C435)</f>
        <v>0</v>
      </c>
      <c r="AN436" s="297">
        <f>IF('Encargos e Benefícios'!C435=0,0,'Encargos e Benefícios'!AD435/'Encargos e Benefícios'!C435)</f>
        <v>0</v>
      </c>
      <c r="AO436" s="188"/>
      <c r="AP436" s="298"/>
      <c r="AQ436" s="298"/>
      <c r="AR436" s="302"/>
      <c r="AS436" s="188"/>
    </row>
    <row r="437" spans="1:45" ht="13.5" hidden="1" thickBot="1">
      <c r="A437" s="286">
        <v>431</v>
      </c>
      <c r="B437" s="81">
        <f>'Encargos e Benefícios'!B436</f>
        <v>0</v>
      </c>
      <c r="C437" s="287">
        <f>'Encargos e Benefícios'!C436</f>
        <v>0</v>
      </c>
      <c r="D437" s="288"/>
      <c r="E437" s="300"/>
      <c r="F437" s="301"/>
      <c r="G437" s="293"/>
      <c r="H437" s="292">
        <v>5.8400000000000001E-2</v>
      </c>
      <c r="I437" s="256"/>
      <c r="J437" s="256"/>
      <c r="K437" s="256"/>
      <c r="L437" s="256"/>
      <c r="M437" s="293"/>
      <c r="N437" s="292">
        <v>5.8400000000000001E-2</v>
      </c>
      <c r="O437" s="256"/>
      <c r="P437" s="256"/>
      <c r="Q437" s="256"/>
      <c r="R437" s="256"/>
      <c r="S437" s="293"/>
      <c r="T437" s="294"/>
      <c r="U437" s="256"/>
      <c r="V437" s="256"/>
      <c r="W437" s="256"/>
      <c r="X437" s="256"/>
      <c r="Y437" s="293"/>
      <c r="Z437" s="294"/>
      <c r="AA437" s="256"/>
      <c r="AB437" s="256">
        <v>8.7100000000000009</v>
      </c>
      <c r="AC437" s="256"/>
      <c r="AD437" s="256"/>
      <c r="AE437" s="293"/>
      <c r="AF437" s="294"/>
      <c r="AG437" s="256"/>
      <c r="AH437" s="256"/>
      <c r="AI437" s="256"/>
      <c r="AJ437" s="257"/>
      <c r="AK437" s="296">
        <f>'Encargos e Benefícios'!D436</f>
        <v>0</v>
      </c>
      <c r="AL437" s="296">
        <f>IF('Encargos e Benefícios'!C436=0,0,'Encargos e Benefícios'!U436/'Encargos e Benefícios'!C436)</f>
        <v>0</v>
      </c>
      <c r="AM437" s="296">
        <f>IF('Encargos e Benefícios'!C436=0,0,'Encargos e Benefícios'!AC436/'Encargos e Benefícios'!C436)</f>
        <v>0</v>
      </c>
      <c r="AN437" s="297">
        <f>IF('Encargos e Benefícios'!C436=0,0,'Encargos e Benefícios'!AD436/'Encargos e Benefícios'!C436)</f>
        <v>0</v>
      </c>
      <c r="AO437" s="188"/>
      <c r="AP437" s="298"/>
      <c r="AQ437" s="298"/>
      <c r="AR437" s="302"/>
      <c r="AS437" s="188"/>
    </row>
    <row r="438" spans="1:45" ht="13.5" hidden="1" thickBot="1">
      <c r="A438" s="286">
        <v>432</v>
      </c>
      <c r="B438" s="81">
        <f>'Encargos e Benefícios'!B437</f>
        <v>0</v>
      </c>
      <c r="C438" s="287">
        <f>'Encargos e Benefícios'!C437</f>
        <v>0</v>
      </c>
      <c r="D438" s="288"/>
      <c r="E438" s="300"/>
      <c r="F438" s="301"/>
      <c r="G438" s="293"/>
      <c r="H438" s="292">
        <v>5.8400000000000001E-2</v>
      </c>
      <c r="I438" s="256"/>
      <c r="J438" s="256"/>
      <c r="K438" s="256"/>
      <c r="L438" s="256"/>
      <c r="M438" s="293"/>
      <c r="N438" s="292">
        <v>5.8400000000000001E-2</v>
      </c>
      <c r="O438" s="256"/>
      <c r="P438" s="256"/>
      <c r="Q438" s="256"/>
      <c r="R438" s="256"/>
      <c r="S438" s="293"/>
      <c r="T438" s="294"/>
      <c r="U438" s="256"/>
      <c r="V438" s="256"/>
      <c r="W438" s="256"/>
      <c r="X438" s="256"/>
      <c r="Y438" s="293"/>
      <c r="Z438" s="294"/>
      <c r="AA438" s="256"/>
      <c r="AB438" s="256">
        <v>8.7100000000000009</v>
      </c>
      <c r="AC438" s="256"/>
      <c r="AD438" s="256"/>
      <c r="AE438" s="293"/>
      <c r="AF438" s="294"/>
      <c r="AG438" s="256"/>
      <c r="AH438" s="256"/>
      <c r="AI438" s="256"/>
      <c r="AJ438" s="257"/>
      <c r="AK438" s="296">
        <f>'Encargos e Benefícios'!D437</f>
        <v>0</v>
      </c>
      <c r="AL438" s="296">
        <f>IF('Encargos e Benefícios'!C437=0,0,'Encargos e Benefícios'!U437/'Encargos e Benefícios'!C437)</f>
        <v>0</v>
      </c>
      <c r="AM438" s="296">
        <f>IF('Encargos e Benefícios'!C437=0,0,'Encargos e Benefícios'!AC437/'Encargos e Benefícios'!C437)</f>
        <v>0</v>
      </c>
      <c r="AN438" s="297">
        <f>IF('Encargos e Benefícios'!C437=0,0,'Encargos e Benefícios'!AD437/'Encargos e Benefícios'!C437)</f>
        <v>0</v>
      </c>
      <c r="AO438" s="188"/>
      <c r="AP438" s="298"/>
      <c r="AQ438" s="298"/>
      <c r="AR438" s="302"/>
      <c r="AS438" s="188"/>
    </row>
    <row r="439" spans="1:45" ht="13.5" hidden="1" thickBot="1">
      <c r="A439" s="286">
        <v>433</v>
      </c>
      <c r="B439" s="81">
        <f>'Encargos e Benefícios'!B438</f>
        <v>0</v>
      </c>
      <c r="C439" s="287">
        <f>'Encargos e Benefícios'!C438</f>
        <v>0</v>
      </c>
      <c r="D439" s="288"/>
      <c r="E439" s="300"/>
      <c r="F439" s="301"/>
      <c r="G439" s="293"/>
      <c r="H439" s="292">
        <v>5.8400000000000001E-2</v>
      </c>
      <c r="I439" s="256"/>
      <c r="J439" s="256"/>
      <c r="K439" s="256"/>
      <c r="L439" s="256"/>
      <c r="M439" s="293"/>
      <c r="N439" s="292">
        <v>5.8400000000000001E-2</v>
      </c>
      <c r="O439" s="256"/>
      <c r="P439" s="256"/>
      <c r="Q439" s="256"/>
      <c r="R439" s="256"/>
      <c r="S439" s="293"/>
      <c r="T439" s="294"/>
      <c r="U439" s="256"/>
      <c r="V439" s="256"/>
      <c r="W439" s="256"/>
      <c r="X439" s="256"/>
      <c r="Y439" s="293"/>
      <c r="Z439" s="294"/>
      <c r="AA439" s="256"/>
      <c r="AB439" s="256">
        <v>8.7100000000000009</v>
      </c>
      <c r="AC439" s="256"/>
      <c r="AD439" s="256"/>
      <c r="AE439" s="293"/>
      <c r="AF439" s="294"/>
      <c r="AG439" s="256"/>
      <c r="AH439" s="256"/>
      <c r="AI439" s="256"/>
      <c r="AJ439" s="257"/>
      <c r="AK439" s="296">
        <f>'Encargos e Benefícios'!D438</f>
        <v>0</v>
      </c>
      <c r="AL439" s="296">
        <f>IF('Encargos e Benefícios'!C438=0,0,'Encargos e Benefícios'!U438/'Encargos e Benefícios'!C438)</f>
        <v>0</v>
      </c>
      <c r="AM439" s="296">
        <f>IF('Encargos e Benefícios'!C438=0,0,'Encargos e Benefícios'!AC438/'Encargos e Benefícios'!C438)</f>
        <v>0</v>
      </c>
      <c r="AN439" s="297">
        <f>IF('Encargos e Benefícios'!C438=0,0,'Encargos e Benefícios'!AD438/'Encargos e Benefícios'!C438)</f>
        <v>0</v>
      </c>
      <c r="AO439" s="188"/>
      <c r="AP439" s="298"/>
      <c r="AQ439" s="298"/>
      <c r="AR439" s="302"/>
      <c r="AS439" s="188"/>
    </row>
    <row r="440" spans="1:45" ht="13.5" hidden="1" thickBot="1">
      <c r="A440" s="286">
        <v>434</v>
      </c>
      <c r="B440" s="81">
        <f>'Encargos e Benefícios'!B439</f>
        <v>0</v>
      </c>
      <c r="C440" s="287">
        <f>'Encargos e Benefícios'!C439</f>
        <v>0</v>
      </c>
      <c r="D440" s="288"/>
      <c r="E440" s="300"/>
      <c r="F440" s="301"/>
      <c r="G440" s="293"/>
      <c r="H440" s="292">
        <v>5.8400000000000001E-2</v>
      </c>
      <c r="I440" s="256"/>
      <c r="J440" s="256"/>
      <c r="K440" s="256"/>
      <c r="L440" s="256"/>
      <c r="M440" s="293"/>
      <c r="N440" s="292">
        <v>5.8400000000000001E-2</v>
      </c>
      <c r="O440" s="256"/>
      <c r="P440" s="256"/>
      <c r="Q440" s="256"/>
      <c r="R440" s="256"/>
      <c r="S440" s="293"/>
      <c r="T440" s="294"/>
      <c r="U440" s="256"/>
      <c r="V440" s="256"/>
      <c r="W440" s="256"/>
      <c r="X440" s="256"/>
      <c r="Y440" s="293"/>
      <c r="Z440" s="294"/>
      <c r="AA440" s="256"/>
      <c r="AB440" s="256">
        <v>8.7100000000000009</v>
      </c>
      <c r="AC440" s="256"/>
      <c r="AD440" s="256"/>
      <c r="AE440" s="293"/>
      <c r="AF440" s="294"/>
      <c r="AG440" s="256"/>
      <c r="AH440" s="256"/>
      <c r="AI440" s="256"/>
      <c r="AJ440" s="257"/>
      <c r="AK440" s="296">
        <f>'Encargos e Benefícios'!D439</f>
        <v>0</v>
      </c>
      <c r="AL440" s="296">
        <f>IF('Encargos e Benefícios'!C439=0,0,'Encargos e Benefícios'!U439/'Encargos e Benefícios'!C439)</f>
        <v>0</v>
      </c>
      <c r="AM440" s="296">
        <f>IF('Encargos e Benefícios'!C439=0,0,'Encargos e Benefícios'!AC439/'Encargos e Benefícios'!C439)</f>
        <v>0</v>
      </c>
      <c r="AN440" s="297">
        <f>IF('Encargos e Benefícios'!C439=0,0,'Encargos e Benefícios'!AD439/'Encargos e Benefícios'!C439)</f>
        <v>0</v>
      </c>
      <c r="AO440" s="188"/>
      <c r="AP440" s="298"/>
      <c r="AQ440" s="298"/>
      <c r="AR440" s="302"/>
      <c r="AS440" s="188"/>
    </row>
    <row r="441" spans="1:45" ht="13.5" hidden="1" thickBot="1">
      <c r="A441" s="286">
        <v>435</v>
      </c>
      <c r="B441" s="81">
        <f>'Encargos e Benefícios'!B440</f>
        <v>0</v>
      </c>
      <c r="C441" s="287">
        <f>'Encargos e Benefícios'!C440</f>
        <v>0</v>
      </c>
      <c r="D441" s="288"/>
      <c r="E441" s="300"/>
      <c r="F441" s="301"/>
      <c r="G441" s="293"/>
      <c r="H441" s="292">
        <v>5.8400000000000001E-2</v>
      </c>
      <c r="I441" s="256"/>
      <c r="J441" s="256"/>
      <c r="K441" s="256"/>
      <c r="L441" s="256"/>
      <c r="M441" s="293"/>
      <c r="N441" s="292">
        <v>5.8400000000000001E-2</v>
      </c>
      <c r="O441" s="256"/>
      <c r="P441" s="256"/>
      <c r="Q441" s="256"/>
      <c r="R441" s="256"/>
      <c r="S441" s="293"/>
      <c r="T441" s="294"/>
      <c r="U441" s="256"/>
      <c r="V441" s="256"/>
      <c r="W441" s="256"/>
      <c r="X441" s="256"/>
      <c r="Y441" s="293"/>
      <c r="Z441" s="294"/>
      <c r="AA441" s="256"/>
      <c r="AB441" s="256">
        <v>8.7100000000000009</v>
      </c>
      <c r="AC441" s="256"/>
      <c r="AD441" s="256"/>
      <c r="AE441" s="293"/>
      <c r="AF441" s="294"/>
      <c r="AG441" s="256"/>
      <c r="AH441" s="256"/>
      <c r="AI441" s="256"/>
      <c r="AJ441" s="257"/>
      <c r="AK441" s="296">
        <f>'Encargos e Benefícios'!D440</f>
        <v>0</v>
      </c>
      <c r="AL441" s="296">
        <f>IF('Encargos e Benefícios'!C440=0,0,'Encargos e Benefícios'!U440/'Encargos e Benefícios'!C440)</f>
        <v>0</v>
      </c>
      <c r="AM441" s="296">
        <f>IF('Encargos e Benefícios'!C440=0,0,'Encargos e Benefícios'!AC440/'Encargos e Benefícios'!C440)</f>
        <v>0</v>
      </c>
      <c r="AN441" s="297">
        <f>IF('Encargos e Benefícios'!C440=0,0,'Encargos e Benefícios'!AD440/'Encargos e Benefícios'!C440)</f>
        <v>0</v>
      </c>
      <c r="AO441" s="188"/>
      <c r="AP441" s="298"/>
      <c r="AQ441" s="298"/>
      <c r="AR441" s="302"/>
      <c r="AS441" s="188"/>
    </row>
    <row r="442" spans="1:45" ht="13.5" hidden="1" thickBot="1">
      <c r="A442" s="286">
        <v>436</v>
      </c>
      <c r="B442" s="81">
        <f>'Encargos e Benefícios'!B441</f>
        <v>0</v>
      </c>
      <c r="C442" s="287">
        <f>'Encargos e Benefícios'!C441</f>
        <v>0</v>
      </c>
      <c r="D442" s="288"/>
      <c r="E442" s="300"/>
      <c r="F442" s="301"/>
      <c r="G442" s="293"/>
      <c r="H442" s="292">
        <v>5.8400000000000001E-2</v>
      </c>
      <c r="I442" s="256"/>
      <c r="J442" s="256"/>
      <c r="K442" s="256"/>
      <c r="L442" s="256"/>
      <c r="M442" s="293"/>
      <c r="N442" s="292">
        <v>5.8400000000000001E-2</v>
      </c>
      <c r="O442" s="256"/>
      <c r="P442" s="256"/>
      <c r="Q442" s="256"/>
      <c r="R442" s="256"/>
      <c r="S442" s="293"/>
      <c r="T442" s="294"/>
      <c r="U442" s="256"/>
      <c r="V442" s="256"/>
      <c r="W442" s="256"/>
      <c r="X442" s="256"/>
      <c r="Y442" s="293"/>
      <c r="Z442" s="294"/>
      <c r="AA442" s="256"/>
      <c r="AB442" s="256">
        <v>8.7100000000000009</v>
      </c>
      <c r="AC442" s="256"/>
      <c r="AD442" s="256"/>
      <c r="AE442" s="293"/>
      <c r="AF442" s="294"/>
      <c r="AG442" s="256"/>
      <c r="AH442" s="256"/>
      <c r="AI442" s="256"/>
      <c r="AJ442" s="257"/>
      <c r="AK442" s="296">
        <f>'Encargos e Benefícios'!D441</f>
        <v>0</v>
      </c>
      <c r="AL442" s="296">
        <f>IF('Encargos e Benefícios'!C441=0,0,'Encargos e Benefícios'!U441/'Encargos e Benefícios'!C441)</f>
        <v>0</v>
      </c>
      <c r="AM442" s="296">
        <f>IF('Encargos e Benefícios'!C441=0,0,'Encargos e Benefícios'!AC441/'Encargos e Benefícios'!C441)</f>
        <v>0</v>
      </c>
      <c r="AN442" s="297">
        <f>IF('Encargos e Benefícios'!C441=0,0,'Encargos e Benefícios'!AD441/'Encargos e Benefícios'!C441)</f>
        <v>0</v>
      </c>
      <c r="AO442" s="188"/>
      <c r="AP442" s="298"/>
      <c r="AQ442" s="298"/>
      <c r="AR442" s="302"/>
      <c r="AS442" s="188"/>
    </row>
    <row r="443" spans="1:45" ht="13.5" hidden="1" thickBot="1">
      <c r="A443" s="286">
        <v>437</v>
      </c>
      <c r="B443" s="81">
        <f>'Encargos e Benefícios'!B442</f>
        <v>0</v>
      </c>
      <c r="C443" s="287">
        <f>'Encargos e Benefícios'!C442</f>
        <v>0</v>
      </c>
      <c r="D443" s="288"/>
      <c r="E443" s="300"/>
      <c r="F443" s="301"/>
      <c r="G443" s="293"/>
      <c r="H443" s="292">
        <v>5.8400000000000001E-2</v>
      </c>
      <c r="I443" s="256"/>
      <c r="J443" s="256"/>
      <c r="K443" s="256"/>
      <c r="L443" s="256"/>
      <c r="M443" s="293"/>
      <c r="N443" s="292">
        <v>5.8400000000000001E-2</v>
      </c>
      <c r="O443" s="256"/>
      <c r="P443" s="256"/>
      <c r="Q443" s="256"/>
      <c r="R443" s="256"/>
      <c r="S443" s="293"/>
      <c r="T443" s="294"/>
      <c r="U443" s="256"/>
      <c r="V443" s="256"/>
      <c r="W443" s="256"/>
      <c r="X443" s="256"/>
      <c r="Y443" s="293"/>
      <c r="Z443" s="294"/>
      <c r="AA443" s="256"/>
      <c r="AB443" s="256">
        <v>8.7100000000000009</v>
      </c>
      <c r="AC443" s="256"/>
      <c r="AD443" s="256"/>
      <c r="AE443" s="293"/>
      <c r="AF443" s="294"/>
      <c r="AG443" s="256"/>
      <c r="AH443" s="256"/>
      <c r="AI443" s="256"/>
      <c r="AJ443" s="257"/>
      <c r="AK443" s="296">
        <f>'Encargos e Benefícios'!D442</f>
        <v>0</v>
      </c>
      <c r="AL443" s="296">
        <f>IF('Encargos e Benefícios'!C442=0,0,'Encargos e Benefícios'!U442/'Encargos e Benefícios'!C442)</f>
        <v>0</v>
      </c>
      <c r="AM443" s="296">
        <f>IF('Encargos e Benefícios'!C442=0,0,'Encargos e Benefícios'!AC442/'Encargos e Benefícios'!C442)</f>
        <v>0</v>
      </c>
      <c r="AN443" s="297">
        <f>IF('Encargos e Benefícios'!C442=0,0,'Encargos e Benefícios'!AD442/'Encargos e Benefícios'!C442)</f>
        <v>0</v>
      </c>
      <c r="AO443" s="188"/>
      <c r="AP443" s="298"/>
      <c r="AQ443" s="298"/>
      <c r="AR443" s="302"/>
      <c r="AS443" s="188"/>
    </row>
    <row r="444" spans="1:45" ht="13.5" hidden="1" thickBot="1">
      <c r="A444" s="286">
        <v>438</v>
      </c>
      <c r="B444" s="81">
        <f>'Encargos e Benefícios'!B443</f>
        <v>0</v>
      </c>
      <c r="C444" s="287">
        <f>'Encargos e Benefícios'!C443</f>
        <v>0</v>
      </c>
      <c r="D444" s="288"/>
      <c r="E444" s="300"/>
      <c r="F444" s="301"/>
      <c r="G444" s="293"/>
      <c r="H444" s="292">
        <v>5.8400000000000001E-2</v>
      </c>
      <c r="I444" s="256"/>
      <c r="J444" s="256"/>
      <c r="K444" s="256"/>
      <c r="L444" s="256"/>
      <c r="M444" s="293"/>
      <c r="N444" s="292">
        <v>5.8400000000000001E-2</v>
      </c>
      <c r="O444" s="256"/>
      <c r="P444" s="256"/>
      <c r="Q444" s="256"/>
      <c r="R444" s="256"/>
      <c r="S444" s="293"/>
      <c r="T444" s="294"/>
      <c r="U444" s="256"/>
      <c r="V444" s="256"/>
      <c r="W444" s="256"/>
      <c r="X444" s="256"/>
      <c r="Y444" s="293"/>
      <c r="Z444" s="294"/>
      <c r="AA444" s="256"/>
      <c r="AB444" s="256">
        <v>8.7100000000000009</v>
      </c>
      <c r="AC444" s="256"/>
      <c r="AD444" s="256"/>
      <c r="AE444" s="293"/>
      <c r="AF444" s="294"/>
      <c r="AG444" s="256"/>
      <c r="AH444" s="256"/>
      <c r="AI444" s="256"/>
      <c r="AJ444" s="257"/>
      <c r="AK444" s="296">
        <f>'Encargos e Benefícios'!D443</f>
        <v>0</v>
      </c>
      <c r="AL444" s="296">
        <f>IF('Encargos e Benefícios'!C443=0,0,'Encargos e Benefícios'!U443/'Encargos e Benefícios'!C443)</f>
        <v>0</v>
      </c>
      <c r="AM444" s="296">
        <f>IF('Encargos e Benefícios'!C443=0,0,'Encargos e Benefícios'!AC443/'Encargos e Benefícios'!C443)</f>
        <v>0</v>
      </c>
      <c r="AN444" s="297">
        <f>IF('Encargos e Benefícios'!C443=0,0,'Encargos e Benefícios'!AD443/'Encargos e Benefícios'!C443)</f>
        <v>0</v>
      </c>
      <c r="AO444" s="188"/>
      <c r="AP444" s="298"/>
      <c r="AQ444" s="298"/>
      <c r="AR444" s="302"/>
      <c r="AS444" s="188"/>
    </row>
    <row r="445" spans="1:45" ht="13.5" hidden="1" thickBot="1">
      <c r="A445" s="286">
        <v>439</v>
      </c>
      <c r="B445" s="81">
        <f>'Encargos e Benefícios'!B444</f>
        <v>0</v>
      </c>
      <c r="C445" s="287">
        <f>'Encargos e Benefícios'!C444</f>
        <v>0</v>
      </c>
      <c r="D445" s="288"/>
      <c r="E445" s="300"/>
      <c r="F445" s="301"/>
      <c r="G445" s="293"/>
      <c r="H445" s="292">
        <v>5.8400000000000001E-2</v>
      </c>
      <c r="I445" s="256"/>
      <c r="J445" s="256"/>
      <c r="K445" s="256"/>
      <c r="L445" s="256"/>
      <c r="M445" s="293"/>
      <c r="N445" s="292">
        <v>5.8400000000000001E-2</v>
      </c>
      <c r="O445" s="256"/>
      <c r="P445" s="256"/>
      <c r="Q445" s="256"/>
      <c r="R445" s="256"/>
      <c r="S445" s="293"/>
      <c r="T445" s="294"/>
      <c r="U445" s="256"/>
      <c r="V445" s="256"/>
      <c r="W445" s="256"/>
      <c r="X445" s="256"/>
      <c r="Y445" s="293"/>
      <c r="Z445" s="294"/>
      <c r="AA445" s="256"/>
      <c r="AB445" s="256">
        <v>8.7100000000000009</v>
      </c>
      <c r="AC445" s="256"/>
      <c r="AD445" s="256"/>
      <c r="AE445" s="293"/>
      <c r="AF445" s="294"/>
      <c r="AG445" s="256"/>
      <c r="AH445" s="256"/>
      <c r="AI445" s="256"/>
      <c r="AJ445" s="257"/>
      <c r="AK445" s="296">
        <f>'Encargos e Benefícios'!D444</f>
        <v>0</v>
      </c>
      <c r="AL445" s="296">
        <f>IF('Encargos e Benefícios'!C444=0,0,'Encargos e Benefícios'!U444/'Encargos e Benefícios'!C444)</f>
        <v>0</v>
      </c>
      <c r="AM445" s="296">
        <f>IF('Encargos e Benefícios'!C444=0,0,'Encargos e Benefícios'!AC444/'Encargos e Benefícios'!C444)</f>
        <v>0</v>
      </c>
      <c r="AN445" s="297">
        <f>IF('Encargos e Benefícios'!C444=0,0,'Encargos e Benefícios'!AD444/'Encargos e Benefícios'!C444)</f>
        <v>0</v>
      </c>
      <c r="AO445" s="188"/>
      <c r="AP445" s="298"/>
      <c r="AQ445" s="298"/>
      <c r="AR445" s="302"/>
      <c r="AS445" s="188"/>
    </row>
    <row r="446" spans="1:45" ht="13.5" hidden="1" thickBot="1">
      <c r="A446" s="286">
        <v>440</v>
      </c>
      <c r="B446" s="81">
        <f>'Encargos e Benefícios'!B445</f>
        <v>0</v>
      </c>
      <c r="C446" s="287">
        <f>'Encargos e Benefícios'!C445</f>
        <v>0</v>
      </c>
      <c r="D446" s="288"/>
      <c r="E446" s="300"/>
      <c r="F446" s="301"/>
      <c r="G446" s="293"/>
      <c r="H446" s="292">
        <v>5.8400000000000001E-2</v>
      </c>
      <c r="I446" s="256"/>
      <c r="J446" s="256"/>
      <c r="K446" s="256"/>
      <c r="L446" s="256"/>
      <c r="M446" s="293"/>
      <c r="N446" s="292">
        <v>5.8400000000000001E-2</v>
      </c>
      <c r="O446" s="256"/>
      <c r="P446" s="256"/>
      <c r="Q446" s="256"/>
      <c r="R446" s="256"/>
      <c r="S446" s="293"/>
      <c r="T446" s="294"/>
      <c r="U446" s="256"/>
      <c r="V446" s="256"/>
      <c r="W446" s="256"/>
      <c r="X446" s="256"/>
      <c r="Y446" s="293"/>
      <c r="Z446" s="294"/>
      <c r="AA446" s="256"/>
      <c r="AB446" s="256">
        <v>8.7100000000000009</v>
      </c>
      <c r="AC446" s="256"/>
      <c r="AD446" s="256"/>
      <c r="AE446" s="293"/>
      <c r="AF446" s="294"/>
      <c r="AG446" s="256"/>
      <c r="AH446" s="256"/>
      <c r="AI446" s="256"/>
      <c r="AJ446" s="257"/>
      <c r="AK446" s="296">
        <f>'Encargos e Benefícios'!D445</f>
        <v>0</v>
      </c>
      <c r="AL446" s="296">
        <f>IF('Encargos e Benefícios'!C445=0,0,'Encargos e Benefícios'!U445/'Encargos e Benefícios'!C445)</f>
        <v>0</v>
      </c>
      <c r="AM446" s="296">
        <f>IF('Encargos e Benefícios'!C445=0,0,'Encargos e Benefícios'!AC445/'Encargos e Benefícios'!C445)</f>
        <v>0</v>
      </c>
      <c r="AN446" s="297">
        <f>IF('Encargos e Benefícios'!C445=0,0,'Encargos e Benefícios'!AD445/'Encargos e Benefícios'!C445)</f>
        <v>0</v>
      </c>
      <c r="AO446" s="188"/>
      <c r="AP446" s="298"/>
      <c r="AQ446" s="298"/>
      <c r="AR446" s="302"/>
      <c r="AS446" s="188"/>
    </row>
    <row r="447" spans="1:45" ht="13.5" hidden="1" thickBot="1">
      <c r="A447" s="286">
        <v>441</v>
      </c>
      <c r="B447" s="81">
        <f>'Encargos e Benefícios'!B446</f>
        <v>0</v>
      </c>
      <c r="C447" s="287">
        <f>'Encargos e Benefícios'!C446</f>
        <v>0</v>
      </c>
      <c r="D447" s="288"/>
      <c r="E447" s="300"/>
      <c r="F447" s="301"/>
      <c r="G447" s="293"/>
      <c r="H447" s="292">
        <v>5.8400000000000001E-2</v>
      </c>
      <c r="I447" s="256"/>
      <c r="J447" s="256"/>
      <c r="K447" s="256"/>
      <c r="L447" s="256"/>
      <c r="M447" s="293"/>
      <c r="N447" s="292">
        <v>5.8400000000000001E-2</v>
      </c>
      <c r="O447" s="256"/>
      <c r="P447" s="256"/>
      <c r="Q447" s="256"/>
      <c r="R447" s="256"/>
      <c r="S447" s="293"/>
      <c r="T447" s="294"/>
      <c r="U447" s="256"/>
      <c r="V447" s="256"/>
      <c r="W447" s="256"/>
      <c r="X447" s="256"/>
      <c r="Y447" s="293"/>
      <c r="Z447" s="294"/>
      <c r="AA447" s="256"/>
      <c r="AB447" s="256">
        <v>8.7100000000000009</v>
      </c>
      <c r="AC447" s="256"/>
      <c r="AD447" s="256"/>
      <c r="AE447" s="293"/>
      <c r="AF447" s="294"/>
      <c r="AG447" s="256"/>
      <c r="AH447" s="256"/>
      <c r="AI447" s="256"/>
      <c r="AJ447" s="257"/>
      <c r="AK447" s="296">
        <f>'Encargos e Benefícios'!D446</f>
        <v>0</v>
      </c>
      <c r="AL447" s="296">
        <f>IF('Encargos e Benefícios'!C446=0,0,'Encargos e Benefícios'!U446/'Encargos e Benefícios'!C446)</f>
        <v>0</v>
      </c>
      <c r="AM447" s="296">
        <f>IF('Encargos e Benefícios'!C446=0,0,'Encargos e Benefícios'!AC446/'Encargos e Benefícios'!C446)</f>
        <v>0</v>
      </c>
      <c r="AN447" s="297">
        <f>IF('Encargos e Benefícios'!C446=0,0,'Encargos e Benefícios'!AD446/'Encargos e Benefícios'!C446)</f>
        <v>0</v>
      </c>
      <c r="AO447" s="188"/>
      <c r="AP447" s="298"/>
      <c r="AQ447" s="298"/>
      <c r="AR447" s="302"/>
      <c r="AS447" s="188"/>
    </row>
    <row r="448" spans="1:45" ht="13.5" hidden="1" thickBot="1">
      <c r="A448" s="286">
        <v>442</v>
      </c>
      <c r="B448" s="81">
        <f>'Encargos e Benefícios'!B447</f>
        <v>0</v>
      </c>
      <c r="C448" s="287">
        <f>'Encargos e Benefícios'!C447</f>
        <v>0</v>
      </c>
      <c r="D448" s="288"/>
      <c r="E448" s="300"/>
      <c r="F448" s="301"/>
      <c r="G448" s="293"/>
      <c r="H448" s="292">
        <v>5.8400000000000001E-2</v>
      </c>
      <c r="I448" s="256"/>
      <c r="J448" s="256"/>
      <c r="K448" s="256"/>
      <c r="L448" s="256"/>
      <c r="M448" s="293"/>
      <c r="N448" s="292">
        <v>5.8400000000000001E-2</v>
      </c>
      <c r="O448" s="256"/>
      <c r="P448" s="256"/>
      <c r="Q448" s="256"/>
      <c r="R448" s="256"/>
      <c r="S448" s="293"/>
      <c r="T448" s="294"/>
      <c r="U448" s="256"/>
      <c r="V448" s="256"/>
      <c r="W448" s="256"/>
      <c r="X448" s="256"/>
      <c r="Y448" s="293"/>
      <c r="Z448" s="294"/>
      <c r="AA448" s="256"/>
      <c r="AB448" s="256">
        <v>8.7100000000000009</v>
      </c>
      <c r="AC448" s="256"/>
      <c r="AD448" s="256"/>
      <c r="AE448" s="293"/>
      <c r="AF448" s="294"/>
      <c r="AG448" s="256"/>
      <c r="AH448" s="256"/>
      <c r="AI448" s="256"/>
      <c r="AJ448" s="257"/>
      <c r="AK448" s="296">
        <f>'Encargos e Benefícios'!D447</f>
        <v>0</v>
      </c>
      <c r="AL448" s="296">
        <f>IF('Encargos e Benefícios'!C447=0,0,'Encargos e Benefícios'!U447/'Encargos e Benefícios'!C447)</f>
        <v>0</v>
      </c>
      <c r="AM448" s="296">
        <f>IF('Encargos e Benefícios'!C447=0,0,'Encargos e Benefícios'!AC447/'Encargos e Benefícios'!C447)</f>
        <v>0</v>
      </c>
      <c r="AN448" s="297">
        <f>IF('Encargos e Benefícios'!C447=0,0,'Encargos e Benefícios'!AD447/'Encargos e Benefícios'!C447)</f>
        <v>0</v>
      </c>
      <c r="AO448" s="188"/>
      <c r="AP448" s="298"/>
      <c r="AQ448" s="298"/>
      <c r="AR448" s="302"/>
      <c r="AS448" s="188"/>
    </row>
    <row r="449" spans="1:45" ht="13.5" hidden="1" thickBot="1">
      <c r="A449" s="286">
        <v>443</v>
      </c>
      <c r="B449" s="81">
        <f>'Encargos e Benefícios'!B448</f>
        <v>0</v>
      </c>
      <c r="C449" s="287">
        <f>'Encargos e Benefícios'!C448</f>
        <v>0</v>
      </c>
      <c r="D449" s="288"/>
      <c r="E449" s="300"/>
      <c r="F449" s="301"/>
      <c r="G449" s="293"/>
      <c r="H449" s="292">
        <v>5.8400000000000001E-2</v>
      </c>
      <c r="I449" s="256"/>
      <c r="J449" s="256"/>
      <c r="K449" s="256"/>
      <c r="L449" s="256"/>
      <c r="M449" s="293"/>
      <c r="N449" s="292">
        <v>5.8400000000000001E-2</v>
      </c>
      <c r="O449" s="256"/>
      <c r="P449" s="256"/>
      <c r="Q449" s="256"/>
      <c r="R449" s="256"/>
      <c r="S449" s="293"/>
      <c r="T449" s="294"/>
      <c r="U449" s="256"/>
      <c r="V449" s="256"/>
      <c r="W449" s="256"/>
      <c r="X449" s="256"/>
      <c r="Y449" s="293"/>
      <c r="Z449" s="294"/>
      <c r="AA449" s="256"/>
      <c r="AB449" s="256">
        <v>8.7100000000000009</v>
      </c>
      <c r="AC449" s="256"/>
      <c r="AD449" s="256"/>
      <c r="AE449" s="293"/>
      <c r="AF449" s="294"/>
      <c r="AG449" s="256"/>
      <c r="AH449" s="256"/>
      <c r="AI449" s="256"/>
      <c r="AJ449" s="257"/>
      <c r="AK449" s="296">
        <f>'Encargos e Benefícios'!D448</f>
        <v>0</v>
      </c>
      <c r="AL449" s="296">
        <f>IF('Encargos e Benefícios'!C448=0,0,'Encargos e Benefícios'!U448/'Encargos e Benefícios'!C448)</f>
        <v>0</v>
      </c>
      <c r="AM449" s="296">
        <f>IF('Encargos e Benefícios'!C448=0,0,'Encargos e Benefícios'!AC448/'Encargos e Benefícios'!C448)</f>
        <v>0</v>
      </c>
      <c r="AN449" s="297">
        <f>IF('Encargos e Benefícios'!C448=0,0,'Encargos e Benefícios'!AD448/'Encargos e Benefícios'!C448)</f>
        <v>0</v>
      </c>
      <c r="AO449" s="188"/>
      <c r="AP449" s="298"/>
      <c r="AQ449" s="298"/>
      <c r="AR449" s="302"/>
      <c r="AS449" s="188"/>
    </row>
    <row r="450" spans="1:45" ht="13.5" hidden="1" thickBot="1">
      <c r="A450" s="286">
        <v>444</v>
      </c>
      <c r="B450" s="81">
        <f>'Encargos e Benefícios'!B449</f>
        <v>0</v>
      </c>
      <c r="C450" s="287">
        <f>'Encargos e Benefícios'!C449</f>
        <v>0</v>
      </c>
      <c r="D450" s="288"/>
      <c r="E450" s="300"/>
      <c r="F450" s="301"/>
      <c r="G450" s="293"/>
      <c r="H450" s="292">
        <v>5.8400000000000001E-2</v>
      </c>
      <c r="I450" s="256"/>
      <c r="J450" s="256"/>
      <c r="K450" s="256"/>
      <c r="L450" s="256"/>
      <c r="M450" s="293"/>
      <c r="N450" s="292">
        <v>5.8400000000000001E-2</v>
      </c>
      <c r="O450" s="256"/>
      <c r="P450" s="256"/>
      <c r="Q450" s="256"/>
      <c r="R450" s="256"/>
      <c r="S450" s="293"/>
      <c r="T450" s="294"/>
      <c r="U450" s="256"/>
      <c r="V450" s="256"/>
      <c r="W450" s="256"/>
      <c r="X450" s="256"/>
      <c r="Y450" s="293"/>
      <c r="Z450" s="294"/>
      <c r="AA450" s="256"/>
      <c r="AB450" s="256">
        <v>8.7100000000000009</v>
      </c>
      <c r="AC450" s="256"/>
      <c r="AD450" s="256"/>
      <c r="AE450" s="293"/>
      <c r="AF450" s="294"/>
      <c r="AG450" s="256"/>
      <c r="AH450" s="256"/>
      <c r="AI450" s="256"/>
      <c r="AJ450" s="257"/>
      <c r="AK450" s="296">
        <f>'Encargos e Benefícios'!D449</f>
        <v>0</v>
      </c>
      <c r="AL450" s="296">
        <f>IF('Encargos e Benefícios'!C449=0,0,'Encargos e Benefícios'!U449/'Encargos e Benefícios'!C449)</f>
        <v>0</v>
      </c>
      <c r="AM450" s="296">
        <f>IF('Encargos e Benefícios'!C449=0,0,'Encargos e Benefícios'!AC449/'Encargos e Benefícios'!C449)</f>
        <v>0</v>
      </c>
      <c r="AN450" s="297">
        <f>IF('Encargos e Benefícios'!C449=0,0,'Encargos e Benefícios'!AD449/'Encargos e Benefícios'!C449)</f>
        <v>0</v>
      </c>
      <c r="AO450" s="188"/>
      <c r="AP450" s="298"/>
      <c r="AQ450" s="298"/>
      <c r="AR450" s="302"/>
      <c r="AS450" s="188"/>
    </row>
    <row r="451" spans="1:45" ht="13.5" hidden="1" thickBot="1">
      <c r="A451" s="286">
        <v>445</v>
      </c>
      <c r="B451" s="81">
        <f>'Encargos e Benefícios'!B450</f>
        <v>0</v>
      </c>
      <c r="C451" s="287">
        <f>'Encargos e Benefícios'!C450</f>
        <v>0</v>
      </c>
      <c r="D451" s="288"/>
      <c r="E451" s="300"/>
      <c r="F451" s="301"/>
      <c r="G451" s="293"/>
      <c r="H451" s="292">
        <v>5.8400000000000001E-2</v>
      </c>
      <c r="I451" s="256"/>
      <c r="J451" s="256"/>
      <c r="K451" s="256"/>
      <c r="L451" s="256"/>
      <c r="M451" s="293"/>
      <c r="N451" s="292">
        <v>5.8400000000000001E-2</v>
      </c>
      <c r="O451" s="256"/>
      <c r="P451" s="256"/>
      <c r="Q451" s="256"/>
      <c r="R451" s="256"/>
      <c r="S451" s="293"/>
      <c r="T451" s="294"/>
      <c r="U451" s="256"/>
      <c r="V451" s="256"/>
      <c r="W451" s="256"/>
      <c r="X451" s="256"/>
      <c r="Y451" s="293"/>
      <c r="Z451" s="294"/>
      <c r="AA451" s="256"/>
      <c r="AB451" s="256">
        <v>8.7100000000000009</v>
      </c>
      <c r="AC451" s="256"/>
      <c r="AD451" s="256"/>
      <c r="AE451" s="293"/>
      <c r="AF451" s="294"/>
      <c r="AG451" s="256"/>
      <c r="AH451" s="256"/>
      <c r="AI451" s="256"/>
      <c r="AJ451" s="257"/>
      <c r="AK451" s="296">
        <f>'Encargos e Benefícios'!D450</f>
        <v>0</v>
      </c>
      <c r="AL451" s="296">
        <f>IF('Encargos e Benefícios'!C450=0,0,'Encargos e Benefícios'!U450/'Encargos e Benefícios'!C450)</f>
        <v>0</v>
      </c>
      <c r="AM451" s="296">
        <f>IF('Encargos e Benefícios'!C450=0,0,'Encargos e Benefícios'!AC450/'Encargos e Benefícios'!C450)</f>
        <v>0</v>
      </c>
      <c r="AN451" s="297">
        <f>IF('Encargos e Benefícios'!C450=0,0,'Encargos e Benefícios'!AD450/'Encargos e Benefícios'!C450)</f>
        <v>0</v>
      </c>
      <c r="AO451" s="188"/>
      <c r="AP451" s="298"/>
      <c r="AQ451" s="298"/>
      <c r="AR451" s="302"/>
      <c r="AS451" s="188"/>
    </row>
    <row r="452" spans="1:45" ht="13.5" hidden="1" thickBot="1">
      <c r="A452" s="286">
        <v>446</v>
      </c>
      <c r="B452" s="81">
        <f>'Encargos e Benefícios'!B451</f>
        <v>0</v>
      </c>
      <c r="C452" s="287">
        <f>'Encargos e Benefícios'!C451</f>
        <v>0</v>
      </c>
      <c r="D452" s="288"/>
      <c r="E452" s="300"/>
      <c r="F452" s="301"/>
      <c r="G452" s="293"/>
      <c r="H452" s="292">
        <v>5.8400000000000001E-2</v>
      </c>
      <c r="I452" s="256"/>
      <c r="J452" s="256"/>
      <c r="K452" s="256"/>
      <c r="L452" s="256"/>
      <c r="M452" s="293"/>
      <c r="N452" s="292">
        <v>5.8400000000000001E-2</v>
      </c>
      <c r="O452" s="256"/>
      <c r="P452" s="256"/>
      <c r="Q452" s="256"/>
      <c r="R452" s="256"/>
      <c r="S452" s="293"/>
      <c r="T452" s="294"/>
      <c r="U452" s="256"/>
      <c r="V452" s="256"/>
      <c r="W452" s="256"/>
      <c r="X452" s="256"/>
      <c r="Y452" s="293"/>
      <c r="Z452" s="294"/>
      <c r="AA452" s="256"/>
      <c r="AB452" s="256">
        <v>8.7100000000000009</v>
      </c>
      <c r="AC452" s="256"/>
      <c r="AD452" s="256"/>
      <c r="AE452" s="293"/>
      <c r="AF452" s="294"/>
      <c r="AG452" s="256"/>
      <c r="AH452" s="256"/>
      <c r="AI452" s="256"/>
      <c r="AJ452" s="257"/>
      <c r="AK452" s="296">
        <f>'Encargos e Benefícios'!D451</f>
        <v>0</v>
      </c>
      <c r="AL452" s="296">
        <f>IF('Encargos e Benefícios'!C451=0,0,'Encargos e Benefícios'!U451/'Encargos e Benefícios'!C451)</f>
        <v>0</v>
      </c>
      <c r="AM452" s="296">
        <f>IF('Encargos e Benefícios'!C451=0,0,'Encargos e Benefícios'!AC451/'Encargos e Benefícios'!C451)</f>
        <v>0</v>
      </c>
      <c r="AN452" s="297">
        <f>IF('Encargos e Benefícios'!C451=0,0,'Encargos e Benefícios'!AD451/'Encargos e Benefícios'!C451)</f>
        <v>0</v>
      </c>
      <c r="AO452" s="188"/>
      <c r="AP452" s="298"/>
      <c r="AQ452" s="298"/>
      <c r="AR452" s="302"/>
      <c r="AS452" s="188"/>
    </row>
    <row r="453" spans="1:45" ht="13.5" hidden="1" thickBot="1">
      <c r="A453" s="286">
        <v>447</v>
      </c>
      <c r="B453" s="81">
        <f>'Encargos e Benefícios'!B452</f>
        <v>0</v>
      </c>
      <c r="C453" s="287">
        <f>'Encargos e Benefícios'!C452</f>
        <v>0</v>
      </c>
      <c r="D453" s="288"/>
      <c r="E453" s="300"/>
      <c r="F453" s="301"/>
      <c r="G453" s="293"/>
      <c r="H453" s="292">
        <v>5.8400000000000001E-2</v>
      </c>
      <c r="I453" s="256"/>
      <c r="J453" s="256"/>
      <c r="K453" s="256"/>
      <c r="L453" s="256"/>
      <c r="M453" s="293"/>
      <c r="N453" s="292">
        <v>5.8400000000000001E-2</v>
      </c>
      <c r="O453" s="256"/>
      <c r="P453" s="256"/>
      <c r="Q453" s="256"/>
      <c r="R453" s="256"/>
      <c r="S453" s="293"/>
      <c r="T453" s="294"/>
      <c r="U453" s="256"/>
      <c r="V453" s="256"/>
      <c r="W453" s="256"/>
      <c r="X453" s="256"/>
      <c r="Y453" s="293"/>
      <c r="Z453" s="294"/>
      <c r="AA453" s="256"/>
      <c r="AB453" s="256">
        <v>8.7100000000000009</v>
      </c>
      <c r="AC453" s="256"/>
      <c r="AD453" s="256"/>
      <c r="AE453" s="293"/>
      <c r="AF453" s="294"/>
      <c r="AG453" s="256"/>
      <c r="AH453" s="256"/>
      <c r="AI453" s="256"/>
      <c r="AJ453" s="257"/>
      <c r="AK453" s="296">
        <f>'Encargos e Benefícios'!D452</f>
        <v>0</v>
      </c>
      <c r="AL453" s="296">
        <f>IF('Encargos e Benefícios'!C452=0,0,'Encargos e Benefícios'!U452/'Encargos e Benefícios'!C452)</f>
        <v>0</v>
      </c>
      <c r="AM453" s="296">
        <f>IF('Encargos e Benefícios'!C452=0,0,'Encargos e Benefícios'!AC452/'Encargos e Benefícios'!C452)</f>
        <v>0</v>
      </c>
      <c r="AN453" s="297">
        <f>IF('Encargos e Benefícios'!C452=0,0,'Encargos e Benefícios'!AD452/'Encargos e Benefícios'!C452)</f>
        <v>0</v>
      </c>
      <c r="AO453" s="188"/>
      <c r="AP453" s="298"/>
      <c r="AQ453" s="298"/>
      <c r="AR453" s="302"/>
      <c r="AS453" s="188"/>
    </row>
    <row r="454" spans="1:45" ht="13.5" hidden="1" thickBot="1">
      <c r="A454" s="286">
        <v>448</v>
      </c>
      <c r="B454" s="81">
        <f>'Encargos e Benefícios'!B453</f>
        <v>0</v>
      </c>
      <c r="C454" s="287">
        <f>'Encargos e Benefícios'!C453</f>
        <v>0</v>
      </c>
      <c r="D454" s="288"/>
      <c r="E454" s="300"/>
      <c r="F454" s="301"/>
      <c r="G454" s="293"/>
      <c r="H454" s="292">
        <v>5.8400000000000001E-2</v>
      </c>
      <c r="I454" s="256"/>
      <c r="J454" s="256"/>
      <c r="K454" s="256"/>
      <c r="L454" s="256"/>
      <c r="M454" s="293"/>
      <c r="N454" s="292">
        <v>5.8400000000000001E-2</v>
      </c>
      <c r="O454" s="256"/>
      <c r="P454" s="256"/>
      <c r="Q454" s="256"/>
      <c r="R454" s="256"/>
      <c r="S454" s="293"/>
      <c r="T454" s="294"/>
      <c r="U454" s="256"/>
      <c r="V454" s="256"/>
      <c r="W454" s="256"/>
      <c r="X454" s="256"/>
      <c r="Y454" s="293"/>
      <c r="Z454" s="294"/>
      <c r="AA454" s="256"/>
      <c r="AB454" s="256">
        <v>8.7100000000000009</v>
      </c>
      <c r="AC454" s="256"/>
      <c r="AD454" s="256"/>
      <c r="AE454" s="293"/>
      <c r="AF454" s="294"/>
      <c r="AG454" s="256"/>
      <c r="AH454" s="256"/>
      <c r="AI454" s="256"/>
      <c r="AJ454" s="257"/>
      <c r="AK454" s="296">
        <f>'Encargos e Benefícios'!D453</f>
        <v>0</v>
      </c>
      <c r="AL454" s="296">
        <f>IF('Encargos e Benefícios'!C453=0,0,'Encargos e Benefícios'!U453/'Encargos e Benefícios'!C453)</f>
        <v>0</v>
      </c>
      <c r="AM454" s="296">
        <f>IF('Encargos e Benefícios'!C453=0,0,'Encargos e Benefícios'!AC453/'Encargos e Benefícios'!C453)</f>
        <v>0</v>
      </c>
      <c r="AN454" s="297">
        <f>IF('Encargos e Benefícios'!C453=0,0,'Encargos e Benefícios'!AD453/'Encargos e Benefícios'!C453)</f>
        <v>0</v>
      </c>
      <c r="AO454" s="188"/>
      <c r="AP454" s="298"/>
      <c r="AQ454" s="298"/>
      <c r="AR454" s="302"/>
      <c r="AS454" s="188"/>
    </row>
    <row r="455" spans="1:45" ht="13.5" hidden="1" thickBot="1">
      <c r="A455" s="286">
        <v>449</v>
      </c>
      <c r="B455" s="81">
        <f>'Encargos e Benefícios'!B454</f>
        <v>0</v>
      </c>
      <c r="C455" s="287">
        <f>'Encargos e Benefícios'!C454</f>
        <v>0</v>
      </c>
      <c r="D455" s="288"/>
      <c r="E455" s="300"/>
      <c r="F455" s="301"/>
      <c r="G455" s="293"/>
      <c r="H455" s="292">
        <v>5.8400000000000001E-2</v>
      </c>
      <c r="I455" s="256"/>
      <c r="J455" s="256"/>
      <c r="K455" s="256"/>
      <c r="L455" s="256"/>
      <c r="M455" s="293"/>
      <c r="N455" s="292">
        <v>5.8400000000000001E-2</v>
      </c>
      <c r="O455" s="256"/>
      <c r="P455" s="256"/>
      <c r="Q455" s="256"/>
      <c r="R455" s="256"/>
      <c r="S455" s="293"/>
      <c r="T455" s="294"/>
      <c r="U455" s="256"/>
      <c r="V455" s="256"/>
      <c r="W455" s="256"/>
      <c r="X455" s="256"/>
      <c r="Y455" s="293"/>
      <c r="Z455" s="294"/>
      <c r="AA455" s="256"/>
      <c r="AB455" s="256">
        <v>8.7100000000000009</v>
      </c>
      <c r="AC455" s="256"/>
      <c r="AD455" s="256"/>
      <c r="AE455" s="293"/>
      <c r="AF455" s="294"/>
      <c r="AG455" s="256"/>
      <c r="AH455" s="256"/>
      <c r="AI455" s="256"/>
      <c r="AJ455" s="257"/>
      <c r="AK455" s="296">
        <f>'Encargos e Benefícios'!D454</f>
        <v>0</v>
      </c>
      <c r="AL455" s="296">
        <f>IF('Encargos e Benefícios'!C454=0,0,'Encargos e Benefícios'!U454/'Encargos e Benefícios'!C454)</f>
        <v>0</v>
      </c>
      <c r="AM455" s="296">
        <f>IF('Encargos e Benefícios'!C454=0,0,'Encargos e Benefícios'!AC454/'Encargos e Benefícios'!C454)</f>
        <v>0</v>
      </c>
      <c r="AN455" s="297">
        <f>IF('Encargos e Benefícios'!C454=0,0,'Encargos e Benefícios'!AD454/'Encargos e Benefícios'!C454)</f>
        <v>0</v>
      </c>
      <c r="AO455" s="188"/>
      <c r="AP455" s="298"/>
      <c r="AQ455" s="298"/>
      <c r="AR455" s="302"/>
      <c r="AS455" s="188"/>
    </row>
    <row r="456" spans="1:45" ht="13.5" hidden="1" thickBot="1">
      <c r="A456" s="286">
        <v>450</v>
      </c>
      <c r="B456" s="81">
        <f>'Encargos e Benefícios'!B455</f>
        <v>0</v>
      </c>
      <c r="C456" s="287">
        <f>'Encargos e Benefícios'!C455</f>
        <v>0</v>
      </c>
      <c r="D456" s="288"/>
      <c r="E456" s="300"/>
      <c r="F456" s="301"/>
      <c r="G456" s="293"/>
      <c r="H456" s="292">
        <v>5.8400000000000001E-2</v>
      </c>
      <c r="I456" s="256"/>
      <c r="J456" s="256"/>
      <c r="K456" s="256"/>
      <c r="L456" s="256"/>
      <c r="M456" s="293"/>
      <c r="N456" s="292">
        <v>5.8400000000000001E-2</v>
      </c>
      <c r="O456" s="256"/>
      <c r="P456" s="256"/>
      <c r="Q456" s="256"/>
      <c r="R456" s="256"/>
      <c r="S456" s="293"/>
      <c r="T456" s="294"/>
      <c r="U456" s="256"/>
      <c r="V456" s="256"/>
      <c r="W456" s="256"/>
      <c r="X456" s="256"/>
      <c r="Y456" s="293"/>
      <c r="Z456" s="294"/>
      <c r="AA456" s="256"/>
      <c r="AB456" s="256">
        <v>8.7100000000000009</v>
      </c>
      <c r="AC456" s="256"/>
      <c r="AD456" s="256"/>
      <c r="AE456" s="293"/>
      <c r="AF456" s="294"/>
      <c r="AG456" s="256"/>
      <c r="AH456" s="256"/>
      <c r="AI456" s="256"/>
      <c r="AJ456" s="257"/>
      <c r="AK456" s="296">
        <f>'Encargos e Benefícios'!D455</f>
        <v>0</v>
      </c>
      <c r="AL456" s="296">
        <f>IF('Encargos e Benefícios'!C455=0,0,'Encargos e Benefícios'!U455/'Encargos e Benefícios'!C455)</f>
        <v>0</v>
      </c>
      <c r="AM456" s="296">
        <f>IF('Encargos e Benefícios'!C455=0,0,'Encargos e Benefícios'!AC455/'Encargos e Benefícios'!C455)</f>
        <v>0</v>
      </c>
      <c r="AN456" s="297">
        <f>IF('Encargos e Benefícios'!C455=0,0,'Encargos e Benefícios'!AD455/'Encargos e Benefícios'!C455)</f>
        <v>0</v>
      </c>
      <c r="AO456" s="188"/>
      <c r="AP456" s="298"/>
      <c r="AQ456" s="298"/>
      <c r="AR456" s="302"/>
      <c r="AS456" s="188"/>
    </row>
    <row r="457" spans="1:45" ht="13.5" hidden="1" thickBot="1">
      <c r="A457" s="286">
        <v>451</v>
      </c>
      <c r="B457" s="81">
        <f>'Encargos e Benefícios'!B456</f>
        <v>0</v>
      </c>
      <c r="C457" s="287">
        <f>'Encargos e Benefícios'!C456</f>
        <v>0</v>
      </c>
      <c r="D457" s="288"/>
      <c r="E457" s="300"/>
      <c r="F457" s="301"/>
      <c r="G457" s="293"/>
      <c r="H457" s="292">
        <v>5.8400000000000001E-2</v>
      </c>
      <c r="I457" s="256"/>
      <c r="J457" s="256"/>
      <c r="K457" s="256"/>
      <c r="L457" s="256"/>
      <c r="M457" s="293"/>
      <c r="N457" s="292">
        <v>5.8400000000000001E-2</v>
      </c>
      <c r="O457" s="256"/>
      <c r="P457" s="256"/>
      <c r="Q457" s="256"/>
      <c r="R457" s="256"/>
      <c r="S457" s="293"/>
      <c r="T457" s="294"/>
      <c r="U457" s="256"/>
      <c r="V457" s="256"/>
      <c r="W457" s="256"/>
      <c r="X457" s="256"/>
      <c r="Y457" s="293"/>
      <c r="Z457" s="294"/>
      <c r="AA457" s="256"/>
      <c r="AB457" s="256">
        <v>8.7100000000000009</v>
      </c>
      <c r="AC457" s="256"/>
      <c r="AD457" s="256"/>
      <c r="AE457" s="293"/>
      <c r="AF457" s="294"/>
      <c r="AG457" s="256"/>
      <c r="AH457" s="256"/>
      <c r="AI457" s="256"/>
      <c r="AJ457" s="257"/>
      <c r="AK457" s="296">
        <f>'Encargos e Benefícios'!D456</f>
        <v>0</v>
      </c>
      <c r="AL457" s="296">
        <f>IF('Encargos e Benefícios'!C456=0,0,'Encargos e Benefícios'!U456/'Encargos e Benefícios'!C456)</f>
        <v>0</v>
      </c>
      <c r="AM457" s="296">
        <f>IF('Encargos e Benefícios'!C456=0,0,'Encargos e Benefícios'!AC456/'Encargos e Benefícios'!C456)</f>
        <v>0</v>
      </c>
      <c r="AN457" s="297">
        <f>IF('Encargos e Benefícios'!C456=0,0,'Encargos e Benefícios'!AD456/'Encargos e Benefícios'!C456)</f>
        <v>0</v>
      </c>
      <c r="AO457" s="188"/>
      <c r="AP457" s="298"/>
      <c r="AQ457" s="298"/>
      <c r="AR457" s="302"/>
      <c r="AS457" s="188"/>
    </row>
    <row r="458" spans="1:45" ht="13.5" hidden="1" thickBot="1">
      <c r="A458" s="286">
        <v>452</v>
      </c>
      <c r="B458" s="81">
        <f>'Encargos e Benefícios'!B457</f>
        <v>0</v>
      </c>
      <c r="C458" s="287">
        <f>'Encargos e Benefícios'!C457</f>
        <v>0</v>
      </c>
      <c r="D458" s="288"/>
      <c r="E458" s="300"/>
      <c r="F458" s="301"/>
      <c r="G458" s="293"/>
      <c r="H458" s="292">
        <v>5.8400000000000001E-2</v>
      </c>
      <c r="I458" s="256"/>
      <c r="J458" s="256"/>
      <c r="K458" s="256"/>
      <c r="L458" s="256"/>
      <c r="M458" s="293"/>
      <c r="N458" s="292">
        <v>5.8400000000000001E-2</v>
      </c>
      <c r="O458" s="256"/>
      <c r="P458" s="256"/>
      <c r="Q458" s="256"/>
      <c r="R458" s="256"/>
      <c r="S458" s="293"/>
      <c r="T458" s="294"/>
      <c r="U458" s="256"/>
      <c r="V458" s="256"/>
      <c r="W458" s="256"/>
      <c r="X458" s="256"/>
      <c r="Y458" s="293"/>
      <c r="Z458" s="294"/>
      <c r="AA458" s="256"/>
      <c r="AB458" s="256">
        <v>8.7100000000000009</v>
      </c>
      <c r="AC458" s="256"/>
      <c r="AD458" s="256"/>
      <c r="AE458" s="293"/>
      <c r="AF458" s="294"/>
      <c r="AG458" s="256"/>
      <c r="AH458" s="256"/>
      <c r="AI458" s="256"/>
      <c r="AJ458" s="257"/>
      <c r="AK458" s="296">
        <f>'Encargos e Benefícios'!D457</f>
        <v>0</v>
      </c>
      <c r="AL458" s="296">
        <f>IF('Encargos e Benefícios'!C457=0,0,'Encargos e Benefícios'!U457/'Encargos e Benefícios'!C457)</f>
        <v>0</v>
      </c>
      <c r="AM458" s="296">
        <f>IF('Encargos e Benefícios'!C457=0,0,'Encargos e Benefícios'!AC457/'Encargos e Benefícios'!C457)</f>
        <v>0</v>
      </c>
      <c r="AN458" s="297">
        <f>IF('Encargos e Benefícios'!C457=0,0,'Encargos e Benefícios'!AD457/'Encargos e Benefícios'!C457)</f>
        <v>0</v>
      </c>
      <c r="AO458" s="188"/>
      <c r="AP458" s="298"/>
      <c r="AQ458" s="298"/>
      <c r="AR458" s="302"/>
      <c r="AS458" s="188"/>
    </row>
    <row r="459" spans="1:45" ht="13.5" hidden="1" thickBot="1">
      <c r="A459" s="286">
        <v>453</v>
      </c>
      <c r="B459" s="81">
        <f>'Encargos e Benefícios'!B458</f>
        <v>0</v>
      </c>
      <c r="C459" s="287">
        <f>'Encargos e Benefícios'!C458</f>
        <v>0</v>
      </c>
      <c r="D459" s="288"/>
      <c r="E459" s="300"/>
      <c r="F459" s="301"/>
      <c r="G459" s="293"/>
      <c r="H459" s="292">
        <v>5.8400000000000001E-2</v>
      </c>
      <c r="I459" s="256"/>
      <c r="J459" s="256"/>
      <c r="K459" s="256"/>
      <c r="L459" s="256"/>
      <c r="M459" s="293"/>
      <c r="N459" s="292">
        <v>5.8400000000000001E-2</v>
      </c>
      <c r="O459" s="256"/>
      <c r="P459" s="256"/>
      <c r="Q459" s="256"/>
      <c r="R459" s="256"/>
      <c r="S459" s="293"/>
      <c r="T459" s="294"/>
      <c r="U459" s="256"/>
      <c r="V459" s="256"/>
      <c r="W459" s="256"/>
      <c r="X459" s="256"/>
      <c r="Y459" s="293"/>
      <c r="Z459" s="294"/>
      <c r="AA459" s="256"/>
      <c r="AB459" s="256">
        <v>8.7100000000000009</v>
      </c>
      <c r="AC459" s="256"/>
      <c r="AD459" s="256"/>
      <c r="AE459" s="293"/>
      <c r="AF459" s="294"/>
      <c r="AG459" s="256"/>
      <c r="AH459" s="256"/>
      <c r="AI459" s="256"/>
      <c r="AJ459" s="257"/>
      <c r="AK459" s="296">
        <f>'Encargos e Benefícios'!D458</f>
        <v>0</v>
      </c>
      <c r="AL459" s="296">
        <f>IF('Encargos e Benefícios'!C458=0,0,'Encargos e Benefícios'!U458/'Encargos e Benefícios'!C458)</f>
        <v>0</v>
      </c>
      <c r="AM459" s="296">
        <f>IF('Encargos e Benefícios'!C458=0,0,'Encargos e Benefícios'!AC458/'Encargos e Benefícios'!C458)</f>
        <v>0</v>
      </c>
      <c r="AN459" s="297">
        <f>IF('Encargos e Benefícios'!C458=0,0,'Encargos e Benefícios'!AD458/'Encargos e Benefícios'!C458)</f>
        <v>0</v>
      </c>
      <c r="AO459" s="188"/>
      <c r="AP459" s="298"/>
      <c r="AQ459" s="298"/>
      <c r="AR459" s="302"/>
      <c r="AS459" s="188"/>
    </row>
    <row r="460" spans="1:45" ht="13.5" hidden="1" thickBot="1">
      <c r="A460" s="286">
        <v>454</v>
      </c>
      <c r="B460" s="81">
        <f>'Encargos e Benefícios'!B459</f>
        <v>0</v>
      </c>
      <c r="C460" s="287">
        <f>'Encargos e Benefícios'!C459</f>
        <v>0</v>
      </c>
      <c r="D460" s="288"/>
      <c r="E460" s="300"/>
      <c r="F460" s="301"/>
      <c r="G460" s="293"/>
      <c r="H460" s="292">
        <v>5.8400000000000001E-2</v>
      </c>
      <c r="I460" s="256"/>
      <c r="J460" s="256"/>
      <c r="K460" s="256"/>
      <c r="L460" s="256"/>
      <c r="M460" s="293"/>
      <c r="N460" s="292">
        <v>5.8400000000000001E-2</v>
      </c>
      <c r="O460" s="256"/>
      <c r="P460" s="256"/>
      <c r="Q460" s="256"/>
      <c r="R460" s="256"/>
      <c r="S460" s="293"/>
      <c r="T460" s="294"/>
      <c r="U460" s="256"/>
      <c r="V460" s="256"/>
      <c r="W460" s="256"/>
      <c r="X460" s="256"/>
      <c r="Y460" s="293"/>
      <c r="Z460" s="294"/>
      <c r="AA460" s="256"/>
      <c r="AB460" s="256">
        <v>8.7100000000000009</v>
      </c>
      <c r="AC460" s="256"/>
      <c r="AD460" s="256"/>
      <c r="AE460" s="293"/>
      <c r="AF460" s="294"/>
      <c r="AG460" s="256"/>
      <c r="AH460" s="256"/>
      <c r="AI460" s="256"/>
      <c r="AJ460" s="257"/>
      <c r="AK460" s="296">
        <f>'Encargos e Benefícios'!D459</f>
        <v>0</v>
      </c>
      <c r="AL460" s="296">
        <f>IF('Encargos e Benefícios'!C459=0,0,'Encargos e Benefícios'!U459/'Encargos e Benefícios'!C459)</f>
        <v>0</v>
      </c>
      <c r="AM460" s="296">
        <f>IF('Encargos e Benefícios'!C459=0,0,'Encargos e Benefícios'!AC459/'Encargos e Benefícios'!C459)</f>
        <v>0</v>
      </c>
      <c r="AN460" s="297">
        <f>IF('Encargos e Benefícios'!C459=0,0,'Encargos e Benefícios'!AD459/'Encargos e Benefícios'!C459)</f>
        <v>0</v>
      </c>
      <c r="AO460" s="188"/>
      <c r="AP460" s="298"/>
      <c r="AQ460" s="298"/>
      <c r="AR460" s="302"/>
      <c r="AS460" s="188"/>
    </row>
    <row r="461" spans="1:45" ht="13.5" hidden="1" thickBot="1">
      <c r="A461" s="286">
        <v>455</v>
      </c>
      <c r="B461" s="81">
        <f>'Encargos e Benefícios'!B460</f>
        <v>0</v>
      </c>
      <c r="C461" s="287">
        <f>'Encargos e Benefícios'!C460</f>
        <v>0</v>
      </c>
      <c r="D461" s="288"/>
      <c r="E461" s="300"/>
      <c r="F461" s="301"/>
      <c r="G461" s="293"/>
      <c r="H461" s="292">
        <v>5.8400000000000001E-2</v>
      </c>
      <c r="I461" s="256"/>
      <c r="J461" s="256"/>
      <c r="K461" s="256"/>
      <c r="L461" s="256"/>
      <c r="M461" s="293"/>
      <c r="N461" s="292">
        <v>5.8400000000000001E-2</v>
      </c>
      <c r="O461" s="256"/>
      <c r="P461" s="256"/>
      <c r="Q461" s="256"/>
      <c r="R461" s="256"/>
      <c r="S461" s="293"/>
      <c r="T461" s="294"/>
      <c r="U461" s="256"/>
      <c r="V461" s="256"/>
      <c r="W461" s="256"/>
      <c r="X461" s="256"/>
      <c r="Y461" s="293"/>
      <c r="Z461" s="294"/>
      <c r="AA461" s="256"/>
      <c r="AB461" s="256">
        <v>8.7100000000000009</v>
      </c>
      <c r="AC461" s="256"/>
      <c r="AD461" s="256"/>
      <c r="AE461" s="293"/>
      <c r="AF461" s="294"/>
      <c r="AG461" s="256"/>
      <c r="AH461" s="256"/>
      <c r="AI461" s="256"/>
      <c r="AJ461" s="257"/>
      <c r="AK461" s="296">
        <f>'Encargos e Benefícios'!D460</f>
        <v>0</v>
      </c>
      <c r="AL461" s="296">
        <f>IF('Encargos e Benefícios'!C460=0,0,'Encargos e Benefícios'!U460/'Encargos e Benefícios'!C460)</f>
        <v>0</v>
      </c>
      <c r="AM461" s="296">
        <f>IF('Encargos e Benefícios'!C460=0,0,'Encargos e Benefícios'!AC460/'Encargos e Benefícios'!C460)</f>
        <v>0</v>
      </c>
      <c r="AN461" s="297">
        <f>IF('Encargos e Benefícios'!C460=0,0,'Encargos e Benefícios'!AD460/'Encargos e Benefícios'!C460)</f>
        <v>0</v>
      </c>
      <c r="AO461" s="188"/>
      <c r="AP461" s="298"/>
      <c r="AQ461" s="298"/>
      <c r="AR461" s="302"/>
      <c r="AS461" s="188"/>
    </row>
    <row r="462" spans="1:45" ht="13.5" hidden="1" thickBot="1">
      <c r="A462" s="286">
        <v>456</v>
      </c>
      <c r="B462" s="81">
        <f>'Encargos e Benefícios'!B461</f>
        <v>0</v>
      </c>
      <c r="C462" s="287">
        <f>'Encargos e Benefícios'!C461</f>
        <v>0</v>
      </c>
      <c r="D462" s="288"/>
      <c r="E462" s="300"/>
      <c r="F462" s="301"/>
      <c r="G462" s="293"/>
      <c r="H462" s="292">
        <v>5.8400000000000001E-2</v>
      </c>
      <c r="I462" s="256"/>
      <c r="J462" s="256"/>
      <c r="K462" s="256"/>
      <c r="L462" s="256"/>
      <c r="M462" s="293"/>
      <c r="N462" s="292">
        <v>5.8400000000000001E-2</v>
      </c>
      <c r="O462" s="256"/>
      <c r="P462" s="256"/>
      <c r="Q462" s="256"/>
      <c r="R462" s="256"/>
      <c r="S462" s="293"/>
      <c r="T462" s="294"/>
      <c r="U462" s="256"/>
      <c r="V462" s="256"/>
      <c r="W462" s="256"/>
      <c r="X462" s="256"/>
      <c r="Y462" s="293"/>
      <c r="Z462" s="294"/>
      <c r="AA462" s="256"/>
      <c r="AB462" s="256">
        <v>8.7100000000000009</v>
      </c>
      <c r="AC462" s="256"/>
      <c r="AD462" s="256"/>
      <c r="AE462" s="293"/>
      <c r="AF462" s="294"/>
      <c r="AG462" s="256"/>
      <c r="AH462" s="256"/>
      <c r="AI462" s="256"/>
      <c r="AJ462" s="257"/>
      <c r="AK462" s="296">
        <f>'Encargos e Benefícios'!D461</f>
        <v>0</v>
      </c>
      <c r="AL462" s="296">
        <f>IF('Encargos e Benefícios'!C461=0,0,'Encargos e Benefícios'!U461/'Encargos e Benefícios'!C461)</f>
        <v>0</v>
      </c>
      <c r="AM462" s="296">
        <f>IF('Encargos e Benefícios'!C461=0,0,'Encargos e Benefícios'!AC461/'Encargos e Benefícios'!C461)</f>
        <v>0</v>
      </c>
      <c r="AN462" s="297">
        <f>IF('Encargos e Benefícios'!C461=0,0,'Encargos e Benefícios'!AD461/'Encargos e Benefícios'!C461)</f>
        <v>0</v>
      </c>
      <c r="AO462" s="188"/>
      <c r="AP462" s="298"/>
      <c r="AQ462" s="298"/>
      <c r="AR462" s="302"/>
      <c r="AS462" s="188"/>
    </row>
    <row r="463" spans="1:45" ht="13.5" hidden="1" thickBot="1">
      <c r="A463" s="286">
        <v>457</v>
      </c>
      <c r="B463" s="81">
        <f>'Encargos e Benefícios'!B462</f>
        <v>0</v>
      </c>
      <c r="C463" s="287">
        <f>'Encargos e Benefícios'!C462</f>
        <v>0</v>
      </c>
      <c r="D463" s="288"/>
      <c r="E463" s="300"/>
      <c r="F463" s="301"/>
      <c r="G463" s="293"/>
      <c r="H463" s="292">
        <v>5.8400000000000001E-2</v>
      </c>
      <c r="I463" s="256"/>
      <c r="J463" s="256"/>
      <c r="K463" s="256"/>
      <c r="L463" s="256"/>
      <c r="M463" s="293"/>
      <c r="N463" s="292">
        <v>5.8400000000000001E-2</v>
      </c>
      <c r="O463" s="256"/>
      <c r="P463" s="256"/>
      <c r="Q463" s="256"/>
      <c r="R463" s="256"/>
      <c r="S463" s="293"/>
      <c r="T463" s="294"/>
      <c r="U463" s="256"/>
      <c r="V463" s="256"/>
      <c r="W463" s="256"/>
      <c r="X463" s="256"/>
      <c r="Y463" s="293"/>
      <c r="Z463" s="294"/>
      <c r="AA463" s="256"/>
      <c r="AB463" s="256">
        <v>8.7100000000000009</v>
      </c>
      <c r="AC463" s="256"/>
      <c r="AD463" s="256"/>
      <c r="AE463" s="293"/>
      <c r="AF463" s="294"/>
      <c r="AG463" s="256"/>
      <c r="AH463" s="256"/>
      <c r="AI463" s="256"/>
      <c r="AJ463" s="257"/>
      <c r="AK463" s="296">
        <f>'Encargos e Benefícios'!D462</f>
        <v>0</v>
      </c>
      <c r="AL463" s="296">
        <f>IF('Encargos e Benefícios'!C462=0,0,'Encargos e Benefícios'!U462/'Encargos e Benefícios'!C462)</f>
        <v>0</v>
      </c>
      <c r="AM463" s="296">
        <f>IF('Encargos e Benefícios'!C462=0,0,'Encargos e Benefícios'!AC462/'Encargos e Benefícios'!C462)</f>
        <v>0</v>
      </c>
      <c r="AN463" s="297">
        <f>IF('Encargos e Benefícios'!C462=0,0,'Encargos e Benefícios'!AD462/'Encargos e Benefícios'!C462)</f>
        <v>0</v>
      </c>
      <c r="AO463" s="188"/>
      <c r="AP463" s="298"/>
      <c r="AQ463" s="298"/>
      <c r="AR463" s="302"/>
      <c r="AS463" s="188"/>
    </row>
    <row r="464" spans="1:45" ht="13.5" hidden="1" thickBot="1">
      <c r="A464" s="286">
        <v>458</v>
      </c>
      <c r="B464" s="81">
        <f>'Encargos e Benefícios'!B463</f>
        <v>0</v>
      </c>
      <c r="C464" s="287">
        <f>'Encargos e Benefícios'!C463</f>
        <v>0</v>
      </c>
      <c r="D464" s="288"/>
      <c r="E464" s="300"/>
      <c r="F464" s="301"/>
      <c r="G464" s="293"/>
      <c r="H464" s="292">
        <v>5.8400000000000001E-2</v>
      </c>
      <c r="I464" s="256"/>
      <c r="J464" s="256"/>
      <c r="K464" s="256"/>
      <c r="L464" s="256"/>
      <c r="M464" s="293"/>
      <c r="N464" s="292">
        <v>5.8400000000000001E-2</v>
      </c>
      <c r="O464" s="256"/>
      <c r="P464" s="256"/>
      <c r="Q464" s="256"/>
      <c r="R464" s="256"/>
      <c r="S464" s="293"/>
      <c r="T464" s="294"/>
      <c r="U464" s="256"/>
      <c r="V464" s="256"/>
      <c r="W464" s="256"/>
      <c r="X464" s="256"/>
      <c r="Y464" s="293"/>
      <c r="Z464" s="294"/>
      <c r="AA464" s="256"/>
      <c r="AB464" s="256">
        <v>8.7100000000000009</v>
      </c>
      <c r="AC464" s="256"/>
      <c r="AD464" s="256"/>
      <c r="AE464" s="293"/>
      <c r="AF464" s="294"/>
      <c r="AG464" s="256"/>
      <c r="AH464" s="256"/>
      <c r="AI464" s="256"/>
      <c r="AJ464" s="257"/>
      <c r="AK464" s="296">
        <f>'Encargos e Benefícios'!D463</f>
        <v>0</v>
      </c>
      <c r="AL464" s="296">
        <f>IF('Encargos e Benefícios'!C463=0,0,'Encargos e Benefícios'!U463/'Encargos e Benefícios'!C463)</f>
        <v>0</v>
      </c>
      <c r="AM464" s="296">
        <f>IF('Encargos e Benefícios'!C463=0,0,'Encargos e Benefícios'!AC463/'Encargos e Benefícios'!C463)</f>
        <v>0</v>
      </c>
      <c r="AN464" s="297">
        <f>IF('Encargos e Benefícios'!C463=0,0,'Encargos e Benefícios'!AD463/'Encargos e Benefícios'!C463)</f>
        <v>0</v>
      </c>
      <c r="AO464" s="188"/>
      <c r="AP464" s="298"/>
      <c r="AQ464" s="298"/>
      <c r="AR464" s="302"/>
      <c r="AS464" s="188"/>
    </row>
    <row r="465" spans="1:45" ht="13.5" hidden="1" thickBot="1">
      <c r="A465" s="286">
        <v>459</v>
      </c>
      <c r="B465" s="81">
        <f>'Encargos e Benefícios'!B464</f>
        <v>0</v>
      </c>
      <c r="C465" s="287">
        <f>'Encargos e Benefícios'!C464</f>
        <v>0</v>
      </c>
      <c r="D465" s="288"/>
      <c r="E465" s="300"/>
      <c r="F465" s="301"/>
      <c r="G465" s="293"/>
      <c r="H465" s="292">
        <v>5.8400000000000001E-2</v>
      </c>
      <c r="I465" s="256"/>
      <c r="J465" s="256"/>
      <c r="K465" s="256"/>
      <c r="L465" s="256"/>
      <c r="M465" s="293"/>
      <c r="N465" s="292">
        <v>5.8400000000000001E-2</v>
      </c>
      <c r="O465" s="256"/>
      <c r="P465" s="256"/>
      <c r="Q465" s="256"/>
      <c r="R465" s="256"/>
      <c r="S465" s="293"/>
      <c r="T465" s="294"/>
      <c r="U465" s="256"/>
      <c r="V465" s="256"/>
      <c r="W465" s="256"/>
      <c r="X465" s="256"/>
      <c r="Y465" s="293"/>
      <c r="Z465" s="294"/>
      <c r="AA465" s="256"/>
      <c r="AB465" s="256">
        <v>8.7100000000000009</v>
      </c>
      <c r="AC465" s="256"/>
      <c r="AD465" s="256"/>
      <c r="AE465" s="293"/>
      <c r="AF465" s="294"/>
      <c r="AG465" s="256"/>
      <c r="AH465" s="256"/>
      <c r="AI465" s="256"/>
      <c r="AJ465" s="257"/>
      <c r="AK465" s="296">
        <f>'Encargos e Benefícios'!D464</f>
        <v>0</v>
      </c>
      <c r="AL465" s="296">
        <f>IF('Encargos e Benefícios'!C464=0,0,'Encargos e Benefícios'!U464/'Encargos e Benefícios'!C464)</f>
        <v>0</v>
      </c>
      <c r="AM465" s="296">
        <f>IF('Encargos e Benefícios'!C464=0,0,'Encargos e Benefícios'!AC464/'Encargos e Benefícios'!C464)</f>
        <v>0</v>
      </c>
      <c r="AN465" s="297">
        <f>IF('Encargos e Benefícios'!C464=0,0,'Encargos e Benefícios'!AD464/'Encargos e Benefícios'!C464)</f>
        <v>0</v>
      </c>
      <c r="AO465" s="188"/>
      <c r="AP465" s="298"/>
      <c r="AQ465" s="298"/>
      <c r="AR465" s="302"/>
      <c r="AS465" s="188"/>
    </row>
    <row r="466" spans="1:45" ht="13.5" hidden="1" thickBot="1">
      <c r="A466" s="286">
        <v>460</v>
      </c>
      <c r="B466" s="81">
        <f>'Encargos e Benefícios'!B465</f>
        <v>0</v>
      </c>
      <c r="C466" s="287">
        <f>'Encargos e Benefícios'!C465</f>
        <v>0</v>
      </c>
      <c r="D466" s="288"/>
      <c r="E466" s="300"/>
      <c r="F466" s="301"/>
      <c r="G466" s="293"/>
      <c r="H466" s="292">
        <v>5.8400000000000001E-2</v>
      </c>
      <c r="I466" s="256"/>
      <c r="J466" s="256"/>
      <c r="K466" s="256"/>
      <c r="L466" s="256"/>
      <c r="M466" s="293"/>
      <c r="N466" s="292">
        <v>5.8400000000000001E-2</v>
      </c>
      <c r="O466" s="256"/>
      <c r="P466" s="256"/>
      <c r="Q466" s="256"/>
      <c r="R466" s="256"/>
      <c r="S466" s="293"/>
      <c r="T466" s="294"/>
      <c r="U466" s="256"/>
      <c r="V466" s="256"/>
      <c r="W466" s="256"/>
      <c r="X466" s="256"/>
      <c r="Y466" s="293"/>
      <c r="Z466" s="294"/>
      <c r="AA466" s="256"/>
      <c r="AB466" s="256">
        <v>8.7100000000000009</v>
      </c>
      <c r="AC466" s="256"/>
      <c r="AD466" s="256"/>
      <c r="AE466" s="293"/>
      <c r="AF466" s="294"/>
      <c r="AG466" s="256"/>
      <c r="AH466" s="256"/>
      <c r="AI466" s="256"/>
      <c r="AJ466" s="257"/>
      <c r="AK466" s="296">
        <f>'Encargos e Benefícios'!D465</f>
        <v>0</v>
      </c>
      <c r="AL466" s="296">
        <f>IF('Encargos e Benefícios'!C465=0,0,'Encargos e Benefícios'!U465/'Encargos e Benefícios'!C465)</f>
        <v>0</v>
      </c>
      <c r="AM466" s="296">
        <f>IF('Encargos e Benefícios'!C465=0,0,'Encargos e Benefícios'!AC465/'Encargos e Benefícios'!C465)</f>
        <v>0</v>
      </c>
      <c r="AN466" s="297">
        <f>IF('Encargos e Benefícios'!C465=0,0,'Encargos e Benefícios'!AD465/'Encargos e Benefícios'!C465)</f>
        <v>0</v>
      </c>
      <c r="AO466" s="188"/>
      <c r="AP466" s="298"/>
      <c r="AQ466" s="298"/>
      <c r="AR466" s="302"/>
      <c r="AS466" s="188"/>
    </row>
    <row r="467" spans="1:45" ht="13.5" hidden="1" thickBot="1">
      <c r="A467" s="286">
        <v>461</v>
      </c>
      <c r="B467" s="81">
        <f>'Encargos e Benefícios'!B466</f>
        <v>0</v>
      </c>
      <c r="C467" s="287">
        <f>'Encargos e Benefícios'!C466</f>
        <v>0</v>
      </c>
      <c r="D467" s="288"/>
      <c r="E467" s="300"/>
      <c r="F467" s="301"/>
      <c r="G467" s="293"/>
      <c r="H467" s="292">
        <v>5.8400000000000001E-2</v>
      </c>
      <c r="I467" s="256"/>
      <c r="J467" s="256"/>
      <c r="K467" s="256"/>
      <c r="L467" s="256"/>
      <c r="M467" s="293"/>
      <c r="N467" s="292">
        <v>5.8400000000000001E-2</v>
      </c>
      <c r="O467" s="256"/>
      <c r="P467" s="256"/>
      <c r="Q467" s="256"/>
      <c r="R467" s="256"/>
      <c r="S467" s="293"/>
      <c r="T467" s="294"/>
      <c r="U467" s="256"/>
      <c r="V467" s="256"/>
      <c r="W467" s="256"/>
      <c r="X467" s="256"/>
      <c r="Y467" s="293"/>
      <c r="Z467" s="294"/>
      <c r="AA467" s="256"/>
      <c r="AB467" s="256">
        <v>8.7100000000000009</v>
      </c>
      <c r="AC467" s="256"/>
      <c r="AD467" s="256"/>
      <c r="AE467" s="293"/>
      <c r="AF467" s="294"/>
      <c r="AG467" s="256"/>
      <c r="AH467" s="256"/>
      <c r="AI467" s="256"/>
      <c r="AJ467" s="257"/>
      <c r="AK467" s="296">
        <f>'Encargos e Benefícios'!D466</f>
        <v>0</v>
      </c>
      <c r="AL467" s="296">
        <f>IF('Encargos e Benefícios'!C466=0,0,'Encargos e Benefícios'!U466/'Encargos e Benefícios'!C466)</f>
        <v>0</v>
      </c>
      <c r="AM467" s="296">
        <f>IF('Encargos e Benefícios'!C466=0,0,'Encargos e Benefícios'!AC466/'Encargos e Benefícios'!C466)</f>
        <v>0</v>
      </c>
      <c r="AN467" s="297">
        <f>IF('Encargos e Benefícios'!C466=0,0,'Encargos e Benefícios'!AD466/'Encargos e Benefícios'!C466)</f>
        <v>0</v>
      </c>
      <c r="AO467" s="188"/>
      <c r="AP467" s="298"/>
      <c r="AQ467" s="298"/>
      <c r="AR467" s="302"/>
      <c r="AS467" s="188"/>
    </row>
    <row r="468" spans="1:45" ht="13.5" hidden="1" thickBot="1">
      <c r="A468" s="286">
        <v>462</v>
      </c>
      <c r="B468" s="81">
        <f>'Encargos e Benefícios'!B467</f>
        <v>0</v>
      </c>
      <c r="C468" s="287">
        <f>'Encargos e Benefícios'!C467</f>
        <v>0</v>
      </c>
      <c r="D468" s="288"/>
      <c r="E468" s="300"/>
      <c r="F468" s="301"/>
      <c r="G468" s="293"/>
      <c r="H468" s="292">
        <v>5.8400000000000001E-2</v>
      </c>
      <c r="I468" s="256"/>
      <c r="J468" s="256"/>
      <c r="K468" s="256"/>
      <c r="L468" s="256"/>
      <c r="M468" s="293"/>
      <c r="N468" s="292">
        <v>5.8400000000000001E-2</v>
      </c>
      <c r="O468" s="256"/>
      <c r="P468" s="256"/>
      <c r="Q468" s="256"/>
      <c r="R468" s="256"/>
      <c r="S468" s="293"/>
      <c r="T468" s="294"/>
      <c r="U468" s="256"/>
      <c r="V468" s="256"/>
      <c r="W468" s="256"/>
      <c r="X468" s="256"/>
      <c r="Y468" s="293"/>
      <c r="Z468" s="294"/>
      <c r="AA468" s="256"/>
      <c r="AB468" s="256">
        <v>8.7100000000000009</v>
      </c>
      <c r="AC468" s="256"/>
      <c r="AD468" s="256"/>
      <c r="AE468" s="293"/>
      <c r="AF468" s="294"/>
      <c r="AG468" s="256"/>
      <c r="AH468" s="256"/>
      <c r="AI468" s="256"/>
      <c r="AJ468" s="257"/>
      <c r="AK468" s="296">
        <f>'Encargos e Benefícios'!D467</f>
        <v>0</v>
      </c>
      <c r="AL468" s="296">
        <f>IF('Encargos e Benefícios'!C467=0,0,'Encargos e Benefícios'!U467/'Encargos e Benefícios'!C467)</f>
        <v>0</v>
      </c>
      <c r="AM468" s="296">
        <f>IF('Encargos e Benefícios'!C467=0,0,'Encargos e Benefícios'!AC467/'Encargos e Benefícios'!C467)</f>
        <v>0</v>
      </c>
      <c r="AN468" s="297">
        <f>IF('Encargos e Benefícios'!C467=0,0,'Encargos e Benefícios'!AD467/'Encargos e Benefícios'!C467)</f>
        <v>0</v>
      </c>
      <c r="AO468" s="188"/>
      <c r="AP468" s="298"/>
      <c r="AQ468" s="298"/>
      <c r="AR468" s="302"/>
      <c r="AS468" s="188"/>
    </row>
    <row r="469" spans="1:45" ht="13.5" hidden="1" thickBot="1">
      <c r="A469" s="286">
        <v>463</v>
      </c>
      <c r="B469" s="81">
        <f>'Encargos e Benefícios'!B468</f>
        <v>0</v>
      </c>
      <c r="C469" s="287">
        <f>'Encargos e Benefícios'!C468</f>
        <v>0</v>
      </c>
      <c r="D469" s="288"/>
      <c r="E469" s="300"/>
      <c r="F469" s="301"/>
      <c r="G469" s="293"/>
      <c r="H469" s="292">
        <v>5.8400000000000001E-2</v>
      </c>
      <c r="I469" s="256"/>
      <c r="J469" s="256"/>
      <c r="K469" s="256"/>
      <c r="L469" s="256"/>
      <c r="M469" s="293"/>
      <c r="N469" s="292">
        <v>5.8400000000000001E-2</v>
      </c>
      <c r="O469" s="256"/>
      <c r="P469" s="256"/>
      <c r="Q469" s="256"/>
      <c r="R469" s="256"/>
      <c r="S469" s="293"/>
      <c r="T469" s="294"/>
      <c r="U469" s="256"/>
      <c r="V469" s="256"/>
      <c r="W469" s="256"/>
      <c r="X469" s="256"/>
      <c r="Y469" s="293"/>
      <c r="Z469" s="294"/>
      <c r="AA469" s="256"/>
      <c r="AB469" s="256">
        <v>8.7100000000000009</v>
      </c>
      <c r="AC469" s="256"/>
      <c r="AD469" s="256"/>
      <c r="AE469" s="293"/>
      <c r="AF469" s="294"/>
      <c r="AG469" s="256"/>
      <c r="AH469" s="256"/>
      <c r="AI469" s="256"/>
      <c r="AJ469" s="257"/>
      <c r="AK469" s="296">
        <f>'Encargos e Benefícios'!D468</f>
        <v>0</v>
      </c>
      <c r="AL469" s="296">
        <f>IF('Encargos e Benefícios'!C468=0,0,'Encargos e Benefícios'!U468/'Encargos e Benefícios'!C468)</f>
        <v>0</v>
      </c>
      <c r="AM469" s="296">
        <f>IF('Encargos e Benefícios'!C468=0,0,'Encargos e Benefícios'!AC468/'Encargos e Benefícios'!C468)</f>
        <v>0</v>
      </c>
      <c r="AN469" s="297">
        <f>IF('Encargos e Benefícios'!C468=0,0,'Encargos e Benefícios'!AD468/'Encargos e Benefícios'!C468)</f>
        <v>0</v>
      </c>
      <c r="AO469" s="188"/>
      <c r="AP469" s="298"/>
      <c r="AQ469" s="298"/>
      <c r="AR469" s="302"/>
      <c r="AS469" s="188"/>
    </row>
    <row r="470" spans="1:45" ht="13.5" hidden="1" thickBot="1">
      <c r="A470" s="286">
        <v>464</v>
      </c>
      <c r="B470" s="81">
        <f>'Encargos e Benefícios'!B469</f>
        <v>0</v>
      </c>
      <c r="C470" s="287">
        <f>'Encargos e Benefícios'!C469</f>
        <v>0</v>
      </c>
      <c r="D470" s="288"/>
      <c r="E470" s="300"/>
      <c r="F470" s="301"/>
      <c r="G470" s="293"/>
      <c r="H470" s="292">
        <v>5.8400000000000001E-2</v>
      </c>
      <c r="I470" s="256"/>
      <c r="J470" s="256"/>
      <c r="K470" s="256"/>
      <c r="L470" s="256"/>
      <c r="M470" s="293"/>
      <c r="N470" s="292">
        <v>5.8400000000000001E-2</v>
      </c>
      <c r="O470" s="256"/>
      <c r="P470" s="256"/>
      <c r="Q470" s="256"/>
      <c r="R470" s="256"/>
      <c r="S470" s="293"/>
      <c r="T470" s="294"/>
      <c r="U470" s="256"/>
      <c r="V470" s="256"/>
      <c r="W470" s="256"/>
      <c r="X470" s="256"/>
      <c r="Y470" s="293"/>
      <c r="Z470" s="294"/>
      <c r="AA470" s="256"/>
      <c r="AB470" s="256">
        <v>8.7100000000000009</v>
      </c>
      <c r="AC470" s="256"/>
      <c r="AD470" s="256"/>
      <c r="AE470" s="293"/>
      <c r="AF470" s="294"/>
      <c r="AG470" s="256"/>
      <c r="AH470" s="256"/>
      <c r="AI470" s="256"/>
      <c r="AJ470" s="257"/>
      <c r="AK470" s="296">
        <f>'Encargos e Benefícios'!D469</f>
        <v>0</v>
      </c>
      <c r="AL470" s="296">
        <f>IF('Encargos e Benefícios'!C469=0,0,'Encargos e Benefícios'!U469/'Encargos e Benefícios'!C469)</f>
        <v>0</v>
      </c>
      <c r="AM470" s="296">
        <f>IF('Encargos e Benefícios'!C469=0,0,'Encargos e Benefícios'!AC469/'Encargos e Benefícios'!C469)</f>
        <v>0</v>
      </c>
      <c r="AN470" s="297">
        <f>IF('Encargos e Benefícios'!C469=0,0,'Encargos e Benefícios'!AD469/'Encargos e Benefícios'!C469)</f>
        <v>0</v>
      </c>
      <c r="AO470" s="188"/>
      <c r="AP470" s="298"/>
      <c r="AQ470" s="298"/>
      <c r="AR470" s="302"/>
      <c r="AS470" s="188"/>
    </row>
    <row r="471" spans="1:45" ht="13.5" hidden="1" thickBot="1">
      <c r="A471" s="286">
        <v>465</v>
      </c>
      <c r="B471" s="81">
        <f>'Encargos e Benefícios'!B470</f>
        <v>0</v>
      </c>
      <c r="C471" s="287">
        <f>'Encargos e Benefícios'!C470</f>
        <v>0</v>
      </c>
      <c r="D471" s="288"/>
      <c r="E471" s="300"/>
      <c r="F471" s="301"/>
      <c r="G471" s="293"/>
      <c r="H471" s="292">
        <v>5.8400000000000001E-2</v>
      </c>
      <c r="I471" s="256"/>
      <c r="J471" s="256"/>
      <c r="K471" s="256"/>
      <c r="L471" s="256"/>
      <c r="M471" s="293"/>
      <c r="N471" s="292">
        <v>5.8400000000000001E-2</v>
      </c>
      <c r="O471" s="256"/>
      <c r="P471" s="256"/>
      <c r="Q471" s="256"/>
      <c r="R471" s="256"/>
      <c r="S471" s="293"/>
      <c r="T471" s="294"/>
      <c r="U471" s="256"/>
      <c r="V471" s="256"/>
      <c r="W471" s="256"/>
      <c r="X471" s="256"/>
      <c r="Y471" s="293"/>
      <c r="Z471" s="294"/>
      <c r="AA471" s="256"/>
      <c r="AB471" s="256">
        <v>8.7100000000000009</v>
      </c>
      <c r="AC471" s="256"/>
      <c r="AD471" s="256"/>
      <c r="AE471" s="293"/>
      <c r="AF471" s="294"/>
      <c r="AG471" s="256"/>
      <c r="AH471" s="256"/>
      <c r="AI471" s="256"/>
      <c r="AJ471" s="257"/>
      <c r="AK471" s="296">
        <f>'Encargos e Benefícios'!D470</f>
        <v>0</v>
      </c>
      <c r="AL471" s="296">
        <f>IF('Encargos e Benefícios'!C470=0,0,'Encargos e Benefícios'!U470/'Encargos e Benefícios'!C470)</f>
        <v>0</v>
      </c>
      <c r="AM471" s="296">
        <f>IF('Encargos e Benefícios'!C470=0,0,'Encargos e Benefícios'!AC470/'Encargos e Benefícios'!C470)</f>
        <v>0</v>
      </c>
      <c r="AN471" s="297">
        <f>IF('Encargos e Benefícios'!C470=0,0,'Encargos e Benefícios'!AD470/'Encargos e Benefícios'!C470)</f>
        <v>0</v>
      </c>
      <c r="AO471" s="188"/>
      <c r="AP471" s="298"/>
      <c r="AQ471" s="298"/>
      <c r="AR471" s="302"/>
      <c r="AS471" s="188"/>
    </row>
    <row r="472" spans="1:45" ht="13.5" hidden="1" thickBot="1">
      <c r="A472" s="286">
        <v>466</v>
      </c>
      <c r="B472" s="81">
        <f>'Encargos e Benefícios'!B471</f>
        <v>0</v>
      </c>
      <c r="C472" s="287">
        <f>'Encargos e Benefícios'!C471</f>
        <v>0</v>
      </c>
      <c r="D472" s="288"/>
      <c r="E472" s="300"/>
      <c r="F472" s="301"/>
      <c r="G472" s="293"/>
      <c r="H472" s="292">
        <v>5.8400000000000001E-2</v>
      </c>
      <c r="I472" s="256"/>
      <c r="J472" s="256"/>
      <c r="K472" s="256"/>
      <c r="L472" s="256"/>
      <c r="M472" s="293"/>
      <c r="N472" s="292">
        <v>5.8400000000000001E-2</v>
      </c>
      <c r="O472" s="256"/>
      <c r="P472" s="256"/>
      <c r="Q472" s="256"/>
      <c r="R472" s="256"/>
      <c r="S472" s="293"/>
      <c r="T472" s="294"/>
      <c r="U472" s="256"/>
      <c r="V472" s="256"/>
      <c r="W472" s="256"/>
      <c r="X472" s="256"/>
      <c r="Y472" s="293"/>
      <c r="Z472" s="294"/>
      <c r="AA472" s="256"/>
      <c r="AB472" s="256">
        <v>8.7100000000000009</v>
      </c>
      <c r="AC472" s="256"/>
      <c r="AD472" s="256"/>
      <c r="AE472" s="293"/>
      <c r="AF472" s="294"/>
      <c r="AG472" s="256"/>
      <c r="AH472" s="256"/>
      <c r="AI472" s="256"/>
      <c r="AJ472" s="257"/>
      <c r="AK472" s="296">
        <f>'Encargos e Benefícios'!D471</f>
        <v>0</v>
      </c>
      <c r="AL472" s="296">
        <f>IF('Encargos e Benefícios'!C471=0,0,'Encargos e Benefícios'!U471/'Encargos e Benefícios'!C471)</f>
        <v>0</v>
      </c>
      <c r="AM472" s="296">
        <f>IF('Encargos e Benefícios'!C471=0,0,'Encargos e Benefícios'!AC471/'Encargos e Benefícios'!C471)</f>
        <v>0</v>
      </c>
      <c r="AN472" s="297">
        <f>IF('Encargos e Benefícios'!C471=0,0,'Encargos e Benefícios'!AD471/'Encargos e Benefícios'!C471)</f>
        <v>0</v>
      </c>
      <c r="AO472" s="188"/>
      <c r="AP472" s="298"/>
      <c r="AQ472" s="298"/>
      <c r="AR472" s="302"/>
      <c r="AS472" s="188"/>
    </row>
    <row r="473" spans="1:45" ht="13.5" hidden="1" thickBot="1">
      <c r="A473" s="286">
        <v>467</v>
      </c>
      <c r="B473" s="81">
        <f>'Encargos e Benefícios'!B472</f>
        <v>0</v>
      </c>
      <c r="C473" s="287">
        <f>'Encargos e Benefícios'!C472</f>
        <v>0</v>
      </c>
      <c r="D473" s="288"/>
      <c r="E473" s="300"/>
      <c r="F473" s="301"/>
      <c r="G473" s="293"/>
      <c r="H473" s="292">
        <v>5.8400000000000001E-2</v>
      </c>
      <c r="I473" s="256"/>
      <c r="J473" s="256"/>
      <c r="K473" s="256"/>
      <c r="L473" s="256"/>
      <c r="M473" s="293"/>
      <c r="N473" s="292">
        <v>5.8400000000000001E-2</v>
      </c>
      <c r="O473" s="256"/>
      <c r="P473" s="256"/>
      <c r="Q473" s="256"/>
      <c r="R473" s="256"/>
      <c r="S473" s="293"/>
      <c r="T473" s="294"/>
      <c r="U473" s="256"/>
      <c r="V473" s="256"/>
      <c r="W473" s="256"/>
      <c r="X473" s="256"/>
      <c r="Y473" s="293"/>
      <c r="Z473" s="294"/>
      <c r="AA473" s="256"/>
      <c r="AB473" s="256">
        <v>8.7100000000000009</v>
      </c>
      <c r="AC473" s="256"/>
      <c r="AD473" s="256"/>
      <c r="AE473" s="293"/>
      <c r="AF473" s="294"/>
      <c r="AG473" s="256"/>
      <c r="AH473" s="256"/>
      <c r="AI473" s="256"/>
      <c r="AJ473" s="257"/>
      <c r="AK473" s="296">
        <f>'Encargos e Benefícios'!D472</f>
        <v>0</v>
      </c>
      <c r="AL473" s="296">
        <f>IF('Encargos e Benefícios'!C472=0,0,'Encargos e Benefícios'!U472/'Encargos e Benefícios'!C472)</f>
        <v>0</v>
      </c>
      <c r="AM473" s="296">
        <f>IF('Encargos e Benefícios'!C472=0,0,'Encargos e Benefícios'!AC472/'Encargos e Benefícios'!C472)</f>
        <v>0</v>
      </c>
      <c r="AN473" s="297">
        <f>IF('Encargos e Benefícios'!C472=0,0,'Encargos e Benefícios'!AD472/'Encargos e Benefícios'!C472)</f>
        <v>0</v>
      </c>
      <c r="AO473" s="188"/>
      <c r="AP473" s="298"/>
      <c r="AQ473" s="298"/>
      <c r="AR473" s="302"/>
      <c r="AS473" s="188"/>
    </row>
    <row r="474" spans="1:45" ht="13.5" hidden="1" thickBot="1">
      <c r="A474" s="286">
        <v>468</v>
      </c>
      <c r="B474" s="81">
        <f>'Encargos e Benefícios'!B473</f>
        <v>0</v>
      </c>
      <c r="C474" s="287">
        <f>'Encargos e Benefícios'!C473</f>
        <v>0</v>
      </c>
      <c r="D474" s="288"/>
      <c r="E474" s="300"/>
      <c r="F474" s="301"/>
      <c r="G474" s="293"/>
      <c r="H474" s="292">
        <v>5.8400000000000001E-2</v>
      </c>
      <c r="I474" s="256"/>
      <c r="J474" s="256"/>
      <c r="K474" s="256"/>
      <c r="L474" s="256"/>
      <c r="M474" s="293"/>
      <c r="N474" s="292">
        <v>5.8400000000000001E-2</v>
      </c>
      <c r="O474" s="256"/>
      <c r="P474" s="256"/>
      <c r="Q474" s="256"/>
      <c r="R474" s="256"/>
      <c r="S474" s="293"/>
      <c r="T474" s="294"/>
      <c r="U474" s="256"/>
      <c r="V474" s="256"/>
      <c r="W474" s="256"/>
      <c r="X474" s="256"/>
      <c r="Y474" s="293"/>
      <c r="Z474" s="294"/>
      <c r="AA474" s="256"/>
      <c r="AB474" s="256">
        <v>8.7100000000000009</v>
      </c>
      <c r="AC474" s="256"/>
      <c r="AD474" s="256"/>
      <c r="AE474" s="293"/>
      <c r="AF474" s="294"/>
      <c r="AG474" s="256"/>
      <c r="AH474" s="256"/>
      <c r="AI474" s="256"/>
      <c r="AJ474" s="257"/>
      <c r="AK474" s="296">
        <f>'Encargos e Benefícios'!D473</f>
        <v>0</v>
      </c>
      <c r="AL474" s="296">
        <f>IF('Encargos e Benefícios'!C473=0,0,'Encargos e Benefícios'!U473/'Encargos e Benefícios'!C473)</f>
        <v>0</v>
      </c>
      <c r="AM474" s="296">
        <f>IF('Encargos e Benefícios'!C473=0,0,'Encargos e Benefícios'!AC473/'Encargos e Benefícios'!C473)</f>
        <v>0</v>
      </c>
      <c r="AN474" s="297">
        <f>IF('Encargos e Benefícios'!C473=0,0,'Encargos e Benefícios'!AD473/'Encargos e Benefícios'!C473)</f>
        <v>0</v>
      </c>
      <c r="AO474" s="188"/>
      <c r="AP474" s="298"/>
      <c r="AQ474" s="298"/>
      <c r="AR474" s="302"/>
      <c r="AS474" s="188"/>
    </row>
    <row r="475" spans="1:45" ht="13.5" hidden="1" thickBot="1">
      <c r="A475" s="286">
        <v>469</v>
      </c>
      <c r="B475" s="81">
        <f>'Encargos e Benefícios'!B474</f>
        <v>0</v>
      </c>
      <c r="C475" s="287">
        <f>'Encargos e Benefícios'!C474</f>
        <v>0</v>
      </c>
      <c r="D475" s="288"/>
      <c r="E475" s="300"/>
      <c r="F475" s="301"/>
      <c r="G475" s="293"/>
      <c r="H475" s="292">
        <v>5.8400000000000001E-2</v>
      </c>
      <c r="I475" s="256"/>
      <c r="J475" s="256"/>
      <c r="K475" s="256"/>
      <c r="L475" s="256"/>
      <c r="M475" s="293"/>
      <c r="N475" s="292">
        <v>5.8400000000000001E-2</v>
      </c>
      <c r="O475" s="256"/>
      <c r="P475" s="256"/>
      <c r="Q475" s="256"/>
      <c r="R475" s="256"/>
      <c r="S475" s="293"/>
      <c r="T475" s="294"/>
      <c r="U475" s="256"/>
      <c r="V475" s="256"/>
      <c r="W475" s="256"/>
      <c r="X475" s="256"/>
      <c r="Y475" s="293"/>
      <c r="Z475" s="294"/>
      <c r="AA475" s="256"/>
      <c r="AB475" s="256">
        <v>8.7100000000000009</v>
      </c>
      <c r="AC475" s="256"/>
      <c r="AD475" s="256"/>
      <c r="AE475" s="293"/>
      <c r="AF475" s="294"/>
      <c r="AG475" s="256"/>
      <c r="AH475" s="256"/>
      <c r="AI475" s="256"/>
      <c r="AJ475" s="257"/>
      <c r="AK475" s="296">
        <f>'Encargos e Benefícios'!D474</f>
        <v>0</v>
      </c>
      <c r="AL475" s="296">
        <f>IF('Encargos e Benefícios'!C474=0,0,'Encargos e Benefícios'!U474/'Encargos e Benefícios'!C474)</f>
        <v>0</v>
      </c>
      <c r="AM475" s="296">
        <f>IF('Encargos e Benefícios'!C474=0,0,'Encargos e Benefícios'!AC474/'Encargos e Benefícios'!C474)</f>
        <v>0</v>
      </c>
      <c r="AN475" s="297">
        <f>IF('Encargos e Benefícios'!C474=0,0,'Encargos e Benefícios'!AD474/'Encargos e Benefícios'!C474)</f>
        <v>0</v>
      </c>
      <c r="AO475" s="188"/>
      <c r="AP475" s="298"/>
      <c r="AQ475" s="298"/>
      <c r="AR475" s="302"/>
      <c r="AS475" s="188"/>
    </row>
    <row r="476" spans="1:45" ht="13.5" hidden="1" thickBot="1">
      <c r="A476" s="286">
        <v>470</v>
      </c>
      <c r="B476" s="81">
        <f>'Encargos e Benefícios'!B475</f>
        <v>0</v>
      </c>
      <c r="C476" s="287">
        <f>'Encargos e Benefícios'!C475</f>
        <v>0</v>
      </c>
      <c r="D476" s="288"/>
      <c r="E476" s="300"/>
      <c r="F476" s="301"/>
      <c r="G476" s="293"/>
      <c r="H476" s="292">
        <v>5.8400000000000001E-2</v>
      </c>
      <c r="I476" s="256"/>
      <c r="J476" s="256"/>
      <c r="K476" s="256"/>
      <c r="L476" s="256"/>
      <c r="M476" s="293"/>
      <c r="N476" s="292">
        <v>5.8400000000000001E-2</v>
      </c>
      <c r="O476" s="256"/>
      <c r="P476" s="256"/>
      <c r="Q476" s="256"/>
      <c r="R476" s="256"/>
      <c r="S476" s="293"/>
      <c r="T476" s="294"/>
      <c r="U476" s="256"/>
      <c r="V476" s="256"/>
      <c r="W476" s="256"/>
      <c r="X476" s="256"/>
      <c r="Y476" s="293"/>
      <c r="Z476" s="294"/>
      <c r="AA476" s="256"/>
      <c r="AB476" s="256">
        <v>8.7100000000000009</v>
      </c>
      <c r="AC476" s="256"/>
      <c r="AD476" s="256"/>
      <c r="AE476" s="293"/>
      <c r="AF476" s="294"/>
      <c r="AG476" s="256"/>
      <c r="AH476" s="256"/>
      <c r="AI476" s="256"/>
      <c r="AJ476" s="257"/>
      <c r="AK476" s="296">
        <f>'Encargos e Benefícios'!D475</f>
        <v>0</v>
      </c>
      <c r="AL476" s="296">
        <f>IF('Encargos e Benefícios'!C475=0,0,'Encargos e Benefícios'!U475/'Encargos e Benefícios'!C475)</f>
        <v>0</v>
      </c>
      <c r="AM476" s="296">
        <f>IF('Encargos e Benefícios'!C475=0,0,'Encargos e Benefícios'!AC475/'Encargos e Benefícios'!C475)</f>
        <v>0</v>
      </c>
      <c r="AN476" s="297">
        <f>IF('Encargos e Benefícios'!C475=0,0,'Encargos e Benefícios'!AD475/'Encargos e Benefícios'!C475)</f>
        <v>0</v>
      </c>
      <c r="AO476" s="188"/>
      <c r="AP476" s="298"/>
      <c r="AQ476" s="298"/>
      <c r="AR476" s="302"/>
      <c r="AS476" s="188"/>
    </row>
    <row r="477" spans="1:45" ht="13.5" hidden="1" thickBot="1">
      <c r="A477" s="286">
        <v>471</v>
      </c>
      <c r="B477" s="81">
        <f>'Encargos e Benefícios'!B476</f>
        <v>0</v>
      </c>
      <c r="C477" s="287">
        <f>'Encargos e Benefícios'!C476</f>
        <v>0</v>
      </c>
      <c r="D477" s="288"/>
      <c r="E477" s="300"/>
      <c r="F477" s="301"/>
      <c r="G477" s="293"/>
      <c r="H477" s="292">
        <v>5.8400000000000001E-2</v>
      </c>
      <c r="I477" s="256"/>
      <c r="J477" s="256"/>
      <c r="K477" s="256"/>
      <c r="L477" s="256"/>
      <c r="M477" s="293"/>
      <c r="N477" s="292">
        <v>5.8400000000000001E-2</v>
      </c>
      <c r="O477" s="256"/>
      <c r="P477" s="256"/>
      <c r="Q477" s="256"/>
      <c r="R477" s="256"/>
      <c r="S477" s="293"/>
      <c r="T477" s="294"/>
      <c r="U477" s="256"/>
      <c r="V477" s="256"/>
      <c r="W477" s="256"/>
      <c r="X477" s="256"/>
      <c r="Y477" s="293"/>
      <c r="Z477" s="294"/>
      <c r="AA477" s="256"/>
      <c r="AB477" s="256">
        <v>8.7100000000000009</v>
      </c>
      <c r="AC477" s="256"/>
      <c r="AD477" s="256"/>
      <c r="AE477" s="293"/>
      <c r="AF477" s="294"/>
      <c r="AG477" s="256"/>
      <c r="AH477" s="256"/>
      <c r="AI477" s="256"/>
      <c r="AJ477" s="257"/>
      <c r="AK477" s="296">
        <f>'Encargos e Benefícios'!D476</f>
        <v>0</v>
      </c>
      <c r="AL477" s="296">
        <f>IF('Encargos e Benefícios'!C476=0,0,'Encargos e Benefícios'!U476/'Encargos e Benefícios'!C476)</f>
        <v>0</v>
      </c>
      <c r="AM477" s="296">
        <f>IF('Encargos e Benefícios'!C476=0,0,'Encargos e Benefícios'!AC476/'Encargos e Benefícios'!C476)</f>
        <v>0</v>
      </c>
      <c r="AN477" s="297">
        <f>IF('Encargos e Benefícios'!C476=0,0,'Encargos e Benefícios'!AD476/'Encargos e Benefícios'!C476)</f>
        <v>0</v>
      </c>
      <c r="AO477" s="188"/>
      <c r="AP477" s="298"/>
      <c r="AQ477" s="298"/>
      <c r="AR477" s="302"/>
      <c r="AS477" s="188"/>
    </row>
    <row r="478" spans="1:45" ht="13.5" hidden="1" thickBot="1">
      <c r="A478" s="286">
        <v>472</v>
      </c>
      <c r="B478" s="81">
        <f>'Encargos e Benefícios'!B477</f>
        <v>0</v>
      </c>
      <c r="C478" s="287">
        <f>'Encargos e Benefícios'!C477</f>
        <v>0</v>
      </c>
      <c r="D478" s="288"/>
      <c r="E478" s="300"/>
      <c r="F478" s="301"/>
      <c r="G478" s="293"/>
      <c r="H478" s="292">
        <v>5.8400000000000001E-2</v>
      </c>
      <c r="I478" s="256"/>
      <c r="J478" s="256"/>
      <c r="K478" s="256"/>
      <c r="L478" s="256"/>
      <c r="M478" s="293"/>
      <c r="N478" s="292">
        <v>5.8400000000000001E-2</v>
      </c>
      <c r="O478" s="256"/>
      <c r="P478" s="256"/>
      <c r="Q478" s="256"/>
      <c r="R478" s="256"/>
      <c r="S478" s="293"/>
      <c r="T478" s="294"/>
      <c r="U478" s="256"/>
      <c r="V478" s="256"/>
      <c r="W478" s="256"/>
      <c r="X478" s="256"/>
      <c r="Y478" s="293"/>
      <c r="Z478" s="294"/>
      <c r="AA478" s="256"/>
      <c r="AB478" s="256">
        <v>8.7100000000000009</v>
      </c>
      <c r="AC478" s="256"/>
      <c r="AD478" s="256"/>
      <c r="AE478" s="293"/>
      <c r="AF478" s="294"/>
      <c r="AG478" s="256"/>
      <c r="AH478" s="256"/>
      <c r="AI478" s="256"/>
      <c r="AJ478" s="257"/>
      <c r="AK478" s="296">
        <f>'Encargos e Benefícios'!D477</f>
        <v>0</v>
      </c>
      <c r="AL478" s="296">
        <f>IF('Encargos e Benefícios'!C477=0,0,'Encargos e Benefícios'!U477/'Encargos e Benefícios'!C477)</f>
        <v>0</v>
      </c>
      <c r="AM478" s="296">
        <f>IF('Encargos e Benefícios'!C477=0,0,'Encargos e Benefícios'!AC477/'Encargos e Benefícios'!C477)</f>
        <v>0</v>
      </c>
      <c r="AN478" s="297">
        <f>IF('Encargos e Benefícios'!C477=0,0,'Encargos e Benefícios'!AD477/'Encargos e Benefícios'!C477)</f>
        <v>0</v>
      </c>
      <c r="AO478" s="188"/>
      <c r="AP478" s="298"/>
      <c r="AQ478" s="298"/>
      <c r="AR478" s="302"/>
      <c r="AS478" s="188"/>
    </row>
    <row r="479" spans="1:45" ht="13.5" hidden="1" thickBot="1">
      <c r="A479" s="286">
        <v>473</v>
      </c>
      <c r="B479" s="81">
        <f>'Encargos e Benefícios'!B478</f>
        <v>0</v>
      </c>
      <c r="C479" s="287">
        <f>'Encargos e Benefícios'!C478</f>
        <v>0</v>
      </c>
      <c r="D479" s="288"/>
      <c r="E479" s="300"/>
      <c r="F479" s="301"/>
      <c r="G479" s="293"/>
      <c r="H479" s="292">
        <v>5.8400000000000001E-2</v>
      </c>
      <c r="I479" s="256"/>
      <c r="J479" s="256"/>
      <c r="K479" s="256"/>
      <c r="L479" s="256"/>
      <c r="M479" s="293"/>
      <c r="N479" s="292">
        <v>5.8400000000000001E-2</v>
      </c>
      <c r="O479" s="256"/>
      <c r="P479" s="256"/>
      <c r="Q479" s="256"/>
      <c r="R479" s="256"/>
      <c r="S479" s="293"/>
      <c r="T479" s="294"/>
      <c r="U479" s="256"/>
      <c r="V479" s="256"/>
      <c r="W479" s="256"/>
      <c r="X479" s="256"/>
      <c r="Y479" s="293"/>
      <c r="Z479" s="294"/>
      <c r="AA479" s="256"/>
      <c r="AB479" s="256">
        <v>8.7100000000000009</v>
      </c>
      <c r="AC479" s="256"/>
      <c r="AD479" s="256"/>
      <c r="AE479" s="293"/>
      <c r="AF479" s="294"/>
      <c r="AG479" s="256"/>
      <c r="AH479" s="256"/>
      <c r="AI479" s="256"/>
      <c r="AJ479" s="257"/>
      <c r="AK479" s="296">
        <f>'Encargos e Benefícios'!D478</f>
        <v>0</v>
      </c>
      <c r="AL479" s="296">
        <f>IF('Encargos e Benefícios'!C478=0,0,'Encargos e Benefícios'!U478/'Encargos e Benefícios'!C478)</f>
        <v>0</v>
      </c>
      <c r="AM479" s="296">
        <f>IF('Encargos e Benefícios'!C478=0,0,'Encargos e Benefícios'!AC478/'Encargos e Benefícios'!C478)</f>
        <v>0</v>
      </c>
      <c r="AN479" s="297">
        <f>IF('Encargos e Benefícios'!C478=0,0,'Encargos e Benefícios'!AD478/'Encargos e Benefícios'!C478)</f>
        <v>0</v>
      </c>
      <c r="AO479" s="188"/>
      <c r="AP479" s="298"/>
      <c r="AQ479" s="298"/>
      <c r="AR479" s="302"/>
      <c r="AS479" s="188"/>
    </row>
    <row r="480" spans="1:45" ht="13.5" hidden="1" thickBot="1">
      <c r="A480" s="286">
        <v>474</v>
      </c>
      <c r="B480" s="81">
        <f>'Encargos e Benefícios'!B479</f>
        <v>0</v>
      </c>
      <c r="C480" s="287">
        <f>'Encargos e Benefícios'!C479</f>
        <v>0</v>
      </c>
      <c r="D480" s="288"/>
      <c r="E480" s="300"/>
      <c r="F480" s="301"/>
      <c r="G480" s="293"/>
      <c r="H480" s="292">
        <v>5.8400000000000001E-2</v>
      </c>
      <c r="I480" s="256"/>
      <c r="J480" s="256"/>
      <c r="K480" s="256"/>
      <c r="L480" s="256"/>
      <c r="M480" s="293"/>
      <c r="N480" s="292">
        <v>5.8400000000000001E-2</v>
      </c>
      <c r="O480" s="256"/>
      <c r="P480" s="256"/>
      <c r="Q480" s="256"/>
      <c r="R480" s="256"/>
      <c r="S480" s="293"/>
      <c r="T480" s="294"/>
      <c r="U480" s="256"/>
      <c r="V480" s="256"/>
      <c r="W480" s="256"/>
      <c r="X480" s="256"/>
      <c r="Y480" s="293"/>
      <c r="Z480" s="294"/>
      <c r="AA480" s="256"/>
      <c r="AB480" s="256">
        <v>8.7100000000000009</v>
      </c>
      <c r="AC480" s="256"/>
      <c r="AD480" s="256"/>
      <c r="AE480" s="293"/>
      <c r="AF480" s="294"/>
      <c r="AG480" s="256"/>
      <c r="AH480" s="256"/>
      <c r="AI480" s="256"/>
      <c r="AJ480" s="257"/>
      <c r="AK480" s="296">
        <f>'Encargos e Benefícios'!D479</f>
        <v>0</v>
      </c>
      <c r="AL480" s="296">
        <f>IF('Encargos e Benefícios'!C479=0,0,'Encargos e Benefícios'!U479/'Encargos e Benefícios'!C479)</f>
        <v>0</v>
      </c>
      <c r="AM480" s="296">
        <f>IF('Encargos e Benefícios'!C479=0,0,'Encargos e Benefícios'!AC479/'Encargos e Benefícios'!C479)</f>
        <v>0</v>
      </c>
      <c r="AN480" s="297">
        <f>IF('Encargos e Benefícios'!C479=0,0,'Encargos e Benefícios'!AD479/'Encargos e Benefícios'!C479)</f>
        <v>0</v>
      </c>
      <c r="AO480" s="188"/>
      <c r="AP480" s="298"/>
      <c r="AQ480" s="298"/>
      <c r="AR480" s="302"/>
      <c r="AS480" s="188"/>
    </row>
    <row r="481" spans="1:45" ht="13.5" hidden="1" thickBot="1">
      <c r="A481" s="286">
        <v>475</v>
      </c>
      <c r="B481" s="81">
        <f>'Encargos e Benefícios'!B480</f>
        <v>0</v>
      </c>
      <c r="C481" s="287">
        <f>'Encargos e Benefícios'!C480</f>
        <v>0</v>
      </c>
      <c r="D481" s="288"/>
      <c r="E481" s="300"/>
      <c r="F481" s="301"/>
      <c r="G481" s="293"/>
      <c r="H481" s="292">
        <v>5.8400000000000001E-2</v>
      </c>
      <c r="I481" s="256"/>
      <c r="J481" s="256"/>
      <c r="K481" s="256"/>
      <c r="L481" s="256"/>
      <c r="M481" s="293"/>
      <c r="N481" s="292">
        <v>5.8400000000000001E-2</v>
      </c>
      <c r="O481" s="256"/>
      <c r="P481" s="256"/>
      <c r="Q481" s="256"/>
      <c r="R481" s="256"/>
      <c r="S481" s="293"/>
      <c r="T481" s="294"/>
      <c r="U481" s="256"/>
      <c r="V481" s="256"/>
      <c r="W481" s="256"/>
      <c r="X481" s="256"/>
      <c r="Y481" s="293"/>
      <c r="Z481" s="294"/>
      <c r="AA481" s="256"/>
      <c r="AB481" s="256">
        <v>8.7100000000000009</v>
      </c>
      <c r="AC481" s="256"/>
      <c r="AD481" s="256"/>
      <c r="AE481" s="293"/>
      <c r="AF481" s="294"/>
      <c r="AG481" s="256"/>
      <c r="AH481" s="256"/>
      <c r="AI481" s="256"/>
      <c r="AJ481" s="257"/>
      <c r="AK481" s="296">
        <f>'Encargos e Benefícios'!D480</f>
        <v>0</v>
      </c>
      <c r="AL481" s="296">
        <f>IF('Encargos e Benefícios'!C480=0,0,'Encargos e Benefícios'!U480/'Encargos e Benefícios'!C480)</f>
        <v>0</v>
      </c>
      <c r="AM481" s="296">
        <f>IF('Encargos e Benefícios'!C480=0,0,'Encargos e Benefícios'!AC480/'Encargos e Benefícios'!C480)</f>
        <v>0</v>
      </c>
      <c r="AN481" s="297">
        <f>IF('Encargos e Benefícios'!C480=0,0,'Encargos e Benefícios'!AD480/'Encargos e Benefícios'!C480)</f>
        <v>0</v>
      </c>
      <c r="AO481" s="188"/>
      <c r="AP481" s="298"/>
      <c r="AQ481" s="298"/>
      <c r="AR481" s="302"/>
      <c r="AS481" s="188"/>
    </row>
    <row r="482" spans="1:45" ht="13.5" hidden="1" thickBot="1">
      <c r="A482" s="286">
        <v>476</v>
      </c>
      <c r="B482" s="81">
        <f>'Encargos e Benefícios'!B481</f>
        <v>0</v>
      </c>
      <c r="C482" s="287">
        <f>'Encargos e Benefícios'!C481</f>
        <v>0</v>
      </c>
      <c r="D482" s="288"/>
      <c r="E482" s="300"/>
      <c r="F482" s="301"/>
      <c r="G482" s="293"/>
      <c r="H482" s="292">
        <v>5.8400000000000001E-2</v>
      </c>
      <c r="I482" s="256"/>
      <c r="J482" s="256"/>
      <c r="K482" s="256"/>
      <c r="L482" s="256"/>
      <c r="M482" s="293"/>
      <c r="N482" s="292">
        <v>5.8400000000000001E-2</v>
      </c>
      <c r="O482" s="256"/>
      <c r="P482" s="256"/>
      <c r="Q482" s="256"/>
      <c r="R482" s="256"/>
      <c r="S482" s="293"/>
      <c r="T482" s="294"/>
      <c r="U482" s="256"/>
      <c r="V482" s="256"/>
      <c r="W482" s="256"/>
      <c r="X482" s="256"/>
      <c r="Y482" s="293"/>
      <c r="Z482" s="294"/>
      <c r="AA482" s="256"/>
      <c r="AB482" s="256">
        <v>8.7100000000000009</v>
      </c>
      <c r="AC482" s="256"/>
      <c r="AD482" s="256"/>
      <c r="AE482" s="293"/>
      <c r="AF482" s="294"/>
      <c r="AG482" s="256"/>
      <c r="AH482" s="256"/>
      <c r="AI482" s="256"/>
      <c r="AJ482" s="257"/>
      <c r="AK482" s="296">
        <f>'Encargos e Benefícios'!D481</f>
        <v>0</v>
      </c>
      <c r="AL482" s="296">
        <f>IF('Encargos e Benefícios'!C481=0,0,'Encargos e Benefícios'!U481/'Encargos e Benefícios'!C481)</f>
        <v>0</v>
      </c>
      <c r="AM482" s="296">
        <f>IF('Encargos e Benefícios'!C481=0,0,'Encargos e Benefícios'!AC481/'Encargos e Benefícios'!C481)</f>
        <v>0</v>
      </c>
      <c r="AN482" s="297">
        <f>IF('Encargos e Benefícios'!C481=0,0,'Encargos e Benefícios'!AD481/'Encargos e Benefícios'!C481)</f>
        <v>0</v>
      </c>
      <c r="AO482" s="188"/>
      <c r="AP482" s="298"/>
      <c r="AQ482" s="298"/>
      <c r="AR482" s="302"/>
      <c r="AS482" s="188"/>
    </row>
    <row r="483" spans="1:45" ht="13.5" hidden="1" thickBot="1">
      <c r="A483" s="286">
        <v>477</v>
      </c>
      <c r="B483" s="81">
        <f>'Encargos e Benefícios'!B482</f>
        <v>0</v>
      </c>
      <c r="C483" s="287">
        <f>'Encargos e Benefícios'!C482</f>
        <v>0</v>
      </c>
      <c r="D483" s="288"/>
      <c r="E483" s="300"/>
      <c r="F483" s="301"/>
      <c r="G483" s="293"/>
      <c r="H483" s="292">
        <v>5.8400000000000001E-2</v>
      </c>
      <c r="I483" s="256"/>
      <c r="J483" s="256"/>
      <c r="K483" s="256"/>
      <c r="L483" s="256"/>
      <c r="M483" s="293"/>
      <c r="N483" s="292">
        <v>5.8400000000000001E-2</v>
      </c>
      <c r="O483" s="256"/>
      <c r="P483" s="256"/>
      <c r="Q483" s="256"/>
      <c r="R483" s="256"/>
      <c r="S483" s="293"/>
      <c r="T483" s="294"/>
      <c r="U483" s="256"/>
      <c r="V483" s="256"/>
      <c r="W483" s="256"/>
      <c r="X483" s="256"/>
      <c r="Y483" s="293"/>
      <c r="Z483" s="294"/>
      <c r="AA483" s="256"/>
      <c r="AB483" s="256">
        <v>8.7100000000000009</v>
      </c>
      <c r="AC483" s="256"/>
      <c r="AD483" s="256"/>
      <c r="AE483" s="293"/>
      <c r="AF483" s="294"/>
      <c r="AG483" s="256"/>
      <c r="AH483" s="256"/>
      <c r="AI483" s="256"/>
      <c r="AJ483" s="257"/>
      <c r="AK483" s="296">
        <f>'Encargos e Benefícios'!D482</f>
        <v>0</v>
      </c>
      <c r="AL483" s="296">
        <f>IF('Encargos e Benefícios'!C482=0,0,'Encargos e Benefícios'!U482/'Encargos e Benefícios'!C482)</f>
        <v>0</v>
      </c>
      <c r="AM483" s="296">
        <f>IF('Encargos e Benefícios'!C482=0,0,'Encargos e Benefícios'!AC482/'Encargos e Benefícios'!C482)</f>
        <v>0</v>
      </c>
      <c r="AN483" s="297">
        <f>IF('Encargos e Benefícios'!C482=0,0,'Encargos e Benefícios'!AD482/'Encargos e Benefícios'!C482)</f>
        <v>0</v>
      </c>
      <c r="AO483" s="188"/>
      <c r="AP483" s="298"/>
      <c r="AQ483" s="298"/>
      <c r="AR483" s="302"/>
      <c r="AS483" s="188"/>
    </row>
    <row r="484" spans="1:45" ht="13.5" hidden="1" thickBot="1">
      <c r="A484" s="286">
        <v>478</v>
      </c>
      <c r="B484" s="81">
        <f>'Encargos e Benefícios'!B483</f>
        <v>0</v>
      </c>
      <c r="C484" s="287">
        <f>'Encargos e Benefícios'!C483</f>
        <v>0</v>
      </c>
      <c r="D484" s="288"/>
      <c r="E484" s="300"/>
      <c r="F484" s="301"/>
      <c r="G484" s="293"/>
      <c r="H484" s="292">
        <v>5.8400000000000001E-2</v>
      </c>
      <c r="I484" s="256"/>
      <c r="J484" s="256"/>
      <c r="K484" s="256"/>
      <c r="L484" s="256"/>
      <c r="M484" s="293"/>
      <c r="N484" s="292">
        <v>5.8400000000000001E-2</v>
      </c>
      <c r="O484" s="256"/>
      <c r="P484" s="256"/>
      <c r="Q484" s="256"/>
      <c r="R484" s="256"/>
      <c r="S484" s="293"/>
      <c r="T484" s="294"/>
      <c r="U484" s="256"/>
      <c r="V484" s="256"/>
      <c r="W484" s="256"/>
      <c r="X484" s="256"/>
      <c r="Y484" s="293"/>
      <c r="Z484" s="294"/>
      <c r="AA484" s="256"/>
      <c r="AB484" s="256">
        <v>8.7100000000000009</v>
      </c>
      <c r="AC484" s="256"/>
      <c r="AD484" s="256"/>
      <c r="AE484" s="293"/>
      <c r="AF484" s="294"/>
      <c r="AG484" s="256"/>
      <c r="AH484" s="256"/>
      <c r="AI484" s="256"/>
      <c r="AJ484" s="257"/>
      <c r="AK484" s="296">
        <f>'Encargos e Benefícios'!D483</f>
        <v>0</v>
      </c>
      <c r="AL484" s="296">
        <f>IF('Encargos e Benefícios'!C483=0,0,'Encargos e Benefícios'!U483/'Encargos e Benefícios'!C483)</f>
        <v>0</v>
      </c>
      <c r="AM484" s="296">
        <f>IF('Encargos e Benefícios'!C483=0,0,'Encargos e Benefícios'!AC483/'Encargos e Benefícios'!C483)</f>
        <v>0</v>
      </c>
      <c r="AN484" s="297">
        <f>IF('Encargos e Benefícios'!C483=0,0,'Encargos e Benefícios'!AD483/'Encargos e Benefícios'!C483)</f>
        <v>0</v>
      </c>
      <c r="AO484" s="188"/>
      <c r="AP484" s="298"/>
      <c r="AQ484" s="298"/>
      <c r="AR484" s="302"/>
      <c r="AS484" s="188"/>
    </row>
    <row r="485" spans="1:45" ht="13.5" hidden="1" thickBot="1">
      <c r="A485" s="286">
        <v>479</v>
      </c>
      <c r="B485" s="81">
        <f>'Encargos e Benefícios'!B484</f>
        <v>0</v>
      </c>
      <c r="C485" s="287">
        <f>'Encargos e Benefícios'!C484</f>
        <v>0</v>
      </c>
      <c r="D485" s="288"/>
      <c r="E485" s="300"/>
      <c r="F485" s="301"/>
      <c r="G485" s="293"/>
      <c r="H485" s="292">
        <v>5.8400000000000001E-2</v>
      </c>
      <c r="I485" s="256"/>
      <c r="J485" s="256"/>
      <c r="K485" s="256"/>
      <c r="L485" s="256"/>
      <c r="M485" s="293"/>
      <c r="N485" s="292">
        <v>5.8400000000000001E-2</v>
      </c>
      <c r="O485" s="256"/>
      <c r="P485" s="256"/>
      <c r="Q485" s="256"/>
      <c r="R485" s="256"/>
      <c r="S485" s="293"/>
      <c r="T485" s="294"/>
      <c r="U485" s="256"/>
      <c r="V485" s="256"/>
      <c r="W485" s="256"/>
      <c r="X485" s="256"/>
      <c r="Y485" s="293"/>
      <c r="Z485" s="294"/>
      <c r="AA485" s="256"/>
      <c r="AB485" s="256">
        <v>8.7100000000000009</v>
      </c>
      <c r="AC485" s="256"/>
      <c r="AD485" s="256"/>
      <c r="AE485" s="293"/>
      <c r="AF485" s="294"/>
      <c r="AG485" s="256"/>
      <c r="AH485" s="256"/>
      <c r="AI485" s="256"/>
      <c r="AJ485" s="257"/>
      <c r="AK485" s="296">
        <f>'Encargos e Benefícios'!D484</f>
        <v>0</v>
      </c>
      <c r="AL485" s="296">
        <f>IF('Encargos e Benefícios'!C484=0,0,'Encargos e Benefícios'!U484/'Encargos e Benefícios'!C484)</f>
        <v>0</v>
      </c>
      <c r="AM485" s="296">
        <f>IF('Encargos e Benefícios'!C484=0,0,'Encargos e Benefícios'!AC484/'Encargos e Benefícios'!C484)</f>
        <v>0</v>
      </c>
      <c r="AN485" s="297">
        <f>IF('Encargos e Benefícios'!C484=0,0,'Encargos e Benefícios'!AD484/'Encargos e Benefícios'!C484)</f>
        <v>0</v>
      </c>
      <c r="AO485" s="188"/>
      <c r="AP485" s="298"/>
      <c r="AQ485" s="298"/>
      <c r="AR485" s="302"/>
      <c r="AS485" s="188"/>
    </row>
    <row r="486" spans="1:45" ht="13.5" hidden="1" thickBot="1">
      <c r="A486" s="286">
        <v>480</v>
      </c>
      <c r="B486" s="81">
        <f>'Encargos e Benefícios'!B485</f>
        <v>0</v>
      </c>
      <c r="C486" s="287">
        <f>'Encargos e Benefícios'!C485</f>
        <v>0</v>
      </c>
      <c r="D486" s="288"/>
      <c r="E486" s="300"/>
      <c r="F486" s="301"/>
      <c r="G486" s="293"/>
      <c r="H486" s="292">
        <v>5.8400000000000001E-2</v>
      </c>
      <c r="I486" s="256"/>
      <c r="J486" s="256"/>
      <c r="K486" s="256"/>
      <c r="L486" s="256"/>
      <c r="M486" s="293"/>
      <c r="N486" s="292">
        <v>5.8400000000000001E-2</v>
      </c>
      <c r="O486" s="256"/>
      <c r="P486" s="256"/>
      <c r="Q486" s="256"/>
      <c r="R486" s="256"/>
      <c r="S486" s="293"/>
      <c r="T486" s="294"/>
      <c r="U486" s="256"/>
      <c r="V486" s="256"/>
      <c r="W486" s="256"/>
      <c r="X486" s="256"/>
      <c r="Y486" s="293"/>
      <c r="Z486" s="294"/>
      <c r="AA486" s="256"/>
      <c r="AB486" s="256">
        <v>8.7100000000000009</v>
      </c>
      <c r="AC486" s="256"/>
      <c r="AD486" s="256"/>
      <c r="AE486" s="293"/>
      <c r="AF486" s="294"/>
      <c r="AG486" s="256"/>
      <c r="AH486" s="256"/>
      <c r="AI486" s="256"/>
      <c r="AJ486" s="257"/>
      <c r="AK486" s="296">
        <f>'Encargos e Benefícios'!D485</f>
        <v>0</v>
      </c>
      <c r="AL486" s="296">
        <f>IF('Encargos e Benefícios'!C485=0,0,'Encargos e Benefícios'!U485/'Encargos e Benefícios'!C485)</f>
        <v>0</v>
      </c>
      <c r="AM486" s="296">
        <f>IF('Encargos e Benefícios'!C485=0,0,'Encargos e Benefícios'!AC485/'Encargos e Benefícios'!C485)</f>
        <v>0</v>
      </c>
      <c r="AN486" s="297">
        <f>IF('Encargos e Benefícios'!C485=0,0,'Encargos e Benefícios'!AD485/'Encargos e Benefícios'!C485)</f>
        <v>0</v>
      </c>
      <c r="AO486" s="188"/>
      <c r="AP486" s="298"/>
      <c r="AQ486" s="298"/>
      <c r="AR486" s="302"/>
      <c r="AS486" s="188"/>
    </row>
    <row r="487" spans="1:45" ht="13.5" hidden="1" thickBot="1">
      <c r="A487" s="286">
        <v>481</v>
      </c>
      <c r="B487" s="81">
        <f>'Encargos e Benefícios'!B486</f>
        <v>0</v>
      </c>
      <c r="C487" s="287">
        <f>'Encargos e Benefícios'!C486</f>
        <v>0</v>
      </c>
      <c r="D487" s="288"/>
      <c r="E487" s="300"/>
      <c r="F487" s="301"/>
      <c r="G487" s="293"/>
      <c r="H487" s="292">
        <v>5.8400000000000001E-2</v>
      </c>
      <c r="I487" s="256"/>
      <c r="J487" s="256"/>
      <c r="K487" s="256"/>
      <c r="L487" s="256"/>
      <c r="M487" s="293"/>
      <c r="N487" s="292">
        <v>5.8400000000000001E-2</v>
      </c>
      <c r="O487" s="256"/>
      <c r="P487" s="256"/>
      <c r="Q487" s="256"/>
      <c r="R487" s="256"/>
      <c r="S487" s="293"/>
      <c r="T487" s="294"/>
      <c r="U487" s="256"/>
      <c r="V487" s="256"/>
      <c r="W487" s="256"/>
      <c r="X487" s="256"/>
      <c r="Y487" s="293"/>
      <c r="Z487" s="294"/>
      <c r="AA487" s="256"/>
      <c r="AB487" s="256">
        <v>8.7100000000000009</v>
      </c>
      <c r="AC487" s="256"/>
      <c r="AD487" s="256"/>
      <c r="AE487" s="293"/>
      <c r="AF487" s="294"/>
      <c r="AG487" s="256"/>
      <c r="AH487" s="256"/>
      <c r="AI487" s="256"/>
      <c r="AJ487" s="257"/>
      <c r="AK487" s="296">
        <f>'Encargos e Benefícios'!D486</f>
        <v>0</v>
      </c>
      <c r="AL487" s="296">
        <f>IF('Encargos e Benefícios'!C486=0,0,'Encargos e Benefícios'!U486/'Encargos e Benefícios'!C486)</f>
        <v>0</v>
      </c>
      <c r="AM487" s="296">
        <f>IF('Encargos e Benefícios'!C486=0,0,'Encargos e Benefícios'!AC486/'Encargos e Benefícios'!C486)</f>
        <v>0</v>
      </c>
      <c r="AN487" s="297">
        <f>IF('Encargos e Benefícios'!C486=0,0,'Encargos e Benefícios'!AD486/'Encargos e Benefícios'!C486)</f>
        <v>0</v>
      </c>
      <c r="AO487" s="188"/>
      <c r="AP487" s="298"/>
      <c r="AQ487" s="298"/>
      <c r="AR487" s="302"/>
      <c r="AS487" s="188"/>
    </row>
    <row r="488" spans="1:45" ht="13.5" hidden="1" thickBot="1">
      <c r="A488" s="286">
        <v>482</v>
      </c>
      <c r="B488" s="81">
        <f>'Encargos e Benefícios'!B487</f>
        <v>0</v>
      </c>
      <c r="C488" s="287">
        <f>'Encargos e Benefícios'!C487</f>
        <v>0</v>
      </c>
      <c r="D488" s="288"/>
      <c r="E488" s="300"/>
      <c r="F488" s="301"/>
      <c r="G488" s="293"/>
      <c r="H488" s="292">
        <v>5.8400000000000001E-2</v>
      </c>
      <c r="I488" s="256"/>
      <c r="J488" s="256"/>
      <c r="K488" s="256"/>
      <c r="L488" s="256"/>
      <c r="M488" s="293"/>
      <c r="N488" s="292">
        <v>5.8400000000000001E-2</v>
      </c>
      <c r="O488" s="256"/>
      <c r="P488" s="256"/>
      <c r="Q488" s="256"/>
      <c r="R488" s="256"/>
      <c r="S488" s="293"/>
      <c r="T488" s="294"/>
      <c r="U488" s="256"/>
      <c r="V488" s="256"/>
      <c r="W488" s="256"/>
      <c r="X488" s="256"/>
      <c r="Y488" s="293"/>
      <c r="Z488" s="294"/>
      <c r="AA488" s="256"/>
      <c r="AB488" s="256">
        <v>8.7100000000000009</v>
      </c>
      <c r="AC488" s="256"/>
      <c r="AD488" s="256"/>
      <c r="AE488" s="293"/>
      <c r="AF488" s="294"/>
      <c r="AG488" s="256"/>
      <c r="AH488" s="256"/>
      <c r="AI488" s="256"/>
      <c r="AJ488" s="257"/>
      <c r="AK488" s="296">
        <f>'Encargos e Benefícios'!D487</f>
        <v>0</v>
      </c>
      <c r="AL488" s="296">
        <f>IF('Encargos e Benefícios'!C487=0,0,'Encargos e Benefícios'!U487/'Encargos e Benefícios'!C487)</f>
        <v>0</v>
      </c>
      <c r="AM488" s="296">
        <f>IF('Encargos e Benefícios'!C487=0,0,'Encargos e Benefícios'!AC487/'Encargos e Benefícios'!C487)</f>
        <v>0</v>
      </c>
      <c r="AN488" s="297">
        <f>IF('Encargos e Benefícios'!C487=0,0,'Encargos e Benefícios'!AD487/'Encargos e Benefícios'!C487)</f>
        <v>0</v>
      </c>
      <c r="AO488" s="188"/>
      <c r="AP488" s="298"/>
      <c r="AQ488" s="298"/>
      <c r="AR488" s="302"/>
      <c r="AS488" s="188"/>
    </row>
    <row r="489" spans="1:45" ht="13.5" hidden="1" thickBot="1">
      <c r="A489" s="286">
        <v>483</v>
      </c>
      <c r="B489" s="81">
        <f>'Encargos e Benefícios'!B488</f>
        <v>0</v>
      </c>
      <c r="C489" s="287">
        <f>'Encargos e Benefícios'!C488</f>
        <v>0</v>
      </c>
      <c r="D489" s="288"/>
      <c r="E489" s="300"/>
      <c r="F489" s="301"/>
      <c r="G489" s="293"/>
      <c r="H489" s="292">
        <v>5.8400000000000001E-2</v>
      </c>
      <c r="I489" s="256"/>
      <c r="J489" s="256"/>
      <c r="K489" s="256"/>
      <c r="L489" s="256"/>
      <c r="M489" s="293"/>
      <c r="N489" s="292">
        <v>5.8400000000000001E-2</v>
      </c>
      <c r="O489" s="256"/>
      <c r="P489" s="256"/>
      <c r="Q489" s="256"/>
      <c r="R489" s="256"/>
      <c r="S489" s="293"/>
      <c r="T489" s="294"/>
      <c r="U489" s="256"/>
      <c r="V489" s="256"/>
      <c r="W489" s="256"/>
      <c r="X489" s="256"/>
      <c r="Y489" s="293"/>
      <c r="Z489" s="294"/>
      <c r="AA489" s="256"/>
      <c r="AB489" s="256">
        <v>8.7100000000000009</v>
      </c>
      <c r="AC489" s="256"/>
      <c r="AD489" s="256"/>
      <c r="AE489" s="293"/>
      <c r="AF489" s="294"/>
      <c r="AG489" s="256"/>
      <c r="AH489" s="256"/>
      <c r="AI489" s="256"/>
      <c r="AJ489" s="257"/>
      <c r="AK489" s="296">
        <f>'Encargos e Benefícios'!D488</f>
        <v>0</v>
      </c>
      <c r="AL489" s="296">
        <f>IF('Encargos e Benefícios'!C488=0,0,'Encargos e Benefícios'!U488/'Encargos e Benefícios'!C488)</f>
        <v>0</v>
      </c>
      <c r="AM489" s="296">
        <f>IF('Encargos e Benefícios'!C488=0,0,'Encargos e Benefícios'!AC488/'Encargos e Benefícios'!C488)</f>
        <v>0</v>
      </c>
      <c r="AN489" s="297">
        <f>IF('Encargos e Benefícios'!C488=0,0,'Encargos e Benefícios'!AD488/'Encargos e Benefícios'!C488)</f>
        <v>0</v>
      </c>
      <c r="AO489" s="188"/>
      <c r="AP489" s="298"/>
      <c r="AQ489" s="298"/>
      <c r="AR489" s="302"/>
      <c r="AS489" s="188"/>
    </row>
    <row r="490" spans="1:45" ht="13.5" hidden="1" thickBot="1">
      <c r="A490" s="286">
        <v>484</v>
      </c>
      <c r="B490" s="81">
        <f>'Encargos e Benefícios'!B489</f>
        <v>0</v>
      </c>
      <c r="C490" s="287">
        <f>'Encargos e Benefícios'!C489</f>
        <v>0</v>
      </c>
      <c r="D490" s="288"/>
      <c r="E490" s="300"/>
      <c r="F490" s="301"/>
      <c r="G490" s="293"/>
      <c r="H490" s="292">
        <v>5.8400000000000001E-2</v>
      </c>
      <c r="I490" s="256"/>
      <c r="J490" s="256"/>
      <c r="K490" s="256"/>
      <c r="L490" s="256"/>
      <c r="M490" s="293"/>
      <c r="N490" s="292">
        <v>5.8400000000000001E-2</v>
      </c>
      <c r="O490" s="256"/>
      <c r="P490" s="256"/>
      <c r="Q490" s="256"/>
      <c r="R490" s="256"/>
      <c r="S490" s="293"/>
      <c r="T490" s="294"/>
      <c r="U490" s="256"/>
      <c r="V490" s="256"/>
      <c r="W490" s="256"/>
      <c r="X490" s="256"/>
      <c r="Y490" s="293"/>
      <c r="Z490" s="294"/>
      <c r="AA490" s="256"/>
      <c r="AB490" s="256">
        <v>8.7100000000000009</v>
      </c>
      <c r="AC490" s="256"/>
      <c r="AD490" s="256"/>
      <c r="AE490" s="293"/>
      <c r="AF490" s="294"/>
      <c r="AG490" s="256"/>
      <c r="AH490" s="256"/>
      <c r="AI490" s="256"/>
      <c r="AJ490" s="257"/>
      <c r="AK490" s="296">
        <f>'Encargos e Benefícios'!D489</f>
        <v>0</v>
      </c>
      <c r="AL490" s="296">
        <f>IF('Encargos e Benefícios'!C489=0,0,'Encargos e Benefícios'!U489/'Encargos e Benefícios'!C489)</f>
        <v>0</v>
      </c>
      <c r="AM490" s="296">
        <f>IF('Encargos e Benefícios'!C489=0,0,'Encargos e Benefícios'!AC489/'Encargos e Benefícios'!C489)</f>
        <v>0</v>
      </c>
      <c r="AN490" s="297">
        <f>IF('Encargos e Benefícios'!C489=0,0,'Encargos e Benefícios'!AD489/'Encargos e Benefícios'!C489)</f>
        <v>0</v>
      </c>
      <c r="AO490" s="188"/>
      <c r="AP490" s="298"/>
      <c r="AQ490" s="298"/>
      <c r="AR490" s="302"/>
      <c r="AS490" s="188"/>
    </row>
    <row r="491" spans="1:45" ht="13.5" hidden="1" thickBot="1">
      <c r="A491" s="286">
        <v>485</v>
      </c>
      <c r="B491" s="81">
        <f>'Encargos e Benefícios'!B490</f>
        <v>0</v>
      </c>
      <c r="C491" s="287">
        <f>'Encargos e Benefícios'!C490</f>
        <v>0</v>
      </c>
      <c r="D491" s="288"/>
      <c r="E491" s="300"/>
      <c r="F491" s="301"/>
      <c r="G491" s="293"/>
      <c r="H491" s="292">
        <v>5.8400000000000001E-2</v>
      </c>
      <c r="I491" s="256"/>
      <c r="J491" s="256"/>
      <c r="K491" s="256"/>
      <c r="L491" s="256"/>
      <c r="M491" s="293"/>
      <c r="N491" s="292">
        <v>5.8400000000000001E-2</v>
      </c>
      <c r="O491" s="256"/>
      <c r="P491" s="256"/>
      <c r="Q491" s="256"/>
      <c r="R491" s="256"/>
      <c r="S491" s="293"/>
      <c r="T491" s="294"/>
      <c r="U491" s="256"/>
      <c r="V491" s="256"/>
      <c r="W491" s="256"/>
      <c r="X491" s="256"/>
      <c r="Y491" s="293"/>
      <c r="Z491" s="294"/>
      <c r="AA491" s="256"/>
      <c r="AB491" s="256">
        <v>8.7100000000000009</v>
      </c>
      <c r="AC491" s="256"/>
      <c r="AD491" s="256"/>
      <c r="AE491" s="293"/>
      <c r="AF491" s="294"/>
      <c r="AG491" s="256"/>
      <c r="AH491" s="256"/>
      <c r="AI491" s="256"/>
      <c r="AJ491" s="257"/>
      <c r="AK491" s="296">
        <f>'Encargos e Benefícios'!D490</f>
        <v>0</v>
      </c>
      <c r="AL491" s="296">
        <f>IF('Encargos e Benefícios'!C490=0,0,'Encargos e Benefícios'!U490/'Encargos e Benefícios'!C490)</f>
        <v>0</v>
      </c>
      <c r="AM491" s="296">
        <f>IF('Encargos e Benefícios'!C490=0,0,'Encargos e Benefícios'!AC490/'Encargos e Benefícios'!C490)</f>
        <v>0</v>
      </c>
      <c r="AN491" s="297">
        <f>IF('Encargos e Benefícios'!C490=0,0,'Encargos e Benefícios'!AD490/'Encargos e Benefícios'!C490)</f>
        <v>0</v>
      </c>
      <c r="AO491" s="188"/>
      <c r="AP491" s="298"/>
      <c r="AQ491" s="298"/>
      <c r="AR491" s="302"/>
      <c r="AS491" s="188"/>
    </row>
    <row r="492" spans="1:45" ht="13.5" hidden="1" thickBot="1">
      <c r="A492" s="286">
        <v>486</v>
      </c>
      <c r="B492" s="81">
        <f>'Encargos e Benefícios'!B491</f>
        <v>0</v>
      </c>
      <c r="C492" s="287">
        <f>'Encargos e Benefícios'!C491</f>
        <v>0</v>
      </c>
      <c r="D492" s="288"/>
      <c r="E492" s="300"/>
      <c r="F492" s="301"/>
      <c r="G492" s="293"/>
      <c r="H492" s="292">
        <v>5.8400000000000001E-2</v>
      </c>
      <c r="I492" s="256"/>
      <c r="J492" s="256"/>
      <c r="K492" s="256"/>
      <c r="L492" s="256"/>
      <c r="M492" s="293"/>
      <c r="N492" s="292">
        <v>5.8400000000000001E-2</v>
      </c>
      <c r="O492" s="256"/>
      <c r="P492" s="256"/>
      <c r="Q492" s="256"/>
      <c r="R492" s="256"/>
      <c r="S492" s="293"/>
      <c r="T492" s="294"/>
      <c r="U492" s="256"/>
      <c r="V492" s="256"/>
      <c r="W492" s="256"/>
      <c r="X492" s="256"/>
      <c r="Y492" s="293"/>
      <c r="Z492" s="294"/>
      <c r="AA492" s="256"/>
      <c r="AB492" s="256">
        <v>8.7100000000000009</v>
      </c>
      <c r="AC492" s="256"/>
      <c r="AD492" s="256"/>
      <c r="AE492" s="293"/>
      <c r="AF492" s="294"/>
      <c r="AG492" s="256"/>
      <c r="AH492" s="256"/>
      <c r="AI492" s="256"/>
      <c r="AJ492" s="257"/>
      <c r="AK492" s="296">
        <f>'Encargos e Benefícios'!D491</f>
        <v>0</v>
      </c>
      <c r="AL492" s="296">
        <f>IF('Encargos e Benefícios'!C491=0,0,'Encargos e Benefícios'!U491/'Encargos e Benefícios'!C491)</f>
        <v>0</v>
      </c>
      <c r="AM492" s="296">
        <f>IF('Encargos e Benefícios'!C491=0,0,'Encargos e Benefícios'!AC491/'Encargos e Benefícios'!C491)</f>
        <v>0</v>
      </c>
      <c r="AN492" s="297">
        <f>IF('Encargos e Benefícios'!C491=0,0,'Encargos e Benefícios'!AD491/'Encargos e Benefícios'!C491)</f>
        <v>0</v>
      </c>
      <c r="AO492" s="188"/>
      <c r="AP492" s="298"/>
      <c r="AQ492" s="298"/>
      <c r="AR492" s="302"/>
      <c r="AS492" s="188"/>
    </row>
    <row r="493" spans="1:45" ht="13.5" hidden="1" thickBot="1">
      <c r="A493" s="286">
        <v>487</v>
      </c>
      <c r="B493" s="81">
        <f>'Encargos e Benefícios'!B492</f>
        <v>0</v>
      </c>
      <c r="C493" s="287">
        <f>'Encargos e Benefícios'!C492</f>
        <v>0</v>
      </c>
      <c r="D493" s="288"/>
      <c r="E493" s="300"/>
      <c r="F493" s="301"/>
      <c r="G493" s="293"/>
      <c r="H493" s="292">
        <v>5.8400000000000001E-2</v>
      </c>
      <c r="I493" s="256"/>
      <c r="J493" s="256"/>
      <c r="K493" s="256"/>
      <c r="L493" s="256"/>
      <c r="M493" s="293"/>
      <c r="N493" s="292">
        <v>5.8400000000000001E-2</v>
      </c>
      <c r="O493" s="256"/>
      <c r="P493" s="256"/>
      <c r="Q493" s="256"/>
      <c r="R493" s="256"/>
      <c r="S493" s="293"/>
      <c r="T493" s="294"/>
      <c r="U493" s="256"/>
      <c r="V493" s="256"/>
      <c r="W493" s="256"/>
      <c r="X493" s="256"/>
      <c r="Y493" s="293"/>
      <c r="Z493" s="294"/>
      <c r="AA493" s="256"/>
      <c r="AB493" s="256">
        <v>8.7100000000000009</v>
      </c>
      <c r="AC493" s="256"/>
      <c r="AD493" s="256"/>
      <c r="AE493" s="293"/>
      <c r="AF493" s="294"/>
      <c r="AG493" s="256"/>
      <c r="AH493" s="256"/>
      <c r="AI493" s="256"/>
      <c r="AJ493" s="257"/>
      <c r="AK493" s="296">
        <f>'Encargos e Benefícios'!D492</f>
        <v>0</v>
      </c>
      <c r="AL493" s="296">
        <f>IF('Encargos e Benefícios'!C492=0,0,'Encargos e Benefícios'!U492/'Encargos e Benefícios'!C492)</f>
        <v>0</v>
      </c>
      <c r="AM493" s="296">
        <f>IF('Encargos e Benefícios'!C492=0,0,'Encargos e Benefícios'!AC492/'Encargos e Benefícios'!C492)</f>
        <v>0</v>
      </c>
      <c r="AN493" s="297">
        <f>IF('Encargos e Benefícios'!C492=0,0,'Encargos e Benefícios'!AD492/'Encargos e Benefícios'!C492)</f>
        <v>0</v>
      </c>
      <c r="AO493" s="188"/>
      <c r="AP493" s="298"/>
      <c r="AQ493" s="298"/>
      <c r="AR493" s="302"/>
      <c r="AS493" s="188"/>
    </row>
    <row r="494" spans="1:45" ht="13.5" hidden="1" thickBot="1">
      <c r="A494" s="286">
        <v>488</v>
      </c>
      <c r="B494" s="81">
        <f>'Encargos e Benefícios'!B493</f>
        <v>0</v>
      </c>
      <c r="C494" s="287">
        <f>'Encargos e Benefícios'!C493</f>
        <v>0</v>
      </c>
      <c r="D494" s="288"/>
      <c r="E494" s="300"/>
      <c r="F494" s="301"/>
      <c r="G494" s="293"/>
      <c r="H494" s="292">
        <v>5.8400000000000001E-2</v>
      </c>
      <c r="I494" s="256"/>
      <c r="J494" s="256"/>
      <c r="K494" s="256"/>
      <c r="L494" s="256"/>
      <c r="M494" s="293"/>
      <c r="N494" s="292">
        <v>5.8400000000000001E-2</v>
      </c>
      <c r="O494" s="256"/>
      <c r="P494" s="256"/>
      <c r="Q494" s="256"/>
      <c r="R494" s="256"/>
      <c r="S494" s="293"/>
      <c r="T494" s="294"/>
      <c r="U494" s="256"/>
      <c r="V494" s="256"/>
      <c r="W494" s="256"/>
      <c r="X494" s="256"/>
      <c r="Y494" s="293"/>
      <c r="Z494" s="294"/>
      <c r="AA494" s="256"/>
      <c r="AB494" s="256">
        <v>8.7100000000000009</v>
      </c>
      <c r="AC494" s="256"/>
      <c r="AD494" s="256"/>
      <c r="AE494" s="293"/>
      <c r="AF494" s="294"/>
      <c r="AG494" s="256"/>
      <c r="AH494" s="256"/>
      <c r="AI494" s="256"/>
      <c r="AJ494" s="257"/>
      <c r="AK494" s="296">
        <f>'Encargos e Benefícios'!D493</f>
        <v>0</v>
      </c>
      <c r="AL494" s="296">
        <f>IF('Encargos e Benefícios'!C493=0,0,'Encargos e Benefícios'!U493/'Encargos e Benefícios'!C493)</f>
        <v>0</v>
      </c>
      <c r="AM494" s="296">
        <f>IF('Encargos e Benefícios'!C493=0,0,'Encargos e Benefícios'!AC493/'Encargos e Benefícios'!C493)</f>
        <v>0</v>
      </c>
      <c r="AN494" s="297">
        <f>IF('Encargos e Benefícios'!C493=0,0,'Encargos e Benefícios'!AD493/'Encargos e Benefícios'!C493)</f>
        <v>0</v>
      </c>
      <c r="AO494" s="188"/>
      <c r="AP494" s="298"/>
      <c r="AQ494" s="298"/>
      <c r="AR494" s="302"/>
      <c r="AS494" s="188"/>
    </row>
    <row r="495" spans="1:45" ht="13.5" hidden="1" thickBot="1">
      <c r="A495" s="286">
        <v>489</v>
      </c>
      <c r="B495" s="81">
        <f>'Encargos e Benefícios'!B494</f>
        <v>0</v>
      </c>
      <c r="C495" s="287">
        <f>'Encargos e Benefícios'!C494</f>
        <v>0</v>
      </c>
      <c r="D495" s="288"/>
      <c r="E495" s="300"/>
      <c r="F495" s="301"/>
      <c r="G495" s="293"/>
      <c r="H495" s="292">
        <v>5.8400000000000001E-2</v>
      </c>
      <c r="I495" s="256"/>
      <c r="J495" s="256"/>
      <c r="K495" s="256"/>
      <c r="L495" s="256"/>
      <c r="M495" s="293"/>
      <c r="N495" s="292">
        <v>5.8400000000000001E-2</v>
      </c>
      <c r="O495" s="256"/>
      <c r="P495" s="256"/>
      <c r="Q495" s="256"/>
      <c r="R495" s="256"/>
      <c r="S495" s="293"/>
      <c r="T495" s="294"/>
      <c r="U495" s="256"/>
      <c r="V495" s="256"/>
      <c r="W495" s="256"/>
      <c r="X495" s="256"/>
      <c r="Y495" s="293"/>
      <c r="Z495" s="294"/>
      <c r="AA495" s="256"/>
      <c r="AB495" s="256">
        <v>8.7100000000000009</v>
      </c>
      <c r="AC495" s="256"/>
      <c r="AD495" s="256"/>
      <c r="AE495" s="293"/>
      <c r="AF495" s="294"/>
      <c r="AG495" s="256"/>
      <c r="AH495" s="256"/>
      <c r="AI495" s="256"/>
      <c r="AJ495" s="257"/>
      <c r="AK495" s="296">
        <f>'Encargos e Benefícios'!D494</f>
        <v>0</v>
      </c>
      <c r="AL495" s="296">
        <f>IF('Encargos e Benefícios'!C494=0,0,'Encargos e Benefícios'!U494/'Encargos e Benefícios'!C494)</f>
        <v>0</v>
      </c>
      <c r="AM495" s="296">
        <f>IF('Encargos e Benefícios'!C494=0,0,'Encargos e Benefícios'!AC494/'Encargos e Benefícios'!C494)</f>
        <v>0</v>
      </c>
      <c r="AN495" s="297">
        <f>IF('Encargos e Benefícios'!C494=0,0,'Encargos e Benefícios'!AD494/'Encargos e Benefícios'!C494)</f>
        <v>0</v>
      </c>
      <c r="AO495" s="188"/>
      <c r="AP495" s="298"/>
      <c r="AQ495" s="298"/>
      <c r="AR495" s="302"/>
      <c r="AS495" s="188"/>
    </row>
    <row r="496" spans="1:45" ht="13.5" hidden="1" thickBot="1">
      <c r="A496" s="286">
        <v>490</v>
      </c>
      <c r="B496" s="81">
        <f>'Encargos e Benefícios'!B495</f>
        <v>0</v>
      </c>
      <c r="C496" s="287">
        <f>'Encargos e Benefícios'!C495</f>
        <v>0</v>
      </c>
      <c r="D496" s="288"/>
      <c r="E496" s="300"/>
      <c r="F496" s="301"/>
      <c r="G496" s="293"/>
      <c r="H496" s="292">
        <v>5.8400000000000001E-2</v>
      </c>
      <c r="I496" s="256"/>
      <c r="J496" s="256"/>
      <c r="K496" s="256"/>
      <c r="L496" s="256"/>
      <c r="M496" s="293"/>
      <c r="N496" s="292">
        <v>5.8400000000000001E-2</v>
      </c>
      <c r="O496" s="256"/>
      <c r="P496" s="256"/>
      <c r="Q496" s="256"/>
      <c r="R496" s="256"/>
      <c r="S496" s="293"/>
      <c r="T496" s="294"/>
      <c r="U496" s="256"/>
      <c r="V496" s="256"/>
      <c r="W496" s="256"/>
      <c r="X496" s="256"/>
      <c r="Y496" s="293"/>
      <c r="Z496" s="294"/>
      <c r="AA496" s="256"/>
      <c r="AB496" s="256">
        <v>8.7100000000000009</v>
      </c>
      <c r="AC496" s="256"/>
      <c r="AD496" s="256"/>
      <c r="AE496" s="293"/>
      <c r="AF496" s="294"/>
      <c r="AG496" s="256"/>
      <c r="AH496" s="256"/>
      <c r="AI496" s="256"/>
      <c r="AJ496" s="257"/>
      <c r="AK496" s="296">
        <f>'Encargos e Benefícios'!D495</f>
        <v>0</v>
      </c>
      <c r="AL496" s="296">
        <f>IF('Encargos e Benefícios'!C495=0,0,'Encargos e Benefícios'!U495/'Encargos e Benefícios'!C495)</f>
        <v>0</v>
      </c>
      <c r="AM496" s="296">
        <f>IF('Encargos e Benefícios'!C495=0,0,'Encargos e Benefícios'!AC495/'Encargos e Benefícios'!C495)</f>
        <v>0</v>
      </c>
      <c r="AN496" s="297">
        <f>IF('Encargos e Benefícios'!C495=0,0,'Encargos e Benefícios'!AD495/'Encargos e Benefícios'!C495)</f>
        <v>0</v>
      </c>
      <c r="AO496" s="188"/>
      <c r="AP496" s="298"/>
      <c r="AQ496" s="298"/>
      <c r="AR496" s="302"/>
      <c r="AS496" s="188"/>
    </row>
    <row r="497" spans="1:45" ht="13.5" hidden="1" thickBot="1">
      <c r="A497" s="286">
        <v>491</v>
      </c>
      <c r="B497" s="81">
        <f>'Encargos e Benefícios'!B496</f>
        <v>0</v>
      </c>
      <c r="C497" s="287">
        <f>'Encargos e Benefícios'!C496</f>
        <v>0</v>
      </c>
      <c r="D497" s="288"/>
      <c r="E497" s="300"/>
      <c r="F497" s="301"/>
      <c r="G497" s="293"/>
      <c r="H497" s="292">
        <v>5.8400000000000001E-2</v>
      </c>
      <c r="I497" s="256"/>
      <c r="J497" s="256"/>
      <c r="K497" s="256"/>
      <c r="L497" s="256"/>
      <c r="M497" s="293"/>
      <c r="N497" s="292">
        <v>5.8400000000000001E-2</v>
      </c>
      <c r="O497" s="256"/>
      <c r="P497" s="256"/>
      <c r="Q497" s="256"/>
      <c r="R497" s="256"/>
      <c r="S497" s="293"/>
      <c r="T497" s="294"/>
      <c r="U497" s="256"/>
      <c r="V497" s="256"/>
      <c r="W497" s="256"/>
      <c r="X497" s="256"/>
      <c r="Y497" s="293"/>
      <c r="Z497" s="294"/>
      <c r="AA497" s="256"/>
      <c r="AB497" s="256">
        <v>8.7100000000000009</v>
      </c>
      <c r="AC497" s="256"/>
      <c r="AD497" s="256"/>
      <c r="AE497" s="293"/>
      <c r="AF497" s="294"/>
      <c r="AG497" s="256"/>
      <c r="AH497" s="256"/>
      <c r="AI497" s="256"/>
      <c r="AJ497" s="257"/>
      <c r="AK497" s="296">
        <f>'Encargos e Benefícios'!D496</f>
        <v>0</v>
      </c>
      <c r="AL497" s="296">
        <f>IF('Encargos e Benefícios'!C496=0,0,'Encargos e Benefícios'!U496/'Encargos e Benefícios'!C496)</f>
        <v>0</v>
      </c>
      <c r="AM497" s="296">
        <f>IF('Encargos e Benefícios'!C496=0,0,'Encargos e Benefícios'!AC496/'Encargos e Benefícios'!C496)</f>
        <v>0</v>
      </c>
      <c r="AN497" s="297">
        <f>IF('Encargos e Benefícios'!C496=0,0,'Encargos e Benefícios'!AD496/'Encargos e Benefícios'!C496)</f>
        <v>0</v>
      </c>
      <c r="AO497" s="188"/>
      <c r="AP497" s="298"/>
      <c r="AQ497" s="298"/>
      <c r="AR497" s="302"/>
      <c r="AS497" s="188"/>
    </row>
    <row r="498" spans="1:45" ht="13.5" hidden="1" thickBot="1">
      <c r="A498" s="286">
        <v>492</v>
      </c>
      <c r="B498" s="81">
        <f>'Encargos e Benefícios'!B497</f>
        <v>0</v>
      </c>
      <c r="C498" s="287">
        <f>'Encargos e Benefícios'!C497</f>
        <v>0</v>
      </c>
      <c r="D498" s="288"/>
      <c r="E498" s="300"/>
      <c r="F498" s="301"/>
      <c r="G498" s="293"/>
      <c r="H498" s="292">
        <v>5.8400000000000001E-2</v>
      </c>
      <c r="I498" s="256"/>
      <c r="J498" s="256"/>
      <c r="K498" s="256"/>
      <c r="L498" s="256"/>
      <c r="M498" s="293"/>
      <c r="N498" s="292">
        <v>5.8400000000000001E-2</v>
      </c>
      <c r="O498" s="256"/>
      <c r="P498" s="256"/>
      <c r="Q498" s="256"/>
      <c r="R498" s="256"/>
      <c r="S498" s="293"/>
      <c r="T498" s="294"/>
      <c r="U498" s="256"/>
      <c r="V498" s="256"/>
      <c r="W498" s="256"/>
      <c r="X498" s="256"/>
      <c r="Y498" s="293"/>
      <c r="Z498" s="294"/>
      <c r="AA498" s="256"/>
      <c r="AB498" s="256">
        <v>8.7100000000000009</v>
      </c>
      <c r="AC498" s="256"/>
      <c r="AD498" s="256"/>
      <c r="AE498" s="293"/>
      <c r="AF498" s="294"/>
      <c r="AG498" s="256"/>
      <c r="AH498" s="256"/>
      <c r="AI498" s="256"/>
      <c r="AJ498" s="257"/>
      <c r="AK498" s="296">
        <f>'Encargos e Benefícios'!D497</f>
        <v>0</v>
      </c>
      <c r="AL498" s="296">
        <f>IF('Encargos e Benefícios'!C497=0,0,'Encargos e Benefícios'!U497/'Encargos e Benefícios'!C497)</f>
        <v>0</v>
      </c>
      <c r="AM498" s="296">
        <f>IF('Encargos e Benefícios'!C497=0,0,'Encargos e Benefícios'!AC497/'Encargos e Benefícios'!C497)</f>
        <v>0</v>
      </c>
      <c r="AN498" s="297">
        <f>IF('Encargos e Benefícios'!C497=0,0,'Encargos e Benefícios'!AD497/'Encargos e Benefícios'!C497)</f>
        <v>0</v>
      </c>
      <c r="AO498" s="188"/>
      <c r="AP498" s="298"/>
      <c r="AQ498" s="298"/>
      <c r="AR498" s="302"/>
      <c r="AS498" s="188"/>
    </row>
    <row r="499" spans="1:45" ht="13.5" hidden="1" thickBot="1">
      <c r="A499" s="286">
        <v>493</v>
      </c>
      <c r="B499" s="81">
        <f>'Encargos e Benefícios'!B498</f>
        <v>0</v>
      </c>
      <c r="C499" s="287">
        <f>'Encargos e Benefícios'!C498</f>
        <v>0</v>
      </c>
      <c r="D499" s="288"/>
      <c r="E499" s="300"/>
      <c r="F499" s="301"/>
      <c r="G499" s="293"/>
      <c r="H499" s="292">
        <v>5.8400000000000001E-2</v>
      </c>
      <c r="I499" s="256"/>
      <c r="J499" s="256"/>
      <c r="K499" s="256"/>
      <c r="L499" s="256"/>
      <c r="M499" s="293"/>
      <c r="N499" s="292">
        <v>5.8400000000000001E-2</v>
      </c>
      <c r="O499" s="256"/>
      <c r="P499" s="256"/>
      <c r="Q499" s="256"/>
      <c r="R499" s="256"/>
      <c r="S499" s="293"/>
      <c r="T499" s="294"/>
      <c r="U499" s="256"/>
      <c r="V499" s="256"/>
      <c r="W499" s="256"/>
      <c r="X499" s="256"/>
      <c r="Y499" s="293"/>
      <c r="Z499" s="294"/>
      <c r="AA499" s="256"/>
      <c r="AB499" s="256">
        <v>8.7100000000000009</v>
      </c>
      <c r="AC499" s="256"/>
      <c r="AD499" s="256"/>
      <c r="AE499" s="293"/>
      <c r="AF499" s="294"/>
      <c r="AG499" s="256"/>
      <c r="AH499" s="256"/>
      <c r="AI499" s="256"/>
      <c r="AJ499" s="257"/>
      <c r="AK499" s="296">
        <f>'Encargos e Benefícios'!D498</f>
        <v>0</v>
      </c>
      <c r="AL499" s="296">
        <f>IF('Encargos e Benefícios'!C498=0,0,'Encargos e Benefícios'!U498/'Encargos e Benefícios'!C498)</f>
        <v>0</v>
      </c>
      <c r="AM499" s="296">
        <f>IF('Encargos e Benefícios'!C498=0,0,'Encargos e Benefícios'!AC498/'Encargos e Benefícios'!C498)</f>
        <v>0</v>
      </c>
      <c r="AN499" s="297">
        <f>IF('Encargos e Benefícios'!C498=0,0,'Encargos e Benefícios'!AD498/'Encargos e Benefícios'!C498)</f>
        <v>0</v>
      </c>
      <c r="AO499" s="188"/>
      <c r="AP499" s="298"/>
      <c r="AQ499" s="298"/>
      <c r="AR499" s="302"/>
      <c r="AS499" s="188"/>
    </row>
    <row r="500" spans="1:45" ht="13.5" hidden="1" thickBot="1">
      <c r="A500" s="286">
        <v>494</v>
      </c>
      <c r="B500" s="81">
        <f>'Encargos e Benefícios'!B499</f>
        <v>0</v>
      </c>
      <c r="C500" s="287">
        <f>'Encargos e Benefícios'!C499</f>
        <v>0</v>
      </c>
      <c r="D500" s="288"/>
      <c r="E500" s="300"/>
      <c r="F500" s="301"/>
      <c r="G500" s="293"/>
      <c r="H500" s="292">
        <v>5.8400000000000001E-2</v>
      </c>
      <c r="I500" s="256"/>
      <c r="J500" s="256"/>
      <c r="K500" s="256"/>
      <c r="L500" s="256"/>
      <c r="M500" s="293"/>
      <c r="N500" s="292">
        <v>5.8400000000000001E-2</v>
      </c>
      <c r="O500" s="256"/>
      <c r="P500" s="256"/>
      <c r="Q500" s="256"/>
      <c r="R500" s="256"/>
      <c r="S500" s="293"/>
      <c r="T500" s="294"/>
      <c r="U500" s="256"/>
      <c r="V500" s="256"/>
      <c r="W500" s="256"/>
      <c r="X500" s="256"/>
      <c r="Y500" s="293"/>
      <c r="Z500" s="294"/>
      <c r="AA500" s="256"/>
      <c r="AB500" s="256">
        <v>8.7100000000000009</v>
      </c>
      <c r="AC500" s="256"/>
      <c r="AD500" s="256"/>
      <c r="AE500" s="293"/>
      <c r="AF500" s="294"/>
      <c r="AG500" s="256"/>
      <c r="AH500" s="256"/>
      <c r="AI500" s="256"/>
      <c r="AJ500" s="257"/>
      <c r="AK500" s="296">
        <f>'Encargos e Benefícios'!D499</f>
        <v>0</v>
      </c>
      <c r="AL500" s="296">
        <f>IF('Encargos e Benefícios'!C499=0,0,'Encargos e Benefícios'!U499/'Encargos e Benefícios'!C499)</f>
        <v>0</v>
      </c>
      <c r="AM500" s="296">
        <f>IF('Encargos e Benefícios'!C499=0,0,'Encargos e Benefícios'!AC499/'Encargos e Benefícios'!C499)</f>
        <v>0</v>
      </c>
      <c r="AN500" s="297">
        <f>IF('Encargos e Benefícios'!C499=0,0,'Encargos e Benefícios'!AD499/'Encargos e Benefícios'!C499)</f>
        <v>0</v>
      </c>
      <c r="AO500" s="188"/>
      <c r="AP500" s="298"/>
      <c r="AQ500" s="298"/>
      <c r="AR500" s="302"/>
      <c r="AS500" s="188"/>
    </row>
    <row r="501" spans="1:45" ht="13.5" hidden="1" thickBot="1">
      <c r="A501" s="286">
        <v>495</v>
      </c>
      <c r="B501" s="81">
        <f>'Encargos e Benefícios'!B500</f>
        <v>0</v>
      </c>
      <c r="C501" s="287">
        <f>'Encargos e Benefícios'!C500</f>
        <v>0</v>
      </c>
      <c r="D501" s="288"/>
      <c r="E501" s="300"/>
      <c r="F501" s="301"/>
      <c r="G501" s="293"/>
      <c r="H501" s="292">
        <v>5.8400000000000001E-2</v>
      </c>
      <c r="I501" s="256"/>
      <c r="J501" s="256"/>
      <c r="K501" s="256"/>
      <c r="L501" s="256"/>
      <c r="M501" s="293"/>
      <c r="N501" s="292">
        <v>5.8400000000000001E-2</v>
      </c>
      <c r="O501" s="256"/>
      <c r="P501" s="256"/>
      <c r="Q501" s="256"/>
      <c r="R501" s="256"/>
      <c r="S501" s="293"/>
      <c r="T501" s="294"/>
      <c r="U501" s="256"/>
      <c r="V501" s="256"/>
      <c r="W501" s="256"/>
      <c r="X501" s="256"/>
      <c r="Y501" s="293"/>
      <c r="Z501" s="294"/>
      <c r="AA501" s="256"/>
      <c r="AB501" s="256">
        <v>8.7100000000000009</v>
      </c>
      <c r="AC501" s="256"/>
      <c r="AD501" s="256"/>
      <c r="AE501" s="293"/>
      <c r="AF501" s="294"/>
      <c r="AG501" s="256"/>
      <c r="AH501" s="256"/>
      <c r="AI501" s="256"/>
      <c r="AJ501" s="257"/>
      <c r="AK501" s="296">
        <f>'Encargos e Benefícios'!D500</f>
        <v>0</v>
      </c>
      <c r="AL501" s="296">
        <f>IF('Encargos e Benefícios'!C500=0,0,'Encargos e Benefícios'!U500/'Encargos e Benefícios'!C500)</f>
        <v>0</v>
      </c>
      <c r="AM501" s="296">
        <f>IF('Encargos e Benefícios'!C500=0,0,'Encargos e Benefícios'!AC500/'Encargos e Benefícios'!C500)</f>
        <v>0</v>
      </c>
      <c r="AN501" s="297">
        <f>IF('Encargos e Benefícios'!C500=0,0,'Encargos e Benefícios'!AD500/'Encargos e Benefícios'!C500)</f>
        <v>0</v>
      </c>
      <c r="AO501" s="188"/>
      <c r="AP501" s="298"/>
      <c r="AQ501" s="298"/>
      <c r="AR501" s="302"/>
      <c r="AS501" s="188"/>
    </row>
    <row r="502" spans="1:45" ht="13.5" hidden="1" thickBot="1">
      <c r="A502" s="286">
        <v>496</v>
      </c>
      <c r="B502" s="81">
        <f>'Encargos e Benefícios'!B501</f>
        <v>0</v>
      </c>
      <c r="C502" s="287">
        <f>'Encargos e Benefícios'!C501</f>
        <v>0</v>
      </c>
      <c r="D502" s="288"/>
      <c r="E502" s="300"/>
      <c r="F502" s="301"/>
      <c r="G502" s="293"/>
      <c r="H502" s="292">
        <v>5.8400000000000001E-2</v>
      </c>
      <c r="I502" s="256"/>
      <c r="J502" s="256"/>
      <c r="K502" s="256"/>
      <c r="L502" s="256"/>
      <c r="M502" s="293"/>
      <c r="N502" s="292">
        <v>5.8400000000000001E-2</v>
      </c>
      <c r="O502" s="256"/>
      <c r="P502" s="256"/>
      <c r="Q502" s="256"/>
      <c r="R502" s="256"/>
      <c r="S502" s="293"/>
      <c r="T502" s="294"/>
      <c r="U502" s="256"/>
      <c r="V502" s="256"/>
      <c r="W502" s="256"/>
      <c r="X502" s="256"/>
      <c r="Y502" s="293"/>
      <c r="Z502" s="294"/>
      <c r="AA502" s="256"/>
      <c r="AB502" s="256">
        <v>8.7100000000000009</v>
      </c>
      <c r="AC502" s="256"/>
      <c r="AD502" s="256"/>
      <c r="AE502" s="293"/>
      <c r="AF502" s="294"/>
      <c r="AG502" s="256"/>
      <c r="AH502" s="256"/>
      <c r="AI502" s="256"/>
      <c r="AJ502" s="257"/>
      <c r="AK502" s="296">
        <f>'Encargos e Benefícios'!D501</f>
        <v>0</v>
      </c>
      <c r="AL502" s="296">
        <f>IF('Encargos e Benefícios'!C501=0,0,'Encargos e Benefícios'!U501/'Encargos e Benefícios'!C501)</f>
        <v>0</v>
      </c>
      <c r="AM502" s="296">
        <f>IF('Encargos e Benefícios'!C501=0,0,'Encargos e Benefícios'!AC501/'Encargos e Benefícios'!C501)</f>
        <v>0</v>
      </c>
      <c r="AN502" s="297">
        <f>IF('Encargos e Benefícios'!C501=0,0,'Encargos e Benefícios'!AD501/'Encargos e Benefícios'!C501)</f>
        <v>0</v>
      </c>
      <c r="AO502" s="188"/>
      <c r="AP502" s="298"/>
      <c r="AQ502" s="298"/>
      <c r="AR502" s="302"/>
      <c r="AS502" s="188"/>
    </row>
    <row r="503" spans="1:45" ht="13.5" hidden="1" thickBot="1">
      <c r="A503" s="286">
        <v>497</v>
      </c>
      <c r="B503" s="81">
        <f>'Encargos e Benefícios'!B502</f>
        <v>0</v>
      </c>
      <c r="C503" s="287">
        <f>'Encargos e Benefícios'!C502</f>
        <v>0</v>
      </c>
      <c r="D503" s="288"/>
      <c r="E503" s="300"/>
      <c r="F503" s="301"/>
      <c r="G503" s="293"/>
      <c r="H503" s="292">
        <v>5.8400000000000001E-2</v>
      </c>
      <c r="I503" s="256"/>
      <c r="J503" s="256"/>
      <c r="K503" s="256"/>
      <c r="L503" s="256"/>
      <c r="M503" s="293"/>
      <c r="N503" s="292">
        <v>5.8400000000000001E-2</v>
      </c>
      <c r="O503" s="256"/>
      <c r="P503" s="256"/>
      <c r="Q503" s="256"/>
      <c r="R503" s="256"/>
      <c r="S503" s="293"/>
      <c r="T503" s="294"/>
      <c r="U503" s="256"/>
      <c r="V503" s="256"/>
      <c r="W503" s="256"/>
      <c r="X503" s="256"/>
      <c r="Y503" s="293"/>
      <c r="Z503" s="294"/>
      <c r="AA503" s="256"/>
      <c r="AB503" s="256">
        <v>8.7100000000000009</v>
      </c>
      <c r="AC503" s="256"/>
      <c r="AD503" s="256"/>
      <c r="AE503" s="293"/>
      <c r="AF503" s="294"/>
      <c r="AG503" s="256"/>
      <c r="AH503" s="256"/>
      <c r="AI503" s="256"/>
      <c r="AJ503" s="257"/>
      <c r="AK503" s="296">
        <f>'Encargos e Benefícios'!D502</f>
        <v>0</v>
      </c>
      <c r="AL503" s="296">
        <f>IF('Encargos e Benefícios'!C502=0,0,'Encargos e Benefícios'!U502/'Encargos e Benefícios'!C502)</f>
        <v>0</v>
      </c>
      <c r="AM503" s="296">
        <f>IF('Encargos e Benefícios'!C502=0,0,'Encargos e Benefícios'!AC502/'Encargos e Benefícios'!C502)</f>
        <v>0</v>
      </c>
      <c r="AN503" s="297">
        <f>IF('Encargos e Benefícios'!C502=0,0,'Encargos e Benefícios'!AD502/'Encargos e Benefícios'!C502)</f>
        <v>0</v>
      </c>
      <c r="AO503" s="188"/>
      <c r="AP503" s="298"/>
      <c r="AQ503" s="298"/>
      <c r="AR503" s="302"/>
      <c r="AS503" s="188"/>
    </row>
    <row r="504" spans="1:45" ht="13.5" hidden="1" thickBot="1">
      <c r="A504" s="286">
        <v>498</v>
      </c>
      <c r="B504" s="81">
        <f>'Encargos e Benefícios'!B503</f>
        <v>0</v>
      </c>
      <c r="C504" s="287">
        <f>'Encargos e Benefícios'!C503</f>
        <v>0</v>
      </c>
      <c r="D504" s="288"/>
      <c r="E504" s="300"/>
      <c r="F504" s="301"/>
      <c r="G504" s="293"/>
      <c r="H504" s="292">
        <v>5.8400000000000001E-2</v>
      </c>
      <c r="I504" s="256"/>
      <c r="J504" s="256"/>
      <c r="K504" s="256"/>
      <c r="L504" s="256"/>
      <c r="M504" s="293"/>
      <c r="N504" s="292">
        <v>5.8400000000000001E-2</v>
      </c>
      <c r="O504" s="256"/>
      <c r="P504" s="256"/>
      <c r="Q504" s="256"/>
      <c r="R504" s="256"/>
      <c r="S504" s="293"/>
      <c r="T504" s="294"/>
      <c r="U504" s="256"/>
      <c r="V504" s="256"/>
      <c r="W504" s="256"/>
      <c r="X504" s="256"/>
      <c r="Y504" s="293"/>
      <c r="Z504" s="294"/>
      <c r="AA504" s="256"/>
      <c r="AB504" s="256">
        <v>8.7100000000000009</v>
      </c>
      <c r="AC504" s="256"/>
      <c r="AD504" s="256"/>
      <c r="AE504" s="293"/>
      <c r="AF504" s="294"/>
      <c r="AG504" s="256"/>
      <c r="AH504" s="256"/>
      <c r="AI504" s="256"/>
      <c r="AJ504" s="257"/>
      <c r="AK504" s="296">
        <f>'Encargos e Benefícios'!D503</f>
        <v>0</v>
      </c>
      <c r="AL504" s="296">
        <f>IF('Encargos e Benefícios'!C503=0,0,'Encargos e Benefícios'!U503/'Encargos e Benefícios'!C503)</f>
        <v>0</v>
      </c>
      <c r="AM504" s="296">
        <f>IF('Encargos e Benefícios'!C503=0,0,'Encargos e Benefícios'!AC503/'Encargos e Benefícios'!C503)</f>
        <v>0</v>
      </c>
      <c r="AN504" s="297">
        <f>IF('Encargos e Benefícios'!C503=0,0,'Encargos e Benefícios'!AD503/'Encargos e Benefícios'!C503)</f>
        <v>0</v>
      </c>
      <c r="AO504" s="188"/>
      <c r="AP504" s="298"/>
      <c r="AQ504" s="298"/>
      <c r="AR504" s="302"/>
      <c r="AS504" s="188"/>
    </row>
    <row r="505" spans="1:45" ht="13.5" hidden="1" thickBot="1">
      <c r="A505" s="286">
        <v>499</v>
      </c>
      <c r="B505" s="81">
        <f>'Encargos e Benefícios'!B504</f>
        <v>0</v>
      </c>
      <c r="C505" s="287">
        <f>'Encargos e Benefícios'!C504</f>
        <v>0</v>
      </c>
      <c r="D505" s="288"/>
      <c r="E505" s="300"/>
      <c r="F505" s="301"/>
      <c r="G505" s="293"/>
      <c r="H505" s="292">
        <v>5.8400000000000001E-2</v>
      </c>
      <c r="I505" s="256"/>
      <c r="J505" s="256"/>
      <c r="K505" s="256"/>
      <c r="L505" s="256"/>
      <c r="M505" s="293"/>
      <c r="N505" s="292">
        <v>5.8400000000000001E-2</v>
      </c>
      <c r="O505" s="256"/>
      <c r="P505" s="256"/>
      <c r="Q505" s="256"/>
      <c r="R505" s="256"/>
      <c r="S505" s="293"/>
      <c r="T505" s="294"/>
      <c r="U505" s="256"/>
      <c r="V505" s="256"/>
      <c r="W505" s="256"/>
      <c r="X505" s="256"/>
      <c r="Y505" s="293"/>
      <c r="Z505" s="294"/>
      <c r="AA505" s="256"/>
      <c r="AB505" s="256">
        <v>8.7100000000000009</v>
      </c>
      <c r="AC505" s="256"/>
      <c r="AD505" s="256"/>
      <c r="AE505" s="293"/>
      <c r="AF505" s="294"/>
      <c r="AG505" s="256"/>
      <c r="AH505" s="256"/>
      <c r="AI505" s="256"/>
      <c r="AJ505" s="257"/>
      <c r="AK505" s="296">
        <f>'Encargos e Benefícios'!D504</f>
        <v>0</v>
      </c>
      <c r="AL505" s="296">
        <f>IF('Encargos e Benefícios'!C504=0,0,'Encargos e Benefícios'!U504/'Encargos e Benefícios'!C504)</f>
        <v>0</v>
      </c>
      <c r="AM505" s="296">
        <f>IF('Encargos e Benefícios'!C504=0,0,'Encargos e Benefícios'!AC504/'Encargos e Benefícios'!C504)</f>
        <v>0</v>
      </c>
      <c r="AN505" s="297">
        <f>IF('Encargos e Benefícios'!C504=0,0,'Encargos e Benefícios'!AD504/'Encargos e Benefícios'!C504)</f>
        <v>0</v>
      </c>
      <c r="AO505" s="188"/>
      <c r="AP505" s="298"/>
      <c r="AQ505" s="298"/>
      <c r="AR505" s="302"/>
      <c r="AS505" s="188"/>
    </row>
    <row r="506" spans="1:45" ht="13.5" hidden="1" customHeight="1" thickBot="1">
      <c r="A506" s="286">
        <v>500</v>
      </c>
      <c r="B506" s="81">
        <f>'Encargos e Benefícios'!B505</f>
        <v>0</v>
      </c>
      <c r="C506" s="287">
        <f>'Encargos e Benefícios'!C505</f>
        <v>0</v>
      </c>
      <c r="D506" s="288"/>
      <c r="E506" s="300"/>
      <c r="F506" s="301"/>
      <c r="G506" s="303"/>
      <c r="H506" s="292">
        <v>5.8400000000000001E-2</v>
      </c>
      <c r="I506" s="256"/>
      <c r="J506" s="256"/>
      <c r="K506" s="256"/>
      <c r="L506" s="256"/>
      <c r="M506" s="303"/>
      <c r="N506" s="292">
        <v>5.8400000000000001E-2</v>
      </c>
      <c r="O506" s="256"/>
      <c r="P506" s="256"/>
      <c r="Q506" s="256"/>
      <c r="R506" s="256"/>
      <c r="S506" s="293"/>
      <c r="T506" s="294"/>
      <c r="U506" s="256"/>
      <c r="V506" s="256"/>
      <c r="W506" s="256"/>
      <c r="X506" s="256"/>
      <c r="Y506" s="293"/>
      <c r="Z506" s="294"/>
      <c r="AA506" s="256"/>
      <c r="AB506" s="256">
        <v>8.7100000000000009</v>
      </c>
      <c r="AC506" s="256"/>
      <c r="AD506" s="256"/>
      <c r="AE506" s="293"/>
      <c r="AF506" s="304"/>
      <c r="AG506" s="256"/>
      <c r="AH506" s="256"/>
      <c r="AI506" s="256"/>
      <c r="AJ506" s="305"/>
      <c r="AK506" s="296">
        <f>'Encargos e Benefícios'!D505</f>
        <v>0</v>
      </c>
      <c r="AL506" s="296">
        <f>IF('Encargos e Benefícios'!C505=0,0,'Encargos e Benefícios'!U505/'Encargos e Benefícios'!C505)</f>
        <v>0</v>
      </c>
      <c r="AM506" s="296">
        <f>IF('Encargos e Benefícios'!C505=0,0,'Encargos e Benefícios'!AC505/'Encargos e Benefícios'!C505)</f>
        <v>0</v>
      </c>
      <c r="AN506" s="297">
        <f>IF('Encargos e Benefícios'!C505=0,0,'Encargos e Benefícios'!AD505/'Encargos e Benefícios'!C505)</f>
        <v>0</v>
      </c>
      <c r="AO506" s="188"/>
      <c r="AP506" s="298"/>
      <c r="AQ506" s="298"/>
      <c r="AR506" s="302"/>
      <c r="AS506" s="188"/>
    </row>
    <row r="507" spans="1:45" ht="17.25" customHeight="1" thickBot="1">
      <c r="A507" s="306"/>
      <c r="B507" s="306"/>
      <c r="C507" s="277">
        <f>SUM(C7:C506)</f>
        <v>621</v>
      </c>
      <c r="D507" s="307"/>
      <c r="E507" s="261"/>
      <c r="F507" s="261"/>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c r="AJ507" s="308"/>
      <c r="AK507" s="261">
        <f t="shared" ref="AK507:AQ507" si="0">SUM(AK7:AK506)</f>
        <v>722756.80999999994</v>
      </c>
      <c r="AL507" s="261">
        <f t="shared" si="0"/>
        <v>693696.24931629794</v>
      </c>
      <c r="AM507" s="261">
        <f t="shared" si="0"/>
        <v>213524.92674999987</v>
      </c>
      <c r="AN507" s="261">
        <f t="shared" si="0"/>
        <v>1629977.9860662976</v>
      </c>
      <c r="AO507" s="261">
        <f t="shared" si="0"/>
        <v>841049.76999999967</v>
      </c>
      <c r="AP507" s="261">
        <f t="shared" si="0"/>
        <v>595079.81999999948</v>
      </c>
      <c r="AQ507" s="261">
        <f t="shared" si="0"/>
        <v>1087000.7100000014</v>
      </c>
      <c r="AR507" s="309"/>
      <c r="AS507" s="268"/>
    </row>
    <row r="508" spans="1:45" ht="30" customHeight="1">
      <c r="A508" s="310"/>
      <c r="B508" s="310"/>
      <c r="C508" s="311"/>
      <c r="D508" s="312"/>
      <c r="E508" s="268"/>
      <c r="F508" s="268"/>
      <c r="G508" s="313"/>
      <c r="H508" s="313"/>
      <c r="I508" s="313"/>
      <c r="J508" s="313"/>
      <c r="K508" s="313"/>
      <c r="L508" s="313"/>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312"/>
      <c r="AS508" s="268"/>
    </row>
    <row r="509" spans="1:45" s="158" customFormat="1" ht="15.75" customHeight="1">
      <c r="A509" s="389" t="s">
        <v>359</v>
      </c>
      <c r="B509" s="389"/>
      <c r="C509" s="389"/>
      <c r="D509" s="389"/>
      <c r="E509" s="389"/>
      <c r="F509" s="389"/>
      <c r="G509" s="389"/>
      <c r="H509" s="389"/>
      <c r="I509" s="389"/>
      <c r="J509" s="389"/>
      <c r="K509" s="389"/>
      <c r="L509" s="389"/>
      <c r="M509" s="389"/>
      <c r="N509" s="389"/>
      <c r="O509" s="389"/>
      <c r="P509" s="389"/>
      <c r="Q509" s="389"/>
      <c r="R509" s="389"/>
      <c r="S509" s="389"/>
      <c r="T509" s="389"/>
      <c r="U509" s="389"/>
      <c r="V509" s="389"/>
      <c r="W509" s="389"/>
      <c r="X509" s="389"/>
      <c r="Y509" s="389"/>
      <c r="Z509" s="389"/>
      <c r="AA509" s="389"/>
      <c r="AB509" s="389"/>
      <c r="AC509" s="389"/>
      <c r="AD509" s="389"/>
      <c r="AE509" s="389"/>
      <c r="AF509" s="389"/>
      <c r="AG509" s="389"/>
      <c r="AH509" s="389"/>
      <c r="AI509" s="389"/>
      <c r="AJ509" s="389"/>
      <c r="AK509" s="389"/>
      <c r="AL509" s="389"/>
      <c r="AM509" s="389"/>
      <c r="AN509" s="389"/>
      <c r="AO509" s="53"/>
      <c r="AP509" s="53"/>
      <c r="AQ509" s="53"/>
      <c r="AS509" s="53"/>
    </row>
    <row r="510" spans="1:45" s="158" customFormat="1" ht="20.25" customHeight="1">
      <c r="A510" s="396" t="s">
        <v>31</v>
      </c>
      <c r="B510" s="396" t="s">
        <v>355</v>
      </c>
      <c r="C510" s="396" t="s">
        <v>365</v>
      </c>
      <c r="D510" s="397" t="s">
        <v>366</v>
      </c>
      <c r="E510" s="393" t="s">
        <v>367</v>
      </c>
      <c r="F510" s="397" t="s">
        <v>368</v>
      </c>
      <c r="G510" s="395" t="s">
        <v>385</v>
      </c>
      <c r="H510" s="395"/>
      <c r="I510" s="395"/>
      <c r="J510" s="395"/>
      <c r="K510" s="395"/>
      <c r="L510" s="395"/>
      <c r="M510" s="403" t="s">
        <v>386</v>
      </c>
      <c r="N510" s="403"/>
      <c r="O510" s="403"/>
      <c r="P510" s="403"/>
      <c r="Q510" s="403"/>
      <c r="R510" s="403"/>
      <c r="S510" s="403" t="s">
        <v>387</v>
      </c>
      <c r="T510" s="403"/>
      <c r="U510" s="403"/>
      <c r="V510" s="403"/>
      <c r="W510" s="403"/>
      <c r="X510" s="403"/>
      <c r="Y510" s="403" t="s">
        <v>388</v>
      </c>
      <c r="Z510" s="403"/>
      <c r="AA510" s="403"/>
      <c r="AB510" s="403"/>
      <c r="AC510" s="403"/>
      <c r="AD510" s="403"/>
      <c r="AE510" s="403" t="s">
        <v>389</v>
      </c>
      <c r="AF510" s="403"/>
      <c r="AG510" s="403"/>
      <c r="AH510" s="403"/>
      <c r="AI510" s="403"/>
      <c r="AJ510" s="403"/>
      <c r="AK510" s="403" t="s">
        <v>374</v>
      </c>
      <c r="AL510" s="403"/>
      <c r="AM510" s="403"/>
      <c r="AN510" s="403"/>
    </row>
    <row r="511" spans="1:45" s="158" customFormat="1" ht="27" customHeight="1" thickBot="1">
      <c r="A511" s="396"/>
      <c r="B511" s="396"/>
      <c r="C511" s="396"/>
      <c r="D511" s="397"/>
      <c r="E511" s="393"/>
      <c r="F511" s="397"/>
      <c r="G511" s="399" t="s">
        <v>377</v>
      </c>
      <c r="H511" s="401" t="s">
        <v>390</v>
      </c>
      <c r="I511" s="408" t="s">
        <v>379</v>
      </c>
      <c r="J511" s="408"/>
      <c r="K511" s="408"/>
      <c r="L511" s="408"/>
      <c r="M511" s="399" t="s">
        <v>377</v>
      </c>
      <c r="N511" s="401" t="s">
        <v>390</v>
      </c>
      <c r="O511" s="406" t="s">
        <v>379</v>
      </c>
      <c r="P511" s="406"/>
      <c r="Q511" s="406"/>
      <c r="R511" s="406"/>
      <c r="S511" s="399" t="s">
        <v>377</v>
      </c>
      <c r="T511" s="401" t="s">
        <v>390</v>
      </c>
      <c r="U511" s="406" t="s">
        <v>379</v>
      </c>
      <c r="V511" s="406"/>
      <c r="W511" s="406"/>
      <c r="X511" s="406"/>
      <c r="Y511" s="399" t="s">
        <v>377</v>
      </c>
      <c r="Z511" s="401" t="s">
        <v>390</v>
      </c>
      <c r="AA511" s="406" t="s">
        <v>379</v>
      </c>
      <c r="AB511" s="406"/>
      <c r="AC511" s="406"/>
      <c r="AD511" s="406"/>
      <c r="AE511" s="399" t="s">
        <v>377</v>
      </c>
      <c r="AF511" s="401" t="s">
        <v>390</v>
      </c>
      <c r="AG511" s="406" t="s">
        <v>379</v>
      </c>
      <c r="AH511" s="406"/>
      <c r="AI511" s="406"/>
      <c r="AJ511" s="406"/>
      <c r="AK511" s="399" t="s">
        <v>380</v>
      </c>
      <c r="AL511" s="404" t="s">
        <v>164</v>
      </c>
      <c r="AM511" s="404" t="s">
        <v>88</v>
      </c>
      <c r="AN511" s="404" t="s">
        <v>381</v>
      </c>
    </row>
    <row r="512" spans="1:45" s="158" customFormat="1" ht="39" customHeight="1" thickBot="1">
      <c r="A512" s="396"/>
      <c r="B512" s="396"/>
      <c r="C512" s="396"/>
      <c r="D512" s="397"/>
      <c r="E512" s="393"/>
      <c r="F512" s="397"/>
      <c r="G512" s="399"/>
      <c r="H512" s="401"/>
      <c r="I512" s="248" t="s">
        <v>151</v>
      </c>
      <c r="J512" s="248"/>
      <c r="K512" s="248"/>
      <c r="L512" s="248"/>
      <c r="M512" s="399"/>
      <c r="N512" s="401"/>
      <c r="O512" s="248" t="s">
        <v>151</v>
      </c>
      <c r="P512" s="248"/>
      <c r="Q512" s="248"/>
      <c r="R512" s="248"/>
      <c r="S512" s="399"/>
      <c r="T512" s="401"/>
      <c r="U512" s="248" t="s">
        <v>151</v>
      </c>
      <c r="V512" s="248"/>
      <c r="W512" s="248"/>
      <c r="X512" s="248"/>
      <c r="Y512" s="399"/>
      <c r="Z512" s="401"/>
      <c r="AA512" s="248" t="s">
        <v>151</v>
      </c>
      <c r="AB512" s="248"/>
      <c r="AC512" s="248"/>
      <c r="AD512" s="248"/>
      <c r="AE512" s="399"/>
      <c r="AF512" s="401"/>
      <c r="AG512" s="248" t="s">
        <v>564</v>
      </c>
      <c r="AH512" s="248"/>
      <c r="AI512" s="248"/>
      <c r="AJ512" s="248"/>
      <c r="AK512" s="399"/>
      <c r="AL512" s="404"/>
      <c r="AM512" s="404"/>
      <c r="AN512" s="404"/>
    </row>
    <row r="513" spans="1:45" s="158" customFormat="1" ht="27" customHeight="1" thickBot="1">
      <c r="A513" s="286">
        <v>1</v>
      </c>
      <c r="B513" s="81" t="str">
        <f>'Encargos e Benefícios'!B512</f>
        <v>Estagiário de Serviço Social ou psicologia ou pedagogia</v>
      </c>
      <c r="C513" s="287">
        <f>'Encargos e Benefícios'!C512</f>
        <v>10</v>
      </c>
      <c r="D513" s="288">
        <v>30</v>
      </c>
      <c r="E513" s="293">
        <v>45292</v>
      </c>
      <c r="F513" s="372">
        <v>45657</v>
      </c>
      <c r="G513" s="300"/>
      <c r="H513" s="294"/>
      <c r="I513" s="256"/>
      <c r="J513" s="256"/>
      <c r="K513" s="256"/>
      <c r="L513" s="295"/>
      <c r="M513" s="300"/>
      <c r="N513" s="294"/>
      <c r="O513" s="256"/>
      <c r="P513" s="256"/>
      <c r="Q513" s="256"/>
      <c r="R513" s="295"/>
      <c r="S513" s="300"/>
      <c r="T513" s="294"/>
      <c r="U513" s="256"/>
      <c r="V513" s="256"/>
      <c r="W513" s="256"/>
      <c r="X513" s="256"/>
      <c r="Y513" s="291"/>
      <c r="Z513" s="294"/>
      <c r="AA513" s="256"/>
      <c r="AB513" s="256"/>
      <c r="AC513" s="256"/>
      <c r="AD513" s="256"/>
      <c r="AE513" s="291"/>
      <c r="AF513" s="294"/>
      <c r="AG513" s="256"/>
      <c r="AH513" s="256"/>
      <c r="AI513" s="256"/>
      <c r="AJ513" s="256"/>
      <c r="AK513" s="314">
        <f>'Encargos e Benefícios'!D512</f>
        <v>1000</v>
      </c>
      <c r="AL513" s="296">
        <f>IF('Encargos e Benefícios'!C512=0,0,'Encargos e Benefícios'!F512/'Encargos e Benefícios'!C512)</f>
        <v>0</v>
      </c>
      <c r="AM513" s="296">
        <f>IF('Encargos e Benefícios'!C512=0,0,'Encargos e Benefícios'!L512/'Encargos e Benefícios'!C512)</f>
        <v>21.11</v>
      </c>
      <c r="AN513" s="296">
        <f>IF('Encargos e Benefícios'!C512=0,0,'Encargos e Benefícios'!M512/'Encargos e Benefícios'!C512)</f>
        <v>1021.11</v>
      </c>
    </row>
    <row r="514" spans="1:45" s="158" customFormat="1" ht="21.75" customHeight="1" thickBot="1">
      <c r="A514" s="286">
        <v>2</v>
      </c>
      <c r="B514" s="81" t="str">
        <f>'Encargos e Benefícios'!B513</f>
        <v>Estagiário de Serviço Social ou psicologia ou pedagogia</v>
      </c>
      <c r="C514" s="287">
        <f>'Encargos e Benefícios'!C513</f>
        <v>2</v>
      </c>
      <c r="D514" s="288">
        <v>30</v>
      </c>
      <c r="E514" s="293">
        <v>45323</v>
      </c>
      <c r="F514" s="301">
        <v>45657</v>
      </c>
      <c r="G514" s="300"/>
      <c r="H514" s="294"/>
      <c r="I514" s="256"/>
      <c r="J514" s="256"/>
      <c r="K514" s="256"/>
      <c r="L514" s="257"/>
      <c r="M514" s="300"/>
      <c r="N514" s="294"/>
      <c r="O514" s="256"/>
      <c r="P514" s="256"/>
      <c r="Q514" s="256"/>
      <c r="R514" s="257"/>
      <c r="S514" s="300"/>
      <c r="T514" s="294"/>
      <c r="U514" s="256"/>
      <c r="V514" s="256"/>
      <c r="W514" s="256"/>
      <c r="X514" s="256"/>
      <c r="Y514" s="291"/>
      <c r="Z514" s="294"/>
      <c r="AA514" s="256"/>
      <c r="AB514" s="256"/>
      <c r="AC514" s="256"/>
      <c r="AD514" s="256"/>
      <c r="AE514" s="291"/>
      <c r="AF514" s="294"/>
      <c r="AG514" s="256"/>
      <c r="AH514" s="256"/>
      <c r="AI514" s="256"/>
      <c r="AJ514" s="256"/>
      <c r="AK514" s="315">
        <f>'Encargos e Benefícios'!D513</f>
        <v>1000</v>
      </c>
      <c r="AL514" s="296">
        <f>IF('Encargos e Benefícios'!C513=0,0,'Encargos e Benefícios'!F513/'Encargos e Benefícios'!C513)</f>
        <v>0</v>
      </c>
      <c r="AM514" s="296">
        <f>IF('Encargos e Benefícios'!C513=0,0,'Encargos e Benefícios'!L513/'Encargos e Benefícios'!C513)</f>
        <v>105.55</v>
      </c>
      <c r="AN514" s="296">
        <f>IF('Encargos e Benefícios'!C513=0,0,'Encargos e Benefícios'!M513/'Encargos e Benefícios'!C513)</f>
        <v>1105.55</v>
      </c>
    </row>
    <row r="515" spans="1:45" s="158" customFormat="1" ht="24" customHeight="1">
      <c r="A515" s="286">
        <v>3</v>
      </c>
      <c r="B515" s="81">
        <f>'Encargos e Benefícios'!B514</f>
        <v>0</v>
      </c>
      <c r="C515" s="287">
        <f>'Encargos e Benefícios'!C514</f>
        <v>0</v>
      </c>
      <c r="D515" s="288"/>
      <c r="E515" s="293"/>
      <c r="F515" s="301"/>
      <c r="G515" s="300"/>
      <c r="H515" s="294"/>
      <c r="I515" s="256"/>
      <c r="J515" s="256"/>
      <c r="K515" s="256"/>
      <c r="L515" s="257"/>
      <c r="M515" s="300"/>
      <c r="N515" s="294"/>
      <c r="O515" s="256"/>
      <c r="P515" s="256"/>
      <c r="Q515" s="256"/>
      <c r="R515" s="257"/>
      <c r="S515" s="300"/>
      <c r="T515" s="294"/>
      <c r="U515" s="256"/>
      <c r="V515" s="256"/>
      <c r="W515" s="256"/>
      <c r="X515" s="256"/>
      <c r="Y515" s="291"/>
      <c r="Z515" s="294"/>
      <c r="AA515" s="256"/>
      <c r="AB515" s="256"/>
      <c r="AC515" s="256"/>
      <c r="AD515" s="256"/>
      <c r="AE515" s="291"/>
      <c r="AF515" s="294"/>
      <c r="AG515" s="256"/>
      <c r="AH515" s="256"/>
      <c r="AI515" s="256"/>
      <c r="AJ515" s="256"/>
      <c r="AK515" s="315">
        <f>'Encargos e Benefícios'!D514</f>
        <v>0</v>
      </c>
      <c r="AL515" s="296">
        <f>IF('Encargos e Benefícios'!C514=0,0,'Encargos e Benefícios'!F514/'Encargos e Benefícios'!C514)</f>
        <v>0</v>
      </c>
      <c r="AM515" s="296">
        <f>IF('Encargos e Benefícios'!C514=0,0,'Encargos e Benefícios'!L514/'Encargos e Benefícios'!C514)</f>
        <v>0</v>
      </c>
      <c r="AN515" s="296">
        <f>IF('Encargos e Benefícios'!C514=0,0,'Encargos e Benefícios'!M514/'Encargos e Benefícios'!C514)</f>
        <v>0</v>
      </c>
    </row>
    <row r="516" spans="1:45" s="158" customFormat="1" ht="24.75" customHeight="1">
      <c r="A516" s="286">
        <v>4</v>
      </c>
      <c r="B516" s="81">
        <f>'Encargos e Benefícios'!B515</f>
        <v>0</v>
      </c>
      <c r="C516" s="287">
        <f>'Encargos e Benefícios'!C515</f>
        <v>0</v>
      </c>
      <c r="D516" s="288"/>
      <c r="E516" s="293"/>
      <c r="F516" s="301"/>
      <c r="G516" s="300"/>
      <c r="H516" s="294"/>
      <c r="I516" s="256"/>
      <c r="J516" s="256"/>
      <c r="K516" s="256"/>
      <c r="L516" s="257"/>
      <c r="M516" s="300"/>
      <c r="N516" s="294"/>
      <c r="O516" s="256"/>
      <c r="P516" s="256"/>
      <c r="Q516" s="256"/>
      <c r="R516" s="257"/>
      <c r="S516" s="300"/>
      <c r="T516" s="294"/>
      <c r="U516" s="256"/>
      <c r="V516" s="256"/>
      <c r="W516" s="256"/>
      <c r="X516" s="256"/>
      <c r="Y516" s="293"/>
      <c r="Z516" s="294"/>
      <c r="AA516" s="256"/>
      <c r="AB516" s="256"/>
      <c r="AC516" s="256"/>
      <c r="AD516" s="256"/>
      <c r="AE516" s="293"/>
      <c r="AF516" s="294"/>
      <c r="AG516" s="256"/>
      <c r="AH516" s="256"/>
      <c r="AI516" s="256"/>
      <c r="AJ516" s="256"/>
      <c r="AK516" s="315">
        <f>'Encargos e Benefícios'!D515</f>
        <v>0</v>
      </c>
      <c r="AL516" s="296">
        <f>IF('Encargos e Benefícios'!C515=0,0,'Encargos e Benefícios'!F515/'Encargos e Benefícios'!C515)</f>
        <v>0</v>
      </c>
      <c r="AM516" s="296">
        <f>IF('Encargos e Benefícios'!C515=0,0,'Encargos e Benefícios'!L515/'Encargos e Benefícios'!C515)</f>
        <v>0</v>
      </c>
      <c r="AN516" s="296">
        <f>IF('Encargos e Benefícios'!C515=0,0,'Encargos e Benefícios'!M515/'Encargos e Benefícios'!C515)</f>
        <v>0</v>
      </c>
      <c r="AO516" s="296"/>
    </row>
    <row r="517" spans="1:45" s="158" customFormat="1" ht="15.75" customHeight="1">
      <c r="A517" s="286">
        <v>5</v>
      </c>
      <c r="B517" s="81">
        <f>'Encargos e Benefícios'!B516</f>
        <v>0</v>
      </c>
      <c r="C517" s="287">
        <f>'Encargos e Benefícios'!C516</f>
        <v>0</v>
      </c>
      <c r="D517" s="288"/>
      <c r="E517" s="293"/>
      <c r="F517" s="301"/>
      <c r="G517" s="300"/>
      <c r="H517" s="294"/>
      <c r="I517" s="256"/>
      <c r="J517" s="256"/>
      <c r="K517" s="256"/>
      <c r="L517" s="257"/>
      <c r="M517" s="300"/>
      <c r="N517" s="294"/>
      <c r="O517" s="256"/>
      <c r="P517" s="256"/>
      <c r="Q517" s="256"/>
      <c r="R517" s="257"/>
      <c r="S517" s="300"/>
      <c r="T517" s="294"/>
      <c r="U517" s="256"/>
      <c r="V517" s="256"/>
      <c r="W517" s="256"/>
      <c r="X517" s="256"/>
      <c r="Y517" s="293"/>
      <c r="Z517" s="294"/>
      <c r="AA517" s="256"/>
      <c r="AB517" s="256"/>
      <c r="AC517" s="256"/>
      <c r="AD517" s="256"/>
      <c r="AE517" s="293"/>
      <c r="AF517" s="294"/>
      <c r="AG517" s="256"/>
      <c r="AH517" s="256"/>
      <c r="AI517" s="256"/>
      <c r="AJ517" s="256"/>
      <c r="AK517" s="315">
        <f>'Encargos e Benefícios'!D516</f>
        <v>0</v>
      </c>
      <c r="AL517" s="296">
        <f>IF('Encargos e Benefícios'!C516=0,0,'Encargos e Benefícios'!F516/'Encargos e Benefícios'!C516)</f>
        <v>0</v>
      </c>
      <c r="AM517" s="296">
        <f>IF('Encargos e Benefícios'!C516=0,0,'Encargos e Benefícios'!L516/'Encargos e Benefícios'!C516)</f>
        <v>0</v>
      </c>
      <c r="AN517" s="296">
        <f>IF('Encargos e Benefícios'!C516=0,0,'Encargos e Benefícios'!M516/'Encargos e Benefícios'!C516)</f>
        <v>0</v>
      </c>
      <c r="AO517" s="296"/>
    </row>
    <row r="518" spans="1:45" s="158" customFormat="1" ht="15.75" customHeight="1">
      <c r="A518" s="286">
        <v>6</v>
      </c>
      <c r="B518" s="81">
        <f>'Encargos e Benefícios'!B517</f>
        <v>0</v>
      </c>
      <c r="C518" s="287">
        <f>'Encargos e Benefícios'!C517</f>
        <v>0</v>
      </c>
      <c r="D518" s="288"/>
      <c r="E518" s="293"/>
      <c r="F518" s="301"/>
      <c r="G518" s="300"/>
      <c r="H518" s="294"/>
      <c r="I518" s="256"/>
      <c r="J518" s="256"/>
      <c r="K518" s="256"/>
      <c r="L518" s="257"/>
      <c r="M518" s="300"/>
      <c r="N518" s="294"/>
      <c r="O518" s="256"/>
      <c r="P518" s="256"/>
      <c r="Q518" s="256"/>
      <c r="R518" s="257"/>
      <c r="S518" s="300"/>
      <c r="T518" s="294"/>
      <c r="U518" s="256"/>
      <c r="V518" s="256"/>
      <c r="W518" s="256"/>
      <c r="X518" s="256"/>
      <c r="Y518" s="293"/>
      <c r="Z518" s="294"/>
      <c r="AA518" s="256"/>
      <c r="AB518" s="256"/>
      <c r="AC518" s="256"/>
      <c r="AD518" s="256"/>
      <c r="AE518" s="293"/>
      <c r="AF518" s="294"/>
      <c r="AG518" s="256"/>
      <c r="AH518" s="256"/>
      <c r="AI518" s="256"/>
      <c r="AJ518" s="256"/>
      <c r="AK518" s="315">
        <f>'Encargos e Benefícios'!D517</f>
        <v>0</v>
      </c>
      <c r="AL518" s="296">
        <f>IF('Encargos e Benefícios'!C517=0,0,'Encargos e Benefícios'!F517/'Encargos e Benefícios'!C517)</f>
        <v>0</v>
      </c>
      <c r="AM518" s="296">
        <f>IF('Encargos e Benefícios'!C517=0,0,'Encargos e Benefícios'!L517/'Encargos e Benefícios'!C517)</f>
        <v>0</v>
      </c>
      <c r="AN518" s="296">
        <f>IF('Encargos e Benefícios'!C517=0,0,'Encargos e Benefícios'!M517/'Encargos e Benefícios'!C517)</f>
        <v>0</v>
      </c>
      <c r="AO518" s="296"/>
    </row>
    <row r="519" spans="1:45" s="158" customFormat="1" ht="15.75" customHeight="1">
      <c r="A519" s="286">
        <v>7</v>
      </c>
      <c r="B519" s="81">
        <f>'Encargos e Benefícios'!B518</f>
        <v>0</v>
      </c>
      <c r="C519" s="287">
        <f>'Encargos e Benefícios'!C518</f>
        <v>0</v>
      </c>
      <c r="D519" s="288"/>
      <c r="E519" s="293"/>
      <c r="F519" s="301"/>
      <c r="G519" s="300"/>
      <c r="H519" s="294"/>
      <c r="I519" s="256"/>
      <c r="J519" s="256"/>
      <c r="K519" s="256"/>
      <c r="L519" s="257"/>
      <c r="M519" s="300"/>
      <c r="N519" s="294"/>
      <c r="O519" s="256"/>
      <c r="P519" s="256"/>
      <c r="Q519" s="256"/>
      <c r="R519" s="257"/>
      <c r="S519" s="300"/>
      <c r="T519" s="294"/>
      <c r="U519" s="256"/>
      <c r="V519" s="256"/>
      <c r="W519" s="256"/>
      <c r="X519" s="256"/>
      <c r="Y519" s="293"/>
      <c r="Z519" s="294"/>
      <c r="AA519" s="256"/>
      <c r="AB519" s="256"/>
      <c r="AC519" s="256"/>
      <c r="AD519" s="256"/>
      <c r="AE519" s="293"/>
      <c r="AF519" s="294"/>
      <c r="AG519" s="256"/>
      <c r="AH519" s="256"/>
      <c r="AI519" s="256"/>
      <c r="AJ519" s="256"/>
      <c r="AK519" s="315">
        <f>'Encargos e Benefícios'!D518</f>
        <v>0</v>
      </c>
      <c r="AL519" s="296">
        <f>IF('Encargos e Benefícios'!C518=0,0,'Encargos e Benefícios'!F518/'Encargos e Benefícios'!C518)</f>
        <v>0</v>
      </c>
      <c r="AM519" s="296">
        <f>IF('Encargos e Benefícios'!C518=0,0,'Encargos e Benefícios'!L518/'Encargos e Benefícios'!C518)</f>
        <v>0</v>
      </c>
      <c r="AN519" s="296">
        <f>IF('Encargos e Benefícios'!C518=0,0,'Encargos e Benefícios'!M518/'Encargos e Benefícios'!C518)</f>
        <v>0</v>
      </c>
      <c r="AO519" s="296"/>
    </row>
    <row r="520" spans="1:45" s="158" customFormat="1" ht="15.75" customHeight="1">
      <c r="A520" s="286">
        <v>8</v>
      </c>
      <c r="B520" s="81">
        <f>'Encargos e Benefícios'!B519</f>
        <v>0</v>
      </c>
      <c r="C520" s="287">
        <f>'Encargos e Benefícios'!C519</f>
        <v>0</v>
      </c>
      <c r="D520" s="288"/>
      <c r="E520" s="293"/>
      <c r="F520" s="301"/>
      <c r="G520" s="300"/>
      <c r="H520" s="294"/>
      <c r="I520" s="256"/>
      <c r="J520" s="256"/>
      <c r="K520" s="256"/>
      <c r="L520" s="257"/>
      <c r="M520" s="300"/>
      <c r="N520" s="294"/>
      <c r="O520" s="256"/>
      <c r="P520" s="256"/>
      <c r="Q520" s="256"/>
      <c r="R520" s="257"/>
      <c r="S520" s="300"/>
      <c r="T520" s="294"/>
      <c r="U520" s="256"/>
      <c r="V520" s="256"/>
      <c r="W520" s="256"/>
      <c r="X520" s="256"/>
      <c r="Y520" s="293"/>
      <c r="Z520" s="294"/>
      <c r="AA520" s="256"/>
      <c r="AB520" s="256"/>
      <c r="AC520" s="256"/>
      <c r="AD520" s="256"/>
      <c r="AE520" s="293"/>
      <c r="AF520" s="294"/>
      <c r="AG520" s="256"/>
      <c r="AH520" s="256"/>
      <c r="AI520" s="256"/>
      <c r="AJ520" s="256"/>
      <c r="AK520" s="315">
        <f>'Encargos e Benefícios'!D519</f>
        <v>0</v>
      </c>
      <c r="AL520" s="296">
        <f>IF('Encargos e Benefícios'!C519=0,0,'Encargos e Benefícios'!F519/'Encargos e Benefícios'!C519)</f>
        <v>0</v>
      </c>
      <c r="AM520" s="296">
        <f>IF('Encargos e Benefícios'!C519=0,0,'Encargos e Benefícios'!L519/'Encargos e Benefícios'!C519)</f>
        <v>0</v>
      </c>
      <c r="AN520" s="296">
        <f>IF('Encargos e Benefícios'!C519=0,0,'Encargos e Benefícios'!M519/'Encargos e Benefícios'!C519)</f>
        <v>0</v>
      </c>
      <c r="AO520" s="296"/>
    </row>
    <row r="521" spans="1:45" s="158" customFormat="1" ht="15.75" customHeight="1">
      <c r="A521" s="286">
        <v>9</v>
      </c>
      <c r="B521" s="81">
        <f>'Encargos e Benefícios'!B520</f>
        <v>0</v>
      </c>
      <c r="C521" s="287">
        <f>'Encargos e Benefícios'!C520</f>
        <v>0</v>
      </c>
      <c r="D521" s="288"/>
      <c r="E521" s="293"/>
      <c r="F521" s="301"/>
      <c r="G521" s="300"/>
      <c r="H521" s="294"/>
      <c r="I521" s="256"/>
      <c r="J521" s="256"/>
      <c r="K521" s="256"/>
      <c r="L521" s="257"/>
      <c r="M521" s="300"/>
      <c r="N521" s="294"/>
      <c r="O521" s="256"/>
      <c r="P521" s="256"/>
      <c r="Q521" s="256"/>
      <c r="R521" s="257"/>
      <c r="S521" s="300"/>
      <c r="T521" s="294"/>
      <c r="U521" s="256"/>
      <c r="V521" s="256"/>
      <c r="W521" s="256"/>
      <c r="X521" s="256"/>
      <c r="Y521" s="293"/>
      <c r="Z521" s="294"/>
      <c r="AA521" s="256"/>
      <c r="AB521" s="256"/>
      <c r="AC521" s="256"/>
      <c r="AD521" s="256"/>
      <c r="AE521" s="293"/>
      <c r="AF521" s="294"/>
      <c r="AG521" s="256"/>
      <c r="AH521" s="256"/>
      <c r="AI521" s="256"/>
      <c r="AJ521" s="256"/>
      <c r="AK521" s="315">
        <f>'Encargos e Benefícios'!D520</f>
        <v>0</v>
      </c>
      <c r="AL521" s="296">
        <f>IF('Encargos e Benefícios'!C520=0,0,'Encargos e Benefícios'!F520/'Encargos e Benefícios'!C520)</f>
        <v>0</v>
      </c>
      <c r="AM521" s="296">
        <f>IF('Encargos e Benefícios'!C520=0,0,'Encargos e Benefícios'!L520/'Encargos e Benefícios'!C520)</f>
        <v>0</v>
      </c>
      <c r="AN521" s="296">
        <f>IF('Encargos e Benefícios'!C520=0,0,'Encargos e Benefícios'!M520/'Encargos e Benefícios'!C520)</f>
        <v>0</v>
      </c>
      <c r="AO521" s="296"/>
    </row>
    <row r="522" spans="1:45" s="158" customFormat="1" ht="15.75" customHeight="1">
      <c r="A522" s="286">
        <v>10</v>
      </c>
      <c r="B522" s="81">
        <f>'Encargos e Benefícios'!B521</f>
        <v>0</v>
      </c>
      <c r="C522" s="287">
        <f>'Encargos e Benefícios'!C521</f>
        <v>0</v>
      </c>
      <c r="D522" s="288"/>
      <c r="E522" s="293"/>
      <c r="F522" s="301"/>
      <c r="G522" s="300"/>
      <c r="H522" s="304"/>
      <c r="I522" s="256"/>
      <c r="J522" s="256"/>
      <c r="K522" s="256"/>
      <c r="L522" s="305"/>
      <c r="M522" s="300"/>
      <c r="N522" s="304"/>
      <c r="O522" s="256"/>
      <c r="P522" s="256"/>
      <c r="Q522" s="256"/>
      <c r="R522" s="305"/>
      <c r="S522" s="300"/>
      <c r="T522" s="304"/>
      <c r="U522" s="256"/>
      <c r="V522" s="256"/>
      <c r="W522" s="256"/>
      <c r="X522" s="256"/>
      <c r="Y522" s="293"/>
      <c r="Z522" s="304"/>
      <c r="AA522" s="256"/>
      <c r="AB522" s="256"/>
      <c r="AC522" s="256"/>
      <c r="AD522" s="256"/>
      <c r="AE522" s="293"/>
      <c r="AF522" s="304"/>
      <c r="AG522" s="256"/>
      <c r="AH522" s="256"/>
      <c r="AI522" s="256"/>
      <c r="AJ522" s="256"/>
      <c r="AK522" s="316">
        <f>'Encargos e Benefícios'!D521</f>
        <v>0</v>
      </c>
      <c r="AL522" s="317">
        <f>IF('Encargos e Benefícios'!C521=0,0,'Encargos e Benefícios'!F521/'Encargos e Benefícios'!C521)</f>
        <v>0</v>
      </c>
      <c r="AM522" s="317">
        <f>IF('Encargos e Benefícios'!C521=0,0,'Encargos e Benefícios'!L521/'Encargos e Benefícios'!C521)</f>
        <v>0</v>
      </c>
      <c r="AN522" s="317">
        <f>IF('Encargos e Benefícios'!C521=0,0,'Encargos e Benefícios'!M521/'Encargos e Benefícios'!C521)</f>
        <v>0</v>
      </c>
      <c r="AO522" s="296"/>
    </row>
    <row r="523" spans="1:45" s="158" customFormat="1" ht="16.5" customHeight="1">
      <c r="A523" s="306"/>
      <c r="B523" s="306"/>
      <c r="C523" s="277">
        <f>SUM(C513:C522)</f>
        <v>12</v>
      </c>
      <c r="D523" s="307"/>
      <c r="E523" s="263"/>
      <c r="F523" s="261"/>
      <c r="G523" s="308"/>
      <c r="H523" s="308"/>
      <c r="I523" s="261">
        <f>SUM(I513:I522)</f>
        <v>0</v>
      </c>
      <c r="J523" s="261"/>
      <c r="K523" s="261">
        <f>SUM(K513:K522)</f>
        <v>0</v>
      </c>
      <c r="L523" s="261">
        <f>SUM(L513:L522)</f>
        <v>0</v>
      </c>
      <c r="M523" s="308"/>
      <c r="N523" s="308"/>
      <c r="O523" s="261">
        <f>SUM(O513:O522)</f>
        <v>0</v>
      </c>
      <c r="P523" s="261"/>
      <c r="Q523" s="261">
        <f>SUM(Q513:Q522)</f>
        <v>0</v>
      </c>
      <c r="R523" s="262">
        <f>SUM(R513:R522)</f>
        <v>0</v>
      </c>
      <c r="S523" s="308"/>
      <c r="T523" s="308"/>
      <c r="U523" s="261">
        <f>SUM(U513:U522)</f>
        <v>0</v>
      </c>
      <c r="V523" s="261"/>
      <c r="W523" s="261">
        <f>SUM(W513:W522)</f>
        <v>0</v>
      </c>
      <c r="X523" s="261">
        <f>SUM(X513:X522)</f>
        <v>0</v>
      </c>
      <c r="Y523" s="318"/>
      <c r="Z523" s="308"/>
      <c r="AA523" s="261">
        <f>SUM(AA513:AA522)</f>
        <v>0</v>
      </c>
      <c r="AB523" s="261"/>
      <c r="AC523" s="261">
        <f>SUM(AC513:AC522)</f>
        <v>0</v>
      </c>
      <c r="AD523" s="261">
        <f>SUM(AD513:AD522)</f>
        <v>0</v>
      </c>
      <c r="AE523" s="318"/>
      <c r="AF523" s="308"/>
      <c r="AG523" s="261">
        <f>SUM(AG513:AG522)</f>
        <v>0</v>
      </c>
      <c r="AH523" s="261"/>
      <c r="AI523" s="261">
        <f t="shared" ref="AI523:AN523" si="1">SUM(AI513:AI522)</f>
        <v>0</v>
      </c>
      <c r="AJ523" s="261">
        <f t="shared" si="1"/>
        <v>0</v>
      </c>
      <c r="AK523" s="263">
        <f t="shared" si="1"/>
        <v>2000</v>
      </c>
      <c r="AL523" s="261">
        <f t="shared" si="1"/>
        <v>0</v>
      </c>
      <c r="AM523" s="261">
        <f t="shared" si="1"/>
        <v>126.66</v>
      </c>
      <c r="AN523" s="261">
        <f t="shared" si="1"/>
        <v>2126.66</v>
      </c>
      <c r="AO523" s="296"/>
      <c r="AP523" s="268"/>
      <c r="AQ523" s="268"/>
      <c r="AS523" s="268"/>
    </row>
    <row r="524" spans="1:45" s="158" customFormat="1">
      <c r="A524" s="310"/>
      <c r="B524" s="310"/>
      <c r="C524" s="311"/>
      <c r="D524" s="312"/>
      <c r="E524" s="268"/>
      <c r="F524" s="268"/>
      <c r="G524" s="313"/>
      <c r="H524" s="313"/>
      <c r="I524" s="313"/>
      <c r="J524" s="313"/>
      <c r="K524" s="313"/>
      <c r="L524" s="313"/>
      <c r="M524" s="313"/>
      <c r="N524" s="268"/>
      <c r="O524" s="268"/>
      <c r="P524" s="268"/>
      <c r="Q524" s="268"/>
      <c r="R524" s="268"/>
      <c r="S524" s="313"/>
      <c r="T524" s="268"/>
      <c r="U524" s="268"/>
      <c r="V524" s="268"/>
      <c r="W524" s="268"/>
      <c r="X524" s="268"/>
      <c r="Y524" s="313"/>
      <c r="Z524" s="268"/>
      <c r="AA524" s="268"/>
      <c r="AB524" s="268"/>
      <c r="AC524" s="268"/>
      <c r="AD524" s="268"/>
      <c r="AE524" s="313"/>
      <c r="AF524" s="268"/>
      <c r="AG524" s="268"/>
      <c r="AH524" s="268"/>
      <c r="AI524" s="268"/>
      <c r="AJ524" s="268"/>
      <c r="AK524" s="268"/>
      <c r="AL524" s="268"/>
      <c r="AM524" s="268"/>
      <c r="AN524" s="268"/>
      <c r="AO524" s="268"/>
      <c r="AP524" s="268"/>
      <c r="AQ524" s="268"/>
      <c r="AS524" s="268"/>
    </row>
    <row r="525" spans="1:45" s="158" customFormat="1">
      <c r="A525" s="310"/>
      <c r="B525" s="310"/>
      <c r="C525" s="311"/>
      <c r="D525" s="312"/>
      <c r="E525" s="268"/>
      <c r="F525" s="268"/>
      <c r="G525" s="313"/>
      <c r="H525" s="313"/>
      <c r="I525" s="313"/>
      <c r="J525" s="313"/>
      <c r="K525" s="313"/>
      <c r="L525" s="313"/>
      <c r="M525" s="313"/>
      <c r="N525" s="268"/>
      <c r="O525" s="268"/>
      <c r="P525" s="268"/>
      <c r="Q525" s="268"/>
      <c r="R525" s="268"/>
      <c r="S525" s="313"/>
      <c r="T525" s="268"/>
      <c r="U525" s="268"/>
      <c r="V525" s="268"/>
      <c r="W525" s="268"/>
      <c r="X525" s="268"/>
      <c r="Y525" s="313"/>
      <c r="Z525" s="268"/>
      <c r="AA525" s="268"/>
      <c r="AB525" s="268"/>
      <c r="AC525" s="268"/>
      <c r="AD525" s="268"/>
      <c r="AE525" s="313"/>
      <c r="AF525" s="268"/>
      <c r="AG525" s="268"/>
      <c r="AH525" s="268"/>
      <c r="AI525" s="268"/>
      <c r="AJ525" s="268"/>
      <c r="AK525" s="268"/>
      <c r="AL525" s="268"/>
      <c r="AM525" s="268"/>
      <c r="AN525" s="268"/>
      <c r="AO525" s="268"/>
      <c r="AP525" s="268"/>
      <c r="AQ525" s="268"/>
      <c r="AS525" s="268"/>
    </row>
    <row r="526" spans="1:45" hidden="1">
      <c r="A526" s="310"/>
      <c r="B526" s="310"/>
      <c r="C526" s="311"/>
      <c r="D526" s="312"/>
      <c r="E526" s="268"/>
      <c r="F526" s="268"/>
      <c r="G526" s="313"/>
      <c r="H526" s="313"/>
      <c r="I526" s="313"/>
      <c r="J526" s="313"/>
      <c r="K526" s="313"/>
      <c r="L526" s="313"/>
      <c r="M526" s="313"/>
      <c r="N526" s="268"/>
      <c r="O526" s="268"/>
      <c r="P526" s="268"/>
      <c r="Q526" s="268"/>
      <c r="R526" s="268"/>
      <c r="S526" s="313"/>
      <c r="T526" s="268"/>
      <c r="U526" s="268"/>
      <c r="V526" s="268"/>
      <c r="W526" s="268"/>
      <c r="X526" s="268"/>
      <c r="Y526" s="313"/>
      <c r="Z526" s="268"/>
      <c r="AA526" s="268"/>
      <c r="AB526" s="268"/>
      <c r="AC526" s="268"/>
      <c r="AD526" s="268"/>
      <c r="AE526" s="313"/>
      <c r="AF526" s="268"/>
      <c r="AG526" s="268"/>
      <c r="AH526" s="268"/>
      <c r="AI526" s="268"/>
      <c r="AJ526" s="268"/>
      <c r="AK526" s="268"/>
      <c r="AL526" s="268"/>
      <c r="AM526" s="268"/>
      <c r="AN526" s="268"/>
      <c r="AO526" s="268"/>
      <c r="AP526" s="268"/>
      <c r="AQ526" s="268"/>
      <c r="AR526" s="312"/>
      <c r="AS526" s="268"/>
    </row>
    <row r="527" spans="1:45" ht="12.75" hidden="1" customHeight="1">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row>
    <row r="528" spans="1:45" ht="30.75" hidden="1" customHeight="1">
      <c r="A528" s="319" t="s">
        <v>391</v>
      </c>
      <c r="B528" s="160"/>
      <c r="C528" s="160"/>
      <c r="D528" s="119"/>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320"/>
      <c r="AL528" s="160"/>
      <c r="AM528" s="160"/>
      <c r="AN528" s="160"/>
      <c r="AO528" s="160"/>
      <c r="AP528" s="160"/>
      <c r="AQ528" s="160"/>
      <c r="AR528" s="119"/>
      <c r="AS528" s="160"/>
    </row>
    <row r="529" spans="1:62" ht="120" hidden="1" customHeight="1">
      <c r="A529" s="407"/>
      <c r="B529" s="407"/>
      <c r="C529" s="407"/>
      <c r="D529" s="407"/>
      <c r="E529" s="407"/>
      <c r="F529" s="407"/>
      <c r="G529" s="407"/>
      <c r="H529" s="407"/>
      <c r="I529" s="407"/>
      <c r="J529" s="407"/>
      <c r="K529" s="407"/>
      <c r="L529" s="407"/>
      <c r="M529" s="407"/>
      <c r="N529" s="407"/>
      <c r="O529" s="407"/>
      <c r="P529" s="407"/>
      <c r="Q529" s="407"/>
      <c r="R529" s="407"/>
      <c r="S529" s="407"/>
      <c r="T529" s="407"/>
      <c r="U529" s="407"/>
      <c r="V529" s="407"/>
      <c r="W529" s="407"/>
      <c r="X529" s="407"/>
      <c r="Y529" s="407"/>
      <c r="Z529" s="407"/>
      <c r="AA529" s="407"/>
      <c r="AB529" s="407"/>
      <c r="AC529" s="407"/>
      <c r="AD529" s="407"/>
      <c r="AE529" s="407"/>
      <c r="AF529" s="407"/>
      <c r="AG529" s="407"/>
      <c r="AH529" s="407"/>
      <c r="AI529" s="407"/>
      <c r="AJ529" s="407"/>
      <c r="AK529" s="407"/>
      <c r="AL529" s="407"/>
      <c r="AM529" s="407"/>
      <c r="AN529" s="407"/>
      <c r="AO529" s="407"/>
      <c r="AP529" s="407"/>
      <c r="AQ529" s="407"/>
      <c r="AR529" s="407"/>
      <c r="AS529" s="321"/>
    </row>
    <row r="530" spans="1:62" ht="30" hidden="1" customHeight="1">
      <c r="A530" s="322"/>
      <c r="B530" s="160"/>
      <c r="C530" s="160"/>
      <c r="D530" s="119"/>
      <c r="N530" s="160"/>
      <c r="O530" s="160"/>
      <c r="P530" s="160"/>
      <c r="Q530" s="160"/>
      <c r="R530" s="320"/>
      <c r="T530" s="160"/>
      <c r="U530" s="160"/>
      <c r="V530" s="160"/>
      <c r="W530" s="160"/>
      <c r="X530" s="320"/>
      <c r="Z530" s="160"/>
      <c r="AA530" s="160"/>
      <c r="AB530" s="160"/>
      <c r="AC530" s="160"/>
      <c r="AD530" s="320"/>
      <c r="AF530" s="160"/>
      <c r="AG530" s="160"/>
      <c r="AH530" s="160"/>
      <c r="AI530" s="160"/>
      <c r="AJ530" s="320"/>
      <c r="AK530" s="320"/>
      <c r="AL530" s="160"/>
      <c r="AM530" s="160"/>
      <c r="AN530" s="160"/>
      <c r="AO530" s="160"/>
      <c r="AP530" s="160"/>
      <c r="AQ530" s="160"/>
      <c r="AR530" s="119"/>
      <c r="AS530" s="160"/>
    </row>
    <row r="531" spans="1:62" ht="30" hidden="1" customHeight="1"/>
    <row r="532" spans="1:62" ht="30" hidden="1" customHeight="1">
      <c r="D532" s="323"/>
      <c r="I532" s="43">
        <v>1</v>
      </c>
      <c r="J532" s="43">
        <v>1</v>
      </c>
      <c r="K532" s="43">
        <v>1</v>
      </c>
      <c r="L532" s="43">
        <v>1</v>
      </c>
      <c r="O532" s="158">
        <v>2</v>
      </c>
      <c r="P532" s="158">
        <v>2</v>
      </c>
      <c r="Q532" s="158">
        <v>2</v>
      </c>
      <c r="R532" s="241">
        <v>2</v>
      </c>
      <c r="U532" s="158">
        <v>3</v>
      </c>
      <c r="V532" s="158">
        <v>3</v>
      </c>
      <c r="W532" s="158">
        <v>3</v>
      </c>
      <c r="X532" s="241">
        <v>3</v>
      </c>
      <c r="AA532" s="158">
        <v>4</v>
      </c>
      <c r="AB532" s="158">
        <v>4</v>
      </c>
      <c r="AC532" s="158">
        <v>4</v>
      </c>
      <c r="AD532" s="241">
        <v>4</v>
      </c>
      <c r="AG532" s="158">
        <v>5</v>
      </c>
      <c r="AH532" s="158">
        <v>5</v>
      </c>
      <c r="AI532" s="158">
        <v>5</v>
      </c>
      <c r="AJ532" s="241">
        <v>5</v>
      </c>
      <c r="AR532" s="323"/>
      <c r="AT532" s="241"/>
      <c r="AX532" s="241"/>
      <c r="BB532" s="241"/>
      <c r="BF532" s="241"/>
      <c r="BJ532" s="241"/>
    </row>
  </sheetData>
  <sheetProtection algorithmName="SHA-512" hashValue="gLwlf0KzoV16Is567lTSneBXOwJZxraIN38astXF9cRqNil66OWy2UUwFC5pSZAutu7gRqT1uOkx73OC5gUsrA==" saltValue="3PrHU578ufeysM9kTT3SLg==" spinCount="100000" sheet="1" objects="1" scenarios="1" formatColumns="0" formatRows="0"/>
  <mergeCells count="72">
    <mergeCell ref="A529:AR529"/>
    <mergeCell ref="AA511:AD511"/>
    <mergeCell ref="AE511:AE512"/>
    <mergeCell ref="AF511:AF512"/>
    <mergeCell ref="AG511:AJ511"/>
    <mergeCell ref="AK511:AK512"/>
    <mergeCell ref="S511:S512"/>
    <mergeCell ref="T511:T512"/>
    <mergeCell ref="U511:X511"/>
    <mergeCell ref="Y511:Y512"/>
    <mergeCell ref="Z511:Z512"/>
    <mergeCell ref="H511:H512"/>
    <mergeCell ref="I511:L511"/>
    <mergeCell ref="AP5:AP6"/>
    <mergeCell ref="AQ5:AQ6"/>
    <mergeCell ref="A509:AN509"/>
    <mergeCell ref="A510:A512"/>
    <mergeCell ref="B510:B512"/>
    <mergeCell ref="C510:C512"/>
    <mergeCell ref="D510:D512"/>
    <mergeCell ref="E510:E512"/>
    <mergeCell ref="F510:F512"/>
    <mergeCell ref="G510:L510"/>
    <mergeCell ref="M510:R510"/>
    <mergeCell ref="S510:X510"/>
    <mergeCell ref="Y510:AD510"/>
    <mergeCell ref="AL511:AL512"/>
    <mergeCell ref="AM511:AM512"/>
    <mergeCell ref="AN511:AN512"/>
    <mergeCell ref="AE510:AJ510"/>
    <mergeCell ref="AK510:AN510"/>
    <mergeCell ref="G511:G512"/>
    <mergeCell ref="AK5:AK6"/>
    <mergeCell ref="AL5:AL6"/>
    <mergeCell ref="AM5:AM6"/>
    <mergeCell ref="AN5:AN6"/>
    <mergeCell ref="AG5:AJ5"/>
    <mergeCell ref="M511:M512"/>
    <mergeCell ref="N511:N512"/>
    <mergeCell ref="O511:R511"/>
    <mergeCell ref="AO5:AO6"/>
    <mergeCell ref="AR4:AR6"/>
    <mergeCell ref="G5:G6"/>
    <mergeCell ref="H5:H6"/>
    <mergeCell ref="I5:L5"/>
    <mergeCell ref="M5:M6"/>
    <mergeCell ref="N5:N6"/>
    <mergeCell ref="O5:R5"/>
    <mergeCell ref="S5:S6"/>
    <mergeCell ref="T5:T6"/>
    <mergeCell ref="U5:X5"/>
    <mergeCell ref="Y5:Y6"/>
    <mergeCell ref="Z5:Z6"/>
    <mergeCell ref="AA5:AD5"/>
    <mergeCell ref="AE5:AE6"/>
    <mergeCell ref="AF5:AF6"/>
    <mergeCell ref="A1:AR1"/>
    <mergeCell ref="A2:AR2"/>
    <mergeCell ref="A3:AR3"/>
    <mergeCell ref="A4:A6"/>
    <mergeCell ref="B4:B6"/>
    <mergeCell ref="C4:C6"/>
    <mergeCell ref="D4:D6"/>
    <mergeCell ref="E4:E6"/>
    <mergeCell ref="F4:F6"/>
    <mergeCell ref="G4:L4"/>
    <mergeCell ref="M4:R4"/>
    <mergeCell ref="S4:X4"/>
    <mergeCell ref="Y4:AD4"/>
    <mergeCell ref="AE4:AJ4"/>
    <mergeCell ref="AK4:AN4"/>
    <mergeCell ref="AO4:AQ4"/>
  </mergeCells>
  <dataValidations count="2">
    <dataValidation type="list" allowBlank="1" showInputMessage="1" showErrorMessage="1" sqref="AR7:AR506">
      <formula1>VinculoPTp</formula1>
      <formula2>0</formula2>
    </dataValidation>
    <dataValidation allowBlank="1" showInputMessage="1" showErrorMessage="1" error="Preencher com números de 1 a 60." sqref="E7:F506">
      <formula1>0</formula1>
      <formula2>0</formula2>
    </dataValidation>
  </dataValidations>
  <pageMargins left="0.196527777777778" right="0.196527777777778" top="0.59027777777777801" bottom="0.59027777777777801" header="0.51180555555555496" footer="0"/>
  <pageSetup paperSize="9" scale="34" firstPageNumber="0" fitToHeight="0" orientation="landscape" horizontalDpi="300" verticalDpi="300" r:id="rId1"/>
  <headerFooter>
    <oddFooter>&amp;CPágina &amp;P de &amp;N</oddFooter>
  </headerFooter>
  <rowBreaks count="1" manualBreakCount="1">
    <brk id="50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3"/>
  <sheetViews>
    <sheetView showGridLines="0" zoomScaleNormal="100" zoomScalePageLayoutView="90" workbookViewId="0">
      <pane ySplit="3" topLeftCell="A4" activePane="bottomLeft" state="frozen"/>
      <selection pane="bottomLeft" activeCell="A4" sqref="A4:A325"/>
    </sheetView>
  </sheetViews>
  <sheetFormatPr defaultColWidth="9" defaultRowHeight="12.75"/>
  <cols>
    <col min="1" max="1" width="5.5703125" customWidth="1"/>
    <col min="2" max="2" width="43.5703125" customWidth="1"/>
    <col min="3" max="3" width="60" customWidth="1"/>
    <col min="4" max="4" width="8.42578125" style="324" customWidth="1"/>
    <col min="5" max="5" width="9.85546875" customWidth="1"/>
    <col min="6" max="6" width="11.5703125" customWidth="1"/>
    <col min="7" max="7" width="14.28515625" customWidth="1"/>
    <col min="8" max="8" width="40.7109375" customWidth="1"/>
  </cols>
  <sheetData>
    <row r="1" spans="1:22" ht="33"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c r="I1" s="325"/>
      <c r="J1" s="325"/>
      <c r="K1" s="325"/>
      <c r="L1" s="325"/>
      <c r="M1" s="325"/>
      <c r="N1" s="325"/>
      <c r="O1" s="325"/>
      <c r="P1" s="325"/>
      <c r="Q1" s="325"/>
      <c r="R1" s="325"/>
      <c r="S1" s="325"/>
      <c r="T1" s="325"/>
      <c r="U1" s="325"/>
      <c r="V1" s="325"/>
    </row>
    <row r="2" spans="1:22" ht="23.25" customHeight="1">
      <c r="A2" s="385" t="s">
        <v>392</v>
      </c>
      <c r="B2" s="385"/>
      <c r="C2" s="385"/>
      <c r="D2" s="385"/>
      <c r="E2" s="385"/>
      <c r="F2" s="385"/>
      <c r="G2" s="385"/>
      <c r="H2" s="385"/>
      <c r="I2" s="325"/>
      <c r="J2" s="325"/>
      <c r="K2" s="325"/>
      <c r="L2" s="325"/>
      <c r="M2" s="325"/>
      <c r="N2" s="325"/>
      <c r="O2" s="325"/>
      <c r="P2" s="325"/>
      <c r="Q2" s="325"/>
      <c r="R2" s="325"/>
      <c r="S2" s="325"/>
      <c r="T2" s="325"/>
      <c r="U2" s="325"/>
      <c r="V2" s="325"/>
    </row>
    <row r="3" spans="1:22" ht="31.5" customHeight="1">
      <c r="A3" s="326" t="s">
        <v>393</v>
      </c>
      <c r="B3" s="327" t="s">
        <v>394</v>
      </c>
      <c r="C3" s="328" t="s">
        <v>395</v>
      </c>
      <c r="D3" s="328" t="s">
        <v>396</v>
      </c>
      <c r="E3" s="327" t="s">
        <v>397</v>
      </c>
      <c r="F3" s="329" t="s">
        <v>398</v>
      </c>
      <c r="G3" s="328" t="s">
        <v>60</v>
      </c>
      <c r="H3" s="327" t="s">
        <v>399</v>
      </c>
    </row>
    <row r="4" spans="1:22" s="30" customFormat="1" ht="48">
      <c r="A4" s="330">
        <v>1</v>
      </c>
      <c r="B4" s="330" t="s">
        <v>325</v>
      </c>
      <c r="C4" s="330" t="s">
        <v>462</v>
      </c>
      <c r="D4" s="331">
        <v>45261</v>
      </c>
      <c r="E4" s="332">
        <v>1925</v>
      </c>
      <c r="F4" s="333">
        <v>16</v>
      </c>
      <c r="G4" s="334">
        <f t="shared" ref="G4:G35" si="0">F4*E4</f>
        <v>30800</v>
      </c>
      <c r="H4" s="330" t="s">
        <v>522</v>
      </c>
    </row>
    <row r="5" spans="1:22" s="30" customFormat="1" ht="48">
      <c r="A5" s="330">
        <v>2</v>
      </c>
      <c r="B5" s="330" t="s">
        <v>327</v>
      </c>
      <c r="C5" s="330" t="s">
        <v>463</v>
      </c>
      <c r="D5" s="331">
        <v>45261</v>
      </c>
      <c r="E5" s="332">
        <v>2500</v>
      </c>
      <c r="F5" s="333">
        <v>44</v>
      </c>
      <c r="G5" s="334">
        <f t="shared" si="0"/>
        <v>110000</v>
      </c>
      <c r="H5" s="330" t="s">
        <v>522</v>
      </c>
    </row>
    <row r="6" spans="1:22" s="30" customFormat="1" ht="48">
      <c r="A6" s="330">
        <v>3</v>
      </c>
      <c r="B6" s="330" t="s">
        <v>327</v>
      </c>
      <c r="C6" s="330" t="s">
        <v>464</v>
      </c>
      <c r="D6" s="331">
        <v>45261</v>
      </c>
      <c r="E6" s="332">
        <v>2500</v>
      </c>
      <c r="F6" s="333">
        <v>4</v>
      </c>
      <c r="G6" s="334">
        <f t="shared" si="0"/>
        <v>10000</v>
      </c>
      <c r="H6" s="330" t="s">
        <v>522</v>
      </c>
    </row>
    <row r="7" spans="1:22" s="30" customFormat="1" ht="48">
      <c r="A7" s="330">
        <v>4</v>
      </c>
      <c r="B7" s="330" t="s">
        <v>327</v>
      </c>
      <c r="C7" s="330" t="s">
        <v>465</v>
      </c>
      <c r="D7" s="331">
        <v>45261</v>
      </c>
      <c r="E7" s="332">
        <v>900</v>
      </c>
      <c r="F7" s="333">
        <v>4</v>
      </c>
      <c r="G7" s="334">
        <f t="shared" si="0"/>
        <v>3600</v>
      </c>
      <c r="H7" s="330" t="s">
        <v>522</v>
      </c>
    </row>
    <row r="8" spans="1:22" s="30" customFormat="1" ht="48">
      <c r="A8" s="330">
        <v>5</v>
      </c>
      <c r="B8" s="330" t="s">
        <v>327</v>
      </c>
      <c r="C8" s="330" t="s">
        <v>466</v>
      </c>
      <c r="D8" s="331">
        <v>45261</v>
      </c>
      <c r="E8" s="332">
        <v>580</v>
      </c>
      <c r="F8" s="333">
        <v>4</v>
      </c>
      <c r="G8" s="334">
        <f t="shared" si="0"/>
        <v>2320</v>
      </c>
      <c r="H8" s="330" t="s">
        <v>522</v>
      </c>
    </row>
    <row r="9" spans="1:22" s="30" customFormat="1" ht="48">
      <c r="A9" s="330">
        <v>6</v>
      </c>
      <c r="B9" s="330" t="s">
        <v>327</v>
      </c>
      <c r="C9" s="330" t="s">
        <v>528</v>
      </c>
      <c r="D9" s="331">
        <v>45261</v>
      </c>
      <c r="E9" s="332">
        <v>400</v>
      </c>
      <c r="F9" s="333">
        <v>4</v>
      </c>
      <c r="G9" s="334">
        <f t="shared" si="0"/>
        <v>1600</v>
      </c>
      <c r="H9" s="330" t="s">
        <v>522</v>
      </c>
    </row>
    <row r="10" spans="1:22" s="30" customFormat="1" ht="48">
      <c r="A10" s="330">
        <v>7</v>
      </c>
      <c r="B10" s="330" t="s">
        <v>327</v>
      </c>
      <c r="C10" s="375" t="s">
        <v>492</v>
      </c>
      <c r="D10" s="331">
        <v>45689</v>
      </c>
      <c r="E10" s="332">
        <v>2500</v>
      </c>
      <c r="F10" s="333">
        <v>4</v>
      </c>
      <c r="G10" s="334">
        <f t="shared" si="0"/>
        <v>10000</v>
      </c>
      <c r="H10" s="330" t="s">
        <v>522</v>
      </c>
    </row>
    <row r="11" spans="1:22" s="30" customFormat="1" ht="48">
      <c r="A11" s="330">
        <v>8</v>
      </c>
      <c r="B11" s="330" t="s">
        <v>327</v>
      </c>
      <c r="C11" s="330" t="s">
        <v>627</v>
      </c>
      <c r="D11" s="331">
        <v>45261</v>
      </c>
      <c r="E11" s="332">
        <v>1999</v>
      </c>
      <c r="F11" s="333">
        <v>4</v>
      </c>
      <c r="G11" s="334">
        <f t="shared" si="0"/>
        <v>7996</v>
      </c>
      <c r="H11" s="330" t="s">
        <v>522</v>
      </c>
    </row>
    <row r="12" spans="1:22" s="30" customFormat="1" ht="48">
      <c r="A12" s="330">
        <v>9</v>
      </c>
      <c r="B12" s="330" t="s">
        <v>327</v>
      </c>
      <c r="C12" s="330" t="s">
        <v>493</v>
      </c>
      <c r="D12" s="331">
        <v>45689</v>
      </c>
      <c r="E12" s="332">
        <v>900</v>
      </c>
      <c r="F12" s="333">
        <v>4</v>
      </c>
      <c r="G12" s="334">
        <f t="shared" si="0"/>
        <v>3600</v>
      </c>
      <c r="H12" s="330" t="s">
        <v>522</v>
      </c>
    </row>
    <row r="13" spans="1:22" s="30" customFormat="1" ht="48">
      <c r="A13" s="330">
        <v>10</v>
      </c>
      <c r="B13" s="330" t="s">
        <v>327</v>
      </c>
      <c r="C13" s="330" t="s">
        <v>625</v>
      </c>
      <c r="D13" s="331">
        <v>45261</v>
      </c>
      <c r="E13" s="332">
        <v>1300</v>
      </c>
      <c r="F13" s="333">
        <v>4</v>
      </c>
      <c r="G13" s="334">
        <f t="shared" si="0"/>
        <v>5200</v>
      </c>
      <c r="H13" s="330" t="s">
        <v>522</v>
      </c>
    </row>
    <row r="14" spans="1:22" s="30" customFormat="1" ht="36">
      <c r="A14" s="330">
        <v>11</v>
      </c>
      <c r="B14" s="330" t="s">
        <v>333</v>
      </c>
      <c r="C14" s="330" t="s">
        <v>467</v>
      </c>
      <c r="D14" s="331">
        <v>45261</v>
      </c>
      <c r="E14" s="332">
        <v>1400</v>
      </c>
      <c r="F14" s="333">
        <v>6</v>
      </c>
      <c r="G14" s="334">
        <f t="shared" si="0"/>
        <v>8400</v>
      </c>
      <c r="H14" s="330" t="s">
        <v>523</v>
      </c>
    </row>
    <row r="15" spans="1:22" s="30" customFormat="1" ht="48">
      <c r="A15" s="330">
        <v>12</v>
      </c>
      <c r="B15" s="330" t="s">
        <v>333</v>
      </c>
      <c r="C15" s="330" t="s">
        <v>468</v>
      </c>
      <c r="D15" s="331">
        <v>45261</v>
      </c>
      <c r="E15" s="332">
        <v>1800</v>
      </c>
      <c r="F15" s="333">
        <v>6</v>
      </c>
      <c r="G15" s="334">
        <f t="shared" si="0"/>
        <v>10800</v>
      </c>
      <c r="H15" s="330" t="s">
        <v>524</v>
      </c>
    </row>
    <row r="16" spans="1:22" s="30" customFormat="1" ht="48">
      <c r="A16" s="330">
        <v>13</v>
      </c>
      <c r="B16" s="330" t="s">
        <v>335</v>
      </c>
      <c r="C16" s="330" t="s">
        <v>469</v>
      </c>
      <c r="D16" s="331">
        <v>45261</v>
      </c>
      <c r="E16" s="332">
        <v>350</v>
      </c>
      <c r="F16" s="333">
        <v>20</v>
      </c>
      <c r="G16" s="334">
        <f t="shared" si="0"/>
        <v>7000</v>
      </c>
      <c r="H16" s="330" t="s">
        <v>525</v>
      </c>
    </row>
    <row r="17" spans="1:8" s="30" customFormat="1" ht="48">
      <c r="A17" s="330">
        <v>14</v>
      </c>
      <c r="B17" s="330" t="s">
        <v>335</v>
      </c>
      <c r="C17" s="330" t="s">
        <v>470</v>
      </c>
      <c r="D17" s="331">
        <v>45261</v>
      </c>
      <c r="E17" s="332">
        <v>310</v>
      </c>
      <c r="F17" s="333">
        <v>16</v>
      </c>
      <c r="G17" s="334">
        <f t="shared" si="0"/>
        <v>4960</v>
      </c>
      <c r="H17" s="330" t="s">
        <v>525</v>
      </c>
    </row>
    <row r="18" spans="1:8" s="30" customFormat="1" ht="48">
      <c r="A18" s="330">
        <v>15</v>
      </c>
      <c r="B18" s="330" t="s">
        <v>335</v>
      </c>
      <c r="C18" s="330" t="s">
        <v>471</v>
      </c>
      <c r="D18" s="331">
        <v>45261</v>
      </c>
      <c r="E18" s="332">
        <v>1100</v>
      </c>
      <c r="F18" s="333">
        <v>8</v>
      </c>
      <c r="G18" s="334">
        <f t="shared" si="0"/>
        <v>8800</v>
      </c>
      <c r="H18" s="330" t="s">
        <v>525</v>
      </c>
    </row>
    <row r="19" spans="1:8" s="30" customFormat="1" ht="48">
      <c r="A19" s="330">
        <v>16</v>
      </c>
      <c r="B19" s="330" t="s">
        <v>335</v>
      </c>
      <c r="C19" s="330" t="s">
        <v>472</v>
      </c>
      <c r="D19" s="331">
        <v>45261</v>
      </c>
      <c r="E19" s="332">
        <v>400</v>
      </c>
      <c r="F19" s="333">
        <v>8</v>
      </c>
      <c r="G19" s="334">
        <f t="shared" si="0"/>
        <v>3200</v>
      </c>
      <c r="H19" s="330" t="s">
        <v>525</v>
      </c>
    </row>
    <row r="20" spans="1:8" s="30" customFormat="1" ht="48">
      <c r="A20" s="330">
        <v>17</v>
      </c>
      <c r="B20" s="330" t="s">
        <v>335</v>
      </c>
      <c r="C20" s="330" t="s">
        <v>473</v>
      </c>
      <c r="D20" s="331">
        <v>45261</v>
      </c>
      <c r="E20" s="332">
        <v>700</v>
      </c>
      <c r="F20" s="333">
        <v>4</v>
      </c>
      <c r="G20" s="334">
        <f t="shared" si="0"/>
        <v>2800</v>
      </c>
      <c r="H20" s="330" t="s">
        <v>525</v>
      </c>
    </row>
    <row r="21" spans="1:8" s="30" customFormat="1" ht="48">
      <c r="A21" s="330">
        <v>18</v>
      </c>
      <c r="B21" s="330" t="s">
        <v>335</v>
      </c>
      <c r="C21" s="330" t="s">
        <v>474</v>
      </c>
      <c r="D21" s="331">
        <v>45261</v>
      </c>
      <c r="E21" s="332">
        <v>480</v>
      </c>
      <c r="F21" s="333">
        <v>16</v>
      </c>
      <c r="G21" s="334">
        <f t="shared" si="0"/>
        <v>7680</v>
      </c>
      <c r="H21" s="330" t="s">
        <v>525</v>
      </c>
    </row>
    <row r="22" spans="1:8" s="30" customFormat="1" ht="48">
      <c r="A22" s="330">
        <v>19</v>
      </c>
      <c r="B22" s="330" t="s">
        <v>335</v>
      </c>
      <c r="C22" s="330" t="s">
        <v>475</v>
      </c>
      <c r="D22" s="331">
        <v>45261</v>
      </c>
      <c r="E22" s="332">
        <v>200</v>
      </c>
      <c r="F22" s="333">
        <v>8</v>
      </c>
      <c r="G22" s="334">
        <f t="shared" si="0"/>
        <v>1600</v>
      </c>
      <c r="H22" s="330" t="s">
        <v>525</v>
      </c>
    </row>
    <row r="23" spans="1:8" s="30" customFormat="1" ht="48">
      <c r="A23" s="330">
        <v>20</v>
      </c>
      <c r="B23" s="330" t="s">
        <v>335</v>
      </c>
      <c r="C23" s="377" t="s">
        <v>555</v>
      </c>
      <c r="D23" s="331">
        <v>45261</v>
      </c>
      <c r="E23" s="332">
        <v>1100</v>
      </c>
      <c r="F23" s="333">
        <v>16</v>
      </c>
      <c r="G23" s="334">
        <f t="shared" si="0"/>
        <v>17600</v>
      </c>
      <c r="H23" s="330" t="s">
        <v>525</v>
      </c>
    </row>
    <row r="24" spans="1:8" s="30" customFormat="1" ht="48">
      <c r="A24" s="330">
        <v>21</v>
      </c>
      <c r="B24" s="330" t="s">
        <v>335</v>
      </c>
      <c r="C24" s="330" t="s">
        <v>476</v>
      </c>
      <c r="D24" s="331">
        <v>45261</v>
      </c>
      <c r="E24" s="332">
        <v>900</v>
      </c>
      <c r="F24" s="333">
        <v>20</v>
      </c>
      <c r="G24" s="334">
        <f t="shared" si="0"/>
        <v>18000</v>
      </c>
      <c r="H24" s="330" t="s">
        <v>525</v>
      </c>
    </row>
    <row r="25" spans="1:8" s="30" customFormat="1" ht="48">
      <c r="A25" s="330">
        <v>22</v>
      </c>
      <c r="B25" s="330" t="s">
        <v>335</v>
      </c>
      <c r="C25" s="330" t="s">
        <v>477</v>
      </c>
      <c r="D25" s="331">
        <v>45261</v>
      </c>
      <c r="E25" s="332">
        <v>1200</v>
      </c>
      <c r="F25" s="333">
        <v>20</v>
      </c>
      <c r="G25" s="334">
        <f t="shared" si="0"/>
        <v>24000</v>
      </c>
      <c r="H25" s="330" t="s">
        <v>525</v>
      </c>
    </row>
    <row r="26" spans="1:8" s="30" customFormat="1" ht="48">
      <c r="A26" s="330">
        <v>23</v>
      </c>
      <c r="B26" s="330" t="s">
        <v>335</v>
      </c>
      <c r="C26" s="330" t="s">
        <v>478</v>
      </c>
      <c r="D26" s="331">
        <v>45261</v>
      </c>
      <c r="E26" s="332">
        <v>2100</v>
      </c>
      <c r="F26" s="333">
        <v>24</v>
      </c>
      <c r="G26" s="334">
        <f t="shared" si="0"/>
        <v>50400</v>
      </c>
      <c r="H26" s="330" t="s">
        <v>525</v>
      </c>
    </row>
    <row r="27" spans="1:8" s="30" customFormat="1" ht="48">
      <c r="A27" s="330">
        <v>24</v>
      </c>
      <c r="B27" s="330" t="s">
        <v>335</v>
      </c>
      <c r="C27" s="330" t="s">
        <v>479</v>
      </c>
      <c r="D27" s="331">
        <v>45261</v>
      </c>
      <c r="E27" s="332">
        <v>400</v>
      </c>
      <c r="F27" s="333">
        <v>20</v>
      </c>
      <c r="G27" s="334">
        <f>F27*E27</f>
        <v>8000</v>
      </c>
      <c r="H27" s="330" t="s">
        <v>525</v>
      </c>
    </row>
    <row r="28" spans="1:8" s="30" customFormat="1" ht="48">
      <c r="A28" s="330">
        <v>25</v>
      </c>
      <c r="B28" s="330" t="s">
        <v>335</v>
      </c>
      <c r="C28" s="330" t="s">
        <v>480</v>
      </c>
      <c r="D28" s="331">
        <v>45261</v>
      </c>
      <c r="E28" s="332">
        <v>800</v>
      </c>
      <c r="F28" s="333">
        <v>12</v>
      </c>
      <c r="G28" s="334">
        <f t="shared" si="0"/>
        <v>9600</v>
      </c>
      <c r="H28" s="330" t="s">
        <v>525</v>
      </c>
    </row>
    <row r="29" spans="1:8" s="30" customFormat="1" ht="48">
      <c r="A29" s="330">
        <v>26</v>
      </c>
      <c r="B29" s="330" t="s">
        <v>335</v>
      </c>
      <c r="C29" s="330" t="s">
        <v>481</v>
      </c>
      <c r="D29" s="331">
        <v>45261</v>
      </c>
      <c r="E29" s="332">
        <v>200</v>
      </c>
      <c r="F29" s="333">
        <v>60</v>
      </c>
      <c r="G29" s="334">
        <f t="shared" si="0"/>
        <v>12000</v>
      </c>
      <c r="H29" s="330" t="s">
        <v>525</v>
      </c>
    </row>
    <row r="30" spans="1:8" s="30" customFormat="1" ht="48">
      <c r="A30" s="330">
        <v>27</v>
      </c>
      <c r="B30" s="330" t="s">
        <v>335</v>
      </c>
      <c r="C30" s="330" t="s">
        <v>482</v>
      </c>
      <c r="D30" s="331">
        <v>45261</v>
      </c>
      <c r="E30" s="332">
        <v>479</v>
      </c>
      <c r="F30" s="333">
        <v>20</v>
      </c>
      <c r="G30" s="334">
        <f t="shared" si="0"/>
        <v>9580</v>
      </c>
      <c r="H30" s="330" t="s">
        <v>525</v>
      </c>
    </row>
    <row r="31" spans="1:8" s="30" customFormat="1" ht="48">
      <c r="A31" s="330">
        <v>28</v>
      </c>
      <c r="B31" s="330" t="s">
        <v>335</v>
      </c>
      <c r="C31" s="330" t="s">
        <v>483</v>
      </c>
      <c r="D31" s="331">
        <v>45261</v>
      </c>
      <c r="E31" s="332">
        <v>1500</v>
      </c>
      <c r="F31" s="333">
        <v>30</v>
      </c>
      <c r="G31" s="334">
        <f t="shared" si="0"/>
        <v>45000</v>
      </c>
      <c r="H31" s="330" t="s">
        <v>525</v>
      </c>
    </row>
    <row r="32" spans="1:8" s="30" customFormat="1" ht="48">
      <c r="A32" s="330">
        <v>29</v>
      </c>
      <c r="B32" s="330" t="s">
        <v>335</v>
      </c>
      <c r="C32" s="330" t="s">
        <v>487</v>
      </c>
      <c r="D32" s="331">
        <v>45261</v>
      </c>
      <c r="E32" s="332">
        <v>150</v>
      </c>
      <c r="F32" s="333">
        <v>21</v>
      </c>
      <c r="G32" s="334">
        <f t="shared" si="0"/>
        <v>3150</v>
      </c>
      <c r="H32" s="330" t="s">
        <v>525</v>
      </c>
    </row>
    <row r="33" spans="1:8" s="30" customFormat="1" ht="48">
      <c r="A33" s="330">
        <v>30</v>
      </c>
      <c r="B33" s="330" t="s">
        <v>335</v>
      </c>
      <c r="C33" s="330" t="s">
        <v>488</v>
      </c>
      <c r="D33" s="331">
        <v>45261</v>
      </c>
      <c r="E33" s="332">
        <v>100</v>
      </c>
      <c r="F33" s="333">
        <v>84</v>
      </c>
      <c r="G33" s="334">
        <f t="shared" si="0"/>
        <v>8400</v>
      </c>
      <c r="H33" s="330" t="s">
        <v>525</v>
      </c>
    </row>
    <row r="34" spans="1:8" s="30" customFormat="1" ht="48">
      <c r="A34" s="330">
        <v>31</v>
      </c>
      <c r="B34" s="330" t="s">
        <v>335</v>
      </c>
      <c r="C34" s="330" t="s">
        <v>489</v>
      </c>
      <c r="D34" s="331">
        <v>45261</v>
      </c>
      <c r="E34" s="332">
        <v>2100</v>
      </c>
      <c r="F34" s="333">
        <v>8</v>
      </c>
      <c r="G34" s="334">
        <f t="shared" si="0"/>
        <v>16800</v>
      </c>
      <c r="H34" s="330" t="s">
        <v>525</v>
      </c>
    </row>
    <row r="35" spans="1:8" s="30" customFormat="1" ht="48">
      <c r="A35" s="330">
        <v>32</v>
      </c>
      <c r="B35" s="330" t="s">
        <v>335</v>
      </c>
      <c r="C35" s="330" t="s">
        <v>514</v>
      </c>
      <c r="D35" s="331">
        <v>45261</v>
      </c>
      <c r="E35" s="332">
        <v>180</v>
      </c>
      <c r="F35" s="333">
        <v>24</v>
      </c>
      <c r="G35" s="334">
        <f t="shared" si="0"/>
        <v>4320</v>
      </c>
      <c r="H35" s="330" t="s">
        <v>525</v>
      </c>
    </row>
    <row r="36" spans="1:8" s="30" customFormat="1" ht="48">
      <c r="A36" s="330">
        <v>33</v>
      </c>
      <c r="B36" s="330" t="s">
        <v>335</v>
      </c>
      <c r="C36" s="330" t="s">
        <v>515</v>
      </c>
      <c r="D36" s="331">
        <v>45261</v>
      </c>
      <c r="E36" s="332">
        <v>130</v>
      </c>
      <c r="F36" s="333">
        <v>24</v>
      </c>
      <c r="G36" s="334">
        <f t="shared" ref="G36:G70" si="1">F36*E36</f>
        <v>3120</v>
      </c>
      <c r="H36" s="330" t="s">
        <v>525</v>
      </c>
    </row>
    <row r="37" spans="1:8" s="30" customFormat="1" ht="48">
      <c r="A37" s="330">
        <v>34</v>
      </c>
      <c r="B37" s="330" t="s">
        <v>335</v>
      </c>
      <c r="C37" s="330" t="s">
        <v>516</v>
      </c>
      <c r="D37" s="331">
        <v>45261</v>
      </c>
      <c r="E37" s="332">
        <v>800</v>
      </c>
      <c r="F37" s="333">
        <v>16</v>
      </c>
      <c r="G37" s="334">
        <f t="shared" si="1"/>
        <v>12800</v>
      </c>
      <c r="H37" s="330" t="s">
        <v>525</v>
      </c>
    </row>
    <row r="38" spans="1:8" s="30" customFormat="1" ht="48">
      <c r="A38" s="330">
        <v>35</v>
      </c>
      <c r="B38" s="330" t="s">
        <v>335</v>
      </c>
      <c r="C38" s="330" t="s">
        <v>517</v>
      </c>
      <c r="D38" s="331">
        <v>45261</v>
      </c>
      <c r="E38" s="332">
        <v>1250</v>
      </c>
      <c r="F38" s="333">
        <v>4</v>
      </c>
      <c r="G38" s="334">
        <f t="shared" si="1"/>
        <v>5000</v>
      </c>
      <c r="H38" s="330" t="s">
        <v>525</v>
      </c>
    </row>
    <row r="39" spans="1:8" s="30" customFormat="1" ht="48">
      <c r="A39" s="330">
        <v>36</v>
      </c>
      <c r="B39" s="330" t="s">
        <v>343</v>
      </c>
      <c r="C39" s="330" t="s">
        <v>526</v>
      </c>
      <c r="D39" s="331">
        <v>45261</v>
      </c>
      <c r="E39" s="332">
        <v>200</v>
      </c>
      <c r="F39" s="333">
        <v>90</v>
      </c>
      <c r="G39" s="334">
        <f t="shared" si="1"/>
        <v>18000</v>
      </c>
      <c r="H39" s="330" t="s">
        <v>619</v>
      </c>
    </row>
    <row r="40" spans="1:8" s="30" customFormat="1" ht="48">
      <c r="A40" s="330">
        <v>37</v>
      </c>
      <c r="B40" s="330" t="s">
        <v>343</v>
      </c>
      <c r="C40" s="330" t="s">
        <v>494</v>
      </c>
      <c r="D40" s="331">
        <v>45261</v>
      </c>
      <c r="E40" s="332">
        <v>2000</v>
      </c>
      <c r="F40" s="333">
        <v>6</v>
      </c>
      <c r="G40" s="334">
        <f t="shared" si="1"/>
        <v>12000</v>
      </c>
      <c r="H40" s="330" t="s">
        <v>619</v>
      </c>
    </row>
    <row r="41" spans="1:8" s="30" customFormat="1" ht="48">
      <c r="A41" s="330">
        <v>38</v>
      </c>
      <c r="B41" s="330" t="s">
        <v>343</v>
      </c>
      <c r="C41" s="330" t="s">
        <v>495</v>
      </c>
      <c r="D41" s="331">
        <v>45689</v>
      </c>
      <c r="E41" s="332">
        <v>6000</v>
      </c>
      <c r="F41" s="333">
        <v>12</v>
      </c>
      <c r="G41" s="334">
        <f t="shared" si="1"/>
        <v>72000</v>
      </c>
      <c r="H41" s="330" t="s">
        <v>525</v>
      </c>
    </row>
    <row r="42" spans="1:8" s="30" customFormat="1" ht="48">
      <c r="A42" s="330">
        <v>39</v>
      </c>
      <c r="B42" s="330" t="s">
        <v>343</v>
      </c>
      <c r="C42" s="330" t="s">
        <v>626</v>
      </c>
      <c r="D42" s="331">
        <v>45689</v>
      </c>
      <c r="E42" s="332">
        <v>1000</v>
      </c>
      <c r="F42" s="333">
        <v>24</v>
      </c>
      <c r="G42" s="334">
        <f t="shared" si="1"/>
        <v>24000</v>
      </c>
      <c r="H42" s="330" t="s">
        <v>525</v>
      </c>
    </row>
    <row r="43" spans="1:8" s="30" customFormat="1" ht="48">
      <c r="A43" s="330">
        <v>40</v>
      </c>
      <c r="B43" s="330" t="s">
        <v>343</v>
      </c>
      <c r="C43" s="330" t="s">
        <v>529</v>
      </c>
      <c r="D43" s="331">
        <v>45689</v>
      </c>
      <c r="E43" s="332">
        <v>2000</v>
      </c>
      <c r="F43" s="333">
        <v>17</v>
      </c>
      <c r="G43" s="334">
        <f t="shared" si="1"/>
        <v>34000</v>
      </c>
      <c r="H43" s="330" t="s">
        <v>671</v>
      </c>
    </row>
    <row r="44" spans="1:8" s="30" customFormat="1" ht="24">
      <c r="A44" s="330">
        <v>41</v>
      </c>
      <c r="B44" s="330" t="s">
        <v>343</v>
      </c>
      <c r="C44" s="330" t="s">
        <v>529</v>
      </c>
      <c r="D44" s="331">
        <v>45689</v>
      </c>
      <c r="E44" s="332">
        <v>2000</v>
      </c>
      <c r="F44" s="333">
        <v>2</v>
      </c>
      <c r="G44" s="334">
        <f t="shared" si="1"/>
        <v>4000</v>
      </c>
      <c r="H44" s="330" t="s">
        <v>722</v>
      </c>
    </row>
    <row r="45" spans="1:8" s="30" customFormat="1" ht="36">
      <c r="A45" s="330">
        <v>42</v>
      </c>
      <c r="B45" s="330" t="s">
        <v>343</v>
      </c>
      <c r="C45" s="330" t="s">
        <v>530</v>
      </c>
      <c r="D45" s="331">
        <v>45261</v>
      </c>
      <c r="E45" s="332">
        <v>849</v>
      </c>
      <c r="F45" s="333">
        <v>17</v>
      </c>
      <c r="G45" s="334">
        <f t="shared" si="1"/>
        <v>14433</v>
      </c>
      <c r="H45" s="330" t="s">
        <v>672</v>
      </c>
    </row>
    <row r="46" spans="1:8" s="30" customFormat="1" ht="36">
      <c r="A46" s="330">
        <v>43</v>
      </c>
      <c r="B46" s="330" t="s">
        <v>343</v>
      </c>
      <c r="C46" s="330" t="s">
        <v>530</v>
      </c>
      <c r="D46" s="331">
        <v>45658</v>
      </c>
      <c r="E46" s="332">
        <v>849</v>
      </c>
      <c r="F46" s="333">
        <v>2</v>
      </c>
      <c r="G46" s="334">
        <f t="shared" si="1"/>
        <v>1698</v>
      </c>
      <c r="H46" s="330" t="s">
        <v>672</v>
      </c>
    </row>
    <row r="47" spans="1:8" s="30" customFormat="1" ht="48">
      <c r="A47" s="330">
        <v>44</v>
      </c>
      <c r="B47" s="330" t="s">
        <v>329</v>
      </c>
      <c r="C47" s="330" t="s">
        <v>531</v>
      </c>
      <c r="D47" s="331">
        <v>45261</v>
      </c>
      <c r="E47" s="332">
        <v>650</v>
      </c>
      <c r="F47" s="333">
        <v>4</v>
      </c>
      <c r="G47" s="334">
        <f t="shared" si="1"/>
        <v>2600</v>
      </c>
      <c r="H47" s="330" t="s">
        <v>525</v>
      </c>
    </row>
    <row r="48" spans="1:8" s="30" customFormat="1" ht="48">
      <c r="A48" s="330">
        <v>45</v>
      </c>
      <c r="B48" s="330" t="s">
        <v>349</v>
      </c>
      <c r="C48" s="330" t="s">
        <v>533</v>
      </c>
      <c r="D48" s="331">
        <v>45261</v>
      </c>
      <c r="E48" s="332">
        <v>2800</v>
      </c>
      <c r="F48" s="333">
        <v>8</v>
      </c>
      <c r="G48" s="334">
        <f t="shared" si="1"/>
        <v>22400</v>
      </c>
      <c r="H48" s="330" t="s">
        <v>525</v>
      </c>
    </row>
    <row r="49" spans="1:8" s="30" customFormat="1" ht="48">
      <c r="A49" s="330">
        <v>46</v>
      </c>
      <c r="B49" s="330" t="s">
        <v>349</v>
      </c>
      <c r="C49" s="330" t="s">
        <v>532</v>
      </c>
      <c r="D49" s="331">
        <v>45261</v>
      </c>
      <c r="E49" s="332">
        <v>929</v>
      </c>
      <c r="F49" s="333">
        <v>4</v>
      </c>
      <c r="G49" s="334">
        <f t="shared" si="1"/>
        <v>3716</v>
      </c>
      <c r="H49" s="330" t="s">
        <v>673</v>
      </c>
    </row>
    <row r="50" spans="1:8" s="30" customFormat="1" ht="36">
      <c r="A50" s="330">
        <v>47</v>
      </c>
      <c r="B50" s="330" t="s">
        <v>349</v>
      </c>
      <c r="C50" s="377" t="s">
        <v>556</v>
      </c>
      <c r="D50" s="331">
        <v>45261</v>
      </c>
      <c r="E50" s="332">
        <v>330</v>
      </c>
      <c r="F50" s="333">
        <v>12</v>
      </c>
      <c r="G50" s="334">
        <f t="shared" si="1"/>
        <v>3960</v>
      </c>
      <c r="H50" s="330" t="s">
        <v>674</v>
      </c>
    </row>
    <row r="51" spans="1:8" s="30" customFormat="1" ht="36">
      <c r="A51" s="330">
        <v>48</v>
      </c>
      <c r="B51" s="330" t="s">
        <v>349</v>
      </c>
      <c r="C51" s="330" t="s">
        <v>534</v>
      </c>
      <c r="D51" s="331">
        <v>45261</v>
      </c>
      <c r="E51" s="332">
        <v>2800</v>
      </c>
      <c r="F51" s="333">
        <v>4</v>
      </c>
      <c r="G51" s="334">
        <f t="shared" si="1"/>
        <v>11200</v>
      </c>
      <c r="H51" s="330" t="s">
        <v>675</v>
      </c>
    </row>
    <row r="52" spans="1:8" s="30" customFormat="1" ht="48">
      <c r="A52" s="330">
        <v>49</v>
      </c>
      <c r="B52" s="330" t="s">
        <v>349</v>
      </c>
      <c r="C52" s="330" t="s">
        <v>535</v>
      </c>
      <c r="D52" s="331">
        <v>45689</v>
      </c>
      <c r="E52" s="332">
        <v>700</v>
      </c>
      <c r="F52" s="333">
        <v>4</v>
      </c>
      <c r="G52" s="334">
        <f t="shared" si="1"/>
        <v>2800</v>
      </c>
      <c r="H52" s="330" t="s">
        <v>676</v>
      </c>
    </row>
    <row r="53" spans="1:8" s="30" customFormat="1" ht="48">
      <c r="A53" s="330">
        <v>50</v>
      </c>
      <c r="B53" s="330" t="s">
        <v>349</v>
      </c>
      <c r="C53" s="330" t="s">
        <v>484</v>
      </c>
      <c r="D53" s="331">
        <v>45261</v>
      </c>
      <c r="E53" s="332">
        <v>2500</v>
      </c>
      <c r="F53" s="333">
        <v>8</v>
      </c>
      <c r="G53" s="334">
        <f t="shared" si="1"/>
        <v>20000</v>
      </c>
      <c r="H53" s="330" t="s">
        <v>677</v>
      </c>
    </row>
    <row r="54" spans="1:8" s="30" customFormat="1" ht="72">
      <c r="A54" s="330">
        <v>51</v>
      </c>
      <c r="B54" s="330" t="s">
        <v>349</v>
      </c>
      <c r="C54" s="330" t="s">
        <v>485</v>
      </c>
      <c r="D54" s="331">
        <v>45261</v>
      </c>
      <c r="E54" s="332">
        <v>800</v>
      </c>
      <c r="F54" s="333">
        <v>11</v>
      </c>
      <c r="G54" s="334">
        <f t="shared" si="1"/>
        <v>8800</v>
      </c>
      <c r="H54" s="330" t="s">
        <v>678</v>
      </c>
    </row>
    <row r="55" spans="1:8" s="30" customFormat="1" ht="48">
      <c r="A55" s="330">
        <v>52</v>
      </c>
      <c r="B55" s="330" t="s">
        <v>349</v>
      </c>
      <c r="C55" s="377" t="s">
        <v>557</v>
      </c>
      <c r="D55" s="331">
        <v>45261</v>
      </c>
      <c r="E55" s="332">
        <v>1900</v>
      </c>
      <c r="F55" s="333">
        <v>4</v>
      </c>
      <c r="G55" s="334">
        <f t="shared" si="1"/>
        <v>7600</v>
      </c>
      <c r="H55" s="330" t="s">
        <v>679</v>
      </c>
    </row>
    <row r="56" spans="1:8" s="30" customFormat="1" ht="48">
      <c r="A56" s="330">
        <v>53</v>
      </c>
      <c r="B56" s="330" t="s">
        <v>349</v>
      </c>
      <c r="C56" s="330" t="s">
        <v>536</v>
      </c>
      <c r="D56" s="331">
        <v>45261</v>
      </c>
      <c r="E56" s="332">
        <v>2326.5</v>
      </c>
      <c r="F56" s="333">
        <v>4</v>
      </c>
      <c r="G56" s="334">
        <f t="shared" si="1"/>
        <v>9306</v>
      </c>
      <c r="H56" s="330" t="s">
        <v>680</v>
      </c>
    </row>
    <row r="57" spans="1:8" s="30" customFormat="1" ht="60">
      <c r="A57" s="330">
        <v>54</v>
      </c>
      <c r="B57" s="330" t="s">
        <v>349</v>
      </c>
      <c r="C57" s="330" t="s">
        <v>537</v>
      </c>
      <c r="D57" s="331">
        <v>45261</v>
      </c>
      <c r="E57" s="332">
        <v>1134</v>
      </c>
      <c r="F57" s="333">
        <v>4</v>
      </c>
      <c r="G57" s="334">
        <f t="shared" si="1"/>
        <v>4536</v>
      </c>
      <c r="H57" s="330" t="s">
        <v>681</v>
      </c>
    </row>
    <row r="58" spans="1:8" s="30" customFormat="1" ht="36">
      <c r="A58" s="330">
        <v>55</v>
      </c>
      <c r="B58" s="330" t="s">
        <v>349</v>
      </c>
      <c r="C58" s="330" t="s">
        <v>538</v>
      </c>
      <c r="D58" s="331">
        <v>45261</v>
      </c>
      <c r="E58" s="332">
        <v>1750</v>
      </c>
      <c r="F58" s="333">
        <v>4</v>
      </c>
      <c r="G58" s="334">
        <f t="shared" si="1"/>
        <v>7000</v>
      </c>
      <c r="H58" s="330" t="s">
        <v>682</v>
      </c>
    </row>
    <row r="59" spans="1:8" s="30" customFormat="1" ht="48">
      <c r="A59" s="330">
        <v>56</v>
      </c>
      <c r="B59" s="330" t="s">
        <v>349</v>
      </c>
      <c r="C59" s="330" t="s">
        <v>486</v>
      </c>
      <c r="D59" s="331">
        <v>45261</v>
      </c>
      <c r="E59" s="332">
        <v>1200</v>
      </c>
      <c r="F59" s="333">
        <v>4</v>
      </c>
      <c r="G59" s="334">
        <f t="shared" si="1"/>
        <v>4800</v>
      </c>
      <c r="H59" s="330" t="s">
        <v>683</v>
      </c>
    </row>
    <row r="60" spans="1:8" s="30" customFormat="1" ht="48">
      <c r="A60" s="330">
        <v>57</v>
      </c>
      <c r="B60" s="330" t="s">
        <v>349</v>
      </c>
      <c r="C60" s="330" t="s">
        <v>490</v>
      </c>
      <c r="D60" s="331">
        <v>45261</v>
      </c>
      <c r="E60" s="332">
        <v>400</v>
      </c>
      <c r="F60" s="333">
        <v>40</v>
      </c>
      <c r="G60" s="334">
        <f t="shared" si="1"/>
        <v>16000</v>
      </c>
      <c r="H60" s="330" t="s">
        <v>684</v>
      </c>
    </row>
    <row r="61" spans="1:8" s="30" customFormat="1" ht="48">
      <c r="A61" s="330">
        <v>58</v>
      </c>
      <c r="B61" s="330" t="s">
        <v>349</v>
      </c>
      <c r="C61" s="330" t="s">
        <v>491</v>
      </c>
      <c r="D61" s="331">
        <v>45261</v>
      </c>
      <c r="E61" s="332">
        <v>400</v>
      </c>
      <c r="F61" s="333">
        <v>12</v>
      </c>
      <c r="G61" s="334">
        <f t="shared" si="1"/>
        <v>4800</v>
      </c>
      <c r="H61" s="330" t="s">
        <v>525</v>
      </c>
    </row>
    <row r="62" spans="1:8" s="30" customFormat="1" ht="48">
      <c r="A62" s="330">
        <v>59</v>
      </c>
      <c r="B62" s="330" t="s">
        <v>349</v>
      </c>
      <c r="C62" s="330" t="s">
        <v>539</v>
      </c>
      <c r="D62" s="331">
        <v>45261</v>
      </c>
      <c r="E62" s="332">
        <v>450</v>
      </c>
      <c r="F62" s="333">
        <v>4</v>
      </c>
      <c r="G62" s="334">
        <f t="shared" si="1"/>
        <v>1800</v>
      </c>
      <c r="H62" s="330" t="s">
        <v>525</v>
      </c>
    </row>
    <row r="63" spans="1:8" s="30" customFormat="1" ht="48">
      <c r="A63" s="330">
        <v>60</v>
      </c>
      <c r="B63" s="330" t="s">
        <v>349</v>
      </c>
      <c r="C63" s="330" t="s">
        <v>733</v>
      </c>
      <c r="D63" s="331">
        <v>45261</v>
      </c>
      <c r="E63" s="332">
        <v>2100</v>
      </c>
      <c r="F63" s="333">
        <v>4</v>
      </c>
      <c r="G63" s="334">
        <f t="shared" si="1"/>
        <v>8400</v>
      </c>
      <c r="H63" s="330" t="s">
        <v>685</v>
      </c>
    </row>
    <row r="64" spans="1:8" s="30" customFormat="1" ht="48">
      <c r="A64" s="330">
        <v>61</v>
      </c>
      <c r="B64" s="330" t="s">
        <v>349</v>
      </c>
      <c r="C64" s="330" t="s">
        <v>734</v>
      </c>
      <c r="D64" s="331">
        <v>45261</v>
      </c>
      <c r="E64" s="332">
        <v>3000</v>
      </c>
      <c r="F64" s="333">
        <v>4</v>
      </c>
      <c r="G64" s="334">
        <f t="shared" si="1"/>
        <v>12000</v>
      </c>
      <c r="H64" s="330" t="s">
        <v>685</v>
      </c>
    </row>
    <row r="65" spans="1:8" s="30" customFormat="1" ht="48">
      <c r="A65" s="330">
        <v>62</v>
      </c>
      <c r="B65" s="330" t="s">
        <v>349</v>
      </c>
      <c r="C65" s="330" t="s">
        <v>540</v>
      </c>
      <c r="D65" s="331">
        <v>45261</v>
      </c>
      <c r="E65" s="332">
        <v>300</v>
      </c>
      <c r="F65" s="333">
        <v>24</v>
      </c>
      <c r="G65" s="334">
        <f t="shared" si="1"/>
        <v>7200</v>
      </c>
      <c r="H65" s="330" t="s">
        <v>686</v>
      </c>
    </row>
    <row r="66" spans="1:8" s="30" customFormat="1" ht="48">
      <c r="A66" s="330">
        <v>63</v>
      </c>
      <c r="B66" s="330" t="s">
        <v>349</v>
      </c>
      <c r="C66" s="330" t="s">
        <v>520</v>
      </c>
      <c r="D66" s="331">
        <v>45261</v>
      </c>
      <c r="E66" s="332">
        <v>750</v>
      </c>
      <c r="F66" s="333">
        <v>4</v>
      </c>
      <c r="G66" s="334">
        <f t="shared" si="1"/>
        <v>3000</v>
      </c>
      <c r="H66" s="330" t="s">
        <v>686</v>
      </c>
    </row>
    <row r="67" spans="1:8" s="30" customFormat="1" ht="48">
      <c r="A67" s="330">
        <v>64</v>
      </c>
      <c r="B67" s="330" t="s">
        <v>349</v>
      </c>
      <c r="C67" s="330" t="s">
        <v>687</v>
      </c>
      <c r="D67" s="331">
        <v>45261</v>
      </c>
      <c r="E67" s="332">
        <v>350</v>
      </c>
      <c r="F67" s="333">
        <v>8</v>
      </c>
      <c r="G67" s="334">
        <f t="shared" si="1"/>
        <v>2800</v>
      </c>
      <c r="H67" s="330" t="s">
        <v>525</v>
      </c>
    </row>
    <row r="68" spans="1:8" s="30" customFormat="1" ht="48">
      <c r="A68" s="330">
        <v>65</v>
      </c>
      <c r="B68" s="330" t="s">
        <v>349</v>
      </c>
      <c r="C68" s="376" t="s">
        <v>496</v>
      </c>
      <c r="D68" s="331">
        <v>45261</v>
      </c>
      <c r="E68" s="332">
        <v>116</v>
      </c>
      <c r="F68" s="333">
        <v>4</v>
      </c>
      <c r="G68" s="334">
        <f t="shared" si="1"/>
        <v>464</v>
      </c>
      <c r="H68" s="330" t="s">
        <v>525</v>
      </c>
    </row>
    <row r="69" spans="1:8" s="30" customFormat="1" ht="48">
      <c r="A69" s="330">
        <v>66</v>
      </c>
      <c r="B69" s="330" t="s">
        <v>349</v>
      </c>
      <c r="C69" s="330" t="s">
        <v>497</v>
      </c>
      <c r="D69" s="331">
        <v>45261</v>
      </c>
      <c r="E69" s="332">
        <v>144.5</v>
      </c>
      <c r="F69" s="333">
        <v>8</v>
      </c>
      <c r="G69" s="334">
        <f t="shared" si="1"/>
        <v>1156</v>
      </c>
      <c r="H69" s="330" t="s">
        <v>525</v>
      </c>
    </row>
    <row r="70" spans="1:8" s="30" customFormat="1" ht="48">
      <c r="A70" s="330">
        <v>67</v>
      </c>
      <c r="B70" s="330" t="s">
        <v>349</v>
      </c>
      <c r="C70" s="330" t="s">
        <v>541</v>
      </c>
      <c r="D70" s="331">
        <v>45261</v>
      </c>
      <c r="E70" s="332">
        <v>140</v>
      </c>
      <c r="F70" s="333">
        <v>4</v>
      </c>
      <c r="G70" s="334">
        <f t="shared" si="1"/>
        <v>560</v>
      </c>
      <c r="H70" s="330" t="s">
        <v>525</v>
      </c>
    </row>
    <row r="71" spans="1:8" s="30" customFormat="1" ht="48">
      <c r="A71" s="330">
        <v>68</v>
      </c>
      <c r="B71" s="330" t="s">
        <v>349</v>
      </c>
      <c r="C71" s="330" t="s">
        <v>542</v>
      </c>
      <c r="D71" s="331">
        <v>45261</v>
      </c>
      <c r="E71" s="332">
        <v>450</v>
      </c>
      <c r="F71" s="333">
        <v>4</v>
      </c>
      <c r="G71" s="334">
        <f t="shared" ref="G71:G159" si="2">F71*E71</f>
        <v>1800</v>
      </c>
      <c r="H71" s="330" t="s">
        <v>525</v>
      </c>
    </row>
    <row r="72" spans="1:8" s="30" customFormat="1" ht="36">
      <c r="A72" s="330">
        <v>69</v>
      </c>
      <c r="B72" s="330" t="s">
        <v>331</v>
      </c>
      <c r="C72" s="377" t="s">
        <v>558</v>
      </c>
      <c r="D72" s="331">
        <v>45261</v>
      </c>
      <c r="E72" s="332">
        <v>240.7</v>
      </c>
      <c r="F72" s="333">
        <v>10</v>
      </c>
      <c r="G72" s="334">
        <f t="shared" si="2"/>
        <v>2407</v>
      </c>
      <c r="H72" s="377" t="s">
        <v>559</v>
      </c>
    </row>
    <row r="73" spans="1:8" s="30" customFormat="1" ht="60">
      <c r="A73" s="330">
        <v>70</v>
      </c>
      <c r="B73" s="330" t="s">
        <v>341</v>
      </c>
      <c r="C73" s="377" t="s">
        <v>560</v>
      </c>
      <c r="D73" s="378">
        <v>45689</v>
      </c>
      <c r="E73" s="332">
        <v>11378</v>
      </c>
      <c r="F73" s="333">
        <v>18</v>
      </c>
      <c r="G73" s="334">
        <f t="shared" si="2"/>
        <v>204804</v>
      </c>
      <c r="H73" s="377" t="s">
        <v>561</v>
      </c>
    </row>
    <row r="74" spans="1:8" s="30" customFormat="1" ht="36">
      <c r="A74" s="330">
        <v>71</v>
      </c>
      <c r="B74" s="330" t="s">
        <v>333</v>
      </c>
      <c r="C74" s="377" t="s">
        <v>562</v>
      </c>
      <c r="D74" s="331">
        <v>45689</v>
      </c>
      <c r="E74" s="332">
        <v>11417</v>
      </c>
      <c r="F74" s="333">
        <v>17</v>
      </c>
      <c r="G74" s="334">
        <f t="shared" si="2"/>
        <v>194089</v>
      </c>
      <c r="H74" s="330" t="s">
        <v>728</v>
      </c>
    </row>
    <row r="75" spans="1:8" s="30" customFormat="1" ht="36">
      <c r="A75" s="330">
        <v>72</v>
      </c>
      <c r="B75" s="330" t="s">
        <v>333</v>
      </c>
      <c r="C75" s="377" t="s">
        <v>562</v>
      </c>
      <c r="D75" s="378">
        <v>45689</v>
      </c>
      <c r="E75" s="332">
        <v>12083</v>
      </c>
      <c r="F75" s="333">
        <v>2</v>
      </c>
      <c r="G75" s="334">
        <f t="shared" si="2"/>
        <v>24166</v>
      </c>
      <c r="H75" s="330" t="s">
        <v>728</v>
      </c>
    </row>
    <row r="76" spans="1:8" s="30" customFormat="1" ht="36">
      <c r="A76" s="330">
        <v>73</v>
      </c>
      <c r="B76" s="330" t="s">
        <v>333</v>
      </c>
      <c r="C76" s="377" t="s">
        <v>562</v>
      </c>
      <c r="D76" s="331">
        <v>46174</v>
      </c>
      <c r="E76" s="332">
        <v>12083</v>
      </c>
      <c r="F76" s="333">
        <v>8</v>
      </c>
      <c r="G76" s="334">
        <f t="shared" si="2"/>
        <v>96664</v>
      </c>
      <c r="H76" s="330" t="s">
        <v>728</v>
      </c>
    </row>
    <row r="77" spans="1:8" s="30" customFormat="1" ht="48">
      <c r="A77" s="330">
        <v>74</v>
      </c>
      <c r="B77" s="330" t="s">
        <v>323</v>
      </c>
      <c r="C77" s="377" t="s">
        <v>550</v>
      </c>
      <c r="D77" s="331">
        <v>45383</v>
      </c>
      <c r="E77" s="332">
        <v>9640.4699999999993</v>
      </c>
      <c r="F77" s="333">
        <v>7</v>
      </c>
      <c r="G77" s="334">
        <f t="shared" si="2"/>
        <v>67483.289999999994</v>
      </c>
      <c r="H77" s="330" t="s">
        <v>725</v>
      </c>
    </row>
    <row r="78" spans="1:8" s="30" customFormat="1" ht="48">
      <c r="A78" s="330">
        <v>75</v>
      </c>
      <c r="B78" s="330" t="s">
        <v>323</v>
      </c>
      <c r="C78" s="377" t="s">
        <v>544</v>
      </c>
      <c r="D78" s="331">
        <v>45383</v>
      </c>
      <c r="E78" s="332">
        <v>6108.53</v>
      </c>
      <c r="F78" s="333">
        <v>7</v>
      </c>
      <c r="G78" s="334">
        <f t="shared" si="2"/>
        <v>42759.71</v>
      </c>
      <c r="H78" s="330" t="s">
        <v>725</v>
      </c>
    </row>
    <row r="79" spans="1:8" s="30" customFormat="1" ht="48">
      <c r="A79" s="330">
        <v>76</v>
      </c>
      <c r="B79" s="330" t="s">
        <v>323</v>
      </c>
      <c r="C79" s="377" t="s">
        <v>545</v>
      </c>
      <c r="D79" s="331">
        <v>45383</v>
      </c>
      <c r="E79" s="332">
        <v>9769</v>
      </c>
      <c r="F79" s="333">
        <v>7</v>
      </c>
      <c r="G79" s="334">
        <f t="shared" si="2"/>
        <v>68383</v>
      </c>
      <c r="H79" s="330" t="s">
        <v>725</v>
      </c>
    </row>
    <row r="80" spans="1:8" s="30" customFormat="1" ht="48">
      <c r="A80" s="330">
        <v>77</v>
      </c>
      <c r="B80" s="330" t="s">
        <v>323</v>
      </c>
      <c r="C80" s="377" t="s">
        <v>546</v>
      </c>
      <c r="D80" s="331">
        <v>45383</v>
      </c>
      <c r="E80" s="332">
        <v>15300</v>
      </c>
      <c r="F80" s="333">
        <v>7</v>
      </c>
      <c r="G80" s="334">
        <f t="shared" si="2"/>
        <v>107100</v>
      </c>
      <c r="H80" s="330" t="s">
        <v>725</v>
      </c>
    </row>
    <row r="81" spans="1:8" s="30" customFormat="1" ht="48">
      <c r="A81" s="330">
        <v>78</v>
      </c>
      <c r="B81" s="330" t="s">
        <v>323</v>
      </c>
      <c r="C81" s="377" t="s">
        <v>547</v>
      </c>
      <c r="D81" s="331">
        <v>45383</v>
      </c>
      <c r="E81" s="332">
        <v>13990</v>
      </c>
      <c r="F81" s="333">
        <v>7</v>
      </c>
      <c r="G81" s="334">
        <f t="shared" si="2"/>
        <v>97930</v>
      </c>
      <c r="H81" s="330" t="s">
        <v>725</v>
      </c>
    </row>
    <row r="82" spans="1:8" s="30" customFormat="1" ht="48">
      <c r="A82" s="330">
        <v>79</v>
      </c>
      <c r="B82" s="330" t="s">
        <v>323</v>
      </c>
      <c r="C82" s="377" t="s">
        <v>548</v>
      </c>
      <c r="D82" s="331">
        <v>45383</v>
      </c>
      <c r="E82" s="332">
        <v>3554.9</v>
      </c>
      <c r="F82" s="333">
        <v>12</v>
      </c>
      <c r="G82" s="334">
        <f t="shared" si="2"/>
        <v>42658.8</v>
      </c>
      <c r="H82" s="330" t="s">
        <v>725</v>
      </c>
    </row>
    <row r="83" spans="1:8" s="30" customFormat="1" ht="48">
      <c r="A83" s="330">
        <v>80</v>
      </c>
      <c r="B83" s="330" t="s">
        <v>323</v>
      </c>
      <c r="C83" s="377" t="s">
        <v>549</v>
      </c>
      <c r="D83" s="331">
        <v>45383</v>
      </c>
      <c r="E83" s="332">
        <v>5999</v>
      </c>
      <c r="F83" s="333">
        <v>6</v>
      </c>
      <c r="G83" s="334">
        <f t="shared" si="2"/>
        <v>35994</v>
      </c>
      <c r="H83" s="330" t="s">
        <v>725</v>
      </c>
    </row>
    <row r="84" spans="1:8" s="30" customFormat="1" ht="48">
      <c r="A84" s="330">
        <v>81</v>
      </c>
      <c r="B84" s="330" t="s">
        <v>323</v>
      </c>
      <c r="C84" s="377" t="s">
        <v>543</v>
      </c>
      <c r="D84" s="331">
        <v>45383</v>
      </c>
      <c r="E84" s="332">
        <v>2700</v>
      </c>
      <c r="F84" s="333">
        <v>6</v>
      </c>
      <c r="G84" s="334">
        <f t="shared" si="2"/>
        <v>16200</v>
      </c>
      <c r="H84" s="330" t="s">
        <v>725</v>
      </c>
    </row>
    <row r="85" spans="1:8" s="30" customFormat="1" ht="48" customHeight="1">
      <c r="A85" s="330">
        <v>82</v>
      </c>
      <c r="B85" s="330" t="s">
        <v>323</v>
      </c>
      <c r="C85" s="377" t="s">
        <v>551</v>
      </c>
      <c r="D85" s="331">
        <v>45383</v>
      </c>
      <c r="E85" s="332">
        <v>9210</v>
      </c>
      <c r="F85" s="333">
        <v>7</v>
      </c>
      <c r="G85" s="334">
        <f t="shared" si="2"/>
        <v>64470</v>
      </c>
      <c r="H85" s="330" t="s">
        <v>725</v>
      </c>
    </row>
    <row r="86" spans="1:8" s="30" customFormat="1" ht="48" customHeight="1">
      <c r="A86" s="330">
        <v>83</v>
      </c>
      <c r="B86" s="330" t="s">
        <v>323</v>
      </c>
      <c r="C86" s="377" t="s">
        <v>552</v>
      </c>
      <c r="D86" s="331">
        <v>45383</v>
      </c>
      <c r="E86" s="332">
        <v>4576.9399999999996</v>
      </c>
      <c r="F86" s="333">
        <v>7</v>
      </c>
      <c r="G86" s="334">
        <f t="shared" si="2"/>
        <v>32038.579999999998</v>
      </c>
      <c r="H86" s="330" t="s">
        <v>725</v>
      </c>
    </row>
    <row r="87" spans="1:8" s="30" customFormat="1" ht="48" customHeight="1">
      <c r="A87" s="330">
        <v>84</v>
      </c>
      <c r="B87" s="330" t="s">
        <v>323</v>
      </c>
      <c r="C87" s="377" t="s">
        <v>553</v>
      </c>
      <c r="D87" s="331">
        <v>45383</v>
      </c>
      <c r="E87" s="332">
        <v>4999</v>
      </c>
      <c r="F87" s="333">
        <v>7</v>
      </c>
      <c r="G87" s="334">
        <f t="shared" si="2"/>
        <v>34993</v>
      </c>
      <c r="H87" s="330" t="s">
        <v>725</v>
      </c>
    </row>
    <row r="88" spans="1:8" s="30" customFormat="1" ht="48" customHeight="1">
      <c r="A88" s="330">
        <v>85</v>
      </c>
      <c r="B88" s="330" t="s">
        <v>323</v>
      </c>
      <c r="C88" s="377" t="s">
        <v>554</v>
      </c>
      <c r="D88" s="331">
        <v>45383</v>
      </c>
      <c r="E88" s="332">
        <v>463.5</v>
      </c>
      <c r="F88" s="333">
        <v>7</v>
      </c>
      <c r="G88" s="334">
        <f t="shared" si="2"/>
        <v>3244.5</v>
      </c>
      <c r="H88" s="330" t="s">
        <v>725</v>
      </c>
    </row>
    <row r="89" spans="1:8" s="30" customFormat="1" ht="49.5" customHeight="1">
      <c r="A89" s="330">
        <v>86</v>
      </c>
      <c r="B89" s="330" t="s">
        <v>325</v>
      </c>
      <c r="C89" s="330" t="s">
        <v>462</v>
      </c>
      <c r="D89" s="331">
        <v>45566</v>
      </c>
      <c r="E89" s="332">
        <v>1925</v>
      </c>
      <c r="F89" s="333">
        <v>4</v>
      </c>
      <c r="G89" s="334">
        <f t="shared" si="2"/>
        <v>7700</v>
      </c>
      <c r="H89" s="330" t="s">
        <v>724</v>
      </c>
    </row>
    <row r="90" spans="1:8" s="30" customFormat="1" ht="49.5" customHeight="1">
      <c r="A90" s="330">
        <v>87</v>
      </c>
      <c r="B90" s="330" t="s">
        <v>325</v>
      </c>
      <c r="C90" s="330" t="s">
        <v>462</v>
      </c>
      <c r="D90" s="331">
        <v>45627</v>
      </c>
      <c r="E90" s="332">
        <v>1925</v>
      </c>
      <c r="F90" s="333">
        <v>4</v>
      </c>
      <c r="G90" s="334">
        <f t="shared" si="2"/>
        <v>7700</v>
      </c>
      <c r="H90" s="330" t="s">
        <v>723</v>
      </c>
    </row>
    <row r="91" spans="1:8" s="30" customFormat="1" ht="49.5" customHeight="1">
      <c r="A91" s="330">
        <v>88</v>
      </c>
      <c r="B91" s="330" t="s">
        <v>327</v>
      </c>
      <c r="C91" s="330" t="s">
        <v>463</v>
      </c>
      <c r="D91" s="331">
        <v>45566</v>
      </c>
      <c r="E91" s="332">
        <v>2500</v>
      </c>
      <c r="F91" s="333">
        <v>26</v>
      </c>
      <c r="G91" s="334">
        <f t="shared" si="2"/>
        <v>65000</v>
      </c>
      <c r="H91" s="377" t="s">
        <v>563</v>
      </c>
    </row>
    <row r="92" spans="1:8" s="30" customFormat="1" ht="49.5" customHeight="1">
      <c r="A92" s="330">
        <v>89</v>
      </c>
      <c r="B92" s="330" t="s">
        <v>327</v>
      </c>
      <c r="C92" s="330" t="s">
        <v>464</v>
      </c>
      <c r="D92" s="331">
        <v>45566</v>
      </c>
      <c r="E92" s="332">
        <v>2500</v>
      </c>
      <c r="F92" s="333">
        <v>2</v>
      </c>
      <c r="G92" s="334">
        <f t="shared" si="2"/>
        <v>5000</v>
      </c>
      <c r="H92" s="377" t="s">
        <v>563</v>
      </c>
    </row>
    <row r="93" spans="1:8" s="30" customFormat="1" ht="49.5" customHeight="1">
      <c r="A93" s="330">
        <v>90</v>
      </c>
      <c r="B93" s="330" t="s">
        <v>327</v>
      </c>
      <c r="C93" s="330" t="s">
        <v>465</v>
      </c>
      <c r="D93" s="331">
        <v>45566</v>
      </c>
      <c r="E93" s="332">
        <v>900</v>
      </c>
      <c r="F93" s="333">
        <v>2</v>
      </c>
      <c r="G93" s="334">
        <f t="shared" si="2"/>
        <v>1800</v>
      </c>
      <c r="H93" s="377" t="s">
        <v>563</v>
      </c>
    </row>
    <row r="94" spans="1:8" s="30" customFormat="1" ht="49.5" customHeight="1">
      <c r="A94" s="330">
        <v>91</v>
      </c>
      <c r="B94" s="330" t="s">
        <v>327</v>
      </c>
      <c r="C94" s="330" t="s">
        <v>466</v>
      </c>
      <c r="D94" s="331">
        <v>45566</v>
      </c>
      <c r="E94" s="332">
        <v>580</v>
      </c>
      <c r="F94" s="333">
        <v>1</v>
      </c>
      <c r="G94" s="334">
        <f t="shared" si="2"/>
        <v>580</v>
      </c>
      <c r="H94" s="377" t="s">
        <v>563</v>
      </c>
    </row>
    <row r="95" spans="1:8" s="30" customFormat="1" ht="49.5" customHeight="1">
      <c r="A95" s="330">
        <v>92</v>
      </c>
      <c r="B95" s="330" t="s">
        <v>327</v>
      </c>
      <c r="C95" s="330" t="s">
        <v>528</v>
      </c>
      <c r="D95" s="331">
        <v>45566</v>
      </c>
      <c r="E95" s="332">
        <v>400</v>
      </c>
      <c r="F95" s="333">
        <v>2</v>
      </c>
      <c r="G95" s="334">
        <f t="shared" si="2"/>
        <v>800</v>
      </c>
      <c r="H95" s="377" t="s">
        <v>563</v>
      </c>
    </row>
    <row r="96" spans="1:8" s="30" customFormat="1" ht="49.5" customHeight="1">
      <c r="A96" s="330">
        <v>93</v>
      </c>
      <c r="B96" s="330" t="s">
        <v>327</v>
      </c>
      <c r="C96" s="375" t="s">
        <v>492</v>
      </c>
      <c r="D96" s="331">
        <v>45566</v>
      </c>
      <c r="E96" s="332">
        <v>2500</v>
      </c>
      <c r="F96" s="333">
        <v>2</v>
      </c>
      <c r="G96" s="334">
        <f t="shared" si="2"/>
        <v>5000</v>
      </c>
      <c r="H96" s="377" t="s">
        <v>563</v>
      </c>
    </row>
    <row r="97" spans="1:8" s="30" customFormat="1" ht="49.5" customHeight="1">
      <c r="A97" s="330">
        <v>94</v>
      </c>
      <c r="B97" s="330" t="s">
        <v>327</v>
      </c>
      <c r="C97" s="330" t="s">
        <v>527</v>
      </c>
      <c r="D97" s="331">
        <v>45566</v>
      </c>
      <c r="E97" s="332">
        <v>1999</v>
      </c>
      <c r="F97" s="333">
        <v>2</v>
      </c>
      <c r="G97" s="334">
        <f t="shared" si="2"/>
        <v>3998</v>
      </c>
      <c r="H97" s="377" t="s">
        <v>563</v>
      </c>
    </row>
    <row r="98" spans="1:8" s="30" customFormat="1" ht="49.5" customHeight="1">
      <c r="A98" s="330">
        <v>95</v>
      </c>
      <c r="B98" s="330" t="s">
        <v>327</v>
      </c>
      <c r="C98" s="330" t="s">
        <v>493</v>
      </c>
      <c r="D98" s="331">
        <v>45566</v>
      </c>
      <c r="E98" s="332">
        <v>900</v>
      </c>
      <c r="F98" s="333">
        <v>2</v>
      </c>
      <c r="G98" s="334">
        <f t="shared" si="2"/>
        <v>1800</v>
      </c>
      <c r="H98" s="377" t="s">
        <v>563</v>
      </c>
    </row>
    <row r="99" spans="1:8" s="30" customFormat="1" ht="49.5" customHeight="1">
      <c r="A99" s="330">
        <v>96</v>
      </c>
      <c r="B99" s="330" t="s">
        <v>327</v>
      </c>
      <c r="C99" s="330" t="s">
        <v>513</v>
      </c>
      <c r="D99" s="331">
        <v>45566</v>
      </c>
      <c r="E99" s="332">
        <v>1300</v>
      </c>
      <c r="F99" s="333">
        <v>2</v>
      </c>
      <c r="G99" s="334">
        <f t="shared" si="2"/>
        <v>2600</v>
      </c>
      <c r="H99" s="377" t="s">
        <v>563</v>
      </c>
    </row>
    <row r="100" spans="1:8" s="30" customFormat="1" ht="49.5" customHeight="1">
      <c r="A100" s="330">
        <v>97</v>
      </c>
      <c r="B100" s="330" t="s">
        <v>333</v>
      </c>
      <c r="C100" s="330" t="s">
        <v>467</v>
      </c>
      <c r="D100" s="331">
        <v>45566</v>
      </c>
      <c r="E100" s="332">
        <v>1400</v>
      </c>
      <c r="F100" s="333">
        <v>2</v>
      </c>
      <c r="G100" s="334">
        <f t="shared" si="2"/>
        <v>2800</v>
      </c>
      <c r="H100" s="377" t="s">
        <v>563</v>
      </c>
    </row>
    <row r="101" spans="1:8" s="30" customFormat="1" ht="49.5" customHeight="1">
      <c r="A101" s="330">
        <v>98</v>
      </c>
      <c r="B101" s="330" t="s">
        <v>333</v>
      </c>
      <c r="C101" s="330" t="s">
        <v>468</v>
      </c>
      <c r="D101" s="331">
        <v>45566</v>
      </c>
      <c r="E101" s="332">
        <v>1800</v>
      </c>
      <c r="F101" s="333">
        <v>2</v>
      </c>
      <c r="G101" s="334">
        <f t="shared" si="2"/>
        <v>3600</v>
      </c>
      <c r="H101" s="377" t="s">
        <v>563</v>
      </c>
    </row>
    <row r="102" spans="1:8" s="30" customFormat="1" ht="49.5" customHeight="1">
      <c r="A102" s="330">
        <v>99</v>
      </c>
      <c r="B102" s="330" t="s">
        <v>335</v>
      </c>
      <c r="C102" s="330" t="s">
        <v>469</v>
      </c>
      <c r="D102" s="331">
        <v>45566</v>
      </c>
      <c r="E102" s="332">
        <v>350</v>
      </c>
      <c r="F102" s="333">
        <v>10</v>
      </c>
      <c r="G102" s="334">
        <f t="shared" si="2"/>
        <v>3500</v>
      </c>
      <c r="H102" s="377" t="s">
        <v>563</v>
      </c>
    </row>
    <row r="103" spans="1:8" s="30" customFormat="1" ht="49.5" customHeight="1">
      <c r="A103" s="330">
        <v>100</v>
      </c>
      <c r="B103" s="330" t="s">
        <v>335</v>
      </c>
      <c r="C103" s="330" t="s">
        <v>470</v>
      </c>
      <c r="D103" s="331">
        <v>45566</v>
      </c>
      <c r="E103" s="332">
        <v>310</v>
      </c>
      <c r="F103" s="333">
        <v>7</v>
      </c>
      <c r="G103" s="334">
        <f t="shared" si="2"/>
        <v>2170</v>
      </c>
      <c r="H103" s="377" t="s">
        <v>563</v>
      </c>
    </row>
    <row r="104" spans="1:8" s="30" customFormat="1" ht="49.5" customHeight="1">
      <c r="A104" s="330">
        <v>101</v>
      </c>
      <c r="B104" s="330" t="s">
        <v>335</v>
      </c>
      <c r="C104" s="330" t="s">
        <v>471</v>
      </c>
      <c r="D104" s="331">
        <v>45566</v>
      </c>
      <c r="E104" s="332">
        <v>1100</v>
      </c>
      <c r="F104" s="333">
        <v>2</v>
      </c>
      <c r="G104" s="334">
        <f t="shared" si="2"/>
        <v>2200</v>
      </c>
      <c r="H104" s="377" t="s">
        <v>563</v>
      </c>
    </row>
    <row r="105" spans="1:8" s="30" customFormat="1" ht="49.5" customHeight="1">
      <c r="A105" s="330">
        <v>102</v>
      </c>
      <c r="B105" s="330" t="s">
        <v>335</v>
      </c>
      <c r="C105" s="330" t="s">
        <v>472</v>
      </c>
      <c r="D105" s="331">
        <v>45566</v>
      </c>
      <c r="E105" s="332">
        <v>400</v>
      </c>
      <c r="F105" s="333">
        <v>4</v>
      </c>
      <c r="G105" s="334">
        <f t="shared" si="2"/>
        <v>1600</v>
      </c>
      <c r="H105" s="377" t="s">
        <v>563</v>
      </c>
    </row>
    <row r="106" spans="1:8" s="30" customFormat="1" ht="49.5" customHeight="1">
      <c r="A106" s="330">
        <v>103</v>
      </c>
      <c r="B106" s="330" t="s">
        <v>335</v>
      </c>
      <c r="C106" s="330" t="s">
        <v>473</v>
      </c>
      <c r="D106" s="331">
        <v>45566</v>
      </c>
      <c r="E106" s="332">
        <v>700</v>
      </c>
      <c r="F106" s="333">
        <v>2</v>
      </c>
      <c r="G106" s="334">
        <f t="shared" si="2"/>
        <v>1400</v>
      </c>
      <c r="H106" s="377" t="s">
        <v>563</v>
      </c>
    </row>
    <row r="107" spans="1:8" s="30" customFormat="1" ht="49.5" customHeight="1">
      <c r="A107" s="330">
        <v>104</v>
      </c>
      <c r="B107" s="330" t="s">
        <v>335</v>
      </c>
      <c r="C107" s="330" t="s">
        <v>474</v>
      </c>
      <c r="D107" s="331">
        <v>45566</v>
      </c>
      <c r="E107" s="332">
        <v>480</v>
      </c>
      <c r="F107" s="333">
        <v>5</v>
      </c>
      <c r="G107" s="334">
        <f t="shared" si="2"/>
        <v>2400</v>
      </c>
      <c r="H107" s="377" t="s">
        <v>563</v>
      </c>
    </row>
    <row r="108" spans="1:8" s="30" customFormat="1" ht="49.5" customHeight="1">
      <c r="A108" s="330">
        <v>105</v>
      </c>
      <c r="B108" s="330" t="s">
        <v>335</v>
      </c>
      <c r="C108" s="330" t="s">
        <v>475</v>
      </c>
      <c r="D108" s="331">
        <v>45566</v>
      </c>
      <c r="E108" s="332">
        <v>200</v>
      </c>
      <c r="F108" s="333">
        <v>4</v>
      </c>
      <c r="G108" s="334">
        <f t="shared" si="2"/>
        <v>800</v>
      </c>
      <c r="H108" s="377" t="s">
        <v>563</v>
      </c>
    </row>
    <row r="109" spans="1:8" s="30" customFormat="1" ht="49.5" customHeight="1">
      <c r="A109" s="330">
        <v>106</v>
      </c>
      <c r="B109" s="330" t="s">
        <v>335</v>
      </c>
      <c r="C109" s="377" t="s">
        <v>555</v>
      </c>
      <c r="D109" s="331">
        <v>45566</v>
      </c>
      <c r="E109" s="332">
        <v>1100</v>
      </c>
      <c r="F109" s="333">
        <v>8</v>
      </c>
      <c r="G109" s="334">
        <f t="shared" si="2"/>
        <v>8800</v>
      </c>
      <c r="H109" s="377" t="s">
        <v>563</v>
      </c>
    </row>
    <row r="110" spans="1:8" s="30" customFormat="1" ht="49.5" customHeight="1">
      <c r="A110" s="330">
        <v>107</v>
      </c>
      <c r="B110" s="330" t="s">
        <v>335</v>
      </c>
      <c r="C110" s="330" t="s">
        <v>476</v>
      </c>
      <c r="D110" s="331">
        <v>45566</v>
      </c>
      <c r="E110" s="332">
        <v>900</v>
      </c>
      <c r="F110" s="333">
        <v>6</v>
      </c>
      <c r="G110" s="334">
        <f t="shared" si="2"/>
        <v>5400</v>
      </c>
      <c r="H110" s="377" t="s">
        <v>563</v>
      </c>
    </row>
    <row r="111" spans="1:8" s="30" customFormat="1" ht="49.5" customHeight="1">
      <c r="A111" s="330">
        <v>108</v>
      </c>
      <c r="B111" s="330" t="s">
        <v>335</v>
      </c>
      <c r="C111" s="330" t="s">
        <v>477</v>
      </c>
      <c r="D111" s="331">
        <v>45566</v>
      </c>
      <c r="E111" s="332">
        <v>1200</v>
      </c>
      <c r="F111" s="333">
        <v>6</v>
      </c>
      <c r="G111" s="334">
        <f t="shared" si="2"/>
        <v>7200</v>
      </c>
      <c r="H111" s="377" t="s">
        <v>563</v>
      </c>
    </row>
    <row r="112" spans="1:8" s="30" customFormat="1" ht="49.5" customHeight="1">
      <c r="A112" s="330">
        <v>109</v>
      </c>
      <c r="B112" s="330" t="s">
        <v>335</v>
      </c>
      <c r="C112" s="330" t="s">
        <v>478</v>
      </c>
      <c r="D112" s="331">
        <v>45566</v>
      </c>
      <c r="E112" s="332">
        <v>2100</v>
      </c>
      <c r="F112" s="333">
        <v>12</v>
      </c>
      <c r="G112" s="334">
        <f t="shared" si="2"/>
        <v>25200</v>
      </c>
      <c r="H112" s="377" t="s">
        <v>563</v>
      </c>
    </row>
    <row r="113" spans="1:8" s="30" customFormat="1" ht="49.5" customHeight="1">
      <c r="A113" s="330">
        <v>110</v>
      </c>
      <c r="B113" s="330" t="s">
        <v>335</v>
      </c>
      <c r="C113" s="330" t="s">
        <v>479</v>
      </c>
      <c r="D113" s="331">
        <v>45566</v>
      </c>
      <c r="E113" s="332">
        <v>400</v>
      </c>
      <c r="F113" s="333">
        <v>10</v>
      </c>
      <c r="G113" s="334">
        <f t="shared" si="2"/>
        <v>4000</v>
      </c>
      <c r="H113" s="377" t="s">
        <v>563</v>
      </c>
    </row>
    <row r="114" spans="1:8" s="30" customFormat="1" ht="49.5" customHeight="1">
      <c r="A114" s="330">
        <v>111</v>
      </c>
      <c r="B114" s="330" t="s">
        <v>335</v>
      </c>
      <c r="C114" s="330" t="s">
        <v>480</v>
      </c>
      <c r="D114" s="331">
        <v>45566</v>
      </c>
      <c r="E114" s="332">
        <v>800</v>
      </c>
      <c r="F114" s="333">
        <v>6</v>
      </c>
      <c r="G114" s="334">
        <f t="shared" si="2"/>
        <v>4800</v>
      </c>
      <c r="H114" s="377" t="s">
        <v>563</v>
      </c>
    </row>
    <row r="115" spans="1:8" s="30" customFormat="1" ht="49.5" customHeight="1">
      <c r="A115" s="330">
        <v>112</v>
      </c>
      <c r="B115" s="330" t="s">
        <v>335</v>
      </c>
      <c r="C115" s="330" t="s">
        <v>481</v>
      </c>
      <c r="D115" s="331">
        <v>45566</v>
      </c>
      <c r="E115" s="332">
        <v>200</v>
      </c>
      <c r="F115" s="333">
        <v>30</v>
      </c>
      <c r="G115" s="334">
        <f t="shared" si="2"/>
        <v>6000</v>
      </c>
      <c r="H115" s="377" t="s">
        <v>563</v>
      </c>
    </row>
    <row r="116" spans="1:8" s="30" customFormat="1" ht="49.5" customHeight="1">
      <c r="A116" s="330">
        <v>113</v>
      </c>
      <c r="B116" s="330" t="s">
        <v>335</v>
      </c>
      <c r="C116" s="330" t="s">
        <v>482</v>
      </c>
      <c r="D116" s="331">
        <v>45566</v>
      </c>
      <c r="E116" s="332">
        <v>479</v>
      </c>
      <c r="F116" s="333">
        <v>8</v>
      </c>
      <c r="G116" s="334">
        <f t="shared" si="2"/>
        <v>3832</v>
      </c>
      <c r="H116" s="377" t="s">
        <v>563</v>
      </c>
    </row>
    <row r="117" spans="1:8" s="30" customFormat="1" ht="49.5" customHeight="1">
      <c r="A117" s="330">
        <v>114</v>
      </c>
      <c r="B117" s="330" t="s">
        <v>335</v>
      </c>
      <c r="C117" s="330" t="s">
        <v>483</v>
      </c>
      <c r="D117" s="331">
        <v>45566</v>
      </c>
      <c r="E117" s="332">
        <v>1500</v>
      </c>
      <c r="F117" s="333">
        <v>20</v>
      </c>
      <c r="G117" s="334">
        <f t="shared" si="2"/>
        <v>30000</v>
      </c>
      <c r="H117" s="377" t="s">
        <v>563</v>
      </c>
    </row>
    <row r="118" spans="1:8" s="30" customFormat="1" ht="49.5" customHeight="1">
      <c r="A118" s="330">
        <v>115</v>
      </c>
      <c r="B118" s="330" t="s">
        <v>335</v>
      </c>
      <c r="C118" s="330" t="s">
        <v>487</v>
      </c>
      <c r="D118" s="331">
        <v>45566</v>
      </c>
      <c r="E118" s="332">
        <v>150</v>
      </c>
      <c r="F118" s="333">
        <v>10</v>
      </c>
      <c r="G118" s="334">
        <f t="shared" si="2"/>
        <v>1500</v>
      </c>
      <c r="H118" s="377" t="s">
        <v>563</v>
      </c>
    </row>
    <row r="119" spans="1:8" s="30" customFormat="1" ht="49.5" customHeight="1">
      <c r="A119" s="330">
        <v>116</v>
      </c>
      <c r="B119" s="330" t="s">
        <v>335</v>
      </c>
      <c r="C119" s="330" t="s">
        <v>488</v>
      </c>
      <c r="D119" s="331">
        <v>45566</v>
      </c>
      <c r="E119" s="332">
        <v>100</v>
      </c>
      <c r="F119" s="333">
        <v>40</v>
      </c>
      <c r="G119" s="334">
        <f t="shared" si="2"/>
        <v>4000</v>
      </c>
      <c r="H119" s="377" t="s">
        <v>563</v>
      </c>
    </row>
    <row r="120" spans="1:8" s="30" customFormat="1" ht="49.5" customHeight="1">
      <c r="A120" s="330">
        <v>117</v>
      </c>
      <c r="B120" s="330" t="s">
        <v>335</v>
      </c>
      <c r="C120" s="330" t="s">
        <v>489</v>
      </c>
      <c r="D120" s="331">
        <v>45566</v>
      </c>
      <c r="E120" s="332">
        <v>2100</v>
      </c>
      <c r="F120" s="333">
        <v>4</v>
      </c>
      <c r="G120" s="334">
        <f t="shared" si="2"/>
        <v>8400</v>
      </c>
      <c r="H120" s="377" t="s">
        <v>563</v>
      </c>
    </row>
    <row r="121" spans="1:8" s="30" customFormat="1" ht="49.5" customHeight="1">
      <c r="A121" s="330">
        <v>118</v>
      </c>
      <c r="B121" s="330" t="s">
        <v>335</v>
      </c>
      <c r="C121" s="330" t="s">
        <v>514</v>
      </c>
      <c r="D121" s="331">
        <v>45566</v>
      </c>
      <c r="E121" s="332">
        <v>180</v>
      </c>
      <c r="F121" s="333">
        <v>8</v>
      </c>
      <c r="G121" s="334">
        <f t="shared" si="2"/>
        <v>1440</v>
      </c>
      <c r="H121" s="377" t="s">
        <v>563</v>
      </c>
    </row>
    <row r="122" spans="1:8" s="30" customFormat="1" ht="49.5" customHeight="1">
      <c r="A122" s="330">
        <v>119</v>
      </c>
      <c r="B122" s="330" t="s">
        <v>335</v>
      </c>
      <c r="C122" s="330" t="s">
        <v>515</v>
      </c>
      <c r="D122" s="331">
        <v>45566</v>
      </c>
      <c r="E122" s="332">
        <v>130</v>
      </c>
      <c r="F122" s="333">
        <v>8</v>
      </c>
      <c r="G122" s="334">
        <f t="shared" si="2"/>
        <v>1040</v>
      </c>
      <c r="H122" s="377" t="s">
        <v>563</v>
      </c>
    </row>
    <row r="123" spans="1:8" s="30" customFormat="1" ht="49.5" customHeight="1">
      <c r="A123" s="330">
        <v>120</v>
      </c>
      <c r="B123" s="330" t="s">
        <v>335</v>
      </c>
      <c r="C123" s="330" t="s">
        <v>516</v>
      </c>
      <c r="D123" s="331">
        <v>45566</v>
      </c>
      <c r="E123" s="332">
        <v>800</v>
      </c>
      <c r="F123" s="333">
        <v>2</v>
      </c>
      <c r="G123" s="334">
        <f t="shared" si="2"/>
        <v>1600</v>
      </c>
      <c r="H123" s="377" t="s">
        <v>563</v>
      </c>
    </row>
    <row r="124" spans="1:8" s="30" customFormat="1" ht="49.5" customHeight="1">
      <c r="A124" s="330">
        <v>121</v>
      </c>
      <c r="B124" s="330" t="s">
        <v>335</v>
      </c>
      <c r="C124" s="330" t="s">
        <v>517</v>
      </c>
      <c r="D124" s="331">
        <v>45566</v>
      </c>
      <c r="E124" s="332">
        <v>1250</v>
      </c>
      <c r="F124" s="333">
        <v>2</v>
      </c>
      <c r="G124" s="334">
        <f t="shared" si="2"/>
        <v>2500</v>
      </c>
      <c r="H124" s="377" t="s">
        <v>563</v>
      </c>
    </row>
    <row r="125" spans="1:8" s="30" customFormat="1" ht="49.5" customHeight="1">
      <c r="A125" s="330">
        <v>122</v>
      </c>
      <c r="B125" s="330" t="s">
        <v>343</v>
      </c>
      <c r="C125" s="330" t="s">
        <v>495</v>
      </c>
      <c r="D125" s="331">
        <v>45566</v>
      </c>
      <c r="E125" s="332">
        <v>2776.5949999999998</v>
      </c>
      <c r="F125" s="333">
        <v>6</v>
      </c>
      <c r="G125" s="334">
        <f t="shared" si="2"/>
        <v>16659.57</v>
      </c>
      <c r="H125" s="377" t="s">
        <v>563</v>
      </c>
    </row>
    <row r="126" spans="1:8" s="30" customFormat="1" ht="49.5" customHeight="1">
      <c r="A126" s="330">
        <v>123</v>
      </c>
      <c r="B126" s="330" t="s">
        <v>329</v>
      </c>
      <c r="C126" s="330" t="s">
        <v>531</v>
      </c>
      <c r="D126" s="331">
        <v>45566</v>
      </c>
      <c r="E126" s="332">
        <v>650</v>
      </c>
      <c r="F126" s="333">
        <v>2</v>
      </c>
      <c r="G126" s="334">
        <f t="shared" si="2"/>
        <v>1300</v>
      </c>
      <c r="H126" s="377" t="s">
        <v>563</v>
      </c>
    </row>
    <row r="127" spans="1:8" s="30" customFormat="1" ht="49.5" customHeight="1">
      <c r="A127" s="330">
        <v>124</v>
      </c>
      <c r="B127" s="330" t="s">
        <v>349</v>
      </c>
      <c r="C127" s="330" t="s">
        <v>533</v>
      </c>
      <c r="D127" s="331">
        <v>45566</v>
      </c>
      <c r="E127" s="332">
        <v>2800</v>
      </c>
      <c r="F127" s="333">
        <v>4</v>
      </c>
      <c r="G127" s="334">
        <f t="shared" si="2"/>
        <v>11200</v>
      </c>
      <c r="H127" s="377" t="s">
        <v>563</v>
      </c>
    </row>
    <row r="128" spans="1:8" s="30" customFormat="1" ht="49.5" customHeight="1">
      <c r="A128" s="330">
        <v>125</v>
      </c>
      <c r="B128" s="330" t="s">
        <v>349</v>
      </c>
      <c r="C128" s="330" t="s">
        <v>532</v>
      </c>
      <c r="D128" s="331">
        <v>45566</v>
      </c>
      <c r="E128" s="332">
        <v>929</v>
      </c>
      <c r="F128" s="333">
        <v>2</v>
      </c>
      <c r="G128" s="334">
        <f t="shared" si="2"/>
        <v>1858</v>
      </c>
      <c r="H128" s="377" t="s">
        <v>563</v>
      </c>
    </row>
    <row r="129" spans="1:8" s="30" customFormat="1" ht="49.5" customHeight="1">
      <c r="A129" s="330">
        <v>126</v>
      </c>
      <c r="B129" s="330" t="s">
        <v>349</v>
      </c>
      <c r="C129" s="377" t="s">
        <v>556</v>
      </c>
      <c r="D129" s="331">
        <v>45566</v>
      </c>
      <c r="E129" s="332">
        <v>330</v>
      </c>
      <c r="F129" s="333">
        <v>6</v>
      </c>
      <c r="G129" s="334">
        <f t="shared" si="2"/>
        <v>1980</v>
      </c>
      <c r="H129" s="377" t="s">
        <v>563</v>
      </c>
    </row>
    <row r="130" spans="1:8" s="30" customFormat="1" ht="49.5" customHeight="1">
      <c r="A130" s="330">
        <v>127</v>
      </c>
      <c r="B130" s="330" t="s">
        <v>349</v>
      </c>
      <c r="C130" s="330" t="s">
        <v>534</v>
      </c>
      <c r="D130" s="331">
        <v>45566</v>
      </c>
      <c r="E130" s="332">
        <v>2800</v>
      </c>
      <c r="F130" s="333">
        <v>2</v>
      </c>
      <c r="G130" s="334">
        <f t="shared" si="2"/>
        <v>5600</v>
      </c>
      <c r="H130" s="377" t="s">
        <v>563</v>
      </c>
    </row>
    <row r="131" spans="1:8" s="30" customFormat="1" ht="49.5" customHeight="1">
      <c r="A131" s="330">
        <v>128</v>
      </c>
      <c r="B131" s="330" t="s">
        <v>349</v>
      </c>
      <c r="C131" s="330" t="s">
        <v>535</v>
      </c>
      <c r="D131" s="331">
        <v>45658</v>
      </c>
      <c r="E131" s="332">
        <v>700</v>
      </c>
      <c r="F131" s="333">
        <v>2</v>
      </c>
      <c r="G131" s="334">
        <f t="shared" si="2"/>
        <v>1400</v>
      </c>
      <c r="H131" s="377" t="s">
        <v>563</v>
      </c>
    </row>
    <row r="132" spans="1:8" s="30" customFormat="1" ht="49.5" customHeight="1">
      <c r="A132" s="330">
        <v>129</v>
      </c>
      <c r="B132" s="330" t="s">
        <v>349</v>
      </c>
      <c r="C132" s="330" t="s">
        <v>484</v>
      </c>
      <c r="D132" s="331">
        <v>45566</v>
      </c>
      <c r="E132" s="332">
        <v>2500</v>
      </c>
      <c r="F132" s="333">
        <v>4</v>
      </c>
      <c r="G132" s="334">
        <f t="shared" si="2"/>
        <v>10000</v>
      </c>
      <c r="H132" s="377" t="s">
        <v>563</v>
      </c>
    </row>
    <row r="133" spans="1:8" s="30" customFormat="1" ht="49.5" customHeight="1">
      <c r="A133" s="330">
        <v>130</v>
      </c>
      <c r="B133" s="330" t="s">
        <v>349</v>
      </c>
      <c r="C133" s="377" t="s">
        <v>557</v>
      </c>
      <c r="D133" s="331">
        <v>45566</v>
      </c>
      <c r="E133" s="332">
        <v>1900</v>
      </c>
      <c r="F133" s="333">
        <v>2</v>
      </c>
      <c r="G133" s="334">
        <f t="shared" si="2"/>
        <v>3800</v>
      </c>
      <c r="H133" s="377" t="s">
        <v>563</v>
      </c>
    </row>
    <row r="134" spans="1:8" s="30" customFormat="1" ht="49.5" customHeight="1">
      <c r="A134" s="330">
        <v>131</v>
      </c>
      <c r="B134" s="330" t="s">
        <v>349</v>
      </c>
      <c r="C134" s="330" t="s">
        <v>536</v>
      </c>
      <c r="D134" s="331">
        <v>45566</v>
      </c>
      <c r="E134" s="332">
        <v>2326.5</v>
      </c>
      <c r="F134" s="333">
        <v>2</v>
      </c>
      <c r="G134" s="334">
        <f t="shared" si="2"/>
        <v>4653</v>
      </c>
      <c r="H134" s="377" t="s">
        <v>563</v>
      </c>
    </row>
    <row r="135" spans="1:8" s="30" customFormat="1" ht="49.5" customHeight="1">
      <c r="A135" s="330">
        <v>132</v>
      </c>
      <c r="B135" s="330" t="s">
        <v>349</v>
      </c>
      <c r="C135" s="330" t="s">
        <v>537</v>
      </c>
      <c r="D135" s="331">
        <v>45566</v>
      </c>
      <c r="E135" s="332">
        <v>1134</v>
      </c>
      <c r="F135" s="333">
        <v>2</v>
      </c>
      <c r="G135" s="334">
        <f t="shared" si="2"/>
        <v>2268</v>
      </c>
      <c r="H135" s="377" t="s">
        <v>563</v>
      </c>
    </row>
    <row r="136" spans="1:8" s="30" customFormat="1" ht="49.5" customHeight="1">
      <c r="A136" s="330">
        <v>133</v>
      </c>
      <c r="B136" s="330" t="s">
        <v>349</v>
      </c>
      <c r="C136" s="330" t="s">
        <v>538</v>
      </c>
      <c r="D136" s="331">
        <v>45566</v>
      </c>
      <c r="E136" s="332">
        <v>1750</v>
      </c>
      <c r="F136" s="333">
        <v>2</v>
      </c>
      <c r="G136" s="334">
        <f t="shared" si="2"/>
        <v>3500</v>
      </c>
      <c r="H136" s="377" t="s">
        <v>563</v>
      </c>
    </row>
    <row r="137" spans="1:8" s="30" customFormat="1" ht="49.5" customHeight="1">
      <c r="A137" s="330">
        <v>134</v>
      </c>
      <c r="B137" s="330" t="s">
        <v>349</v>
      </c>
      <c r="C137" s="330" t="s">
        <v>486</v>
      </c>
      <c r="D137" s="331">
        <v>45566</v>
      </c>
      <c r="E137" s="332">
        <v>1200</v>
      </c>
      <c r="F137" s="333">
        <v>2</v>
      </c>
      <c r="G137" s="334">
        <f t="shared" si="2"/>
        <v>2400</v>
      </c>
      <c r="H137" s="377" t="s">
        <v>563</v>
      </c>
    </row>
    <row r="138" spans="1:8" s="30" customFormat="1" ht="49.5" customHeight="1">
      <c r="A138" s="330">
        <v>135</v>
      </c>
      <c r="B138" s="330" t="s">
        <v>349</v>
      </c>
      <c r="C138" s="330" t="s">
        <v>490</v>
      </c>
      <c r="D138" s="331">
        <v>45566</v>
      </c>
      <c r="E138" s="332">
        <v>400</v>
      </c>
      <c r="F138" s="333">
        <v>29</v>
      </c>
      <c r="G138" s="334">
        <f t="shared" si="2"/>
        <v>11600</v>
      </c>
      <c r="H138" s="377" t="s">
        <v>563</v>
      </c>
    </row>
    <row r="139" spans="1:8" s="30" customFormat="1" ht="49.5" customHeight="1">
      <c r="A139" s="330">
        <v>136</v>
      </c>
      <c r="B139" s="330" t="s">
        <v>349</v>
      </c>
      <c r="C139" s="330" t="s">
        <v>491</v>
      </c>
      <c r="D139" s="331">
        <v>45566</v>
      </c>
      <c r="E139" s="332">
        <v>400</v>
      </c>
      <c r="F139" s="333">
        <v>12</v>
      </c>
      <c r="G139" s="334">
        <f t="shared" si="2"/>
        <v>4800</v>
      </c>
      <c r="H139" s="377" t="s">
        <v>563</v>
      </c>
    </row>
    <row r="140" spans="1:8" s="30" customFormat="1" ht="49.5" customHeight="1">
      <c r="A140" s="330">
        <v>137</v>
      </c>
      <c r="B140" s="330" t="s">
        <v>349</v>
      </c>
      <c r="C140" s="330" t="s">
        <v>539</v>
      </c>
      <c r="D140" s="331">
        <v>45566</v>
      </c>
      <c r="E140" s="332">
        <v>450</v>
      </c>
      <c r="F140" s="333">
        <v>2</v>
      </c>
      <c r="G140" s="334">
        <f t="shared" si="2"/>
        <v>900</v>
      </c>
      <c r="H140" s="377" t="s">
        <v>563</v>
      </c>
    </row>
    <row r="141" spans="1:8" s="30" customFormat="1" ht="49.5" customHeight="1">
      <c r="A141" s="330">
        <v>138</v>
      </c>
      <c r="B141" s="330" t="s">
        <v>349</v>
      </c>
      <c r="C141" s="330" t="s">
        <v>518</v>
      </c>
      <c r="D141" s="331">
        <v>45566</v>
      </c>
      <c r="E141" s="332">
        <v>2100</v>
      </c>
      <c r="F141" s="333">
        <v>2</v>
      </c>
      <c r="G141" s="334">
        <f t="shared" si="2"/>
        <v>4200</v>
      </c>
      <c r="H141" s="377" t="s">
        <v>563</v>
      </c>
    </row>
    <row r="142" spans="1:8" s="30" customFormat="1" ht="49.5" customHeight="1">
      <c r="A142" s="330">
        <v>139</v>
      </c>
      <c r="B142" s="330" t="s">
        <v>349</v>
      </c>
      <c r="C142" s="330" t="s">
        <v>519</v>
      </c>
      <c r="D142" s="331">
        <v>45566</v>
      </c>
      <c r="E142" s="332">
        <v>3000</v>
      </c>
      <c r="F142" s="333">
        <v>2</v>
      </c>
      <c r="G142" s="334">
        <f t="shared" si="2"/>
        <v>6000</v>
      </c>
      <c r="H142" s="377" t="s">
        <v>563</v>
      </c>
    </row>
    <row r="143" spans="1:8" s="30" customFormat="1" ht="49.5" customHeight="1">
      <c r="A143" s="330">
        <v>140</v>
      </c>
      <c r="B143" s="330" t="s">
        <v>349</v>
      </c>
      <c r="C143" s="330" t="s">
        <v>540</v>
      </c>
      <c r="D143" s="331">
        <v>45566</v>
      </c>
      <c r="E143" s="332">
        <v>300</v>
      </c>
      <c r="F143" s="333">
        <v>10</v>
      </c>
      <c r="G143" s="334">
        <f t="shared" si="2"/>
        <v>3000</v>
      </c>
      <c r="H143" s="377" t="s">
        <v>563</v>
      </c>
    </row>
    <row r="144" spans="1:8" s="30" customFormat="1" ht="49.5" customHeight="1">
      <c r="A144" s="330">
        <v>141</v>
      </c>
      <c r="B144" s="330" t="s">
        <v>349</v>
      </c>
      <c r="C144" s="330" t="s">
        <v>520</v>
      </c>
      <c r="D144" s="331">
        <v>45566</v>
      </c>
      <c r="E144" s="332">
        <v>750</v>
      </c>
      <c r="F144" s="333">
        <v>2</v>
      </c>
      <c r="G144" s="334">
        <f t="shared" si="2"/>
        <v>1500</v>
      </c>
      <c r="H144" s="377" t="s">
        <v>563</v>
      </c>
    </row>
    <row r="145" spans="1:8" s="30" customFormat="1" ht="49.5" customHeight="1">
      <c r="A145" s="330">
        <v>142</v>
      </c>
      <c r="B145" s="330" t="s">
        <v>349</v>
      </c>
      <c r="C145" s="330" t="s">
        <v>521</v>
      </c>
      <c r="D145" s="331">
        <v>45566</v>
      </c>
      <c r="E145" s="332">
        <v>350</v>
      </c>
      <c r="F145" s="333">
        <v>4</v>
      </c>
      <c r="G145" s="334">
        <f t="shared" si="2"/>
        <v>1400</v>
      </c>
      <c r="H145" s="377" t="s">
        <v>563</v>
      </c>
    </row>
    <row r="146" spans="1:8" s="30" customFormat="1" ht="49.5" customHeight="1">
      <c r="A146" s="330">
        <v>143</v>
      </c>
      <c r="B146" s="330" t="s">
        <v>349</v>
      </c>
      <c r="C146" s="376" t="s">
        <v>496</v>
      </c>
      <c r="D146" s="331">
        <v>45566</v>
      </c>
      <c r="E146" s="332">
        <v>116</v>
      </c>
      <c r="F146" s="333">
        <v>2</v>
      </c>
      <c r="G146" s="334">
        <f t="shared" si="2"/>
        <v>232</v>
      </c>
      <c r="H146" s="377" t="s">
        <v>563</v>
      </c>
    </row>
    <row r="147" spans="1:8" s="30" customFormat="1" ht="49.5" customHeight="1">
      <c r="A147" s="330">
        <v>144</v>
      </c>
      <c r="B147" s="330" t="s">
        <v>349</v>
      </c>
      <c r="C147" s="330" t="s">
        <v>497</v>
      </c>
      <c r="D147" s="331">
        <v>45566</v>
      </c>
      <c r="E147" s="332">
        <v>144.5</v>
      </c>
      <c r="F147" s="333">
        <v>4</v>
      </c>
      <c r="G147" s="334">
        <f t="shared" si="2"/>
        <v>578</v>
      </c>
      <c r="H147" s="377" t="s">
        <v>563</v>
      </c>
    </row>
    <row r="148" spans="1:8" s="30" customFormat="1" ht="49.5" customHeight="1">
      <c r="A148" s="330">
        <v>145</v>
      </c>
      <c r="B148" s="330" t="s">
        <v>349</v>
      </c>
      <c r="C148" s="330" t="s">
        <v>541</v>
      </c>
      <c r="D148" s="331">
        <v>45566</v>
      </c>
      <c r="E148" s="332">
        <v>140</v>
      </c>
      <c r="F148" s="333">
        <v>2</v>
      </c>
      <c r="G148" s="334">
        <f t="shared" si="2"/>
        <v>280</v>
      </c>
      <c r="H148" s="377" t="s">
        <v>563</v>
      </c>
    </row>
    <row r="149" spans="1:8" s="30" customFormat="1" ht="49.5" customHeight="1">
      <c r="A149" s="330">
        <v>146</v>
      </c>
      <c r="B149" s="330" t="s">
        <v>349</v>
      </c>
      <c r="C149" s="330" t="s">
        <v>542</v>
      </c>
      <c r="D149" s="331">
        <v>45566</v>
      </c>
      <c r="E149" s="332">
        <v>450</v>
      </c>
      <c r="F149" s="333">
        <v>2</v>
      </c>
      <c r="G149" s="334">
        <f t="shared" si="2"/>
        <v>900</v>
      </c>
      <c r="H149" s="377" t="s">
        <v>563</v>
      </c>
    </row>
    <row r="150" spans="1:8" s="30" customFormat="1" ht="54" customHeight="1">
      <c r="A150" s="330">
        <v>147</v>
      </c>
      <c r="B150" s="330" t="s">
        <v>327</v>
      </c>
      <c r="C150" s="330" t="s">
        <v>621</v>
      </c>
      <c r="D150" s="331">
        <v>45292</v>
      </c>
      <c r="E150" s="332">
        <v>6000</v>
      </c>
      <c r="F150" s="333">
        <v>6</v>
      </c>
      <c r="G150" s="334">
        <f t="shared" si="2"/>
        <v>36000</v>
      </c>
      <c r="H150" s="330" t="s">
        <v>620</v>
      </c>
    </row>
    <row r="151" spans="1:8" s="30" customFormat="1" ht="46.5" customHeight="1">
      <c r="A151" s="330">
        <v>148</v>
      </c>
      <c r="B151" s="330" t="s">
        <v>331</v>
      </c>
      <c r="C151" s="330" t="s">
        <v>622</v>
      </c>
      <c r="D151" s="331">
        <v>45292</v>
      </c>
      <c r="E151" s="332">
        <v>1400</v>
      </c>
      <c r="F151" s="333">
        <v>6</v>
      </c>
      <c r="G151" s="334">
        <f t="shared" si="2"/>
        <v>8400</v>
      </c>
      <c r="H151" s="330" t="s">
        <v>620</v>
      </c>
    </row>
    <row r="152" spans="1:8" s="30" customFormat="1" ht="27.75" customHeight="1">
      <c r="A152" s="330">
        <v>149</v>
      </c>
      <c r="B152" s="330" t="s">
        <v>325</v>
      </c>
      <c r="C152" s="330" t="s">
        <v>462</v>
      </c>
      <c r="D152" s="331">
        <v>45748</v>
      </c>
      <c r="E152" s="332">
        <v>1925</v>
      </c>
      <c r="F152" s="333">
        <v>16</v>
      </c>
      <c r="G152" s="334">
        <f t="shared" si="2"/>
        <v>30800</v>
      </c>
      <c r="H152" s="330" t="s">
        <v>688</v>
      </c>
    </row>
    <row r="153" spans="1:8" s="30" customFormat="1" ht="28.5" customHeight="1">
      <c r="A153" s="330">
        <v>150</v>
      </c>
      <c r="B153" s="330" t="s">
        <v>325</v>
      </c>
      <c r="C153" s="330" t="s">
        <v>462</v>
      </c>
      <c r="D153" s="331">
        <v>46447</v>
      </c>
      <c r="E153" s="332">
        <v>2250</v>
      </c>
      <c r="F153" s="333">
        <v>19</v>
      </c>
      <c r="G153" s="334">
        <f t="shared" si="2"/>
        <v>42750</v>
      </c>
      <c r="H153" s="330" t="s">
        <v>688</v>
      </c>
    </row>
    <row r="154" spans="1:8" s="30" customFormat="1" ht="29.25" customHeight="1">
      <c r="A154" s="330">
        <v>151</v>
      </c>
      <c r="B154" s="330" t="s">
        <v>325</v>
      </c>
      <c r="C154" s="330" t="s">
        <v>462</v>
      </c>
      <c r="D154" s="331">
        <v>46844</v>
      </c>
      <c r="E154" s="332">
        <v>2400</v>
      </c>
      <c r="F154" s="333">
        <v>10</v>
      </c>
      <c r="G154" s="334">
        <f t="shared" si="2"/>
        <v>24000</v>
      </c>
      <c r="H154" s="330" t="s">
        <v>688</v>
      </c>
    </row>
    <row r="155" spans="1:8" s="30" customFormat="1" ht="24" customHeight="1">
      <c r="A155" s="330">
        <v>152</v>
      </c>
      <c r="B155" s="330" t="s">
        <v>327</v>
      </c>
      <c r="C155" s="330" t="s">
        <v>463</v>
      </c>
      <c r="D155" s="331">
        <v>45748</v>
      </c>
      <c r="E155" s="332">
        <v>2900</v>
      </c>
      <c r="F155" s="333">
        <v>38</v>
      </c>
      <c r="G155" s="334">
        <f t="shared" si="2"/>
        <v>110200</v>
      </c>
      <c r="H155" s="330" t="s">
        <v>689</v>
      </c>
    </row>
    <row r="156" spans="1:8" s="30" customFormat="1" ht="18.75" customHeight="1">
      <c r="A156" s="330">
        <v>153</v>
      </c>
      <c r="B156" s="330" t="s">
        <v>327</v>
      </c>
      <c r="C156" s="330" t="s">
        <v>466</v>
      </c>
      <c r="D156" s="331">
        <v>45748</v>
      </c>
      <c r="E156" s="332">
        <v>580</v>
      </c>
      <c r="F156" s="333">
        <v>9</v>
      </c>
      <c r="G156" s="334">
        <f t="shared" si="2"/>
        <v>5220</v>
      </c>
      <c r="H156" s="330" t="s">
        <v>690</v>
      </c>
    </row>
    <row r="157" spans="1:8" s="30" customFormat="1" ht="18.75" customHeight="1">
      <c r="A157" s="330">
        <v>154</v>
      </c>
      <c r="B157" s="330" t="s">
        <v>327</v>
      </c>
      <c r="C157" s="330" t="s">
        <v>625</v>
      </c>
      <c r="D157" s="331">
        <v>45748</v>
      </c>
      <c r="E157" s="332">
        <v>1700</v>
      </c>
      <c r="F157" s="333">
        <v>10</v>
      </c>
      <c r="G157" s="334">
        <f t="shared" si="2"/>
        <v>17000</v>
      </c>
      <c r="H157" s="330" t="s">
        <v>690</v>
      </c>
    </row>
    <row r="158" spans="1:8" s="30" customFormat="1" ht="18.75" customHeight="1">
      <c r="A158" s="330">
        <v>155</v>
      </c>
      <c r="B158" s="330" t="s">
        <v>333</v>
      </c>
      <c r="C158" s="330" t="s">
        <v>467</v>
      </c>
      <c r="D158" s="331">
        <v>45748</v>
      </c>
      <c r="E158" s="332">
        <v>1750</v>
      </c>
      <c r="F158" s="333">
        <v>19</v>
      </c>
      <c r="G158" s="334">
        <f t="shared" si="2"/>
        <v>33250</v>
      </c>
      <c r="H158" s="330" t="s">
        <v>691</v>
      </c>
    </row>
    <row r="159" spans="1:8" s="30" customFormat="1" ht="18.75" customHeight="1">
      <c r="A159" s="330">
        <v>156</v>
      </c>
      <c r="B159" s="330" t="s">
        <v>333</v>
      </c>
      <c r="C159" s="330" t="s">
        <v>468</v>
      </c>
      <c r="D159" s="331">
        <v>45748</v>
      </c>
      <c r="E159" s="332">
        <v>2050</v>
      </c>
      <c r="F159" s="333">
        <v>19</v>
      </c>
      <c r="G159" s="334">
        <f t="shared" si="2"/>
        <v>38950</v>
      </c>
      <c r="H159" s="330" t="s">
        <v>691</v>
      </c>
    </row>
    <row r="160" spans="1:8" s="30" customFormat="1" ht="18.75" customHeight="1">
      <c r="A160" s="330">
        <v>157</v>
      </c>
      <c r="B160" s="330" t="s">
        <v>335</v>
      </c>
      <c r="C160" s="330" t="s">
        <v>469</v>
      </c>
      <c r="D160" s="331">
        <v>45748</v>
      </c>
      <c r="E160" s="332">
        <v>600</v>
      </c>
      <c r="F160" s="333">
        <v>10</v>
      </c>
      <c r="G160" s="334">
        <f t="shared" ref="G160:G208" si="3">F160*E160</f>
        <v>6000</v>
      </c>
      <c r="H160" s="330" t="s">
        <v>692</v>
      </c>
    </row>
    <row r="161" spans="1:8" s="30" customFormat="1" ht="18.75" customHeight="1">
      <c r="A161" s="330">
        <v>158</v>
      </c>
      <c r="B161" s="330" t="s">
        <v>335</v>
      </c>
      <c r="C161" s="330" t="s">
        <v>470</v>
      </c>
      <c r="D161" s="331">
        <v>45748</v>
      </c>
      <c r="E161" s="332">
        <v>750</v>
      </c>
      <c r="F161" s="333">
        <v>10</v>
      </c>
      <c r="G161" s="334">
        <f t="shared" si="3"/>
        <v>7500</v>
      </c>
      <c r="H161" s="330" t="s">
        <v>692</v>
      </c>
    </row>
    <row r="162" spans="1:8" s="30" customFormat="1" ht="18.75" customHeight="1">
      <c r="A162" s="330">
        <v>159</v>
      </c>
      <c r="B162" s="330" t="s">
        <v>335</v>
      </c>
      <c r="C162" s="330" t="s">
        <v>476</v>
      </c>
      <c r="D162" s="331">
        <v>45809</v>
      </c>
      <c r="E162" s="332">
        <v>1100</v>
      </c>
      <c r="F162" s="333">
        <v>19</v>
      </c>
      <c r="G162" s="334">
        <f t="shared" si="3"/>
        <v>20900</v>
      </c>
      <c r="H162" s="330" t="s">
        <v>692</v>
      </c>
    </row>
    <row r="163" spans="1:8" s="30" customFormat="1" ht="18.75" customHeight="1">
      <c r="A163" s="330">
        <v>160</v>
      </c>
      <c r="B163" s="330" t="s">
        <v>335</v>
      </c>
      <c r="C163" s="330" t="s">
        <v>477</v>
      </c>
      <c r="D163" s="331">
        <v>45809</v>
      </c>
      <c r="E163" s="332">
        <v>1500</v>
      </c>
      <c r="F163" s="333">
        <v>19</v>
      </c>
      <c r="G163" s="334">
        <f t="shared" si="3"/>
        <v>28500</v>
      </c>
      <c r="H163" s="330" t="s">
        <v>692</v>
      </c>
    </row>
    <row r="164" spans="1:8" s="30" customFormat="1" ht="18.75" customHeight="1">
      <c r="A164" s="330">
        <v>161</v>
      </c>
      <c r="B164" s="330" t="s">
        <v>335</v>
      </c>
      <c r="C164" s="330" t="s">
        <v>478</v>
      </c>
      <c r="D164" s="331">
        <v>45809</v>
      </c>
      <c r="E164" s="332">
        <v>2500</v>
      </c>
      <c r="F164" s="333">
        <v>19</v>
      </c>
      <c r="G164" s="334">
        <f t="shared" si="3"/>
        <v>47500</v>
      </c>
      <c r="H164" s="330" t="s">
        <v>692</v>
      </c>
    </row>
    <row r="165" spans="1:8" s="30" customFormat="1" ht="18.75" customHeight="1">
      <c r="A165" s="330">
        <v>162</v>
      </c>
      <c r="B165" s="330" t="s">
        <v>335</v>
      </c>
      <c r="C165" s="330" t="s">
        <v>476</v>
      </c>
      <c r="D165" s="331">
        <v>45748</v>
      </c>
      <c r="E165" s="332">
        <v>1100</v>
      </c>
      <c r="F165" s="333">
        <v>19</v>
      </c>
      <c r="G165" s="334">
        <f t="shared" si="3"/>
        <v>20900</v>
      </c>
      <c r="H165" s="330" t="s">
        <v>692</v>
      </c>
    </row>
    <row r="166" spans="1:8" s="30" customFormat="1" ht="18.75" customHeight="1">
      <c r="A166" s="330">
        <v>163</v>
      </c>
      <c r="B166" s="330" t="s">
        <v>335</v>
      </c>
      <c r="C166" s="330" t="s">
        <v>477</v>
      </c>
      <c r="D166" s="331">
        <v>46539</v>
      </c>
      <c r="E166" s="332">
        <v>1500</v>
      </c>
      <c r="F166" s="333">
        <v>19</v>
      </c>
      <c r="G166" s="334">
        <f t="shared" si="3"/>
        <v>28500</v>
      </c>
      <c r="H166" s="330" t="s">
        <v>692</v>
      </c>
    </row>
    <row r="167" spans="1:8" s="30" customFormat="1" ht="18.75" customHeight="1">
      <c r="A167" s="330">
        <v>164</v>
      </c>
      <c r="B167" s="330" t="s">
        <v>335</v>
      </c>
      <c r="C167" s="330" t="s">
        <v>478</v>
      </c>
      <c r="D167" s="331">
        <v>46539</v>
      </c>
      <c r="E167" s="332">
        <v>2500</v>
      </c>
      <c r="F167" s="333">
        <v>19</v>
      </c>
      <c r="G167" s="334">
        <f t="shared" si="3"/>
        <v>47500</v>
      </c>
      <c r="H167" s="330" t="s">
        <v>692</v>
      </c>
    </row>
    <row r="168" spans="1:8" s="30" customFormat="1" ht="18.75" customHeight="1">
      <c r="A168" s="330">
        <v>165</v>
      </c>
      <c r="B168" s="330" t="s">
        <v>335</v>
      </c>
      <c r="C168" s="330" t="s">
        <v>479</v>
      </c>
      <c r="D168" s="331">
        <v>45992</v>
      </c>
      <c r="E168" s="332">
        <v>500</v>
      </c>
      <c r="F168" s="333">
        <v>15</v>
      </c>
      <c r="G168" s="334">
        <f t="shared" si="3"/>
        <v>7500</v>
      </c>
      <c r="H168" s="330" t="s">
        <v>692</v>
      </c>
    </row>
    <row r="169" spans="1:8" s="30" customFormat="1" ht="18.75" customHeight="1">
      <c r="A169" s="330">
        <v>166</v>
      </c>
      <c r="B169" s="330" t="s">
        <v>335</v>
      </c>
      <c r="C169" s="330" t="s">
        <v>481</v>
      </c>
      <c r="D169" s="331">
        <v>45809</v>
      </c>
      <c r="E169" s="332">
        <v>200</v>
      </c>
      <c r="F169" s="333">
        <v>38</v>
      </c>
      <c r="G169" s="334">
        <f t="shared" si="3"/>
        <v>7600</v>
      </c>
      <c r="H169" s="330" t="s">
        <v>692</v>
      </c>
    </row>
    <row r="170" spans="1:8" s="30" customFormat="1" ht="18.75" customHeight="1">
      <c r="A170" s="330">
        <v>167</v>
      </c>
      <c r="B170" s="330" t="s">
        <v>335</v>
      </c>
      <c r="C170" s="330" t="s">
        <v>481</v>
      </c>
      <c r="D170" s="331">
        <v>46539</v>
      </c>
      <c r="E170" s="332">
        <v>240</v>
      </c>
      <c r="F170" s="333">
        <v>38</v>
      </c>
      <c r="G170" s="334">
        <f t="shared" si="3"/>
        <v>9120</v>
      </c>
      <c r="H170" s="330" t="s">
        <v>692</v>
      </c>
    </row>
    <row r="171" spans="1:8" s="30" customFormat="1" ht="18.75" customHeight="1">
      <c r="A171" s="330">
        <v>168</v>
      </c>
      <c r="B171" s="330" t="s">
        <v>349</v>
      </c>
      <c r="C171" s="330" t="s">
        <v>534</v>
      </c>
      <c r="D171" s="331">
        <v>45992</v>
      </c>
      <c r="E171" s="332">
        <v>2800</v>
      </c>
      <c r="F171" s="333">
        <v>4</v>
      </c>
      <c r="G171" s="334">
        <f t="shared" si="3"/>
        <v>11200</v>
      </c>
      <c r="H171" s="330" t="s">
        <v>693</v>
      </c>
    </row>
    <row r="172" spans="1:8" s="30" customFormat="1" ht="18.75" customHeight="1">
      <c r="A172" s="330">
        <v>169</v>
      </c>
      <c r="B172" s="330" t="s">
        <v>349</v>
      </c>
      <c r="C172" s="330" t="s">
        <v>534</v>
      </c>
      <c r="D172" s="331">
        <v>45870</v>
      </c>
      <c r="E172" s="332">
        <v>2800</v>
      </c>
      <c r="F172" s="333">
        <v>4</v>
      </c>
      <c r="G172" s="334">
        <f t="shared" si="3"/>
        <v>11200</v>
      </c>
      <c r="H172" s="330" t="s">
        <v>693</v>
      </c>
    </row>
    <row r="173" spans="1:8" s="30" customFormat="1" ht="18.75" customHeight="1">
      <c r="A173" s="330">
        <v>170</v>
      </c>
      <c r="B173" s="330" t="s">
        <v>349</v>
      </c>
      <c r="C173" s="330" t="s">
        <v>534</v>
      </c>
      <c r="D173" s="331">
        <v>45748</v>
      </c>
      <c r="E173" s="332">
        <v>2800</v>
      </c>
      <c r="F173" s="333">
        <v>4</v>
      </c>
      <c r="G173" s="334">
        <f t="shared" si="3"/>
        <v>11200</v>
      </c>
      <c r="H173" s="330" t="s">
        <v>693</v>
      </c>
    </row>
    <row r="174" spans="1:8" s="30" customFormat="1" ht="18.75" customHeight="1">
      <c r="A174" s="330">
        <v>171</v>
      </c>
      <c r="B174" s="330" t="s">
        <v>349</v>
      </c>
      <c r="C174" s="330" t="s">
        <v>534</v>
      </c>
      <c r="D174" s="331">
        <v>46600</v>
      </c>
      <c r="E174" s="332">
        <v>2800</v>
      </c>
      <c r="F174" s="333">
        <v>4</v>
      </c>
      <c r="G174" s="334">
        <f t="shared" si="3"/>
        <v>11200</v>
      </c>
      <c r="H174" s="330" t="s">
        <v>693</v>
      </c>
    </row>
    <row r="175" spans="1:8" s="30" customFormat="1" ht="18.75" customHeight="1">
      <c r="A175" s="330">
        <v>172</v>
      </c>
      <c r="B175" s="330" t="s">
        <v>349</v>
      </c>
      <c r="C175" s="330" t="s">
        <v>534</v>
      </c>
      <c r="D175" s="331">
        <v>46966</v>
      </c>
      <c r="E175" s="332">
        <v>2800</v>
      </c>
      <c r="F175" s="333">
        <v>4</v>
      </c>
      <c r="G175" s="334">
        <f t="shared" si="3"/>
        <v>11200</v>
      </c>
      <c r="H175" s="330" t="s">
        <v>693</v>
      </c>
    </row>
    <row r="176" spans="1:8" s="30" customFormat="1" ht="18.75" customHeight="1">
      <c r="A176" s="330">
        <v>173</v>
      </c>
      <c r="B176" s="330" t="s">
        <v>335</v>
      </c>
      <c r="C176" s="377" t="s">
        <v>555</v>
      </c>
      <c r="D176" s="331">
        <v>45689</v>
      </c>
      <c r="E176" s="332">
        <v>1100</v>
      </c>
      <c r="F176" s="333">
        <v>8</v>
      </c>
      <c r="G176" s="334">
        <f t="shared" si="3"/>
        <v>8800</v>
      </c>
      <c r="H176" s="330" t="s">
        <v>693</v>
      </c>
    </row>
    <row r="177" spans="1:8" s="30" customFormat="1" ht="18.75" customHeight="1">
      <c r="A177" s="330">
        <v>174</v>
      </c>
      <c r="B177" s="330" t="s">
        <v>335</v>
      </c>
      <c r="C177" s="377" t="s">
        <v>555</v>
      </c>
      <c r="D177" s="331">
        <v>46082</v>
      </c>
      <c r="E177" s="332">
        <v>1100</v>
      </c>
      <c r="F177" s="333">
        <v>8</v>
      </c>
      <c r="G177" s="334">
        <f t="shared" si="3"/>
        <v>8800</v>
      </c>
      <c r="H177" s="330" t="s">
        <v>693</v>
      </c>
    </row>
    <row r="178" spans="1:8" s="30" customFormat="1" ht="18.75" customHeight="1">
      <c r="A178" s="330">
        <v>175</v>
      </c>
      <c r="B178" s="330" t="s">
        <v>335</v>
      </c>
      <c r="C178" s="377" t="s">
        <v>555</v>
      </c>
      <c r="D178" s="331">
        <v>46478</v>
      </c>
      <c r="E178" s="332">
        <v>1100</v>
      </c>
      <c r="F178" s="333">
        <v>8</v>
      </c>
      <c r="G178" s="334">
        <f t="shared" si="3"/>
        <v>8800</v>
      </c>
      <c r="H178" s="330" t="s">
        <v>693</v>
      </c>
    </row>
    <row r="179" spans="1:8" s="30" customFormat="1" ht="18.75" customHeight="1">
      <c r="A179" s="330">
        <v>176</v>
      </c>
      <c r="B179" s="330" t="s">
        <v>335</v>
      </c>
      <c r="C179" s="377" t="s">
        <v>555</v>
      </c>
      <c r="D179" s="331">
        <v>46874</v>
      </c>
      <c r="E179" s="332">
        <v>1100</v>
      </c>
      <c r="F179" s="333">
        <v>8</v>
      </c>
      <c r="G179" s="334">
        <f t="shared" si="3"/>
        <v>8800</v>
      </c>
      <c r="H179" s="330" t="s">
        <v>693</v>
      </c>
    </row>
    <row r="180" spans="1:8" s="30" customFormat="1" ht="18.75" customHeight="1">
      <c r="A180" s="330">
        <v>177</v>
      </c>
      <c r="B180" s="330" t="s">
        <v>349</v>
      </c>
      <c r="C180" s="330" t="s">
        <v>533</v>
      </c>
      <c r="D180" s="331">
        <v>45748</v>
      </c>
      <c r="E180" s="332">
        <v>2800</v>
      </c>
      <c r="F180" s="333">
        <v>5</v>
      </c>
      <c r="G180" s="334">
        <f t="shared" si="3"/>
        <v>14000</v>
      </c>
      <c r="H180" s="330" t="s">
        <v>693</v>
      </c>
    </row>
    <row r="181" spans="1:8" s="30" customFormat="1" ht="18.75" customHeight="1">
      <c r="A181" s="330">
        <v>178</v>
      </c>
      <c r="B181" s="330" t="s">
        <v>349</v>
      </c>
      <c r="C181" s="330" t="s">
        <v>533</v>
      </c>
      <c r="D181" s="331">
        <v>46478</v>
      </c>
      <c r="E181" s="332">
        <v>2800</v>
      </c>
      <c r="F181" s="333">
        <v>5</v>
      </c>
      <c r="G181" s="334">
        <f t="shared" si="3"/>
        <v>14000</v>
      </c>
      <c r="H181" s="330" t="s">
        <v>693</v>
      </c>
    </row>
    <row r="182" spans="1:8" s="30" customFormat="1" ht="18.75" customHeight="1">
      <c r="A182" s="330">
        <v>179</v>
      </c>
      <c r="B182" s="330" t="s">
        <v>349</v>
      </c>
      <c r="C182" s="376" t="s">
        <v>496</v>
      </c>
      <c r="D182" s="331">
        <v>45689</v>
      </c>
      <c r="E182" s="332">
        <v>116</v>
      </c>
      <c r="F182" s="333">
        <v>5</v>
      </c>
      <c r="G182" s="334">
        <f t="shared" si="3"/>
        <v>580</v>
      </c>
      <c r="H182" s="330" t="s">
        <v>693</v>
      </c>
    </row>
    <row r="183" spans="1:8" s="30" customFormat="1" ht="18.75" customHeight="1">
      <c r="A183" s="330">
        <v>180</v>
      </c>
      <c r="B183" s="330" t="s">
        <v>349</v>
      </c>
      <c r="C183" s="330" t="s">
        <v>497</v>
      </c>
      <c r="D183" s="331">
        <v>45658</v>
      </c>
      <c r="E183" s="332">
        <v>144.5</v>
      </c>
      <c r="F183" s="333">
        <v>5</v>
      </c>
      <c r="G183" s="334">
        <f t="shared" si="3"/>
        <v>722.5</v>
      </c>
      <c r="H183" s="330" t="s">
        <v>693</v>
      </c>
    </row>
    <row r="184" spans="1:8" s="30" customFormat="1" ht="18.75" customHeight="1">
      <c r="A184" s="330">
        <v>181</v>
      </c>
      <c r="B184" s="330" t="s">
        <v>349</v>
      </c>
      <c r="C184" s="330" t="s">
        <v>541</v>
      </c>
      <c r="D184" s="331">
        <v>45658</v>
      </c>
      <c r="E184" s="332">
        <v>140</v>
      </c>
      <c r="F184" s="333">
        <v>5</v>
      </c>
      <c r="G184" s="334">
        <f t="shared" si="3"/>
        <v>700</v>
      </c>
      <c r="H184" s="330" t="s">
        <v>693</v>
      </c>
    </row>
    <row r="185" spans="1:8" s="30" customFormat="1" ht="18.75" customHeight="1">
      <c r="A185" s="330">
        <v>182</v>
      </c>
      <c r="B185" s="330" t="s">
        <v>349</v>
      </c>
      <c r="C185" s="376" t="s">
        <v>496</v>
      </c>
      <c r="D185" s="331">
        <v>46023</v>
      </c>
      <c r="E185" s="332">
        <v>116</v>
      </c>
      <c r="F185" s="333">
        <v>5</v>
      </c>
      <c r="G185" s="334">
        <f t="shared" si="3"/>
        <v>580</v>
      </c>
      <c r="H185" s="330" t="s">
        <v>693</v>
      </c>
    </row>
    <row r="186" spans="1:8" s="30" customFormat="1" ht="18.75" customHeight="1">
      <c r="A186" s="330">
        <v>183</v>
      </c>
      <c r="B186" s="330" t="s">
        <v>349</v>
      </c>
      <c r="C186" s="330" t="s">
        <v>497</v>
      </c>
      <c r="D186" s="331">
        <v>46023</v>
      </c>
      <c r="E186" s="332">
        <v>144.5</v>
      </c>
      <c r="F186" s="333">
        <v>5</v>
      </c>
      <c r="G186" s="334">
        <f t="shared" si="3"/>
        <v>722.5</v>
      </c>
      <c r="H186" s="330" t="s">
        <v>693</v>
      </c>
    </row>
    <row r="187" spans="1:8" s="30" customFormat="1" ht="18.75" customHeight="1">
      <c r="A187" s="330">
        <v>184</v>
      </c>
      <c r="B187" s="330" t="s">
        <v>349</v>
      </c>
      <c r="C187" s="330" t="s">
        <v>541</v>
      </c>
      <c r="D187" s="331">
        <v>46023</v>
      </c>
      <c r="E187" s="332">
        <v>140</v>
      </c>
      <c r="F187" s="333">
        <v>5</v>
      </c>
      <c r="G187" s="334">
        <f t="shared" si="3"/>
        <v>700</v>
      </c>
      <c r="H187" s="330" t="s">
        <v>693</v>
      </c>
    </row>
    <row r="188" spans="1:8" s="30" customFormat="1" ht="18.75" customHeight="1">
      <c r="A188" s="330">
        <v>185</v>
      </c>
      <c r="B188" s="330" t="s">
        <v>349</v>
      </c>
      <c r="C188" s="376" t="s">
        <v>496</v>
      </c>
      <c r="D188" s="331">
        <v>46388</v>
      </c>
      <c r="E188" s="332">
        <v>116</v>
      </c>
      <c r="F188" s="333">
        <v>5</v>
      </c>
      <c r="G188" s="334">
        <f t="shared" si="3"/>
        <v>580</v>
      </c>
      <c r="H188" s="330" t="s">
        <v>693</v>
      </c>
    </row>
    <row r="189" spans="1:8" s="30" customFormat="1" ht="18.75" customHeight="1">
      <c r="A189" s="330">
        <v>186</v>
      </c>
      <c r="B189" s="330" t="s">
        <v>349</v>
      </c>
      <c r="C189" s="330" t="s">
        <v>497</v>
      </c>
      <c r="D189" s="331">
        <v>46388</v>
      </c>
      <c r="E189" s="332">
        <v>144.5</v>
      </c>
      <c r="F189" s="333">
        <v>5</v>
      </c>
      <c r="G189" s="334">
        <f t="shared" si="3"/>
        <v>722.5</v>
      </c>
      <c r="H189" s="330" t="s">
        <v>693</v>
      </c>
    </row>
    <row r="190" spans="1:8" s="30" customFormat="1" ht="18.75" customHeight="1">
      <c r="A190" s="330">
        <v>187</v>
      </c>
      <c r="B190" s="330" t="s">
        <v>349</v>
      </c>
      <c r="C190" s="330" t="s">
        <v>541</v>
      </c>
      <c r="D190" s="331">
        <v>46388</v>
      </c>
      <c r="E190" s="332">
        <v>140</v>
      </c>
      <c r="F190" s="333">
        <v>5</v>
      </c>
      <c r="G190" s="334">
        <f t="shared" si="3"/>
        <v>700</v>
      </c>
      <c r="H190" s="330" t="s">
        <v>693</v>
      </c>
    </row>
    <row r="191" spans="1:8" s="30" customFormat="1" ht="18.75" customHeight="1">
      <c r="A191" s="330">
        <v>188</v>
      </c>
      <c r="B191" s="330" t="s">
        <v>349</v>
      </c>
      <c r="C191" s="376" t="s">
        <v>496</v>
      </c>
      <c r="D191" s="331">
        <v>46753</v>
      </c>
      <c r="E191" s="332">
        <v>116</v>
      </c>
      <c r="F191" s="333">
        <v>5</v>
      </c>
      <c r="G191" s="334">
        <f t="shared" si="3"/>
        <v>580</v>
      </c>
      <c r="H191" s="330" t="s">
        <v>693</v>
      </c>
    </row>
    <row r="192" spans="1:8" s="30" customFormat="1" ht="18.75" customHeight="1">
      <c r="A192" s="330">
        <v>189</v>
      </c>
      <c r="B192" s="330" t="s">
        <v>349</v>
      </c>
      <c r="C192" s="330" t="s">
        <v>497</v>
      </c>
      <c r="D192" s="331">
        <v>46753</v>
      </c>
      <c r="E192" s="332">
        <v>144.5</v>
      </c>
      <c r="F192" s="333">
        <v>5</v>
      </c>
      <c r="G192" s="334">
        <f t="shared" si="3"/>
        <v>722.5</v>
      </c>
      <c r="H192" s="330" t="s">
        <v>693</v>
      </c>
    </row>
    <row r="193" spans="1:8" s="30" customFormat="1" ht="18.75" customHeight="1">
      <c r="A193" s="330">
        <v>190</v>
      </c>
      <c r="B193" s="330" t="s">
        <v>349</v>
      </c>
      <c r="C193" s="330" t="s">
        <v>541</v>
      </c>
      <c r="D193" s="331">
        <v>46753</v>
      </c>
      <c r="E193" s="332">
        <v>140</v>
      </c>
      <c r="F193" s="333">
        <v>5</v>
      </c>
      <c r="G193" s="334">
        <f t="shared" si="3"/>
        <v>700</v>
      </c>
      <c r="H193" s="330" t="s">
        <v>693</v>
      </c>
    </row>
    <row r="194" spans="1:8" s="30" customFormat="1" ht="18.75" customHeight="1">
      <c r="A194" s="330">
        <v>191</v>
      </c>
      <c r="B194" s="330" t="s">
        <v>335</v>
      </c>
      <c r="C194" s="330" t="s">
        <v>487</v>
      </c>
      <c r="D194" s="331">
        <v>45658</v>
      </c>
      <c r="E194" s="332">
        <v>150</v>
      </c>
      <c r="F194" s="333">
        <v>10</v>
      </c>
      <c r="G194" s="334">
        <f t="shared" si="3"/>
        <v>1500</v>
      </c>
      <c r="H194" s="330" t="s">
        <v>693</v>
      </c>
    </row>
    <row r="195" spans="1:8" s="30" customFormat="1" ht="18.75" customHeight="1">
      <c r="A195" s="330">
        <v>192</v>
      </c>
      <c r="B195" s="330" t="s">
        <v>335</v>
      </c>
      <c r="C195" s="330" t="s">
        <v>488</v>
      </c>
      <c r="D195" s="331">
        <v>45658</v>
      </c>
      <c r="E195" s="332">
        <v>100</v>
      </c>
      <c r="F195" s="333">
        <v>20</v>
      </c>
      <c r="G195" s="334">
        <f t="shared" si="3"/>
        <v>2000</v>
      </c>
      <c r="H195" s="330" t="s">
        <v>693</v>
      </c>
    </row>
    <row r="196" spans="1:8" s="30" customFormat="1" ht="18.75" customHeight="1">
      <c r="A196" s="330">
        <v>193</v>
      </c>
      <c r="B196" s="330" t="s">
        <v>335</v>
      </c>
      <c r="C196" s="330" t="s">
        <v>488</v>
      </c>
      <c r="D196" s="331">
        <v>45809</v>
      </c>
      <c r="E196" s="332">
        <v>100</v>
      </c>
      <c r="F196" s="333">
        <v>20</v>
      </c>
      <c r="G196" s="334">
        <f t="shared" si="3"/>
        <v>2000</v>
      </c>
      <c r="H196" s="330" t="s">
        <v>693</v>
      </c>
    </row>
    <row r="197" spans="1:8" s="30" customFormat="1" ht="18.75" customHeight="1">
      <c r="A197" s="330">
        <v>194</v>
      </c>
      <c r="B197" s="330" t="s">
        <v>335</v>
      </c>
      <c r="C197" s="330" t="s">
        <v>487</v>
      </c>
      <c r="D197" s="331">
        <v>45809</v>
      </c>
      <c r="E197" s="332">
        <v>150</v>
      </c>
      <c r="F197" s="333">
        <v>10</v>
      </c>
      <c r="G197" s="334">
        <f t="shared" si="3"/>
        <v>1500</v>
      </c>
      <c r="H197" s="330" t="s">
        <v>693</v>
      </c>
    </row>
    <row r="198" spans="1:8" s="30" customFormat="1" ht="18.75" customHeight="1">
      <c r="A198" s="330">
        <v>195</v>
      </c>
      <c r="B198" s="330" t="s">
        <v>335</v>
      </c>
      <c r="C198" s="330" t="s">
        <v>487</v>
      </c>
      <c r="D198" s="331">
        <v>46023</v>
      </c>
      <c r="E198" s="332">
        <v>150</v>
      </c>
      <c r="F198" s="333">
        <v>10</v>
      </c>
      <c r="G198" s="334">
        <f t="shared" si="3"/>
        <v>1500</v>
      </c>
      <c r="H198" s="330" t="s">
        <v>693</v>
      </c>
    </row>
    <row r="199" spans="1:8" s="30" customFormat="1" ht="18.75" customHeight="1">
      <c r="A199" s="330">
        <v>196</v>
      </c>
      <c r="B199" s="330" t="s">
        <v>335</v>
      </c>
      <c r="C199" s="330" t="s">
        <v>488</v>
      </c>
      <c r="D199" s="331">
        <v>46023</v>
      </c>
      <c r="E199" s="332">
        <v>100</v>
      </c>
      <c r="F199" s="333">
        <v>20</v>
      </c>
      <c r="G199" s="334">
        <f t="shared" si="3"/>
        <v>2000</v>
      </c>
      <c r="H199" s="330" t="s">
        <v>693</v>
      </c>
    </row>
    <row r="200" spans="1:8" s="30" customFormat="1" ht="18.75" customHeight="1">
      <c r="A200" s="330">
        <v>197</v>
      </c>
      <c r="B200" s="330" t="s">
        <v>335</v>
      </c>
      <c r="C200" s="330" t="s">
        <v>488</v>
      </c>
      <c r="D200" s="331">
        <v>46174</v>
      </c>
      <c r="E200" s="332">
        <v>100</v>
      </c>
      <c r="F200" s="333">
        <v>20</v>
      </c>
      <c r="G200" s="334">
        <f t="shared" si="3"/>
        <v>2000</v>
      </c>
      <c r="H200" s="330" t="s">
        <v>693</v>
      </c>
    </row>
    <row r="201" spans="1:8" s="30" customFormat="1" ht="18.75" customHeight="1">
      <c r="A201" s="330">
        <v>198</v>
      </c>
      <c r="B201" s="330" t="s">
        <v>335</v>
      </c>
      <c r="C201" s="330" t="s">
        <v>487</v>
      </c>
      <c r="D201" s="331">
        <v>46174</v>
      </c>
      <c r="E201" s="332">
        <v>150</v>
      </c>
      <c r="F201" s="333">
        <v>10</v>
      </c>
      <c r="G201" s="334">
        <f t="shared" si="3"/>
        <v>1500</v>
      </c>
      <c r="H201" s="330" t="s">
        <v>693</v>
      </c>
    </row>
    <row r="202" spans="1:8" s="30" customFormat="1" ht="18.75" customHeight="1">
      <c r="A202" s="330">
        <v>199</v>
      </c>
      <c r="B202" s="330" t="s">
        <v>335</v>
      </c>
      <c r="C202" s="330" t="s">
        <v>487</v>
      </c>
      <c r="D202" s="331">
        <v>46388</v>
      </c>
      <c r="E202" s="332">
        <v>150</v>
      </c>
      <c r="F202" s="333">
        <v>10</v>
      </c>
      <c r="G202" s="334">
        <f t="shared" si="3"/>
        <v>1500</v>
      </c>
      <c r="H202" s="330" t="s">
        <v>693</v>
      </c>
    </row>
    <row r="203" spans="1:8" s="30" customFormat="1" ht="18.75" customHeight="1">
      <c r="A203" s="330">
        <v>200</v>
      </c>
      <c r="B203" s="330" t="s">
        <v>335</v>
      </c>
      <c r="C203" s="330" t="s">
        <v>488</v>
      </c>
      <c r="D203" s="331">
        <v>46388</v>
      </c>
      <c r="E203" s="332">
        <v>100</v>
      </c>
      <c r="F203" s="333">
        <v>20</v>
      </c>
      <c r="G203" s="334">
        <f t="shared" si="3"/>
        <v>2000</v>
      </c>
      <c r="H203" s="330" t="s">
        <v>693</v>
      </c>
    </row>
    <row r="204" spans="1:8" s="30" customFormat="1" ht="18.75" customHeight="1">
      <c r="A204" s="330">
        <v>201</v>
      </c>
      <c r="B204" s="330" t="s">
        <v>335</v>
      </c>
      <c r="C204" s="330" t="s">
        <v>487</v>
      </c>
      <c r="D204" s="331">
        <v>46539</v>
      </c>
      <c r="E204" s="332">
        <v>150</v>
      </c>
      <c r="F204" s="333">
        <v>10</v>
      </c>
      <c r="G204" s="334">
        <f t="shared" si="3"/>
        <v>1500</v>
      </c>
      <c r="H204" s="330" t="s">
        <v>693</v>
      </c>
    </row>
    <row r="205" spans="1:8" s="30" customFormat="1" ht="18.75" customHeight="1">
      <c r="A205" s="330">
        <v>202</v>
      </c>
      <c r="B205" s="330" t="s">
        <v>335</v>
      </c>
      <c r="C205" s="330" t="s">
        <v>488</v>
      </c>
      <c r="D205" s="331">
        <v>46539</v>
      </c>
      <c r="E205" s="332">
        <v>100</v>
      </c>
      <c r="F205" s="333">
        <v>20</v>
      </c>
      <c r="G205" s="334">
        <f t="shared" si="3"/>
        <v>2000</v>
      </c>
      <c r="H205" s="330" t="s">
        <v>693</v>
      </c>
    </row>
    <row r="206" spans="1:8" s="30" customFormat="1" ht="18.75" customHeight="1">
      <c r="A206" s="330">
        <v>203</v>
      </c>
      <c r="B206" s="330" t="s">
        <v>335</v>
      </c>
      <c r="C206" s="330" t="s">
        <v>488</v>
      </c>
      <c r="D206" s="331">
        <v>46753</v>
      </c>
      <c r="E206" s="332">
        <v>100</v>
      </c>
      <c r="F206" s="333">
        <v>20</v>
      </c>
      <c r="G206" s="334">
        <f t="shared" si="3"/>
        <v>2000</v>
      </c>
      <c r="H206" s="330" t="s">
        <v>693</v>
      </c>
    </row>
    <row r="207" spans="1:8" s="30" customFormat="1" ht="18.75" customHeight="1">
      <c r="A207" s="330">
        <v>204</v>
      </c>
      <c r="B207" s="330" t="s">
        <v>335</v>
      </c>
      <c r="C207" s="330" t="s">
        <v>487</v>
      </c>
      <c r="D207" s="331">
        <v>46753</v>
      </c>
      <c r="E207" s="332">
        <v>150</v>
      </c>
      <c r="F207" s="333">
        <v>10</v>
      </c>
      <c r="G207" s="334">
        <f t="shared" si="3"/>
        <v>1500</v>
      </c>
      <c r="H207" s="330" t="s">
        <v>693</v>
      </c>
    </row>
    <row r="208" spans="1:8" s="30" customFormat="1" ht="18.75" customHeight="1">
      <c r="A208" s="330">
        <v>205</v>
      </c>
      <c r="B208" s="330" t="s">
        <v>335</v>
      </c>
      <c r="C208" s="330" t="s">
        <v>488</v>
      </c>
      <c r="D208" s="331">
        <v>46905</v>
      </c>
      <c r="E208" s="332">
        <v>100</v>
      </c>
      <c r="F208" s="333">
        <v>20</v>
      </c>
      <c r="G208" s="334">
        <f t="shared" si="3"/>
        <v>2000</v>
      </c>
      <c r="H208" s="330" t="s">
        <v>693</v>
      </c>
    </row>
    <row r="209" spans="1:8" s="30" customFormat="1" ht="18.75" customHeight="1">
      <c r="A209" s="330">
        <v>206</v>
      </c>
      <c r="B209" s="330" t="s">
        <v>335</v>
      </c>
      <c r="C209" s="330" t="s">
        <v>487</v>
      </c>
      <c r="D209" s="331">
        <v>46905</v>
      </c>
      <c r="E209" s="332">
        <v>150</v>
      </c>
      <c r="F209" s="333">
        <v>10</v>
      </c>
      <c r="G209" s="334">
        <f t="shared" ref="G209:G258" si="4">F209*E209</f>
        <v>1500</v>
      </c>
      <c r="H209" s="330" t="s">
        <v>693</v>
      </c>
    </row>
    <row r="210" spans="1:8" s="30" customFormat="1" ht="18.75" customHeight="1">
      <c r="A210" s="330">
        <v>207</v>
      </c>
      <c r="B210" s="330" t="s">
        <v>335</v>
      </c>
      <c r="C210" s="330" t="s">
        <v>483</v>
      </c>
      <c r="D210" s="331">
        <v>45809</v>
      </c>
      <c r="E210" s="332">
        <v>1685.4</v>
      </c>
      <c r="F210" s="333">
        <v>8</v>
      </c>
      <c r="G210" s="334">
        <f t="shared" si="4"/>
        <v>13483.2</v>
      </c>
      <c r="H210" s="330" t="s">
        <v>693</v>
      </c>
    </row>
    <row r="211" spans="1:8" s="30" customFormat="1" ht="18.75" customHeight="1">
      <c r="A211" s="330">
        <v>208</v>
      </c>
      <c r="B211" s="330" t="s">
        <v>335</v>
      </c>
      <c r="C211" s="330" t="s">
        <v>483</v>
      </c>
      <c r="D211" s="331">
        <v>46174</v>
      </c>
      <c r="E211" s="332">
        <v>1786.52</v>
      </c>
      <c r="F211" s="333">
        <v>4</v>
      </c>
      <c r="G211" s="334">
        <f t="shared" si="4"/>
        <v>7146.08</v>
      </c>
      <c r="H211" s="330" t="s">
        <v>693</v>
      </c>
    </row>
    <row r="212" spans="1:8" s="30" customFormat="1" ht="18.75" customHeight="1">
      <c r="A212" s="330">
        <v>209</v>
      </c>
      <c r="B212" s="330" t="s">
        <v>335</v>
      </c>
      <c r="C212" s="330" t="s">
        <v>483</v>
      </c>
      <c r="D212" s="331">
        <v>45748</v>
      </c>
      <c r="E212" s="332">
        <v>1893.71</v>
      </c>
      <c r="F212" s="333">
        <v>8</v>
      </c>
      <c r="G212" s="334">
        <f t="shared" si="4"/>
        <v>15149.68</v>
      </c>
      <c r="H212" s="330" t="s">
        <v>693</v>
      </c>
    </row>
    <row r="213" spans="1:8" s="30" customFormat="1" ht="18.75" customHeight="1">
      <c r="A213" s="330">
        <v>210</v>
      </c>
      <c r="B213" s="330" t="s">
        <v>335</v>
      </c>
      <c r="C213" s="330" t="s">
        <v>483</v>
      </c>
      <c r="D213" s="331">
        <v>46905</v>
      </c>
      <c r="E213" s="332">
        <v>2007.33</v>
      </c>
      <c r="F213" s="333">
        <v>4</v>
      </c>
      <c r="G213" s="334">
        <f t="shared" si="4"/>
        <v>8029.32</v>
      </c>
      <c r="H213" s="330" t="s">
        <v>693</v>
      </c>
    </row>
    <row r="214" spans="1:8" s="30" customFormat="1" ht="18.75" customHeight="1">
      <c r="A214" s="330">
        <v>211</v>
      </c>
      <c r="B214" s="330" t="s">
        <v>335</v>
      </c>
      <c r="C214" s="330" t="s">
        <v>514</v>
      </c>
      <c r="D214" s="331">
        <v>46235</v>
      </c>
      <c r="E214" s="332">
        <v>180</v>
      </c>
      <c r="F214" s="333">
        <v>8</v>
      </c>
      <c r="G214" s="334">
        <f t="shared" si="4"/>
        <v>1440</v>
      </c>
      <c r="H214" s="330" t="s">
        <v>693</v>
      </c>
    </row>
    <row r="215" spans="1:8" s="30" customFormat="1" ht="18.75" customHeight="1">
      <c r="A215" s="330">
        <v>212</v>
      </c>
      <c r="B215" s="330" t="s">
        <v>335</v>
      </c>
      <c r="C215" s="330" t="s">
        <v>515</v>
      </c>
      <c r="D215" s="331">
        <v>46235</v>
      </c>
      <c r="E215" s="332">
        <v>130</v>
      </c>
      <c r="F215" s="333">
        <v>8</v>
      </c>
      <c r="G215" s="334">
        <f t="shared" si="4"/>
        <v>1040</v>
      </c>
      <c r="H215" s="330" t="s">
        <v>693</v>
      </c>
    </row>
    <row r="216" spans="1:8" s="30" customFormat="1" ht="18.75" customHeight="1">
      <c r="A216" s="330">
        <v>213</v>
      </c>
      <c r="B216" s="330" t="s">
        <v>335</v>
      </c>
      <c r="C216" s="330" t="s">
        <v>516</v>
      </c>
      <c r="D216" s="331">
        <v>46235</v>
      </c>
      <c r="E216" s="332">
        <v>800</v>
      </c>
      <c r="F216" s="333">
        <v>2</v>
      </c>
      <c r="G216" s="334">
        <f t="shared" si="4"/>
        <v>1600</v>
      </c>
      <c r="H216" s="330" t="s">
        <v>693</v>
      </c>
    </row>
    <row r="217" spans="1:8" s="30" customFormat="1" ht="18.75" customHeight="1">
      <c r="A217" s="330">
        <v>214</v>
      </c>
      <c r="B217" s="330" t="s">
        <v>335</v>
      </c>
      <c r="C217" s="330" t="s">
        <v>514</v>
      </c>
      <c r="D217" s="331">
        <v>46905</v>
      </c>
      <c r="E217" s="332">
        <v>180</v>
      </c>
      <c r="F217" s="333">
        <v>8</v>
      </c>
      <c r="G217" s="334">
        <f t="shared" si="4"/>
        <v>1440</v>
      </c>
      <c r="H217" s="330" t="s">
        <v>693</v>
      </c>
    </row>
    <row r="218" spans="1:8" s="30" customFormat="1" ht="18.75" customHeight="1">
      <c r="A218" s="330">
        <v>215</v>
      </c>
      <c r="B218" s="330" t="s">
        <v>335</v>
      </c>
      <c r="C218" s="330" t="s">
        <v>515</v>
      </c>
      <c r="D218" s="331">
        <v>46905</v>
      </c>
      <c r="E218" s="332">
        <v>130</v>
      </c>
      <c r="F218" s="333">
        <v>8</v>
      </c>
      <c r="G218" s="334">
        <f t="shared" si="4"/>
        <v>1040</v>
      </c>
      <c r="H218" s="330" t="s">
        <v>693</v>
      </c>
    </row>
    <row r="219" spans="1:8" s="30" customFormat="1" ht="18.75" customHeight="1">
      <c r="A219" s="330">
        <v>216</v>
      </c>
      <c r="B219" s="330" t="s">
        <v>335</v>
      </c>
      <c r="C219" s="330" t="s">
        <v>516</v>
      </c>
      <c r="D219" s="331">
        <v>46905</v>
      </c>
      <c r="E219" s="332">
        <v>800</v>
      </c>
      <c r="F219" s="333">
        <v>2</v>
      </c>
      <c r="G219" s="334">
        <f t="shared" si="4"/>
        <v>1600</v>
      </c>
      <c r="H219" s="330" t="s">
        <v>693</v>
      </c>
    </row>
    <row r="220" spans="1:8" s="30" customFormat="1" ht="18.75" customHeight="1">
      <c r="A220" s="330">
        <v>217</v>
      </c>
      <c r="B220" s="330" t="s">
        <v>349</v>
      </c>
      <c r="C220" s="330" t="s">
        <v>490</v>
      </c>
      <c r="D220" s="331">
        <v>45931</v>
      </c>
      <c r="E220" s="332">
        <v>400</v>
      </c>
      <c r="F220" s="333">
        <v>15</v>
      </c>
      <c r="G220" s="334">
        <f t="shared" si="4"/>
        <v>6000</v>
      </c>
      <c r="H220" s="330" t="s">
        <v>693</v>
      </c>
    </row>
    <row r="221" spans="1:8" s="30" customFormat="1" ht="18.75" customHeight="1">
      <c r="A221" s="330">
        <v>218</v>
      </c>
      <c r="B221" s="330" t="s">
        <v>349</v>
      </c>
      <c r="C221" s="330" t="s">
        <v>491</v>
      </c>
      <c r="D221" s="331">
        <v>45931</v>
      </c>
      <c r="E221" s="332">
        <v>400</v>
      </c>
      <c r="F221" s="333">
        <v>5</v>
      </c>
      <c r="G221" s="334">
        <f t="shared" si="4"/>
        <v>2000</v>
      </c>
      <c r="H221" s="330" t="s">
        <v>693</v>
      </c>
    </row>
    <row r="222" spans="1:8" s="30" customFormat="1" ht="18.75" customHeight="1">
      <c r="A222" s="330">
        <v>219</v>
      </c>
      <c r="B222" s="330" t="s">
        <v>349</v>
      </c>
      <c r="C222" s="330" t="s">
        <v>490</v>
      </c>
      <c r="D222" s="331">
        <v>46296</v>
      </c>
      <c r="E222" s="332">
        <v>400</v>
      </c>
      <c r="F222" s="333">
        <v>15</v>
      </c>
      <c r="G222" s="334">
        <f t="shared" si="4"/>
        <v>6000</v>
      </c>
      <c r="H222" s="330" t="s">
        <v>693</v>
      </c>
    </row>
    <row r="223" spans="1:8" s="30" customFormat="1" ht="18.75" customHeight="1">
      <c r="A223" s="330">
        <v>220</v>
      </c>
      <c r="B223" s="330" t="s">
        <v>349</v>
      </c>
      <c r="C223" s="330" t="s">
        <v>491</v>
      </c>
      <c r="D223" s="331">
        <v>46296</v>
      </c>
      <c r="E223" s="332">
        <v>400</v>
      </c>
      <c r="F223" s="333">
        <v>5</v>
      </c>
      <c r="G223" s="334">
        <f t="shared" si="4"/>
        <v>2000</v>
      </c>
      <c r="H223" s="330" t="s">
        <v>693</v>
      </c>
    </row>
    <row r="224" spans="1:8" s="30" customFormat="1" ht="18.75" customHeight="1">
      <c r="A224" s="330">
        <v>221</v>
      </c>
      <c r="B224" s="330" t="s">
        <v>349</v>
      </c>
      <c r="C224" s="330" t="s">
        <v>490</v>
      </c>
      <c r="D224" s="331">
        <v>46661</v>
      </c>
      <c r="E224" s="332">
        <v>400</v>
      </c>
      <c r="F224" s="333">
        <v>15</v>
      </c>
      <c r="G224" s="334">
        <f t="shared" si="4"/>
        <v>6000</v>
      </c>
      <c r="H224" s="330" t="s">
        <v>693</v>
      </c>
    </row>
    <row r="225" spans="1:8" s="30" customFormat="1" ht="18.75" customHeight="1">
      <c r="A225" s="330">
        <v>222</v>
      </c>
      <c r="B225" s="330" t="s">
        <v>349</v>
      </c>
      <c r="C225" s="330" t="s">
        <v>491</v>
      </c>
      <c r="D225" s="331">
        <v>46661</v>
      </c>
      <c r="E225" s="332">
        <v>400</v>
      </c>
      <c r="F225" s="333">
        <v>5</v>
      </c>
      <c r="G225" s="334">
        <f t="shared" si="4"/>
        <v>2000</v>
      </c>
      <c r="H225" s="330" t="s">
        <v>693</v>
      </c>
    </row>
    <row r="226" spans="1:8" s="30" customFormat="1" ht="18.75" customHeight="1">
      <c r="A226" s="330">
        <v>223</v>
      </c>
      <c r="B226" s="330" t="s">
        <v>349</v>
      </c>
      <c r="C226" s="330" t="s">
        <v>490</v>
      </c>
      <c r="D226" s="331">
        <v>47027</v>
      </c>
      <c r="E226" s="332">
        <v>400</v>
      </c>
      <c r="F226" s="333">
        <v>15</v>
      </c>
      <c r="G226" s="334">
        <f t="shared" si="4"/>
        <v>6000</v>
      </c>
      <c r="H226" s="330" t="s">
        <v>693</v>
      </c>
    </row>
    <row r="227" spans="1:8" s="30" customFormat="1" ht="18.75" customHeight="1">
      <c r="A227" s="330">
        <v>224</v>
      </c>
      <c r="B227" s="330" t="s">
        <v>349</v>
      </c>
      <c r="C227" s="330" t="s">
        <v>491</v>
      </c>
      <c r="D227" s="331">
        <v>47027</v>
      </c>
      <c r="E227" s="332">
        <v>400</v>
      </c>
      <c r="F227" s="333">
        <v>5</v>
      </c>
      <c r="G227" s="334">
        <f t="shared" si="4"/>
        <v>2000</v>
      </c>
      <c r="H227" s="330" t="s">
        <v>693</v>
      </c>
    </row>
    <row r="228" spans="1:8" s="30" customFormat="1" ht="69.95" customHeight="1">
      <c r="A228" s="330">
        <v>225</v>
      </c>
      <c r="B228" s="330" t="s">
        <v>349</v>
      </c>
      <c r="C228" s="330" t="s">
        <v>694</v>
      </c>
      <c r="D228" s="331">
        <v>45261</v>
      </c>
      <c r="E228" s="332">
        <v>15000</v>
      </c>
      <c r="F228" s="333">
        <v>4</v>
      </c>
      <c r="G228" s="334">
        <f t="shared" si="4"/>
        <v>60000</v>
      </c>
      <c r="H228" s="330" t="s">
        <v>695</v>
      </c>
    </row>
    <row r="229" spans="1:8" s="30" customFormat="1" ht="69.95" customHeight="1">
      <c r="A229" s="330">
        <v>226</v>
      </c>
      <c r="B229" s="330" t="s">
        <v>349</v>
      </c>
      <c r="C229" s="330" t="s">
        <v>694</v>
      </c>
      <c r="D229" s="331">
        <v>45689</v>
      </c>
      <c r="E229" s="332">
        <v>15000</v>
      </c>
      <c r="F229" s="333">
        <v>4</v>
      </c>
      <c r="G229" s="334">
        <f t="shared" si="4"/>
        <v>60000</v>
      </c>
      <c r="H229" s="330" t="s">
        <v>695</v>
      </c>
    </row>
    <row r="230" spans="1:8" s="30" customFormat="1" ht="69.95" customHeight="1">
      <c r="A230" s="330">
        <v>227</v>
      </c>
      <c r="B230" s="330" t="s">
        <v>349</v>
      </c>
      <c r="C230" s="330" t="s">
        <v>694</v>
      </c>
      <c r="D230" s="331">
        <v>46054</v>
      </c>
      <c r="E230" s="332">
        <v>15000</v>
      </c>
      <c r="F230" s="333">
        <v>4</v>
      </c>
      <c r="G230" s="334">
        <f t="shared" si="4"/>
        <v>60000</v>
      </c>
      <c r="H230" s="330" t="s">
        <v>695</v>
      </c>
    </row>
    <row r="231" spans="1:8" s="30" customFormat="1" ht="69.95" customHeight="1">
      <c r="A231" s="330">
        <v>228</v>
      </c>
      <c r="B231" s="330" t="s">
        <v>349</v>
      </c>
      <c r="C231" s="330" t="s">
        <v>694</v>
      </c>
      <c r="D231" s="331">
        <v>46204</v>
      </c>
      <c r="E231" s="332">
        <v>15000</v>
      </c>
      <c r="F231" s="333">
        <v>4</v>
      </c>
      <c r="G231" s="334">
        <f t="shared" si="4"/>
        <v>60000</v>
      </c>
      <c r="H231" s="330" t="s">
        <v>695</v>
      </c>
    </row>
    <row r="232" spans="1:8" s="30" customFormat="1" ht="69.95" customHeight="1">
      <c r="A232" s="330">
        <v>229</v>
      </c>
      <c r="B232" s="330" t="s">
        <v>349</v>
      </c>
      <c r="C232" s="330" t="s">
        <v>694</v>
      </c>
      <c r="D232" s="331">
        <v>46569</v>
      </c>
      <c r="E232" s="332">
        <v>15000</v>
      </c>
      <c r="F232" s="333">
        <v>4</v>
      </c>
      <c r="G232" s="334">
        <f t="shared" si="4"/>
        <v>60000</v>
      </c>
      <c r="H232" s="330" t="s">
        <v>695</v>
      </c>
    </row>
    <row r="233" spans="1:8" s="30" customFormat="1" ht="69.95" customHeight="1">
      <c r="A233" s="330">
        <v>230</v>
      </c>
      <c r="B233" s="330" t="s">
        <v>349</v>
      </c>
      <c r="C233" s="330" t="s">
        <v>694</v>
      </c>
      <c r="D233" s="331">
        <v>46813</v>
      </c>
      <c r="E233" s="332">
        <v>15000</v>
      </c>
      <c r="F233" s="333">
        <v>4</v>
      </c>
      <c r="G233" s="334">
        <f t="shared" si="4"/>
        <v>60000</v>
      </c>
      <c r="H233" s="330" t="s">
        <v>695</v>
      </c>
    </row>
    <row r="234" spans="1:8" s="30" customFormat="1" ht="21.95" customHeight="1">
      <c r="A234" s="330">
        <v>231</v>
      </c>
      <c r="B234" s="330" t="s">
        <v>325</v>
      </c>
      <c r="C234" s="330" t="s">
        <v>696</v>
      </c>
      <c r="D234" s="331">
        <v>45689</v>
      </c>
      <c r="E234" s="332">
        <v>2500</v>
      </c>
      <c r="F234" s="333">
        <v>3</v>
      </c>
      <c r="G234" s="334">
        <f t="shared" si="4"/>
        <v>7500</v>
      </c>
      <c r="H234" s="330" t="s">
        <v>697</v>
      </c>
    </row>
    <row r="235" spans="1:8" s="30" customFormat="1" ht="21.95" customHeight="1">
      <c r="A235" s="330">
        <v>232</v>
      </c>
      <c r="B235" s="330" t="s">
        <v>325</v>
      </c>
      <c r="C235" s="330" t="s">
        <v>696</v>
      </c>
      <c r="D235" s="331">
        <v>45839</v>
      </c>
      <c r="E235" s="332">
        <v>2500</v>
      </c>
      <c r="F235" s="333">
        <v>3</v>
      </c>
      <c r="G235" s="334">
        <f t="shared" si="4"/>
        <v>7500</v>
      </c>
      <c r="H235" s="330" t="s">
        <v>697</v>
      </c>
    </row>
    <row r="236" spans="1:8" s="30" customFormat="1" ht="21.95" customHeight="1">
      <c r="A236" s="330">
        <v>233</v>
      </c>
      <c r="B236" s="330" t="s">
        <v>325</v>
      </c>
      <c r="C236" s="330" t="s">
        <v>696</v>
      </c>
      <c r="D236" s="331">
        <v>45992</v>
      </c>
      <c r="E236" s="332">
        <v>2500</v>
      </c>
      <c r="F236" s="333">
        <v>3</v>
      </c>
      <c r="G236" s="334">
        <f t="shared" si="4"/>
        <v>7500</v>
      </c>
      <c r="H236" s="330" t="s">
        <v>697</v>
      </c>
    </row>
    <row r="237" spans="1:8" s="30" customFormat="1" ht="21.95" customHeight="1">
      <c r="A237" s="330">
        <v>234</v>
      </c>
      <c r="B237" s="330" t="s">
        <v>325</v>
      </c>
      <c r="C237" s="330" t="s">
        <v>696</v>
      </c>
      <c r="D237" s="331">
        <v>46082</v>
      </c>
      <c r="E237" s="332">
        <v>2500</v>
      </c>
      <c r="F237" s="333">
        <v>3</v>
      </c>
      <c r="G237" s="334">
        <f t="shared" si="4"/>
        <v>7500</v>
      </c>
      <c r="H237" s="330" t="s">
        <v>697</v>
      </c>
    </row>
    <row r="238" spans="1:8" s="30" customFormat="1" ht="21.95" customHeight="1">
      <c r="A238" s="330">
        <v>235</v>
      </c>
      <c r="B238" s="330" t="s">
        <v>325</v>
      </c>
      <c r="C238" s="330" t="s">
        <v>696</v>
      </c>
      <c r="D238" s="331">
        <v>46327</v>
      </c>
      <c r="E238" s="332">
        <v>2500</v>
      </c>
      <c r="F238" s="333">
        <v>3</v>
      </c>
      <c r="G238" s="334">
        <f t="shared" si="4"/>
        <v>7500</v>
      </c>
      <c r="H238" s="330" t="s">
        <v>697</v>
      </c>
    </row>
    <row r="239" spans="1:8" s="30" customFormat="1" ht="21.95" customHeight="1">
      <c r="A239" s="330">
        <v>236</v>
      </c>
      <c r="B239" s="330" t="s">
        <v>325</v>
      </c>
      <c r="C239" s="330" t="s">
        <v>696</v>
      </c>
      <c r="D239" s="331">
        <v>46419</v>
      </c>
      <c r="E239" s="332">
        <v>2500</v>
      </c>
      <c r="F239" s="333">
        <v>3</v>
      </c>
      <c r="G239" s="334">
        <f t="shared" si="4"/>
        <v>7500</v>
      </c>
      <c r="H239" s="330" t="s">
        <v>697</v>
      </c>
    </row>
    <row r="240" spans="1:8" s="30" customFormat="1" ht="21.95" customHeight="1">
      <c r="A240" s="330">
        <v>237</v>
      </c>
      <c r="B240" s="330" t="s">
        <v>325</v>
      </c>
      <c r="C240" s="330" t="s">
        <v>696</v>
      </c>
      <c r="D240" s="331">
        <v>46600</v>
      </c>
      <c r="E240" s="332">
        <v>2500</v>
      </c>
      <c r="F240" s="333">
        <v>3</v>
      </c>
      <c r="G240" s="334">
        <f t="shared" si="4"/>
        <v>7500</v>
      </c>
      <c r="H240" s="330" t="s">
        <v>697</v>
      </c>
    </row>
    <row r="241" spans="1:8" s="30" customFormat="1" ht="21.95" customHeight="1">
      <c r="A241" s="330">
        <v>238</v>
      </c>
      <c r="B241" s="330" t="s">
        <v>325</v>
      </c>
      <c r="C241" s="330" t="s">
        <v>696</v>
      </c>
      <c r="D241" s="331">
        <v>46722</v>
      </c>
      <c r="E241" s="332">
        <v>2500</v>
      </c>
      <c r="F241" s="333">
        <v>3</v>
      </c>
      <c r="G241" s="334">
        <f t="shared" si="4"/>
        <v>7500</v>
      </c>
      <c r="H241" s="330" t="s">
        <v>697</v>
      </c>
    </row>
    <row r="242" spans="1:8" s="30" customFormat="1" ht="21.95" customHeight="1">
      <c r="A242" s="330">
        <v>239</v>
      </c>
      <c r="B242" s="330" t="s">
        <v>325</v>
      </c>
      <c r="C242" s="330" t="s">
        <v>696</v>
      </c>
      <c r="D242" s="331">
        <v>46813</v>
      </c>
      <c r="E242" s="332">
        <v>2500</v>
      </c>
      <c r="F242" s="333">
        <v>3</v>
      </c>
      <c r="G242" s="334">
        <f t="shared" si="4"/>
        <v>7500</v>
      </c>
      <c r="H242" s="330" t="s">
        <v>697</v>
      </c>
    </row>
    <row r="243" spans="1:8" s="30" customFormat="1" ht="29.1" customHeight="1">
      <c r="A243" s="330">
        <v>240</v>
      </c>
      <c r="B243" s="330" t="s">
        <v>327</v>
      </c>
      <c r="C243" s="330" t="s">
        <v>698</v>
      </c>
      <c r="D243" s="331">
        <v>45689</v>
      </c>
      <c r="E243" s="332">
        <v>2500</v>
      </c>
      <c r="F243" s="333">
        <v>16</v>
      </c>
      <c r="G243" s="334">
        <f t="shared" si="4"/>
        <v>40000</v>
      </c>
      <c r="H243" s="330" t="s">
        <v>718</v>
      </c>
    </row>
    <row r="244" spans="1:8" s="30" customFormat="1" ht="29.1" customHeight="1">
      <c r="A244" s="330">
        <v>241</v>
      </c>
      <c r="B244" s="330" t="s">
        <v>327</v>
      </c>
      <c r="C244" s="330" t="s">
        <v>698</v>
      </c>
      <c r="D244" s="331">
        <v>45717</v>
      </c>
      <c r="E244" s="332">
        <v>2500</v>
      </c>
      <c r="F244" s="333">
        <v>3</v>
      </c>
      <c r="G244" s="334">
        <f t="shared" si="4"/>
        <v>7500</v>
      </c>
      <c r="H244" s="330" t="s">
        <v>697</v>
      </c>
    </row>
    <row r="245" spans="1:8" s="30" customFormat="1" ht="29.1" customHeight="1">
      <c r="A245" s="330">
        <v>242</v>
      </c>
      <c r="B245" s="330" t="s">
        <v>327</v>
      </c>
      <c r="C245" s="330" t="s">
        <v>698</v>
      </c>
      <c r="D245" s="331">
        <v>45809</v>
      </c>
      <c r="E245" s="332">
        <v>2500</v>
      </c>
      <c r="F245" s="333">
        <v>3</v>
      </c>
      <c r="G245" s="334">
        <f t="shared" si="4"/>
        <v>7500</v>
      </c>
      <c r="H245" s="330" t="s">
        <v>697</v>
      </c>
    </row>
    <row r="246" spans="1:8" s="30" customFormat="1" ht="29.1" customHeight="1">
      <c r="A246" s="330">
        <v>243</v>
      </c>
      <c r="B246" s="330" t="s">
        <v>327</v>
      </c>
      <c r="C246" s="330" t="s">
        <v>698</v>
      </c>
      <c r="D246" s="331">
        <v>45901</v>
      </c>
      <c r="E246" s="332">
        <v>2500</v>
      </c>
      <c r="F246" s="333">
        <v>3</v>
      </c>
      <c r="G246" s="334">
        <f t="shared" si="4"/>
        <v>7500</v>
      </c>
      <c r="H246" s="330" t="s">
        <v>697</v>
      </c>
    </row>
    <row r="247" spans="1:8" s="30" customFormat="1" ht="29.1" customHeight="1">
      <c r="A247" s="330">
        <v>244</v>
      </c>
      <c r="B247" s="330" t="s">
        <v>327</v>
      </c>
      <c r="C247" s="330" t="s">
        <v>698</v>
      </c>
      <c r="D247" s="331">
        <v>45992</v>
      </c>
      <c r="E247" s="332">
        <v>2500</v>
      </c>
      <c r="F247" s="333">
        <v>3</v>
      </c>
      <c r="G247" s="334">
        <f t="shared" si="4"/>
        <v>7500</v>
      </c>
      <c r="H247" s="330" t="s">
        <v>697</v>
      </c>
    </row>
    <row r="248" spans="1:8" s="30" customFormat="1" ht="29.1" customHeight="1">
      <c r="A248" s="330">
        <v>245</v>
      </c>
      <c r="B248" s="330" t="s">
        <v>327</v>
      </c>
      <c r="C248" s="330" t="s">
        <v>698</v>
      </c>
      <c r="D248" s="331">
        <v>46082</v>
      </c>
      <c r="E248" s="332">
        <v>2500</v>
      </c>
      <c r="F248" s="333">
        <v>3</v>
      </c>
      <c r="G248" s="334">
        <f t="shared" si="4"/>
        <v>7500</v>
      </c>
      <c r="H248" s="330" t="s">
        <v>697</v>
      </c>
    </row>
    <row r="249" spans="1:8" s="30" customFormat="1" ht="29.1" customHeight="1">
      <c r="A249" s="330">
        <v>246</v>
      </c>
      <c r="B249" s="330" t="s">
        <v>327</v>
      </c>
      <c r="C249" s="330" t="s">
        <v>698</v>
      </c>
      <c r="D249" s="331">
        <v>46174</v>
      </c>
      <c r="E249" s="332">
        <v>2500</v>
      </c>
      <c r="F249" s="333">
        <v>3</v>
      </c>
      <c r="G249" s="334">
        <f t="shared" si="4"/>
        <v>7500</v>
      </c>
      <c r="H249" s="330" t="s">
        <v>697</v>
      </c>
    </row>
    <row r="250" spans="1:8" s="30" customFormat="1" ht="29.1" customHeight="1">
      <c r="A250" s="330">
        <v>247</v>
      </c>
      <c r="B250" s="330" t="s">
        <v>327</v>
      </c>
      <c r="C250" s="330" t="s">
        <v>698</v>
      </c>
      <c r="D250" s="331">
        <v>46266</v>
      </c>
      <c r="E250" s="332">
        <v>2500</v>
      </c>
      <c r="F250" s="333">
        <v>3</v>
      </c>
      <c r="G250" s="334">
        <f t="shared" si="4"/>
        <v>7500</v>
      </c>
      <c r="H250" s="330" t="s">
        <v>697</v>
      </c>
    </row>
    <row r="251" spans="1:8" s="30" customFormat="1" ht="29.1" customHeight="1">
      <c r="A251" s="330">
        <v>248</v>
      </c>
      <c r="B251" s="330" t="s">
        <v>327</v>
      </c>
      <c r="C251" s="330" t="s">
        <v>698</v>
      </c>
      <c r="D251" s="331">
        <v>46357</v>
      </c>
      <c r="E251" s="332">
        <v>2500</v>
      </c>
      <c r="F251" s="333">
        <v>3</v>
      </c>
      <c r="G251" s="334">
        <f t="shared" si="4"/>
        <v>7500</v>
      </c>
      <c r="H251" s="330" t="s">
        <v>697</v>
      </c>
    </row>
    <row r="252" spans="1:8" s="30" customFormat="1" ht="29.1" customHeight="1">
      <c r="A252" s="330">
        <v>249</v>
      </c>
      <c r="B252" s="330" t="s">
        <v>327</v>
      </c>
      <c r="C252" s="330" t="s">
        <v>698</v>
      </c>
      <c r="D252" s="331">
        <v>46447</v>
      </c>
      <c r="E252" s="332">
        <v>2500</v>
      </c>
      <c r="F252" s="333">
        <v>3</v>
      </c>
      <c r="G252" s="334">
        <f t="shared" si="4"/>
        <v>7500</v>
      </c>
      <c r="H252" s="330" t="s">
        <v>697</v>
      </c>
    </row>
    <row r="253" spans="1:8" s="30" customFormat="1" ht="29.1" customHeight="1">
      <c r="A253" s="330">
        <v>250</v>
      </c>
      <c r="B253" s="330" t="s">
        <v>327</v>
      </c>
      <c r="C253" s="330" t="s">
        <v>698</v>
      </c>
      <c r="D253" s="331">
        <v>46539</v>
      </c>
      <c r="E253" s="332">
        <v>2500</v>
      </c>
      <c r="F253" s="333">
        <v>3</v>
      </c>
      <c r="G253" s="334">
        <f t="shared" si="4"/>
        <v>7500</v>
      </c>
      <c r="H253" s="330" t="s">
        <v>697</v>
      </c>
    </row>
    <row r="254" spans="1:8" s="30" customFormat="1" ht="29.1" customHeight="1">
      <c r="A254" s="330">
        <v>251</v>
      </c>
      <c r="B254" s="330" t="s">
        <v>327</v>
      </c>
      <c r="C254" s="330" t="s">
        <v>698</v>
      </c>
      <c r="D254" s="331">
        <v>46631</v>
      </c>
      <c r="E254" s="332">
        <v>2500</v>
      </c>
      <c r="F254" s="333">
        <v>3</v>
      </c>
      <c r="G254" s="334">
        <f t="shared" si="4"/>
        <v>7500</v>
      </c>
      <c r="H254" s="330" t="s">
        <v>697</v>
      </c>
    </row>
    <row r="255" spans="1:8" s="30" customFormat="1" ht="29.1" customHeight="1">
      <c r="A255" s="330">
        <v>252</v>
      </c>
      <c r="B255" s="330" t="s">
        <v>327</v>
      </c>
      <c r="C255" s="330" t="s">
        <v>698</v>
      </c>
      <c r="D255" s="331">
        <v>46722</v>
      </c>
      <c r="E255" s="332">
        <v>2500</v>
      </c>
      <c r="F255" s="333">
        <v>3</v>
      </c>
      <c r="G255" s="334">
        <f t="shared" si="4"/>
        <v>7500</v>
      </c>
      <c r="H255" s="330" t="s">
        <v>697</v>
      </c>
    </row>
    <row r="256" spans="1:8" s="30" customFormat="1" ht="29.1" customHeight="1">
      <c r="A256" s="330">
        <v>253</v>
      </c>
      <c r="B256" s="330" t="s">
        <v>327</v>
      </c>
      <c r="C256" s="330" t="s">
        <v>698</v>
      </c>
      <c r="D256" s="331">
        <v>46813</v>
      </c>
      <c r="E256" s="332">
        <v>2500</v>
      </c>
      <c r="F256" s="333">
        <v>3</v>
      </c>
      <c r="G256" s="334">
        <f t="shared" si="4"/>
        <v>7500</v>
      </c>
      <c r="H256" s="330" t="s">
        <v>697</v>
      </c>
    </row>
    <row r="257" spans="1:8" s="30" customFormat="1" ht="29.1" customHeight="1">
      <c r="A257" s="330">
        <v>254</v>
      </c>
      <c r="B257" s="330" t="s">
        <v>327</v>
      </c>
      <c r="C257" s="330" t="s">
        <v>698</v>
      </c>
      <c r="D257" s="331">
        <v>46905</v>
      </c>
      <c r="E257" s="332">
        <v>2500</v>
      </c>
      <c r="F257" s="333">
        <v>3</v>
      </c>
      <c r="G257" s="334">
        <f t="shared" si="4"/>
        <v>7500</v>
      </c>
      <c r="H257" s="330" t="s">
        <v>697</v>
      </c>
    </row>
    <row r="258" spans="1:8" s="30" customFormat="1" ht="29.1" customHeight="1">
      <c r="A258" s="330">
        <v>255</v>
      </c>
      <c r="B258" s="330" t="s">
        <v>327</v>
      </c>
      <c r="C258" s="330" t="s">
        <v>698</v>
      </c>
      <c r="D258" s="331">
        <v>46997</v>
      </c>
      <c r="E258" s="332">
        <v>2500</v>
      </c>
      <c r="F258" s="333">
        <v>3</v>
      </c>
      <c r="G258" s="334">
        <f t="shared" si="4"/>
        <v>7500</v>
      </c>
      <c r="H258" s="330" t="s">
        <v>697</v>
      </c>
    </row>
    <row r="259" spans="1:8" s="30" customFormat="1" ht="29.1" customHeight="1">
      <c r="A259" s="330">
        <v>256</v>
      </c>
      <c r="B259" s="330" t="s">
        <v>333</v>
      </c>
      <c r="C259" s="330" t="s">
        <v>699</v>
      </c>
      <c r="D259" s="331">
        <v>45352</v>
      </c>
      <c r="E259" s="332">
        <v>3500</v>
      </c>
      <c r="F259" s="333">
        <v>3</v>
      </c>
      <c r="G259" s="334">
        <f t="shared" ref="G259:G287" si="5">F259*E259</f>
        <v>10500</v>
      </c>
      <c r="H259" s="330" t="s">
        <v>697</v>
      </c>
    </row>
    <row r="260" spans="1:8" s="30" customFormat="1" ht="29.1" customHeight="1">
      <c r="A260" s="330">
        <v>257</v>
      </c>
      <c r="B260" s="330" t="s">
        <v>333</v>
      </c>
      <c r="C260" s="330" t="s">
        <v>699</v>
      </c>
      <c r="D260" s="331">
        <v>45717</v>
      </c>
      <c r="E260" s="332">
        <v>3500</v>
      </c>
      <c r="F260" s="333">
        <v>3</v>
      </c>
      <c r="G260" s="334">
        <f t="shared" si="5"/>
        <v>10500</v>
      </c>
      <c r="H260" s="330" t="s">
        <v>697</v>
      </c>
    </row>
    <row r="261" spans="1:8" s="30" customFormat="1" ht="29.1" customHeight="1">
      <c r="A261" s="330">
        <v>258</v>
      </c>
      <c r="B261" s="330" t="s">
        <v>333</v>
      </c>
      <c r="C261" s="330" t="s">
        <v>699</v>
      </c>
      <c r="D261" s="331">
        <v>45809</v>
      </c>
      <c r="E261" s="332">
        <v>3500</v>
      </c>
      <c r="F261" s="333">
        <v>3</v>
      </c>
      <c r="G261" s="334">
        <f t="shared" si="5"/>
        <v>10500</v>
      </c>
      <c r="H261" s="330" t="s">
        <v>697</v>
      </c>
    </row>
    <row r="262" spans="1:8" s="30" customFormat="1" ht="29.1" customHeight="1">
      <c r="A262" s="330">
        <v>259</v>
      </c>
      <c r="B262" s="330" t="s">
        <v>333</v>
      </c>
      <c r="C262" s="330" t="s">
        <v>699</v>
      </c>
      <c r="D262" s="331">
        <v>45901</v>
      </c>
      <c r="E262" s="332">
        <v>3500</v>
      </c>
      <c r="F262" s="333">
        <v>3</v>
      </c>
      <c r="G262" s="334">
        <f t="shared" si="5"/>
        <v>10500</v>
      </c>
      <c r="H262" s="330" t="s">
        <v>697</v>
      </c>
    </row>
    <row r="263" spans="1:8" s="30" customFormat="1" ht="29.1" customHeight="1">
      <c r="A263" s="330">
        <v>260</v>
      </c>
      <c r="B263" s="330" t="s">
        <v>333</v>
      </c>
      <c r="C263" s="330" t="s">
        <v>699</v>
      </c>
      <c r="D263" s="331">
        <v>45992</v>
      </c>
      <c r="E263" s="332">
        <v>3500</v>
      </c>
      <c r="F263" s="333">
        <v>3</v>
      </c>
      <c r="G263" s="334">
        <f t="shared" si="5"/>
        <v>10500</v>
      </c>
      <c r="H263" s="330" t="s">
        <v>697</v>
      </c>
    </row>
    <row r="264" spans="1:8" s="30" customFormat="1" ht="29.1" customHeight="1">
      <c r="A264" s="330">
        <v>261</v>
      </c>
      <c r="B264" s="330" t="s">
        <v>333</v>
      </c>
      <c r="C264" s="330" t="s">
        <v>699</v>
      </c>
      <c r="D264" s="331">
        <v>46082</v>
      </c>
      <c r="E264" s="332">
        <v>3500</v>
      </c>
      <c r="F264" s="333">
        <v>3</v>
      </c>
      <c r="G264" s="334">
        <f t="shared" si="5"/>
        <v>10500</v>
      </c>
      <c r="H264" s="330" t="s">
        <v>697</v>
      </c>
    </row>
    <row r="265" spans="1:8" s="30" customFormat="1" ht="29.1" customHeight="1">
      <c r="A265" s="330">
        <v>262</v>
      </c>
      <c r="B265" s="330" t="s">
        <v>333</v>
      </c>
      <c r="C265" s="330" t="s">
        <v>699</v>
      </c>
      <c r="D265" s="331">
        <v>46174</v>
      </c>
      <c r="E265" s="332">
        <v>3500</v>
      </c>
      <c r="F265" s="333">
        <v>3</v>
      </c>
      <c r="G265" s="334">
        <f t="shared" si="5"/>
        <v>10500</v>
      </c>
      <c r="H265" s="330" t="s">
        <v>697</v>
      </c>
    </row>
    <row r="266" spans="1:8" s="30" customFormat="1" ht="29.1" customHeight="1">
      <c r="A266" s="330">
        <v>263</v>
      </c>
      <c r="B266" s="330" t="s">
        <v>333</v>
      </c>
      <c r="C266" s="330" t="s">
        <v>699</v>
      </c>
      <c r="D266" s="331">
        <v>46266</v>
      </c>
      <c r="E266" s="332">
        <v>3500</v>
      </c>
      <c r="F266" s="333">
        <v>3</v>
      </c>
      <c r="G266" s="334">
        <f t="shared" si="5"/>
        <v>10500</v>
      </c>
      <c r="H266" s="330" t="s">
        <v>697</v>
      </c>
    </row>
    <row r="267" spans="1:8" s="30" customFormat="1" ht="29.1" customHeight="1">
      <c r="A267" s="330">
        <v>264</v>
      </c>
      <c r="B267" s="330" t="s">
        <v>333</v>
      </c>
      <c r="C267" s="330" t="s">
        <v>699</v>
      </c>
      <c r="D267" s="331">
        <v>46357</v>
      </c>
      <c r="E267" s="332">
        <v>3500</v>
      </c>
      <c r="F267" s="333">
        <v>3</v>
      </c>
      <c r="G267" s="334">
        <f t="shared" si="5"/>
        <v>10500</v>
      </c>
      <c r="H267" s="330" t="s">
        <v>697</v>
      </c>
    </row>
    <row r="268" spans="1:8" s="30" customFormat="1" ht="29.1" customHeight="1">
      <c r="A268" s="330">
        <v>265</v>
      </c>
      <c r="B268" s="330" t="s">
        <v>333</v>
      </c>
      <c r="C268" s="330" t="s">
        <v>699</v>
      </c>
      <c r="D268" s="331">
        <v>46447</v>
      </c>
      <c r="E268" s="332">
        <v>3500</v>
      </c>
      <c r="F268" s="333">
        <v>3</v>
      </c>
      <c r="G268" s="334">
        <f t="shared" si="5"/>
        <v>10500</v>
      </c>
      <c r="H268" s="330" t="s">
        <v>697</v>
      </c>
    </row>
    <row r="269" spans="1:8" s="30" customFormat="1" ht="29.1" customHeight="1">
      <c r="A269" s="330">
        <v>266</v>
      </c>
      <c r="B269" s="330" t="s">
        <v>333</v>
      </c>
      <c r="C269" s="330" t="s">
        <v>699</v>
      </c>
      <c r="D269" s="331">
        <v>46539</v>
      </c>
      <c r="E269" s="332">
        <v>3500</v>
      </c>
      <c r="F269" s="333">
        <v>3</v>
      </c>
      <c r="G269" s="334">
        <f t="shared" si="5"/>
        <v>10500</v>
      </c>
      <c r="H269" s="330" t="s">
        <v>697</v>
      </c>
    </row>
    <row r="270" spans="1:8" s="30" customFormat="1" ht="29.1" customHeight="1">
      <c r="A270" s="330">
        <v>267</v>
      </c>
      <c r="B270" s="330" t="s">
        <v>333</v>
      </c>
      <c r="C270" s="330" t="s">
        <v>699</v>
      </c>
      <c r="D270" s="331">
        <v>46631</v>
      </c>
      <c r="E270" s="332">
        <v>3500</v>
      </c>
      <c r="F270" s="333">
        <v>3</v>
      </c>
      <c r="G270" s="334">
        <f t="shared" si="5"/>
        <v>10500</v>
      </c>
      <c r="H270" s="330" t="s">
        <v>697</v>
      </c>
    </row>
    <row r="271" spans="1:8" s="30" customFormat="1" ht="29.1" customHeight="1">
      <c r="A271" s="330">
        <v>268</v>
      </c>
      <c r="B271" s="330" t="s">
        <v>333</v>
      </c>
      <c r="C271" s="330" t="s">
        <v>699</v>
      </c>
      <c r="D271" s="331">
        <v>46722</v>
      </c>
      <c r="E271" s="332">
        <v>3500</v>
      </c>
      <c r="F271" s="333">
        <v>3</v>
      </c>
      <c r="G271" s="334">
        <f t="shared" si="5"/>
        <v>10500</v>
      </c>
      <c r="H271" s="330" t="s">
        <v>697</v>
      </c>
    </row>
    <row r="272" spans="1:8" s="30" customFormat="1" ht="29.1" customHeight="1">
      <c r="A272" s="330">
        <v>269</v>
      </c>
      <c r="B272" s="330" t="s">
        <v>333</v>
      </c>
      <c r="C272" s="330" t="s">
        <v>699</v>
      </c>
      <c r="D272" s="331">
        <v>46813</v>
      </c>
      <c r="E272" s="332">
        <v>3500</v>
      </c>
      <c r="F272" s="333">
        <v>3</v>
      </c>
      <c r="G272" s="334">
        <f t="shared" si="5"/>
        <v>10500</v>
      </c>
      <c r="H272" s="330" t="s">
        <v>697</v>
      </c>
    </row>
    <row r="273" spans="1:8" s="30" customFormat="1" ht="29.1" customHeight="1">
      <c r="A273" s="330">
        <v>270</v>
      </c>
      <c r="B273" s="330" t="s">
        <v>333</v>
      </c>
      <c r="C273" s="330" t="s">
        <v>699</v>
      </c>
      <c r="D273" s="331">
        <v>46905</v>
      </c>
      <c r="E273" s="332">
        <v>3500</v>
      </c>
      <c r="F273" s="333">
        <v>3</v>
      </c>
      <c r="G273" s="334">
        <f t="shared" si="5"/>
        <v>10500</v>
      </c>
      <c r="H273" s="330" t="s">
        <v>697</v>
      </c>
    </row>
    <row r="274" spans="1:8" s="30" customFormat="1" ht="29.1" customHeight="1">
      <c r="A274" s="330">
        <v>271</v>
      </c>
      <c r="B274" s="330" t="s">
        <v>333</v>
      </c>
      <c r="C274" s="330" t="s">
        <v>699</v>
      </c>
      <c r="D274" s="331">
        <v>46997</v>
      </c>
      <c r="E274" s="332">
        <v>3500</v>
      </c>
      <c r="F274" s="333">
        <v>3</v>
      </c>
      <c r="G274" s="334">
        <f t="shared" si="5"/>
        <v>10500</v>
      </c>
      <c r="H274" s="330" t="s">
        <v>697</v>
      </c>
    </row>
    <row r="275" spans="1:8" s="30" customFormat="1" ht="29.1" customHeight="1">
      <c r="A275" s="330">
        <v>272</v>
      </c>
      <c r="B275" s="330" t="s">
        <v>343</v>
      </c>
      <c r="C275" s="330" t="s">
        <v>700</v>
      </c>
      <c r="D275" s="331">
        <v>45717</v>
      </c>
      <c r="E275" s="332">
        <v>3500</v>
      </c>
      <c r="F275" s="333">
        <v>3</v>
      </c>
      <c r="G275" s="334">
        <f t="shared" si="5"/>
        <v>10500</v>
      </c>
      <c r="H275" s="330" t="s">
        <v>697</v>
      </c>
    </row>
    <row r="276" spans="1:8" s="30" customFormat="1" ht="29.1" customHeight="1">
      <c r="A276" s="330">
        <v>273</v>
      </c>
      <c r="B276" s="330" t="s">
        <v>343</v>
      </c>
      <c r="C276" s="330" t="s">
        <v>700</v>
      </c>
      <c r="D276" s="331">
        <v>45809</v>
      </c>
      <c r="E276" s="332">
        <v>3500</v>
      </c>
      <c r="F276" s="333">
        <v>3</v>
      </c>
      <c r="G276" s="334">
        <f t="shared" si="5"/>
        <v>10500</v>
      </c>
      <c r="H276" s="330" t="s">
        <v>697</v>
      </c>
    </row>
    <row r="277" spans="1:8" s="30" customFormat="1" ht="29.1" customHeight="1">
      <c r="A277" s="330">
        <v>274</v>
      </c>
      <c r="B277" s="330" t="s">
        <v>343</v>
      </c>
      <c r="C277" s="330" t="s">
        <v>700</v>
      </c>
      <c r="D277" s="331">
        <v>45901</v>
      </c>
      <c r="E277" s="332">
        <v>3500</v>
      </c>
      <c r="F277" s="333">
        <v>3</v>
      </c>
      <c r="G277" s="334">
        <f t="shared" si="5"/>
        <v>10500</v>
      </c>
      <c r="H277" s="330" t="s">
        <v>697</v>
      </c>
    </row>
    <row r="278" spans="1:8" s="30" customFormat="1" ht="29.1" customHeight="1">
      <c r="A278" s="330">
        <v>275</v>
      </c>
      <c r="B278" s="330" t="s">
        <v>343</v>
      </c>
      <c r="C278" s="330" t="s">
        <v>700</v>
      </c>
      <c r="D278" s="331">
        <v>45992</v>
      </c>
      <c r="E278" s="332">
        <v>3500</v>
      </c>
      <c r="F278" s="333">
        <v>3</v>
      </c>
      <c r="G278" s="334">
        <f t="shared" si="5"/>
        <v>10500</v>
      </c>
      <c r="H278" s="330" t="s">
        <v>697</v>
      </c>
    </row>
    <row r="279" spans="1:8" s="30" customFormat="1" ht="29.1" customHeight="1">
      <c r="A279" s="330">
        <v>276</v>
      </c>
      <c r="B279" s="330" t="s">
        <v>343</v>
      </c>
      <c r="C279" s="330" t="s">
        <v>700</v>
      </c>
      <c r="D279" s="331">
        <v>46082</v>
      </c>
      <c r="E279" s="332">
        <v>3500</v>
      </c>
      <c r="F279" s="333">
        <v>3</v>
      </c>
      <c r="G279" s="334">
        <f t="shared" si="5"/>
        <v>10500</v>
      </c>
      <c r="H279" s="330" t="s">
        <v>697</v>
      </c>
    </row>
    <row r="280" spans="1:8" s="30" customFormat="1" ht="29.1" customHeight="1">
      <c r="A280" s="330">
        <v>277</v>
      </c>
      <c r="B280" s="330" t="s">
        <v>343</v>
      </c>
      <c r="C280" s="330" t="s">
        <v>700</v>
      </c>
      <c r="D280" s="331">
        <v>46174</v>
      </c>
      <c r="E280" s="332">
        <v>3500</v>
      </c>
      <c r="F280" s="333">
        <v>3</v>
      </c>
      <c r="G280" s="334">
        <f t="shared" si="5"/>
        <v>10500</v>
      </c>
      <c r="H280" s="330" t="s">
        <v>697</v>
      </c>
    </row>
    <row r="281" spans="1:8" s="30" customFormat="1" ht="29.1" customHeight="1">
      <c r="A281" s="330">
        <v>278</v>
      </c>
      <c r="B281" s="330" t="s">
        <v>343</v>
      </c>
      <c r="C281" s="330" t="s">
        <v>700</v>
      </c>
      <c r="D281" s="331">
        <v>46266</v>
      </c>
      <c r="E281" s="332">
        <v>3500</v>
      </c>
      <c r="F281" s="333">
        <v>3</v>
      </c>
      <c r="G281" s="334">
        <f t="shared" si="5"/>
        <v>10500</v>
      </c>
      <c r="H281" s="330" t="s">
        <v>697</v>
      </c>
    </row>
    <row r="282" spans="1:8" s="30" customFormat="1" ht="29.1" customHeight="1">
      <c r="A282" s="330">
        <v>279</v>
      </c>
      <c r="B282" s="330" t="s">
        <v>343</v>
      </c>
      <c r="C282" s="330" t="s">
        <v>700</v>
      </c>
      <c r="D282" s="331">
        <v>46357</v>
      </c>
      <c r="E282" s="332">
        <v>3500</v>
      </c>
      <c r="F282" s="333">
        <v>3</v>
      </c>
      <c r="G282" s="334">
        <f t="shared" si="5"/>
        <v>10500</v>
      </c>
      <c r="H282" s="330" t="s">
        <v>697</v>
      </c>
    </row>
    <row r="283" spans="1:8" s="30" customFormat="1" ht="29.1" customHeight="1">
      <c r="A283" s="330">
        <v>280</v>
      </c>
      <c r="B283" s="330" t="s">
        <v>343</v>
      </c>
      <c r="C283" s="330" t="s">
        <v>700</v>
      </c>
      <c r="D283" s="331">
        <v>46447</v>
      </c>
      <c r="E283" s="332">
        <v>3500</v>
      </c>
      <c r="F283" s="333">
        <v>3</v>
      </c>
      <c r="G283" s="334">
        <f t="shared" si="5"/>
        <v>10500</v>
      </c>
      <c r="H283" s="330" t="s">
        <v>697</v>
      </c>
    </row>
    <row r="284" spans="1:8" s="30" customFormat="1" ht="29.1" customHeight="1">
      <c r="A284" s="330">
        <v>281</v>
      </c>
      <c r="B284" s="330" t="s">
        <v>343</v>
      </c>
      <c r="C284" s="330" t="s">
        <v>700</v>
      </c>
      <c r="D284" s="331">
        <v>46539</v>
      </c>
      <c r="E284" s="332">
        <v>3500</v>
      </c>
      <c r="F284" s="333">
        <v>3</v>
      </c>
      <c r="G284" s="334">
        <f t="shared" si="5"/>
        <v>10500</v>
      </c>
      <c r="H284" s="330" t="s">
        <v>697</v>
      </c>
    </row>
    <row r="285" spans="1:8" s="30" customFormat="1" ht="29.1" customHeight="1">
      <c r="A285" s="330">
        <v>282</v>
      </c>
      <c r="B285" s="330" t="s">
        <v>343</v>
      </c>
      <c r="C285" s="330" t="s">
        <v>700</v>
      </c>
      <c r="D285" s="331">
        <v>46631</v>
      </c>
      <c r="E285" s="332">
        <v>3500</v>
      </c>
      <c r="F285" s="333">
        <v>3</v>
      </c>
      <c r="G285" s="334">
        <f t="shared" si="5"/>
        <v>10500</v>
      </c>
      <c r="H285" s="330" t="s">
        <v>697</v>
      </c>
    </row>
    <row r="286" spans="1:8" s="30" customFormat="1" ht="29.1" customHeight="1">
      <c r="A286" s="330">
        <v>283</v>
      </c>
      <c r="B286" s="330" t="s">
        <v>343</v>
      </c>
      <c r="C286" s="330" t="s">
        <v>700</v>
      </c>
      <c r="D286" s="331">
        <v>46722</v>
      </c>
      <c r="E286" s="332">
        <v>3500</v>
      </c>
      <c r="F286" s="333">
        <v>3</v>
      </c>
      <c r="G286" s="334">
        <f t="shared" si="5"/>
        <v>10500</v>
      </c>
      <c r="H286" s="330" t="s">
        <v>697</v>
      </c>
    </row>
    <row r="287" spans="1:8" s="30" customFormat="1" ht="29.1" customHeight="1">
      <c r="A287" s="330">
        <v>284</v>
      </c>
      <c r="B287" s="330" t="s">
        <v>343</v>
      </c>
      <c r="C287" s="330" t="s">
        <v>700</v>
      </c>
      <c r="D287" s="331">
        <v>46813</v>
      </c>
      <c r="E287" s="332">
        <v>3500</v>
      </c>
      <c r="F287" s="333">
        <v>3</v>
      </c>
      <c r="G287" s="334">
        <f t="shared" si="5"/>
        <v>10500</v>
      </c>
      <c r="H287" s="330" t="s">
        <v>697</v>
      </c>
    </row>
    <row r="288" spans="1:8" s="30" customFormat="1" ht="29.1" customHeight="1">
      <c r="A288" s="330">
        <v>285</v>
      </c>
      <c r="B288" s="330" t="s">
        <v>343</v>
      </c>
      <c r="C288" s="330" t="s">
        <v>700</v>
      </c>
      <c r="D288" s="331">
        <v>46905</v>
      </c>
      <c r="E288" s="332">
        <v>3500</v>
      </c>
      <c r="F288" s="333">
        <v>3</v>
      </c>
      <c r="G288" s="334">
        <f t="shared" ref="G288:G325" si="6">F288*E288</f>
        <v>10500</v>
      </c>
      <c r="H288" s="330" t="s">
        <v>697</v>
      </c>
    </row>
    <row r="289" spans="1:8" s="30" customFormat="1" ht="29.1" customHeight="1">
      <c r="A289" s="330">
        <v>286</v>
      </c>
      <c r="B289" s="330" t="s">
        <v>343</v>
      </c>
      <c r="C289" s="330" t="s">
        <v>700</v>
      </c>
      <c r="D289" s="331">
        <v>46997</v>
      </c>
      <c r="E289" s="332">
        <v>3500</v>
      </c>
      <c r="F289" s="333">
        <v>3</v>
      </c>
      <c r="G289" s="334">
        <f t="shared" si="6"/>
        <v>10500</v>
      </c>
      <c r="H289" s="330" t="s">
        <v>697</v>
      </c>
    </row>
    <row r="290" spans="1:8" s="30" customFormat="1" ht="40.5" customHeight="1">
      <c r="A290" s="330">
        <v>287</v>
      </c>
      <c r="B290" s="330" t="s">
        <v>329</v>
      </c>
      <c r="C290" s="330" t="s">
        <v>701</v>
      </c>
      <c r="D290" s="331">
        <v>45717</v>
      </c>
      <c r="E290" s="332">
        <v>2000</v>
      </c>
      <c r="F290" s="333">
        <v>3</v>
      </c>
      <c r="G290" s="334">
        <f t="shared" si="6"/>
        <v>6000</v>
      </c>
      <c r="H290" s="330" t="s">
        <v>697</v>
      </c>
    </row>
    <row r="291" spans="1:8" s="30" customFormat="1" ht="40.5" customHeight="1">
      <c r="A291" s="330">
        <v>288</v>
      </c>
      <c r="B291" s="330" t="s">
        <v>329</v>
      </c>
      <c r="C291" s="330" t="s">
        <v>701</v>
      </c>
      <c r="D291" s="331">
        <v>45809</v>
      </c>
      <c r="E291" s="332">
        <v>2000</v>
      </c>
      <c r="F291" s="333">
        <v>3</v>
      </c>
      <c r="G291" s="334">
        <f t="shared" si="6"/>
        <v>6000</v>
      </c>
      <c r="H291" s="330" t="s">
        <v>697</v>
      </c>
    </row>
    <row r="292" spans="1:8" s="30" customFormat="1" ht="40.5" customHeight="1">
      <c r="A292" s="330">
        <v>289</v>
      </c>
      <c r="B292" s="330" t="s">
        <v>329</v>
      </c>
      <c r="C292" s="330" t="s">
        <v>701</v>
      </c>
      <c r="D292" s="331">
        <v>45901</v>
      </c>
      <c r="E292" s="332">
        <v>2000</v>
      </c>
      <c r="F292" s="333">
        <v>3</v>
      </c>
      <c r="G292" s="334">
        <f t="shared" si="6"/>
        <v>6000</v>
      </c>
      <c r="H292" s="330" t="s">
        <v>697</v>
      </c>
    </row>
    <row r="293" spans="1:8" s="30" customFormat="1" ht="40.5" customHeight="1">
      <c r="A293" s="330">
        <v>290</v>
      </c>
      <c r="B293" s="330" t="s">
        <v>329</v>
      </c>
      <c r="C293" s="330" t="s">
        <v>701</v>
      </c>
      <c r="D293" s="331">
        <v>45992</v>
      </c>
      <c r="E293" s="332">
        <v>2000</v>
      </c>
      <c r="F293" s="333">
        <v>3</v>
      </c>
      <c r="G293" s="334">
        <f t="shared" si="6"/>
        <v>6000</v>
      </c>
      <c r="H293" s="330" t="s">
        <v>697</v>
      </c>
    </row>
    <row r="294" spans="1:8" s="30" customFormat="1" ht="40.5" customHeight="1">
      <c r="A294" s="330">
        <v>291</v>
      </c>
      <c r="B294" s="330" t="s">
        <v>329</v>
      </c>
      <c r="C294" s="330" t="s">
        <v>701</v>
      </c>
      <c r="D294" s="331">
        <v>46082</v>
      </c>
      <c r="E294" s="332">
        <v>2000</v>
      </c>
      <c r="F294" s="333">
        <v>3</v>
      </c>
      <c r="G294" s="334">
        <f t="shared" si="6"/>
        <v>6000</v>
      </c>
      <c r="H294" s="330" t="s">
        <v>697</v>
      </c>
    </row>
    <row r="295" spans="1:8" s="30" customFormat="1" ht="40.5" customHeight="1">
      <c r="A295" s="330">
        <v>292</v>
      </c>
      <c r="B295" s="330" t="s">
        <v>329</v>
      </c>
      <c r="C295" s="330" t="s">
        <v>701</v>
      </c>
      <c r="D295" s="331">
        <v>46174</v>
      </c>
      <c r="E295" s="332">
        <v>2000</v>
      </c>
      <c r="F295" s="333">
        <v>3</v>
      </c>
      <c r="G295" s="334">
        <f t="shared" si="6"/>
        <v>6000</v>
      </c>
      <c r="H295" s="330" t="s">
        <v>697</v>
      </c>
    </row>
    <row r="296" spans="1:8" s="30" customFormat="1" ht="40.5" customHeight="1">
      <c r="A296" s="330">
        <v>293</v>
      </c>
      <c r="B296" s="330" t="s">
        <v>329</v>
      </c>
      <c r="C296" s="330" t="s">
        <v>701</v>
      </c>
      <c r="D296" s="331">
        <v>46266</v>
      </c>
      <c r="E296" s="332">
        <v>2000</v>
      </c>
      <c r="F296" s="333">
        <v>3</v>
      </c>
      <c r="G296" s="334">
        <f t="shared" si="6"/>
        <v>6000</v>
      </c>
      <c r="H296" s="330" t="s">
        <v>697</v>
      </c>
    </row>
    <row r="297" spans="1:8" s="30" customFormat="1" ht="40.5" customHeight="1">
      <c r="A297" s="330">
        <v>294</v>
      </c>
      <c r="B297" s="330" t="s">
        <v>329</v>
      </c>
      <c r="C297" s="330" t="s">
        <v>701</v>
      </c>
      <c r="D297" s="331">
        <v>46357</v>
      </c>
      <c r="E297" s="332">
        <v>2000</v>
      </c>
      <c r="F297" s="333">
        <v>3</v>
      </c>
      <c r="G297" s="334">
        <f t="shared" si="6"/>
        <v>6000</v>
      </c>
      <c r="H297" s="330" t="s">
        <v>697</v>
      </c>
    </row>
    <row r="298" spans="1:8" s="30" customFormat="1" ht="40.5" customHeight="1">
      <c r="A298" s="330">
        <v>295</v>
      </c>
      <c r="B298" s="330" t="s">
        <v>329</v>
      </c>
      <c r="C298" s="330" t="s">
        <v>701</v>
      </c>
      <c r="D298" s="331">
        <v>46447</v>
      </c>
      <c r="E298" s="332">
        <v>2000</v>
      </c>
      <c r="F298" s="333">
        <v>3</v>
      </c>
      <c r="G298" s="334">
        <f t="shared" si="6"/>
        <v>6000</v>
      </c>
      <c r="H298" s="330" t="s">
        <v>697</v>
      </c>
    </row>
    <row r="299" spans="1:8" s="30" customFormat="1" ht="40.5" customHeight="1">
      <c r="A299" s="330">
        <v>296</v>
      </c>
      <c r="B299" s="330" t="s">
        <v>329</v>
      </c>
      <c r="C299" s="330" t="s">
        <v>701</v>
      </c>
      <c r="D299" s="331">
        <v>46539</v>
      </c>
      <c r="E299" s="332">
        <v>2000</v>
      </c>
      <c r="F299" s="333">
        <v>3</v>
      </c>
      <c r="G299" s="334">
        <f t="shared" si="6"/>
        <v>6000</v>
      </c>
      <c r="H299" s="330" t="s">
        <v>697</v>
      </c>
    </row>
    <row r="300" spans="1:8" s="30" customFormat="1" ht="40.5" customHeight="1">
      <c r="A300" s="330">
        <v>297</v>
      </c>
      <c r="B300" s="330" t="s">
        <v>329</v>
      </c>
      <c r="C300" s="330" t="s">
        <v>701</v>
      </c>
      <c r="D300" s="331">
        <v>46631</v>
      </c>
      <c r="E300" s="332">
        <v>2000</v>
      </c>
      <c r="F300" s="333">
        <v>3</v>
      </c>
      <c r="G300" s="334">
        <f t="shared" si="6"/>
        <v>6000</v>
      </c>
      <c r="H300" s="330" t="s">
        <v>697</v>
      </c>
    </row>
    <row r="301" spans="1:8" s="30" customFormat="1" ht="40.5" customHeight="1">
      <c r="A301" s="330">
        <v>298</v>
      </c>
      <c r="B301" s="330" t="s">
        <v>329</v>
      </c>
      <c r="C301" s="330" t="s">
        <v>701</v>
      </c>
      <c r="D301" s="331">
        <v>46722</v>
      </c>
      <c r="E301" s="332">
        <v>2000</v>
      </c>
      <c r="F301" s="333">
        <v>3</v>
      </c>
      <c r="G301" s="334">
        <f t="shared" si="6"/>
        <v>6000</v>
      </c>
      <c r="H301" s="330" t="s">
        <v>697</v>
      </c>
    </row>
    <row r="302" spans="1:8" s="30" customFormat="1" ht="40.5" customHeight="1">
      <c r="A302" s="330">
        <v>299</v>
      </c>
      <c r="B302" s="330" t="s">
        <v>329</v>
      </c>
      <c r="C302" s="330" t="s">
        <v>701</v>
      </c>
      <c r="D302" s="331">
        <v>46813</v>
      </c>
      <c r="E302" s="332">
        <v>2000</v>
      </c>
      <c r="F302" s="333">
        <v>3</v>
      </c>
      <c r="G302" s="334">
        <f t="shared" si="6"/>
        <v>6000</v>
      </c>
      <c r="H302" s="330" t="s">
        <v>697</v>
      </c>
    </row>
    <row r="303" spans="1:8" s="30" customFormat="1" ht="40.5" customHeight="1">
      <c r="A303" s="330">
        <v>300</v>
      </c>
      <c r="B303" s="330" t="s">
        <v>329</v>
      </c>
      <c r="C303" s="330" t="s">
        <v>701</v>
      </c>
      <c r="D303" s="331">
        <v>46905</v>
      </c>
      <c r="E303" s="332">
        <v>2000</v>
      </c>
      <c r="F303" s="333">
        <v>3</v>
      </c>
      <c r="G303" s="334">
        <f t="shared" si="6"/>
        <v>6000</v>
      </c>
      <c r="H303" s="330" t="s">
        <v>697</v>
      </c>
    </row>
    <row r="304" spans="1:8" s="30" customFormat="1" ht="40.5" customHeight="1">
      <c r="A304" s="330">
        <v>301</v>
      </c>
      <c r="B304" s="330" t="s">
        <v>329</v>
      </c>
      <c r="C304" s="330" t="s">
        <v>701</v>
      </c>
      <c r="D304" s="331">
        <v>46997</v>
      </c>
      <c r="E304" s="332">
        <v>2000</v>
      </c>
      <c r="F304" s="333">
        <v>3</v>
      </c>
      <c r="G304" s="334">
        <f t="shared" si="6"/>
        <v>6000</v>
      </c>
      <c r="H304" s="330" t="s">
        <v>697</v>
      </c>
    </row>
    <row r="305" spans="1:8" s="30" customFormat="1" ht="40.5" customHeight="1">
      <c r="A305" s="330">
        <v>302</v>
      </c>
      <c r="B305" s="330" t="s">
        <v>331</v>
      </c>
      <c r="C305" s="330" t="s">
        <v>702</v>
      </c>
      <c r="D305" s="331">
        <v>45352</v>
      </c>
      <c r="E305" s="332">
        <v>2000</v>
      </c>
      <c r="F305" s="333">
        <v>3</v>
      </c>
      <c r="G305" s="334">
        <f t="shared" si="6"/>
        <v>6000</v>
      </c>
      <c r="H305" s="330" t="s">
        <v>697</v>
      </c>
    </row>
    <row r="306" spans="1:8" s="30" customFormat="1" ht="40.5" customHeight="1">
      <c r="A306" s="330">
        <v>303</v>
      </c>
      <c r="B306" s="330" t="s">
        <v>331</v>
      </c>
      <c r="C306" s="330" t="s">
        <v>702</v>
      </c>
      <c r="D306" s="331">
        <v>45444</v>
      </c>
      <c r="E306" s="332">
        <v>2000</v>
      </c>
      <c r="F306" s="333">
        <v>3</v>
      </c>
      <c r="G306" s="334">
        <f t="shared" si="6"/>
        <v>6000</v>
      </c>
      <c r="H306" s="330" t="s">
        <v>697</v>
      </c>
    </row>
    <row r="307" spans="1:8" s="30" customFormat="1" ht="40.5" customHeight="1">
      <c r="A307" s="330">
        <v>304</v>
      </c>
      <c r="B307" s="330" t="s">
        <v>331</v>
      </c>
      <c r="C307" s="330" t="s">
        <v>702</v>
      </c>
      <c r="D307" s="331">
        <v>45536</v>
      </c>
      <c r="E307" s="332">
        <v>2000</v>
      </c>
      <c r="F307" s="333">
        <v>3</v>
      </c>
      <c r="G307" s="334">
        <f t="shared" si="6"/>
        <v>6000</v>
      </c>
      <c r="H307" s="330" t="s">
        <v>697</v>
      </c>
    </row>
    <row r="308" spans="1:8" s="30" customFormat="1" ht="40.5" customHeight="1">
      <c r="A308" s="330">
        <v>305</v>
      </c>
      <c r="B308" s="330" t="s">
        <v>331</v>
      </c>
      <c r="C308" s="330" t="s">
        <v>702</v>
      </c>
      <c r="D308" s="331">
        <v>45689</v>
      </c>
      <c r="E308" s="332">
        <v>2000</v>
      </c>
      <c r="F308" s="333">
        <v>3</v>
      </c>
      <c r="G308" s="334">
        <f t="shared" si="6"/>
        <v>6000</v>
      </c>
      <c r="H308" s="330" t="s">
        <v>697</v>
      </c>
    </row>
    <row r="309" spans="1:8" s="30" customFormat="1" ht="40.5" customHeight="1">
      <c r="A309" s="330">
        <v>306</v>
      </c>
      <c r="B309" s="330" t="s">
        <v>331</v>
      </c>
      <c r="C309" s="330" t="s">
        <v>702</v>
      </c>
      <c r="D309" s="331">
        <v>45717</v>
      </c>
      <c r="E309" s="332">
        <v>2000</v>
      </c>
      <c r="F309" s="333">
        <v>3</v>
      </c>
      <c r="G309" s="334">
        <f t="shared" si="6"/>
        <v>6000</v>
      </c>
      <c r="H309" s="330" t="s">
        <v>697</v>
      </c>
    </row>
    <row r="310" spans="1:8" s="30" customFormat="1" ht="40.5" customHeight="1">
      <c r="A310" s="330">
        <v>307</v>
      </c>
      <c r="B310" s="330" t="s">
        <v>331</v>
      </c>
      <c r="C310" s="330" t="s">
        <v>702</v>
      </c>
      <c r="D310" s="331">
        <v>45809</v>
      </c>
      <c r="E310" s="332">
        <v>2000</v>
      </c>
      <c r="F310" s="333">
        <v>3</v>
      </c>
      <c r="G310" s="334">
        <f t="shared" si="6"/>
        <v>6000</v>
      </c>
      <c r="H310" s="330" t="s">
        <v>697</v>
      </c>
    </row>
    <row r="311" spans="1:8" s="30" customFormat="1" ht="40.5" customHeight="1">
      <c r="A311" s="330">
        <v>308</v>
      </c>
      <c r="B311" s="330" t="s">
        <v>331</v>
      </c>
      <c r="C311" s="330" t="s">
        <v>702</v>
      </c>
      <c r="D311" s="331">
        <v>45901</v>
      </c>
      <c r="E311" s="332">
        <v>2000</v>
      </c>
      <c r="F311" s="333">
        <v>3</v>
      </c>
      <c r="G311" s="334">
        <f t="shared" si="6"/>
        <v>6000</v>
      </c>
      <c r="H311" s="330" t="s">
        <v>697</v>
      </c>
    </row>
    <row r="312" spans="1:8" s="30" customFormat="1" ht="40.5" customHeight="1">
      <c r="A312" s="330">
        <v>309</v>
      </c>
      <c r="B312" s="330" t="s">
        <v>331</v>
      </c>
      <c r="C312" s="330" t="s">
        <v>702</v>
      </c>
      <c r="D312" s="331">
        <v>45992</v>
      </c>
      <c r="E312" s="332">
        <v>2000</v>
      </c>
      <c r="F312" s="333">
        <v>3</v>
      </c>
      <c r="G312" s="334">
        <f t="shared" si="6"/>
        <v>6000</v>
      </c>
      <c r="H312" s="330" t="s">
        <v>697</v>
      </c>
    </row>
    <row r="313" spans="1:8" s="30" customFormat="1" ht="40.5" customHeight="1">
      <c r="A313" s="330">
        <v>310</v>
      </c>
      <c r="B313" s="330" t="s">
        <v>331</v>
      </c>
      <c r="C313" s="330" t="s">
        <v>702</v>
      </c>
      <c r="D313" s="331">
        <v>46082</v>
      </c>
      <c r="E313" s="332">
        <v>2000</v>
      </c>
      <c r="F313" s="333">
        <v>3</v>
      </c>
      <c r="G313" s="334">
        <f t="shared" si="6"/>
        <v>6000</v>
      </c>
      <c r="H313" s="330" t="s">
        <v>697</v>
      </c>
    </row>
    <row r="314" spans="1:8" s="30" customFormat="1" ht="40.5" customHeight="1">
      <c r="A314" s="330">
        <v>311</v>
      </c>
      <c r="B314" s="330" t="s">
        <v>331</v>
      </c>
      <c r="C314" s="330" t="s">
        <v>702</v>
      </c>
      <c r="D314" s="331">
        <v>46174</v>
      </c>
      <c r="E314" s="332">
        <v>2000</v>
      </c>
      <c r="F314" s="333">
        <v>3</v>
      </c>
      <c r="G314" s="334">
        <f t="shared" si="6"/>
        <v>6000</v>
      </c>
      <c r="H314" s="330" t="s">
        <v>697</v>
      </c>
    </row>
    <row r="315" spans="1:8" s="30" customFormat="1" ht="40.5" customHeight="1">
      <c r="A315" s="330">
        <v>312</v>
      </c>
      <c r="B315" s="330" t="s">
        <v>331</v>
      </c>
      <c r="C315" s="330" t="s">
        <v>702</v>
      </c>
      <c r="D315" s="331">
        <v>46266</v>
      </c>
      <c r="E315" s="332">
        <v>2000</v>
      </c>
      <c r="F315" s="333">
        <v>3</v>
      </c>
      <c r="G315" s="334">
        <f t="shared" si="6"/>
        <v>6000</v>
      </c>
      <c r="H315" s="330" t="s">
        <v>697</v>
      </c>
    </row>
    <row r="316" spans="1:8" s="30" customFormat="1" ht="40.5" customHeight="1">
      <c r="A316" s="330">
        <v>313</v>
      </c>
      <c r="B316" s="330" t="s">
        <v>331</v>
      </c>
      <c r="C316" s="330" t="s">
        <v>702</v>
      </c>
      <c r="D316" s="331">
        <v>46357</v>
      </c>
      <c r="E316" s="332">
        <v>2000</v>
      </c>
      <c r="F316" s="333">
        <v>3</v>
      </c>
      <c r="G316" s="334">
        <f t="shared" si="6"/>
        <v>6000</v>
      </c>
      <c r="H316" s="330" t="s">
        <v>697</v>
      </c>
    </row>
    <row r="317" spans="1:8" s="30" customFormat="1" ht="40.5" customHeight="1">
      <c r="A317" s="330">
        <v>314</v>
      </c>
      <c r="B317" s="330" t="s">
        <v>331</v>
      </c>
      <c r="C317" s="330" t="s">
        <v>702</v>
      </c>
      <c r="D317" s="331">
        <v>46447</v>
      </c>
      <c r="E317" s="332">
        <v>2000</v>
      </c>
      <c r="F317" s="333">
        <v>3</v>
      </c>
      <c r="G317" s="334">
        <f t="shared" si="6"/>
        <v>6000</v>
      </c>
      <c r="H317" s="330" t="s">
        <v>697</v>
      </c>
    </row>
    <row r="318" spans="1:8" s="30" customFormat="1" ht="40.5" customHeight="1">
      <c r="A318" s="330">
        <v>315</v>
      </c>
      <c r="B318" s="330" t="s">
        <v>331</v>
      </c>
      <c r="C318" s="330" t="s">
        <v>702</v>
      </c>
      <c r="D318" s="331">
        <v>46539</v>
      </c>
      <c r="E318" s="332">
        <v>2000</v>
      </c>
      <c r="F318" s="333">
        <v>3</v>
      </c>
      <c r="G318" s="334">
        <f t="shared" si="6"/>
        <v>6000</v>
      </c>
      <c r="H318" s="330" t="s">
        <v>697</v>
      </c>
    </row>
    <row r="319" spans="1:8" s="30" customFormat="1" ht="40.5" customHeight="1">
      <c r="A319" s="330">
        <v>316</v>
      </c>
      <c r="B319" s="330" t="s">
        <v>331</v>
      </c>
      <c r="C319" s="330" t="s">
        <v>702</v>
      </c>
      <c r="D319" s="331">
        <v>46631</v>
      </c>
      <c r="E319" s="332">
        <v>2000</v>
      </c>
      <c r="F319" s="333">
        <v>3</v>
      </c>
      <c r="G319" s="334">
        <f t="shared" si="6"/>
        <v>6000</v>
      </c>
      <c r="H319" s="330" t="s">
        <v>697</v>
      </c>
    </row>
    <row r="320" spans="1:8" s="30" customFormat="1" ht="40.5" customHeight="1">
      <c r="A320" s="330">
        <v>317</v>
      </c>
      <c r="B320" s="330" t="s">
        <v>331</v>
      </c>
      <c r="C320" s="330" t="s">
        <v>702</v>
      </c>
      <c r="D320" s="331">
        <v>46722</v>
      </c>
      <c r="E320" s="332">
        <v>2000</v>
      </c>
      <c r="F320" s="333">
        <v>3</v>
      </c>
      <c r="G320" s="334">
        <f t="shared" si="6"/>
        <v>6000</v>
      </c>
      <c r="H320" s="330" t="s">
        <v>697</v>
      </c>
    </row>
    <row r="321" spans="1:8" s="30" customFormat="1" ht="40.5" customHeight="1">
      <c r="A321" s="330">
        <v>318</v>
      </c>
      <c r="B321" s="330" t="s">
        <v>331</v>
      </c>
      <c r="C321" s="330" t="s">
        <v>702</v>
      </c>
      <c r="D321" s="331">
        <v>46813</v>
      </c>
      <c r="E321" s="332">
        <v>2000</v>
      </c>
      <c r="F321" s="333">
        <v>3</v>
      </c>
      <c r="G321" s="334">
        <f t="shared" si="6"/>
        <v>6000</v>
      </c>
      <c r="H321" s="330" t="s">
        <v>697</v>
      </c>
    </row>
    <row r="322" spans="1:8" s="30" customFormat="1" ht="40.5" customHeight="1">
      <c r="A322" s="330">
        <v>319</v>
      </c>
      <c r="B322" s="330" t="s">
        <v>331</v>
      </c>
      <c r="C322" s="330" t="s">
        <v>702</v>
      </c>
      <c r="D322" s="331">
        <v>46905</v>
      </c>
      <c r="E322" s="332">
        <v>2000</v>
      </c>
      <c r="F322" s="333">
        <v>3</v>
      </c>
      <c r="G322" s="334">
        <f t="shared" si="6"/>
        <v>6000</v>
      </c>
      <c r="H322" s="330" t="s">
        <v>697</v>
      </c>
    </row>
    <row r="323" spans="1:8" s="30" customFormat="1" ht="40.5" customHeight="1">
      <c r="A323" s="330">
        <v>320</v>
      </c>
      <c r="B323" s="330" t="s">
        <v>331</v>
      </c>
      <c r="C323" s="330" t="s">
        <v>702</v>
      </c>
      <c r="D323" s="331">
        <v>46997</v>
      </c>
      <c r="E323" s="332">
        <v>2000</v>
      </c>
      <c r="F323" s="333">
        <v>3</v>
      </c>
      <c r="G323" s="334">
        <f t="shared" si="6"/>
        <v>6000</v>
      </c>
      <c r="H323" s="330" t="s">
        <v>697</v>
      </c>
    </row>
    <row r="324" spans="1:8" s="30" customFormat="1" ht="40.5" customHeight="1">
      <c r="A324" s="330">
        <v>321</v>
      </c>
      <c r="B324" s="330" t="s">
        <v>349</v>
      </c>
      <c r="C324" s="330" t="s">
        <v>703</v>
      </c>
      <c r="D324" s="331">
        <v>45292</v>
      </c>
      <c r="E324" s="332">
        <v>464.48</v>
      </c>
      <c r="F324" s="333">
        <v>1</v>
      </c>
      <c r="G324" s="334">
        <f t="shared" si="6"/>
        <v>464.48</v>
      </c>
      <c r="H324" s="330" t="s">
        <v>719</v>
      </c>
    </row>
    <row r="325" spans="1:8" s="30" customFormat="1" ht="40.5" customHeight="1">
      <c r="A325" s="330">
        <v>322</v>
      </c>
      <c r="B325" s="330" t="s">
        <v>349</v>
      </c>
      <c r="C325" s="330" t="s">
        <v>703</v>
      </c>
      <c r="D325" s="331">
        <v>46023</v>
      </c>
      <c r="E325" s="332">
        <v>34114.25</v>
      </c>
      <c r="F325" s="333">
        <v>1</v>
      </c>
      <c r="G325" s="334">
        <f t="shared" si="6"/>
        <v>34114.25</v>
      </c>
      <c r="H325" s="330" t="s">
        <v>719</v>
      </c>
    </row>
    <row r="326" spans="1:8" s="30" customFormat="1" ht="47.25" customHeight="1">
      <c r="A326" s="330"/>
      <c r="B326" s="330"/>
      <c r="C326" s="330"/>
      <c r="D326" s="331"/>
      <c r="E326" s="332"/>
      <c r="F326" s="333"/>
      <c r="G326" s="334"/>
      <c r="H326" s="330"/>
    </row>
    <row r="327" spans="1:8" ht="29.25" customHeight="1">
      <c r="A327" s="335"/>
      <c r="B327" s="335"/>
      <c r="C327" s="335"/>
      <c r="D327" s="335"/>
      <c r="E327" s="336" t="s">
        <v>60</v>
      </c>
      <c r="F327" s="337">
        <f>SUM(F4:F326)</f>
        <v>2660</v>
      </c>
      <c r="G327" s="338">
        <f>SUM(G4:G326)</f>
        <v>4273855.4600000009</v>
      </c>
      <c r="H327" s="339"/>
    </row>
    <row r="350" spans="2:2">
      <c r="B350" s="340"/>
    </row>
    <row r="351" spans="2:2">
      <c r="B351" s="340"/>
    </row>
    <row r="352" spans="2:2">
      <c r="B352" s="340"/>
    </row>
    <row r="353" spans="2:2">
      <c r="B353" s="340"/>
    </row>
    <row r="354" spans="2:2">
      <c r="B354" s="340"/>
    </row>
    <row r="355" spans="2:2">
      <c r="B355" s="340"/>
    </row>
    <row r="356" spans="2:2">
      <c r="B356" s="340"/>
    </row>
    <row r="357" spans="2:2">
      <c r="B357" s="340"/>
    </row>
    <row r="358" spans="2:2">
      <c r="B358" s="340"/>
    </row>
    <row r="359" spans="2:2">
      <c r="B359" s="340"/>
    </row>
    <row r="360" spans="2:2">
      <c r="B360" s="340"/>
    </row>
    <row r="361" spans="2:2">
      <c r="B361" s="340"/>
    </row>
    <row r="362" spans="2:2">
      <c r="B362" s="340"/>
    </row>
    <row r="363" spans="2:2">
      <c r="B363" s="38"/>
    </row>
  </sheetData>
  <sheetProtection formatRows="0"/>
  <mergeCells count="2">
    <mergeCell ref="A1:H1"/>
    <mergeCell ref="A2:H2"/>
  </mergeCells>
  <conditionalFormatting sqref="E150:H151 F194:G213 H194:H219 A326:H326 B228:H325 E4:F86 E87:G88 B4:B125 C11:C95 D4:D227 G4:G227 H4:H149 A4:A325">
    <cfRule type="expression" dxfId="1786" priority="740">
      <formula>ISODD(ROW())</formula>
    </cfRule>
  </conditionalFormatting>
  <conditionalFormatting sqref="B152:B181">
    <cfRule type="expression" dxfId="1785" priority="255">
      <formula>ISODD(ROW())</formula>
    </cfRule>
  </conditionalFormatting>
  <conditionalFormatting sqref="B201:B219">
    <cfRule type="expression" dxfId="1784" priority="77">
      <formula>ISODD(ROW())</formula>
    </cfRule>
  </conditionalFormatting>
  <conditionalFormatting sqref="B125:C151">
    <cfRule type="expression" dxfId="1783" priority="484">
      <formula>ISODD(ROW())</formula>
    </cfRule>
  </conditionalFormatting>
  <conditionalFormatting sqref="B182:C200">
    <cfRule type="expression" dxfId="1782" priority="167">
      <formula>ISODD(ROW())</formula>
    </cfRule>
  </conditionalFormatting>
  <conditionalFormatting sqref="B220:C227">
    <cfRule type="expression" dxfId="1781" priority="13">
      <formula>ISODD(ROW())</formula>
    </cfRule>
  </conditionalFormatting>
  <conditionalFormatting sqref="C4:C9">
    <cfRule type="expression" dxfId="1780" priority="703">
      <formula>ISODD(ROW())</formula>
    </cfRule>
  </conditionalFormatting>
  <conditionalFormatting sqref="C97:C125">
    <cfRule type="expression" dxfId="1779" priority="502">
      <formula>ISODD(ROW())</formula>
    </cfRule>
  </conditionalFormatting>
  <conditionalFormatting sqref="C152:C182">
    <cfRule type="expression" dxfId="1778" priority="238">
      <formula>ISODD(ROW())</formula>
    </cfRule>
  </conditionalFormatting>
  <conditionalFormatting sqref="C185">
    <cfRule type="expression" dxfId="1777" priority="233">
      <formula>ISODD(ROW())</formula>
    </cfRule>
  </conditionalFormatting>
  <conditionalFormatting sqref="C188">
    <cfRule type="expression" dxfId="1776" priority="228">
      <formula>ISODD(ROW())</formula>
    </cfRule>
  </conditionalFormatting>
  <conditionalFormatting sqref="C191">
    <cfRule type="expression" dxfId="1775" priority="223">
      <formula>ISODD(ROW())</formula>
    </cfRule>
  </conditionalFormatting>
  <conditionalFormatting sqref="C201:C227">
    <cfRule type="expression" dxfId="1774" priority="8">
      <formula>ISODD(ROW())</formula>
    </cfRule>
  </conditionalFormatting>
  <conditionalFormatting sqref="E152:E227">
    <cfRule type="expression" dxfId="1773" priority="4">
      <formula>ISODD(ROW())</formula>
    </cfRule>
  </conditionalFormatting>
  <conditionalFormatting sqref="E89:F149">
    <cfRule type="expression" dxfId="1772" priority="424">
      <formula>ISODD(ROW())</formula>
    </cfRule>
  </conditionalFormatting>
  <conditionalFormatting sqref="E220:F223">
    <cfRule type="expression" dxfId="1771" priority="35">
      <formula>ISODD(ROW())</formula>
    </cfRule>
  </conditionalFormatting>
  <conditionalFormatting sqref="F160:F161">
    <cfRule type="expression" dxfId="1770" priority="392">
      <formula>ISODD(ROW())</formula>
    </cfRule>
  </conditionalFormatting>
  <conditionalFormatting sqref="F165:F175">
    <cfRule type="expression" dxfId="1769" priority="301">
      <formula>ISODD(ROW())</formula>
    </cfRule>
  </conditionalFormatting>
  <conditionalFormatting sqref="F214:F219">
    <cfRule type="expression" dxfId="1768" priority="67">
      <formula>ISODD(ROW())</formula>
    </cfRule>
  </conditionalFormatting>
  <conditionalFormatting sqref="F224:F227">
    <cfRule type="expression" dxfId="1767" priority="1">
      <formula>ISODD(ROW())</formula>
    </cfRule>
  </conditionalFormatting>
  <conditionalFormatting sqref="F152:H159">
    <cfRule type="expression" dxfId="1766" priority="402">
      <formula>ISODD(ROW())</formula>
    </cfRule>
  </conditionalFormatting>
  <conditionalFormatting sqref="F176:H193">
    <cfRule type="expression" dxfId="1765" priority="269">
      <formula>ISODD(ROW())</formula>
    </cfRule>
  </conditionalFormatting>
  <conditionalFormatting sqref="G160:H160 H161:H170 F162:G164 G171:H175">
    <cfRule type="expression" dxfId="1764" priority="730">
      <formula>ISODD(ROW())</formula>
    </cfRule>
  </conditionalFormatting>
  <conditionalFormatting sqref="G220:H227">
    <cfRule type="expression" dxfId="1763" priority="731">
      <formula>ISODD(ROW())</formula>
    </cfRule>
  </conditionalFormatting>
  <dataValidations count="1">
    <dataValidation type="list" allowBlank="1" showInputMessage="1" showErrorMessage="1" sqref="B4:B326">
      <formula1>Bens</formula1>
      <formula2>0</formula2>
    </dataValidation>
  </dataValidations>
  <pageMargins left="0.196527777777778" right="0.196527777777778" top="0.59027777777777801" bottom="0.59027777777777801" header="0.51180555555555496" footer="0"/>
  <pageSetup paperSize="9" scale="75" firstPageNumber="0" fitToHeight="0" orientation="landscape" horizontalDpi="300" verticalDpi="300" r:id="rId1"/>
  <headerFooter>
    <oddFooter>&amp;CPágina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D0D0D"/>
    <pageSetUpPr fitToPage="1"/>
  </sheetPr>
  <dimension ref="A1:AMJ3640"/>
  <sheetViews>
    <sheetView view="pageBreakPreview" zoomScale="110" zoomScaleNormal="90" zoomScaleSheetLayoutView="110" workbookViewId="0">
      <pane ySplit="3" topLeftCell="A4" activePane="bottomLeft" state="frozen"/>
      <selection activeCell="B1" sqref="B1"/>
      <selection pane="bottomLeft" activeCell="A3619" sqref="A3619:A3632"/>
    </sheetView>
  </sheetViews>
  <sheetFormatPr defaultColWidth="9.140625" defaultRowHeight="12.75"/>
  <cols>
    <col min="1" max="1" width="4.7109375" style="84" customWidth="1"/>
    <col min="2" max="2" width="30.85546875" style="81" customWidth="1"/>
    <col min="3" max="3" width="13" style="84" customWidth="1"/>
    <col min="4" max="5" width="10.140625" style="84" customWidth="1"/>
    <col min="6" max="6" width="31.5703125" style="81" customWidth="1"/>
    <col min="7" max="7" width="36" style="341" customWidth="1"/>
    <col min="8" max="8" width="15.42578125" style="84" bestFit="1" customWidth="1"/>
    <col min="9" max="1024" width="9.140625" style="120"/>
  </cols>
  <sheetData>
    <row r="1" spans="1:9" ht="44.25" customHeight="1">
      <c r="A1" s="384" t="str">
        <f>Capa!A1</f>
        <v>Memória de Cálculo
Contrato de Gestão nº 10/2023 celebrado entre a Secretaria de Estado de Justiça e Segurança Pública - SEJUSP e  o Pólo de Evolução de Medidas Socioeducativas</v>
      </c>
      <c r="B1" s="384"/>
      <c r="C1" s="384"/>
      <c r="D1" s="384"/>
      <c r="E1" s="384"/>
      <c r="F1" s="384"/>
      <c r="G1" s="384"/>
      <c r="H1" s="384"/>
    </row>
    <row r="2" spans="1:9" ht="23.25" customHeight="1" thickBot="1">
      <c r="A2" s="385" t="s">
        <v>400</v>
      </c>
      <c r="B2" s="385"/>
      <c r="C2" s="385"/>
      <c r="D2" s="385"/>
      <c r="E2" s="385"/>
      <c r="F2" s="385"/>
      <c r="G2" s="385"/>
      <c r="H2" s="385"/>
    </row>
    <row r="3" spans="1:9" ht="43.5" customHeight="1" thickBot="1">
      <c r="A3" s="342" t="s">
        <v>401</v>
      </c>
      <c r="B3" s="343" t="s">
        <v>394</v>
      </c>
      <c r="C3" s="343" t="s">
        <v>124</v>
      </c>
      <c r="D3" s="343" t="s">
        <v>402</v>
      </c>
      <c r="E3" s="343" t="s">
        <v>403</v>
      </c>
      <c r="F3" s="344" t="s">
        <v>100</v>
      </c>
      <c r="G3" s="344" t="s">
        <v>404</v>
      </c>
      <c r="H3" s="344" t="s">
        <v>405</v>
      </c>
    </row>
    <row r="4" spans="1:9" ht="22.5">
      <c r="A4" s="345">
        <v>1</v>
      </c>
      <c r="B4" s="346" t="s">
        <v>198</v>
      </c>
      <c r="C4" s="347">
        <v>11729.12</v>
      </c>
      <c r="D4" s="348">
        <v>45261</v>
      </c>
      <c r="E4" s="348">
        <v>45627</v>
      </c>
      <c r="F4" s="349" t="s">
        <v>629</v>
      </c>
      <c r="G4" s="350" t="s">
        <v>438</v>
      </c>
      <c r="H4" s="351">
        <f t="shared" ref="H4:H66" si="0">IFERROR((DATEDIF(D4,E4,"M")+1)*C4,0)</f>
        <v>152478.56</v>
      </c>
      <c r="I4" s="120" t="str">
        <f>IF(OR(D4&lt;Capa!$A$5,D4&gt;Capa!$A$7,E4&lt;Capa!$A$5,E4&gt;Capa!$A$7,D4&gt;E4),"Erro","")</f>
        <v/>
      </c>
    </row>
    <row r="5" spans="1:9" ht="22.5">
      <c r="A5" s="345">
        <v>2</v>
      </c>
      <c r="B5" s="346" t="s">
        <v>198</v>
      </c>
      <c r="C5" s="347">
        <v>12414.41</v>
      </c>
      <c r="D5" s="348">
        <v>45658</v>
      </c>
      <c r="E5" s="348">
        <v>45992</v>
      </c>
      <c r="F5" s="346" t="s">
        <v>629</v>
      </c>
      <c r="G5" s="350" t="s">
        <v>438</v>
      </c>
      <c r="H5" s="351">
        <f t="shared" si="0"/>
        <v>148972.91999999998</v>
      </c>
      <c r="I5" s="120" t="str">
        <f>IF(OR(D5&lt;Capa!$A$5,D5&gt;Capa!$A$7,E5&lt;Capa!$A$5,E5&gt;Capa!$A$7,D5&gt;E5),"Erro","")</f>
        <v/>
      </c>
    </row>
    <row r="6" spans="1:9" ht="22.5">
      <c r="A6" s="345">
        <v>3</v>
      </c>
      <c r="B6" s="346" t="s">
        <v>198</v>
      </c>
      <c r="C6" s="347">
        <v>13139.08</v>
      </c>
      <c r="D6" s="348">
        <v>46023</v>
      </c>
      <c r="E6" s="348">
        <v>46357</v>
      </c>
      <c r="F6" s="346" t="s">
        <v>629</v>
      </c>
      <c r="G6" s="350" t="s">
        <v>438</v>
      </c>
      <c r="H6" s="351">
        <f t="shared" si="0"/>
        <v>157668.96</v>
      </c>
      <c r="I6" s="120" t="str">
        <f>IF(OR(D6&lt;Capa!$A$5,D6&gt;Capa!$A$7,E6&lt;Capa!$A$5,E6&gt;Capa!$A$7,D6&gt;E6),"Erro","")</f>
        <v/>
      </c>
    </row>
    <row r="7" spans="1:9" ht="22.5">
      <c r="A7" s="345">
        <v>4</v>
      </c>
      <c r="B7" s="346" t="s">
        <v>198</v>
      </c>
      <c r="C7" s="347">
        <v>13906.4</v>
      </c>
      <c r="D7" s="348">
        <v>46388</v>
      </c>
      <c r="E7" s="348">
        <v>46722</v>
      </c>
      <c r="F7" s="346" t="s">
        <v>629</v>
      </c>
      <c r="G7" s="350" t="s">
        <v>438</v>
      </c>
      <c r="H7" s="351">
        <f t="shared" si="0"/>
        <v>166876.79999999999</v>
      </c>
      <c r="I7" s="120" t="str">
        <f>IF(OR(D7&lt;Capa!$A$5,D7&gt;Capa!$A$7,E7&lt;Capa!$A$5,E7&gt;Capa!$A$7,D7&gt;E7),"Erro","")</f>
        <v/>
      </c>
    </row>
    <row r="8" spans="1:9" ht="22.5">
      <c r="A8" s="345">
        <v>5</v>
      </c>
      <c r="B8" s="346" t="s">
        <v>198</v>
      </c>
      <c r="C8" s="347">
        <v>14718.54</v>
      </c>
      <c r="D8" s="348">
        <v>46753</v>
      </c>
      <c r="E8" s="348">
        <v>47058</v>
      </c>
      <c r="F8" s="346" t="s">
        <v>629</v>
      </c>
      <c r="G8" s="350" t="s">
        <v>438</v>
      </c>
      <c r="H8" s="351">
        <f t="shared" si="0"/>
        <v>161903.94</v>
      </c>
      <c r="I8" s="120" t="str">
        <f>IF(OR(D8&lt;Capa!$A$5,D8&gt;Capa!$A$7,E8&lt;Capa!$A$5,E8&gt;Capa!$A$7,D8&gt;E8),"Erro","")</f>
        <v/>
      </c>
    </row>
    <row r="9" spans="1:9" ht="22.5">
      <c r="A9" s="345">
        <v>6</v>
      </c>
      <c r="B9" s="346" t="s">
        <v>202</v>
      </c>
      <c r="C9" s="347">
        <v>2131.4699999999998</v>
      </c>
      <c r="D9" s="348">
        <v>45292</v>
      </c>
      <c r="E9" s="348">
        <v>45383</v>
      </c>
      <c r="F9" s="346" t="s">
        <v>629</v>
      </c>
      <c r="G9" s="350" t="s">
        <v>439</v>
      </c>
      <c r="H9" s="351">
        <f t="shared" si="0"/>
        <v>8525.8799999999992</v>
      </c>
      <c r="I9" s="120" t="str">
        <f>IF(OR(D9&lt;Capa!$A$5,D9&gt;Capa!$A$7,E9&lt;Capa!$A$5,E9&gt;Capa!$A$7,D9&gt;E9),"Erro","")</f>
        <v/>
      </c>
    </row>
    <row r="10" spans="1:9" ht="22.5">
      <c r="A10" s="345">
        <v>7</v>
      </c>
      <c r="B10" s="346" t="s">
        <v>202</v>
      </c>
      <c r="C10" s="347">
        <v>2255.77</v>
      </c>
      <c r="D10" s="348">
        <v>45658</v>
      </c>
      <c r="E10" s="348">
        <v>45748</v>
      </c>
      <c r="F10" s="346" t="s">
        <v>629</v>
      </c>
      <c r="G10" s="350" t="s">
        <v>439</v>
      </c>
      <c r="H10" s="351">
        <f t="shared" si="0"/>
        <v>9023.08</v>
      </c>
      <c r="I10" s="120" t="str">
        <f>IF(OR(D10&lt;Capa!$A$5,D10&gt;Capa!$A$7,E10&lt;Capa!$A$5,E10&gt;Capa!$A$7,D10&gt;E10),"Erro","")</f>
        <v/>
      </c>
    </row>
    <row r="11" spans="1:9" ht="22.5">
      <c r="A11" s="345">
        <v>8</v>
      </c>
      <c r="B11" s="346" t="s">
        <v>202</v>
      </c>
      <c r="C11" s="347">
        <v>2387.69</v>
      </c>
      <c r="D11" s="348">
        <v>46023</v>
      </c>
      <c r="E11" s="348">
        <v>46113</v>
      </c>
      <c r="F11" s="346" t="s">
        <v>629</v>
      </c>
      <c r="G11" s="350" t="s">
        <v>439</v>
      </c>
      <c r="H11" s="351">
        <f t="shared" si="0"/>
        <v>9550.76</v>
      </c>
      <c r="I11" s="120" t="str">
        <f>IF(OR(D11&lt;Capa!$A$5,D11&gt;Capa!$A$7,E11&lt;Capa!$A$5,E11&gt;Capa!$A$7,D11&gt;E11),"Erro","")</f>
        <v/>
      </c>
    </row>
    <row r="12" spans="1:9" ht="22.5">
      <c r="A12" s="345">
        <v>9</v>
      </c>
      <c r="B12" s="346" t="s">
        <v>202</v>
      </c>
      <c r="C12" s="347">
        <v>2527</v>
      </c>
      <c r="D12" s="348">
        <v>46388</v>
      </c>
      <c r="E12" s="348">
        <v>46478</v>
      </c>
      <c r="F12" s="346" t="s">
        <v>629</v>
      </c>
      <c r="G12" s="350" t="s">
        <v>439</v>
      </c>
      <c r="H12" s="351">
        <f t="shared" si="0"/>
        <v>10108</v>
      </c>
      <c r="I12" s="120" t="str">
        <f>IF(OR(D12&lt;Capa!$A$5,D12&gt;Capa!$A$7,E12&lt;Capa!$A$5,E12&gt;Capa!$A$7,D12&gt;E12),"Erro","")</f>
        <v/>
      </c>
    </row>
    <row r="13" spans="1:9" ht="22.5">
      <c r="A13" s="345">
        <v>10</v>
      </c>
      <c r="B13" s="346" t="s">
        <v>202</v>
      </c>
      <c r="C13" s="347">
        <v>2674</v>
      </c>
      <c r="D13" s="348">
        <v>46753</v>
      </c>
      <c r="E13" s="348">
        <v>46844</v>
      </c>
      <c r="F13" s="346" t="s">
        <v>629</v>
      </c>
      <c r="G13" s="350" t="s">
        <v>439</v>
      </c>
      <c r="H13" s="351">
        <f t="shared" si="0"/>
        <v>10696</v>
      </c>
      <c r="I13" s="120" t="str">
        <f>IF(OR(D13&lt;Capa!$A$5,D13&gt;Capa!$A$7,E13&lt;Capa!$A$5,E13&gt;Capa!$A$7,D13&gt;E13),"Erro","")</f>
        <v/>
      </c>
    </row>
    <row r="14" spans="1:9" ht="22.5">
      <c r="A14" s="345">
        <v>11</v>
      </c>
      <c r="B14" s="346" t="s">
        <v>204</v>
      </c>
      <c r="C14" s="347">
        <v>1671.4</v>
      </c>
      <c r="D14" s="348">
        <v>45292</v>
      </c>
      <c r="E14" s="348">
        <v>45383</v>
      </c>
      <c r="F14" s="379" t="s">
        <v>629</v>
      </c>
      <c r="G14" s="350" t="s">
        <v>439</v>
      </c>
      <c r="H14" s="351">
        <f t="shared" si="0"/>
        <v>6685.6</v>
      </c>
      <c r="I14" s="120" t="str">
        <f>IF(OR(D14&lt;Capa!$A$5,D14&gt;Capa!$A$7,E14&lt;Capa!$A$5,E14&gt;Capa!$A$7,D14&gt;E14),"Erro","")</f>
        <v/>
      </c>
    </row>
    <row r="15" spans="1:9" ht="22.5">
      <c r="A15" s="345">
        <v>12</v>
      </c>
      <c r="B15" s="346" t="s">
        <v>204</v>
      </c>
      <c r="C15" s="347">
        <v>1769.01</v>
      </c>
      <c r="D15" s="348">
        <v>45658</v>
      </c>
      <c r="E15" s="348">
        <v>45748</v>
      </c>
      <c r="F15" s="346" t="s">
        <v>629</v>
      </c>
      <c r="G15" s="350" t="s">
        <v>439</v>
      </c>
      <c r="H15" s="351">
        <f t="shared" si="0"/>
        <v>7076.04</v>
      </c>
      <c r="I15" s="120" t="str">
        <f>IF(OR(D15&lt;Capa!$A$5,D15&gt;Capa!$A$7,E15&lt;Capa!$A$5,E15&gt;Capa!$A$7,D15&gt;E15),"Erro","")</f>
        <v/>
      </c>
    </row>
    <row r="16" spans="1:9" ht="22.5">
      <c r="A16" s="345">
        <v>13</v>
      </c>
      <c r="B16" s="346" t="s">
        <v>204</v>
      </c>
      <c r="C16" s="347">
        <v>1872.32</v>
      </c>
      <c r="D16" s="348">
        <v>46023</v>
      </c>
      <c r="E16" s="348">
        <v>46113</v>
      </c>
      <c r="F16" s="346" t="s">
        <v>629</v>
      </c>
      <c r="G16" s="350" t="s">
        <v>439</v>
      </c>
      <c r="H16" s="351">
        <f t="shared" si="0"/>
        <v>7489.28</v>
      </c>
      <c r="I16" s="120" t="str">
        <f>IF(OR(D16&lt;Capa!$A$5,D16&gt;Capa!$A$7,E16&lt;Capa!$A$5,E16&gt;Capa!$A$7,D16&gt;E16),"Erro","")</f>
        <v/>
      </c>
    </row>
    <row r="17" spans="1:9" ht="22.5">
      <c r="A17" s="345">
        <v>14</v>
      </c>
      <c r="B17" s="346" t="s">
        <v>204</v>
      </c>
      <c r="C17" s="347">
        <v>1981.66</v>
      </c>
      <c r="D17" s="348">
        <v>46388</v>
      </c>
      <c r="E17" s="348">
        <v>46478</v>
      </c>
      <c r="F17" s="346" t="s">
        <v>629</v>
      </c>
      <c r="G17" s="350" t="s">
        <v>439</v>
      </c>
      <c r="H17" s="351">
        <f t="shared" si="0"/>
        <v>7926.64</v>
      </c>
      <c r="I17" s="120" t="str">
        <f>IF(OR(D17&lt;Capa!$A$5,D17&gt;Capa!$A$7,E17&lt;Capa!$A$5,E17&gt;Capa!$A$7,D17&gt;E17),"Erro","")</f>
        <v/>
      </c>
    </row>
    <row r="18" spans="1:9" ht="22.5">
      <c r="A18" s="345">
        <v>15</v>
      </c>
      <c r="B18" s="346" t="s">
        <v>204</v>
      </c>
      <c r="C18" s="347">
        <v>2097.39</v>
      </c>
      <c r="D18" s="348">
        <v>46753</v>
      </c>
      <c r="E18" s="348">
        <v>46844</v>
      </c>
      <c r="F18" s="346" t="s">
        <v>629</v>
      </c>
      <c r="G18" s="350" t="s">
        <v>439</v>
      </c>
      <c r="H18" s="351">
        <f t="shared" si="0"/>
        <v>8389.56</v>
      </c>
      <c r="I18" s="120" t="str">
        <f>IF(OR(D18&lt;Capa!$A$5,D18&gt;Capa!$A$7,E18&lt;Capa!$A$5,E18&gt;Capa!$A$7,D18&gt;E18),"Erro","")</f>
        <v/>
      </c>
    </row>
    <row r="19" spans="1:9" ht="22.5">
      <c r="A19" s="345">
        <v>16</v>
      </c>
      <c r="B19" s="346" t="s">
        <v>206</v>
      </c>
      <c r="C19" s="347">
        <v>1600</v>
      </c>
      <c r="D19" s="348">
        <v>45261</v>
      </c>
      <c r="E19" s="348">
        <v>45627</v>
      </c>
      <c r="F19" s="346" t="s">
        <v>629</v>
      </c>
      <c r="G19" s="350" t="s">
        <v>440</v>
      </c>
      <c r="H19" s="351">
        <f t="shared" si="0"/>
        <v>20800</v>
      </c>
      <c r="I19" s="120" t="str">
        <f>IF(OR(D19&lt;Capa!$A$5,D19&gt;Capa!$A$7,E19&lt;Capa!$A$5,E19&gt;Capa!$A$7,D19&gt;E19),"Erro","")</f>
        <v/>
      </c>
    </row>
    <row r="20" spans="1:9" ht="22.5">
      <c r="A20" s="345">
        <v>17</v>
      </c>
      <c r="B20" s="346" t="s">
        <v>206</v>
      </c>
      <c r="C20" s="347">
        <v>1693.44</v>
      </c>
      <c r="D20" s="348">
        <v>45658</v>
      </c>
      <c r="E20" s="348">
        <v>45992</v>
      </c>
      <c r="F20" s="346" t="s">
        <v>629</v>
      </c>
      <c r="G20" s="350" t="s">
        <v>440</v>
      </c>
      <c r="H20" s="351">
        <f t="shared" si="0"/>
        <v>20321.28</v>
      </c>
      <c r="I20" s="120" t="str">
        <f>IF(OR(D20&lt;Capa!$A$5,D20&gt;Capa!$A$7,E20&lt;Capa!$A$5,E20&gt;Capa!$A$7,D20&gt;E20),"Erro","")</f>
        <v/>
      </c>
    </row>
    <row r="21" spans="1:9" ht="22.5">
      <c r="A21" s="345">
        <v>18</v>
      </c>
      <c r="B21" s="346" t="s">
        <v>206</v>
      </c>
      <c r="C21" s="347">
        <v>1792.33</v>
      </c>
      <c r="D21" s="348">
        <v>46023</v>
      </c>
      <c r="E21" s="348">
        <v>46357</v>
      </c>
      <c r="F21" s="346" t="s">
        <v>629</v>
      </c>
      <c r="G21" s="350" t="s">
        <v>440</v>
      </c>
      <c r="H21" s="351">
        <f t="shared" si="0"/>
        <v>21507.96</v>
      </c>
      <c r="I21" s="120" t="str">
        <f>IF(OR(D21&lt;Capa!$A$5,D21&gt;Capa!$A$7,E21&lt;Capa!$A$5,E21&gt;Capa!$A$7,D21&gt;E21),"Erro","")</f>
        <v/>
      </c>
    </row>
    <row r="22" spans="1:9" ht="22.5">
      <c r="A22" s="345">
        <v>19</v>
      </c>
      <c r="B22" s="346" t="s">
        <v>206</v>
      </c>
      <c r="C22" s="347">
        <v>1897</v>
      </c>
      <c r="D22" s="348">
        <v>46388</v>
      </c>
      <c r="E22" s="348">
        <v>46722</v>
      </c>
      <c r="F22" s="346" t="s">
        <v>629</v>
      </c>
      <c r="G22" s="350" t="s">
        <v>440</v>
      </c>
      <c r="H22" s="351">
        <f t="shared" si="0"/>
        <v>22764</v>
      </c>
      <c r="I22" s="120" t="str">
        <f>IF(OR(D22&lt;Capa!$A$5,D22&gt;Capa!$A$7,E22&lt;Capa!$A$5,E22&gt;Capa!$A$7,D22&gt;E22),"Erro","")</f>
        <v/>
      </c>
    </row>
    <row r="23" spans="1:9" ht="22.5">
      <c r="A23" s="345">
        <v>20</v>
      </c>
      <c r="B23" s="346" t="s">
        <v>206</v>
      </c>
      <c r="C23" s="347">
        <v>2007.79</v>
      </c>
      <c r="D23" s="348">
        <v>46753</v>
      </c>
      <c r="E23" s="348">
        <v>47058</v>
      </c>
      <c r="F23" s="346" t="s">
        <v>629</v>
      </c>
      <c r="G23" s="350" t="s">
        <v>440</v>
      </c>
      <c r="H23" s="351">
        <f t="shared" si="0"/>
        <v>22085.69</v>
      </c>
      <c r="I23" s="120" t="str">
        <f>IF(OR(D23&lt;Capa!$A$5,D23&gt;Capa!$A$7,E23&lt;Capa!$A$5,E23&gt;Capa!$A$7,D23&gt;E23),"Erro","")</f>
        <v/>
      </c>
    </row>
    <row r="24" spans="1:9" ht="22.5">
      <c r="A24" s="345">
        <v>21</v>
      </c>
      <c r="B24" s="346" t="s">
        <v>208</v>
      </c>
      <c r="C24" s="347">
        <v>600</v>
      </c>
      <c r="D24" s="348">
        <v>45261</v>
      </c>
      <c r="E24" s="348">
        <v>45627</v>
      </c>
      <c r="F24" s="346" t="s">
        <v>629</v>
      </c>
      <c r="G24" s="350" t="s">
        <v>440</v>
      </c>
      <c r="H24" s="351">
        <f t="shared" si="0"/>
        <v>7800</v>
      </c>
      <c r="I24" s="120" t="str">
        <f>IF(OR(D24&lt;Capa!$A$5,D24&gt;Capa!$A$7,E24&lt;Capa!$A$5,E24&gt;Capa!$A$7,D24&gt;E24),"Erro","")</f>
        <v/>
      </c>
    </row>
    <row r="25" spans="1:9" ht="22.5">
      <c r="A25" s="345">
        <v>22</v>
      </c>
      <c r="B25" s="346" t="s">
        <v>208</v>
      </c>
      <c r="C25" s="347">
        <v>600</v>
      </c>
      <c r="D25" s="348">
        <v>45658</v>
      </c>
      <c r="E25" s="348">
        <v>45992</v>
      </c>
      <c r="F25" s="346" t="s">
        <v>629</v>
      </c>
      <c r="G25" s="350" t="s">
        <v>440</v>
      </c>
      <c r="H25" s="351">
        <f t="shared" si="0"/>
        <v>7200</v>
      </c>
      <c r="I25" s="120" t="str">
        <f>IF(OR(D25&lt;Capa!$A$5,D25&gt;Capa!$A$7,E25&lt;Capa!$A$5,E25&gt;Capa!$A$7,D25&gt;E25),"Erro","")</f>
        <v/>
      </c>
    </row>
    <row r="26" spans="1:9" ht="22.5">
      <c r="A26" s="345">
        <v>23</v>
      </c>
      <c r="B26" s="346" t="s">
        <v>208</v>
      </c>
      <c r="C26" s="347">
        <v>600</v>
      </c>
      <c r="D26" s="348">
        <v>46023</v>
      </c>
      <c r="E26" s="348">
        <v>46357</v>
      </c>
      <c r="F26" s="346" t="s">
        <v>629</v>
      </c>
      <c r="G26" s="350" t="s">
        <v>440</v>
      </c>
      <c r="H26" s="351">
        <f t="shared" si="0"/>
        <v>7200</v>
      </c>
      <c r="I26" s="120" t="str">
        <f>IF(OR(D26&lt;Capa!$A$5,D26&gt;Capa!$A$7,E26&lt;Capa!$A$5,E26&gt;Capa!$A$7,D26&gt;E26),"Erro","")</f>
        <v/>
      </c>
    </row>
    <row r="27" spans="1:9" ht="22.5">
      <c r="A27" s="345">
        <v>24</v>
      </c>
      <c r="B27" s="346" t="s">
        <v>208</v>
      </c>
      <c r="C27" s="347">
        <v>600</v>
      </c>
      <c r="D27" s="348">
        <v>46388</v>
      </c>
      <c r="E27" s="348">
        <v>46722</v>
      </c>
      <c r="F27" s="346" t="s">
        <v>629</v>
      </c>
      <c r="G27" s="350" t="s">
        <v>440</v>
      </c>
      <c r="H27" s="351">
        <f t="shared" si="0"/>
        <v>7200</v>
      </c>
      <c r="I27" s="120" t="str">
        <f>IF(OR(D27&lt;Capa!$A$5,D27&gt;Capa!$A$7,E27&lt;Capa!$A$5,E27&gt;Capa!$A$7,D27&gt;E27),"Erro","")</f>
        <v/>
      </c>
    </row>
    <row r="28" spans="1:9" ht="22.5">
      <c r="A28" s="345">
        <v>25</v>
      </c>
      <c r="B28" s="346" t="s">
        <v>208</v>
      </c>
      <c r="C28" s="347">
        <v>600</v>
      </c>
      <c r="D28" s="348">
        <v>46753</v>
      </c>
      <c r="E28" s="348">
        <v>47058</v>
      </c>
      <c r="F28" s="346" t="s">
        <v>629</v>
      </c>
      <c r="G28" s="350" t="s">
        <v>440</v>
      </c>
      <c r="H28" s="351">
        <f t="shared" si="0"/>
        <v>6600</v>
      </c>
      <c r="I28" s="120" t="str">
        <f>IF(OR(D28&lt;Capa!$A$5,D28&gt;Capa!$A$7,E28&lt;Capa!$A$5,E28&gt;Capa!$A$7,D28&gt;E28),"Erro","")</f>
        <v/>
      </c>
    </row>
    <row r="29" spans="1:9" ht="22.5">
      <c r="A29" s="345">
        <v>26</v>
      </c>
      <c r="B29" s="346" t="s">
        <v>210</v>
      </c>
      <c r="C29" s="347">
        <v>50</v>
      </c>
      <c r="D29" s="348">
        <v>45261</v>
      </c>
      <c r="E29" s="348">
        <v>45627</v>
      </c>
      <c r="F29" s="346" t="s">
        <v>629</v>
      </c>
      <c r="G29" s="350" t="s">
        <v>440</v>
      </c>
      <c r="H29" s="351">
        <f t="shared" si="0"/>
        <v>650</v>
      </c>
      <c r="I29" s="120" t="str">
        <f>IF(OR(D29&lt;Capa!$A$5,D29&gt;Capa!$A$7,E29&lt;Capa!$A$5,E29&gt;Capa!$A$7,D29&gt;E29),"Erro","")</f>
        <v/>
      </c>
    </row>
    <row r="30" spans="1:9" ht="22.5">
      <c r="A30" s="345">
        <v>27</v>
      </c>
      <c r="B30" s="346" t="s">
        <v>210</v>
      </c>
      <c r="C30" s="347">
        <v>52.92</v>
      </c>
      <c r="D30" s="348">
        <v>45658</v>
      </c>
      <c r="E30" s="348">
        <v>45992</v>
      </c>
      <c r="F30" s="346" t="s">
        <v>629</v>
      </c>
      <c r="G30" s="350" t="s">
        <v>440</v>
      </c>
      <c r="H30" s="351">
        <f t="shared" si="0"/>
        <v>635.04</v>
      </c>
      <c r="I30" s="120" t="str">
        <f>IF(OR(D30&lt;Capa!$A$5,D30&gt;Capa!$A$7,E30&lt;Capa!$A$5,E30&gt;Capa!$A$7,D30&gt;E30),"Erro","")</f>
        <v/>
      </c>
    </row>
    <row r="31" spans="1:9" ht="22.5">
      <c r="A31" s="345">
        <v>28</v>
      </c>
      <c r="B31" s="346" t="s">
        <v>210</v>
      </c>
      <c r="C31" s="347">
        <v>56.01</v>
      </c>
      <c r="D31" s="348">
        <v>46023</v>
      </c>
      <c r="E31" s="348">
        <v>46357</v>
      </c>
      <c r="F31" s="346" t="s">
        <v>629</v>
      </c>
      <c r="G31" s="350" t="s">
        <v>440</v>
      </c>
      <c r="H31" s="351">
        <f t="shared" si="0"/>
        <v>672.12</v>
      </c>
      <c r="I31" s="120" t="str">
        <f>IF(OR(D31&lt;Capa!$A$5,D31&gt;Capa!$A$7,E31&lt;Capa!$A$5,E31&gt;Capa!$A$7,D31&gt;E31),"Erro","")</f>
        <v/>
      </c>
    </row>
    <row r="32" spans="1:9" ht="22.5">
      <c r="A32" s="345">
        <v>29</v>
      </c>
      <c r="B32" s="346" t="s">
        <v>210</v>
      </c>
      <c r="C32" s="347">
        <v>59.28</v>
      </c>
      <c r="D32" s="348">
        <v>46388</v>
      </c>
      <c r="E32" s="348">
        <v>46722</v>
      </c>
      <c r="F32" s="346" t="s">
        <v>629</v>
      </c>
      <c r="G32" s="350" t="s">
        <v>440</v>
      </c>
      <c r="H32" s="351">
        <f t="shared" si="0"/>
        <v>711.36</v>
      </c>
      <c r="I32" s="120" t="str">
        <f>IF(OR(D32&lt;Capa!$A$5,D32&gt;Capa!$A$7,E32&lt;Capa!$A$5,E32&gt;Capa!$A$7,D32&gt;E32),"Erro","")</f>
        <v/>
      </c>
    </row>
    <row r="33" spans="1:9" ht="22.5">
      <c r="A33" s="345">
        <v>30</v>
      </c>
      <c r="B33" s="346" t="s">
        <v>210</v>
      </c>
      <c r="C33" s="347">
        <v>62.74</v>
      </c>
      <c r="D33" s="348">
        <v>46753</v>
      </c>
      <c r="E33" s="348">
        <v>47058</v>
      </c>
      <c r="F33" s="346" t="s">
        <v>629</v>
      </c>
      <c r="G33" s="350" t="s">
        <v>440</v>
      </c>
      <c r="H33" s="351">
        <f t="shared" si="0"/>
        <v>690.14</v>
      </c>
      <c r="I33" s="120" t="str">
        <f>IF(OR(D33&lt;Capa!$A$5,D33&gt;Capa!$A$7,E33&lt;Capa!$A$5,E33&gt;Capa!$A$7,D33&gt;E33),"Erro","")</f>
        <v/>
      </c>
    </row>
    <row r="34" spans="1:9" ht="22.5">
      <c r="A34" s="345">
        <v>31</v>
      </c>
      <c r="B34" s="346" t="s">
        <v>214</v>
      </c>
      <c r="C34" s="347">
        <v>99.9</v>
      </c>
      <c r="D34" s="348">
        <v>45261</v>
      </c>
      <c r="E34" s="348">
        <v>45627</v>
      </c>
      <c r="F34" s="346" t="s">
        <v>629</v>
      </c>
      <c r="G34" s="350" t="s">
        <v>440</v>
      </c>
      <c r="H34" s="351">
        <f t="shared" si="0"/>
        <v>1298.7</v>
      </c>
      <c r="I34" s="120" t="str">
        <f>IF(OR(D34&lt;Capa!$A$5,D34&gt;Capa!$A$7,E34&lt;Capa!$A$5,E34&gt;Capa!$A$7,D34&gt;E34),"Erro","")</f>
        <v/>
      </c>
    </row>
    <row r="35" spans="1:9" ht="22.5">
      <c r="A35" s="345">
        <v>32</v>
      </c>
      <c r="B35" s="346" t="s">
        <v>214</v>
      </c>
      <c r="C35" s="347">
        <v>105.73</v>
      </c>
      <c r="D35" s="348">
        <v>45658</v>
      </c>
      <c r="E35" s="348">
        <v>45992</v>
      </c>
      <c r="F35" s="346" t="s">
        <v>629</v>
      </c>
      <c r="G35" s="350" t="s">
        <v>440</v>
      </c>
      <c r="H35" s="351">
        <f t="shared" si="0"/>
        <v>1268.76</v>
      </c>
      <c r="I35" s="120" t="str">
        <f>IF(OR(D35&lt;Capa!$A$5,D35&gt;Capa!$A$7,E35&lt;Capa!$A$5,E35&gt;Capa!$A$7,D35&gt;E35),"Erro","")</f>
        <v/>
      </c>
    </row>
    <row r="36" spans="1:9" ht="22.5">
      <c r="A36" s="345">
        <v>33</v>
      </c>
      <c r="B36" s="346" t="s">
        <v>214</v>
      </c>
      <c r="C36" s="347">
        <v>111.91</v>
      </c>
      <c r="D36" s="348">
        <v>46023</v>
      </c>
      <c r="E36" s="348">
        <v>46357</v>
      </c>
      <c r="F36" s="346" t="s">
        <v>629</v>
      </c>
      <c r="G36" s="350" t="s">
        <v>440</v>
      </c>
      <c r="H36" s="351">
        <f t="shared" si="0"/>
        <v>1342.92</v>
      </c>
      <c r="I36" s="120" t="str">
        <f>IF(OR(D36&lt;Capa!$A$5,D36&gt;Capa!$A$7,E36&lt;Capa!$A$5,E36&gt;Capa!$A$7,D36&gt;E36),"Erro","")</f>
        <v/>
      </c>
    </row>
    <row r="37" spans="1:9" ht="22.5">
      <c r="A37" s="345">
        <v>34</v>
      </c>
      <c r="B37" s="346" t="s">
        <v>214</v>
      </c>
      <c r="C37" s="347">
        <v>118.44</v>
      </c>
      <c r="D37" s="348">
        <v>46388</v>
      </c>
      <c r="E37" s="348">
        <v>46722</v>
      </c>
      <c r="F37" s="346" t="s">
        <v>629</v>
      </c>
      <c r="G37" s="350" t="s">
        <v>440</v>
      </c>
      <c r="H37" s="351">
        <f t="shared" si="0"/>
        <v>1421.28</v>
      </c>
      <c r="I37" s="120" t="str">
        <f>IF(OR(D37&lt;Capa!$A$5,D37&gt;Capa!$A$7,E37&lt;Capa!$A$5,E37&gt;Capa!$A$7,D37&gt;E37),"Erro","")</f>
        <v/>
      </c>
    </row>
    <row r="38" spans="1:9" ht="22.5">
      <c r="A38" s="345">
        <v>35</v>
      </c>
      <c r="B38" s="346" t="s">
        <v>214</v>
      </c>
      <c r="C38" s="347">
        <v>125.36</v>
      </c>
      <c r="D38" s="348">
        <v>46753</v>
      </c>
      <c r="E38" s="348">
        <v>47058</v>
      </c>
      <c r="F38" s="346" t="s">
        <v>629</v>
      </c>
      <c r="G38" s="350" t="s">
        <v>440</v>
      </c>
      <c r="H38" s="351">
        <f t="shared" si="0"/>
        <v>1378.96</v>
      </c>
      <c r="I38" s="120" t="str">
        <f>IF(OR(D38&lt;Capa!$A$5,D38&gt;Capa!$A$7,E38&lt;Capa!$A$5,E38&gt;Capa!$A$7,D38&gt;E38),"Erro","")</f>
        <v/>
      </c>
    </row>
    <row r="39" spans="1:9" ht="56.25">
      <c r="A39" s="345">
        <v>36</v>
      </c>
      <c r="B39" s="346" t="s">
        <v>212</v>
      </c>
      <c r="C39" s="347">
        <v>235.74</v>
      </c>
      <c r="D39" s="348">
        <v>45261</v>
      </c>
      <c r="E39" s="348">
        <v>45627</v>
      </c>
      <c r="F39" s="346" t="s">
        <v>629</v>
      </c>
      <c r="G39" s="350" t="s">
        <v>501</v>
      </c>
      <c r="H39" s="351">
        <f t="shared" si="0"/>
        <v>3064.62</v>
      </c>
      <c r="I39" s="120" t="str">
        <f>IF(OR(D39&lt;Capa!$A$5,D39&gt;Capa!$A$7,E39&lt;Capa!$A$5,E39&gt;Capa!$A$7,D39&gt;E39),"Erro","")</f>
        <v/>
      </c>
    </row>
    <row r="40" spans="1:9" ht="56.25">
      <c r="A40" s="345">
        <v>37</v>
      </c>
      <c r="B40" s="346" t="s">
        <v>212</v>
      </c>
      <c r="C40" s="347">
        <v>249.5</v>
      </c>
      <c r="D40" s="348">
        <v>45658</v>
      </c>
      <c r="E40" s="348">
        <v>45992</v>
      </c>
      <c r="F40" s="346" t="s">
        <v>629</v>
      </c>
      <c r="G40" s="350" t="s">
        <v>501</v>
      </c>
      <c r="H40" s="351">
        <f t="shared" si="0"/>
        <v>2994</v>
      </c>
      <c r="I40" s="120" t="str">
        <f>IF(OR(D40&lt;Capa!$A$5,D40&gt;Capa!$A$7,E40&lt;Capa!$A$5,E40&gt;Capa!$A$7,D40&gt;E40),"Erro","")</f>
        <v/>
      </c>
    </row>
    <row r="41" spans="1:9" ht="56.25">
      <c r="A41" s="345">
        <v>38</v>
      </c>
      <c r="B41" s="346" t="s">
        <v>212</v>
      </c>
      <c r="C41" s="347">
        <v>264.07</v>
      </c>
      <c r="D41" s="348">
        <v>46023</v>
      </c>
      <c r="E41" s="348">
        <v>46357</v>
      </c>
      <c r="F41" s="346" t="s">
        <v>629</v>
      </c>
      <c r="G41" s="350" t="s">
        <v>501</v>
      </c>
      <c r="H41" s="351">
        <f t="shared" si="0"/>
        <v>3168.84</v>
      </c>
      <c r="I41" s="120" t="str">
        <f>IF(OR(D41&lt;Capa!$A$5,D41&gt;Capa!$A$7,E41&lt;Capa!$A$5,E41&gt;Capa!$A$7,D41&gt;E41),"Erro","")</f>
        <v/>
      </c>
    </row>
    <row r="42" spans="1:9" ht="56.25">
      <c r="A42" s="345">
        <v>39</v>
      </c>
      <c r="B42" s="346" t="s">
        <v>212</v>
      </c>
      <c r="C42" s="347">
        <v>279.5</v>
      </c>
      <c r="D42" s="348">
        <v>46388</v>
      </c>
      <c r="E42" s="348">
        <v>46722</v>
      </c>
      <c r="F42" s="346" t="s">
        <v>629</v>
      </c>
      <c r="G42" s="350" t="s">
        <v>501</v>
      </c>
      <c r="H42" s="351">
        <f t="shared" si="0"/>
        <v>3354</v>
      </c>
      <c r="I42" s="120" t="str">
        <f>IF(OR(D42&lt;Capa!$A$5,D42&gt;Capa!$A$7,E42&lt;Capa!$A$5,E42&gt;Capa!$A$7,D42&gt;E42),"Erro","")</f>
        <v/>
      </c>
    </row>
    <row r="43" spans="1:9" ht="56.25">
      <c r="A43" s="345">
        <v>40</v>
      </c>
      <c r="B43" s="346" t="s">
        <v>212</v>
      </c>
      <c r="C43" s="347">
        <v>295.82</v>
      </c>
      <c r="D43" s="348">
        <v>46753</v>
      </c>
      <c r="E43" s="348">
        <v>47058</v>
      </c>
      <c r="F43" s="346" t="s">
        <v>629</v>
      </c>
      <c r="G43" s="350" t="s">
        <v>501</v>
      </c>
      <c r="H43" s="351">
        <f t="shared" si="0"/>
        <v>3254.02</v>
      </c>
      <c r="I43" s="120" t="str">
        <f>IF(OR(D43&lt;Capa!$A$5,D43&gt;Capa!$A$7,E43&lt;Capa!$A$5,E43&gt;Capa!$A$7,D43&gt;E43),"Erro","")</f>
        <v/>
      </c>
    </row>
    <row r="44" spans="1:9" ht="45">
      <c r="A44" s="345">
        <v>41</v>
      </c>
      <c r="B44" s="346" t="s">
        <v>248</v>
      </c>
      <c r="C44" s="347">
        <v>846</v>
      </c>
      <c r="D44" s="348">
        <v>45292</v>
      </c>
      <c r="E44" s="348">
        <v>45444</v>
      </c>
      <c r="F44" s="346" t="s">
        <v>629</v>
      </c>
      <c r="G44" s="350" t="s">
        <v>441</v>
      </c>
      <c r="H44" s="351">
        <f t="shared" si="0"/>
        <v>5076</v>
      </c>
      <c r="I44" s="120" t="str">
        <f>IF(OR(D44&lt;Capa!$A$5,D44&gt;Capa!$A$7,E44&lt;Capa!$A$5,E44&gt;Capa!$A$7,D44&gt;E44),"Erro","")</f>
        <v/>
      </c>
    </row>
    <row r="45" spans="1:9" ht="45">
      <c r="A45" s="345">
        <v>42</v>
      </c>
      <c r="B45" s="346" t="s">
        <v>248</v>
      </c>
      <c r="C45" s="347">
        <v>846</v>
      </c>
      <c r="D45" s="348">
        <v>45658</v>
      </c>
      <c r="E45" s="348">
        <v>45809</v>
      </c>
      <c r="F45" s="346" t="s">
        <v>629</v>
      </c>
      <c r="G45" s="350" t="s">
        <v>441</v>
      </c>
      <c r="H45" s="351">
        <f t="shared" si="0"/>
        <v>5076</v>
      </c>
      <c r="I45" s="120" t="str">
        <f>IF(OR(D45&lt;Capa!$A$5,D45&gt;Capa!$A$7,E45&lt;Capa!$A$5,E45&gt;Capa!$A$7,D45&gt;E45),"Erro","")</f>
        <v/>
      </c>
    </row>
    <row r="46" spans="1:9" ht="45">
      <c r="A46" s="345">
        <v>43</v>
      </c>
      <c r="B46" s="346" t="s">
        <v>248</v>
      </c>
      <c r="C46" s="347">
        <v>846</v>
      </c>
      <c r="D46" s="348">
        <v>46023</v>
      </c>
      <c r="E46" s="348">
        <v>46174</v>
      </c>
      <c r="F46" s="346" t="s">
        <v>629</v>
      </c>
      <c r="G46" s="350" t="s">
        <v>441</v>
      </c>
      <c r="H46" s="351">
        <f t="shared" si="0"/>
        <v>5076</v>
      </c>
      <c r="I46" s="120" t="str">
        <f>IF(OR(D46&lt;Capa!$A$5,D46&gt;Capa!$A$7,E46&lt;Capa!$A$5,E46&gt;Capa!$A$7,D46&gt;E46),"Erro","")</f>
        <v/>
      </c>
    </row>
    <row r="47" spans="1:9" ht="45">
      <c r="A47" s="345">
        <v>44</v>
      </c>
      <c r="B47" s="346" t="s">
        <v>248</v>
      </c>
      <c r="C47" s="347">
        <v>846</v>
      </c>
      <c r="D47" s="348">
        <v>46388</v>
      </c>
      <c r="E47" s="348">
        <v>46539</v>
      </c>
      <c r="F47" s="346" t="s">
        <v>629</v>
      </c>
      <c r="G47" s="350" t="s">
        <v>441</v>
      </c>
      <c r="H47" s="351">
        <f t="shared" si="0"/>
        <v>5076</v>
      </c>
      <c r="I47" s="120" t="str">
        <f>IF(OR(D47&lt;Capa!$A$5,D47&gt;Capa!$A$7,E47&lt;Capa!$A$5,E47&gt;Capa!$A$7,D47&gt;E47),"Erro","")</f>
        <v/>
      </c>
    </row>
    <row r="48" spans="1:9" ht="45">
      <c r="A48" s="345">
        <v>45</v>
      </c>
      <c r="B48" s="346" t="s">
        <v>248</v>
      </c>
      <c r="C48" s="347">
        <v>846</v>
      </c>
      <c r="D48" s="348">
        <v>46753</v>
      </c>
      <c r="E48" s="348">
        <v>46905</v>
      </c>
      <c r="F48" s="346" t="s">
        <v>629</v>
      </c>
      <c r="G48" s="350" t="s">
        <v>441</v>
      </c>
      <c r="H48" s="351">
        <f t="shared" si="0"/>
        <v>5076</v>
      </c>
      <c r="I48" s="120" t="str">
        <f>IF(OR(D48&lt;Capa!$A$5,D48&gt;Capa!$A$7,E48&lt;Capa!$A$5,E48&gt;Capa!$A$7,D48&gt;E48),"Erro","")</f>
        <v/>
      </c>
    </row>
    <row r="49" spans="1:9" ht="33.75">
      <c r="A49" s="345">
        <v>46</v>
      </c>
      <c r="B49" s="346" t="s">
        <v>266</v>
      </c>
      <c r="C49" s="347">
        <v>2337.58</v>
      </c>
      <c r="D49" s="348">
        <v>45658</v>
      </c>
      <c r="E49" s="348">
        <v>45658</v>
      </c>
      <c r="F49" s="346" t="s">
        <v>629</v>
      </c>
      <c r="G49" s="350" t="s">
        <v>442</v>
      </c>
      <c r="H49" s="351">
        <f t="shared" si="0"/>
        <v>2337.58</v>
      </c>
      <c r="I49" s="120" t="str">
        <f>IF(OR(D49&lt;Capa!$A$5,D49&gt;Capa!$A$7,E49&lt;Capa!$A$5,E49&gt;Capa!$A$7,D49&gt;E49),"Erro","")</f>
        <v/>
      </c>
    </row>
    <row r="50" spans="1:9" ht="33.75">
      <c r="A50" s="345">
        <v>47</v>
      </c>
      <c r="B50" s="346" t="s">
        <v>266</v>
      </c>
      <c r="C50" s="347">
        <v>2474.09</v>
      </c>
      <c r="D50" s="348">
        <v>46023</v>
      </c>
      <c r="E50" s="348">
        <v>46023</v>
      </c>
      <c r="F50" s="346" t="s">
        <v>629</v>
      </c>
      <c r="G50" s="350" t="s">
        <v>442</v>
      </c>
      <c r="H50" s="351">
        <f t="shared" si="0"/>
        <v>2474.09</v>
      </c>
      <c r="I50" s="120" t="str">
        <f>IF(OR(D50&lt;Capa!$A$5,D50&gt;Capa!$A$7,E50&lt;Capa!$A$5,E50&gt;Capa!$A$7,D50&gt;E50),"Erro","")</f>
        <v/>
      </c>
    </row>
    <row r="51" spans="1:9" ht="33.75">
      <c r="A51" s="345">
        <v>48</v>
      </c>
      <c r="B51" s="346" t="s">
        <v>266</v>
      </c>
      <c r="C51" s="347">
        <v>2618.5700000000002</v>
      </c>
      <c r="D51" s="348">
        <v>46388</v>
      </c>
      <c r="E51" s="348">
        <v>46388</v>
      </c>
      <c r="F51" s="346" t="s">
        <v>629</v>
      </c>
      <c r="G51" s="350" t="s">
        <v>442</v>
      </c>
      <c r="H51" s="351">
        <f t="shared" si="0"/>
        <v>2618.5700000000002</v>
      </c>
      <c r="I51" s="120" t="str">
        <f>IF(OR(D51&lt;Capa!$A$5,D51&gt;Capa!$A$7,E51&lt;Capa!$A$5,E51&gt;Capa!$A$7,D51&gt;E51),"Erro","")</f>
        <v/>
      </c>
    </row>
    <row r="52" spans="1:9" ht="33.75">
      <c r="A52" s="345">
        <v>49</v>
      </c>
      <c r="B52" s="346" t="s">
        <v>266</v>
      </c>
      <c r="C52" s="347">
        <v>2771.5</v>
      </c>
      <c r="D52" s="348">
        <v>46753</v>
      </c>
      <c r="E52" s="348">
        <v>46753</v>
      </c>
      <c r="F52" s="346" t="s">
        <v>629</v>
      </c>
      <c r="G52" s="350" t="s">
        <v>442</v>
      </c>
      <c r="H52" s="351">
        <f t="shared" si="0"/>
        <v>2771.5</v>
      </c>
      <c r="I52" s="120" t="str">
        <f>IF(OR(D52&lt;Capa!$A$5,D52&gt;Capa!$A$7,E52&lt;Capa!$A$5,E52&gt;Capa!$A$7,D52&gt;E52),"Erro","")</f>
        <v/>
      </c>
    </row>
    <row r="53" spans="1:9" ht="22.5">
      <c r="A53" s="345">
        <v>50</v>
      </c>
      <c r="B53" s="346" t="s">
        <v>274</v>
      </c>
      <c r="C53" s="347">
        <v>1100</v>
      </c>
      <c r="D53" s="348">
        <v>45261</v>
      </c>
      <c r="E53" s="348">
        <v>45627</v>
      </c>
      <c r="F53" s="346" t="s">
        <v>629</v>
      </c>
      <c r="G53" s="350" t="s">
        <v>443</v>
      </c>
      <c r="H53" s="351">
        <f t="shared" si="0"/>
        <v>14300</v>
      </c>
      <c r="I53" s="120" t="str">
        <f>IF(OR(D53&lt;Capa!$A$5,D53&gt;Capa!$A$7,E53&lt;Capa!$A$5,E53&gt;Capa!$A$7,D53&gt;E53),"Erro","")</f>
        <v/>
      </c>
    </row>
    <row r="54" spans="1:9" ht="22.5">
      <c r="A54" s="345">
        <v>51</v>
      </c>
      <c r="B54" s="346" t="s">
        <v>274</v>
      </c>
      <c r="C54" s="347">
        <v>1300</v>
      </c>
      <c r="D54" s="348">
        <v>45658</v>
      </c>
      <c r="E54" s="348">
        <v>45992</v>
      </c>
      <c r="F54" s="346" t="s">
        <v>629</v>
      </c>
      <c r="G54" s="350" t="s">
        <v>443</v>
      </c>
      <c r="H54" s="351">
        <f t="shared" si="0"/>
        <v>15600</v>
      </c>
      <c r="I54" s="120" t="str">
        <f>IF(OR(D54&lt;Capa!$A$5,D54&gt;Capa!$A$7,E54&lt;Capa!$A$5,E54&gt;Capa!$A$7,D54&gt;E54),"Erro","")</f>
        <v/>
      </c>
    </row>
    <row r="55" spans="1:9" ht="22.5">
      <c r="A55" s="345">
        <v>52</v>
      </c>
      <c r="B55" s="346" t="s">
        <v>274</v>
      </c>
      <c r="C55" s="347">
        <v>1232</v>
      </c>
      <c r="D55" s="348">
        <v>46023</v>
      </c>
      <c r="E55" s="348">
        <v>46357</v>
      </c>
      <c r="F55" s="346" t="s">
        <v>629</v>
      </c>
      <c r="G55" s="350" t="s">
        <v>443</v>
      </c>
      <c r="H55" s="351">
        <f t="shared" si="0"/>
        <v>14784</v>
      </c>
      <c r="I55" s="120" t="str">
        <f>IF(OR(D55&lt;Capa!$A$5,D55&gt;Capa!$A$7,E55&lt;Capa!$A$5,E55&gt;Capa!$A$7,D55&gt;E55),"Erro","")</f>
        <v/>
      </c>
    </row>
    <row r="56" spans="1:9" ht="22.5">
      <c r="A56" s="345">
        <v>53</v>
      </c>
      <c r="B56" s="346" t="s">
        <v>274</v>
      </c>
      <c r="C56" s="347">
        <v>1304</v>
      </c>
      <c r="D56" s="348">
        <v>46388</v>
      </c>
      <c r="E56" s="348">
        <v>46722</v>
      </c>
      <c r="F56" s="346" t="s">
        <v>629</v>
      </c>
      <c r="G56" s="350" t="s">
        <v>443</v>
      </c>
      <c r="H56" s="351">
        <f t="shared" si="0"/>
        <v>15648</v>
      </c>
      <c r="I56" s="120" t="str">
        <f>IF(OR(D56&lt;Capa!$A$5,D56&gt;Capa!$A$7,E56&lt;Capa!$A$5,E56&gt;Capa!$A$7,D56&gt;E56),"Erro","")</f>
        <v/>
      </c>
    </row>
    <row r="57" spans="1:9" ht="22.5">
      <c r="A57" s="345">
        <v>54</v>
      </c>
      <c r="B57" s="346" t="s">
        <v>274</v>
      </c>
      <c r="C57" s="347">
        <v>1380</v>
      </c>
      <c r="D57" s="348">
        <v>46753</v>
      </c>
      <c r="E57" s="348">
        <v>47058</v>
      </c>
      <c r="F57" s="346" t="s">
        <v>629</v>
      </c>
      <c r="G57" s="350" t="s">
        <v>443</v>
      </c>
      <c r="H57" s="351">
        <f t="shared" si="0"/>
        <v>15180</v>
      </c>
      <c r="I57" s="120" t="str">
        <f>IF(OR(D57&lt;Capa!$A$5,D57&gt;Capa!$A$7,E57&lt;Capa!$A$5,E57&gt;Capa!$A$7,D57&gt;E57),"Erro","")</f>
        <v/>
      </c>
    </row>
    <row r="58" spans="1:9" ht="56.25">
      <c r="A58" s="345">
        <v>55</v>
      </c>
      <c r="B58" s="346" t="s">
        <v>236</v>
      </c>
      <c r="C58" s="347">
        <v>690.19</v>
      </c>
      <c r="D58" s="348">
        <v>45292</v>
      </c>
      <c r="E58" s="348">
        <v>45627</v>
      </c>
      <c r="F58" s="346" t="s">
        <v>629</v>
      </c>
      <c r="G58" s="350" t="s">
        <v>444</v>
      </c>
      <c r="H58" s="351">
        <f t="shared" si="0"/>
        <v>8282.2800000000007</v>
      </c>
      <c r="I58" s="120" t="str">
        <f>IF(OR(D58&lt;Capa!$A$5,D58&gt;Capa!$A$7,E58&lt;Capa!$A$5,E58&gt;Capa!$A$7,D58&gt;E58),"Erro","")</f>
        <v/>
      </c>
    </row>
    <row r="59" spans="1:9" ht="56.25">
      <c r="A59" s="345">
        <v>56</v>
      </c>
      <c r="B59" s="346" t="s">
        <v>236</v>
      </c>
      <c r="C59" s="347">
        <v>800</v>
      </c>
      <c r="D59" s="348">
        <v>45658</v>
      </c>
      <c r="E59" s="348">
        <v>45992</v>
      </c>
      <c r="F59" s="346" t="s">
        <v>629</v>
      </c>
      <c r="G59" s="350" t="s">
        <v>444</v>
      </c>
      <c r="H59" s="351">
        <f t="shared" si="0"/>
        <v>9600</v>
      </c>
      <c r="I59" s="120" t="str">
        <f>IF(OR(D59&lt;Capa!$A$5,D59&gt;Capa!$A$7,E59&lt;Capa!$A$5,E59&gt;Capa!$A$7,D59&gt;E59),"Erro","")</f>
        <v/>
      </c>
    </row>
    <row r="60" spans="1:9" ht="56.25">
      <c r="A60" s="345">
        <v>57</v>
      </c>
      <c r="B60" s="346" t="s">
        <v>236</v>
      </c>
      <c r="C60" s="347">
        <v>773.16</v>
      </c>
      <c r="D60" s="348">
        <v>46023</v>
      </c>
      <c r="E60" s="348">
        <v>46357</v>
      </c>
      <c r="F60" s="346" t="s">
        <v>629</v>
      </c>
      <c r="G60" s="350" t="s">
        <v>444</v>
      </c>
      <c r="H60" s="351">
        <f t="shared" si="0"/>
        <v>9277.92</v>
      </c>
      <c r="I60" s="120" t="str">
        <f>IF(OR(D60&lt;Capa!$A$5,D60&gt;Capa!$A$7,E60&lt;Capa!$A$5,E60&gt;Capa!$A$7,D60&gt;E60),"Erro","")</f>
        <v/>
      </c>
    </row>
    <row r="61" spans="1:9" ht="56.25">
      <c r="A61" s="345">
        <v>58</v>
      </c>
      <c r="B61" s="346" t="s">
        <v>236</v>
      </c>
      <c r="C61" s="347">
        <v>818.31</v>
      </c>
      <c r="D61" s="348">
        <v>46388</v>
      </c>
      <c r="E61" s="348">
        <v>46722</v>
      </c>
      <c r="F61" s="346" t="s">
        <v>629</v>
      </c>
      <c r="G61" s="350" t="s">
        <v>444</v>
      </c>
      <c r="H61" s="351">
        <f t="shared" si="0"/>
        <v>9819.7199999999993</v>
      </c>
      <c r="I61" s="120" t="str">
        <f>IF(OR(D61&lt;Capa!$A$5,D61&gt;Capa!$A$7,E61&lt;Capa!$A$5,E61&gt;Capa!$A$7,D61&gt;E61),"Erro","")</f>
        <v/>
      </c>
    </row>
    <row r="62" spans="1:9" ht="56.25">
      <c r="A62" s="345">
        <v>59</v>
      </c>
      <c r="B62" s="346" t="s">
        <v>236</v>
      </c>
      <c r="C62" s="347">
        <v>866.09</v>
      </c>
      <c r="D62" s="348">
        <v>46753</v>
      </c>
      <c r="E62" s="348">
        <v>47058</v>
      </c>
      <c r="F62" s="346" t="s">
        <v>629</v>
      </c>
      <c r="G62" s="350" t="s">
        <v>444</v>
      </c>
      <c r="H62" s="351">
        <f t="shared" si="0"/>
        <v>9526.99</v>
      </c>
      <c r="I62" s="120" t="str">
        <f>IF(OR(D62&lt;Capa!$A$5,D62&gt;Capa!$A$7,E62&lt;Capa!$A$5,E62&gt;Capa!$A$7,D62&gt;E62),"Erro","")</f>
        <v/>
      </c>
    </row>
    <row r="63" spans="1:9" ht="33.75">
      <c r="A63" s="345">
        <v>60</v>
      </c>
      <c r="B63" s="346" t="s">
        <v>240</v>
      </c>
      <c r="C63" s="347">
        <v>50</v>
      </c>
      <c r="D63" s="348">
        <v>45292</v>
      </c>
      <c r="E63" s="348">
        <v>45627</v>
      </c>
      <c r="F63" s="346" t="s">
        <v>629</v>
      </c>
      <c r="G63" s="350" t="s">
        <v>445</v>
      </c>
      <c r="H63" s="351">
        <f t="shared" si="0"/>
        <v>600</v>
      </c>
      <c r="I63" s="120" t="str">
        <f>IF(OR(D63&lt;Capa!$A$5,D63&gt;Capa!$A$7,E63&lt;Capa!$A$5,E63&gt;Capa!$A$7,D63&gt;E63),"Erro","")</f>
        <v/>
      </c>
    </row>
    <row r="64" spans="1:9" ht="33.75">
      <c r="A64" s="345">
        <v>61</v>
      </c>
      <c r="B64" s="346" t="s">
        <v>240</v>
      </c>
      <c r="C64" s="347">
        <v>50</v>
      </c>
      <c r="D64" s="348">
        <v>45658</v>
      </c>
      <c r="E64" s="348">
        <v>45992</v>
      </c>
      <c r="F64" s="346" t="s">
        <v>629</v>
      </c>
      <c r="G64" s="350" t="s">
        <v>445</v>
      </c>
      <c r="H64" s="351">
        <f t="shared" si="0"/>
        <v>600</v>
      </c>
      <c r="I64" s="120" t="str">
        <f>IF(OR(D64&lt;Capa!$A$5,D64&gt;Capa!$A$7,E64&lt;Capa!$A$5,E64&gt;Capa!$A$7,D64&gt;E64),"Erro","")</f>
        <v/>
      </c>
    </row>
    <row r="65" spans="1:9" ht="33.75">
      <c r="A65" s="345">
        <v>62</v>
      </c>
      <c r="B65" s="346" t="s">
        <v>240</v>
      </c>
      <c r="C65" s="347">
        <v>50</v>
      </c>
      <c r="D65" s="348">
        <v>46023</v>
      </c>
      <c r="E65" s="348">
        <v>46357</v>
      </c>
      <c r="F65" s="346" t="s">
        <v>629</v>
      </c>
      <c r="G65" s="350" t="s">
        <v>445</v>
      </c>
      <c r="H65" s="351">
        <f t="shared" si="0"/>
        <v>600</v>
      </c>
      <c r="I65" s="120" t="str">
        <f>IF(OR(D65&lt;Capa!$A$5,D65&gt;Capa!$A$7,E65&lt;Capa!$A$5,E65&gt;Capa!$A$7,D65&gt;E65),"Erro","")</f>
        <v/>
      </c>
    </row>
    <row r="66" spans="1:9" ht="33.75">
      <c r="A66" s="345">
        <v>63</v>
      </c>
      <c r="B66" s="346" t="s">
        <v>240</v>
      </c>
      <c r="C66" s="347">
        <v>50</v>
      </c>
      <c r="D66" s="348">
        <v>46388</v>
      </c>
      <c r="E66" s="348">
        <v>46722</v>
      </c>
      <c r="F66" s="346" t="s">
        <v>629</v>
      </c>
      <c r="G66" s="350" t="s">
        <v>445</v>
      </c>
      <c r="H66" s="351">
        <f t="shared" si="0"/>
        <v>600</v>
      </c>
      <c r="I66" s="120" t="str">
        <f>IF(OR(D66&lt;Capa!$A$5,D66&gt;Capa!$A$7,E66&lt;Capa!$A$5,E66&gt;Capa!$A$7,D66&gt;E66),"Erro","")</f>
        <v/>
      </c>
    </row>
    <row r="67" spans="1:9" ht="33.75">
      <c r="A67" s="345">
        <v>64</v>
      </c>
      <c r="B67" s="346" t="s">
        <v>240</v>
      </c>
      <c r="C67" s="347">
        <v>50</v>
      </c>
      <c r="D67" s="348">
        <v>46753</v>
      </c>
      <c r="E67" s="348">
        <v>47058</v>
      </c>
      <c r="F67" s="346" t="s">
        <v>629</v>
      </c>
      <c r="G67" s="350" t="s">
        <v>445</v>
      </c>
      <c r="H67" s="351">
        <f t="shared" ref="H67:H124" si="1">IFERROR((DATEDIF(D67,E67,"M")+1)*C67,0)</f>
        <v>550</v>
      </c>
      <c r="I67" s="120" t="str">
        <f>IF(OR(D67&lt;Capa!$A$5,D67&gt;Capa!$A$7,E67&lt;Capa!$A$5,E67&gt;Capa!$A$7,D67&gt;E67),"Erro","")</f>
        <v/>
      </c>
    </row>
    <row r="68" spans="1:9" ht="45">
      <c r="A68" s="345">
        <v>65</v>
      </c>
      <c r="B68" s="346" t="s">
        <v>244</v>
      </c>
      <c r="C68" s="347">
        <v>250</v>
      </c>
      <c r="D68" s="348">
        <v>45261</v>
      </c>
      <c r="E68" s="348">
        <v>45627</v>
      </c>
      <c r="F68" s="346" t="s">
        <v>629</v>
      </c>
      <c r="G68" s="350" t="s">
        <v>446</v>
      </c>
      <c r="H68" s="351">
        <f t="shared" si="1"/>
        <v>3250</v>
      </c>
      <c r="I68" s="120" t="str">
        <f>IF(OR(D68&lt;Capa!$A$5,D68&gt;Capa!$A$7,E68&lt;Capa!$A$5,E68&gt;Capa!$A$7,D68&gt;E68),"Erro","")</f>
        <v/>
      </c>
    </row>
    <row r="69" spans="1:9" ht="45">
      <c r="A69" s="345">
        <v>66</v>
      </c>
      <c r="B69" s="346" t="s">
        <v>244</v>
      </c>
      <c r="C69" s="347">
        <v>250</v>
      </c>
      <c r="D69" s="348">
        <v>45658</v>
      </c>
      <c r="E69" s="348">
        <v>45992</v>
      </c>
      <c r="F69" s="346" t="s">
        <v>629</v>
      </c>
      <c r="G69" s="350" t="s">
        <v>446</v>
      </c>
      <c r="H69" s="351">
        <f t="shared" si="1"/>
        <v>3000</v>
      </c>
      <c r="I69" s="120" t="str">
        <f>IF(OR(D69&lt;Capa!$A$5,D69&gt;Capa!$A$7,E69&lt;Capa!$A$5,E69&gt;Capa!$A$7,D69&gt;E69),"Erro","")</f>
        <v/>
      </c>
    </row>
    <row r="70" spans="1:9" ht="45">
      <c r="A70" s="345">
        <v>67</v>
      </c>
      <c r="B70" s="346" t="s">
        <v>244</v>
      </c>
      <c r="C70" s="347">
        <v>300</v>
      </c>
      <c r="D70" s="348">
        <v>46023</v>
      </c>
      <c r="E70" s="348">
        <v>46357</v>
      </c>
      <c r="F70" s="346" t="s">
        <v>629</v>
      </c>
      <c r="G70" s="350" t="s">
        <v>446</v>
      </c>
      <c r="H70" s="351">
        <f t="shared" si="1"/>
        <v>3600</v>
      </c>
      <c r="I70" s="120" t="str">
        <f>IF(OR(D70&lt;Capa!$A$5,D70&gt;Capa!$A$7,E70&lt;Capa!$A$5,E70&gt;Capa!$A$7,D70&gt;E70),"Erro","")</f>
        <v/>
      </c>
    </row>
    <row r="71" spans="1:9" ht="45">
      <c r="A71" s="345">
        <v>68</v>
      </c>
      <c r="B71" s="346" t="s">
        <v>244</v>
      </c>
      <c r="C71" s="347">
        <v>300</v>
      </c>
      <c r="D71" s="348">
        <v>46388</v>
      </c>
      <c r="E71" s="348">
        <v>46722</v>
      </c>
      <c r="F71" s="346" t="s">
        <v>629</v>
      </c>
      <c r="G71" s="350" t="s">
        <v>446</v>
      </c>
      <c r="H71" s="351">
        <f t="shared" si="1"/>
        <v>3600</v>
      </c>
      <c r="I71" s="120" t="str">
        <f>IF(OR(D71&lt;Capa!$A$5,D71&gt;Capa!$A$7,E71&lt;Capa!$A$5,E71&gt;Capa!$A$7,D71&gt;E71),"Erro","")</f>
        <v/>
      </c>
    </row>
    <row r="72" spans="1:9" ht="45">
      <c r="A72" s="345">
        <v>69</v>
      </c>
      <c r="B72" s="346" t="s">
        <v>244</v>
      </c>
      <c r="C72" s="347">
        <v>350</v>
      </c>
      <c r="D72" s="348">
        <v>46753</v>
      </c>
      <c r="E72" s="348">
        <v>47058</v>
      </c>
      <c r="F72" s="346" t="s">
        <v>629</v>
      </c>
      <c r="G72" s="350" t="s">
        <v>446</v>
      </c>
      <c r="H72" s="351">
        <f t="shared" si="1"/>
        <v>3850</v>
      </c>
      <c r="I72" s="120" t="str">
        <f>IF(OR(D72&lt;Capa!$A$5,D72&gt;Capa!$A$7,E72&lt;Capa!$A$5,E72&gt;Capa!$A$7,D72&gt;E72),"Erro","")</f>
        <v/>
      </c>
    </row>
    <row r="73" spans="1:9" ht="33.75">
      <c r="A73" s="345">
        <v>70</v>
      </c>
      <c r="B73" s="346" t="s">
        <v>246</v>
      </c>
      <c r="C73" s="347">
        <v>400</v>
      </c>
      <c r="D73" s="348">
        <v>45658</v>
      </c>
      <c r="E73" s="348">
        <v>45992</v>
      </c>
      <c r="F73" s="346" t="s">
        <v>629</v>
      </c>
      <c r="G73" s="350" t="s">
        <v>447</v>
      </c>
      <c r="H73" s="351">
        <f t="shared" si="1"/>
        <v>4800</v>
      </c>
      <c r="I73" s="120" t="str">
        <f>IF(OR(D73&lt;Capa!$A$5,D73&gt;Capa!$A$7,E73&lt;Capa!$A$5,E73&gt;Capa!$A$7,D73&gt;E73),"Erro","")</f>
        <v/>
      </c>
    </row>
    <row r="74" spans="1:9" ht="33.75">
      <c r="A74" s="345">
        <v>71</v>
      </c>
      <c r="B74" s="346" t="s">
        <v>246</v>
      </c>
      <c r="C74" s="347">
        <v>291.25</v>
      </c>
      <c r="D74" s="348">
        <v>46023</v>
      </c>
      <c r="E74" s="348">
        <v>46357</v>
      </c>
      <c r="F74" s="346" t="s">
        <v>629</v>
      </c>
      <c r="G74" s="350" t="s">
        <v>447</v>
      </c>
      <c r="H74" s="351">
        <f t="shared" si="1"/>
        <v>3495</v>
      </c>
      <c r="I74" s="120" t="str">
        <f>IF(OR(D74&lt;Capa!$A$5,D74&gt;Capa!$A$7,E74&lt;Capa!$A$5,E74&gt;Capa!$A$7,D74&gt;E74),"Erro","")</f>
        <v/>
      </c>
    </row>
    <row r="75" spans="1:9" ht="33.75">
      <c r="A75" s="345">
        <v>72</v>
      </c>
      <c r="B75" s="346" t="s">
        <v>246</v>
      </c>
      <c r="C75" s="347">
        <v>308.26</v>
      </c>
      <c r="D75" s="348">
        <v>46388</v>
      </c>
      <c r="E75" s="348">
        <v>46722</v>
      </c>
      <c r="F75" s="346" t="s">
        <v>629</v>
      </c>
      <c r="G75" s="350" t="s">
        <v>447</v>
      </c>
      <c r="H75" s="351">
        <f t="shared" si="1"/>
        <v>3699.12</v>
      </c>
      <c r="I75" s="120" t="str">
        <f>IF(OR(D75&lt;Capa!$A$5,D75&gt;Capa!$A$7,E75&lt;Capa!$A$5,E75&gt;Capa!$A$7,D75&gt;E75),"Erro","")</f>
        <v/>
      </c>
    </row>
    <row r="76" spans="1:9" ht="33.75">
      <c r="A76" s="345">
        <v>73</v>
      </c>
      <c r="B76" s="346" t="s">
        <v>246</v>
      </c>
      <c r="C76" s="347">
        <v>326.26</v>
      </c>
      <c r="D76" s="348">
        <v>46753</v>
      </c>
      <c r="E76" s="348">
        <v>47058</v>
      </c>
      <c r="F76" s="346" t="s">
        <v>629</v>
      </c>
      <c r="G76" s="350" t="s">
        <v>447</v>
      </c>
      <c r="H76" s="351">
        <f t="shared" si="1"/>
        <v>3588.8599999999997</v>
      </c>
      <c r="I76" s="120" t="str">
        <f>IF(OR(D76&lt;Capa!$A$5,D76&gt;Capa!$A$7,E76&lt;Capa!$A$5,E76&gt;Capa!$A$7,D76&gt;E76),"Erro","")</f>
        <v/>
      </c>
    </row>
    <row r="77" spans="1:9" ht="33.75">
      <c r="A77" s="345">
        <v>74</v>
      </c>
      <c r="B77" s="346" t="s">
        <v>258</v>
      </c>
      <c r="C77" s="347">
        <v>193.77</v>
      </c>
      <c r="D77" s="348">
        <v>45261</v>
      </c>
      <c r="E77" s="348">
        <v>45627</v>
      </c>
      <c r="F77" s="346" t="s">
        <v>629</v>
      </c>
      <c r="G77" s="350" t="s">
        <v>448</v>
      </c>
      <c r="H77" s="351">
        <f t="shared" si="1"/>
        <v>2519.0100000000002</v>
      </c>
      <c r="I77" s="120" t="str">
        <f>IF(OR(D77&lt;Capa!$A$5,D77&gt;Capa!$A$7,E77&lt;Capa!$A$5,E77&gt;Capa!$A$7,D77&gt;E77),"Erro","")</f>
        <v/>
      </c>
    </row>
    <row r="78" spans="1:9" ht="33.75">
      <c r="A78" s="345">
        <v>75</v>
      </c>
      <c r="B78" s="346" t="s">
        <v>258</v>
      </c>
      <c r="C78" s="347">
        <v>205.08</v>
      </c>
      <c r="D78" s="348">
        <v>45658</v>
      </c>
      <c r="E78" s="348">
        <v>45992</v>
      </c>
      <c r="F78" s="346" t="s">
        <v>629</v>
      </c>
      <c r="G78" s="350" t="s">
        <v>448</v>
      </c>
      <c r="H78" s="351">
        <f t="shared" si="1"/>
        <v>2460.96</v>
      </c>
      <c r="I78" s="120" t="str">
        <f>IF(OR(D78&lt;Capa!$A$5,D78&gt;Capa!$A$7,E78&lt;Capa!$A$5,E78&gt;Capa!$A$7,D78&gt;E78),"Erro","")</f>
        <v/>
      </c>
    </row>
    <row r="79" spans="1:9" ht="33.75">
      <c r="A79" s="345">
        <v>76</v>
      </c>
      <c r="B79" s="346" t="s">
        <v>258</v>
      </c>
      <c r="C79" s="347">
        <v>217.06</v>
      </c>
      <c r="D79" s="348">
        <v>46023</v>
      </c>
      <c r="E79" s="348">
        <v>46357</v>
      </c>
      <c r="F79" s="346" t="s">
        <v>629</v>
      </c>
      <c r="G79" s="350" t="s">
        <v>448</v>
      </c>
      <c r="H79" s="351">
        <f t="shared" si="1"/>
        <v>2604.7200000000003</v>
      </c>
      <c r="I79" s="120" t="str">
        <f>IF(OR(D79&lt;Capa!$A$5,D79&gt;Capa!$A$7,E79&lt;Capa!$A$5,E79&gt;Capa!$A$7,D79&gt;E79),"Erro","")</f>
        <v/>
      </c>
    </row>
    <row r="80" spans="1:9" ht="33.75">
      <c r="A80" s="345">
        <v>77</v>
      </c>
      <c r="B80" s="346" t="s">
        <v>258</v>
      </c>
      <c r="C80" s="347">
        <v>229.74</v>
      </c>
      <c r="D80" s="348">
        <v>46388</v>
      </c>
      <c r="E80" s="348">
        <v>46722</v>
      </c>
      <c r="F80" s="346" t="s">
        <v>629</v>
      </c>
      <c r="G80" s="350" t="s">
        <v>448</v>
      </c>
      <c r="H80" s="351">
        <f t="shared" si="1"/>
        <v>2756.88</v>
      </c>
      <c r="I80" s="120" t="str">
        <f>IF(OR(D80&lt;Capa!$A$5,D80&gt;Capa!$A$7,E80&lt;Capa!$A$5,E80&gt;Capa!$A$7,D80&gt;E80),"Erro","")</f>
        <v/>
      </c>
    </row>
    <row r="81" spans="1:9" ht="33.75">
      <c r="A81" s="345">
        <v>78</v>
      </c>
      <c r="B81" s="346" t="s">
        <v>258</v>
      </c>
      <c r="C81" s="347">
        <v>243.16</v>
      </c>
      <c r="D81" s="348">
        <v>46753</v>
      </c>
      <c r="E81" s="348">
        <v>47058</v>
      </c>
      <c r="F81" s="346" t="s">
        <v>629</v>
      </c>
      <c r="G81" s="350" t="s">
        <v>448</v>
      </c>
      <c r="H81" s="351">
        <f t="shared" si="1"/>
        <v>2674.7599999999998</v>
      </c>
      <c r="I81" s="120" t="str">
        <f>IF(OR(D81&lt;Capa!$A$5,D81&gt;Capa!$A$7,E81&lt;Capa!$A$5,E81&gt;Capa!$A$7,D81&gt;E81),"Erro","")</f>
        <v/>
      </c>
    </row>
    <row r="82" spans="1:9" ht="56.25">
      <c r="A82" s="345">
        <v>79</v>
      </c>
      <c r="B82" s="346" t="s">
        <v>276</v>
      </c>
      <c r="C82" s="347">
        <v>670</v>
      </c>
      <c r="D82" s="348">
        <v>45658</v>
      </c>
      <c r="E82" s="348">
        <v>45992</v>
      </c>
      <c r="F82" s="346" t="s">
        <v>629</v>
      </c>
      <c r="G82" s="350" t="s">
        <v>449</v>
      </c>
      <c r="H82" s="351">
        <f t="shared" si="1"/>
        <v>8040</v>
      </c>
      <c r="I82" s="120" t="str">
        <f>IF(OR(D82&lt;Capa!$A$5,D82&gt;Capa!$A$7,E82&lt;Capa!$A$5,E82&gt;Capa!$A$7,D82&gt;E82),"Erro","")</f>
        <v/>
      </c>
    </row>
    <row r="83" spans="1:9" ht="56.25">
      <c r="A83" s="345">
        <v>80</v>
      </c>
      <c r="B83" s="346" t="s">
        <v>276</v>
      </c>
      <c r="C83" s="347">
        <v>670</v>
      </c>
      <c r="D83" s="348">
        <v>46023</v>
      </c>
      <c r="E83" s="348">
        <v>46357</v>
      </c>
      <c r="F83" s="346" t="s">
        <v>629</v>
      </c>
      <c r="G83" s="350" t="s">
        <v>449</v>
      </c>
      <c r="H83" s="351">
        <f t="shared" si="1"/>
        <v>8040</v>
      </c>
      <c r="I83" s="120" t="str">
        <f>IF(OR(D83&lt;Capa!$A$5,D83&gt;Capa!$A$7,E83&lt;Capa!$A$5,E83&gt;Capa!$A$7,D83&gt;E83),"Erro","")</f>
        <v/>
      </c>
    </row>
    <row r="84" spans="1:9" ht="56.25">
      <c r="A84" s="345">
        <v>81</v>
      </c>
      <c r="B84" s="346" t="s">
        <v>276</v>
      </c>
      <c r="C84" s="347">
        <v>670</v>
      </c>
      <c r="D84" s="348">
        <v>46388</v>
      </c>
      <c r="E84" s="348">
        <v>46722</v>
      </c>
      <c r="F84" s="346" t="s">
        <v>629</v>
      </c>
      <c r="G84" s="350" t="s">
        <v>449</v>
      </c>
      <c r="H84" s="351">
        <f t="shared" si="1"/>
        <v>8040</v>
      </c>
      <c r="I84" s="120" t="str">
        <f>IF(OR(D84&lt;Capa!$A$5,D84&gt;Capa!$A$7,E84&lt;Capa!$A$5,E84&gt;Capa!$A$7,D84&gt;E84),"Erro","")</f>
        <v/>
      </c>
    </row>
    <row r="85" spans="1:9" ht="56.25">
      <c r="A85" s="345">
        <v>82</v>
      </c>
      <c r="B85" s="346" t="s">
        <v>276</v>
      </c>
      <c r="C85" s="347">
        <v>670</v>
      </c>
      <c r="D85" s="348">
        <v>46753</v>
      </c>
      <c r="E85" s="348">
        <v>47058</v>
      </c>
      <c r="F85" s="346" t="s">
        <v>629</v>
      </c>
      <c r="G85" s="350" t="s">
        <v>449</v>
      </c>
      <c r="H85" s="351">
        <f t="shared" si="1"/>
        <v>7370</v>
      </c>
      <c r="I85" s="120" t="str">
        <f>IF(OR(D85&lt;Capa!$A$5,D85&gt;Capa!$A$7,E85&lt;Capa!$A$5,E85&gt;Capa!$A$7,D85&gt;E85),"Erro","")</f>
        <v/>
      </c>
    </row>
    <row r="86" spans="1:9" ht="45">
      <c r="A86" s="345">
        <v>83</v>
      </c>
      <c r="B86" s="346" t="s">
        <v>278</v>
      </c>
      <c r="C86" s="347">
        <v>30000</v>
      </c>
      <c r="D86" s="348">
        <v>45261</v>
      </c>
      <c r="E86" s="348">
        <v>45261</v>
      </c>
      <c r="F86" s="346" t="s">
        <v>629</v>
      </c>
      <c r="G86" s="350" t="s">
        <v>450</v>
      </c>
      <c r="H86" s="351">
        <f t="shared" si="1"/>
        <v>30000</v>
      </c>
      <c r="I86" s="120" t="str">
        <f>IF(OR(D86&lt;Capa!$A$5,D86&gt;Capa!$A$7,E86&lt;Capa!$A$5,E86&gt;Capa!$A$7,D86&gt;E86),"Erro","")</f>
        <v/>
      </c>
    </row>
    <row r="87" spans="1:9" ht="45">
      <c r="A87" s="345">
        <v>84</v>
      </c>
      <c r="B87" s="346" t="s">
        <v>278</v>
      </c>
      <c r="C87" s="347">
        <v>41370</v>
      </c>
      <c r="D87" s="348">
        <v>45292</v>
      </c>
      <c r="E87" s="348">
        <v>45627</v>
      </c>
      <c r="F87" s="346" t="s">
        <v>629</v>
      </c>
      <c r="G87" s="350" t="s">
        <v>450</v>
      </c>
      <c r="H87" s="351">
        <f t="shared" si="1"/>
        <v>496440</v>
      </c>
      <c r="I87" s="120" t="str">
        <f>IF(OR(D87&lt;Capa!$A$5,D87&gt;Capa!$A$7,E87&lt;Capa!$A$5,E87&gt;Capa!$A$7,D87&gt;E87),"Erro","")</f>
        <v/>
      </c>
    </row>
    <row r="88" spans="1:9" ht="45">
      <c r="A88" s="345">
        <v>85</v>
      </c>
      <c r="B88" s="346" t="s">
        <v>278</v>
      </c>
      <c r="C88" s="347">
        <v>43786</v>
      </c>
      <c r="D88" s="348">
        <v>45658</v>
      </c>
      <c r="E88" s="348">
        <v>45992</v>
      </c>
      <c r="F88" s="346" t="s">
        <v>629</v>
      </c>
      <c r="G88" s="350" t="s">
        <v>450</v>
      </c>
      <c r="H88" s="351">
        <f t="shared" si="1"/>
        <v>525432</v>
      </c>
      <c r="I88" s="120" t="str">
        <f>IF(OR(D88&lt;Capa!$A$5,D88&gt;Capa!$A$7,E88&lt;Capa!$A$5,E88&gt;Capa!$A$7,D88&gt;E88),"Erro","")</f>
        <v/>
      </c>
    </row>
    <row r="89" spans="1:9" ht="45">
      <c r="A89" s="345">
        <v>86</v>
      </c>
      <c r="B89" s="346" t="s">
        <v>278</v>
      </c>
      <c r="C89" s="347">
        <v>45562</v>
      </c>
      <c r="D89" s="348">
        <v>46023</v>
      </c>
      <c r="E89" s="348">
        <v>46357</v>
      </c>
      <c r="F89" s="346" t="s">
        <v>629</v>
      </c>
      <c r="G89" s="350" t="s">
        <v>450</v>
      </c>
      <c r="H89" s="351">
        <f t="shared" si="1"/>
        <v>546744</v>
      </c>
      <c r="I89" s="120" t="str">
        <f>IF(OR(D89&lt;Capa!$A$5,D89&gt;Capa!$A$7,E89&lt;Capa!$A$5,E89&gt;Capa!$A$7,D89&gt;E89),"Erro","")</f>
        <v/>
      </c>
    </row>
    <row r="90" spans="1:9" ht="45">
      <c r="A90" s="345">
        <v>87</v>
      </c>
      <c r="B90" s="346" t="s">
        <v>278</v>
      </c>
      <c r="C90" s="347">
        <v>48222.82</v>
      </c>
      <c r="D90" s="348">
        <v>46388</v>
      </c>
      <c r="E90" s="348">
        <v>46722</v>
      </c>
      <c r="F90" s="346" t="s">
        <v>629</v>
      </c>
      <c r="G90" s="350" t="s">
        <v>450</v>
      </c>
      <c r="H90" s="351">
        <f t="shared" si="1"/>
        <v>578673.84</v>
      </c>
      <c r="I90" s="120" t="str">
        <f>IF(OR(D90&lt;Capa!$A$5,D90&gt;Capa!$A$7,E90&lt;Capa!$A$5,E90&gt;Capa!$A$7,D90&gt;E90),"Erro","")</f>
        <v/>
      </c>
    </row>
    <row r="91" spans="1:9" ht="45">
      <c r="A91" s="345">
        <v>88</v>
      </c>
      <c r="B91" s="346" t="s">
        <v>278</v>
      </c>
      <c r="C91" s="347">
        <v>51039.03</v>
      </c>
      <c r="D91" s="348">
        <v>46753</v>
      </c>
      <c r="E91" s="348">
        <v>47058</v>
      </c>
      <c r="F91" s="346" t="s">
        <v>629</v>
      </c>
      <c r="G91" s="350" t="s">
        <v>450</v>
      </c>
      <c r="H91" s="351">
        <f t="shared" si="1"/>
        <v>561429.32999999996</v>
      </c>
      <c r="I91" s="120" t="str">
        <f>IF(OR(D91&lt;Capa!$A$5,D91&gt;Capa!$A$7,E91&lt;Capa!$A$5,E91&gt;Capa!$A$7,D91&gt;E91),"Erro","")</f>
        <v/>
      </c>
    </row>
    <row r="92" spans="1:9" ht="56.25">
      <c r="A92" s="345">
        <v>89</v>
      </c>
      <c r="B92" s="346" t="s">
        <v>280</v>
      </c>
      <c r="C92" s="347">
        <v>100</v>
      </c>
      <c r="D92" s="348">
        <v>45261</v>
      </c>
      <c r="E92" s="348">
        <v>45627</v>
      </c>
      <c r="F92" s="346" t="s">
        <v>629</v>
      </c>
      <c r="G92" s="350" t="s">
        <v>451</v>
      </c>
      <c r="H92" s="351">
        <f t="shared" si="1"/>
        <v>1300</v>
      </c>
      <c r="I92" s="120" t="str">
        <f>IF(OR(D92&lt;Capa!$A$5,D92&gt;Capa!$A$7,E92&lt;Capa!$A$5,E92&gt;Capa!$A$7,D92&gt;E92),"Erro","")</f>
        <v/>
      </c>
    </row>
    <row r="93" spans="1:9" ht="56.25">
      <c r="A93" s="345">
        <v>90</v>
      </c>
      <c r="B93" s="346" t="s">
        <v>280</v>
      </c>
      <c r="C93" s="347">
        <v>100</v>
      </c>
      <c r="D93" s="348">
        <v>45658</v>
      </c>
      <c r="E93" s="348">
        <v>45992</v>
      </c>
      <c r="F93" s="346" t="s">
        <v>629</v>
      </c>
      <c r="G93" s="350" t="s">
        <v>451</v>
      </c>
      <c r="H93" s="351">
        <f t="shared" si="1"/>
        <v>1200</v>
      </c>
      <c r="I93" s="120" t="str">
        <f>IF(OR(D93&lt;Capa!$A$5,D93&gt;Capa!$A$7,E93&lt;Capa!$A$5,E93&gt;Capa!$A$7,D93&gt;E93),"Erro","")</f>
        <v/>
      </c>
    </row>
    <row r="94" spans="1:9" ht="56.25">
      <c r="A94" s="345">
        <v>91</v>
      </c>
      <c r="B94" s="346" t="s">
        <v>280</v>
      </c>
      <c r="C94" s="347">
        <v>100</v>
      </c>
      <c r="D94" s="348">
        <v>46023</v>
      </c>
      <c r="E94" s="348">
        <v>46357</v>
      </c>
      <c r="F94" s="346" t="s">
        <v>629</v>
      </c>
      <c r="G94" s="350" t="s">
        <v>451</v>
      </c>
      <c r="H94" s="351">
        <f t="shared" si="1"/>
        <v>1200</v>
      </c>
      <c r="I94" s="120" t="str">
        <f>IF(OR(D94&lt;Capa!$A$5,D94&gt;Capa!$A$7,E94&lt;Capa!$A$5,E94&gt;Capa!$A$7,D94&gt;E94),"Erro","")</f>
        <v/>
      </c>
    </row>
    <row r="95" spans="1:9" ht="56.25">
      <c r="A95" s="345">
        <v>92</v>
      </c>
      <c r="B95" s="346" t="s">
        <v>280</v>
      </c>
      <c r="C95" s="347">
        <v>100</v>
      </c>
      <c r="D95" s="348">
        <v>46388</v>
      </c>
      <c r="E95" s="348">
        <v>46722</v>
      </c>
      <c r="F95" s="346" t="s">
        <v>629</v>
      </c>
      <c r="G95" s="350" t="s">
        <v>451</v>
      </c>
      <c r="H95" s="351">
        <f t="shared" si="1"/>
        <v>1200</v>
      </c>
      <c r="I95" s="120" t="str">
        <f>IF(OR(D95&lt;Capa!$A$5,D95&gt;Capa!$A$7,E95&lt;Capa!$A$5,E95&gt;Capa!$A$7,D95&gt;E95),"Erro","")</f>
        <v/>
      </c>
    </row>
    <row r="96" spans="1:9" ht="56.25">
      <c r="A96" s="345">
        <v>93</v>
      </c>
      <c r="B96" s="346" t="s">
        <v>280</v>
      </c>
      <c r="C96" s="347">
        <v>100</v>
      </c>
      <c r="D96" s="348">
        <v>46753</v>
      </c>
      <c r="E96" s="348">
        <v>47058</v>
      </c>
      <c r="F96" s="346" t="s">
        <v>629</v>
      </c>
      <c r="G96" s="350" t="s">
        <v>451</v>
      </c>
      <c r="H96" s="351">
        <f t="shared" si="1"/>
        <v>1100</v>
      </c>
      <c r="I96" s="120" t="str">
        <f>IF(OR(D96&lt;Capa!$A$5,D96&gt;Capa!$A$7,E96&lt;Capa!$A$5,E96&gt;Capa!$A$7,D96&gt;E96),"Erro","")</f>
        <v/>
      </c>
    </row>
    <row r="97" spans="1:9" ht="45">
      <c r="A97" s="345">
        <v>94</v>
      </c>
      <c r="B97" s="346" t="s">
        <v>282</v>
      </c>
      <c r="C97" s="347">
        <v>702.18</v>
      </c>
      <c r="D97" s="348">
        <v>45261</v>
      </c>
      <c r="E97" s="348">
        <v>45627</v>
      </c>
      <c r="F97" s="346" t="s">
        <v>629</v>
      </c>
      <c r="G97" s="350" t="s">
        <v>452</v>
      </c>
      <c r="H97" s="351">
        <f t="shared" si="1"/>
        <v>9128.34</v>
      </c>
      <c r="I97" s="120" t="str">
        <f>IF(OR(D97&lt;Capa!$A$5,D97&gt;Capa!$A$7,E97&lt;Capa!$A$5,E97&gt;Capa!$A$7,D97&gt;E97),"Erro","")</f>
        <v/>
      </c>
    </row>
    <row r="98" spans="1:9" ht="45">
      <c r="A98" s="345">
        <v>95</v>
      </c>
      <c r="B98" s="346" t="s">
        <v>282</v>
      </c>
      <c r="C98" s="347">
        <v>850</v>
      </c>
      <c r="D98" s="348">
        <v>45658</v>
      </c>
      <c r="E98" s="348">
        <v>45992</v>
      </c>
      <c r="F98" s="346" t="s">
        <v>629</v>
      </c>
      <c r="G98" s="350" t="s">
        <v>452</v>
      </c>
      <c r="H98" s="351">
        <f t="shared" si="1"/>
        <v>10200</v>
      </c>
      <c r="I98" s="120" t="str">
        <f>IF(OR(D98&lt;Capa!$A$5,D98&gt;Capa!$A$7,E98&lt;Capa!$A$5,E98&gt;Capa!$A$7,D98&gt;E98),"Erro","")</f>
        <v/>
      </c>
    </row>
    <row r="99" spans="1:9" ht="45">
      <c r="A99" s="345">
        <v>96</v>
      </c>
      <c r="B99" s="346" t="s">
        <v>282</v>
      </c>
      <c r="C99" s="347">
        <v>786.59</v>
      </c>
      <c r="D99" s="348">
        <v>46023</v>
      </c>
      <c r="E99" s="348">
        <v>46357</v>
      </c>
      <c r="F99" s="346" t="s">
        <v>629</v>
      </c>
      <c r="G99" s="350" t="s">
        <v>452</v>
      </c>
      <c r="H99" s="351">
        <f t="shared" si="1"/>
        <v>9439.08</v>
      </c>
      <c r="I99" s="120" t="str">
        <f>IF(OR(D99&lt;Capa!$A$5,D99&gt;Capa!$A$7,E99&lt;Capa!$A$5,E99&gt;Capa!$A$7,D99&gt;E99),"Erro","")</f>
        <v/>
      </c>
    </row>
    <row r="100" spans="1:9" ht="45">
      <c r="A100" s="345">
        <v>97</v>
      </c>
      <c r="B100" s="346" t="s">
        <v>282</v>
      </c>
      <c r="C100" s="347">
        <v>832.52</v>
      </c>
      <c r="D100" s="348">
        <v>46388</v>
      </c>
      <c r="E100" s="348">
        <v>46722</v>
      </c>
      <c r="F100" s="346" t="s">
        <v>629</v>
      </c>
      <c r="G100" s="350" t="s">
        <v>452</v>
      </c>
      <c r="H100" s="351">
        <f t="shared" si="1"/>
        <v>9990.24</v>
      </c>
      <c r="I100" s="120" t="str">
        <f>IF(OR(D100&lt;Capa!$A$5,D100&gt;Capa!$A$7,E100&lt;Capa!$A$5,E100&gt;Capa!$A$7,D100&gt;E100),"Erro","")</f>
        <v/>
      </c>
    </row>
    <row r="101" spans="1:9" ht="45">
      <c r="A101" s="345">
        <v>98</v>
      </c>
      <c r="B101" s="346" t="s">
        <v>282</v>
      </c>
      <c r="C101" s="347">
        <v>881.14</v>
      </c>
      <c r="D101" s="348">
        <v>46753</v>
      </c>
      <c r="E101" s="348">
        <v>47058</v>
      </c>
      <c r="F101" s="346" t="s">
        <v>629</v>
      </c>
      <c r="G101" s="350" t="s">
        <v>452</v>
      </c>
      <c r="H101" s="351">
        <f t="shared" si="1"/>
        <v>9692.5399999999991</v>
      </c>
      <c r="I101" s="120" t="str">
        <f>IF(OR(D101&lt;Capa!$A$5,D101&gt;Capa!$A$7,E101&lt;Capa!$A$5,E101&gt;Capa!$A$7,D101&gt;E101),"Erro","")</f>
        <v/>
      </c>
    </row>
    <row r="102" spans="1:9" ht="45">
      <c r="A102" s="345">
        <v>99</v>
      </c>
      <c r="B102" s="346" t="s">
        <v>284</v>
      </c>
      <c r="C102" s="347">
        <v>1013.31</v>
      </c>
      <c r="D102" s="348">
        <v>45261</v>
      </c>
      <c r="E102" s="348">
        <v>45627</v>
      </c>
      <c r="F102" s="346" t="s">
        <v>629</v>
      </c>
      <c r="G102" s="350" t="s">
        <v>452</v>
      </c>
      <c r="H102" s="351">
        <f t="shared" si="1"/>
        <v>13173.029999999999</v>
      </c>
      <c r="I102" s="120" t="str">
        <f>IF(OR(D102&lt;Capa!$A$5,D102&gt;Capa!$A$7,E102&lt;Capa!$A$5,E102&gt;Capa!$A$7,D102&gt;E102),"Erro","")</f>
        <v/>
      </c>
    </row>
    <row r="103" spans="1:9" ht="45">
      <c r="A103" s="345">
        <v>100</v>
      </c>
      <c r="B103" s="346" t="s">
        <v>284</v>
      </c>
      <c r="C103" s="347">
        <v>1072.49</v>
      </c>
      <c r="D103" s="348">
        <v>45658</v>
      </c>
      <c r="E103" s="348">
        <v>45992</v>
      </c>
      <c r="F103" s="346" t="s">
        <v>629</v>
      </c>
      <c r="G103" s="350" t="s">
        <v>452</v>
      </c>
      <c r="H103" s="351">
        <f t="shared" si="1"/>
        <v>12869.880000000001</v>
      </c>
      <c r="I103" s="120" t="str">
        <f>IF(OR(D103&lt;Capa!$A$5,D103&gt;Capa!$A$7,E103&lt;Capa!$A$5,E103&gt;Capa!$A$7,D103&gt;E103),"Erro","")</f>
        <v/>
      </c>
    </row>
    <row r="104" spans="1:9" ht="45">
      <c r="A104" s="345">
        <v>101</v>
      </c>
      <c r="B104" s="346" t="s">
        <v>284</v>
      </c>
      <c r="C104" s="347">
        <v>1135.1199999999999</v>
      </c>
      <c r="D104" s="348">
        <v>46023</v>
      </c>
      <c r="E104" s="348">
        <v>46357</v>
      </c>
      <c r="F104" s="346" t="s">
        <v>629</v>
      </c>
      <c r="G104" s="350" t="s">
        <v>452</v>
      </c>
      <c r="H104" s="351">
        <f t="shared" si="1"/>
        <v>13621.439999999999</v>
      </c>
      <c r="I104" s="120" t="str">
        <f>IF(OR(D104&lt;Capa!$A$5,D104&gt;Capa!$A$7,E104&lt;Capa!$A$5,E104&gt;Capa!$A$7,D104&gt;E104),"Erro","")</f>
        <v/>
      </c>
    </row>
    <row r="105" spans="1:9" ht="45">
      <c r="A105" s="345">
        <v>102</v>
      </c>
      <c r="B105" s="346" t="s">
        <v>284</v>
      </c>
      <c r="C105" s="347">
        <v>1201.42</v>
      </c>
      <c r="D105" s="348">
        <v>46388</v>
      </c>
      <c r="E105" s="348">
        <v>46722</v>
      </c>
      <c r="F105" s="346" t="s">
        <v>629</v>
      </c>
      <c r="G105" s="350" t="s">
        <v>452</v>
      </c>
      <c r="H105" s="351">
        <f t="shared" si="1"/>
        <v>14417.04</v>
      </c>
      <c r="I105" s="120" t="str">
        <f>IF(OR(D105&lt;Capa!$A$5,D105&gt;Capa!$A$7,E105&lt;Capa!$A$5,E105&gt;Capa!$A$7,D105&gt;E105),"Erro","")</f>
        <v/>
      </c>
    </row>
    <row r="106" spans="1:9" ht="45">
      <c r="A106" s="345">
        <v>103</v>
      </c>
      <c r="B106" s="346" t="s">
        <v>284</v>
      </c>
      <c r="C106" s="347">
        <v>1271.58</v>
      </c>
      <c r="D106" s="348">
        <v>46753</v>
      </c>
      <c r="E106" s="348">
        <v>47058</v>
      </c>
      <c r="F106" s="346" t="s">
        <v>629</v>
      </c>
      <c r="G106" s="350" t="s">
        <v>452</v>
      </c>
      <c r="H106" s="351">
        <f t="shared" si="1"/>
        <v>13987.38</v>
      </c>
      <c r="I106" s="120" t="str">
        <f>IF(OR(D106&lt;Capa!$A$5,D106&gt;Capa!$A$7,E106&lt;Capa!$A$5,E106&gt;Capa!$A$7,D106&gt;E106),"Erro","")</f>
        <v/>
      </c>
    </row>
    <row r="107" spans="1:9" ht="45">
      <c r="A107" s="345">
        <v>104</v>
      </c>
      <c r="B107" s="346" t="s">
        <v>286</v>
      </c>
      <c r="C107" s="347">
        <v>1013.31</v>
      </c>
      <c r="D107" s="348">
        <v>45261</v>
      </c>
      <c r="E107" s="348">
        <v>45627</v>
      </c>
      <c r="F107" s="346" t="s">
        <v>629</v>
      </c>
      <c r="G107" s="350" t="s">
        <v>452</v>
      </c>
      <c r="H107" s="351">
        <f t="shared" si="1"/>
        <v>13173.029999999999</v>
      </c>
      <c r="I107" s="120" t="str">
        <f>IF(OR(D107&lt;Capa!$A$5,D107&gt;Capa!$A$7,E107&lt;Capa!$A$5,E107&gt;Capa!$A$7,D107&gt;E107),"Erro","")</f>
        <v/>
      </c>
    </row>
    <row r="108" spans="1:9" ht="45">
      <c r="A108" s="345">
        <v>105</v>
      </c>
      <c r="B108" s="346" t="s">
        <v>286</v>
      </c>
      <c r="C108" s="347">
        <v>1072.49</v>
      </c>
      <c r="D108" s="348">
        <v>45658</v>
      </c>
      <c r="E108" s="348">
        <v>45992</v>
      </c>
      <c r="F108" s="346" t="s">
        <v>629</v>
      </c>
      <c r="G108" s="350" t="s">
        <v>452</v>
      </c>
      <c r="H108" s="351">
        <f t="shared" si="1"/>
        <v>12869.880000000001</v>
      </c>
      <c r="I108" s="120" t="str">
        <f>IF(OR(D108&lt;Capa!$A$5,D108&gt;Capa!$A$7,E108&lt;Capa!$A$5,E108&gt;Capa!$A$7,D108&gt;E108),"Erro","")</f>
        <v/>
      </c>
    </row>
    <row r="109" spans="1:9" ht="45">
      <c r="A109" s="345">
        <v>106</v>
      </c>
      <c r="B109" s="346" t="s">
        <v>286</v>
      </c>
      <c r="C109" s="347">
        <v>1135.1199999999999</v>
      </c>
      <c r="D109" s="348">
        <v>46023</v>
      </c>
      <c r="E109" s="348">
        <v>46357</v>
      </c>
      <c r="F109" s="346" t="s">
        <v>629</v>
      </c>
      <c r="G109" s="350" t="s">
        <v>452</v>
      </c>
      <c r="H109" s="351">
        <f t="shared" si="1"/>
        <v>13621.439999999999</v>
      </c>
      <c r="I109" s="120" t="str">
        <f>IF(OR(D109&lt;Capa!$A$5,D109&gt;Capa!$A$7,E109&lt;Capa!$A$5,E109&gt;Capa!$A$7,D109&gt;E109),"Erro","")</f>
        <v/>
      </c>
    </row>
    <row r="110" spans="1:9" ht="45">
      <c r="A110" s="345">
        <v>107</v>
      </c>
      <c r="B110" s="346" t="s">
        <v>286</v>
      </c>
      <c r="C110" s="347">
        <v>1204.4100000000001</v>
      </c>
      <c r="D110" s="348">
        <v>46388</v>
      </c>
      <c r="E110" s="348">
        <v>46722</v>
      </c>
      <c r="F110" s="346" t="s">
        <v>629</v>
      </c>
      <c r="G110" s="350" t="s">
        <v>452</v>
      </c>
      <c r="H110" s="351">
        <f t="shared" si="1"/>
        <v>14452.920000000002</v>
      </c>
      <c r="I110" s="120" t="str">
        <f>IF(OR(D110&lt;Capa!$A$5,D110&gt;Capa!$A$7,E110&lt;Capa!$A$5,E110&gt;Capa!$A$7,D110&gt;E110),"Erro","")</f>
        <v/>
      </c>
    </row>
    <row r="111" spans="1:9" ht="45">
      <c r="A111" s="345">
        <v>108</v>
      </c>
      <c r="B111" s="346" t="s">
        <v>286</v>
      </c>
      <c r="C111" s="347">
        <v>1271.57</v>
      </c>
      <c r="D111" s="348">
        <v>46753</v>
      </c>
      <c r="E111" s="348">
        <v>47058</v>
      </c>
      <c r="F111" s="346" t="s">
        <v>629</v>
      </c>
      <c r="G111" s="350" t="s">
        <v>452</v>
      </c>
      <c r="H111" s="351">
        <f t="shared" si="1"/>
        <v>13987.269999999999</v>
      </c>
      <c r="I111" s="120" t="str">
        <f>IF(OR(D111&lt;Capa!$A$5,D111&gt;Capa!$A$7,E111&lt;Capa!$A$5,E111&gt;Capa!$A$7,D111&gt;E111),"Erro","")</f>
        <v/>
      </c>
    </row>
    <row r="112" spans="1:9" ht="45">
      <c r="A112" s="345">
        <v>109</v>
      </c>
      <c r="B112" s="346" t="s">
        <v>288</v>
      </c>
      <c r="C112" s="347">
        <v>200</v>
      </c>
      <c r="D112" s="348">
        <v>45261</v>
      </c>
      <c r="E112" s="348">
        <v>45627</v>
      </c>
      <c r="F112" s="346" t="s">
        <v>629</v>
      </c>
      <c r="G112" s="350" t="s">
        <v>453</v>
      </c>
      <c r="H112" s="351">
        <f t="shared" si="1"/>
        <v>2600</v>
      </c>
      <c r="I112" s="120" t="str">
        <f>IF(OR(D112&lt;Capa!$A$5,D112&gt;Capa!$A$7,E112&lt;Capa!$A$5,E112&gt;Capa!$A$7,D112&gt;E112),"Erro","")</f>
        <v/>
      </c>
    </row>
    <row r="113" spans="1:9" ht="45">
      <c r="A113" s="345">
        <v>110</v>
      </c>
      <c r="B113" s="346" t="s">
        <v>288</v>
      </c>
      <c r="C113" s="347">
        <v>200</v>
      </c>
      <c r="D113" s="348">
        <v>45658</v>
      </c>
      <c r="E113" s="348">
        <v>45992</v>
      </c>
      <c r="F113" s="346" t="s">
        <v>629</v>
      </c>
      <c r="G113" s="350" t="s">
        <v>453</v>
      </c>
      <c r="H113" s="351">
        <f t="shared" si="1"/>
        <v>2400</v>
      </c>
      <c r="I113" s="120" t="str">
        <f>IF(OR(D113&lt;Capa!$A$5,D113&gt;Capa!$A$7,E113&lt;Capa!$A$5,E113&gt;Capa!$A$7,D113&gt;E113),"Erro","")</f>
        <v/>
      </c>
    </row>
    <row r="114" spans="1:9" ht="45">
      <c r="A114" s="345">
        <v>111</v>
      </c>
      <c r="B114" s="346" t="s">
        <v>288</v>
      </c>
      <c r="C114" s="347">
        <v>200</v>
      </c>
      <c r="D114" s="348">
        <v>46023</v>
      </c>
      <c r="E114" s="348">
        <v>46357</v>
      </c>
      <c r="F114" s="346" t="s">
        <v>629</v>
      </c>
      <c r="G114" s="350" t="s">
        <v>453</v>
      </c>
      <c r="H114" s="351">
        <f t="shared" si="1"/>
        <v>2400</v>
      </c>
      <c r="I114" s="120" t="str">
        <f>IF(OR(D114&lt;Capa!$A$5,D114&gt;Capa!$A$7,E114&lt;Capa!$A$5,E114&gt;Capa!$A$7,D114&gt;E114),"Erro","")</f>
        <v/>
      </c>
    </row>
    <row r="115" spans="1:9" ht="45">
      <c r="A115" s="345">
        <v>112</v>
      </c>
      <c r="B115" s="346" t="s">
        <v>288</v>
      </c>
      <c r="C115" s="347">
        <v>200</v>
      </c>
      <c r="D115" s="348">
        <v>46388</v>
      </c>
      <c r="E115" s="348">
        <v>46722</v>
      </c>
      <c r="F115" s="346" t="s">
        <v>629</v>
      </c>
      <c r="G115" s="350" t="s">
        <v>453</v>
      </c>
      <c r="H115" s="351">
        <f t="shared" si="1"/>
        <v>2400</v>
      </c>
      <c r="I115" s="120" t="str">
        <f>IF(OR(D115&lt;Capa!$A$5,D115&gt;Capa!$A$7,E115&lt;Capa!$A$5,E115&gt;Capa!$A$7,D115&gt;E115),"Erro","")</f>
        <v/>
      </c>
    </row>
    <row r="116" spans="1:9" ht="45">
      <c r="A116" s="345">
        <v>113</v>
      </c>
      <c r="B116" s="346" t="s">
        <v>288</v>
      </c>
      <c r="C116" s="347">
        <v>200</v>
      </c>
      <c r="D116" s="348">
        <v>46753</v>
      </c>
      <c r="E116" s="348">
        <v>47058</v>
      </c>
      <c r="F116" s="346" t="s">
        <v>629</v>
      </c>
      <c r="G116" s="350" t="s">
        <v>453</v>
      </c>
      <c r="H116" s="351">
        <f t="shared" si="1"/>
        <v>2200</v>
      </c>
      <c r="I116" s="120" t="str">
        <f>IF(OR(D116&lt;Capa!$A$5,D116&gt;Capa!$A$7,E116&lt;Capa!$A$5,E116&gt;Capa!$A$7,D116&gt;E116),"Erro","")</f>
        <v/>
      </c>
    </row>
    <row r="117" spans="1:9" ht="33.75">
      <c r="A117" s="345">
        <v>114</v>
      </c>
      <c r="B117" s="346" t="s">
        <v>294</v>
      </c>
      <c r="C117" s="347">
        <v>7000</v>
      </c>
      <c r="D117" s="348">
        <v>45261</v>
      </c>
      <c r="E117" s="348">
        <v>45627</v>
      </c>
      <c r="F117" s="346" t="s">
        <v>629</v>
      </c>
      <c r="G117" s="350" t="s">
        <v>454</v>
      </c>
      <c r="H117" s="351">
        <f t="shared" si="1"/>
        <v>91000</v>
      </c>
      <c r="I117" s="120" t="str">
        <f>IF(OR(D117&lt;Capa!$A$5,D117&gt;Capa!$A$7,E117&lt;Capa!$A$5,E117&gt;Capa!$A$7,D117&gt;E117),"Erro","")</f>
        <v/>
      </c>
    </row>
    <row r="118" spans="1:9" ht="33.75">
      <c r="A118" s="345">
        <v>115</v>
      </c>
      <c r="B118" s="346" t="s">
        <v>294</v>
      </c>
      <c r="C118" s="347">
        <v>8000</v>
      </c>
      <c r="D118" s="348">
        <v>45658</v>
      </c>
      <c r="E118" s="348">
        <v>45992</v>
      </c>
      <c r="F118" s="346" t="s">
        <v>629</v>
      </c>
      <c r="G118" s="350" t="s">
        <v>454</v>
      </c>
      <c r="H118" s="351">
        <f t="shared" si="1"/>
        <v>96000</v>
      </c>
      <c r="I118" s="120" t="str">
        <f>IF(OR(D118&lt;Capa!$A$5,D118&gt;Capa!$A$7,E118&lt;Capa!$A$5,E118&gt;Capa!$A$7,D118&gt;E118),"Erro","")</f>
        <v/>
      </c>
    </row>
    <row r="119" spans="1:9" ht="33.75">
      <c r="A119" s="345">
        <v>116</v>
      </c>
      <c r="B119" s="346" t="s">
        <v>294</v>
      </c>
      <c r="C119" s="347">
        <v>7847.65</v>
      </c>
      <c r="D119" s="348">
        <v>46023</v>
      </c>
      <c r="E119" s="348">
        <v>46357</v>
      </c>
      <c r="F119" s="346" t="s">
        <v>629</v>
      </c>
      <c r="G119" s="350" t="s">
        <v>454</v>
      </c>
      <c r="H119" s="351">
        <f t="shared" si="1"/>
        <v>94171.799999999988</v>
      </c>
      <c r="I119" s="120" t="str">
        <f>IF(OR(D119&lt;Capa!$A$5,D119&gt;Capa!$A$7,E119&lt;Capa!$A$5,E119&gt;Capa!$A$7,D119&gt;E119),"Erro","")</f>
        <v/>
      </c>
    </row>
    <row r="120" spans="1:9" ht="33.75">
      <c r="A120" s="345">
        <v>117</v>
      </c>
      <c r="B120" s="346" t="s">
        <v>294</v>
      </c>
      <c r="C120" s="347">
        <v>8305.9500000000007</v>
      </c>
      <c r="D120" s="348">
        <v>46388</v>
      </c>
      <c r="E120" s="348">
        <v>46722</v>
      </c>
      <c r="F120" s="346" t="s">
        <v>629</v>
      </c>
      <c r="G120" s="350" t="s">
        <v>454</v>
      </c>
      <c r="H120" s="351">
        <f t="shared" si="1"/>
        <v>99671.400000000009</v>
      </c>
      <c r="I120" s="120" t="str">
        <f>IF(OR(D120&lt;Capa!$A$5,D120&gt;Capa!$A$7,E120&lt;Capa!$A$5,E120&gt;Capa!$A$7,D120&gt;E120),"Erro","")</f>
        <v/>
      </c>
    </row>
    <row r="121" spans="1:9" ht="33.75">
      <c r="A121" s="345">
        <v>118</v>
      </c>
      <c r="B121" s="346" t="s">
        <v>294</v>
      </c>
      <c r="C121" s="347">
        <v>8791.02</v>
      </c>
      <c r="D121" s="348">
        <v>46753</v>
      </c>
      <c r="E121" s="348">
        <v>47058</v>
      </c>
      <c r="F121" s="346" t="s">
        <v>629</v>
      </c>
      <c r="G121" s="350" t="s">
        <v>454</v>
      </c>
      <c r="H121" s="351">
        <f t="shared" si="1"/>
        <v>96701.22</v>
      </c>
      <c r="I121" s="120" t="str">
        <f>IF(OR(D121&lt;Capa!$A$5,D121&gt;Capa!$A$7,E121&lt;Capa!$A$5,E121&gt;Capa!$A$7,D121&gt;E121),"Erro","")</f>
        <v/>
      </c>
    </row>
    <row r="122" spans="1:9" ht="22.5">
      <c r="A122" s="345">
        <v>119</v>
      </c>
      <c r="B122" s="346" t="s">
        <v>302</v>
      </c>
      <c r="C122" s="347">
        <v>500</v>
      </c>
      <c r="D122" s="348">
        <v>45261</v>
      </c>
      <c r="E122" s="348">
        <v>45627</v>
      </c>
      <c r="F122" s="346" t="s">
        <v>629</v>
      </c>
      <c r="G122" s="350" t="s">
        <v>455</v>
      </c>
      <c r="H122" s="351">
        <f t="shared" si="1"/>
        <v>6500</v>
      </c>
      <c r="I122" s="120" t="str">
        <f>IF(OR(D122&lt;Capa!$A$5,D122&gt;Capa!$A$7,E122&lt;Capa!$A$5,E122&gt;Capa!$A$7,D122&gt;E122),"Erro","")</f>
        <v/>
      </c>
    </row>
    <row r="123" spans="1:9" ht="22.5">
      <c r="A123" s="345">
        <v>120</v>
      </c>
      <c r="B123" s="346" t="s">
        <v>302</v>
      </c>
      <c r="C123" s="347">
        <v>210</v>
      </c>
      <c r="D123" s="348">
        <v>45658</v>
      </c>
      <c r="E123" s="348">
        <v>45992</v>
      </c>
      <c r="F123" s="346" t="s">
        <v>629</v>
      </c>
      <c r="G123" s="350" t="s">
        <v>455</v>
      </c>
      <c r="H123" s="351">
        <f t="shared" si="1"/>
        <v>2520</v>
      </c>
      <c r="I123" s="120" t="str">
        <f>IF(OR(D123&lt;Capa!$A$5,D123&gt;Capa!$A$7,E123&lt;Capa!$A$5,E123&gt;Capa!$A$7,D123&gt;E123),"Erro","")</f>
        <v/>
      </c>
    </row>
    <row r="124" spans="1:9" ht="22.5">
      <c r="A124" s="345">
        <v>121</v>
      </c>
      <c r="B124" s="346" t="s">
        <v>302</v>
      </c>
      <c r="C124" s="347">
        <v>210</v>
      </c>
      <c r="D124" s="348">
        <v>46023</v>
      </c>
      <c r="E124" s="348">
        <v>46357</v>
      </c>
      <c r="F124" s="346" t="s">
        <v>629</v>
      </c>
      <c r="G124" s="350" t="s">
        <v>455</v>
      </c>
      <c r="H124" s="351">
        <f t="shared" si="1"/>
        <v>2520</v>
      </c>
      <c r="I124" s="120" t="str">
        <f>IF(OR(D124&lt;Capa!$A$5,D124&gt;Capa!$A$7,E124&lt;Capa!$A$5,E124&gt;Capa!$A$7,D124&gt;E124),"Erro","")</f>
        <v/>
      </c>
    </row>
    <row r="125" spans="1:9" ht="22.5">
      <c r="A125" s="345">
        <v>122</v>
      </c>
      <c r="B125" s="346" t="s">
        <v>302</v>
      </c>
      <c r="C125" s="347">
        <v>210</v>
      </c>
      <c r="D125" s="348">
        <v>46388</v>
      </c>
      <c r="E125" s="348">
        <v>46722</v>
      </c>
      <c r="F125" s="346" t="s">
        <v>629</v>
      </c>
      <c r="G125" s="350" t="s">
        <v>455</v>
      </c>
      <c r="H125" s="351">
        <f t="shared" ref="H125:H220" si="2">IFERROR((DATEDIF(D125,E125,"M")+1)*C125,0)</f>
        <v>2520</v>
      </c>
      <c r="I125" s="120" t="str">
        <f>IF(OR(D125&lt;Capa!$A$5,D125&gt;Capa!$A$7,E125&lt;Capa!$A$5,E125&gt;Capa!$A$7,D125&gt;E125),"Erro","")</f>
        <v/>
      </c>
    </row>
    <row r="126" spans="1:9" ht="22.5">
      <c r="A126" s="345">
        <v>123</v>
      </c>
      <c r="B126" s="346" t="s">
        <v>302</v>
      </c>
      <c r="C126" s="347">
        <v>210</v>
      </c>
      <c r="D126" s="348">
        <v>46753</v>
      </c>
      <c r="E126" s="348">
        <v>47058</v>
      </c>
      <c r="F126" s="346" t="s">
        <v>629</v>
      </c>
      <c r="G126" s="350" t="s">
        <v>455</v>
      </c>
      <c r="H126" s="351">
        <f t="shared" si="2"/>
        <v>2310</v>
      </c>
      <c r="I126" s="120" t="str">
        <f>IF(OR(D126&lt;Capa!$A$5,D126&gt;Capa!$A$7,E126&lt;Capa!$A$5,E126&gt;Capa!$A$7,D126&gt;E126),"Erro","")</f>
        <v/>
      </c>
    </row>
    <row r="127" spans="1:9" ht="33.75">
      <c r="A127" s="345">
        <v>124</v>
      </c>
      <c r="B127" s="346" t="s">
        <v>304</v>
      </c>
      <c r="C127" s="347">
        <v>1800</v>
      </c>
      <c r="D127" s="348">
        <v>45261</v>
      </c>
      <c r="E127" s="348">
        <v>45627</v>
      </c>
      <c r="F127" s="346" t="s">
        <v>629</v>
      </c>
      <c r="G127" s="350" t="s">
        <v>456</v>
      </c>
      <c r="H127" s="351">
        <f t="shared" si="2"/>
        <v>23400</v>
      </c>
      <c r="I127" s="120" t="str">
        <f>IF(OR(D127&lt;Capa!$A$5,D127&gt;Capa!$A$7,E127&lt;Capa!$A$5,E127&gt;Capa!$A$7,D127&gt;E127),"Erro","")</f>
        <v/>
      </c>
    </row>
    <row r="128" spans="1:9" ht="33.75">
      <c r="A128" s="345">
        <v>125</v>
      </c>
      <c r="B128" s="346" t="s">
        <v>304</v>
      </c>
      <c r="C128" s="347">
        <v>1905.12</v>
      </c>
      <c r="D128" s="348">
        <v>45658</v>
      </c>
      <c r="E128" s="348">
        <v>45992</v>
      </c>
      <c r="F128" s="346" t="s">
        <v>629</v>
      </c>
      <c r="G128" s="350" t="s">
        <v>456</v>
      </c>
      <c r="H128" s="351">
        <f t="shared" si="2"/>
        <v>22861.439999999999</v>
      </c>
      <c r="I128" s="120" t="str">
        <f>IF(OR(D128&lt;Capa!$A$5,D128&gt;Capa!$A$7,E128&lt;Capa!$A$5,E128&gt;Capa!$A$7,D128&gt;E128),"Erro","")</f>
        <v/>
      </c>
    </row>
    <row r="129" spans="1:9" ht="33.75">
      <c r="A129" s="345">
        <v>126</v>
      </c>
      <c r="B129" s="346" t="s">
        <v>304</v>
      </c>
      <c r="C129" s="347">
        <v>2016.37</v>
      </c>
      <c r="D129" s="348">
        <v>46023</v>
      </c>
      <c r="E129" s="348">
        <v>46357</v>
      </c>
      <c r="F129" s="346" t="s">
        <v>629</v>
      </c>
      <c r="G129" s="350" t="s">
        <v>456</v>
      </c>
      <c r="H129" s="351">
        <f t="shared" si="2"/>
        <v>24196.44</v>
      </c>
      <c r="I129" s="120" t="str">
        <f>IF(OR(D129&lt;Capa!$A$5,D129&gt;Capa!$A$7,E129&lt;Capa!$A$5,E129&gt;Capa!$A$7,D129&gt;E129),"Erro","")</f>
        <v/>
      </c>
    </row>
    <row r="130" spans="1:9" ht="33.75">
      <c r="A130" s="345">
        <v>127</v>
      </c>
      <c r="B130" s="346" t="s">
        <v>304</v>
      </c>
      <c r="C130" s="347">
        <v>2134.13</v>
      </c>
      <c r="D130" s="348">
        <v>46388</v>
      </c>
      <c r="E130" s="348">
        <v>46722</v>
      </c>
      <c r="F130" s="346" t="s">
        <v>629</v>
      </c>
      <c r="G130" s="350" t="s">
        <v>456</v>
      </c>
      <c r="H130" s="351">
        <f t="shared" si="2"/>
        <v>25609.56</v>
      </c>
      <c r="I130" s="120" t="str">
        <f>IF(OR(D130&lt;Capa!$A$5,D130&gt;Capa!$A$7,E130&lt;Capa!$A$5,E130&gt;Capa!$A$7,D130&gt;E130),"Erro","")</f>
        <v/>
      </c>
    </row>
    <row r="131" spans="1:9" ht="33.75">
      <c r="A131" s="345">
        <v>128</v>
      </c>
      <c r="B131" s="346" t="s">
        <v>304</v>
      </c>
      <c r="C131" s="347">
        <v>2258.7600000000002</v>
      </c>
      <c r="D131" s="348">
        <v>46753</v>
      </c>
      <c r="E131" s="348">
        <v>47058</v>
      </c>
      <c r="F131" s="346" t="s">
        <v>629</v>
      </c>
      <c r="G131" s="350" t="s">
        <v>456</v>
      </c>
      <c r="H131" s="351">
        <f t="shared" si="2"/>
        <v>24846.36</v>
      </c>
      <c r="I131" s="120" t="str">
        <f>IF(OR(D131&lt;Capa!$A$5,D131&gt;Capa!$A$7,E131&lt;Capa!$A$5,E131&gt;Capa!$A$7,D131&gt;E131),"Erro","")</f>
        <v/>
      </c>
    </row>
    <row r="132" spans="1:9" ht="22.5">
      <c r="A132" s="345">
        <v>129</v>
      </c>
      <c r="B132" s="346" t="s">
        <v>308</v>
      </c>
      <c r="C132" s="347">
        <v>26</v>
      </c>
      <c r="D132" s="348">
        <v>45292</v>
      </c>
      <c r="E132" s="348">
        <v>45413</v>
      </c>
      <c r="F132" s="346" t="s">
        <v>629</v>
      </c>
      <c r="G132" s="350" t="s">
        <v>713</v>
      </c>
      <c r="H132" s="351">
        <f t="shared" si="2"/>
        <v>130</v>
      </c>
      <c r="I132" s="120" t="str">
        <f>IF(OR(D132&lt;Capa!$A$5,D132&gt;Capa!$A$7,E132&lt;Capa!$A$5,E132&gt;Capa!$A$7,D132&gt;E132),"Erro","")</f>
        <v/>
      </c>
    </row>
    <row r="133" spans="1:9" ht="22.5">
      <c r="A133" s="345">
        <v>130</v>
      </c>
      <c r="B133" s="346" t="s">
        <v>308</v>
      </c>
      <c r="C133" s="347">
        <v>26</v>
      </c>
      <c r="D133" s="348">
        <v>45658</v>
      </c>
      <c r="E133" s="348">
        <v>45778</v>
      </c>
      <c r="F133" s="346" t="s">
        <v>629</v>
      </c>
      <c r="G133" s="350" t="s">
        <v>713</v>
      </c>
      <c r="H133" s="351">
        <f t="shared" si="2"/>
        <v>130</v>
      </c>
      <c r="I133" s="120" t="str">
        <f>IF(OR(D133&lt;Capa!$A$5,D133&gt;Capa!$A$7,E133&lt;Capa!$A$5,E133&gt;Capa!$A$7,D133&gt;E133),"Erro","")</f>
        <v/>
      </c>
    </row>
    <row r="134" spans="1:9" ht="22.5">
      <c r="A134" s="345">
        <v>131</v>
      </c>
      <c r="B134" s="346" t="s">
        <v>308</v>
      </c>
      <c r="C134" s="347">
        <v>26</v>
      </c>
      <c r="D134" s="348">
        <v>46023</v>
      </c>
      <c r="E134" s="348">
        <v>46143</v>
      </c>
      <c r="F134" s="346" t="s">
        <v>629</v>
      </c>
      <c r="G134" s="350" t="s">
        <v>713</v>
      </c>
      <c r="H134" s="351">
        <f t="shared" si="2"/>
        <v>130</v>
      </c>
      <c r="I134" s="120" t="str">
        <f>IF(OR(D134&lt;Capa!$A$5,D134&gt;Capa!$A$7,E134&lt;Capa!$A$5,E134&gt;Capa!$A$7,D134&gt;E134),"Erro","")</f>
        <v/>
      </c>
    </row>
    <row r="135" spans="1:9" ht="22.5">
      <c r="A135" s="345">
        <v>132</v>
      </c>
      <c r="B135" s="346" t="s">
        <v>308</v>
      </c>
      <c r="C135" s="347">
        <v>26</v>
      </c>
      <c r="D135" s="348">
        <v>46388</v>
      </c>
      <c r="E135" s="348">
        <v>46508</v>
      </c>
      <c r="F135" s="346" t="s">
        <v>629</v>
      </c>
      <c r="G135" s="350" t="s">
        <v>713</v>
      </c>
      <c r="H135" s="351">
        <f t="shared" si="2"/>
        <v>130</v>
      </c>
      <c r="I135" s="120" t="str">
        <f>IF(OR(D135&lt;Capa!$A$5,D135&gt;Capa!$A$7,E135&lt;Capa!$A$5,E135&gt;Capa!$A$7,D135&gt;E135),"Erro","")</f>
        <v/>
      </c>
    </row>
    <row r="136" spans="1:9" ht="22.5">
      <c r="A136" s="345">
        <v>133</v>
      </c>
      <c r="B136" s="346" t="s">
        <v>308</v>
      </c>
      <c r="C136" s="347">
        <v>26</v>
      </c>
      <c r="D136" s="348">
        <v>46753</v>
      </c>
      <c r="E136" s="348">
        <v>46874</v>
      </c>
      <c r="F136" s="346" t="s">
        <v>629</v>
      </c>
      <c r="G136" s="350" t="s">
        <v>713</v>
      </c>
      <c r="H136" s="351">
        <f t="shared" si="2"/>
        <v>130</v>
      </c>
      <c r="I136" s="120" t="str">
        <f>IF(OR(D136&lt;Capa!$A$5,D136&gt;Capa!$A$7,E136&lt;Capa!$A$5,E136&gt;Capa!$A$7,D136&gt;E136),"Erro","")</f>
        <v/>
      </c>
    </row>
    <row r="137" spans="1:9" ht="33.75">
      <c r="A137" s="345">
        <v>134</v>
      </c>
      <c r="B137" s="346" t="s">
        <v>312</v>
      </c>
      <c r="C137" s="347">
        <v>280</v>
      </c>
      <c r="D137" s="348">
        <v>45658</v>
      </c>
      <c r="E137" s="348">
        <v>45992</v>
      </c>
      <c r="F137" s="346" t="s">
        <v>629</v>
      </c>
      <c r="G137" s="350" t="s">
        <v>593</v>
      </c>
      <c r="H137" s="351">
        <f t="shared" si="2"/>
        <v>3360</v>
      </c>
      <c r="I137" s="120" t="str">
        <f>IF(OR(D137&lt;Capa!$A$5,D137&gt;Capa!$A$7,E137&lt;Capa!$A$5,E137&gt;Capa!$A$7,D137&gt;E137),"Erro","")</f>
        <v/>
      </c>
    </row>
    <row r="138" spans="1:9" ht="33.75">
      <c r="A138" s="345">
        <v>135</v>
      </c>
      <c r="B138" s="346" t="s">
        <v>312</v>
      </c>
      <c r="C138" s="347">
        <v>280</v>
      </c>
      <c r="D138" s="348">
        <v>46023</v>
      </c>
      <c r="E138" s="348">
        <v>46357</v>
      </c>
      <c r="F138" s="346" t="s">
        <v>629</v>
      </c>
      <c r="G138" s="350" t="s">
        <v>593</v>
      </c>
      <c r="H138" s="351">
        <f t="shared" si="2"/>
        <v>3360</v>
      </c>
      <c r="I138" s="120" t="str">
        <f>IF(OR(D138&lt;Capa!$A$5,D138&gt;Capa!$A$7,E138&lt;Capa!$A$5,E138&gt;Capa!$A$7,D138&gt;E138),"Erro","")</f>
        <v/>
      </c>
    </row>
    <row r="139" spans="1:9" ht="33.75">
      <c r="A139" s="345">
        <v>136</v>
      </c>
      <c r="B139" s="346" t="s">
        <v>312</v>
      </c>
      <c r="C139" s="347">
        <v>280</v>
      </c>
      <c r="D139" s="348">
        <v>46388</v>
      </c>
      <c r="E139" s="348">
        <v>46722</v>
      </c>
      <c r="F139" s="346" t="s">
        <v>629</v>
      </c>
      <c r="G139" s="350" t="s">
        <v>593</v>
      </c>
      <c r="H139" s="351">
        <f t="shared" si="2"/>
        <v>3360</v>
      </c>
      <c r="I139" s="120" t="str">
        <f>IF(OR(D139&lt;Capa!$A$5,D139&gt;Capa!$A$7,E139&lt;Capa!$A$5,E139&gt;Capa!$A$7,D139&gt;E139),"Erro","")</f>
        <v/>
      </c>
    </row>
    <row r="140" spans="1:9" ht="33.75">
      <c r="A140" s="345">
        <v>137</v>
      </c>
      <c r="B140" s="346" t="s">
        <v>312</v>
      </c>
      <c r="C140" s="347">
        <v>280</v>
      </c>
      <c r="D140" s="348">
        <v>46753</v>
      </c>
      <c r="E140" s="348">
        <v>47058</v>
      </c>
      <c r="F140" s="346" t="s">
        <v>629</v>
      </c>
      <c r="G140" s="350" t="s">
        <v>593</v>
      </c>
      <c r="H140" s="351">
        <f t="shared" si="2"/>
        <v>3080</v>
      </c>
      <c r="I140" s="120" t="str">
        <f>IF(OR(D140&lt;Capa!$A$5,D140&gt;Capa!$A$7,E140&lt;Capa!$A$5,E140&gt;Capa!$A$7,D140&gt;E140),"Erro","")</f>
        <v/>
      </c>
    </row>
    <row r="141" spans="1:9" ht="67.5">
      <c r="A141" s="345">
        <v>138</v>
      </c>
      <c r="B141" s="346" t="s">
        <v>316</v>
      </c>
      <c r="C141" s="347">
        <v>2500</v>
      </c>
      <c r="D141" s="348">
        <v>45261</v>
      </c>
      <c r="E141" s="348">
        <v>45627</v>
      </c>
      <c r="F141" s="346" t="s">
        <v>629</v>
      </c>
      <c r="G141" s="350" t="s">
        <v>592</v>
      </c>
      <c r="H141" s="351">
        <f t="shared" si="2"/>
        <v>32500</v>
      </c>
      <c r="I141" s="120" t="str">
        <f>IF(OR(D141&lt;Capa!$A$5,D141&gt;Capa!$A$7,E141&lt;Capa!$A$5,E141&gt;Capa!$A$7,D141&gt;E141),"Erro","")</f>
        <v/>
      </c>
    </row>
    <row r="142" spans="1:9" ht="67.5">
      <c r="A142" s="345">
        <v>139</v>
      </c>
      <c r="B142" s="346" t="s">
        <v>316</v>
      </c>
      <c r="C142" s="347">
        <v>2500</v>
      </c>
      <c r="D142" s="348">
        <v>45658</v>
      </c>
      <c r="E142" s="348">
        <v>45992</v>
      </c>
      <c r="F142" s="346" t="s">
        <v>629</v>
      </c>
      <c r="G142" s="350" t="s">
        <v>592</v>
      </c>
      <c r="H142" s="351">
        <f t="shared" si="2"/>
        <v>30000</v>
      </c>
      <c r="I142" s="120" t="str">
        <f>IF(OR(D142&lt;Capa!$A$5,D142&gt;Capa!$A$7,E142&lt;Capa!$A$5,E142&gt;Capa!$A$7,D142&gt;E142),"Erro","")</f>
        <v/>
      </c>
    </row>
    <row r="143" spans="1:9" ht="67.5">
      <c r="A143" s="345">
        <v>140</v>
      </c>
      <c r="B143" s="346" t="s">
        <v>316</v>
      </c>
      <c r="C143" s="347">
        <v>2500</v>
      </c>
      <c r="D143" s="348">
        <v>46023</v>
      </c>
      <c r="E143" s="348">
        <v>46357</v>
      </c>
      <c r="F143" s="346" t="s">
        <v>629</v>
      </c>
      <c r="G143" s="350" t="s">
        <v>592</v>
      </c>
      <c r="H143" s="351">
        <f t="shared" si="2"/>
        <v>30000</v>
      </c>
      <c r="I143" s="120" t="str">
        <f>IF(OR(D143&lt;Capa!$A$5,D143&gt;Capa!$A$7,E143&lt;Capa!$A$5,E143&gt;Capa!$A$7,D143&gt;E143),"Erro","")</f>
        <v/>
      </c>
    </row>
    <row r="144" spans="1:9" ht="67.5">
      <c r="A144" s="345">
        <v>141</v>
      </c>
      <c r="B144" s="346" t="s">
        <v>316</v>
      </c>
      <c r="C144" s="347">
        <v>2500</v>
      </c>
      <c r="D144" s="348">
        <v>46388</v>
      </c>
      <c r="E144" s="348">
        <v>46722</v>
      </c>
      <c r="F144" s="346" t="s">
        <v>629</v>
      </c>
      <c r="G144" s="350" t="s">
        <v>592</v>
      </c>
      <c r="H144" s="351">
        <f t="shared" si="2"/>
        <v>30000</v>
      </c>
      <c r="I144" s="120" t="str">
        <f>IF(OR(D144&lt;Capa!$A$5,D144&gt;Capa!$A$7,E144&lt;Capa!$A$5,E144&gt;Capa!$A$7,D144&gt;E144),"Erro","")</f>
        <v/>
      </c>
    </row>
    <row r="145" spans="1:9" ht="67.5">
      <c r="A145" s="345">
        <v>142</v>
      </c>
      <c r="B145" s="346" t="s">
        <v>316</v>
      </c>
      <c r="C145" s="347">
        <v>2500</v>
      </c>
      <c r="D145" s="348">
        <v>46753</v>
      </c>
      <c r="E145" s="348">
        <v>47058</v>
      </c>
      <c r="F145" s="346" t="s">
        <v>629</v>
      </c>
      <c r="G145" s="350" t="s">
        <v>592</v>
      </c>
      <c r="H145" s="351">
        <f t="shared" si="2"/>
        <v>27500</v>
      </c>
      <c r="I145" s="120" t="str">
        <f>IF(OR(D145&lt;Capa!$A$5,D145&gt;Capa!$A$7,E145&lt;Capa!$A$5,E145&gt;Capa!$A$7,D145&gt;E145),"Erro","")</f>
        <v/>
      </c>
    </row>
    <row r="146" spans="1:9" ht="67.5">
      <c r="A146" s="345">
        <v>143</v>
      </c>
      <c r="B146" s="346" t="s">
        <v>318</v>
      </c>
      <c r="C146" s="347">
        <v>1800</v>
      </c>
      <c r="D146" s="348">
        <v>45261</v>
      </c>
      <c r="E146" s="348">
        <v>45627</v>
      </c>
      <c r="F146" s="346" t="s">
        <v>629</v>
      </c>
      <c r="G146" s="350" t="s">
        <v>726</v>
      </c>
      <c r="H146" s="351">
        <f t="shared" si="2"/>
        <v>23400</v>
      </c>
      <c r="I146" s="120" t="str">
        <f>IF(OR(D146&lt;Capa!$A$5,D146&gt;Capa!$A$7,E146&lt;Capa!$A$5,E146&gt;Capa!$A$7,D146&gt;E146),"Erro","")</f>
        <v/>
      </c>
    </row>
    <row r="147" spans="1:9" ht="67.5">
      <c r="A147" s="345">
        <v>144</v>
      </c>
      <c r="B147" s="346" t="s">
        <v>318</v>
      </c>
      <c r="C147" s="347">
        <v>2500</v>
      </c>
      <c r="D147" s="348">
        <v>45658</v>
      </c>
      <c r="E147" s="348">
        <v>45992</v>
      </c>
      <c r="F147" s="346" t="s">
        <v>629</v>
      </c>
      <c r="G147" s="350" t="s">
        <v>726</v>
      </c>
      <c r="H147" s="351">
        <f t="shared" si="2"/>
        <v>30000</v>
      </c>
      <c r="I147" s="120" t="str">
        <f>IF(OR(D147&lt;Capa!$A$5,D147&gt;Capa!$A$7,E147&lt;Capa!$A$5,E147&gt;Capa!$A$7,D147&gt;E147),"Erro","")</f>
        <v/>
      </c>
    </row>
    <row r="148" spans="1:9" ht="67.5">
      <c r="A148" s="345">
        <v>145</v>
      </c>
      <c r="B148" s="346" t="s">
        <v>318</v>
      </c>
      <c r="C148" s="347">
        <v>2500</v>
      </c>
      <c r="D148" s="348">
        <v>46023</v>
      </c>
      <c r="E148" s="348">
        <v>46357</v>
      </c>
      <c r="F148" s="346" t="s">
        <v>629</v>
      </c>
      <c r="G148" s="350" t="s">
        <v>726</v>
      </c>
      <c r="H148" s="351">
        <f t="shared" si="2"/>
        <v>30000</v>
      </c>
      <c r="I148" s="120" t="str">
        <f>IF(OR(D148&lt;Capa!$A$5,D148&gt;Capa!$A$7,E148&lt;Capa!$A$5,E148&gt;Capa!$A$7,D148&gt;E148),"Erro","")</f>
        <v/>
      </c>
    </row>
    <row r="149" spans="1:9" ht="67.5">
      <c r="A149" s="345">
        <v>146</v>
      </c>
      <c r="B149" s="346" t="s">
        <v>318</v>
      </c>
      <c r="C149" s="347">
        <v>2500</v>
      </c>
      <c r="D149" s="348">
        <v>46388</v>
      </c>
      <c r="E149" s="348">
        <v>46722</v>
      </c>
      <c r="F149" s="346" t="s">
        <v>629</v>
      </c>
      <c r="G149" s="350" t="s">
        <v>726</v>
      </c>
      <c r="H149" s="351">
        <f t="shared" si="2"/>
        <v>30000</v>
      </c>
      <c r="I149" s="120" t="str">
        <f>IF(OR(D149&lt;Capa!$A$5,D149&gt;Capa!$A$7,E149&lt;Capa!$A$5,E149&gt;Capa!$A$7,D149&gt;E149),"Erro","")</f>
        <v/>
      </c>
    </row>
    <row r="150" spans="1:9" ht="67.5">
      <c r="A150" s="345">
        <v>147</v>
      </c>
      <c r="B150" s="346" t="s">
        <v>318</v>
      </c>
      <c r="C150" s="347">
        <v>2500</v>
      </c>
      <c r="D150" s="348">
        <v>46753</v>
      </c>
      <c r="E150" s="348">
        <v>47058</v>
      </c>
      <c r="F150" s="346" t="s">
        <v>629</v>
      </c>
      <c r="G150" s="350" t="s">
        <v>726</v>
      </c>
      <c r="H150" s="351">
        <f t="shared" si="2"/>
        <v>27500</v>
      </c>
      <c r="I150" s="120" t="str">
        <f>IF(OR(D150&lt;Capa!$A$5,D150&gt;Capa!$A$7,E150&lt;Capa!$A$5,E150&gt;Capa!$A$7,D150&gt;E150),"Erro","")</f>
        <v/>
      </c>
    </row>
    <row r="151" spans="1:9" ht="56.25">
      <c r="A151" s="345">
        <v>148</v>
      </c>
      <c r="B151" s="346" t="s">
        <v>318</v>
      </c>
      <c r="C151" s="347">
        <v>1800</v>
      </c>
      <c r="D151" s="348">
        <v>45261</v>
      </c>
      <c r="E151" s="348">
        <v>45627</v>
      </c>
      <c r="F151" s="346" t="s">
        <v>629</v>
      </c>
      <c r="G151" s="350" t="s">
        <v>594</v>
      </c>
      <c r="H151" s="351">
        <f t="shared" si="2"/>
        <v>23400</v>
      </c>
      <c r="I151" s="120" t="str">
        <f>IF(OR(D151&lt;Capa!$A$5,D151&gt;Capa!$A$7,E151&lt;Capa!$A$5,E151&gt;Capa!$A$7,D151&gt;E151),"Erro","")</f>
        <v/>
      </c>
    </row>
    <row r="152" spans="1:9" ht="56.25">
      <c r="A152" s="345">
        <v>149</v>
      </c>
      <c r="B152" s="346" t="s">
        <v>318</v>
      </c>
      <c r="C152" s="347">
        <v>1500</v>
      </c>
      <c r="D152" s="348">
        <v>45658</v>
      </c>
      <c r="E152" s="348">
        <v>45992</v>
      </c>
      <c r="F152" s="346" t="s">
        <v>629</v>
      </c>
      <c r="G152" s="350" t="s">
        <v>594</v>
      </c>
      <c r="H152" s="351">
        <f t="shared" si="2"/>
        <v>18000</v>
      </c>
      <c r="I152" s="120" t="str">
        <f>IF(OR(D152&lt;Capa!$A$5,D152&gt;Capa!$A$7,E152&lt;Capa!$A$5,E152&gt;Capa!$A$7,D152&gt;E152),"Erro","")</f>
        <v/>
      </c>
    </row>
    <row r="153" spans="1:9" ht="56.25">
      <c r="A153" s="345">
        <v>150</v>
      </c>
      <c r="B153" s="346" t="s">
        <v>318</v>
      </c>
      <c r="C153" s="347">
        <v>1500</v>
      </c>
      <c r="D153" s="348">
        <v>46023</v>
      </c>
      <c r="E153" s="348">
        <v>46357</v>
      </c>
      <c r="F153" s="346" t="s">
        <v>629</v>
      </c>
      <c r="G153" s="350" t="s">
        <v>594</v>
      </c>
      <c r="H153" s="351">
        <f t="shared" si="2"/>
        <v>18000</v>
      </c>
      <c r="I153" s="120" t="str">
        <f>IF(OR(D153&lt;Capa!$A$5,D153&gt;Capa!$A$7,E153&lt;Capa!$A$5,E153&gt;Capa!$A$7,D153&gt;E153),"Erro","")</f>
        <v/>
      </c>
    </row>
    <row r="154" spans="1:9" ht="56.25">
      <c r="A154" s="345">
        <v>151</v>
      </c>
      <c r="B154" s="346" t="s">
        <v>318</v>
      </c>
      <c r="C154" s="347">
        <v>1500</v>
      </c>
      <c r="D154" s="348">
        <v>46388</v>
      </c>
      <c r="E154" s="348">
        <v>46722</v>
      </c>
      <c r="F154" s="346" t="s">
        <v>629</v>
      </c>
      <c r="G154" s="350" t="s">
        <v>594</v>
      </c>
      <c r="H154" s="351">
        <f t="shared" si="2"/>
        <v>18000</v>
      </c>
      <c r="I154" s="120" t="str">
        <f>IF(OR(D154&lt;Capa!$A$5,D154&gt;Capa!$A$7,E154&lt;Capa!$A$5,E154&gt;Capa!$A$7,D154&gt;E154),"Erro","")</f>
        <v/>
      </c>
    </row>
    <row r="155" spans="1:9" ht="56.25">
      <c r="A155" s="345">
        <v>152</v>
      </c>
      <c r="B155" s="346" t="s">
        <v>318</v>
      </c>
      <c r="C155" s="347">
        <v>1500</v>
      </c>
      <c r="D155" s="348">
        <v>46753</v>
      </c>
      <c r="E155" s="348">
        <v>47058</v>
      </c>
      <c r="F155" s="346" t="s">
        <v>629</v>
      </c>
      <c r="G155" s="350" t="s">
        <v>594</v>
      </c>
      <c r="H155" s="351">
        <f t="shared" si="2"/>
        <v>16500</v>
      </c>
      <c r="I155" s="120" t="str">
        <f>IF(OR(D155&lt;Capa!$A$5,D155&gt;Capa!$A$7,E155&lt;Capa!$A$5,E155&gt;Capa!$A$7,D155&gt;E155),"Erro","")</f>
        <v/>
      </c>
    </row>
    <row r="156" spans="1:9" ht="22.5">
      <c r="A156" s="345">
        <v>153</v>
      </c>
      <c r="B156" s="346" t="s">
        <v>298</v>
      </c>
      <c r="C156" s="347">
        <v>2500</v>
      </c>
      <c r="D156" s="348">
        <v>45261</v>
      </c>
      <c r="E156" s="348">
        <v>45627</v>
      </c>
      <c r="F156" s="346" t="s">
        <v>629</v>
      </c>
      <c r="G156" s="350" t="s">
        <v>458</v>
      </c>
      <c r="H156" s="351">
        <f t="shared" si="2"/>
        <v>32500</v>
      </c>
      <c r="I156" s="120" t="str">
        <f>IF(OR(D156&lt;Capa!$A$5,D156&gt;Capa!$A$7,E156&lt;Capa!$A$5,E156&gt;Capa!$A$7,D156&gt;E156),"Erro","")</f>
        <v/>
      </c>
    </row>
    <row r="157" spans="1:9" ht="22.5">
      <c r="A157" s="345">
        <v>154</v>
      </c>
      <c r="B157" s="346" t="s">
        <v>298</v>
      </c>
      <c r="C157" s="347">
        <v>2646</v>
      </c>
      <c r="D157" s="348">
        <v>45658</v>
      </c>
      <c r="E157" s="348">
        <v>45992</v>
      </c>
      <c r="F157" s="346" t="s">
        <v>629</v>
      </c>
      <c r="G157" s="350" t="s">
        <v>458</v>
      </c>
      <c r="H157" s="351">
        <f t="shared" si="2"/>
        <v>31752</v>
      </c>
      <c r="I157" s="120" t="str">
        <f>IF(OR(D157&lt;Capa!$A$5,D157&gt;Capa!$A$7,E157&lt;Capa!$A$5,E157&gt;Capa!$A$7,D157&gt;E157),"Erro","")</f>
        <v/>
      </c>
    </row>
    <row r="158" spans="1:9" ht="22.5">
      <c r="A158" s="345">
        <v>155</v>
      </c>
      <c r="B158" s="346" t="s">
        <v>298</v>
      </c>
      <c r="C158" s="347">
        <v>2800.52</v>
      </c>
      <c r="D158" s="348">
        <v>46023</v>
      </c>
      <c r="E158" s="348">
        <v>46357</v>
      </c>
      <c r="F158" s="346" t="s">
        <v>629</v>
      </c>
      <c r="G158" s="350" t="s">
        <v>458</v>
      </c>
      <c r="H158" s="351">
        <f t="shared" si="2"/>
        <v>33606.239999999998</v>
      </c>
      <c r="I158" s="120" t="str">
        <f>IF(OR(D158&lt;Capa!$A$5,D158&gt;Capa!$A$7,E158&lt;Capa!$A$5,E158&gt;Capa!$A$7,D158&gt;E158),"Erro","")</f>
        <v/>
      </c>
    </row>
    <row r="159" spans="1:9" ht="22.5">
      <c r="A159" s="345">
        <v>156</v>
      </c>
      <c r="B159" s="346" t="s">
        <v>298</v>
      </c>
      <c r="C159" s="347">
        <v>2964.07</v>
      </c>
      <c r="D159" s="348">
        <v>46388</v>
      </c>
      <c r="E159" s="348">
        <v>46722</v>
      </c>
      <c r="F159" s="346" t="s">
        <v>629</v>
      </c>
      <c r="G159" s="350" t="s">
        <v>458</v>
      </c>
      <c r="H159" s="351">
        <f t="shared" si="2"/>
        <v>35568.840000000004</v>
      </c>
      <c r="I159" s="120" t="str">
        <f>IF(OR(D159&lt;Capa!$A$5,D159&gt;Capa!$A$7,E159&lt;Capa!$A$5,E159&gt;Capa!$A$7,D159&gt;E159),"Erro","")</f>
        <v/>
      </c>
    </row>
    <row r="160" spans="1:9" ht="22.5">
      <c r="A160" s="345">
        <v>157</v>
      </c>
      <c r="B160" s="346" t="s">
        <v>298</v>
      </c>
      <c r="C160" s="347">
        <v>3137.17</v>
      </c>
      <c r="D160" s="348">
        <v>46753</v>
      </c>
      <c r="E160" s="348">
        <v>47058</v>
      </c>
      <c r="F160" s="346" t="s">
        <v>629</v>
      </c>
      <c r="G160" s="350" t="s">
        <v>458</v>
      </c>
      <c r="H160" s="351">
        <f t="shared" si="2"/>
        <v>34508.870000000003</v>
      </c>
      <c r="I160" s="120" t="str">
        <f>IF(OR(D160&lt;Capa!$A$5,D160&gt;Capa!$A$7,E160&lt;Capa!$A$5,E160&gt;Capa!$A$7,D160&gt;E160),"Erro","")</f>
        <v/>
      </c>
    </row>
    <row r="161" spans="1:9" ht="33.75">
      <c r="A161" s="345">
        <v>158</v>
      </c>
      <c r="B161" s="346" t="s">
        <v>238</v>
      </c>
      <c r="C161" s="347">
        <v>370.44</v>
      </c>
      <c r="D161" s="348">
        <v>45658</v>
      </c>
      <c r="E161" s="348">
        <v>45992</v>
      </c>
      <c r="F161" s="346" t="s">
        <v>629</v>
      </c>
      <c r="G161" s="350" t="s">
        <v>459</v>
      </c>
      <c r="H161" s="351">
        <f t="shared" si="2"/>
        <v>4445.28</v>
      </c>
      <c r="I161" s="120" t="str">
        <f>IF(OR(D161&lt;Capa!$A$5,D161&gt;Capa!$A$7,E161&lt;Capa!$A$5,E161&gt;Capa!$A$7,D161&gt;E161),"Erro","")</f>
        <v/>
      </c>
    </row>
    <row r="162" spans="1:9" ht="33.75">
      <c r="A162" s="345">
        <v>159</v>
      </c>
      <c r="B162" s="346" t="s">
        <v>238</v>
      </c>
      <c r="C162" s="347">
        <v>392.07</v>
      </c>
      <c r="D162" s="348">
        <v>46023</v>
      </c>
      <c r="E162" s="348">
        <v>46357</v>
      </c>
      <c r="F162" s="346" t="s">
        <v>629</v>
      </c>
      <c r="G162" s="350" t="s">
        <v>459</v>
      </c>
      <c r="H162" s="351">
        <f t="shared" si="2"/>
        <v>4704.84</v>
      </c>
      <c r="I162" s="120" t="str">
        <f>IF(OR(D162&lt;Capa!$A$5,D162&gt;Capa!$A$7,E162&lt;Capa!$A$5,E162&gt;Capa!$A$7,D162&gt;E162),"Erro","")</f>
        <v/>
      </c>
    </row>
    <row r="163" spans="1:9" ht="33.75">
      <c r="A163" s="345">
        <v>160</v>
      </c>
      <c r="B163" s="346" t="s">
        <v>238</v>
      </c>
      <c r="C163" s="347">
        <v>414.97</v>
      </c>
      <c r="D163" s="348">
        <v>46388</v>
      </c>
      <c r="E163" s="348">
        <v>46722</v>
      </c>
      <c r="F163" s="346" t="s">
        <v>629</v>
      </c>
      <c r="G163" s="350" t="s">
        <v>459</v>
      </c>
      <c r="H163" s="351">
        <f t="shared" si="2"/>
        <v>4979.6400000000003</v>
      </c>
      <c r="I163" s="120" t="str">
        <f>IF(OR(D163&lt;Capa!$A$5,D163&gt;Capa!$A$7,E163&lt;Capa!$A$5,E163&gt;Capa!$A$7,D163&gt;E163),"Erro","")</f>
        <v/>
      </c>
    </row>
    <row r="164" spans="1:9" ht="33.75">
      <c r="A164" s="345">
        <v>161</v>
      </c>
      <c r="B164" s="346" t="s">
        <v>238</v>
      </c>
      <c r="C164" s="347">
        <v>439.21</v>
      </c>
      <c r="D164" s="348">
        <v>46753</v>
      </c>
      <c r="E164" s="348">
        <v>47058</v>
      </c>
      <c r="F164" s="346" t="s">
        <v>629</v>
      </c>
      <c r="G164" s="350" t="s">
        <v>459</v>
      </c>
      <c r="H164" s="351">
        <f t="shared" si="2"/>
        <v>4831.3099999999995</v>
      </c>
      <c r="I164" s="120" t="str">
        <f>IF(OR(D164&lt;Capa!$A$5,D164&gt;Capa!$A$7,E164&lt;Capa!$A$5,E164&gt;Capa!$A$7,D164&gt;E164),"Erro","")</f>
        <v/>
      </c>
    </row>
    <row r="165" spans="1:9" ht="56.25">
      <c r="A165" s="345">
        <v>162</v>
      </c>
      <c r="B165" s="346" t="s">
        <v>252</v>
      </c>
      <c r="C165" s="347">
        <v>7000</v>
      </c>
      <c r="D165" s="348">
        <v>45261</v>
      </c>
      <c r="E165" s="348">
        <v>45627</v>
      </c>
      <c r="F165" s="346" t="s">
        <v>629</v>
      </c>
      <c r="G165" s="350" t="s">
        <v>460</v>
      </c>
      <c r="H165" s="351">
        <f t="shared" si="2"/>
        <v>91000</v>
      </c>
      <c r="I165" s="120" t="str">
        <f>IF(OR(D165&lt;Capa!$A$5,D165&gt;Capa!$A$7,E165&lt;Capa!$A$5,E165&gt;Capa!$A$7,D165&gt;E165),"Erro","")</f>
        <v/>
      </c>
    </row>
    <row r="166" spans="1:9" ht="56.25">
      <c r="A166" s="345">
        <v>163</v>
      </c>
      <c r="B166" s="346" t="s">
        <v>252</v>
      </c>
      <c r="C166" s="347">
        <v>8000</v>
      </c>
      <c r="D166" s="348">
        <v>45658</v>
      </c>
      <c r="E166" s="348">
        <v>45992</v>
      </c>
      <c r="F166" s="346" t="s">
        <v>629</v>
      </c>
      <c r="G166" s="350" t="s">
        <v>460</v>
      </c>
      <c r="H166" s="351">
        <f t="shared" si="2"/>
        <v>96000</v>
      </c>
      <c r="I166" s="120" t="str">
        <f>IF(OR(D166&lt;Capa!$A$5,D166&gt;Capa!$A$7,E166&lt;Capa!$A$5,E166&gt;Capa!$A$7,D166&gt;E166),"Erro","")</f>
        <v/>
      </c>
    </row>
    <row r="167" spans="1:9" ht="56.25">
      <c r="A167" s="345">
        <v>164</v>
      </c>
      <c r="B167" s="346" t="s">
        <v>252</v>
      </c>
      <c r="C167" s="347">
        <v>7847.65</v>
      </c>
      <c r="D167" s="348">
        <v>46023</v>
      </c>
      <c r="E167" s="348">
        <v>46357</v>
      </c>
      <c r="F167" s="346" t="s">
        <v>629</v>
      </c>
      <c r="G167" s="350" t="s">
        <v>460</v>
      </c>
      <c r="H167" s="351">
        <f t="shared" si="2"/>
        <v>94171.799999999988</v>
      </c>
      <c r="I167" s="120" t="str">
        <f>IF(OR(D167&lt;Capa!$A$5,D167&gt;Capa!$A$7,E167&lt;Capa!$A$5,E167&gt;Capa!$A$7,D167&gt;E167),"Erro","")</f>
        <v/>
      </c>
    </row>
    <row r="168" spans="1:9" ht="56.25">
      <c r="A168" s="345">
        <v>165</v>
      </c>
      <c r="B168" s="346" t="s">
        <v>252</v>
      </c>
      <c r="C168" s="347">
        <v>8305.9500000000007</v>
      </c>
      <c r="D168" s="348">
        <v>46388</v>
      </c>
      <c r="E168" s="348">
        <v>46722</v>
      </c>
      <c r="F168" s="346" t="s">
        <v>629</v>
      </c>
      <c r="G168" s="350" t="s">
        <v>460</v>
      </c>
      <c r="H168" s="351">
        <f t="shared" si="2"/>
        <v>99671.400000000009</v>
      </c>
      <c r="I168" s="120" t="str">
        <f>IF(OR(D168&lt;Capa!$A$5,D168&gt;Capa!$A$7,E168&lt;Capa!$A$5,E168&gt;Capa!$A$7,D168&gt;E168),"Erro","")</f>
        <v/>
      </c>
    </row>
    <row r="169" spans="1:9" ht="56.25">
      <c r="A169" s="345">
        <v>166</v>
      </c>
      <c r="B169" s="346" t="s">
        <v>252</v>
      </c>
      <c r="C169" s="347">
        <v>8791.02</v>
      </c>
      <c r="D169" s="348">
        <v>46753</v>
      </c>
      <c r="E169" s="348">
        <v>47058</v>
      </c>
      <c r="F169" s="346" t="s">
        <v>629</v>
      </c>
      <c r="G169" s="350" t="s">
        <v>460</v>
      </c>
      <c r="H169" s="351">
        <f t="shared" si="2"/>
        <v>96701.22</v>
      </c>
      <c r="I169" s="120" t="str">
        <f>IF(OR(D169&lt;Capa!$A$5,D169&gt;Capa!$A$7,E169&lt;Capa!$A$5,E169&gt;Capa!$A$7,D169&gt;E169),"Erro","")</f>
        <v/>
      </c>
    </row>
    <row r="170" spans="1:9" ht="33.75">
      <c r="A170" s="345">
        <v>167</v>
      </c>
      <c r="B170" s="346" t="s">
        <v>651</v>
      </c>
      <c r="C170" s="347">
        <v>180</v>
      </c>
      <c r="D170" s="348">
        <v>45261</v>
      </c>
      <c r="E170" s="348">
        <v>47058</v>
      </c>
      <c r="F170" s="346" t="s">
        <v>629</v>
      </c>
      <c r="G170" s="350" t="s">
        <v>710</v>
      </c>
      <c r="H170" s="351">
        <f t="shared" si="2"/>
        <v>10800</v>
      </c>
      <c r="I170" s="120" t="str">
        <f>IF(OR(D170&lt;Capa!$A$5,D170&gt;Capa!$A$7,E170&lt;Capa!$A$5,E170&gt;Capa!$A$7,D170&gt;E170),"Erro","")</f>
        <v/>
      </c>
    </row>
    <row r="171" spans="1:9" ht="22.5">
      <c r="A171" s="345">
        <v>168</v>
      </c>
      <c r="B171" s="346" t="s">
        <v>653</v>
      </c>
      <c r="C171" s="347">
        <v>1930</v>
      </c>
      <c r="D171" s="348">
        <v>45292</v>
      </c>
      <c r="E171" s="348">
        <v>45627</v>
      </c>
      <c r="F171" s="346" t="s">
        <v>629</v>
      </c>
      <c r="G171" s="350" t="s">
        <v>712</v>
      </c>
      <c r="H171" s="351">
        <f t="shared" si="2"/>
        <v>23160</v>
      </c>
    </row>
    <row r="172" spans="1:9" ht="22.5">
      <c r="A172" s="345">
        <v>169</v>
      </c>
      <c r="B172" s="346" t="s">
        <v>653</v>
      </c>
      <c r="C172" s="347">
        <v>1930</v>
      </c>
      <c r="D172" s="348">
        <v>45658</v>
      </c>
      <c r="E172" s="348">
        <v>47058</v>
      </c>
      <c r="F172" s="346" t="s">
        <v>629</v>
      </c>
      <c r="G172" s="350" t="s">
        <v>712</v>
      </c>
      <c r="H172" s="351">
        <f t="shared" si="2"/>
        <v>90710</v>
      </c>
      <c r="I172" s="120" t="str">
        <f>IF(OR(D172&lt;Capa!$A$5,D172&gt;Capa!$A$7,E172&lt;Capa!$A$5,E172&gt;Capa!$A$7,D172&gt;E172),"Erro","")</f>
        <v/>
      </c>
    </row>
    <row r="173" spans="1:9" ht="45">
      <c r="A173" s="345">
        <v>170</v>
      </c>
      <c r="B173" s="346" t="s">
        <v>652</v>
      </c>
      <c r="C173" s="347">
        <v>10000</v>
      </c>
      <c r="D173" s="348">
        <v>45748</v>
      </c>
      <c r="E173" s="348">
        <v>45748</v>
      </c>
      <c r="F173" s="346" t="s">
        <v>629</v>
      </c>
      <c r="G173" s="350" t="s">
        <v>624</v>
      </c>
      <c r="H173" s="351">
        <f t="shared" si="2"/>
        <v>10000</v>
      </c>
      <c r="I173" s="120" t="str">
        <f>IF(OR(D173&lt;Capa!$A$5,D173&gt;Capa!$A$7,E173&lt;Capa!$A$5,E173&gt;Capa!$A$7,D173&gt;E173),"Erro","")</f>
        <v/>
      </c>
    </row>
    <row r="174" spans="1:9" ht="56.25">
      <c r="A174" s="345">
        <v>171</v>
      </c>
      <c r="B174" s="346" t="s">
        <v>652</v>
      </c>
      <c r="C174" s="347">
        <v>15000</v>
      </c>
      <c r="D174" s="348">
        <v>46419</v>
      </c>
      <c r="E174" s="348">
        <v>46419</v>
      </c>
      <c r="F174" s="346" t="s">
        <v>629</v>
      </c>
      <c r="G174" s="350" t="s">
        <v>717</v>
      </c>
      <c r="H174" s="351">
        <f t="shared" si="2"/>
        <v>15000</v>
      </c>
      <c r="I174" s="120" t="str">
        <f>IF(OR(D174&lt;Capa!$A$5,D174&gt;Capa!$A$7,E174&lt;Capa!$A$5,E174&gt;Capa!$A$7,D174&gt;E174),"Erro","")</f>
        <v/>
      </c>
    </row>
    <row r="175" spans="1:9" ht="33.75">
      <c r="A175" s="345">
        <v>172</v>
      </c>
      <c r="B175" s="346" t="s">
        <v>650</v>
      </c>
      <c r="C175" s="347">
        <v>70</v>
      </c>
      <c r="D175" s="348">
        <v>45261</v>
      </c>
      <c r="E175" s="348">
        <v>47058</v>
      </c>
      <c r="F175" s="346" t="s">
        <v>629</v>
      </c>
      <c r="G175" s="350" t="s">
        <v>711</v>
      </c>
      <c r="H175" s="351">
        <f t="shared" si="2"/>
        <v>4200</v>
      </c>
      <c r="I175" s="120" t="str">
        <f>IF(OR(D175&lt;Capa!$A$5,D175&gt;Capa!$A$7,E175&lt;Capa!$A$5,E175&gt;Capa!$A$7,D175&gt;E175),"Erro","")</f>
        <v/>
      </c>
    </row>
    <row r="176" spans="1:9" ht="45">
      <c r="A176" s="345">
        <v>173</v>
      </c>
      <c r="B176" s="346" t="s">
        <v>320</v>
      </c>
      <c r="C176" s="347">
        <v>4545.7737500000003</v>
      </c>
      <c r="D176" s="348">
        <v>45778</v>
      </c>
      <c r="E176" s="348">
        <v>45992</v>
      </c>
      <c r="F176" s="346" t="s">
        <v>629</v>
      </c>
      <c r="G176" s="350" t="s">
        <v>596</v>
      </c>
      <c r="H176" s="351">
        <f t="shared" si="2"/>
        <v>36366.19</v>
      </c>
    </row>
    <row r="177" spans="1:9" ht="45">
      <c r="A177" s="345">
        <v>174</v>
      </c>
      <c r="B177" s="346" t="s">
        <v>320</v>
      </c>
      <c r="C177" s="347">
        <v>250</v>
      </c>
      <c r="D177" s="348">
        <v>45748</v>
      </c>
      <c r="E177" s="348">
        <v>47058</v>
      </c>
      <c r="F177" s="346" t="s">
        <v>629</v>
      </c>
      <c r="G177" s="350" t="s">
        <v>596</v>
      </c>
      <c r="H177" s="351">
        <f t="shared" si="2"/>
        <v>11000</v>
      </c>
      <c r="I177" s="120" t="str">
        <f>IF(OR(D177&lt;Capa!$A$5,D177&gt;Capa!$A$7,E177&lt;Capa!$A$5,E177&gt;Capa!$A$7,D177&gt;E177),"Erro","")</f>
        <v/>
      </c>
    </row>
    <row r="178" spans="1:9" ht="33.75">
      <c r="A178" s="345">
        <v>175</v>
      </c>
      <c r="B178" s="346" t="s">
        <v>648</v>
      </c>
      <c r="C178" s="347">
        <v>2560</v>
      </c>
      <c r="D178" s="348">
        <v>45292</v>
      </c>
      <c r="E178" s="348">
        <v>45292</v>
      </c>
      <c r="F178" s="346" t="s">
        <v>629</v>
      </c>
      <c r="G178" s="350" t="s">
        <v>670</v>
      </c>
      <c r="H178" s="351">
        <f t="shared" si="2"/>
        <v>2560</v>
      </c>
      <c r="I178" s="120" t="str">
        <f>IF(OR(D178&lt;Capa!$A$5,D178&gt;Capa!$A$7,E178&lt;Capa!$A$5,E178&gt;Capa!$A$7,D178&gt;E178),"Erro","")</f>
        <v/>
      </c>
    </row>
    <row r="179" spans="1:9" ht="33.75">
      <c r="A179" s="345">
        <v>176</v>
      </c>
      <c r="B179" s="346" t="s">
        <v>648</v>
      </c>
      <c r="C179" s="347">
        <v>2713.6</v>
      </c>
      <c r="D179" s="348">
        <v>45658</v>
      </c>
      <c r="E179" s="348">
        <v>45658</v>
      </c>
      <c r="F179" s="346" t="s">
        <v>629</v>
      </c>
      <c r="G179" s="350" t="s">
        <v>670</v>
      </c>
      <c r="H179" s="351">
        <f t="shared" si="2"/>
        <v>2713.6</v>
      </c>
      <c r="I179" s="120" t="str">
        <f>IF(OR(D179&lt;Capa!$A$5,D179&gt;Capa!$A$7,E179&lt;Capa!$A$5,E179&gt;Capa!$A$7,D179&gt;E179),"Erro","")</f>
        <v/>
      </c>
    </row>
    <row r="180" spans="1:9" ht="33.75">
      <c r="A180" s="345">
        <v>177</v>
      </c>
      <c r="B180" s="346" t="s">
        <v>648</v>
      </c>
      <c r="C180" s="347">
        <v>2876.41</v>
      </c>
      <c r="D180" s="348">
        <v>46023</v>
      </c>
      <c r="E180" s="348">
        <v>46023</v>
      </c>
      <c r="F180" s="346" t="s">
        <v>629</v>
      </c>
      <c r="G180" s="350" t="s">
        <v>670</v>
      </c>
      <c r="H180" s="351">
        <f t="shared" si="2"/>
        <v>2876.41</v>
      </c>
      <c r="I180" s="120" t="str">
        <f>IF(OR(D180&lt;Capa!$A$5,D180&gt;Capa!$A$7,E180&lt;Capa!$A$5,E180&gt;Capa!$A$7,D180&gt;E180),"Erro","")</f>
        <v/>
      </c>
    </row>
    <row r="181" spans="1:9" ht="33.75">
      <c r="A181" s="345">
        <v>178</v>
      </c>
      <c r="B181" s="346" t="s">
        <v>648</v>
      </c>
      <c r="C181" s="347">
        <v>3049</v>
      </c>
      <c r="D181" s="348">
        <v>46388</v>
      </c>
      <c r="E181" s="348">
        <v>46388</v>
      </c>
      <c r="F181" s="346" t="s">
        <v>629</v>
      </c>
      <c r="G181" s="350" t="s">
        <v>670</v>
      </c>
      <c r="H181" s="351">
        <f t="shared" si="2"/>
        <v>3049</v>
      </c>
      <c r="I181" s="120" t="str">
        <f>IF(OR(D181&lt;Capa!$A$5,D181&gt;Capa!$A$7,E181&lt;Capa!$A$5,E181&gt;Capa!$A$7,D181&gt;E181),"Erro","")</f>
        <v/>
      </c>
    </row>
    <row r="182" spans="1:9" ht="22.5">
      <c r="A182" s="345">
        <v>179</v>
      </c>
      <c r="B182" s="346" t="s">
        <v>649</v>
      </c>
      <c r="C182" s="347">
        <v>70000</v>
      </c>
      <c r="D182" s="348">
        <v>45748</v>
      </c>
      <c r="E182" s="348">
        <v>45748</v>
      </c>
      <c r="F182" s="346" t="s">
        <v>629</v>
      </c>
      <c r="G182" s="350" t="s">
        <v>739</v>
      </c>
      <c r="H182" s="351">
        <f t="shared" si="2"/>
        <v>70000</v>
      </c>
    </row>
    <row r="183" spans="1:9" ht="33.75">
      <c r="A183" s="345">
        <v>180</v>
      </c>
      <c r="B183" s="346" t="s">
        <v>649</v>
      </c>
      <c r="C183" s="347">
        <v>1643</v>
      </c>
      <c r="D183" s="348">
        <v>45292</v>
      </c>
      <c r="E183" s="348">
        <v>47058</v>
      </c>
      <c r="F183" s="346" t="s">
        <v>629</v>
      </c>
      <c r="G183" s="350" t="s">
        <v>705</v>
      </c>
      <c r="H183" s="351">
        <f t="shared" si="2"/>
        <v>96937</v>
      </c>
      <c r="I183" s="120" t="str">
        <f>IF(OR(D183&lt;Capa!$A$5,D183&gt;Capa!$A$7,E183&lt;Capa!$A$5,E183&gt;Capa!$A$7,D183&gt;E183),"Erro","")</f>
        <v/>
      </c>
    </row>
    <row r="184" spans="1:9" ht="33.75">
      <c r="A184" s="345">
        <v>181</v>
      </c>
      <c r="B184" s="346" t="s">
        <v>654</v>
      </c>
      <c r="C184" s="347">
        <v>600</v>
      </c>
      <c r="D184" s="348">
        <v>45261</v>
      </c>
      <c r="E184" s="348">
        <v>45627</v>
      </c>
      <c r="F184" s="346" t="s">
        <v>629</v>
      </c>
      <c r="G184" s="350" t="s">
        <v>706</v>
      </c>
      <c r="H184" s="351">
        <f t="shared" ref="H184:H185" si="3">IFERROR((DATEDIF(D184,E184,"M")+1)*C184,0)</f>
        <v>7800</v>
      </c>
    </row>
    <row r="185" spans="1:9" ht="33.75">
      <c r="A185" s="345">
        <v>182</v>
      </c>
      <c r="B185" s="346" t="s">
        <v>654</v>
      </c>
      <c r="C185" s="347">
        <v>1100</v>
      </c>
      <c r="D185" s="348">
        <v>45658</v>
      </c>
      <c r="E185" s="348">
        <v>47058</v>
      </c>
      <c r="F185" s="346" t="s">
        <v>629</v>
      </c>
      <c r="G185" s="350" t="s">
        <v>706</v>
      </c>
      <c r="H185" s="351">
        <f t="shared" si="3"/>
        <v>51700</v>
      </c>
      <c r="I185" s="120" t="str">
        <f>IF(OR(D185&lt;Capa!$A$5,D185&gt;Capa!$A$7,E185&lt;Capa!$A$5,E185&gt;Capa!$A$7,D185&gt;E185),"Erro","")</f>
        <v/>
      </c>
    </row>
    <row r="186" spans="1:9" ht="22.5">
      <c r="A186" s="345">
        <v>183</v>
      </c>
      <c r="B186" s="346" t="s">
        <v>656</v>
      </c>
      <c r="C186" s="347">
        <v>200</v>
      </c>
      <c r="D186" s="348">
        <v>45261</v>
      </c>
      <c r="E186" s="348">
        <v>47058</v>
      </c>
      <c r="F186" s="346" t="s">
        <v>629</v>
      </c>
      <c r="G186" s="350" t="s">
        <v>707</v>
      </c>
      <c r="H186" s="351">
        <f t="shared" si="2"/>
        <v>12000</v>
      </c>
      <c r="I186" s="120" t="str">
        <f>IF(OR(D186&lt;Capa!$A$5,D186&gt;Capa!$A$7,E186&lt;Capa!$A$5,E186&gt;Capa!$A$7,D186&gt;E186),"Erro","")</f>
        <v/>
      </c>
    </row>
    <row r="187" spans="1:9" ht="22.5">
      <c r="A187" s="345">
        <v>184</v>
      </c>
      <c r="B187" s="346" t="s">
        <v>658</v>
      </c>
      <c r="C187" s="347">
        <v>50</v>
      </c>
      <c r="D187" s="348">
        <v>45261</v>
      </c>
      <c r="E187" s="348">
        <v>47058</v>
      </c>
      <c r="F187" s="346" t="s">
        <v>629</v>
      </c>
      <c r="G187" s="350" t="s">
        <v>709</v>
      </c>
      <c r="H187" s="351">
        <f t="shared" si="2"/>
        <v>3000</v>
      </c>
      <c r="I187" s="120" t="str">
        <f>IF(OR(D187&lt;Capa!$A$5,D187&gt;Capa!$A$7,E187&lt;Capa!$A$5,E187&gt;Capa!$A$7,D187&gt;E187),"Erro","")</f>
        <v/>
      </c>
    </row>
    <row r="188" spans="1:9" ht="33.75">
      <c r="A188" s="345">
        <v>185</v>
      </c>
      <c r="B188" s="346" t="s">
        <v>657</v>
      </c>
      <c r="C188" s="347">
        <v>400</v>
      </c>
      <c r="D188" s="348">
        <v>45658</v>
      </c>
      <c r="E188" s="348">
        <v>47058</v>
      </c>
      <c r="F188" s="346" t="s">
        <v>629</v>
      </c>
      <c r="G188" s="350" t="s">
        <v>708</v>
      </c>
      <c r="H188" s="351">
        <f t="shared" si="2"/>
        <v>18800</v>
      </c>
      <c r="I188" s="120" t="str">
        <f>IF(OR(D188&lt;Capa!$A$5,D188&gt;Capa!$A$7,E188&lt;Capa!$A$5,E188&gt;Capa!$A$7,D188&gt;E188),"Erro","")</f>
        <v/>
      </c>
    </row>
    <row r="189" spans="1:9" ht="33.75">
      <c r="A189" s="345">
        <v>186</v>
      </c>
      <c r="B189" s="346" t="s">
        <v>648</v>
      </c>
      <c r="C189" s="347">
        <v>3231.94</v>
      </c>
      <c r="D189" s="348">
        <v>46753</v>
      </c>
      <c r="E189" s="348">
        <v>46753</v>
      </c>
      <c r="F189" s="346" t="s">
        <v>629</v>
      </c>
      <c r="G189" s="350" t="s">
        <v>670</v>
      </c>
      <c r="H189" s="351">
        <f t="shared" si="2"/>
        <v>3231.94</v>
      </c>
      <c r="I189" s="120" t="str">
        <f>IF(OR(D189&lt;Capa!$A$5,D189&gt;Capa!$A$7,E189&lt;Capa!$A$5,E189&gt;Capa!$A$7,D189&gt;E189),"Erro","")</f>
        <v/>
      </c>
    </row>
    <row r="190" spans="1:9" ht="22.5">
      <c r="A190" s="345">
        <v>187</v>
      </c>
      <c r="B190" s="346" t="s">
        <v>198</v>
      </c>
      <c r="C190" s="347">
        <v>8500</v>
      </c>
      <c r="D190" s="348">
        <v>45261</v>
      </c>
      <c r="E190" s="348">
        <v>45291</v>
      </c>
      <c r="F190" s="346" t="s">
        <v>630</v>
      </c>
      <c r="G190" s="350" t="s">
        <v>438</v>
      </c>
      <c r="H190" s="351">
        <f t="shared" si="2"/>
        <v>8500</v>
      </c>
      <c r="I190" s="120" t="str">
        <f>IF(OR(D190&lt;Capa!$A$5,D190&gt;Capa!$A$7,E190&lt;Capa!$A$5,E190&gt;Capa!$A$7,D190&gt;E190),"Erro","")</f>
        <v/>
      </c>
    </row>
    <row r="191" spans="1:9" ht="22.5">
      <c r="A191" s="345">
        <v>188</v>
      </c>
      <c r="B191" s="346" t="s">
        <v>198</v>
      </c>
      <c r="C191" s="347">
        <v>8996.4</v>
      </c>
      <c r="D191" s="348">
        <v>45292</v>
      </c>
      <c r="E191" s="348">
        <v>45627</v>
      </c>
      <c r="F191" s="346" t="s">
        <v>630</v>
      </c>
      <c r="G191" s="350" t="s">
        <v>438</v>
      </c>
      <c r="H191" s="351">
        <f t="shared" si="2"/>
        <v>107956.79999999999</v>
      </c>
      <c r="I191" s="120" t="str">
        <f>IF(OR(D191&lt;Capa!$A$5,D191&gt;Capa!$A$7,E191&lt;Capa!$A$5,E191&gt;Capa!$A$7,D191&gt;E191),"Erro","")</f>
        <v/>
      </c>
    </row>
    <row r="192" spans="1:9" ht="22.5">
      <c r="A192" s="345">
        <v>189</v>
      </c>
      <c r="B192" s="346" t="s">
        <v>198</v>
      </c>
      <c r="C192" s="347">
        <v>9521.7800000000007</v>
      </c>
      <c r="D192" s="348">
        <v>45658</v>
      </c>
      <c r="E192" s="348">
        <v>45992</v>
      </c>
      <c r="F192" s="346" t="s">
        <v>630</v>
      </c>
      <c r="G192" s="350" t="s">
        <v>438</v>
      </c>
      <c r="H192" s="351">
        <f t="shared" si="2"/>
        <v>114261.36000000002</v>
      </c>
      <c r="I192" s="120" t="str">
        <f>IF(OR(D192&lt;Capa!$A$5,D192&gt;Capa!$A$7,E192&lt;Capa!$A$5,E192&gt;Capa!$A$7,D192&gt;E192),"Erro","")</f>
        <v/>
      </c>
    </row>
    <row r="193" spans="1:9" ht="22.5">
      <c r="A193" s="345">
        <v>190</v>
      </c>
      <c r="B193" s="346" t="s">
        <v>198</v>
      </c>
      <c r="C193" s="347">
        <v>10077.86</v>
      </c>
      <c r="D193" s="348">
        <v>46023</v>
      </c>
      <c r="E193" s="348">
        <v>46357</v>
      </c>
      <c r="F193" s="346" t="s">
        <v>630</v>
      </c>
      <c r="G193" s="350" t="s">
        <v>438</v>
      </c>
      <c r="H193" s="351">
        <f t="shared" si="2"/>
        <v>120934.32</v>
      </c>
      <c r="I193" s="120" t="str">
        <f>IF(OR(D193&lt;Capa!$A$5,D193&gt;Capa!$A$7,E193&lt;Capa!$A$5,E193&gt;Capa!$A$7,D193&gt;E193),"Erro","")</f>
        <v/>
      </c>
    </row>
    <row r="194" spans="1:9" ht="22.5">
      <c r="A194" s="345">
        <v>191</v>
      </c>
      <c r="B194" s="346" t="s">
        <v>198</v>
      </c>
      <c r="C194" s="347">
        <v>11066.4</v>
      </c>
      <c r="D194" s="348">
        <v>46388</v>
      </c>
      <c r="E194" s="348">
        <v>46722</v>
      </c>
      <c r="F194" s="346" t="s">
        <v>630</v>
      </c>
      <c r="G194" s="350" t="s">
        <v>438</v>
      </c>
      <c r="H194" s="351">
        <f t="shared" si="2"/>
        <v>132796.79999999999</v>
      </c>
      <c r="I194" s="120" t="str">
        <f>IF(OR(D194&lt;Capa!$A$5,D194&gt;Capa!$A$7,E194&lt;Capa!$A$5,E194&gt;Capa!$A$7,D194&gt;E194),"Erro","")</f>
        <v/>
      </c>
    </row>
    <row r="195" spans="1:9" ht="22.5">
      <c r="A195" s="345">
        <v>192</v>
      </c>
      <c r="B195" s="346" t="s">
        <v>198</v>
      </c>
      <c r="C195" s="347">
        <v>11712.67</v>
      </c>
      <c r="D195" s="348">
        <v>46753</v>
      </c>
      <c r="E195" s="348">
        <v>47058</v>
      </c>
      <c r="F195" s="346" t="s">
        <v>630</v>
      </c>
      <c r="G195" s="350" t="s">
        <v>438</v>
      </c>
      <c r="H195" s="351">
        <f t="shared" si="2"/>
        <v>128839.37</v>
      </c>
      <c r="I195" s="120" t="str">
        <f>IF(OR(D195&lt;Capa!$A$5,D195&gt;Capa!$A$7,E195&lt;Capa!$A$5,E195&gt;Capa!$A$7,D195&gt;E195),"Erro","")</f>
        <v/>
      </c>
    </row>
    <row r="196" spans="1:9" ht="22.5">
      <c r="A196" s="345">
        <v>193</v>
      </c>
      <c r="B196" s="346" t="s">
        <v>202</v>
      </c>
      <c r="C196" s="347">
        <v>310</v>
      </c>
      <c r="D196" s="348">
        <v>45292</v>
      </c>
      <c r="E196" s="348">
        <v>45627</v>
      </c>
      <c r="F196" s="346" t="s">
        <v>630</v>
      </c>
      <c r="G196" s="350" t="s">
        <v>439</v>
      </c>
      <c r="H196" s="351">
        <f t="shared" si="2"/>
        <v>3720</v>
      </c>
      <c r="I196" s="120" t="str">
        <f>IF(OR(D196&lt;Capa!$A$5,D196&gt;Capa!$A$7,E196&lt;Capa!$A$5,E196&gt;Capa!$A$7,D196&gt;E196),"Erro","")</f>
        <v/>
      </c>
    </row>
    <row r="197" spans="1:9" ht="22.5">
      <c r="A197" s="345">
        <v>194</v>
      </c>
      <c r="B197" s="346" t="s">
        <v>202</v>
      </c>
      <c r="C197" s="347">
        <v>328.1</v>
      </c>
      <c r="D197" s="348">
        <v>45658</v>
      </c>
      <c r="E197" s="348">
        <v>45992</v>
      </c>
      <c r="F197" s="346" t="s">
        <v>630</v>
      </c>
      <c r="G197" s="350" t="s">
        <v>439</v>
      </c>
      <c r="H197" s="351">
        <f t="shared" si="2"/>
        <v>3937.2000000000003</v>
      </c>
      <c r="I197" s="120" t="str">
        <f>IF(OR(D197&lt;Capa!$A$5,D197&gt;Capa!$A$7,E197&lt;Capa!$A$5,E197&gt;Capa!$A$7,D197&gt;E197),"Erro","")</f>
        <v/>
      </c>
    </row>
    <row r="198" spans="1:9" ht="22.5">
      <c r="A198" s="345">
        <v>195</v>
      </c>
      <c r="B198" s="346" t="s">
        <v>202</v>
      </c>
      <c r="C198" s="347">
        <v>347.26</v>
      </c>
      <c r="D198" s="348">
        <v>46023</v>
      </c>
      <c r="E198" s="348">
        <v>46357</v>
      </c>
      <c r="F198" s="346" t="s">
        <v>630</v>
      </c>
      <c r="G198" s="350" t="s">
        <v>439</v>
      </c>
      <c r="H198" s="351">
        <f t="shared" si="2"/>
        <v>4167.12</v>
      </c>
      <c r="I198" s="120" t="str">
        <f>IF(OR(D198&lt;Capa!$A$5,D198&gt;Capa!$A$7,E198&lt;Capa!$A$5,E198&gt;Capa!$A$7,D198&gt;E198),"Erro","")</f>
        <v/>
      </c>
    </row>
    <row r="199" spans="1:9" ht="22.5">
      <c r="A199" s="345">
        <v>196</v>
      </c>
      <c r="B199" s="346" t="s">
        <v>202</v>
      </c>
      <c r="C199" s="347">
        <v>367.54</v>
      </c>
      <c r="D199" s="348">
        <v>46388</v>
      </c>
      <c r="E199" s="348">
        <v>46722</v>
      </c>
      <c r="F199" s="346" t="s">
        <v>630</v>
      </c>
      <c r="G199" s="350" t="s">
        <v>439</v>
      </c>
      <c r="H199" s="351">
        <f t="shared" si="2"/>
        <v>4410.4800000000005</v>
      </c>
      <c r="I199" s="120" t="str">
        <f>IF(OR(D199&lt;Capa!$A$5,D199&gt;Capa!$A$7,E199&lt;Capa!$A$5,E199&gt;Capa!$A$7,D199&gt;E199),"Erro","")</f>
        <v/>
      </c>
    </row>
    <row r="200" spans="1:9" ht="22.5">
      <c r="A200" s="345">
        <v>197</v>
      </c>
      <c r="B200" s="346" t="s">
        <v>202</v>
      </c>
      <c r="C200" s="347">
        <v>389.01</v>
      </c>
      <c r="D200" s="348">
        <v>46753</v>
      </c>
      <c r="E200" s="348">
        <v>47058</v>
      </c>
      <c r="F200" s="346" t="s">
        <v>630</v>
      </c>
      <c r="G200" s="350" t="s">
        <v>439</v>
      </c>
      <c r="H200" s="351">
        <f t="shared" si="2"/>
        <v>4279.1099999999997</v>
      </c>
      <c r="I200" s="120" t="str">
        <f>IF(OR(D200&lt;Capa!$A$5,D200&gt;Capa!$A$7,E200&lt;Capa!$A$5,E200&gt;Capa!$A$7,D200&gt;E200),"Erro","")</f>
        <v/>
      </c>
    </row>
    <row r="201" spans="1:9" ht="22.5">
      <c r="A201" s="345">
        <v>198</v>
      </c>
      <c r="B201" s="346" t="s">
        <v>204</v>
      </c>
      <c r="C201" s="347">
        <v>947.66</v>
      </c>
      <c r="D201" s="348">
        <v>45292</v>
      </c>
      <c r="E201" s="348">
        <v>45627</v>
      </c>
      <c r="F201" s="346" t="s">
        <v>630</v>
      </c>
      <c r="G201" s="350" t="s">
        <v>439</v>
      </c>
      <c r="H201" s="351">
        <f t="shared" si="2"/>
        <v>11371.92</v>
      </c>
      <c r="I201" s="120" t="str">
        <f>IF(OR(D201&lt;Capa!$A$5,D201&gt;Capa!$A$7,E201&lt;Capa!$A$5,E201&gt;Capa!$A$7,D201&gt;E201),"Erro","")</f>
        <v/>
      </c>
    </row>
    <row r="202" spans="1:9" ht="22.5">
      <c r="A202" s="345">
        <v>199</v>
      </c>
      <c r="B202" s="346" t="s">
        <v>204</v>
      </c>
      <c r="C202" s="347">
        <v>1003</v>
      </c>
      <c r="D202" s="348">
        <v>45658</v>
      </c>
      <c r="E202" s="348">
        <v>45992</v>
      </c>
      <c r="F202" s="346" t="s">
        <v>630</v>
      </c>
      <c r="G202" s="350" t="s">
        <v>439</v>
      </c>
      <c r="H202" s="351">
        <f t="shared" si="2"/>
        <v>12036</v>
      </c>
      <c r="I202" s="120" t="str">
        <f>IF(OR(D202&lt;Capa!$A$5,D202&gt;Capa!$A$7,E202&lt;Capa!$A$5,E202&gt;Capa!$A$7,D202&gt;E202),"Erro","")</f>
        <v/>
      </c>
    </row>
    <row r="203" spans="1:9" ht="22.5">
      <c r="A203" s="345">
        <v>200</v>
      </c>
      <c r="B203" s="346" t="s">
        <v>204</v>
      </c>
      <c r="C203" s="347">
        <v>1061.56</v>
      </c>
      <c r="D203" s="348">
        <v>46023</v>
      </c>
      <c r="E203" s="348">
        <v>46357</v>
      </c>
      <c r="F203" s="346" t="s">
        <v>630</v>
      </c>
      <c r="G203" s="350" t="s">
        <v>439</v>
      </c>
      <c r="H203" s="351">
        <f t="shared" si="2"/>
        <v>12738.72</v>
      </c>
      <c r="I203" s="120" t="str">
        <f>IF(OR(D203&lt;Capa!$A$5,D203&gt;Capa!$A$7,E203&lt;Capa!$A$5,E203&gt;Capa!$A$7,D203&gt;E203),"Erro","")</f>
        <v/>
      </c>
    </row>
    <row r="204" spans="1:9" ht="22.5">
      <c r="A204" s="345">
        <v>201</v>
      </c>
      <c r="B204" s="346" t="s">
        <v>204</v>
      </c>
      <c r="C204" s="347">
        <v>1123.56</v>
      </c>
      <c r="D204" s="348">
        <v>46388</v>
      </c>
      <c r="E204" s="348">
        <v>46722</v>
      </c>
      <c r="F204" s="346" t="s">
        <v>630</v>
      </c>
      <c r="G204" s="350" t="s">
        <v>439</v>
      </c>
      <c r="H204" s="351">
        <f t="shared" si="2"/>
        <v>13482.72</v>
      </c>
      <c r="I204" s="120" t="str">
        <f>IF(OR(D204&lt;Capa!$A$5,D204&gt;Capa!$A$7,E204&lt;Capa!$A$5,E204&gt;Capa!$A$7,D204&gt;E204),"Erro","")</f>
        <v/>
      </c>
    </row>
    <row r="205" spans="1:9" ht="22.5">
      <c r="A205" s="345">
        <v>202</v>
      </c>
      <c r="B205" s="346" t="s">
        <v>204</v>
      </c>
      <c r="C205" s="347">
        <v>1189.18</v>
      </c>
      <c r="D205" s="348">
        <v>46753</v>
      </c>
      <c r="E205" s="348">
        <v>47058</v>
      </c>
      <c r="F205" s="346" t="s">
        <v>630</v>
      </c>
      <c r="G205" s="350" t="s">
        <v>439</v>
      </c>
      <c r="H205" s="351">
        <f t="shared" si="2"/>
        <v>13080.980000000001</v>
      </c>
      <c r="I205" s="120" t="str">
        <f>IF(OR(D205&lt;Capa!$A$5,D205&gt;Capa!$A$7,E205&lt;Capa!$A$5,E205&gt;Capa!$A$7,D205&gt;E205),"Erro","")</f>
        <v/>
      </c>
    </row>
    <row r="206" spans="1:9" ht="22.5">
      <c r="A206" s="345">
        <v>203</v>
      </c>
      <c r="B206" s="346" t="s">
        <v>206</v>
      </c>
      <c r="C206" s="347">
        <v>1600</v>
      </c>
      <c r="D206" s="348">
        <v>45261</v>
      </c>
      <c r="E206" s="348">
        <v>45291</v>
      </c>
      <c r="F206" s="346" t="s">
        <v>630</v>
      </c>
      <c r="G206" s="350" t="s">
        <v>440</v>
      </c>
      <c r="H206" s="351">
        <f t="shared" si="2"/>
        <v>1600</v>
      </c>
      <c r="I206" s="120" t="str">
        <f>IF(OR(D206&lt;Capa!$A$5,D206&gt;Capa!$A$7,E206&lt;Capa!$A$5,E206&gt;Capa!$A$7,D206&gt;E206),"Erro","")</f>
        <v/>
      </c>
    </row>
    <row r="207" spans="1:9" ht="22.5">
      <c r="A207" s="345">
        <v>204</v>
      </c>
      <c r="B207" s="346" t="s">
        <v>206</v>
      </c>
      <c r="C207" s="347">
        <v>1600</v>
      </c>
      <c r="D207" s="348">
        <v>45292</v>
      </c>
      <c r="E207" s="348">
        <v>45657</v>
      </c>
      <c r="F207" s="346" t="s">
        <v>630</v>
      </c>
      <c r="G207" s="350" t="s">
        <v>440</v>
      </c>
      <c r="H207" s="351">
        <f t="shared" si="2"/>
        <v>19200</v>
      </c>
      <c r="I207" s="120" t="str">
        <f>IF(OR(D207&lt;Capa!$A$5,D207&gt;Capa!$A$7,E207&lt;Capa!$A$5,E207&gt;Capa!$A$7,D207&gt;E207),"Erro","")</f>
        <v/>
      </c>
    </row>
    <row r="208" spans="1:9" ht="22.5">
      <c r="A208" s="345">
        <v>205</v>
      </c>
      <c r="B208" s="346" t="s">
        <v>206</v>
      </c>
      <c r="C208" s="347">
        <v>1693.44</v>
      </c>
      <c r="D208" s="348">
        <v>45658</v>
      </c>
      <c r="E208" s="348">
        <v>45992</v>
      </c>
      <c r="F208" s="346" t="s">
        <v>630</v>
      </c>
      <c r="G208" s="350" t="s">
        <v>440</v>
      </c>
      <c r="H208" s="351">
        <f t="shared" si="2"/>
        <v>20321.28</v>
      </c>
      <c r="I208" s="120" t="str">
        <f>IF(OR(D208&lt;Capa!$A$5,D208&gt;Capa!$A$7,E208&lt;Capa!$A$5,E208&gt;Capa!$A$7,D208&gt;E208),"Erro","")</f>
        <v/>
      </c>
    </row>
    <row r="209" spans="1:9" ht="22.5">
      <c r="A209" s="345">
        <v>206</v>
      </c>
      <c r="B209" s="346" t="s">
        <v>206</v>
      </c>
      <c r="C209" s="347">
        <v>1792.33</v>
      </c>
      <c r="D209" s="348">
        <v>46023</v>
      </c>
      <c r="E209" s="348">
        <v>46357</v>
      </c>
      <c r="F209" s="346" t="s">
        <v>630</v>
      </c>
      <c r="G209" s="350" t="s">
        <v>440</v>
      </c>
      <c r="H209" s="351">
        <f t="shared" si="2"/>
        <v>21507.96</v>
      </c>
      <c r="I209" s="120" t="str">
        <f>IF(OR(D209&lt;Capa!$A$5,D209&gt;Capa!$A$7,E209&lt;Capa!$A$5,E209&gt;Capa!$A$7,D209&gt;E209),"Erro","")</f>
        <v/>
      </c>
    </row>
    <row r="210" spans="1:9" ht="22.5">
      <c r="A210" s="345">
        <v>207</v>
      </c>
      <c r="B210" s="346" t="s">
        <v>206</v>
      </c>
      <c r="C210" s="347">
        <v>1897</v>
      </c>
      <c r="D210" s="348">
        <v>46388</v>
      </c>
      <c r="E210" s="348">
        <v>46722</v>
      </c>
      <c r="F210" s="346" t="s">
        <v>630</v>
      </c>
      <c r="G210" s="350" t="s">
        <v>440</v>
      </c>
      <c r="H210" s="351">
        <f t="shared" si="2"/>
        <v>22764</v>
      </c>
      <c r="I210" s="120" t="str">
        <f>IF(OR(D210&lt;Capa!$A$5,D210&gt;Capa!$A$7,E210&lt;Capa!$A$5,E210&gt;Capa!$A$7,D210&gt;E210),"Erro","")</f>
        <v/>
      </c>
    </row>
    <row r="211" spans="1:9" ht="22.5">
      <c r="A211" s="345">
        <v>208</v>
      </c>
      <c r="B211" s="346" t="s">
        <v>206</v>
      </c>
      <c r="C211" s="347">
        <v>2007.79</v>
      </c>
      <c r="D211" s="348">
        <v>46753</v>
      </c>
      <c r="E211" s="348">
        <v>47058</v>
      </c>
      <c r="F211" s="346" t="s">
        <v>630</v>
      </c>
      <c r="G211" s="350" t="s">
        <v>440</v>
      </c>
      <c r="H211" s="351">
        <f t="shared" si="2"/>
        <v>22085.69</v>
      </c>
      <c r="I211" s="120" t="str">
        <f>IF(OR(D211&lt;Capa!$A$5,D211&gt;Capa!$A$7,E211&lt;Capa!$A$5,E211&gt;Capa!$A$7,D211&gt;E211),"Erro","")</f>
        <v/>
      </c>
    </row>
    <row r="212" spans="1:9" ht="22.5">
      <c r="A212" s="345">
        <v>209</v>
      </c>
      <c r="B212" s="346" t="s">
        <v>208</v>
      </c>
      <c r="C212" s="347">
        <v>950</v>
      </c>
      <c r="D212" s="348">
        <v>45261</v>
      </c>
      <c r="E212" s="348">
        <v>45291</v>
      </c>
      <c r="F212" s="346" t="s">
        <v>630</v>
      </c>
      <c r="G212" s="350" t="s">
        <v>440</v>
      </c>
      <c r="H212" s="351">
        <f t="shared" si="2"/>
        <v>950</v>
      </c>
      <c r="I212" s="120" t="str">
        <f>IF(OR(D212&lt;Capa!$A$5,D212&gt;Capa!$A$7,E212&lt;Capa!$A$5,E212&gt;Capa!$A$7,D212&gt;E212),"Erro","")</f>
        <v/>
      </c>
    </row>
    <row r="213" spans="1:9" ht="22.5">
      <c r="A213" s="345">
        <v>210</v>
      </c>
      <c r="B213" s="346" t="s">
        <v>208</v>
      </c>
      <c r="C213" s="347">
        <v>1000</v>
      </c>
      <c r="D213" s="348">
        <v>45292</v>
      </c>
      <c r="E213" s="348">
        <v>45627</v>
      </c>
      <c r="F213" s="346" t="s">
        <v>630</v>
      </c>
      <c r="G213" s="350" t="s">
        <v>440</v>
      </c>
      <c r="H213" s="351">
        <f t="shared" si="2"/>
        <v>12000</v>
      </c>
      <c r="I213" s="120" t="str">
        <f>IF(OR(D213&lt;Capa!$A$5,D213&gt;Capa!$A$7,E213&lt;Capa!$A$5,E213&gt;Capa!$A$7,D213&gt;E213),"Erro","")</f>
        <v/>
      </c>
    </row>
    <row r="214" spans="1:9" ht="22.5">
      <c r="A214" s="345">
        <v>211</v>
      </c>
      <c r="B214" s="346" t="s">
        <v>208</v>
      </c>
      <c r="C214" s="347">
        <v>1005.48</v>
      </c>
      <c r="D214" s="348">
        <v>45658</v>
      </c>
      <c r="E214" s="348">
        <v>45992</v>
      </c>
      <c r="F214" s="346" t="s">
        <v>630</v>
      </c>
      <c r="G214" s="350" t="s">
        <v>440</v>
      </c>
      <c r="H214" s="351">
        <f t="shared" si="2"/>
        <v>12065.76</v>
      </c>
      <c r="I214" s="120" t="str">
        <f>IF(OR(D214&lt;Capa!$A$5,D214&gt;Capa!$A$7,E214&lt;Capa!$A$5,E214&gt;Capa!$A$7,D214&gt;E214),"Erro","")</f>
        <v/>
      </c>
    </row>
    <row r="215" spans="1:9" ht="22.5">
      <c r="A215" s="345">
        <v>212</v>
      </c>
      <c r="B215" s="346" t="s">
        <v>208</v>
      </c>
      <c r="C215" s="347">
        <v>1064.2</v>
      </c>
      <c r="D215" s="348">
        <v>46023</v>
      </c>
      <c r="E215" s="348">
        <v>46357</v>
      </c>
      <c r="F215" s="346" t="s">
        <v>630</v>
      </c>
      <c r="G215" s="350" t="s">
        <v>440</v>
      </c>
      <c r="H215" s="351">
        <f t="shared" si="2"/>
        <v>12770.400000000001</v>
      </c>
      <c r="I215" s="120" t="str">
        <f>IF(OR(D215&lt;Capa!$A$5,D215&gt;Capa!$A$7,E215&lt;Capa!$A$5,E215&gt;Capa!$A$7,D215&gt;E215),"Erro","")</f>
        <v/>
      </c>
    </row>
    <row r="216" spans="1:9" ht="22.5">
      <c r="A216" s="345">
        <v>213</v>
      </c>
      <c r="B216" s="346" t="s">
        <v>208</v>
      </c>
      <c r="C216" s="347">
        <v>1126.3499999999999</v>
      </c>
      <c r="D216" s="348">
        <v>46388</v>
      </c>
      <c r="E216" s="348">
        <v>46722</v>
      </c>
      <c r="F216" s="346" t="s">
        <v>630</v>
      </c>
      <c r="G216" s="350" t="s">
        <v>440</v>
      </c>
      <c r="H216" s="351">
        <f t="shared" si="2"/>
        <v>13516.199999999999</v>
      </c>
      <c r="I216" s="120" t="str">
        <f>IF(OR(D216&lt;Capa!$A$5,D216&gt;Capa!$A$7,E216&lt;Capa!$A$5,E216&gt;Capa!$A$7,D216&gt;E216),"Erro","")</f>
        <v/>
      </c>
    </row>
    <row r="217" spans="1:9" ht="22.5">
      <c r="A217" s="345">
        <v>214</v>
      </c>
      <c r="B217" s="346" t="s">
        <v>208</v>
      </c>
      <c r="C217" s="347">
        <v>1192.1300000000001</v>
      </c>
      <c r="D217" s="348">
        <v>46753</v>
      </c>
      <c r="E217" s="348">
        <v>47058</v>
      </c>
      <c r="F217" s="346" t="s">
        <v>630</v>
      </c>
      <c r="G217" s="350" t="s">
        <v>440</v>
      </c>
      <c r="H217" s="351">
        <f t="shared" si="2"/>
        <v>13113.43</v>
      </c>
      <c r="I217" s="120" t="str">
        <f>IF(OR(D217&lt;Capa!$A$5,D217&gt;Capa!$A$7,E217&lt;Capa!$A$5,E217&gt;Capa!$A$7,D217&gt;E217),"Erro","")</f>
        <v/>
      </c>
    </row>
    <row r="218" spans="1:9" ht="22.5">
      <c r="A218" s="345">
        <v>215</v>
      </c>
      <c r="B218" s="346" t="s">
        <v>210</v>
      </c>
      <c r="C218" s="347">
        <v>50</v>
      </c>
      <c r="D218" s="348">
        <v>45261</v>
      </c>
      <c r="E218" s="348">
        <v>45291</v>
      </c>
      <c r="F218" s="346" t="s">
        <v>630</v>
      </c>
      <c r="G218" s="350" t="s">
        <v>440</v>
      </c>
      <c r="H218" s="351">
        <f t="shared" si="2"/>
        <v>50</v>
      </c>
      <c r="I218" s="120" t="str">
        <f>IF(OR(D218&lt;Capa!$A$5,D218&gt;Capa!$A$7,E218&lt;Capa!$A$5,E218&gt;Capa!$A$7,D218&gt;E218),"Erro","")</f>
        <v/>
      </c>
    </row>
    <row r="219" spans="1:9" ht="22.5">
      <c r="A219" s="345">
        <v>216</v>
      </c>
      <c r="B219" s="346" t="s">
        <v>210</v>
      </c>
      <c r="C219" s="347">
        <v>50</v>
      </c>
      <c r="D219" s="348">
        <v>45292</v>
      </c>
      <c r="E219" s="348">
        <v>45627</v>
      </c>
      <c r="F219" s="346" t="s">
        <v>630</v>
      </c>
      <c r="G219" s="350" t="s">
        <v>440</v>
      </c>
      <c r="H219" s="351">
        <f t="shared" si="2"/>
        <v>600</v>
      </c>
      <c r="I219" s="120" t="str">
        <f>IF(OR(D219&lt;Capa!$A$5,D219&gt;Capa!$A$7,E219&lt;Capa!$A$5,E219&gt;Capa!$A$7,D219&gt;E219),"Erro","")</f>
        <v/>
      </c>
    </row>
    <row r="220" spans="1:9" ht="22.5">
      <c r="A220" s="345">
        <v>217</v>
      </c>
      <c r="B220" s="346" t="s">
        <v>210</v>
      </c>
      <c r="C220" s="347">
        <v>52.92</v>
      </c>
      <c r="D220" s="348">
        <v>45658</v>
      </c>
      <c r="E220" s="348">
        <v>45992</v>
      </c>
      <c r="F220" s="346" t="s">
        <v>630</v>
      </c>
      <c r="G220" s="350" t="s">
        <v>440</v>
      </c>
      <c r="H220" s="351">
        <f t="shared" si="2"/>
        <v>635.04</v>
      </c>
      <c r="I220" s="120" t="str">
        <f>IF(OR(D220&lt;Capa!$A$5,D220&gt;Capa!$A$7,E220&lt;Capa!$A$5,E220&gt;Capa!$A$7,D220&gt;E220),"Erro","")</f>
        <v/>
      </c>
    </row>
    <row r="221" spans="1:9" ht="22.5">
      <c r="A221" s="345">
        <v>218</v>
      </c>
      <c r="B221" s="346" t="s">
        <v>210</v>
      </c>
      <c r="C221" s="347">
        <v>56.01</v>
      </c>
      <c r="D221" s="348">
        <v>46023</v>
      </c>
      <c r="E221" s="348">
        <v>46357</v>
      </c>
      <c r="F221" s="346" t="s">
        <v>630</v>
      </c>
      <c r="G221" s="350" t="s">
        <v>440</v>
      </c>
      <c r="H221" s="351">
        <f t="shared" ref="H221:H285" si="4">IFERROR((DATEDIF(D221,E221,"M")+1)*C221,0)</f>
        <v>672.12</v>
      </c>
      <c r="I221" s="120" t="str">
        <f>IF(OR(D221&lt;Capa!$A$5,D221&gt;Capa!$A$7,E221&lt;Capa!$A$5,E221&gt;Capa!$A$7,D221&gt;E221),"Erro","")</f>
        <v/>
      </c>
    </row>
    <row r="222" spans="1:9" ht="22.5">
      <c r="A222" s="345">
        <v>219</v>
      </c>
      <c r="B222" s="346" t="s">
        <v>210</v>
      </c>
      <c r="C222" s="347">
        <v>59.28</v>
      </c>
      <c r="D222" s="348">
        <v>46388</v>
      </c>
      <c r="E222" s="348">
        <v>46722</v>
      </c>
      <c r="F222" s="346" t="s">
        <v>630</v>
      </c>
      <c r="G222" s="350" t="s">
        <v>440</v>
      </c>
      <c r="H222" s="351">
        <f t="shared" si="4"/>
        <v>711.36</v>
      </c>
      <c r="I222" s="120" t="str">
        <f>IF(OR(D222&lt;Capa!$A$5,D222&gt;Capa!$A$7,E222&lt;Capa!$A$5,E222&gt;Capa!$A$7,D222&gt;E222),"Erro","")</f>
        <v/>
      </c>
    </row>
    <row r="223" spans="1:9" ht="22.5">
      <c r="A223" s="345">
        <v>220</v>
      </c>
      <c r="B223" s="346" t="s">
        <v>210</v>
      </c>
      <c r="C223" s="347">
        <v>62.74</v>
      </c>
      <c r="D223" s="348">
        <v>46753</v>
      </c>
      <c r="E223" s="348">
        <v>47058</v>
      </c>
      <c r="F223" s="346" t="s">
        <v>630</v>
      </c>
      <c r="G223" s="350" t="s">
        <v>440</v>
      </c>
      <c r="H223" s="351">
        <f t="shared" si="4"/>
        <v>690.14</v>
      </c>
      <c r="I223" s="120" t="str">
        <f>IF(OR(D223&lt;Capa!$A$5,D223&gt;Capa!$A$7,E223&lt;Capa!$A$5,E223&gt;Capa!$A$7,D223&gt;E223),"Erro","")</f>
        <v/>
      </c>
    </row>
    <row r="224" spans="1:9" ht="22.5">
      <c r="A224" s="345">
        <v>221</v>
      </c>
      <c r="B224" s="346" t="s">
        <v>214</v>
      </c>
      <c r="C224" s="347">
        <v>99.9</v>
      </c>
      <c r="D224" s="348">
        <v>45261</v>
      </c>
      <c r="E224" s="348">
        <v>45291</v>
      </c>
      <c r="F224" s="346" t="s">
        <v>630</v>
      </c>
      <c r="G224" s="350" t="s">
        <v>440</v>
      </c>
      <c r="H224" s="351">
        <f t="shared" si="4"/>
        <v>99.9</v>
      </c>
      <c r="I224" s="120" t="str">
        <f>IF(OR(D224&lt;Capa!$A$5,D224&gt;Capa!$A$7,E224&lt;Capa!$A$5,E224&gt;Capa!$A$7,D224&gt;E224),"Erro","")</f>
        <v/>
      </c>
    </row>
    <row r="225" spans="1:9" ht="22.5">
      <c r="A225" s="345">
        <v>222</v>
      </c>
      <c r="B225" s="346" t="s">
        <v>214</v>
      </c>
      <c r="C225" s="347">
        <v>99.9</v>
      </c>
      <c r="D225" s="348">
        <v>45292</v>
      </c>
      <c r="E225" s="348">
        <v>45627</v>
      </c>
      <c r="F225" s="346" t="s">
        <v>630</v>
      </c>
      <c r="G225" s="350" t="s">
        <v>440</v>
      </c>
      <c r="H225" s="351">
        <f t="shared" si="4"/>
        <v>1198.8000000000002</v>
      </c>
      <c r="I225" s="120" t="str">
        <f>IF(OR(D225&lt;Capa!$A$5,D225&gt;Capa!$A$7,E225&lt;Capa!$A$5,E225&gt;Capa!$A$7,D225&gt;E225),"Erro","")</f>
        <v/>
      </c>
    </row>
    <row r="226" spans="1:9" ht="22.5">
      <c r="A226" s="345">
        <v>223</v>
      </c>
      <c r="B226" s="346" t="s">
        <v>214</v>
      </c>
      <c r="C226" s="347">
        <v>105.73</v>
      </c>
      <c r="D226" s="348">
        <v>45658</v>
      </c>
      <c r="E226" s="348">
        <v>45992</v>
      </c>
      <c r="F226" s="346" t="s">
        <v>630</v>
      </c>
      <c r="G226" s="350" t="s">
        <v>440</v>
      </c>
      <c r="H226" s="351">
        <f t="shared" si="4"/>
        <v>1268.76</v>
      </c>
      <c r="I226" s="120" t="str">
        <f>IF(OR(D226&lt;Capa!$A$5,D226&gt;Capa!$A$7,E226&lt;Capa!$A$5,E226&gt;Capa!$A$7,D226&gt;E226),"Erro","")</f>
        <v/>
      </c>
    </row>
    <row r="227" spans="1:9" ht="22.5">
      <c r="A227" s="345">
        <v>224</v>
      </c>
      <c r="B227" s="346" t="s">
        <v>214</v>
      </c>
      <c r="C227" s="347">
        <v>111.91</v>
      </c>
      <c r="D227" s="348">
        <v>46023</v>
      </c>
      <c r="E227" s="348">
        <v>46357</v>
      </c>
      <c r="F227" s="346" t="s">
        <v>630</v>
      </c>
      <c r="G227" s="350" t="s">
        <v>440</v>
      </c>
      <c r="H227" s="351">
        <f t="shared" si="4"/>
        <v>1342.92</v>
      </c>
      <c r="I227" s="120" t="str">
        <f>IF(OR(D227&lt;Capa!$A$5,D227&gt;Capa!$A$7,E227&lt;Capa!$A$5,E227&gt;Capa!$A$7,D227&gt;E227),"Erro","")</f>
        <v/>
      </c>
    </row>
    <row r="228" spans="1:9" ht="22.5">
      <c r="A228" s="345">
        <v>225</v>
      </c>
      <c r="B228" s="346" t="s">
        <v>214</v>
      </c>
      <c r="C228" s="347">
        <v>118.44</v>
      </c>
      <c r="D228" s="348">
        <v>46388</v>
      </c>
      <c r="E228" s="348">
        <v>46722</v>
      </c>
      <c r="F228" s="346" t="s">
        <v>630</v>
      </c>
      <c r="G228" s="350" t="s">
        <v>440</v>
      </c>
      <c r="H228" s="351">
        <f t="shared" si="4"/>
        <v>1421.28</v>
      </c>
      <c r="I228" s="120" t="str">
        <f>IF(OR(D228&lt;Capa!$A$5,D228&gt;Capa!$A$7,E228&lt;Capa!$A$5,E228&gt;Capa!$A$7,D228&gt;E228),"Erro","")</f>
        <v/>
      </c>
    </row>
    <row r="229" spans="1:9" ht="22.5">
      <c r="A229" s="345">
        <v>226</v>
      </c>
      <c r="B229" s="346" t="s">
        <v>214</v>
      </c>
      <c r="C229" s="347">
        <v>125.36</v>
      </c>
      <c r="D229" s="348">
        <v>46753</v>
      </c>
      <c r="E229" s="348">
        <v>47058</v>
      </c>
      <c r="F229" s="346" t="s">
        <v>630</v>
      </c>
      <c r="G229" s="350" t="s">
        <v>440</v>
      </c>
      <c r="H229" s="351">
        <f t="shared" si="4"/>
        <v>1378.96</v>
      </c>
      <c r="I229" s="120" t="str">
        <f>IF(OR(D229&lt;Capa!$A$5,D229&gt;Capa!$A$7,E229&lt;Capa!$A$5,E229&gt;Capa!$A$7,D229&gt;E229),"Erro","")</f>
        <v/>
      </c>
    </row>
    <row r="230" spans="1:9" ht="56.25">
      <c r="A230" s="345">
        <v>227</v>
      </c>
      <c r="B230" s="346" t="s">
        <v>212</v>
      </c>
      <c r="C230" s="347">
        <v>235.74</v>
      </c>
      <c r="D230" s="348">
        <v>45261</v>
      </c>
      <c r="E230" s="348">
        <v>45627</v>
      </c>
      <c r="F230" s="346" t="s">
        <v>630</v>
      </c>
      <c r="G230" s="350" t="s">
        <v>501</v>
      </c>
      <c r="H230" s="351">
        <f t="shared" si="4"/>
        <v>3064.62</v>
      </c>
      <c r="I230" s="120" t="str">
        <f>IF(OR(D230&lt;Capa!$A$5,D230&gt;Capa!$A$7,E230&lt;Capa!$A$5,E230&gt;Capa!$A$7,D230&gt;E230),"Erro","")</f>
        <v/>
      </c>
    </row>
    <row r="231" spans="1:9" ht="56.25">
      <c r="A231" s="345">
        <v>228</v>
      </c>
      <c r="B231" s="346" t="s">
        <v>212</v>
      </c>
      <c r="C231" s="347">
        <v>249.5</v>
      </c>
      <c r="D231" s="348">
        <v>45292</v>
      </c>
      <c r="E231" s="348">
        <v>45627</v>
      </c>
      <c r="F231" s="346" t="s">
        <v>630</v>
      </c>
      <c r="G231" s="350" t="s">
        <v>501</v>
      </c>
      <c r="H231" s="351">
        <f t="shared" si="4"/>
        <v>2994</v>
      </c>
      <c r="I231" s="120" t="str">
        <f>IF(OR(D231&lt;Capa!$A$5,D231&gt;Capa!$A$7,E231&lt;Capa!$A$5,E231&gt;Capa!$A$7,D231&gt;E231),"Erro","")</f>
        <v/>
      </c>
    </row>
    <row r="232" spans="1:9" ht="56.25">
      <c r="A232" s="345">
        <v>229</v>
      </c>
      <c r="B232" s="346" t="s">
        <v>212</v>
      </c>
      <c r="C232" s="347">
        <v>264.07</v>
      </c>
      <c r="D232" s="348">
        <v>45658</v>
      </c>
      <c r="E232" s="348">
        <v>45992</v>
      </c>
      <c r="F232" s="346" t="s">
        <v>630</v>
      </c>
      <c r="G232" s="350" t="s">
        <v>501</v>
      </c>
      <c r="H232" s="351">
        <f t="shared" si="4"/>
        <v>3168.84</v>
      </c>
      <c r="I232" s="120" t="str">
        <f>IF(OR(D232&lt;Capa!$A$5,D232&gt;Capa!$A$7,E232&lt;Capa!$A$5,E232&gt;Capa!$A$7,D232&gt;E232),"Erro","")</f>
        <v/>
      </c>
    </row>
    <row r="233" spans="1:9" ht="56.25">
      <c r="A233" s="345">
        <v>230</v>
      </c>
      <c r="B233" s="346" t="s">
        <v>212</v>
      </c>
      <c r="C233" s="347">
        <v>279.5</v>
      </c>
      <c r="D233" s="348">
        <v>46023</v>
      </c>
      <c r="E233" s="348">
        <v>46357</v>
      </c>
      <c r="F233" s="346" t="s">
        <v>630</v>
      </c>
      <c r="G233" s="350" t="s">
        <v>501</v>
      </c>
      <c r="H233" s="351">
        <f t="shared" si="4"/>
        <v>3354</v>
      </c>
      <c r="I233" s="120" t="str">
        <f>IF(OR(D233&lt;Capa!$A$5,D233&gt;Capa!$A$7,E233&lt;Capa!$A$5,E233&gt;Capa!$A$7,D233&gt;E233),"Erro","")</f>
        <v/>
      </c>
    </row>
    <row r="234" spans="1:9" ht="56.25">
      <c r="A234" s="345">
        <v>231</v>
      </c>
      <c r="B234" s="346" t="s">
        <v>212</v>
      </c>
      <c r="C234" s="347">
        <v>295.82</v>
      </c>
      <c r="D234" s="348">
        <v>46388</v>
      </c>
      <c r="E234" s="348">
        <v>46722</v>
      </c>
      <c r="F234" s="346" t="s">
        <v>630</v>
      </c>
      <c r="G234" s="350" t="s">
        <v>501</v>
      </c>
      <c r="H234" s="351">
        <f t="shared" si="4"/>
        <v>3549.84</v>
      </c>
      <c r="I234" s="120" t="str">
        <f>IF(OR(D234&lt;Capa!$A$5,D234&gt;Capa!$A$7,E234&lt;Capa!$A$5,E234&gt;Capa!$A$7,D234&gt;E234),"Erro","")</f>
        <v/>
      </c>
    </row>
    <row r="235" spans="1:9" ht="56.25">
      <c r="A235" s="345">
        <v>232</v>
      </c>
      <c r="B235" s="346" t="s">
        <v>212</v>
      </c>
      <c r="C235" s="347">
        <v>313.08999999999997</v>
      </c>
      <c r="D235" s="348">
        <v>46753</v>
      </c>
      <c r="E235" s="348">
        <v>47058</v>
      </c>
      <c r="F235" s="346" t="s">
        <v>630</v>
      </c>
      <c r="G235" s="350" t="s">
        <v>501</v>
      </c>
      <c r="H235" s="351">
        <f t="shared" si="4"/>
        <v>3443.99</v>
      </c>
      <c r="I235" s="120" t="str">
        <f>IF(OR(D235&lt;Capa!$A$5,D235&gt;Capa!$A$7,E235&lt;Capa!$A$5,E235&gt;Capa!$A$7,D235&gt;E235),"Erro","")</f>
        <v/>
      </c>
    </row>
    <row r="236" spans="1:9" ht="45">
      <c r="A236" s="345">
        <v>233</v>
      </c>
      <c r="B236" s="346" t="s">
        <v>248</v>
      </c>
      <c r="C236" s="347">
        <v>846</v>
      </c>
      <c r="D236" s="348">
        <v>45292</v>
      </c>
      <c r="E236" s="348">
        <v>45444</v>
      </c>
      <c r="F236" s="346" t="s">
        <v>630</v>
      </c>
      <c r="G236" s="350" t="s">
        <v>441</v>
      </c>
      <c r="H236" s="351">
        <f t="shared" si="4"/>
        <v>5076</v>
      </c>
      <c r="I236" s="120" t="str">
        <f>IF(OR(D236&lt;Capa!$A$5,D236&gt;Capa!$A$7,E236&lt;Capa!$A$5,E236&gt;Capa!$A$7,D236&gt;E236),"Erro","")</f>
        <v/>
      </c>
    </row>
    <row r="237" spans="1:9" ht="45">
      <c r="A237" s="345">
        <v>234</v>
      </c>
      <c r="B237" s="346" t="s">
        <v>248</v>
      </c>
      <c r="C237" s="347">
        <v>846</v>
      </c>
      <c r="D237" s="348">
        <v>45658</v>
      </c>
      <c r="E237" s="348">
        <v>45809</v>
      </c>
      <c r="F237" s="346" t="s">
        <v>630</v>
      </c>
      <c r="G237" s="350" t="s">
        <v>441</v>
      </c>
      <c r="H237" s="351">
        <f t="shared" si="4"/>
        <v>5076</v>
      </c>
      <c r="I237" s="120" t="str">
        <f>IF(OR(D237&lt;Capa!$A$5,D237&gt;Capa!$A$7,E237&lt;Capa!$A$5,E237&gt;Capa!$A$7,D237&gt;E237),"Erro","")</f>
        <v/>
      </c>
    </row>
    <row r="238" spans="1:9" ht="45">
      <c r="A238" s="345">
        <v>235</v>
      </c>
      <c r="B238" s="346" t="s">
        <v>248</v>
      </c>
      <c r="C238" s="347">
        <v>846</v>
      </c>
      <c r="D238" s="348">
        <v>46023</v>
      </c>
      <c r="E238" s="348">
        <v>46174</v>
      </c>
      <c r="F238" s="346" t="s">
        <v>630</v>
      </c>
      <c r="G238" s="350" t="s">
        <v>441</v>
      </c>
      <c r="H238" s="351">
        <f t="shared" si="4"/>
        <v>5076</v>
      </c>
      <c r="I238" s="120" t="str">
        <f>IF(OR(D238&lt;Capa!$A$5,D238&gt;Capa!$A$7,E238&lt;Capa!$A$5,E238&gt;Capa!$A$7,D238&gt;E238),"Erro","")</f>
        <v/>
      </c>
    </row>
    <row r="239" spans="1:9" ht="45">
      <c r="A239" s="345">
        <v>236</v>
      </c>
      <c r="B239" s="346" t="s">
        <v>248</v>
      </c>
      <c r="C239" s="347">
        <v>846</v>
      </c>
      <c r="D239" s="348">
        <v>46388</v>
      </c>
      <c r="E239" s="348">
        <v>46539</v>
      </c>
      <c r="F239" s="346" t="s">
        <v>630</v>
      </c>
      <c r="G239" s="350" t="s">
        <v>441</v>
      </c>
      <c r="H239" s="351">
        <f t="shared" si="4"/>
        <v>5076</v>
      </c>
      <c r="I239" s="120" t="str">
        <f>IF(OR(D239&lt;Capa!$A$5,D239&gt;Capa!$A$7,E239&lt;Capa!$A$5,E239&gt;Capa!$A$7,D239&gt;E239),"Erro","")</f>
        <v/>
      </c>
    </row>
    <row r="240" spans="1:9" ht="45">
      <c r="A240" s="345">
        <v>237</v>
      </c>
      <c r="B240" s="346" t="s">
        <v>248</v>
      </c>
      <c r="C240" s="347">
        <v>846</v>
      </c>
      <c r="D240" s="348">
        <v>46753</v>
      </c>
      <c r="E240" s="348">
        <v>46905</v>
      </c>
      <c r="F240" s="346" t="s">
        <v>630</v>
      </c>
      <c r="G240" s="350" t="s">
        <v>441</v>
      </c>
      <c r="H240" s="351">
        <f t="shared" si="4"/>
        <v>5076</v>
      </c>
      <c r="I240" s="120" t="str">
        <f>IF(OR(D240&lt;Capa!$A$5,D240&gt;Capa!$A$7,E240&lt;Capa!$A$5,E240&gt;Capa!$A$7,D240&gt;E240),"Erro","")</f>
        <v/>
      </c>
    </row>
    <row r="241" spans="1:9" ht="33.75">
      <c r="A241" s="345">
        <v>238</v>
      </c>
      <c r="B241" s="346" t="s">
        <v>266</v>
      </c>
      <c r="C241" s="347">
        <v>2337.58</v>
      </c>
      <c r="D241" s="348">
        <v>45658</v>
      </c>
      <c r="E241" s="348">
        <v>45658</v>
      </c>
      <c r="F241" s="346" t="s">
        <v>630</v>
      </c>
      <c r="G241" s="350" t="s">
        <v>442</v>
      </c>
      <c r="H241" s="351">
        <f t="shared" si="4"/>
        <v>2337.58</v>
      </c>
      <c r="I241" s="120" t="str">
        <f>IF(OR(D241&lt;Capa!$A$5,D241&gt;Capa!$A$7,E241&lt;Capa!$A$5,E241&gt;Capa!$A$7,D241&gt;E241),"Erro","")</f>
        <v/>
      </c>
    </row>
    <row r="242" spans="1:9" ht="33.75">
      <c r="A242" s="345">
        <v>239</v>
      </c>
      <c r="B242" s="346" t="s">
        <v>266</v>
      </c>
      <c r="C242" s="347">
        <v>1300</v>
      </c>
      <c r="D242" s="348">
        <v>46023</v>
      </c>
      <c r="E242" s="348">
        <v>46023</v>
      </c>
      <c r="F242" s="346" t="s">
        <v>630</v>
      </c>
      <c r="G242" s="350" t="s">
        <v>442</v>
      </c>
      <c r="H242" s="351">
        <f t="shared" si="4"/>
        <v>1300</v>
      </c>
      <c r="I242" s="120" t="str">
        <f>IF(OR(D242&lt;Capa!$A$5,D242&gt;Capa!$A$7,E242&lt;Capa!$A$5,E242&gt;Capa!$A$7,D242&gt;E242),"Erro","")</f>
        <v/>
      </c>
    </row>
    <row r="243" spans="1:9" ht="33.75">
      <c r="A243" s="345">
        <v>240</v>
      </c>
      <c r="B243" s="346" t="s">
        <v>266</v>
      </c>
      <c r="C243" s="347">
        <v>800</v>
      </c>
      <c r="D243" s="348">
        <v>46388</v>
      </c>
      <c r="E243" s="348">
        <v>46388</v>
      </c>
      <c r="F243" s="346" t="s">
        <v>630</v>
      </c>
      <c r="G243" s="350" t="s">
        <v>442</v>
      </c>
      <c r="H243" s="351">
        <f t="shared" si="4"/>
        <v>800</v>
      </c>
      <c r="I243" s="120" t="str">
        <f>IF(OR(D243&lt;Capa!$A$5,D243&gt;Capa!$A$7,E243&lt;Capa!$A$5,E243&gt;Capa!$A$7,D243&gt;E243),"Erro","")</f>
        <v/>
      </c>
    </row>
    <row r="244" spans="1:9" ht="33.75">
      <c r="A244" s="345">
        <v>241</v>
      </c>
      <c r="B244" s="346" t="s">
        <v>266</v>
      </c>
      <c r="C244" s="347">
        <v>250</v>
      </c>
      <c r="D244" s="348">
        <v>46753</v>
      </c>
      <c r="E244" s="348">
        <v>46753</v>
      </c>
      <c r="F244" s="346" t="s">
        <v>630</v>
      </c>
      <c r="G244" s="350" t="s">
        <v>442</v>
      </c>
      <c r="H244" s="351">
        <f t="shared" si="4"/>
        <v>250</v>
      </c>
      <c r="I244" s="120" t="str">
        <f>IF(OR(D244&lt;Capa!$A$5,D244&gt;Capa!$A$7,E244&lt;Capa!$A$5,E244&gt;Capa!$A$7,D244&gt;E244),"Erro","")</f>
        <v/>
      </c>
    </row>
    <row r="245" spans="1:9" ht="22.5">
      <c r="A245" s="345">
        <v>242</v>
      </c>
      <c r="B245" s="346" t="s">
        <v>274</v>
      </c>
      <c r="C245" s="347">
        <v>400</v>
      </c>
      <c r="D245" s="348">
        <v>45292</v>
      </c>
      <c r="E245" s="348">
        <v>45627</v>
      </c>
      <c r="F245" s="346" t="s">
        <v>630</v>
      </c>
      <c r="G245" s="350" t="s">
        <v>443</v>
      </c>
      <c r="H245" s="351">
        <f t="shared" si="4"/>
        <v>4800</v>
      </c>
      <c r="I245" s="120" t="str">
        <f>IF(OR(D245&lt;Capa!$A$5,D245&gt;Capa!$A$7,E245&lt;Capa!$A$5,E245&gt;Capa!$A$7,D245&gt;E245),"Erro","")</f>
        <v/>
      </c>
    </row>
    <row r="246" spans="1:9" ht="22.5">
      <c r="A246" s="345">
        <v>243</v>
      </c>
      <c r="B246" s="346" t="s">
        <v>274</v>
      </c>
      <c r="C246" s="347">
        <v>670</v>
      </c>
      <c r="D246" s="348">
        <v>45658</v>
      </c>
      <c r="E246" s="348">
        <v>45992</v>
      </c>
      <c r="F246" s="346" t="s">
        <v>630</v>
      </c>
      <c r="G246" s="350" t="s">
        <v>443</v>
      </c>
      <c r="H246" s="351">
        <f t="shared" si="4"/>
        <v>8040</v>
      </c>
      <c r="I246" s="120" t="str">
        <f>IF(OR(D246&lt;Capa!$A$5,D246&gt;Capa!$A$7,E246&lt;Capa!$A$5,E246&gt;Capa!$A$7,D246&gt;E246),"Erro","")</f>
        <v/>
      </c>
    </row>
    <row r="247" spans="1:9" ht="22.5">
      <c r="A247" s="345">
        <v>244</v>
      </c>
      <c r="B247" s="346" t="s">
        <v>274</v>
      </c>
      <c r="C247" s="347">
        <v>850</v>
      </c>
      <c r="D247" s="348">
        <v>46023</v>
      </c>
      <c r="E247" s="348">
        <v>46357</v>
      </c>
      <c r="F247" s="346" t="s">
        <v>630</v>
      </c>
      <c r="G247" s="350" t="s">
        <v>443</v>
      </c>
      <c r="H247" s="351">
        <f t="shared" si="4"/>
        <v>10200</v>
      </c>
      <c r="I247" s="120" t="str">
        <f>IF(OR(D247&lt;Capa!$A$5,D247&gt;Capa!$A$7,E247&lt;Capa!$A$5,E247&gt;Capa!$A$7,D247&gt;E247),"Erro","")</f>
        <v/>
      </c>
    </row>
    <row r="248" spans="1:9" ht="22.5">
      <c r="A248" s="345">
        <v>245</v>
      </c>
      <c r="B248" s="346" t="s">
        <v>274</v>
      </c>
      <c r="C248" s="347">
        <v>1072.49</v>
      </c>
      <c r="D248" s="348">
        <v>46388</v>
      </c>
      <c r="E248" s="348">
        <v>46722</v>
      </c>
      <c r="F248" s="346" t="s">
        <v>630</v>
      </c>
      <c r="G248" s="350" t="s">
        <v>443</v>
      </c>
      <c r="H248" s="351">
        <f t="shared" si="4"/>
        <v>12869.880000000001</v>
      </c>
      <c r="I248" s="120" t="str">
        <f>IF(OR(D248&lt;Capa!$A$5,D248&gt;Capa!$A$7,E248&lt;Capa!$A$5,E248&gt;Capa!$A$7,D248&gt;E248),"Erro","")</f>
        <v/>
      </c>
    </row>
    <row r="249" spans="1:9" ht="22.5">
      <c r="A249" s="345">
        <v>246</v>
      </c>
      <c r="B249" s="346" t="s">
        <v>274</v>
      </c>
      <c r="C249" s="347">
        <v>1072.49</v>
      </c>
      <c r="D249" s="348">
        <v>46753</v>
      </c>
      <c r="E249" s="348">
        <v>47058</v>
      </c>
      <c r="F249" s="346" t="s">
        <v>630</v>
      </c>
      <c r="G249" s="350" t="s">
        <v>443</v>
      </c>
      <c r="H249" s="351">
        <f t="shared" si="4"/>
        <v>11797.39</v>
      </c>
      <c r="I249" s="120" t="str">
        <f>IF(OR(D249&lt;Capa!$A$5,D249&gt;Capa!$A$7,E249&lt;Capa!$A$5,E249&gt;Capa!$A$7,D249&gt;E249),"Erro","")</f>
        <v/>
      </c>
    </row>
    <row r="250" spans="1:9" ht="56.25">
      <c r="A250" s="345">
        <v>247</v>
      </c>
      <c r="B250" s="346" t="s">
        <v>236</v>
      </c>
      <c r="C250" s="347">
        <v>8000</v>
      </c>
      <c r="D250" s="348">
        <v>45292</v>
      </c>
      <c r="E250" s="348">
        <v>45627</v>
      </c>
      <c r="F250" s="346" t="s">
        <v>630</v>
      </c>
      <c r="G250" s="350" t="s">
        <v>444</v>
      </c>
      <c r="H250" s="351">
        <f t="shared" si="4"/>
        <v>96000</v>
      </c>
      <c r="I250" s="120" t="str">
        <f>IF(OR(D250&lt;Capa!$A$5,D250&gt;Capa!$A$7,E250&lt;Capa!$A$5,E250&gt;Capa!$A$7,D250&gt;E250),"Erro","")</f>
        <v/>
      </c>
    </row>
    <row r="251" spans="1:9" ht="56.25">
      <c r="A251" s="345">
        <v>248</v>
      </c>
      <c r="B251" s="346" t="s">
        <v>236</v>
      </c>
      <c r="C251" s="347">
        <v>8000</v>
      </c>
      <c r="D251" s="348">
        <v>45292</v>
      </c>
      <c r="E251" s="348">
        <v>45627</v>
      </c>
      <c r="F251" s="346" t="s">
        <v>630</v>
      </c>
      <c r="G251" s="350" t="s">
        <v>444</v>
      </c>
      <c r="H251" s="351">
        <f t="shared" si="4"/>
        <v>96000</v>
      </c>
      <c r="I251" s="120" t="str">
        <f>IF(OR(D251&lt;Capa!$A$5,D251&gt;Capa!$A$7,E251&lt;Capa!$A$5,E251&gt;Capa!$A$7,D251&gt;E251),"Erro","")</f>
        <v/>
      </c>
    </row>
    <row r="252" spans="1:9" ht="56.25">
      <c r="A252" s="345">
        <v>249</v>
      </c>
      <c r="B252" s="346" t="s">
        <v>236</v>
      </c>
      <c r="C252" s="347">
        <v>250</v>
      </c>
      <c r="D252" s="348">
        <v>45658</v>
      </c>
      <c r="E252" s="348">
        <v>45992</v>
      </c>
      <c r="F252" s="346" t="s">
        <v>630</v>
      </c>
      <c r="G252" s="350" t="s">
        <v>444</v>
      </c>
      <c r="H252" s="351">
        <f t="shared" si="4"/>
        <v>3000</v>
      </c>
      <c r="I252" s="120" t="str">
        <f>IF(OR(D252&lt;Capa!$A$5,D252&gt;Capa!$A$7,E252&lt;Capa!$A$5,E252&gt;Capa!$A$7,D252&gt;E252),"Erro","")</f>
        <v/>
      </c>
    </row>
    <row r="253" spans="1:9" ht="56.25">
      <c r="A253" s="345">
        <v>250</v>
      </c>
      <c r="B253" s="346" t="s">
        <v>236</v>
      </c>
      <c r="C253" s="347">
        <v>1100</v>
      </c>
      <c r="D253" s="348">
        <v>46023</v>
      </c>
      <c r="E253" s="348">
        <v>46357</v>
      </c>
      <c r="F253" s="346" t="s">
        <v>630</v>
      </c>
      <c r="G253" s="350" t="s">
        <v>444</v>
      </c>
      <c r="H253" s="351">
        <f t="shared" si="4"/>
        <v>13200</v>
      </c>
      <c r="I253" s="120" t="str">
        <f>IF(OR(D253&lt;Capa!$A$5,D253&gt;Capa!$A$7,E253&lt;Capa!$A$5,E253&gt;Capa!$A$7,D253&gt;E253),"Erro","")</f>
        <v/>
      </c>
    </row>
    <row r="254" spans="1:9" ht="56.25">
      <c r="A254" s="345">
        <v>251</v>
      </c>
      <c r="B254" s="346" t="s">
        <v>236</v>
      </c>
      <c r="C254" s="347">
        <v>400</v>
      </c>
      <c r="D254" s="348">
        <v>46388</v>
      </c>
      <c r="E254" s="348">
        <v>46722</v>
      </c>
      <c r="F254" s="346" t="s">
        <v>630</v>
      </c>
      <c r="G254" s="350" t="s">
        <v>444</v>
      </c>
      <c r="H254" s="351">
        <f t="shared" si="4"/>
        <v>4800</v>
      </c>
      <c r="I254" s="120" t="str">
        <f>IF(OR(D254&lt;Capa!$A$5,D254&gt;Capa!$A$7,E254&lt;Capa!$A$5,E254&gt;Capa!$A$7,D254&gt;E254),"Erro","")</f>
        <v/>
      </c>
    </row>
    <row r="255" spans="1:9" ht="56.25">
      <c r="A255" s="345">
        <v>252</v>
      </c>
      <c r="B255" s="346" t="s">
        <v>236</v>
      </c>
      <c r="C255" s="347">
        <v>866.09</v>
      </c>
      <c r="D255" s="348">
        <v>46753</v>
      </c>
      <c r="E255" s="348">
        <v>47058</v>
      </c>
      <c r="F255" s="346" t="s">
        <v>630</v>
      </c>
      <c r="G255" s="350" t="s">
        <v>444</v>
      </c>
      <c r="H255" s="351">
        <f t="shared" si="4"/>
        <v>9526.99</v>
      </c>
      <c r="I255" s="120" t="str">
        <f>IF(OR(D255&lt;Capa!$A$5,D255&gt;Capa!$A$7,E255&lt;Capa!$A$5,E255&gt;Capa!$A$7,D255&gt;E255),"Erro","")</f>
        <v/>
      </c>
    </row>
    <row r="256" spans="1:9" ht="33.75">
      <c r="A256" s="345">
        <v>253</v>
      </c>
      <c r="B256" s="346" t="s">
        <v>240</v>
      </c>
      <c r="C256" s="347">
        <v>50</v>
      </c>
      <c r="D256" s="348">
        <v>45292</v>
      </c>
      <c r="E256" s="348">
        <v>45627</v>
      </c>
      <c r="F256" s="346" t="s">
        <v>630</v>
      </c>
      <c r="G256" s="350" t="s">
        <v>445</v>
      </c>
      <c r="H256" s="351">
        <f t="shared" si="4"/>
        <v>600</v>
      </c>
      <c r="I256" s="120" t="str">
        <f>IF(OR(D256&lt;Capa!$A$5,D256&gt;Capa!$A$7,E256&lt;Capa!$A$5,E256&gt;Capa!$A$7,D256&gt;E256),"Erro","")</f>
        <v/>
      </c>
    </row>
    <row r="257" spans="1:9" ht="33.75">
      <c r="A257" s="345">
        <v>254</v>
      </c>
      <c r="B257" s="346" t="s">
        <v>240</v>
      </c>
      <c r="C257" s="347">
        <v>50</v>
      </c>
      <c r="D257" s="348">
        <v>45658</v>
      </c>
      <c r="E257" s="348">
        <v>45992</v>
      </c>
      <c r="F257" s="346" t="s">
        <v>630</v>
      </c>
      <c r="G257" s="350" t="s">
        <v>445</v>
      </c>
      <c r="H257" s="351">
        <f t="shared" si="4"/>
        <v>600</v>
      </c>
      <c r="I257" s="120" t="str">
        <f>IF(OR(D257&lt;Capa!$A$5,D257&gt;Capa!$A$7,E257&lt;Capa!$A$5,E257&gt;Capa!$A$7,D257&gt;E257),"Erro","")</f>
        <v/>
      </c>
    </row>
    <row r="258" spans="1:9" ht="33.75">
      <c r="A258" s="345">
        <v>255</v>
      </c>
      <c r="B258" s="346" t="s">
        <v>240</v>
      </c>
      <c r="C258" s="347">
        <v>50</v>
      </c>
      <c r="D258" s="348">
        <v>46023</v>
      </c>
      <c r="E258" s="348">
        <v>46357</v>
      </c>
      <c r="F258" s="346" t="s">
        <v>630</v>
      </c>
      <c r="G258" s="350" t="s">
        <v>445</v>
      </c>
      <c r="H258" s="351">
        <f t="shared" si="4"/>
        <v>600</v>
      </c>
      <c r="I258" s="120" t="str">
        <f>IF(OR(D258&lt;Capa!$A$5,D258&gt;Capa!$A$7,E258&lt;Capa!$A$5,E258&gt;Capa!$A$7,D258&gt;E258),"Erro","")</f>
        <v/>
      </c>
    </row>
    <row r="259" spans="1:9" ht="33.75">
      <c r="A259" s="345">
        <v>256</v>
      </c>
      <c r="B259" s="346" t="s">
        <v>240</v>
      </c>
      <c r="C259" s="347">
        <v>50</v>
      </c>
      <c r="D259" s="348">
        <v>46388</v>
      </c>
      <c r="E259" s="348">
        <v>46722</v>
      </c>
      <c r="F259" s="346" t="s">
        <v>630</v>
      </c>
      <c r="G259" s="350" t="s">
        <v>445</v>
      </c>
      <c r="H259" s="351">
        <f t="shared" si="4"/>
        <v>600</v>
      </c>
      <c r="I259" s="120" t="str">
        <f>IF(OR(D259&lt;Capa!$A$5,D259&gt;Capa!$A$7,E259&lt;Capa!$A$5,E259&gt;Capa!$A$7,D259&gt;E259),"Erro","")</f>
        <v/>
      </c>
    </row>
    <row r="260" spans="1:9" ht="33.75">
      <c r="A260" s="345">
        <v>257</v>
      </c>
      <c r="B260" s="346" t="s">
        <v>240</v>
      </c>
      <c r="C260" s="347">
        <v>50</v>
      </c>
      <c r="D260" s="348">
        <v>46753</v>
      </c>
      <c r="E260" s="348">
        <v>47058</v>
      </c>
      <c r="F260" s="346" t="s">
        <v>630</v>
      </c>
      <c r="G260" s="350" t="s">
        <v>445</v>
      </c>
      <c r="H260" s="351">
        <f t="shared" si="4"/>
        <v>550</v>
      </c>
      <c r="I260" s="120" t="str">
        <f>IF(OR(D260&lt;Capa!$A$5,D260&gt;Capa!$A$7,E260&lt;Capa!$A$5,E260&gt;Capa!$A$7,D260&gt;E260),"Erro","")</f>
        <v/>
      </c>
    </row>
    <row r="261" spans="1:9" ht="45">
      <c r="A261" s="345">
        <v>258</v>
      </c>
      <c r="B261" s="346" t="s">
        <v>244</v>
      </c>
      <c r="C261" s="347">
        <v>250</v>
      </c>
      <c r="D261" s="348">
        <v>45292</v>
      </c>
      <c r="E261" s="348">
        <v>45627</v>
      </c>
      <c r="F261" s="346" t="s">
        <v>630</v>
      </c>
      <c r="G261" s="350" t="s">
        <v>446</v>
      </c>
      <c r="H261" s="351">
        <f t="shared" si="4"/>
        <v>3000</v>
      </c>
      <c r="I261" s="120" t="str">
        <f>IF(OR(D261&lt;Capa!$A$5,D261&gt;Capa!$A$7,E261&lt;Capa!$A$5,E261&gt;Capa!$A$7,D261&gt;E261),"Erro","")</f>
        <v/>
      </c>
    </row>
    <row r="262" spans="1:9" ht="45">
      <c r="A262" s="345">
        <v>259</v>
      </c>
      <c r="B262" s="346" t="s">
        <v>244</v>
      </c>
      <c r="C262" s="347">
        <v>250</v>
      </c>
      <c r="D262" s="348">
        <v>45658</v>
      </c>
      <c r="E262" s="348">
        <v>45992</v>
      </c>
      <c r="F262" s="346" t="s">
        <v>630</v>
      </c>
      <c r="G262" s="350" t="s">
        <v>446</v>
      </c>
      <c r="H262" s="351">
        <f t="shared" si="4"/>
        <v>3000</v>
      </c>
      <c r="I262" s="120" t="str">
        <f>IF(OR(D262&lt;Capa!$A$5,D262&gt;Capa!$A$7,E262&lt;Capa!$A$5,E262&gt;Capa!$A$7,D262&gt;E262),"Erro","")</f>
        <v/>
      </c>
    </row>
    <row r="263" spans="1:9" ht="45">
      <c r="A263" s="345">
        <v>260</v>
      </c>
      <c r="B263" s="346" t="s">
        <v>244</v>
      </c>
      <c r="C263" s="347">
        <v>300</v>
      </c>
      <c r="D263" s="348">
        <v>46023</v>
      </c>
      <c r="E263" s="348">
        <v>46357</v>
      </c>
      <c r="F263" s="346" t="s">
        <v>630</v>
      </c>
      <c r="G263" s="350" t="s">
        <v>446</v>
      </c>
      <c r="H263" s="351">
        <f t="shared" si="4"/>
        <v>3600</v>
      </c>
      <c r="I263" s="120" t="str">
        <f>IF(OR(D263&lt;Capa!$A$5,D263&gt;Capa!$A$7,E263&lt;Capa!$A$5,E263&gt;Capa!$A$7,D263&gt;E263),"Erro","")</f>
        <v/>
      </c>
    </row>
    <row r="264" spans="1:9" ht="45">
      <c r="A264" s="345">
        <v>261</v>
      </c>
      <c r="B264" s="346" t="s">
        <v>244</v>
      </c>
      <c r="C264" s="347">
        <v>300</v>
      </c>
      <c r="D264" s="348">
        <v>46388</v>
      </c>
      <c r="E264" s="348">
        <v>46722</v>
      </c>
      <c r="F264" s="346" t="s">
        <v>630</v>
      </c>
      <c r="G264" s="350" t="s">
        <v>446</v>
      </c>
      <c r="H264" s="351">
        <f t="shared" si="4"/>
        <v>3600</v>
      </c>
      <c r="I264" s="120" t="str">
        <f>IF(OR(D264&lt;Capa!$A$5,D264&gt;Capa!$A$7,E264&lt;Capa!$A$5,E264&gt;Capa!$A$7,D264&gt;E264),"Erro","")</f>
        <v/>
      </c>
    </row>
    <row r="265" spans="1:9" ht="45">
      <c r="A265" s="345">
        <v>262</v>
      </c>
      <c r="B265" s="346" t="s">
        <v>244</v>
      </c>
      <c r="C265" s="347">
        <v>350</v>
      </c>
      <c r="D265" s="348">
        <v>46753</v>
      </c>
      <c r="E265" s="348">
        <v>47058</v>
      </c>
      <c r="F265" s="346" t="s">
        <v>630</v>
      </c>
      <c r="G265" s="350" t="s">
        <v>446</v>
      </c>
      <c r="H265" s="351">
        <f t="shared" si="4"/>
        <v>3850</v>
      </c>
      <c r="I265" s="120" t="str">
        <f>IF(OR(D265&lt;Capa!$A$5,D265&gt;Capa!$A$7,E265&lt;Capa!$A$5,E265&gt;Capa!$A$7,D265&gt;E265),"Erro","")</f>
        <v/>
      </c>
    </row>
    <row r="266" spans="1:9" ht="33.75">
      <c r="A266" s="345">
        <v>263</v>
      </c>
      <c r="B266" s="346" t="s">
        <v>246</v>
      </c>
      <c r="C266" s="347">
        <v>275.18</v>
      </c>
      <c r="D266" s="348">
        <v>45658</v>
      </c>
      <c r="E266" s="348">
        <v>45992</v>
      </c>
      <c r="F266" s="346" t="s">
        <v>630</v>
      </c>
      <c r="G266" s="350" t="s">
        <v>447</v>
      </c>
      <c r="H266" s="351">
        <f t="shared" si="4"/>
        <v>3302.16</v>
      </c>
      <c r="I266" s="120" t="str">
        <f>IF(OR(D266&lt;Capa!$A$5,D266&gt;Capa!$A$7,E266&lt;Capa!$A$5,E266&gt;Capa!$A$7,D266&gt;E266),"Erro","")</f>
        <v/>
      </c>
    </row>
    <row r="267" spans="1:9" ht="33.75">
      <c r="A267" s="345">
        <v>264</v>
      </c>
      <c r="B267" s="346" t="s">
        <v>246</v>
      </c>
      <c r="C267" s="347">
        <v>291.25</v>
      </c>
      <c r="D267" s="348">
        <v>46023</v>
      </c>
      <c r="E267" s="348">
        <v>46357</v>
      </c>
      <c r="F267" s="346" t="s">
        <v>630</v>
      </c>
      <c r="G267" s="350" t="s">
        <v>447</v>
      </c>
      <c r="H267" s="351">
        <f t="shared" si="4"/>
        <v>3495</v>
      </c>
      <c r="I267" s="120" t="str">
        <f>IF(OR(D267&lt;Capa!$A$5,D267&gt;Capa!$A$7,E267&lt;Capa!$A$5,E267&gt;Capa!$A$7,D267&gt;E267),"Erro","")</f>
        <v/>
      </c>
    </row>
    <row r="268" spans="1:9" ht="33.75">
      <c r="A268" s="345">
        <v>265</v>
      </c>
      <c r="B268" s="346" t="s">
        <v>246</v>
      </c>
      <c r="C268" s="347">
        <v>308.26</v>
      </c>
      <c r="D268" s="348">
        <v>46388</v>
      </c>
      <c r="E268" s="348">
        <v>46722</v>
      </c>
      <c r="F268" s="346" t="s">
        <v>630</v>
      </c>
      <c r="G268" s="350" t="s">
        <v>447</v>
      </c>
      <c r="H268" s="351">
        <f t="shared" si="4"/>
        <v>3699.12</v>
      </c>
      <c r="I268" s="120" t="str">
        <f>IF(OR(D268&lt;Capa!$A$5,D268&gt;Capa!$A$7,E268&lt;Capa!$A$5,E268&gt;Capa!$A$7,D268&gt;E268),"Erro","")</f>
        <v/>
      </c>
    </row>
    <row r="269" spans="1:9" ht="33.75">
      <c r="A269" s="345">
        <v>266</v>
      </c>
      <c r="B269" s="346" t="s">
        <v>246</v>
      </c>
      <c r="C269" s="347">
        <v>326.26</v>
      </c>
      <c r="D269" s="348">
        <v>46753</v>
      </c>
      <c r="E269" s="348">
        <v>47058</v>
      </c>
      <c r="F269" s="346" t="s">
        <v>630</v>
      </c>
      <c r="G269" s="350" t="s">
        <v>447</v>
      </c>
      <c r="H269" s="351">
        <f t="shared" si="4"/>
        <v>3588.8599999999997</v>
      </c>
      <c r="I269" s="120" t="str">
        <f>IF(OR(D269&lt;Capa!$A$5,D269&gt;Capa!$A$7,E269&lt;Capa!$A$5,E269&gt;Capa!$A$7,D269&gt;E269),"Erro","")</f>
        <v/>
      </c>
    </row>
    <row r="270" spans="1:9" ht="33.75">
      <c r="A270" s="345">
        <v>267</v>
      </c>
      <c r="B270" s="346" t="s">
        <v>258</v>
      </c>
      <c r="C270" s="347">
        <v>193.77</v>
      </c>
      <c r="D270" s="348">
        <v>45261</v>
      </c>
      <c r="E270" s="348">
        <v>45627</v>
      </c>
      <c r="F270" s="346" t="s">
        <v>630</v>
      </c>
      <c r="G270" s="350" t="s">
        <v>448</v>
      </c>
      <c r="H270" s="351">
        <f t="shared" si="4"/>
        <v>2519.0100000000002</v>
      </c>
      <c r="I270" s="120" t="str">
        <f>IF(OR(D270&lt;Capa!$A$5,D270&gt;Capa!$A$7,E270&lt;Capa!$A$5,E270&gt;Capa!$A$7,D270&gt;E270),"Erro","")</f>
        <v/>
      </c>
    </row>
    <row r="271" spans="1:9" ht="33.75">
      <c r="A271" s="345">
        <v>268</v>
      </c>
      <c r="B271" s="346" t="s">
        <v>258</v>
      </c>
      <c r="C271" s="347">
        <v>205.08</v>
      </c>
      <c r="D271" s="348">
        <v>45658</v>
      </c>
      <c r="E271" s="348">
        <v>45992</v>
      </c>
      <c r="F271" s="346" t="s">
        <v>630</v>
      </c>
      <c r="G271" s="350" t="s">
        <v>448</v>
      </c>
      <c r="H271" s="351">
        <f t="shared" si="4"/>
        <v>2460.96</v>
      </c>
      <c r="I271" s="120" t="str">
        <f>IF(OR(D271&lt;Capa!$A$5,D271&gt;Capa!$A$7,E271&lt;Capa!$A$5,E271&gt;Capa!$A$7,D271&gt;E271),"Erro","")</f>
        <v/>
      </c>
    </row>
    <row r="272" spans="1:9" ht="33.75">
      <c r="A272" s="345">
        <v>269</v>
      </c>
      <c r="B272" s="346" t="s">
        <v>258</v>
      </c>
      <c r="C272" s="347">
        <v>217.06</v>
      </c>
      <c r="D272" s="348">
        <v>46023</v>
      </c>
      <c r="E272" s="348">
        <v>46357</v>
      </c>
      <c r="F272" s="346" t="s">
        <v>630</v>
      </c>
      <c r="G272" s="350" t="s">
        <v>448</v>
      </c>
      <c r="H272" s="351">
        <f t="shared" si="4"/>
        <v>2604.7200000000003</v>
      </c>
      <c r="I272" s="120" t="str">
        <f>IF(OR(D272&lt;Capa!$A$5,D272&gt;Capa!$A$7,E272&lt;Capa!$A$5,E272&gt;Capa!$A$7,D272&gt;E272),"Erro","")</f>
        <v/>
      </c>
    </row>
    <row r="273" spans="1:9" ht="33.75">
      <c r="A273" s="345">
        <v>270</v>
      </c>
      <c r="B273" s="346" t="s">
        <v>258</v>
      </c>
      <c r="C273" s="347">
        <v>229.74</v>
      </c>
      <c r="D273" s="348">
        <v>46388</v>
      </c>
      <c r="E273" s="348">
        <v>46722</v>
      </c>
      <c r="F273" s="346" t="s">
        <v>630</v>
      </c>
      <c r="G273" s="350" t="s">
        <v>448</v>
      </c>
      <c r="H273" s="351">
        <f t="shared" si="4"/>
        <v>2756.88</v>
      </c>
      <c r="I273" s="120" t="str">
        <f>IF(OR(D273&lt;Capa!$A$5,D273&gt;Capa!$A$7,E273&lt;Capa!$A$5,E273&gt;Capa!$A$7,D273&gt;E273),"Erro","")</f>
        <v/>
      </c>
    </row>
    <row r="274" spans="1:9" ht="33.75">
      <c r="A274" s="345">
        <v>271</v>
      </c>
      <c r="B274" s="346" t="s">
        <v>258</v>
      </c>
      <c r="C274" s="347">
        <v>243.16</v>
      </c>
      <c r="D274" s="348">
        <v>46753</v>
      </c>
      <c r="E274" s="348">
        <v>47058</v>
      </c>
      <c r="F274" s="346" t="s">
        <v>630</v>
      </c>
      <c r="G274" s="350" t="s">
        <v>448</v>
      </c>
      <c r="H274" s="351">
        <f t="shared" si="4"/>
        <v>2674.7599999999998</v>
      </c>
      <c r="I274" s="120" t="str">
        <f>IF(OR(D274&lt;Capa!$A$5,D274&gt;Capa!$A$7,E274&lt;Capa!$A$5,E274&gt;Capa!$A$7,D274&gt;E274),"Erro","")</f>
        <v/>
      </c>
    </row>
    <row r="275" spans="1:9" ht="56.25">
      <c r="A275" s="345">
        <v>272</v>
      </c>
      <c r="B275" s="346" t="s">
        <v>276</v>
      </c>
      <c r="C275" s="347">
        <v>1271.28</v>
      </c>
      <c r="D275" s="348">
        <v>45658</v>
      </c>
      <c r="E275" s="348">
        <v>45717</v>
      </c>
      <c r="F275" s="346" t="s">
        <v>630</v>
      </c>
      <c r="G275" s="350" t="s">
        <v>449</v>
      </c>
      <c r="H275" s="351">
        <f t="shared" si="4"/>
        <v>3813.84</v>
      </c>
      <c r="I275" s="120" t="str">
        <f>IF(OR(D275&lt;Capa!$A$5,D275&gt;Capa!$A$7,E275&lt;Capa!$A$5,E275&gt;Capa!$A$7,D275&gt;E275),"Erro","")</f>
        <v/>
      </c>
    </row>
    <row r="276" spans="1:9" ht="56.25">
      <c r="A276" s="345">
        <v>273</v>
      </c>
      <c r="B276" s="346" t="s">
        <v>276</v>
      </c>
      <c r="C276" s="347">
        <v>1345.53</v>
      </c>
      <c r="D276" s="348">
        <v>46023</v>
      </c>
      <c r="E276" s="348">
        <v>46082</v>
      </c>
      <c r="F276" s="346" t="s">
        <v>630</v>
      </c>
      <c r="G276" s="350" t="s">
        <v>449</v>
      </c>
      <c r="H276" s="351">
        <f t="shared" si="4"/>
        <v>4036.59</v>
      </c>
      <c r="I276" s="120" t="str">
        <f>IF(OR(D276&lt;Capa!$A$5,D276&gt;Capa!$A$7,E276&lt;Capa!$A$5,E276&gt;Capa!$A$7,D276&gt;E276),"Erro","")</f>
        <v/>
      </c>
    </row>
    <row r="277" spans="1:9" ht="56.25">
      <c r="A277" s="345">
        <v>274</v>
      </c>
      <c r="B277" s="346" t="s">
        <v>276</v>
      </c>
      <c r="C277" s="347">
        <v>1424.11</v>
      </c>
      <c r="D277" s="348">
        <v>46388</v>
      </c>
      <c r="E277" s="348">
        <v>46447</v>
      </c>
      <c r="F277" s="346" t="s">
        <v>630</v>
      </c>
      <c r="G277" s="350" t="s">
        <v>449</v>
      </c>
      <c r="H277" s="351">
        <f t="shared" si="4"/>
        <v>4272.33</v>
      </c>
      <c r="I277" s="120" t="str">
        <f>IF(OR(D277&lt;Capa!$A$5,D277&gt;Capa!$A$7,E277&lt;Capa!$A$5,E277&gt;Capa!$A$7,D277&gt;E277),"Erro","")</f>
        <v/>
      </c>
    </row>
    <row r="278" spans="1:9" ht="56.25">
      <c r="A278" s="345">
        <v>275</v>
      </c>
      <c r="B278" s="346" t="s">
        <v>276</v>
      </c>
      <c r="C278" s="347">
        <v>1507.27</v>
      </c>
      <c r="D278" s="348">
        <v>46753</v>
      </c>
      <c r="E278" s="348">
        <v>46813</v>
      </c>
      <c r="F278" s="346" t="s">
        <v>630</v>
      </c>
      <c r="G278" s="350" t="s">
        <v>449</v>
      </c>
      <c r="H278" s="351">
        <f t="shared" si="4"/>
        <v>4521.8099999999995</v>
      </c>
      <c r="I278" s="120" t="str">
        <f>IF(OR(D278&lt;Capa!$A$5,D278&gt;Capa!$A$7,E278&lt;Capa!$A$5,E278&gt;Capa!$A$7,D278&gt;E278),"Erro","")</f>
        <v/>
      </c>
    </row>
    <row r="279" spans="1:9" ht="45">
      <c r="A279" s="345">
        <v>276</v>
      </c>
      <c r="B279" s="346" t="s">
        <v>278</v>
      </c>
      <c r="C279" s="347">
        <v>30000</v>
      </c>
      <c r="D279" s="348">
        <v>45261</v>
      </c>
      <c r="E279" s="348">
        <v>45261</v>
      </c>
      <c r="F279" s="346" t="s">
        <v>630</v>
      </c>
      <c r="G279" s="350" t="s">
        <v>450</v>
      </c>
      <c r="H279" s="351">
        <f t="shared" si="4"/>
        <v>30000</v>
      </c>
      <c r="I279" s="120" t="str">
        <f>IF(OR(D279&lt;Capa!$A$5,D279&gt;Capa!$A$7,E279&lt;Capa!$A$5,E279&gt;Capa!$A$7,D279&gt;E279),"Erro","")</f>
        <v/>
      </c>
    </row>
    <row r="280" spans="1:9" ht="45">
      <c r="A280" s="345">
        <v>277</v>
      </c>
      <c r="B280" s="346" t="s">
        <v>278</v>
      </c>
      <c r="C280" s="347">
        <v>41370</v>
      </c>
      <c r="D280" s="348">
        <v>45292</v>
      </c>
      <c r="E280" s="348">
        <v>45627</v>
      </c>
      <c r="F280" s="346" t="s">
        <v>630</v>
      </c>
      <c r="G280" s="350" t="s">
        <v>450</v>
      </c>
      <c r="H280" s="351">
        <f t="shared" si="4"/>
        <v>496440</v>
      </c>
      <c r="I280" s="120" t="str">
        <f>IF(OR(D280&lt;Capa!$A$5,D280&gt;Capa!$A$7,E280&lt;Capa!$A$5,E280&gt;Capa!$A$7,D280&gt;E280),"Erro","")</f>
        <v/>
      </c>
    </row>
    <row r="281" spans="1:9" ht="45">
      <c r="A281" s="345">
        <v>278</v>
      </c>
      <c r="B281" s="346" t="s">
        <v>278</v>
      </c>
      <c r="C281" s="347">
        <v>43786</v>
      </c>
      <c r="D281" s="348">
        <v>45658</v>
      </c>
      <c r="E281" s="348">
        <v>45992</v>
      </c>
      <c r="F281" s="346" t="s">
        <v>630</v>
      </c>
      <c r="G281" s="350" t="s">
        <v>450</v>
      </c>
      <c r="H281" s="351">
        <f t="shared" si="4"/>
        <v>525432</v>
      </c>
      <c r="I281" s="120" t="str">
        <f>IF(OR(D281&lt;Capa!$A$5,D281&gt;Capa!$A$7,E281&lt;Capa!$A$5,E281&gt;Capa!$A$7,D281&gt;E281),"Erro","")</f>
        <v/>
      </c>
    </row>
    <row r="282" spans="1:9" ht="45">
      <c r="A282" s="345">
        <v>279</v>
      </c>
      <c r="B282" s="346" t="s">
        <v>278</v>
      </c>
      <c r="C282" s="347">
        <v>45562</v>
      </c>
      <c r="D282" s="348">
        <v>46023</v>
      </c>
      <c r="E282" s="348">
        <v>46357</v>
      </c>
      <c r="F282" s="346" t="s">
        <v>630</v>
      </c>
      <c r="G282" s="350" t="s">
        <v>450</v>
      </c>
      <c r="H282" s="351">
        <f t="shared" si="4"/>
        <v>546744</v>
      </c>
      <c r="I282" s="120" t="str">
        <f>IF(OR(D282&lt;Capa!$A$5,D282&gt;Capa!$A$7,E282&lt;Capa!$A$5,E282&gt;Capa!$A$7,D282&gt;E282),"Erro","")</f>
        <v/>
      </c>
    </row>
    <row r="283" spans="1:9" ht="45">
      <c r="A283" s="345">
        <v>280</v>
      </c>
      <c r="B283" s="346" t="s">
        <v>278</v>
      </c>
      <c r="C283" s="347">
        <v>48222.82</v>
      </c>
      <c r="D283" s="348">
        <v>46388</v>
      </c>
      <c r="E283" s="348">
        <v>46722</v>
      </c>
      <c r="F283" s="346" t="s">
        <v>630</v>
      </c>
      <c r="G283" s="350" t="s">
        <v>450</v>
      </c>
      <c r="H283" s="351">
        <f t="shared" si="4"/>
        <v>578673.84</v>
      </c>
      <c r="I283" s="120" t="str">
        <f>IF(OR(D283&lt;Capa!$A$5,D283&gt;Capa!$A$7,E283&lt;Capa!$A$5,E283&gt;Capa!$A$7,D283&gt;E283),"Erro","")</f>
        <v/>
      </c>
    </row>
    <row r="284" spans="1:9" ht="45">
      <c r="A284" s="345">
        <v>281</v>
      </c>
      <c r="B284" s="346" t="s">
        <v>278</v>
      </c>
      <c r="C284" s="347">
        <v>51039.03</v>
      </c>
      <c r="D284" s="348">
        <v>46753</v>
      </c>
      <c r="E284" s="348">
        <v>47058</v>
      </c>
      <c r="F284" s="346" t="s">
        <v>630</v>
      </c>
      <c r="G284" s="350" t="s">
        <v>450</v>
      </c>
      <c r="H284" s="351">
        <f t="shared" si="4"/>
        <v>561429.32999999996</v>
      </c>
      <c r="I284" s="120" t="str">
        <f>IF(OR(D284&lt;Capa!$A$5,D284&gt;Capa!$A$7,E284&lt;Capa!$A$5,E284&gt;Capa!$A$7,D284&gt;E284),"Erro","")</f>
        <v/>
      </c>
    </row>
    <row r="285" spans="1:9" ht="56.25">
      <c r="A285" s="345">
        <v>282</v>
      </c>
      <c r="B285" s="346" t="s">
        <v>280</v>
      </c>
      <c r="C285" s="347">
        <v>100</v>
      </c>
      <c r="D285" s="348">
        <v>45292</v>
      </c>
      <c r="E285" s="348">
        <v>45627</v>
      </c>
      <c r="F285" s="346" t="s">
        <v>630</v>
      </c>
      <c r="G285" s="350" t="s">
        <v>451</v>
      </c>
      <c r="H285" s="351">
        <f t="shared" si="4"/>
        <v>1200</v>
      </c>
      <c r="I285" s="120" t="str">
        <f>IF(OR(D285&lt;Capa!$A$5,D285&gt;Capa!$A$7,E285&lt;Capa!$A$5,E285&gt;Capa!$A$7,D285&gt;E285),"Erro","")</f>
        <v/>
      </c>
    </row>
    <row r="286" spans="1:9" ht="56.25">
      <c r="A286" s="345">
        <v>283</v>
      </c>
      <c r="B286" s="346" t="s">
        <v>280</v>
      </c>
      <c r="C286" s="347">
        <v>100</v>
      </c>
      <c r="D286" s="348">
        <v>45658</v>
      </c>
      <c r="E286" s="348">
        <v>45992</v>
      </c>
      <c r="F286" s="346" t="s">
        <v>630</v>
      </c>
      <c r="G286" s="350" t="s">
        <v>451</v>
      </c>
      <c r="H286" s="351">
        <f t="shared" ref="H286:H344" si="5">IFERROR((DATEDIF(D286,E286,"M")+1)*C286,0)</f>
        <v>1200</v>
      </c>
      <c r="I286" s="120" t="str">
        <f>IF(OR(D286&lt;Capa!$A$5,D286&gt;Capa!$A$7,E286&lt;Capa!$A$5,E286&gt;Capa!$A$7,D286&gt;E286),"Erro","")</f>
        <v/>
      </c>
    </row>
    <row r="287" spans="1:9" ht="56.25">
      <c r="A287" s="345">
        <v>284</v>
      </c>
      <c r="B287" s="346" t="s">
        <v>280</v>
      </c>
      <c r="C287" s="347">
        <v>100</v>
      </c>
      <c r="D287" s="348">
        <v>46023</v>
      </c>
      <c r="E287" s="348">
        <v>46357</v>
      </c>
      <c r="F287" s="346" t="s">
        <v>630</v>
      </c>
      <c r="G287" s="350" t="s">
        <v>451</v>
      </c>
      <c r="H287" s="351">
        <f t="shared" si="5"/>
        <v>1200</v>
      </c>
      <c r="I287" s="120" t="str">
        <f>IF(OR(D287&lt;Capa!$A$5,D287&gt;Capa!$A$7,E287&lt;Capa!$A$5,E287&gt;Capa!$A$7,D287&gt;E287),"Erro","")</f>
        <v/>
      </c>
    </row>
    <row r="288" spans="1:9" ht="56.25">
      <c r="A288" s="345">
        <v>285</v>
      </c>
      <c r="B288" s="346" t="s">
        <v>280</v>
      </c>
      <c r="C288" s="347">
        <v>100</v>
      </c>
      <c r="D288" s="348">
        <v>46388</v>
      </c>
      <c r="E288" s="348">
        <v>46722</v>
      </c>
      <c r="F288" s="346" t="s">
        <v>630</v>
      </c>
      <c r="G288" s="350" t="s">
        <v>451</v>
      </c>
      <c r="H288" s="351">
        <f t="shared" si="5"/>
        <v>1200</v>
      </c>
      <c r="I288" s="120" t="str">
        <f>IF(OR(D288&lt;Capa!$A$5,D288&gt;Capa!$A$7,E288&lt;Capa!$A$5,E288&gt;Capa!$A$7,D288&gt;E288),"Erro","")</f>
        <v/>
      </c>
    </row>
    <row r="289" spans="1:9" ht="56.25">
      <c r="A289" s="345">
        <v>286</v>
      </c>
      <c r="B289" s="346" t="s">
        <v>280</v>
      </c>
      <c r="C289" s="347">
        <v>100</v>
      </c>
      <c r="D289" s="348">
        <v>46753</v>
      </c>
      <c r="E289" s="348">
        <v>47058</v>
      </c>
      <c r="F289" s="346" t="s">
        <v>630</v>
      </c>
      <c r="G289" s="350" t="s">
        <v>451</v>
      </c>
      <c r="H289" s="351">
        <f t="shared" si="5"/>
        <v>1100</v>
      </c>
      <c r="I289" s="120" t="str">
        <f>IF(OR(D289&lt;Capa!$A$5,D289&gt;Capa!$A$7,E289&lt;Capa!$A$5,E289&gt;Capa!$A$7,D289&gt;E289),"Erro","")</f>
        <v/>
      </c>
    </row>
    <row r="290" spans="1:9" ht="45">
      <c r="A290" s="345">
        <v>287</v>
      </c>
      <c r="B290" s="346" t="s">
        <v>282</v>
      </c>
      <c r="C290" s="347">
        <v>702.18</v>
      </c>
      <c r="D290" s="348">
        <v>45261</v>
      </c>
      <c r="E290" s="348">
        <v>45627</v>
      </c>
      <c r="F290" s="346" t="s">
        <v>630</v>
      </c>
      <c r="G290" s="350" t="s">
        <v>452</v>
      </c>
      <c r="H290" s="351">
        <f t="shared" si="5"/>
        <v>9128.34</v>
      </c>
      <c r="I290" s="120" t="str">
        <f>IF(OR(D290&lt;Capa!$A$5,D290&gt;Capa!$A$7,E290&lt;Capa!$A$5,E290&gt;Capa!$A$7,D290&gt;E290),"Erro","")</f>
        <v/>
      </c>
    </row>
    <row r="291" spans="1:9" ht="45">
      <c r="A291" s="345">
        <v>288</v>
      </c>
      <c r="B291" s="346" t="s">
        <v>282</v>
      </c>
      <c r="C291" s="347">
        <v>743.18</v>
      </c>
      <c r="D291" s="348">
        <v>45658</v>
      </c>
      <c r="E291" s="348">
        <v>45992</v>
      </c>
      <c r="F291" s="346" t="s">
        <v>630</v>
      </c>
      <c r="G291" s="350" t="s">
        <v>452</v>
      </c>
      <c r="H291" s="351">
        <f t="shared" si="5"/>
        <v>8918.16</v>
      </c>
      <c r="I291" s="120" t="str">
        <f>IF(OR(D291&lt;Capa!$A$5,D291&gt;Capa!$A$7,E291&lt;Capa!$A$5,E291&gt;Capa!$A$7,D291&gt;E291),"Erro","")</f>
        <v/>
      </c>
    </row>
    <row r="292" spans="1:9" ht="45">
      <c r="A292" s="345">
        <v>289</v>
      </c>
      <c r="B292" s="346" t="s">
        <v>282</v>
      </c>
      <c r="C292" s="347">
        <v>786.59</v>
      </c>
      <c r="D292" s="348">
        <v>46023</v>
      </c>
      <c r="E292" s="348">
        <v>46357</v>
      </c>
      <c r="F292" s="346" t="s">
        <v>630</v>
      </c>
      <c r="G292" s="350" t="s">
        <v>452</v>
      </c>
      <c r="H292" s="351">
        <f t="shared" si="5"/>
        <v>9439.08</v>
      </c>
      <c r="I292" s="120" t="str">
        <f>IF(OR(D292&lt;Capa!$A$5,D292&gt;Capa!$A$7,E292&lt;Capa!$A$5,E292&gt;Capa!$A$7,D292&gt;E292),"Erro","")</f>
        <v/>
      </c>
    </row>
    <row r="293" spans="1:9" ht="45">
      <c r="A293" s="345">
        <v>290</v>
      </c>
      <c r="B293" s="346" t="s">
        <v>282</v>
      </c>
      <c r="C293" s="347">
        <v>832.52</v>
      </c>
      <c r="D293" s="348">
        <v>46388</v>
      </c>
      <c r="E293" s="348">
        <v>46722</v>
      </c>
      <c r="F293" s="346" t="s">
        <v>630</v>
      </c>
      <c r="G293" s="350" t="s">
        <v>452</v>
      </c>
      <c r="H293" s="351">
        <f t="shared" si="5"/>
        <v>9990.24</v>
      </c>
      <c r="I293" s="120" t="str">
        <f>IF(OR(D293&lt;Capa!$A$5,D293&gt;Capa!$A$7,E293&lt;Capa!$A$5,E293&gt;Capa!$A$7,D293&gt;E293),"Erro","")</f>
        <v/>
      </c>
    </row>
    <row r="294" spans="1:9" ht="45">
      <c r="A294" s="345">
        <v>291</v>
      </c>
      <c r="B294" s="346" t="s">
        <v>282</v>
      </c>
      <c r="C294" s="347">
        <v>881.14</v>
      </c>
      <c r="D294" s="348">
        <v>46753</v>
      </c>
      <c r="E294" s="348">
        <v>47058</v>
      </c>
      <c r="F294" s="346" t="s">
        <v>630</v>
      </c>
      <c r="G294" s="350" t="s">
        <v>452</v>
      </c>
      <c r="H294" s="351">
        <f t="shared" si="5"/>
        <v>9692.5399999999991</v>
      </c>
      <c r="I294" s="120" t="str">
        <f>IF(OR(D294&lt;Capa!$A$5,D294&gt;Capa!$A$7,E294&lt;Capa!$A$5,E294&gt;Capa!$A$7,D294&gt;E294),"Erro","")</f>
        <v/>
      </c>
    </row>
    <row r="295" spans="1:9" ht="45">
      <c r="A295" s="345">
        <v>292</v>
      </c>
      <c r="B295" s="346" t="s">
        <v>284</v>
      </c>
      <c r="C295" s="347">
        <v>1013.31</v>
      </c>
      <c r="D295" s="348">
        <v>45261</v>
      </c>
      <c r="E295" s="348">
        <v>45627</v>
      </c>
      <c r="F295" s="346" t="s">
        <v>630</v>
      </c>
      <c r="G295" s="350" t="s">
        <v>452</v>
      </c>
      <c r="H295" s="351">
        <f t="shared" si="5"/>
        <v>13173.029999999999</v>
      </c>
      <c r="I295" s="120" t="str">
        <f>IF(OR(D295&lt;Capa!$A$5,D295&gt;Capa!$A$7,E295&lt;Capa!$A$5,E295&gt;Capa!$A$7,D295&gt;E295),"Erro","")</f>
        <v/>
      </c>
    </row>
    <row r="296" spans="1:9" ht="45">
      <c r="A296" s="345">
        <v>293</v>
      </c>
      <c r="B296" s="346" t="s">
        <v>284</v>
      </c>
      <c r="C296" s="347">
        <v>1072.49</v>
      </c>
      <c r="D296" s="348">
        <v>45658</v>
      </c>
      <c r="E296" s="348">
        <v>45992</v>
      </c>
      <c r="F296" s="346" t="s">
        <v>630</v>
      </c>
      <c r="G296" s="350" t="s">
        <v>452</v>
      </c>
      <c r="H296" s="351">
        <f t="shared" si="5"/>
        <v>12869.880000000001</v>
      </c>
      <c r="I296" s="120" t="str">
        <f>IF(OR(D296&lt;Capa!$A$5,D296&gt;Capa!$A$7,E296&lt;Capa!$A$5,E296&gt;Capa!$A$7,D296&gt;E296),"Erro","")</f>
        <v/>
      </c>
    </row>
    <row r="297" spans="1:9" ht="45">
      <c r="A297" s="345">
        <v>294</v>
      </c>
      <c r="B297" s="346" t="s">
        <v>284</v>
      </c>
      <c r="C297" s="347">
        <v>1135.1199999999999</v>
      </c>
      <c r="D297" s="348">
        <v>46023</v>
      </c>
      <c r="E297" s="348">
        <v>46357</v>
      </c>
      <c r="F297" s="346" t="s">
        <v>630</v>
      </c>
      <c r="G297" s="350" t="s">
        <v>452</v>
      </c>
      <c r="H297" s="351">
        <f t="shared" si="5"/>
        <v>13621.439999999999</v>
      </c>
      <c r="I297" s="120" t="str">
        <f>IF(OR(D297&lt;Capa!$A$5,D297&gt;Capa!$A$7,E297&lt;Capa!$A$5,E297&gt;Capa!$A$7,D297&gt;E297),"Erro","")</f>
        <v/>
      </c>
    </row>
    <row r="298" spans="1:9" ht="45">
      <c r="A298" s="345">
        <v>295</v>
      </c>
      <c r="B298" s="346" t="s">
        <v>284</v>
      </c>
      <c r="C298" s="347">
        <v>1201.42</v>
      </c>
      <c r="D298" s="348">
        <v>46388</v>
      </c>
      <c r="E298" s="348">
        <v>46722</v>
      </c>
      <c r="F298" s="346" t="s">
        <v>630</v>
      </c>
      <c r="G298" s="350" t="s">
        <v>452</v>
      </c>
      <c r="H298" s="351">
        <f t="shared" si="5"/>
        <v>14417.04</v>
      </c>
      <c r="I298" s="120" t="str">
        <f>IF(OR(D298&lt;Capa!$A$5,D298&gt;Capa!$A$7,E298&lt;Capa!$A$5,E298&gt;Capa!$A$7,D298&gt;E298),"Erro","")</f>
        <v/>
      </c>
    </row>
    <row r="299" spans="1:9" ht="45">
      <c r="A299" s="345">
        <v>296</v>
      </c>
      <c r="B299" s="346" t="s">
        <v>284</v>
      </c>
      <c r="C299" s="347">
        <v>1271.58</v>
      </c>
      <c r="D299" s="348">
        <v>46753</v>
      </c>
      <c r="E299" s="348">
        <v>47058</v>
      </c>
      <c r="F299" s="346" t="s">
        <v>630</v>
      </c>
      <c r="G299" s="350" t="s">
        <v>452</v>
      </c>
      <c r="H299" s="351">
        <f t="shared" si="5"/>
        <v>13987.38</v>
      </c>
      <c r="I299" s="120" t="str">
        <f>IF(OR(D299&lt;Capa!$A$5,D299&gt;Capa!$A$7,E299&lt;Capa!$A$5,E299&gt;Capa!$A$7,D299&gt;E299),"Erro","")</f>
        <v/>
      </c>
    </row>
    <row r="300" spans="1:9" ht="45">
      <c r="A300" s="345">
        <v>297</v>
      </c>
      <c r="B300" s="346" t="s">
        <v>286</v>
      </c>
      <c r="C300" s="347">
        <v>1013.31</v>
      </c>
      <c r="D300" s="348">
        <v>45261</v>
      </c>
      <c r="E300" s="348">
        <v>45627</v>
      </c>
      <c r="F300" s="346" t="s">
        <v>630</v>
      </c>
      <c r="G300" s="350" t="s">
        <v>452</v>
      </c>
      <c r="H300" s="351">
        <f t="shared" si="5"/>
        <v>13173.029999999999</v>
      </c>
      <c r="I300" s="120" t="str">
        <f>IF(OR(D300&lt;Capa!$A$5,D300&gt;Capa!$A$7,E300&lt;Capa!$A$5,E300&gt;Capa!$A$7,D300&gt;E300),"Erro","")</f>
        <v/>
      </c>
    </row>
    <row r="301" spans="1:9" ht="45">
      <c r="A301" s="345">
        <v>298</v>
      </c>
      <c r="B301" s="346" t="s">
        <v>286</v>
      </c>
      <c r="C301" s="347">
        <v>1072.49</v>
      </c>
      <c r="D301" s="348">
        <v>45658</v>
      </c>
      <c r="E301" s="348">
        <v>45992</v>
      </c>
      <c r="F301" s="346" t="s">
        <v>630</v>
      </c>
      <c r="G301" s="350" t="s">
        <v>452</v>
      </c>
      <c r="H301" s="351">
        <f t="shared" si="5"/>
        <v>12869.880000000001</v>
      </c>
      <c r="I301" s="120" t="str">
        <f>IF(OR(D301&lt;Capa!$A$5,D301&gt;Capa!$A$7,E301&lt;Capa!$A$5,E301&gt;Capa!$A$7,D301&gt;E301),"Erro","")</f>
        <v/>
      </c>
    </row>
    <row r="302" spans="1:9" ht="45">
      <c r="A302" s="345">
        <v>299</v>
      </c>
      <c r="B302" s="346" t="s">
        <v>286</v>
      </c>
      <c r="C302" s="347">
        <v>2270.52</v>
      </c>
      <c r="D302" s="348">
        <v>46023</v>
      </c>
      <c r="E302" s="348">
        <v>46357</v>
      </c>
      <c r="F302" s="346" t="s">
        <v>630</v>
      </c>
      <c r="G302" s="350" t="s">
        <v>452</v>
      </c>
      <c r="H302" s="351">
        <f t="shared" si="5"/>
        <v>27246.239999999998</v>
      </c>
      <c r="I302" s="120" t="str">
        <f>IF(OR(D302&lt;Capa!$A$5,D302&gt;Capa!$A$7,E302&lt;Capa!$A$5,E302&gt;Capa!$A$7,D302&gt;E302),"Erro","")</f>
        <v/>
      </c>
    </row>
    <row r="303" spans="1:9" ht="45">
      <c r="A303" s="345">
        <v>300</v>
      </c>
      <c r="B303" s="346" t="s">
        <v>286</v>
      </c>
      <c r="C303" s="347">
        <v>2403.12</v>
      </c>
      <c r="D303" s="348">
        <v>46388</v>
      </c>
      <c r="E303" s="348">
        <v>46722</v>
      </c>
      <c r="F303" s="346" t="s">
        <v>630</v>
      </c>
      <c r="G303" s="350" t="s">
        <v>452</v>
      </c>
      <c r="H303" s="351">
        <f t="shared" si="5"/>
        <v>28837.439999999999</v>
      </c>
      <c r="I303" s="120" t="str">
        <f>IF(OR(D303&lt;Capa!$A$5,D303&gt;Capa!$A$7,E303&lt;Capa!$A$5,E303&gt;Capa!$A$7,D303&gt;E303),"Erro","")</f>
        <v/>
      </c>
    </row>
    <row r="304" spans="1:9" ht="45">
      <c r="A304" s="345">
        <v>301</v>
      </c>
      <c r="B304" s="346" t="s">
        <v>286</v>
      </c>
      <c r="C304" s="347">
        <v>2543.4699999999998</v>
      </c>
      <c r="D304" s="348">
        <v>46753</v>
      </c>
      <c r="E304" s="348">
        <v>47058</v>
      </c>
      <c r="F304" s="346" t="s">
        <v>630</v>
      </c>
      <c r="G304" s="350" t="s">
        <v>452</v>
      </c>
      <c r="H304" s="351">
        <f t="shared" si="5"/>
        <v>27978.17</v>
      </c>
      <c r="I304" s="120" t="str">
        <f>IF(OR(D304&lt;Capa!$A$5,D304&gt;Capa!$A$7,E304&lt;Capa!$A$5,E304&gt;Capa!$A$7,D304&gt;E304),"Erro","")</f>
        <v/>
      </c>
    </row>
    <row r="305" spans="1:9" ht="45">
      <c r="A305" s="345">
        <v>302</v>
      </c>
      <c r="B305" s="346" t="s">
        <v>288</v>
      </c>
      <c r="C305" s="347">
        <v>200</v>
      </c>
      <c r="D305" s="348">
        <v>45261</v>
      </c>
      <c r="E305" s="348">
        <v>45627</v>
      </c>
      <c r="F305" s="346" t="s">
        <v>630</v>
      </c>
      <c r="G305" s="350" t="s">
        <v>453</v>
      </c>
      <c r="H305" s="351">
        <f t="shared" si="5"/>
        <v>2600</v>
      </c>
      <c r="I305" s="120" t="str">
        <f>IF(OR(D305&lt;Capa!$A$5,D305&gt;Capa!$A$7,E305&lt;Capa!$A$5,E305&gt;Capa!$A$7,D305&gt;E305),"Erro","")</f>
        <v/>
      </c>
    </row>
    <row r="306" spans="1:9" ht="45">
      <c r="A306" s="345">
        <v>303</v>
      </c>
      <c r="B306" s="346" t="s">
        <v>288</v>
      </c>
      <c r="C306" s="347">
        <v>200</v>
      </c>
      <c r="D306" s="348">
        <v>45658</v>
      </c>
      <c r="E306" s="348">
        <v>45992</v>
      </c>
      <c r="F306" s="346" t="s">
        <v>630</v>
      </c>
      <c r="G306" s="350" t="s">
        <v>453</v>
      </c>
      <c r="H306" s="351">
        <f t="shared" si="5"/>
        <v>2400</v>
      </c>
      <c r="I306" s="120" t="str">
        <f>IF(OR(D306&lt;Capa!$A$5,D306&gt;Capa!$A$7,E306&lt;Capa!$A$5,E306&gt;Capa!$A$7,D306&gt;E306),"Erro","")</f>
        <v/>
      </c>
    </row>
    <row r="307" spans="1:9" ht="45">
      <c r="A307" s="345">
        <v>304</v>
      </c>
      <c r="B307" s="346" t="s">
        <v>288</v>
      </c>
      <c r="C307" s="347">
        <v>200</v>
      </c>
      <c r="D307" s="348">
        <v>46023</v>
      </c>
      <c r="E307" s="348">
        <v>46357</v>
      </c>
      <c r="F307" s="346" t="s">
        <v>630</v>
      </c>
      <c r="G307" s="350" t="s">
        <v>453</v>
      </c>
      <c r="H307" s="351">
        <f t="shared" si="5"/>
        <v>2400</v>
      </c>
      <c r="I307" s="120" t="str">
        <f>IF(OR(D307&lt;Capa!$A$5,D307&gt;Capa!$A$7,E307&lt;Capa!$A$5,E307&gt;Capa!$A$7,D307&gt;E307),"Erro","")</f>
        <v/>
      </c>
    </row>
    <row r="308" spans="1:9" ht="45">
      <c r="A308" s="345">
        <v>305</v>
      </c>
      <c r="B308" s="346" t="s">
        <v>288</v>
      </c>
      <c r="C308" s="347">
        <v>200</v>
      </c>
      <c r="D308" s="348">
        <v>46388</v>
      </c>
      <c r="E308" s="348">
        <v>46722</v>
      </c>
      <c r="F308" s="346" t="s">
        <v>630</v>
      </c>
      <c r="G308" s="350" t="s">
        <v>453</v>
      </c>
      <c r="H308" s="351">
        <f t="shared" si="5"/>
        <v>2400</v>
      </c>
      <c r="I308" s="120" t="str">
        <f>IF(OR(D308&lt;Capa!$A$5,D308&gt;Capa!$A$7,E308&lt;Capa!$A$5,E308&gt;Capa!$A$7,D308&gt;E308),"Erro","")</f>
        <v/>
      </c>
    </row>
    <row r="309" spans="1:9" ht="45">
      <c r="A309" s="345">
        <v>306</v>
      </c>
      <c r="B309" s="346" t="s">
        <v>288</v>
      </c>
      <c r="C309" s="347">
        <v>200</v>
      </c>
      <c r="D309" s="348">
        <v>46753</v>
      </c>
      <c r="E309" s="348">
        <v>47058</v>
      </c>
      <c r="F309" s="346" t="s">
        <v>630</v>
      </c>
      <c r="G309" s="350" t="s">
        <v>453</v>
      </c>
      <c r="H309" s="351">
        <f t="shared" si="5"/>
        <v>2200</v>
      </c>
      <c r="I309" s="120" t="str">
        <f>IF(OR(D309&lt;Capa!$A$5,D309&gt;Capa!$A$7,E309&lt;Capa!$A$5,E309&gt;Capa!$A$7,D309&gt;E309),"Erro","")</f>
        <v/>
      </c>
    </row>
    <row r="310" spans="1:9" ht="33.75">
      <c r="A310" s="345">
        <v>307</v>
      </c>
      <c r="B310" s="346" t="s">
        <v>294</v>
      </c>
      <c r="C310" s="347">
        <v>7000</v>
      </c>
      <c r="D310" s="348">
        <v>45261</v>
      </c>
      <c r="E310" s="348">
        <v>45627</v>
      </c>
      <c r="F310" s="346" t="s">
        <v>630</v>
      </c>
      <c r="G310" s="350" t="s">
        <v>454</v>
      </c>
      <c r="H310" s="351">
        <f t="shared" si="5"/>
        <v>91000</v>
      </c>
      <c r="I310" s="120" t="str">
        <f>IF(OR(D310&lt;Capa!$A$5,D310&gt;Capa!$A$7,E310&lt;Capa!$A$5,E310&gt;Capa!$A$7,D310&gt;E310),"Erro","")</f>
        <v/>
      </c>
    </row>
    <row r="311" spans="1:9" ht="33.75">
      <c r="A311" s="345">
        <v>308</v>
      </c>
      <c r="B311" s="346" t="s">
        <v>294</v>
      </c>
      <c r="C311" s="347">
        <v>7408.8</v>
      </c>
      <c r="D311" s="348">
        <v>45658</v>
      </c>
      <c r="E311" s="348">
        <v>45992</v>
      </c>
      <c r="F311" s="346" t="s">
        <v>630</v>
      </c>
      <c r="G311" s="350" t="s">
        <v>454</v>
      </c>
      <c r="H311" s="351">
        <f t="shared" si="5"/>
        <v>88905.600000000006</v>
      </c>
      <c r="I311" s="120" t="str">
        <f>IF(OR(D311&lt;Capa!$A$5,D311&gt;Capa!$A$7,E311&lt;Capa!$A$5,E311&gt;Capa!$A$7,D311&gt;E311),"Erro","")</f>
        <v/>
      </c>
    </row>
    <row r="312" spans="1:9" ht="33.75">
      <c r="A312" s="345">
        <v>309</v>
      </c>
      <c r="B312" s="346" t="s">
        <v>294</v>
      </c>
      <c r="C312" s="347">
        <v>7847.65</v>
      </c>
      <c r="D312" s="348">
        <v>46023</v>
      </c>
      <c r="E312" s="348">
        <v>46357</v>
      </c>
      <c r="F312" s="346" t="s">
        <v>630</v>
      </c>
      <c r="G312" s="350" t="s">
        <v>454</v>
      </c>
      <c r="H312" s="351">
        <f t="shared" si="5"/>
        <v>94171.799999999988</v>
      </c>
      <c r="I312" s="120" t="str">
        <f>IF(OR(D312&lt;Capa!$A$5,D312&gt;Capa!$A$7,E312&lt;Capa!$A$5,E312&gt;Capa!$A$7,D312&gt;E312),"Erro","")</f>
        <v/>
      </c>
    </row>
    <row r="313" spans="1:9" ht="33.75">
      <c r="A313" s="345">
        <v>310</v>
      </c>
      <c r="B313" s="346" t="s">
        <v>294</v>
      </c>
      <c r="C313" s="347">
        <v>8305.9500000000007</v>
      </c>
      <c r="D313" s="348">
        <v>46388</v>
      </c>
      <c r="E313" s="348">
        <v>46722</v>
      </c>
      <c r="F313" s="346" t="s">
        <v>630</v>
      </c>
      <c r="G313" s="350" t="s">
        <v>454</v>
      </c>
      <c r="H313" s="351">
        <f t="shared" si="5"/>
        <v>99671.400000000009</v>
      </c>
      <c r="I313" s="120" t="str">
        <f>IF(OR(D313&lt;Capa!$A$5,D313&gt;Capa!$A$7,E313&lt;Capa!$A$5,E313&gt;Capa!$A$7,D313&gt;E313),"Erro","")</f>
        <v/>
      </c>
    </row>
    <row r="314" spans="1:9" ht="33.75">
      <c r="A314" s="345">
        <v>311</v>
      </c>
      <c r="B314" s="346" t="s">
        <v>294</v>
      </c>
      <c r="C314" s="347">
        <v>8791.02</v>
      </c>
      <c r="D314" s="348">
        <v>46753</v>
      </c>
      <c r="E314" s="348">
        <v>47058</v>
      </c>
      <c r="F314" s="346" t="s">
        <v>630</v>
      </c>
      <c r="G314" s="350" t="s">
        <v>454</v>
      </c>
      <c r="H314" s="351">
        <f t="shared" si="5"/>
        <v>96701.22</v>
      </c>
      <c r="I314" s="120" t="str">
        <f>IF(OR(D314&lt;Capa!$A$5,D314&gt;Capa!$A$7,E314&lt;Capa!$A$5,E314&gt;Capa!$A$7,D314&gt;E314),"Erro","")</f>
        <v/>
      </c>
    </row>
    <row r="315" spans="1:9" ht="22.5">
      <c r="A315" s="345">
        <v>312</v>
      </c>
      <c r="B315" s="346" t="s">
        <v>302</v>
      </c>
      <c r="C315" s="347">
        <v>500</v>
      </c>
      <c r="D315" s="348">
        <v>45261</v>
      </c>
      <c r="E315" s="348">
        <v>45627</v>
      </c>
      <c r="F315" s="346" t="s">
        <v>630</v>
      </c>
      <c r="G315" s="350" t="s">
        <v>455</v>
      </c>
      <c r="H315" s="351">
        <f t="shared" si="5"/>
        <v>6500</v>
      </c>
      <c r="I315" s="120" t="str">
        <f>IF(OR(D315&lt;Capa!$A$5,D315&gt;Capa!$A$7,E315&lt;Capa!$A$5,E315&gt;Capa!$A$7,D315&gt;E315),"Erro","")</f>
        <v/>
      </c>
    </row>
    <row r="316" spans="1:9" ht="22.5">
      <c r="A316" s="345">
        <v>313</v>
      </c>
      <c r="B316" s="346" t="s">
        <v>302</v>
      </c>
      <c r="C316" s="347">
        <v>210</v>
      </c>
      <c r="D316" s="348">
        <v>45658</v>
      </c>
      <c r="E316" s="348">
        <v>45992</v>
      </c>
      <c r="F316" s="346" t="s">
        <v>630</v>
      </c>
      <c r="G316" s="350" t="s">
        <v>455</v>
      </c>
      <c r="H316" s="351">
        <f t="shared" si="5"/>
        <v>2520</v>
      </c>
      <c r="I316" s="120" t="str">
        <f>IF(OR(D316&lt;Capa!$A$5,D316&gt;Capa!$A$7,E316&lt;Capa!$A$5,E316&gt;Capa!$A$7,D316&gt;E316),"Erro","")</f>
        <v/>
      </c>
    </row>
    <row r="317" spans="1:9" ht="22.5">
      <c r="A317" s="345">
        <v>314</v>
      </c>
      <c r="B317" s="346" t="s">
        <v>302</v>
      </c>
      <c r="C317" s="347">
        <v>210</v>
      </c>
      <c r="D317" s="348">
        <v>46023</v>
      </c>
      <c r="E317" s="348">
        <v>46357</v>
      </c>
      <c r="F317" s="346" t="s">
        <v>630</v>
      </c>
      <c r="G317" s="350" t="s">
        <v>455</v>
      </c>
      <c r="H317" s="351">
        <f t="shared" si="5"/>
        <v>2520</v>
      </c>
      <c r="I317" s="120" t="str">
        <f>IF(OR(D317&lt;Capa!$A$5,D317&gt;Capa!$A$7,E317&lt;Capa!$A$5,E317&gt;Capa!$A$7,D317&gt;E317),"Erro","")</f>
        <v/>
      </c>
    </row>
    <row r="318" spans="1:9" ht="22.5">
      <c r="A318" s="345">
        <v>315</v>
      </c>
      <c r="B318" s="346" t="s">
        <v>302</v>
      </c>
      <c r="C318" s="347">
        <v>210</v>
      </c>
      <c r="D318" s="348">
        <v>46388</v>
      </c>
      <c r="E318" s="348">
        <v>46722</v>
      </c>
      <c r="F318" s="346" t="s">
        <v>630</v>
      </c>
      <c r="G318" s="350" t="s">
        <v>455</v>
      </c>
      <c r="H318" s="351">
        <f t="shared" si="5"/>
        <v>2520</v>
      </c>
      <c r="I318" s="120" t="str">
        <f>IF(OR(D318&lt;Capa!$A$5,D318&gt;Capa!$A$7,E318&lt;Capa!$A$5,E318&gt;Capa!$A$7,D318&gt;E318),"Erro","")</f>
        <v/>
      </c>
    </row>
    <row r="319" spans="1:9" ht="22.5">
      <c r="A319" s="345">
        <v>316</v>
      </c>
      <c r="B319" s="346" t="s">
        <v>302</v>
      </c>
      <c r="C319" s="347">
        <v>210</v>
      </c>
      <c r="D319" s="348">
        <v>46753</v>
      </c>
      <c r="E319" s="348">
        <v>47058</v>
      </c>
      <c r="F319" s="346" t="s">
        <v>630</v>
      </c>
      <c r="G319" s="350" t="s">
        <v>455</v>
      </c>
      <c r="H319" s="351">
        <f t="shared" si="5"/>
        <v>2310</v>
      </c>
      <c r="I319" s="120" t="str">
        <f>IF(OR(D319&lt;Capa!$A$5,D319&gt;Capa!$A$7,E319&lt;Capa!$A$5,E319&gt;Capa!$A$7,D319&gt;E319),"Erro","")</f>
        <v/>
      </c>
    </row>
    <row r="320" spans="1:9" ht="33.75">
      <c r="A320" s="345">
        <v>317</v>
      </c>
      <c r="B320" s="346" t="s">
        <v>304</v>
      </c>
      <c r="C320" s="347">
        <v>1800</v>
      </c>
      <c r="D320" s="348">
        <v>45261</v>
      </c>
      <c r="E320" s="348">
        <v>45627</v>
      </c>
      <c r="F320" s="346" t="s">
        <v>630</v>
      </c>
      <c r="G320" s="350" t="s">
        <v>456</v>
      </c>
      <c r="H320" s="351">
        <f t="shared" si="5"/>
        <v>23400</v>
      </c>
      <c r="I320" s="120" t="str">
        <f>IF(OR(D320&lt;Capa!$A$5,D320&gt;Capa!$A$7,E320&lt;Capa!$A$5,E320&gt;Capa!$A$7,D320&gt;E320),"Erro","")</f>
        <v/>
      </c>
    </row>
    <row r="321" spans="1:9" ht="33.75">
      <c r="A321" s="345">
        <v>318</v>
      </c>
      <c r="B321" s="346" t="s">
        <v>304</v>
      </c>
      <c r="C321" s="347">
        <v>1905.12</v>
      </c>
      <c r="D321" s="348">
        <v>45658</v>
      </c>
      <c r="E321" s="348">
        <v>45992</v>
      </c>
      <c r="F321" s="346" t="s">
        <v>630</v>
      </c>
      <c r="G321" s="350" t="s">
        <v>456</v>
      </c>
      <c r="H321" s="351">
        <f t="shared" si="5"/>
        <v>22861.439999999999</v>
      </c>
      <c r="I321" s="120" t="str">
        <f>IF(OR(D321&lt;Capa!$A$5,D321&gt;Capa!$A$7,E321&lt;Capa!$A$5,E321&gt;Capa!$A$7,D321&gt;E321),"Erro","")</f>
        <v/>
      </c>
    </row>
    <row r="322" spans="1:9" ht="33.75">
      <c r="A322" s="345">
        <v>319</v>
      </c>
      <c r="B322" s="346" t="s">
        <v>304</v>
      </c>
      <c r="C322" s="347">
        <v>2016.37</v>
      </c>
      <c r="D322" s="348">
        <v>46023</v>
      </c>
      <c r="E322" s="348">
        <v>46357</v>
      </c>
      <c r="F322" s="346" t="s">
        <v>630</v>
      </c>
      <c r="G322" s="350" t="s">
        <v>456</v>
      </c>
      <c r="H322" s="351">
        <f t="shared" si="5"/>
        <v>24196.44</v>
      </c>
      <c r="I322" s="120" t="str">
        <f>IF(OR(D322&lt;Capa!$A$5,D322&gt;Capa!$A$7,E322&lt;Capa!$A$5,E322&gt;Capa!$A$7,D322&gt;E322),"Erro","")</f>
        <v/>
      </c>
    </row>
    <row r="323" spans="1:9" ht="33.75">
      <c r="A323" s="345">
        <v>320</v>
      </c>
      <c r="B323" s="346" t="s">
        <v>304</v>
      </c>
      <c r="C323" s="347">
        <v>2134.13</v>
      </c>
      <c r="D323" s="348">
        <v>46388</v>
      </c>
      <c r="E323" s="348">
        <v>46722</v>
      </c>
      <c r="F323" s="346" t="s">
        <v>630</v>
      </c>
      <c r="G323" s="350" t="s">
        <v>456</v>
      </c>
      <c r="H323" s="351">
        <f t="shared" si="5"/>
        <v>25609.56</v>
      </c>
      <c r="I323" s="120" t="str">
        <f>IF(OR(D323&lt;Capa!$A$5,D323&gt;Capa!$A$7,E323&lt;Capa!$A$5,E323&gt;Capa!$A$7,D323&gt;E323),"Erro","")</f>
        <v/>
      </c>
    </row>
    <row r="324" spans="1:9" ht="33.75">
      <c r="A324" s="345">
        <v>321</v>
      </c>
      <c r="B324" s="346" t="s">
        <v>304</v>
      </c>
      <c r="C324" s="347">
        <v>2258.7600000000002</v>
      </c>
      <c r="D324" s="348">
        <v>46753</v>
      </c>
      <c r="E324" s="348">
        <v>47058</v>
      </c>
      <c r="F324" s="346" t="s">
        <v>630</v>
      </c>
      <c r="G324" s="350" t="s">
        <v>456</v>
      </c>
      <c r="H324" s="351">
        <f t="shared" si="5"/>
        <v>24846.36</v>
      </c>
      <c r="I324" s="120" t="str">
        <f>IF(OR(D324&lt;Capa!$A$5,D324&gt;Capa!$A$7,E324&lt;Capa!$A$5,E324&gt;Capa!$A$7,D324&gt;E324),"Erro","")</f>
        <v/>
      </c>
    </row>
    <row r="325" spans="1:9" ht="22.5">
      <c r="A325" s="345">
        <v>322</v>
      </c>
      <c r="B325" s="346" t="s">
        <v>308</v>
      </c>
      <c r="C325" s="347">
        <v>26</v>
      </c>
      <c r="D325" s="348">
        <v>45292</v>
      </c>
      <c r="E325" s="348">
        <v>45413</v>
      </c>
      <c r="F325" s="346" t="s">
        <v>630</v>
      </c>
      <c r="G325" s="350" t="s">
        <v>713</v>
      </c>
      <c r="H325" s="351">
        <f t="shared" si="5"/>
        <v>130</v>
      </c>
      <c r="I325" s="120" t="str">
        <f>IF(OR(D325&lt;Capa!$A$5,D325&gt;Capa!$A$7,E325&lt;Capa!$A$5,E325&gt;Capa!$A$7,D325&gt;E325),"Erro","")</f>
        <v/>
      </c>
    </row>
    <row r="326" spans="1:9" ht="22.5">
      <c r="A326" s="345">
        <v>323</v>
      </c>
      <c r="B326" s="346" t="s">
        <v>308</v>
      </c>
      <c r="C326" s="347">
        <v>26</v>
      </c>
      <c r="D326" s="348">
        <v>45658</v>
      </c>
      <c r="E326" s="348">
        <v>45778</v>
      </c>
      <c r="F326" s="346" t="s">
        <v>630</v>
      </c>
      <c r="G326" s="350" t="s">
        <v>713</v>
      </c>
      <c r="H326" s="351">
        <f t="shared" si="5"/>
        <v>130</v>
      </c>
      <c r="I326" s="120" t="str">
        <f>IF(OR(D326&lt;Capa!$A$5,D326&gt;Capa!$A$7,E326&lt;Capa!$A$5,E326&gt;Capa!$A$7,D326&gt;E326),"Erro","")</f>
        <v/>
      </c>
    </row>
    <row r="327" spans="1:9" ht="22.5">
      <c r="A327" s="345">
        <v>324</v>
      </c>
      <c r="B327" s="346" t="s">
        <v>308</v>
      </c>
      <c r="C327" s="347">
        <v>26</v>
      </c>
      <c r="D327" s="348">
        <v>46023</v>
      </c>
      <c r="E327" s="348">
        <v>46143</v>
      </c>
      <c r="F327" s="346" t="s">
        <v>630</v>
      </c>
      <c r="G327" s="350" t="s">
        <v>713</v>
      </c>
      <c r="H327" s="351">
        <f t="shared" si="5"/>
        <v>130</v>
      </c>
      <c r="I327" s="120" t="str">
        <f>IF(OR(D327&lt;Capa!$A$5,D327&gt;Capa!$A$7,E327&lt;Capa!$A$5,E327&gt;Capa!$A$7,D327&gt;E327),"Erro","")</f>
        <v/>
      </c>
    </row>
    <row r="328" spans="1:9" ht="22.5">
      <c r="A328" s="345">
        <v>325</v>
      </c>
      <c r="B328" s="346" t="s">
        <v>308</v>
      </c>
      <c r="C328" s="347">
        <v>26</v>
      </c>
      <c r="D328" s="348">
        <v>46388</v>
      </c>
      <c r="E328" s="348">
        <v>46508</v>
      </c>
      <c r="F328" s="346" t="s">
        <v>630</v>
      </c>
      <c r="G328" s="350" t="s">
        <v>713</v>
      </c>
      <c r="H328" s="351">
        <f t="shared" si="5"/>
        <v>130</v>
      </c>
      <c r="I328" s="120" t="str">
        <f>IF(OR(D328&lt;Capa!$A$5,D328&gt;Capa!$A$7,E328&lt;Capa!$A$5,E328&gt;Capa!$A$7,D328&gt;E328),"Erro","")</f>
        <v/>
      </c>
    </row>
    <row r="329" spans="1:9" ht="22.5">
      <c r="A329" s="345">
        <v>326</v>
      </c>
      <c r="B329" s="346" t="s">
        <v>308</v>
      </c>
      <c r="C329" s="347">
        <v>26</v>
      </c>
      <c r="D329" s="348">
        <v>46753</v>
      </c>
      <c r="E329" s="348">
        <v>46874</v>
      </c>
      <c r="F329" s="346" t="s">
        <v>630</v>
      </c>
      <c r="G329" s="350" t="s">
        <v>713</v>
      </c>
      <c r="H329" s="351">
        <f t="shared" si="5"/>
        <v>130</v>
      </c>
      <c r="I329" s="120" t="str">
        <f>IF(OR(D329&lt;Capa!$A$5,D329&gt;Capa!$A$7,E329&lt;Capa!$A$5,E329&gt;Capa!$A$7,D329&gt;E329),"Erro","")</f>
        <v/>
      </c>
    </row>
    <row r="330" spans="1:9" ht="33.75">
      <c r="A330" s="345">
        <v>327</v>
      </c>
      <c r="B330" s="346" t="s">
        <v>312</v>
      </c>
      <c r="C330" s="347">
        <v>280</v>
      </c>
      <c r="D330" s="348">
        <v>45658</v>
      </c>
      <c r="E330" s="348">
        <v>45992</v>
      </c>
      <c r="F330" s="346" t="s">
        <v>630</v>
      </c>
      <c r="G330" s="350" t="s">
        <v>593</v>
      </c>
      <c r="H330" s="351">
        <f t="shared" si="5"/>
        <v>3360</v>
      </c>
      <c r="I330" s="120" t="str">
        <f>IF(OR(D330&lt;Capa!$A$5,D330&gt;Capa!$A$7,E330&lt;Capa!$A$5,E330&gt;Capa!$A$7,D330&gt;E330),"Erro","")</f>
        <v/>
      </c>
    </row>
    <row r="331" spans="1:9" ht="33.75">
      <c r="A331" s="345">
        <v>328</v>
      </c>
      <c r="B331" s="346" t="s">
        <v>312</v>
      </c>
      <c r="C331" s="347">
        <v>280</v>
      </c>
      <c r="D331" s="348">
        <v>46023</v>
      </c>
      <c r="E331" s="348">
        <v>46357</v>
      </c>
      <c r="F331" s="346" t="s">
        <v>630</v>
      </c>
      <c r="G331" s="350" t="s">
        <v>593</v>
      </c>
      <c r="H331" s="351">
        <f t="shared" si="5"/>
        <v>3360</v>
      </c>
      <c r="I331" s="120" t="str">
        <f>IF(OR(D331&lt;Capa!$A$5,D331&gt;Capa!$A$7,E331&lt;Capa!$A$5,E331&gt;Capa!$A$7,D331&gt;E331),"Erro","")</f>
        <v/>
      </c>
    </row>
    <row r="332" spans="1:9" ht="33.75">
      <c r="A332" s="345">
        <v>329</v>
      </c>
      <c r="B332" s="346" t="s">
        <v>312</v>
      </c>
      <c r="C332" s="347">
        <v>280</v>
      </c>
      <c r="D332" s="348">
        <v>46388</v>
      </c>
      <c r="E332" s="348">
        <v>46722</v>
      </c>
      <c r="F332" s="346" t="s">
        <v>630</v>
      </c>
      <c r="G332" s="350" t="s">
        <v>593</v>
      </c>
      <c r="H332" s="351">
        <f t="shared" si="5"/>
        <v>3360</v>
      </c>
      <c r="I332" s="120" t="str">
        <f>IF(OR(D332&lt;Capa!$A$5,D332&gt;Capa!$A$7,E332&lt;Capa!$A$5,E332&gt;Capa!$A$7,D332&gt;E332),"Erro","")</f>
        <v/>
      </c>
    </row>
    <row r="333" spans="1:9" ht="33.75">
      <c r="A333" s="345">
        <v>330</v>
      </c>
      <c r="B333" s="346" t="s">
        <v>312</v>
      </c>
      <c r="C333" s="347">
        <v>280</v>
      </c>
      <c r="D333" s="348">
        <v>46753</v>
      </c>
      <c r="E333" s="348">
        <v>47058</v>
      </c>
      <c r="F333" s="346" t="s">
        <v>630</v>
      </c>
      <c r="G333" s="350" t="s">
        <v>593</v>
      </c>
      <c r="H333" s="351">
        <f t="shared" si="5"/>
        <v>3080</v>
      </c>
      <c r="I333" s="120" t="str">
        <f>IF(OR(D333&lt;Capa!$A$5,D333&gt;Capa!$A$7,E333&lt;Capa!$A$5,E333&gt;Capa!$A$7,D333&gt;E333),"Erro","")</f>
        <v/>
      </c>
    </row>
    <row r="334" spans="1:9" ht="67.5">
      <c r="A334" s="345">
        <v>331</v>
      </c>
      <c r="B334" s="346" t="s">
        <v>316</v>
      </c>
      <c r="C334" s="347">
        <v>2500</v>
      </c>
      <c r="D334" s="348">
        <v>45292</v>
      </c>
      <c r="E334" s="348">
        <v>45627</v>
      </c>
      <c r="F334" s="346" t="s">
        <v>630</v>
      </c>
      <c r="G334" s="350" t="s">
        <v>592</v>
      </c>
      <c r="H334" s="351">
        <f t="shared" si="5"/>
        <v>30000</v>
      </c>
      <c r="I334" s="120" t="str">
        <f>IF(OR(D334&lt;Capa!$A$5,D334&gt;Capa!$A$7,E334&lt;Capa!$A$5,E334&gt;Capa!$A$7,D334&gt;E334),"Erro","")</f>
        <v/>
      </c>
    </row>
    <row r="335" spans="1:9" ht="67.5">
      <c r="A335" s="345">
        <v>332</v>
      </c>
      <c r="B335" s="346" t="s">
        <v>316</v>
      </c>
      <c r="C335" s="347">
        <v>2500</v>
      </c>
      <c r="D335" s="348">
        <v>45658</v>
      </c>
      <c r="E335" s="348">
        <v>45992</v>
      </c>
      <c r="F335" s="346" t="s">
        <v>630</v>
      </c>
      <c r="G335" s="350" t="s">
        <v>592</v>
      </c>
      <c r="H335" s="351">
        <f t="shared" si="5"/>
        <v>30000</v>
      </c>
      <c r="I335" s="120" t="str">
        <f>IF(OR(D335&lt;Capa!$A$5,D335&gt;Capa!$A$7,E335&lt;Capa!$A$5,E335&gt;Capa!$A$7,D335&gt;E335),"Erro","")</f>
        <v/>
      </c>
    </row>
    <row r="336" spans="1:9" ht="67.5">
      <c r="A336" s="345">
        <v>333</v>
      </c>
      <c r="B336" s="346" t="s">
        <v>316</v>
      </c>
      <c r="C336" s="347">
        <v>2500</v>
      </c>
      <c r="D336" s="348">
        <v>46023</v>
      </c>
      <c r="E336" s="348">
        <v>46357</v>
      </c>
      <c r="F336" s="346" t="s">
        <v>630</v>
      </c>
      <c r="G336" s="350" t="s">
        <v>592</v>
      </c>
      <c r="H336" s="351">
        <f t="shared" si="5"/>
        <v>30000</v>
      </c>
      <c r="I336" s="120" t="str">
        <f>IF(OR(D336&lt;Capa!$A$5,D336&gt;Capa!$A$7,E336&lt;Capa!$A$5,E336&gt;Capa!$A$7,D336&gt;E336),"Erro","")</f>
        <v/>
      </c>
    </row>
    <row r="337" spans="1:9" ht="67.5">
      <c r="A337" s="345">
        <v>334</v>
      </c>
      <c r="B337" s="346" t="s">
        <v>316</v>
      </c>
      <c r="C337" s="347">
        <v>2500</v>
      </c>
      <c r="D337" s="348">
        <v>46388</v>
      </c>
      <c r="E337" s="348">
        <v>46722</v>
      </c>
      <c r="F337" s="346" t="s">
        <v>630</v>
      </c>
      <c r="G337" s="350" t="s">
        <v>592</v>
      </c>
      <c r="H337" s="351">
        <f t="shared" si="5"/>
        <v>30000</v>
      </c>
      <c r="I337" s="120" t="str">
        <f>IF(OR(D337&lt;Capa!$A$5,D337&gt;Capa!$A$7,E337&lt;Capa!$A$5,E337&gt;Capa!$A$7,D337&gt;E337),"Erro","")</f>
        <v/>
      </c>
    </row>
    <row r="338" spans="1:9" ht="67.5">
      <c r="A338" s="345">
        <v>335</v>
      </c>
      <c r="B338" s="346" t="s">
        <v>316</v>
      </c>
      <c r="C338" s="347">
        <v>2500</v>
      </c>
      <c r="D338" s="348">
        <v>46753</v>
      </c>
      <c r="E338" s="348">
        <v>47058</v>
      </c>
      <c r="F338" s="346" t="s">
        <v>630</v>
      </c>
      <c r="G338" s="350" t="s">
        <v>592</v>
      </c>
      <c r="H338" s="351">
        <f t="shared" si="5"/>
        <v>27500</v>
      </c>
      <c r="I338" s="120" t="str">
        <f>IF(OR(D338&lt;Capa!$A$5,D338&gt;Capa!$A$7,E338&lt;Capa!$A$5,E338&gt;Capa!$A$7,D338&gt;E338),"Erro","")</f>
        <v/>
      </c>
    </row>
    <row r="339" spans="1:9" ht="67.5">
      <c r="A339" s="345">
        <v>336</v>
      </c>
      <c r="B339" s="346" t="s">
        <v>318</v>
      </c>
      <c r="C339" s="347">
        <v>1800</v>
      </c>
      <c r="D339" s="348">
        <v>45261</v>
      </c>
      <c r="E339" s="348">
        <v>45627</v>
      </c>
      <c r="F339" s="346" t="s">
        <v>630</v>
      </c>
      <c r="G339" s="350" t="s">
        <v>592</v>
      </c>
      <c r="H339" s="351">
        <f t="shared" si="5"/>
        <v>23400</v>
      </c>
      <c r="I339" s="120" t="str">
        <f>IF(OR(D339&lt;Capa!$A$5,D339&gt;Capa!$A$7,E339&lt;Capa!$A$5,E339&gt;Capa!$A$7,D339&gt;E339),"Erro","")</f>
        <v/>
      </c>
    </row>
    <row r="340" spans="1:9" ht="67.5">
      <c r="A340" s="345">
        <v>337</v>
      </c>
      <c r="B340" s="346" t="s">
        <v>318</v>
      </c>
      <c r="C340" s="347">
        <v>2500</v>
      </c>
      <c r="D340" s="348">
        <v>45658</v>
      </c>
      <c r="E340" s="348">
        <v>45992</v>
      </c>
      <c r="F340" s="346" t="s">
        <v>630</v>
      </c>
      <c r="G340" s="350" t="s">
        <v>592</v>
      </c>
      <c r="H340" s="351">
        <f t="shared" si="5"/>
        <v>30000</v>
      </c>
      <c r="I340" s="120" t="str">
        <f>IF(OR(D340&lt;Capa!$A$5,D340&gt;Capa!$A$7,E340&lt;Capa!$A$5,E340&gt;Capa!$A$7,D340&gt;E340),"Erro","")</f>
        <v/>
      </c>
    </row>
    <row r="341" spans="1:9" ht="67.5">
      <c r="A341" s="345">
        <v>338</v>
      </c>
      <c r="B341" s="346" t="s">
        <v>318</v>
      </c>
      <c r="C341" s="347">
        <v>2500</v>
      </c>
      <c r="D341" s="348">
        <v>46023</v>
      </c>
      <c r="E341" s="348">
        <v>46357</v>
      </c>
      <c r="F341" s="346" t="s">
        <v>630</v>
      </c>
      <c r="G341" s="350" t="s">
        <v>592</v>
      </c>
      <c r="H341" s="351">
        <f t="shared" si="5"/>
        <v>30000</v>
      </c>
      <c r="I341" s="120" t="str">
        <f>IF(OR(D341&lt;Capa!$A$5,D341&gt;Capa!$A$7,E341&lt;Capa!$A$5,E341&gt;Capa!$A$7,D341&gt;E341),"Erro","")</f>
        <v/>
      </c>
    </row>
    <row r="342" spans="1:9" ht="67.5">
      <c r="A342" s="345">
        <v>339</v>
      </c>
      <c r="B342" s="346" t="s">
        <v>318</v>
      </c>
      <c r="C342" s="347">
        <v>2500</v>
      </c>
      <c r="D342" s="348">
        <v>46388</v>
      </c>
      <c r="E342" s="348">
        <v>46722</v>
      </c>
      <c r="F342" s="346" t="s">
        <v>630</v>
      </c>
      <c r="G342" s="350" t="s">
        <v>592</v>
      </c>
      <c r="H342" s="351">
        <f t="shared" si="5"/>
        <v>30000</v>
      </c>
      <c r="I342" s="120" t="str">
        <f>IF(OR(D342&lt;Capa!$A$5,D342&gt;Capa!$A$7,E342&lt;Capa!$A$5,E342&gt;Capa!$A$7,D342&gt;E342),"Erro","")</f>
        <v/>
      </c>
    </row>
    <row r="343" spans="1:9" ht="67.5">
      <c r="A343" s="345">
        <v>340</v>
      </c>
      <c r="B343" s="346" t="s">
        <v>318</v>
      </c>
      <c r="C343" s="347">
        <v>2500</v>
      </c>
      <c r="D343" s="348">
        <v>46753</v>
      </c>
      <c r="E343" s="348">
        <v>47058</v>
      </c>
      <c r="F343" s="346" t="s">
        <v>630</v>
      </c>
      <c r="G343" s="350" t="s">
        <v>592</v>
      </c>
      <c r="H343" s="351">
        <f t="shared" si="5"/>
        <v>27500</v>
      </c>
      <c r="I343" s="120" t="str">
        <f>IF(OR(D343&lt;Capa!$A$5,D343&gt;Capa!$A$7,E343&lt;Capa!$A$5,E343&gt;Capa!$A$7,D343&gt;E343),"Erro","")</f>
        <v/>
      </c>
    </row>
    <row r="344" spans="1:9" ht="56.25">
      <c r="A344" s="345">
        <v>341</v>
      </c>
      <c r="B344" s="346" t="s">
        <v>318</v>
      </c>
      <c r="C344" s="347">
        <v>1800</v>
      </c>
      <c r="D344" s="348">
        <v>45261</v>
      </c>
      <c r="E344" s="348">
        <v>47058</v>
      </c>
      <c r="F344" s="346" t="s">
        <v>630</v>
      </c>
      <c r="G344" s="350" t="s">
        <v>594</v>
      </c>
      <c r="H344" s="351">
        <f t="shared" si="5"/>
        <v>108000</v>
      </c>
      <c r="I344" s="120" t="str">
        <f>IF(OR(D344&lt;Capa!$A$5,D344&gt;Capa!$A$7,E344&lt;Capa!$A$5,E344&gt;Capa!$A$7,D344&gt;E344),"Erro","")</f>
        <v/>
      </c>
    </row>
    <row r="345" spans="1:9" ht="56.25">
      <c r="A345" s="345">
        <v>342</v>
      </c>
      <c r="B345" s="346" t="s">
        <v>318</v>
      </c>
      <c r="C345" s="347">
        <v>1500</v>
      </c>
      <c r="D345" s="348">
        <v>45658</v>
      </c>
      <c r="E345" s="348">
        <v>45992</v>
      </c>
      <c r="F345" s="346" t="s">
        <v>630</v>
      </c>
      <c r="G345" s="350" t="s">
        <v>594</v>
      </c>
      <c r="H345" s="351">
        <f t="shared" ref="H345:H352" si="6">IFERROR((DATEDIF(D345,E345,"M")+1)*C345,0)</f>
        <v>18000</v>
      </c>
      <c r="I345" s="120" t="str">
        <f>IF(OR(D345&lt;Capa!$A$5,D345&gt;Capa!$A$7,E345&lt;Capa!$A$5,E345&gt;Capa!$A$7,D345&gt;E345),"Erro","")</f>
        <v/>
      </c>
    </row>
    <row r="346" spans="1:9" ht="56.25">
      <c r="A346" s="345">
        <v>343</v>
      </c>
      <c r="B346" s="346" t="s">
        <v>318</v>
      </c>
      <c r="C346" s="347">
        <v>1500</v>
      </c>
      <c r="D346" s="348">
        <v>46023</v>
      </c>
      <c r="E346" s="348">
        <v>46357</v>
      </c>
      <c r="F346" s="346" t="s">
        <v>630</v>
      </c>
      <c r="G346" s="350" t="s">
        <v>594</v>
      </c>
      <c r="H346" s="351">
        <f t="shared" si="6"/>
        <v>18000</v>
      </c>
      <c r="I346" s="120" t="str">
        <f>IF(OR(D346&lt;Capa!$A$5,D346&gt;Capa!$A$7,E346&lt;Capa!$A$5,E346&gt;Capa!$A$7,D346&gt;E346),"Erro","")</f>
        <v/>
      </c>
    </row>
    <row r="347" spans="1:9" ht="56.25">
      <c r="A347" s="345">
        <v>344</v>
      </c>
      <c r="B347" s="346" t="s">
        <v>318</v>
      </c>
      <c r="C347" s="347">
        <v>1500</v>
      </c>
      <c r="D347" s="348">
        <v>46388</v>
      </c>
      <c r="E347" s="348">
        <v>46722</v>
      </c>
      <c r="F347" s="346" t="s">
        <v>630</v>
      </c>
      <c r="G347" s="350" t="s">
        <v>594</v>
      </c>
      <c r="H347" s="351">
        <f t="shared" si="6"/>
        <v>18000</v>
      </c>
      <c r="I347" s="120" t="str">
        <f>IF(OR(D347&lt;Capa!$A$5,D347&gt;Capa!$A$7,E347&lt;Capa!$A$5,E347&gt;Capa!$A$7,D347&gt;E347),"Erro","")</f>
        <v/>
      </c>
    </row>
    <row r="348" spans="1:9" ht="56.25">
      <c r="A348" s="345">
        <v>345</v>
      </c>
      <c r="B348" s="346" t="s">
        <v>318</v>
      </c>
      <c r="C348" s="347">
        <v>1500</v>
      </c>
      <c r="D348" s="348">
        <v>46753</v>
      </c>
      <c r="E348" s="348">
        <v>47058</v>
      </c>
      <c r="F348" s="346" t="s">
        <v>630</v>
      </c>
      <c r="G348" s="350" t="s">
        <v>594</v>
      </c>
      <c r="H348" s="351">
        <f t="shared" si="6"/>
        <v>16500</v>
      </c>
      <c r="I348" s="120" t="str">
        <f>IF(OR(D348&lt;Capa!$A$5,D348&gt;Capa!$A$7,E348&lt;Capa!$A$5,E348&gt;Capa!$A$7,D348&gt;E348),"Erro","")</f>
        <v/>
      </c>
    </row>
    <row r="349" spans="1:9" ht="22.5">
      <c r="A349" s="345">
        <v>346</v>
      </c>
      <c r="B349" s="346" t="s">
        <v>298</v>
      </c>
      <c r="C349" s="347">
        <v>2500</v>
      </c>
      <c r="D349" s="348">
        <v>45261</v>
      </c>
      <c r="E349" s="348">
        <v>45627</v>
      </c>
      <c r="F349" s="346" t="s">
        <v>630</v>
      </c>
      <c r="G349" s="350" t="s">
        <v>458</v>
      </c>
      <c r="H349" s="351">
        <f t="shared" si="6"/>
        <v>32500</v>
      </c>
      <c r="I349" s="120" t="str">
        <f>IF(OR(D349&lt;Capa!$A$5,D349&gt;Capa!$A$7,E349&lt;Capa!$A$5,E349&gt;Capa!$A$7,D349&gt;E349),"Erro","")</f>
        <v/>
      </c>
    </row>
    <row r="350" spans="1:9" ht="22.5">
      <c r="A350" s="345">
        <v>347</v>
      </c>
      <c r="B350" s="346" t="s">
        <v>298</v>
      </c>
      <c r="C350" s="347">
        <v>2646</v>
      </c>
      <c r="D350" s="348">
        <v>45658</v>
      </c>
      <c r="E350" s="348">
        <v>45992</v>
      </c>
      <c r="F350" s="346" t="s">
        <v>630</v>
      </c>
      <c r="G350" s="350" t="s">
        <v>458</v>
      </c>
      <c r="H350" s="351">
        <f t="shared" si="6"/>
        <v>31752</v>
      </c>
      <c r="I350" s="120" t="str">
        <f>IF(OR(D350&lt;Capa!$A$5,D350&gt;Capa!$A$7,E350&lt;Capa!$A$5,E350&gt;Capa!$A$7,D350&gt;E350),"Erro","")</f>
        <v/>
      </c>
    </row>
    <row r="351" spans="1:9" ht="22.5">
      <c r="A351" s="345">
        <v>348</v>
      </c>
      <c r="B351" s="346" t="s">
        <v>298</v>
      </c>
      <c r="C351" s="347">
        <v>2800.52</v>
      </c>
      <c r="D351" s="348">
        <v>46023</v>
      </c>
      <c r="E351" s="348">
        <v>46357</v>
      </c>
      <c r="F351" s="346" t="s">
        <v>630</v>
      </c>
      <c r="G351" s="350" t="s">
        <v>458</v>
      </c>
      <c r="H351" s="351">
        <f t="shared" si="6"/>
        <v>33606.239999999998</v>
      </c>
      <c r="I351" s="120" t="str">
        <f>IF(OR(D351&lt;Capa!$A$5,D351&gt;Capa!$A$7,E351&lt;Capa!$A$5,E351&gt;Capa!$A$7,D351&gt;E351),"Erro","")</f>
        <v/>
      </c>
    </row>
    <row r="352" spans="1:9" ht="22.5">
      <c r="A352" s="345">
        <v>349</v>
      </c>
      <c r="B352" s="346" t="s">
        <v>298</v>
      </c>
      <c r="C352" s="347">
        <v>2964.07</v>
      </c>
      <c r="D352" s="348">
        <v>46388</v>
      </c>
      <c r="E352" s="348">
        <v>46722</v>
      </c>
      <c r="F352" s="346" t="s">
        <v>630</v>
      </c>
      <c r="G352" s="350" t="s">
        <v>458</v>
      </c>
      <c r="H352" s="351">
        <f t="shared" si="6"/>
        <v>35568.840000000004</v>
      </c>
      <c r="I352" s="120" t="str">
        <f>IF(OR(D352&lt;Capa!$A$5,D352&gt;Capa!$A$7,E352&lt;Capa!$A$5,E352&gt;Capa!$A$7,D352&gt;E352),"Erro","")</f>
        <v/>
      </c>
    </row>
    <row r="353" spans="1:9" ht="22.5">
      <c r="A353" s="345">
        <v>350</v>
      </c>
      <c r="B353" s="346" t="s">
        <v>298</v>
      </c>
      <c r="C353" s="347">
        <v>3137.17</v>
      </c>
      <c r="D353" s="348">
        <v>46753</v>
      </c>
      <c r="E353" s="348">
        <v>47058</v>
      </c>
      <c r="F353" s="346" t="s">
        <v>630</v>
      </c>
      <c r="G353" s="350" t="s">
        <v>458</v>
      </c>
      <c r="H353" s="351">
        <f t="shared" ref="H353:H426" si="7">IFERROR((DATEDIF(D353,E353,"M")+1)*C353,0)</f>
        <v>34508.870000000003</v>
      </c>
      <c r="I353" s="120" t="str">
        <f>IF(OR(D353&lt;Capa!$A$5,D353&gt;Capa!$A$7,E353&lt;Capa!$A$5,E353&gt;Capa!$A$7,D353&gt;E353),"Erro","")</f>
        <v/>
      </c>
    </row>
    <row r="354" spans="1:9" ht="33.75">
      <c r="A354" s="345">
        <v>351</v>
      </c>
      <c r="B354" s="346" t="s">
        <v>238</v>
      </c>
      <c r="C354" s="347">
        <v>370.44</v>
      </c>
      <c r="D354" s="348">
        <v>45658</v>
      </c>
      <c r="E354" s="348">
        <v>45809</v>
      </c>
      <c r="F354" s="346" t="s">
        <v>630</v>
      </c>
      <c r="G354" s="350" t="s">
        <v>459</v>
      </c>
      <c r="H354" s="351">
        <f t="shared" si="7"/>
        <v>2222.64</v>
      </c>
      <c r="I354" s="120" t="str">
        <f>IF(OR(D354&lt;Capa!$A$5,D354&gt;Capa!$A$7,E354&lt;Capa!$A$5,E354&gt;Capa!$A$7,D354&gt;E354),"Erro","")</f>
        <v/>
      </c>
    </row>
    <row r="355" spans="1:9" ht="33.75">
      <c r="A355" s="345">
        <v>352</v>
      </c>
      <c r="B355" s="346" t="s">
        <v>238</v>
      </c>
      <c r="C355" s="347">
        <v>392.07</v>
      </c>
      <c r="D355" s="348">
        <v>46023</v>
      </c>
      <c r="E355" s="348">
        <v>46174</v>
      </c>
      <c r="F355" s="346" t="s">
        <v>630</v>
      </c>
      <c r="G355" s="350" t="s">
        <v>459</v>
      </c>
      <c r="H355" s="351">
        <f t="shared" si="7"/>
        <v>2352.42</v>
      </c>
      <c r="I355" s="120" t="str">
        <f>IF(OR(D355&lt;Capa!$A$5,D355&gt;Capa!$A$7,E355&lt;Capa!$A$5,E355&gt;Capa!$A$7,D355&gt;E355),"Erro","")</f>
        <v/>
      </c>
    </row>
    <row r="356" spans="1:9" ht="33.75">
      <c r="A356" s="345">
        <v>353</v>
      </c>
      <c r="B356" s="346" t="s">
        <v>238</v>
      </c>
      <c r="C356" s="347">
        <v>414.97</v>
      </c>
      <c r="D356" s="348">
        <v>46388</v>
      </c>
      <c r="E356" s="348">
        <v>46539</v>
      </c>
      <c r="F356" s="346" t="s">
        <v>630</v>
      </c>
      <c r="G356" s="350" t="s">
        <v>459</v>
      </c>
      <c r="H356" s="351">
        <f t="shared" si="7"/>
        <v>2489.8200000000002</v>
      </c>
      <c r="I356" s="120" t="str">
        <f>IF(OR(D356&lt;Capa!$A$5,D356&gt;Capa!$A$7,E356&lt;Capa!$A$5,E356&gt;Capa!$A$7,D356&gt;E356),"Erro","")</f>
        <v/>
      </c>
    </row>
    <row r="357" spans="1:9" ht="33.75">
      <c r="A357" s="345">
        <v>354</v>
      </c>
      <c r="B357" s="346" t="s">
        <v>238</v>
      </c>
      <c r="C357" s="347">
        <v>439.21</v>
      </c>
      <c r="D357" s="348">
        <v>46753</v>
      </c>
      <c r="E357" s="348">
        <v>46905</v>
      </c>
      <c r="F357" s="346" t="s">
        <v>630</v>
      </c>
      <c r="G357" s="350" t="s">
        <v>459</v>
      </c>
      <c r="H357" s="351">
        <f t="shared" si="7"/>
        <v>2635.2599999999998</v>
      </c>
      <c r="I357" s="120" t="str">
        <f>IF(OR(D357&lt;Capa!$A$5,D357&gt;Capa!$A$7,E357&lt;Capa!$A$5,E357&gt;Capa!$A$7,D357&gt;E357),"Erro","")</f>
        <v/>
      </c>
    </row>
    <row r="358" spans="1:9" ht="56.25">
      <c r="A358" s="345">
        <v>355</v>
      </c>
      <c r="B358" s="346" t="s">
        <v>252</v>
      </c>
      <c r="C358" s="347">
        <v>7000</v>
      </c>
      <c r="D358" s="348">
        <v>45261</v>
      </c>
      <c r="E358" s="348">
        <v>45627</v>
      </c>
      <c r="F358" s="346" t="s">
        <v>630</v>
      </c>
      <c r="G358" s="350" t="s">
        <v>460</v>
      </c>
      <c r="H358" s="351">
        <f t="shared" si="7"/>
        <v>91000</v>
      </c>
      <c r="I358" s="120" t="str">
        <f>IF(OR(D358&lt;Capa!$A$5,D358&gt;Capa!$A$7,E358&lt;Capa!$A$5,E358&gt;Capa!$A$7,D358&gt;E358),"Erro","")</f>
        <v/>
      </c>
    </row>
    <row r="359" spans="1:9" ht="56.25">
      <c r="A359" s="345">
        <v>356</v>
      </c>
      <c r="B359" s="346" t="s">
        <v>252</v>
      </c>
      <c r="C359" s="347">
        <v>7408.8</v>
      </c>
      <c r="D359" s="348">
        <v>45658</v>
      </c>
      <c r="E359" s="348">
        <v>45992</v>
      </c>
      <c r="F359" s="346" t="s">
        <v>630</v>
      </c>
      <c r="G359" s="350" t="s">
        <v>460</v>
      </c>
      <c r="H359" s="351">
        <f t="shared" si="7"/>
        <v>88905.600000000006</v>
      </c>
      <c r="I359" s="120" t="str">
        <f>IF(OR(D359&lt;Capa!$A$5,D359&gt;Capa!$A$7,E359&lt;Capa!$A$5,E359&gt;Capa!$A$7,D359&gt;E359),"Erro","")</f>
        <v/>
      </c>
    </row>
    <row r="360" spans="1:9" ht="56.25">
      <c r="A360" s="345">
        <v>357</v>
      </c>
      <c r="B360" s="346" t="s">
        <v>252</v>
      </c>
      <c r="C360" s="347">
        <v>7847.65</v>
      </c>
      <c r="D360" s="348">
        <v>46023</v>
      </c>
      <c r="E360" s="348">
        <v>46357</v>
      </c>
      <c r="F360" s="346" t="s">
        <v>630</v>
      </c>
      <c r="G360" s="350" t="s">
        <v>460</v>
      </c>
      <c r="H360" s="351">
        <f t="shared" si="7"/>
        <v>94171.799999999988</v>
      </c>
      <c r="I360" s="120" t="str">
        <f>IF(OR(D360&lt;Capa!$A$5,D360&gt;Capa!$A$7,E360&lt;Capa!$A$5,E360&gt;Capa!$A$7,D360&gt;E360),"Erro","")</f>
        <v/>
      </c>
    </row>
    <row r="361" spans="1:9" ht="56.25">
      <c r="A361" s="345">
        <v>358</v>
      </c>
      <c r="B361" s="346" t="s">
        <v>252</v>
      </c>
      <c r="C361" s="347">
        <v>8305.9500000000007</v>
      </c>
      <c r="D361" s="348">
        <v>46388</v>
      </c>
      <c r="E361" s="348">
        <v>46722</v>
      </c>
      <c r="F361" s="346" t="s">
        <v>630</v>
      </c>
      <c r="G361" s="350" t="s">
        <v>460</v>
      </c>
      <c r="H361" s="351">
        <f t="shared" si="7"/>
        <v>99671.400000000009</v>
      </c>
      <c r="I361" s="120" t="str">
        <f>IF(OR(D361&lt;Capa!$A$5,D361&gt;Capa!$A$7,E361&lt;Capa!$A$5,E361&gt;Capa!$A$7,D361&gt;E361),"Erro","")</f>
        <v/>
      </c>
    </row>
    <row r="362" spans="1:9" ht="56.25">
      <c r="A362" s="345">
        <v>359</v>
      </c>
      <c r="B362" s="346" t="s">
        <v>252</v>
      </c>
      <c r="C362" s="347">
        <v>8791.02</v>
      </c>
      <c r="D362" s="348">
        <v>46753</v>
      </c>
      <c r="E362" s="348">
        <v>47058</v>
      </c>
      <c r="F362" s="346" t="s">
        <v>630</v>
      </c>
      <c r="G362" s="350" t="s">
        <v>460</v>
      </c>
      <c r="H362" s="351">
        <f t="shared" si="7"/>
        <v>96701.22</v>
      </c>
      <c r="I362" s="120" t="str">
        <f>IF(OR(D362&lt;Capa!$A$5,D362&gt;Capa!$A$7,E362&lt;Capa!$A$5,E362&gt;Capa!$A$7,D362&gt;E362),"Erro","")</f>
        <v/>
      </c>
    </row>
    <row r="363" spans="1:9" ht="33.75">
      <c r="A363" s="345">
        <v>360</v>
      </c>
      <c r="B363" s="346" t="s">
        <v>651</v>
      </c>
      <c r="C363" s="347">
        <v>180</v>
      </c>
      <c r="D363" s="348">
        <v>45261</v>
      </c>
      <c r="E363" s="348">
        <v>47058</v>
      </c>
      <c r="F363" s="346" t="s">
        <v>630</v>
      </c>
      <c r="G363" s="350" t="s">
        <v>710</v>
      </c>
      <c r="H363" s="351">
        <f t="shared" si="7"/>
        <v>10800</v>
      </c>
      <c r="I363" s="120" t="str">
        <f>IF(OR(D363&lt;Capa!$A$5,D363&gt;Capa!$A$7,E363&lt;Capa!$A$5,E363&gt;Capa!$A$7,D363&gt;E363),"Erro","")</f>
        <v/>
      </c>
    </row>
    <row r="364" spans="1:9" ht="22.5">
      <c r="A364" s="345">
        <v>361</v>
      </c>
      <c r="B364" s="346" t="s">
        <v>653</v>
      </c>
      <c r="C364" s="347">
        <v>1930</v>
      </c>
      <c r="D364" s="348">
        <v>45292</v>
      </c>
      <c r="E364" s="348">
        <v>45627</v>
      </c>
      <c r="F364" s="346" t="s">
        <v>630</v>
      </c>
      <c r="G364" s="350" t="s">
        <v>712</v>
      </c>
      <c r="H364" s="351">
        <f t="shared" si="7"/>
        <v>23160</v>
      </c>
    </row>
    <row r="365" spans="1:9" ht="22.5">
      <c r="A365" s="345">
        <v>362</v>
      </c>
      <c r="B365" s="346" t="s">
        <v>653</v>
      </c>
      <c r="C365" s="347">
        <v>1930</v>
      </c>
      <c r="D365" s="348">
        <v>45658</v>
      </c>
      <c r="E365" s="348">
        <v>47058</v>
      </c>
      <c r="F365" s="346" t="s">
        <v>630</v>
      </c>
      <c r="G365" s="350" t="s">
        <v>712</v>
      </c>
      <c r="H365" s="351">
        <f t="shared" si="7"/>
        <v>90710</v>
      </c>
      <c r="I365" s="120" t="str">
        <f>IF(OR(D365&lt;Capa!$A$5,D365&gt;Capa!$A$7,E365&lt;Capa!$A$5,E365&gt;Capa!$A$7,D365&gt;E365),"Erro","")</f>
        <v/>
      </c>
    </row>
    <row r="366" spans="1:9" ht="45">
      <c r="A366" s="345">
        <v>363</v>
      </c>
      <c r="B366" s="346" t="s">
        <v>652</v>
      </c>
      <c r="C366" s="347">
        <v>10000</v>
      </c>
      <c r="D366" s="348">
        <v>45748</v>
      </c>
      <c r="E366" s="348">
        <v>45748</v>
      </c>
      <c r="F366" s="346" t="s">
        <v>630</v>
      </c>
      <c r="G366" s="350" t="s">
        <v>624</v>
      </c>
      <c r="H366" s="351">
        <f t="shared" si="7"/>
        <v>10000</v>
      </c>
      <c r="I366" s="120" t="str">
        <f>IF(OR(D366&lt;Capa!$A$5,D366&gt;Capa!$A$7,E366&lt;Capa!$A$5,E366&gt;Capa!$A$7,D366&gt;E366),"Erro","")</f>
        <v/>
      </c>
    </row>
    <row r="367" spans="1:9" ht="56.25">
      <c r="A367" s="345">
        <v>364</v>
      </c>
      <c r="B367" s="346" t="s">
        <v>652</v>
      </c>
      <c r="C367" s="347">
        <v>15000</v>
      </c>
      <c r="D367" s="348">
        <v>46419</v>
      </c>
      <c r="E367" s="348">
        <v>46419</v>
      </c>
      <c r="F367" s="346" t="s">
        <v>630</v>
      </c>
      <c r="G367" s="350" t="s">
        <v>717</v>
      </c>
      <c r="H367" s="351">
        <f t="shared" si="7"/>
        <v>15000</v>
      </c>
      <c r="I367" s="120" t="str">
        <f>IF(OR(D367&lt;Capa!$A$5,D367&gt;Capa!$A$7,E367&lt;Capa!$A$5,E367&gt;Capa!$A$7,D367&gt;E367),"Erro","")</f>
        <v/>
      </c>
    </row>
    <row r="368" spans="1:9" ht="33.75">
      <c r="A368" s="345">
        <v>365</v>
      </c>
      <c r="B368" s="346" t="s">
        <v>650</v>
      </c>
      <c r="C368" s="347">
        <v>70</v>
      </c>
      <c r="D368" s="348">
        <v>45261</v>
      </c>
      <c r="E368" s="348">
        <v>47058</v>
      </c>
      <c r="F368" s="346" t="s">
        <v>630</v>
      </c>
      <c r="G368" s="350" t="s">
        <v>711</v>
      </c>
      <c r="H368" s="351">
        <f t="shared" si="7"/>
        <v>4200</v>
      </c>
      <c r="I368" s="120" t="str">
        <f>IF(OR(D368&lt;Capa!$A$5,D368&gt;Capa!$A$7,E368&lt;Capa!$A$5,E368&gt;Capa!$A$7,D368&gt;E368),"Erro","")</f>
        <v/>
      </c>
    </row>
    <row r="369" spans="1:9" ht="45">
      <c r="A369" s="345">
        <v>366</v>
      </c>
      <c r="B369" s="346" t="s">
        <v>320</v>
      </c>
      <c r="C369" s="347">
        <v>4545.7737500000003</v>
      </c>
      <c r="D369" s="348">
        <v>45778</v>
      </c>
      <c r="E369" s="348">
        <v>45992</v>
      </c>
      <c r="F369" s="346" t="s">
        <v>630</v>
      </c>
      <c r="G369" s="350" t="s">
        <v>596</v>
      </c>
      <c r="H369" s="351">
        <f t="shared" si="7"/>
        <v>36366.19</v>
      </c>
    </row>
    <row r="370" spans="1:9" ht="45">
      <c r="A370" s="345">
        <v>367</v>
      </c>
      <c r="B370" s="346" t="s">
        <v>320</v>
      </c>
      <c r="C370" s="347">
        <v>250</v>
      </c>
      <c r="D370" s="348">
        <v>45748</v>
      </c>
      <c r="E370" s="348">
        <v>47058</v>
      </c>
      <c r="F370" s="346" t="s">
        <v>630</v>
      </c>
      <c r="G370" s="350" t="s">
        <v>596</v>
      </c>
      <c r="H370" s="351">
        <f t="shared" si="7"/>
        <v>11000</v>
      </c>
      <c r="I370" s="120" t="str">
        <f>IF(OR(D370&lt;Capa!$A$5,D370&gt;Capa!$A$7,E370&lt;Capa!$A$5,E370&gt;Capa!$A$7,D370&gt;E370),"Erro","")</f>
        <v/>
      </c>
    </row>
    <row r="371" spans="1:9" ht="33.75">
      <c r="A371" s="345">
        <v>368</v>
      </c>
      <c r="B371" s="346" t="s">
        <v>648</v>
      </c>
      <c r="C371" s="347">
        <v>2713.6</v>
      </c>
      <c r="D371" s="348">
        <v>45292</v>
      </c>
      <c r="E371" s="348">
        <v>45292</v>
      </c>
      <c r="F371" s="346" t="s">
        <v>630</v>
      </c>
      <c r="G371" s="350" t="s">
        <v>670</v>
      </c>
      <c r="H371" s="351">
        <f t="shared" si="7"/>
        <v>2713.6</v>
      </c>
      <c r="I371" s="120" t="str">
        <f>IF(OR(D371&lt;Capa!$A$5,D371&gt;Capa!$A$7,E371&lt;Capa!$A$5,E371&gt;Capa!$A$7,D371&gt;E371),"Erro","")</f>
        <v/>
      </c>
    </row>
    <row r="372" spans="1:9" ht="33.75">
      <c r="A372" s="345">
        <v>369</v>
      </c>
      <c r="B372" s="346" t="s">
        <v>648</v>
      </c>
      <c r="C372" s="347">
        <v>2713.6</v>
      </c>
      <c r="D372" s="348">
        <v>45658</v>
      </c>
      <c r="E372" s="348">
        <v>45658</v>
      </c>
      <c r="F372" s="346" t="s">
        <v>630</v>
      </c>
      <c r="G372" s="350" t="s">
        <v>670</v>
      </c>
      <c r="H372" s="351">
        <f t="shared" si="7"/>
        <v>2713.6</v>
      </c>
      <c r="I372" s="120" t="str">
        <f>IF(OR(D372&lt;Capa!$A$5,D372&gt;Capa!$A$7,E372&lt;Capa!$A$5,E372&gt;Capa!$A$7,D372&gt;E372),"Erro","")</f>
        <v/>
      </c>
    </row>
    <row r="373" spans="1:9" ht="33.75">
      <c r="A373" s="345">
        <v>370</v>
      </c>
      <c r="B373" s="346" t="s">
        <v>648</v>
      </c>
      <c r="C373" s="347">
        <v>2876.41</v>
      </c>
      <c r="D373" s="348">
        <v>46023</v>
      </c>
      <c r="E373" s="348">
        <v>46023</v>
      </c>
      <c r="F373" s="346" t="s">
        <v>630</v>
      </c>
      <c r="G373" s="350" t="s">
        <v>670</v>
      </c>
      <c r="H373" s="351">
        <f t="shared" si="7"/>
        <v>2876.41</v>
      </c>
      <c r="I373" s="120" t="str">
        <f>IF(OR(D373&lt;Capa!$A$5,D373&gt;Capa!$A$7,E373&lt;Capa!$A$5,E373&gt;Capa!$A$7,D373&gt;E373),"Erro","")</f>
        <v/>
      </c>
    </row>
    <row r="374" spans="1:9" ht="33.75">
      <c r="A374" s="345">
        <v>371</v>
      </c>
      <c r="B374" s="346" t="s">
        <v>648</v>
      </c>
      <c r="C374" s="347">
        <v>3049</v>
      </c>
      <c r="D374" s="348">
        <v>46388</v>
      </c>
      <c r="E374" s="348">
        <v>46388</v>
      </c>
      <c r="F374" s="346" t="s">
        <v>630</v>
      </c>
      <c r="G374" s="350" t="s">
        <v>670</v>
      </c>
      <c r="H374" s="351">
        <f t="shared" si="7"/>
        <v>3049</v>
      </c>
      <c r="I374" s="120" t="str">
        <f>IF(OR(D374&lt;Capa!$A$5,D374&gt;Capa!$A$7,E374&lt;Capa!$A$5,E374&gt;Capa!$A$7,D374&gt;E374),"Erro","")</f>
        <v/>
      </c>
    </row>
    <row r="375" spans="1:9" ht="33.75">
      <c r="A375" s="345">
        <v>372</v>
      </c>
      <c r="B375" s="346" t="s">
        <v>648</v>
      </c>
      <c r="C375" s="347">
        <v>3231.94</v>
      </c>
      <c r="D375" s="348">
        <v>46753</v>
      </c>
      <c r="E375" s="348">
        <v>46753</v>
      </c>
      <c r="F375" s="346" t="s">
        <v>630</v>
      </c>
      <c r="G375" s="350" t="s">
        <v>670</v>
      </c>
      <c r="H375" s="351">
        <f t="shared" si="7"/>
        <v>3231.94</v>
      </c>
      <c r="I375" s="120" t="str">
        <f>IF(OR(D375&lt;Capa!$A$5,D375&gt;Capa!$A$7,E375&lt;Capa!$A$5,E375&gt;Capa!$A$7,D375&gt;E375),"Erro","")</f>
        <v/>
      </c>
    </row>
    <row r="376" spans="1:9" ht="22.5">
      <c r="A376" s="345">
        <v>373</v>
      </c>
      <c r="B376" s="346" t="s">
        <v>649</v>
      </c>
      <c r="C376" s="347">
        <v>70000</v>
      </c>
      <c r="D376" s="348">
        <v>45748</v>
      </c>
      <c r="E376" s="348">
        <v>45748</v>
      </c>
      <c r="F376" s="346" t="s">
        <v>630</v>
      </c>
      <c r="G376" s="350" t="s">
        <v>739</v>
      </c>
      <c r="H376" s="351">
        <f t="shared" si="7"/>
        <v>70000</v>
      </c>
    </row>
    <row r="377" spans="1:9" ht="33.75">
      <c r="A377" s="345">
        <v>374</v>
      </c>
      <c r="B377" s="346" t="s">
        <v>649</v>
      </c>
      <c r="C377" s="347">
        <v>1643</v>
      </c>
      <c r="D377" s="348">
        <v>45292</v>
      </c>
      <c r="E377" s="348">
        <v>47058</v>
      </c>
      <c r="F377" s="346" t="s">
        <v>630</v>
      </c>
      <c r="G377" s="350" t="s">
        <v>705</v>
      </c>
      <c r="H377" s="351">
        <f t="shared" si="7"/>
        <v>96937</v>
      </c>
      <c r="I377" s="120" t="str">
        <f>IF(OR(D377&lt;Capa!$A$5,D377&gt;Capa!$A$7,E377&lt;Capa!$A$5,E377&gt;Capa!$A$7,D377&gt;E377),"Erro","")</f>
        <v/>
      </c>
    </row>
    <row r="378" spans="1:9" ht="33.75">
      <c r="A378" s="345">
        <v>375</v>
      </c>
      <c r="B378" s="346" t="s">
        <v>654</v>
      </c>
      <c r="C378" s="347">
        <v>600</v>
      </c>
      <c r="D378" s="348">
        <v>45261</v>
      </c>
      <c r="E378" s="348">
        <v>45627</v>
      </c>
      <c r="F378" s="346" t="s">
        <v>630</v>
      </c>
      <c r="G378" s="350" t="s">
        <v>706</v>
      </c>
      <c r="H378" s="351">
        <f t="shared" si="7"/>
        <v>7800</v>
      </c>
    </row>
    <row r="379" spans="1:9" ht="33.75">
      <c r="A379" s="345">
        <v>376</v>
      </c>
      <c r="B379" s="346" t="s">
        <v>654</v>
      </c>
      <c r="C379" s="347">
        <v>1100</v>
      </c>
      <c r="D379" s="348">
        <v>45658</v>
      </c>
      <c r="E379" s="348">
        <v>47058</v>
      </c>
      <c r="F379" s="346" t="s">
        <v>630</v>
      </c>
      <c r="G379" s="350" t="s">
        <v>706</v>
      </c>
      <c r="H379" s="351">
        <f t="shared" si="7"/>
        <v>51700</v>
      </c>
      <c r="I379" s="120" t="str">
        <f>IF(OR(D379&lt;Capa!$A$5,D379&gt;Capa!$A$7,E379&lt;Capa!$A$5,E379&gt;Capa!$A$7,D379&gt;E379),"Erro","")</f>
        <v/>
      </c>
    </row>
    <row r="380" spans="1:9" ht="22.5">
      <c r="A380" s="345">
        <v>377</v>
      </c>
      <c r="B380" s="346" t="s">
        <v>656</v>
      </c>
      <c r="C380" s="347">
        <v>200</v>
      </c>
      <c r="D380" s="348">
        <v>45261</v>
      </c>
      <c r="E380" s="348">
        <v>47058</v>
      </c>
      <c r="F380" s="346" t="s">
        <v>630</v>
      </c>
      <c r="G380" s="350" t="s">
        <v>707</v>
      </c>
      <c r="H380" s="351">
        <f t="shared" si="7"/>
        <v>12000</v>
      </c>
      <c r="I380" s="120" t="str">
        <f>IF(OR(D380&lt;Capa!$A$5,D380&gt;Capa!$A$7,E380&lt;Capa!$A$5,E380&gt;Capa!$A$7,D380&gt;E380),"Erro","")</f>
        <v/>
      </c>
    </row>
    <row r="381" spans="1:9" ht="33.75">
      <c r="A381" s="345">
        <v>378</v>
      </c>
      <c r="B381" s="346" t="s">
        <v>657</v>
      </c>
      <c r="C381" s="347">
        <v>350</v>
      </c>
      <c r="D381" s="348">
        <v>45658</v>
      </c>
      <c r="E381" s="348">
        <v>47058</v>
      </c>
      <c r="F381" s="346" t="s">
        <v>630</v>
      </c>
      <c r="G381" s="350" t="s">
        <v>708</v>
      </c>
      <c r="H381" s="351">
        <f t="shared" si="7"/>
        <v>16450</v>
      </c>
      <c r="I381" s="120" t="str">
        <f>IF(OR(D381&lt;Capa!$A$5,D381&gt;Capa!$A$7,E381&lt;Capa!$A$5,E381&gt;Capa!$A$7,D381&gt;E381),"Erro","")</f>
        <v/>
      </c>
    </row>
    <row r="382" spans="1:9" ht="22.5">
      <c r="A382" s="345">
        <v>379</v>
      </c>
      <c r="B382" s="346" t="s">
        <v>658</v>
      </c>
      <c r="C382" s="347">
        <v>50</v>
      </c>
      <c r="D382" s="348">
        <v>45261</v>
      </c>
      <c r="E382" s="348">
        <v>47058</v>
      </c>
      <c r="F382" s="346" t="s">
        <v>630</v>
      </c>
      <c r="G382" s="350" t="s">
        <v>709</v>
      </c>
      <c r="H382" s="351">
        <f t="shared" si="7"/>
        <v>3000</v>
      </c>
      <c r="I382" s="120" t="str">
        <f>IF(OR(D382&lt;Capa!$A$5,D382&gt;Capa!$A$7,E382&lt;Capa!$A$5,E382&gt;Capa!$A$7,D382&gt;E382),"Erro","")</f>
        <v/>
      </c>
    </row>
    <row r="383" spans="1:9" ht="22.5">
      <c r="A383" s="345">
        <v>380</v>
      </c>
      <c r="B383" s="346" t="s">
        <v>198</v>
      </c>
      <c r="C383" s="347">
        <v>7500</v>
      </c>
      <c r="D383" s="348">
        <v>45261</v>
      </c>
      <c r="E383" s="348">
        <v>45627</v>
      </c>
      <c r="F383" s="346" t="s">
        <v>631</v>
      </c>
      <c r="G383" s="350" t="s">
        <v>438</v>
      </c>
      <c r="H383" s="351">
        <f t="shared" si="7"/>
        <v>97500</v>
      </c>
      <c r="I383" s="120" t="str">
        <f>IF(OR(D383&lt;Capa!$A$5,D383&gt;Capa!$A$7,E383&lt;Capa!$A$5,E383&gt;Capa!$A$7,D383&gt;E383),"Erro","")</f>
        <v/>
      </c>
    </row>
    <row r="384" spans="1:9" ht="22.5">
      <c r="A384" s="345">
        <v>381</v>
      </c>
      <c r="B384" s="346" t="s">
        <v>198</v>
      </c>
      <c r="C384" s="347">
        <v>7938</v>
      </c>
      <c r="D384" s="348">
        <v>45658</v>
      </c>
      <c r="E384" s="348">
        <v>45992</v>
      </c>
      <c r="F384" s="346" t="s">
        <v>631</v>
      </c>
      <c r="G384" s="350" t="s">
        <v>438</v>
      </c>
      <c r="H384" s="351">
        <f t="shared" si="7"/>
        <v>95256</v>
      </c>
      <c r="I384" s="120" t="str">
        <f>IF(OR(D384&lt;Capa!$A$5,D384&gt;Capa!$A$7,E384&lt;Capa!$A$5,E384&gt;Capa!$A$7,D384&gt;E384),"Erro","")</f>
        <v/>
      </c>
    </row>
    <row r="385" spans="1:9" ht="22.5">
      <c r="A385" s="345">
        <v>382</v>
      </c>
      <c r="B385" s="346" t="s">
        <v>198</v>
      </c>
      <c r="C385" s="347">
        <v>8401.58</v>
      </c>
      <c r="D385" s="348">
        <v>46023</v>
      </c>
      <c r="E385" s="348">
        <v>46357</v>
      </c>
      <c r="F385" s="346" t="s">
        <v>631</v>
      </c>
      <c r="G385" s="350" t="s">
        <v>438</v>
      </c>
      <c r="H385" s="351">
        <f t="shared" si="7"/>
        <v>100818.95999999999</v>
      </c>
      <c r="I385" s="120" t="str">
        <f>IF(OR(D385&lt;Capa!$A$5,D385&gt;Capa!$A$7,E385&lt;Capa!$A$5,E385&gt;Capa!$A$7,D385&gt;E385),"Erro","")</f>
        <v/>
      </c>
    </row>
    <row r="386" spans="1:9" ht="22.5">
      <c r="A386" s="345">
        <v>383</v>
      </c>
      <c r="B386" s="346" t="s">
        <v>198</v>
      </c>
      <c r="C386" s="347">
        <v>8892.23</v>
      </c>
      <c r="D386" s="348">
        <v>46388</v>
      </c>
      <c r="E386" s="348">
        <v>46722</v>
      </c>
      <c r="F386" s="346" t="s">
        <v>631</v>
      </c>
      <c r="G386" s="350" t="s">
        <v>438</v>
      </c>
      <c r="H386" s="351">
        <f t="shared" si="7"/>
        <v>106706.76</v>
      </c>
      <c r="I386" s="120" t="str">
        <f>IF(OR(D386&lt;Capa!$A$5,D386&gt;Capa!$A$7,E386&lt;Capa!$A$5,E386&gt;Capa!$A$7,D386&gt;E386),"Erro","")</f>
        <v/>
      </c>
    </row>
    <row r="387" spans="1:9" ht="22.5">
      <c r="A387" s="345">
        <v>384</v>
      </c>
      <c r="B387" s="346" t="s">
        <v>198</v>
      </c>
      <c r="C387" s="347">
        <v>9411.5400000000009</v>
      </c>
      <c r="D387" s="348">
        <v>46753</v>
      </c>
      <c r="E387" s="348">
        <v>47058</v>
      </c>
      <c r="F387" s="346" t="s">
        <v>631</v>
      </c>
      <c r="G387" s="350" t="s">
        <v>438</v>
      </c>
      <c r="H387" s="351">
        <f t="shared" si="7"/>
        <v>103526.94</v>
      </c>
      <c r="I387" s="120" t="str">
        <f>IF(OR(D387&lt;Capa!$A$5,D387&gt;Capa!$A$7,E387&lt;Capa!$A$5,E387&gt;Capa!$A$7,D387&gt;E387),"Erro","")</f>
        <v/>
      </c>
    </row>
    <row r="388" spans="1:9" ht="22.5">
      <c r="A388" s="345">
        <v>385</v>
      </c>
      <c r="B388" s="346" t="s">
        <v>202</v>
      </c>
      <c r="C388" s="347">
        <v>2995.86</v>
      </c>
      <c r="D388" s="348">
        <v>45292</v>
      </c>
      <c r="E388" s="348">
        <v>45292</v>
      </c>
      <c r="F388" s="346" t="s">
        <v>631</v>
      </c>
      <c r="G388" s="350" t="s">
        <v>439</v>
      </c>
      <c r="H388" s="351">
        <f t="shared" si="7"/>
        <v>2995.86</v>
      </c>
      <c r="I388" s="120" t="str">
        <f>IF(OR(D388&lt;Capa!$A$5,D388&gt;Capa!$A$7,E388&lt;Capa!$A$5,E388&gt;Capa!$A$7,D388&gt;E388),"Erro","")</f>
        <v/>
      </c>
    </row>
    <row r="389" spans="1:9" ht="22.5">
      <c r="A389" s="345">
        <v>386</v>
      </c>
      <c r="B389" s="346" t="s">
        <v>202</v>
      </c>
      <c r="C389" s="347">
        <v>3170.81</v>
      </c>
      <c r="D389" s="348">
        <v>45658</v>
      </c>
      <c r="E389" s="348">
        <v>45658</v>
      </c>
      <c r="F389" s="346" t="s">
        <v>631</v>
      </c>
      <c r="G389" s="350" t="s">
        <v>439</v>
      </c>
      <c r="H389" s="351">
        <f t="shared" si="7"/>
        <v>3170.81</v>
      </c>
      <c r="I389" s="120" t="str">
        <f>IF(OR(D389&lt;Capa!$A$5,D389&gt;Capa!$A$7,E389&lt;Capa!$A$5,E389&gt;Capa!$A$7,D389&gt;E389),"Erro","")</f>
        <v/>
      </c>
    </row>
    <row r="390" spans="1:9" ht="22.5">
      <c r="A390" s="345">
        <v>387</v>
      </c>
      <c r="B390" s="346" t="s">
        <v>202</v>
      </c>
      <c r="C390" s="347">
        <v>3355.99</v>
      </c>
      <c r="D390" s="348">
        <v>46023</v>
      </c>
      <c r="E390" s="348">
        <v>46023</v>
      </c>
      <c r="F390" s="346" t="s">
        <v>631</v>
      </c>
      <c r="G390" s="350" t="s">
        <v>439</v>
      </c>
      <c r="H390" s="351">
        <f t="shared" si="7"/>
        <v>3355.99</v>
      </c>
      <c r="I390" s="120" t="str">
        <f>IF(OR(D390&lt;Capa!$A$5,D390&gt;Capa!$A$7,E390&lt;Capa!$A$5,E390&gt;Capa!$A$7,D390&gt;E390),"Erro","")</f>
        <v/>
      </c>
    </row>
    <row r="391" spans="1:9" ht="22.5">
      <c r="A391" s="345">
        <v>388</v>
      </c>
      <c r="B391" s="346" t="s">
        <v>202</v>
      </c>
      <c r="C391" s="347">
        <v>3551.98</v>
      </c>
      <c r="D391" s="348">
        <v>46388</v>
      </c>
      <c r="E391" s="348">
        <v>46388</v>
      </c>
      <c r="F391" s="346" t="s">
        <v>631</v>
      </c>
      <c r="G391" s="350" t="s">
        <v>439</v>
      </c>
      <c r="H391" s="351">
        <f t="shared" si="7"/>
        <v>3551.98</v>
      </c>
      <c r="I391" s="120" t="str">
        <f>IF(OR(D391&lt;Capa!$A$5,D391&gt;Capa!$A$7,E391&lt;Capa!$A$5,E391&gt;Capa!$A$7,D391&gt;E391),"Erro","")</f>
        <v/>
      </c>
    </row>
    <row r="392" spans="1:9" ht="22.5">
      <c r="A392" s="345">
        <v>389</v>
      </c>
      <c r="B392" s="346" t="s">
        <v>202</v>
      </c>
      <c r="C392" s="347">
        <v>3759.41</v>
      </c>
      <c r="D392" s="348">
        <v>46753</v>
      </c>
      <c r="E392" s="348">
        <v>46753</v>
      </c>
      <c r="F392" s="346" t="s">
        <v>631</v>
      </c>
      <c r="G392" s="350" t="s">
        <v>439</v>
      </c>
      <c r="H392" s="351">
        <f t="shared" si="7"/>
        <v>3759.41</v>
      </c>
      <c r="I392" s="120" t="str">
        <f>IF(OR(D392&lt;Capa!$A$5,D392&gt;Capa!$A$7,E392&lt;Capa!$A$5,E392&gt;Capa!$A$7,D392&gt;E392),"Erro","")</f>
        <v/>
      </c>
    </row>
    <row r="393" spans="1:9" ht="22.5">
      <c r="A393" s="345">
        <v>390</v>
      </c>
      <c r="B393" s="346" t="s">
        <v>204</v>
      </c>
      <c r="C393" s="347">
        <v>1068</v>
      </c>
      <c r="D393" s="348">
        <v>45292</v>
      </c>
      <c r="E393" s="348">
        <v>45383</v>
      </c>
      <c r="F393" s="346" t="s">
        <v>631</v>
      </c>
      <c r="G393" s="350" t="s">
        <v>439</v>
      </c>
      <c r="H393" s="351">
        <f t="shared" si="7"/>
        <v>4272</v>
      </c>
      <c r="I393" s="120" t="str">
        <f>IF(OR(D393&lt;Capa!$A$5,D393&gt;Capa!$A$7,E393&lt;Capa!$A$5,E393&gt;Capa!$A$7,D393&gt;E393),"Erro","")</f>
        <v/>
      </c>
    </row>
    <row r="394" spans="1:9" ht="22.5">
      <c r="A394" s="345">
        <v>391</v>
      </c>
      <c r="B394" s="346" t="s">
        <v>204</v>
      </c>
      <c r="C394" s="347">
        <v>1130.3699999999999</v>
      </c>
      <c r="D394" s="348">
        <v>45658</v>
      </c>
      <c r="E394" s="348">
        <v>45748</v>
      </c>
      <c r="F394" s="346" t="s">
        <v>631</v>
      </c>
      <c r="G394" s="350" t="s">
        <v>439</v>
      </c>
      <c r="H394" s="351">
        <f t="shared" si="7"/>
        <v>4521.4799999999996</v>
      </c>
      <c r="I394" s="120" t="str">
        <f>IF(OR(D394&lt;Capa!$A$5,D394&gt;Capa!$A$7,E394&lt;Capa!$A$5,E394&gt;Capa!$A$7,D394&gt;E394),"Erro","")</f>
        <v/>
      </c>
    </row>
    <row r="395" spans="1:9" ht="22.5">
      <c r="A395" s="345">
        <v>392</v>
      </c>
      <c r="B395" s="346" t="s">
        <v>204</v>
      </c>
      <c r="C395" s="347">
        <v>1196.3800000000001</v>
      </c>
      <c r="D395" s="348">
        <v>46023</v>
      </c>
      <c r="E395" s="348">
        <v>46113</v>
      </c>
      <c r="F395" s="346" t="s">
        <v>631</v>
      </c>
      <c r="G395" s="350" t="s">
        <v>439</v>
      </c>
      <c r="H395" s="351">
        <f t="shared" si="7"/>
        <v>4785.5200000000004</v>
      </c>
      <c r="I395" s="120" t="str">
        <f>IF(OR(D395&lt;Capa!$A$5,D395&gt;Capa!$A$7,E395&lt;Capa!$A$5,E395&gt;Capa!$A$7,D395&gt;E395),"Erro","")</f>
        <v/>
      </c>
    </row>
    <row r="396" spans="1:9" ht="22.5">
      <c r="A396" s="345">
        <v>393</v>
      </c>
      <c r="B396" s="346" t="s">
        <v>204</v>
      </c>
      <c r="C396" s="347">
        <v>1266.25</v>
      </c>
      <c r="D396" s="348">
        <v>46388</v>
      </c>
      <c r="E396" s="348">
        <v>46478</v>
      </c>
      <c r="F396" s="346" t="s">
        <v>631</v>
      </c>
      <c r="G396" s="350" t="s">
        <v>439</v>
      </c>
      <c r="H396" s="351">
        <f t="shared" si="7"/>
        <v>5065</v>
      </c>
      <c r="I396" s="120" t="str">
        <f>IF(OR(D396&lt;Capa!$A$5,D396&gt;Capa!$A$7,E396&lt;Capa!$A$5,E396&gt;Capa!$A$7,D396&gt;E396),"Erro","")</f>
        <v/>
      </c>
    </row>
    <row r="397" spans="1:9" ht="22.5">
      <c r="A397" s="345">
        <v>394</v>
      </c>
      <c r="B397" s="346" t="s">
        <v>204</v>
      </c>
      <c r="C397" s="347">
        <v>1340.2</v>
      </c>
      <c r="D397" s="348">
        <v>46753</v>
      </c>
      <c r="E397" s="348">
        <v>46844</v>
      </c>
      <c r="F397" s="346" t="s">
        <v>631</v>
      </c>
      <c r="G397" s="350" t="s">
        <v>439</v>
      </c>
      <c r="H397" s="351">
        <f t="shared" si="7"/>
        <v>5360.8</v>
      </c>
      <c r="I397" s="120" t="str">
        <f>IF(OR(D397&lt;Capa!$A$5,D397&gt;Capa!$A$7,E397&lt;Capa!$A$5,E397&gt;Capa!$A$7,D397&gt;E397),"Erro","")</f>
        <v/>
      </c>
    </row>
    <row r="398" spans="1:9" ht="22.5">
      <c r="A398" s="345">
        <v>395</v>
      </c>
      <c r="B398" s="346" t="s">
        <v>206</v>
      </c>
      <c r="C398" s="347">
        <v>1560</v>
      </c>
      <c r="D398" s="348">
        <v>45261</v>
      </c>
      <c r="E398" s="348">
        <v>45627</v>
      </c>
      <c r="F398" s="346" t="s">
        <v>631</v>
      </c>
      <c r="G398" s="350" t="s">
        <v>440</v>
      </c>
      <c r="H398" s="351">
        <f t="shared" si="7"/>
        <v>20280</v>
      </c>
      <c r="I398" s="120" t="str">
        <f>IF(OR(D398&lt;Capa!$A$5,D398&gt;Capa!$A$7,E398&lt;Capa!$A$5,E398&gt;Capa!$A$7,D398&gt;E398),"Erro","")</f>
        <v/>
      </c>
    </row>
    <row r="399" spans="1:9" ht="22.5">
      <c r="A399" s="345">
        <v>396</v>
      </c>
      <c r="B399" s="346" t="s">
        <v>206</v>
      </c>
      <c r="C399" s="347">
        <v>1651.1</v>
      </c>
      <c r="D399" s="348">
        <v>45658</v>
      </c>
      <c r="E399" s="348">
        <v>45992</v>
      </c>
      <c r="F399" s="346" t="s">
        <v>631</v>
      </c>
      <c r="G399" s="350" t="s">
        <v>440</v>
      </c>
      <c r="H399" s="351">
        <f t="shared" si="7"/>
        <v>19813.199999999997</v>
      </c>
      <c r="I399" s="120" t="str">
        <f>IF(OR(D399&lt;Capa!$A$5,D399&gt;Capa!$A$7,E399&lt;Capa!$A$5,E399&gt;Capa!$A$7,D399&gt;E399),"Erro","")</f>
        <v/>
      </c>
    </row>
    <row r="400" spans="1:9" ht="22.5">
      <c r="A400" s="345">
        <v>397</v>
      </c>
      <c r="B400" s="346" t="s">
        <v>206</v>
      </c>
      <c r="C400" s="347">
        <v>1747.52</v>
      </c>
      <c r="D400" s="348">
        <v>46023</v>
      </c>
      <c r="E400" s="348">
        <v>46357</v>
      </c>
      <c r="F400" s="346" t="s">
        <v>631</v>
      </c>
      <c r="G400" s="350" t="s">
        <v>440</v>
      </c>
      <c r="H400" s="351">
        <f t="shared" si="7"/>
        <v>20970.239999999998</v>
      </c>
      <c r="I400" s="120" t="str">
        <f>IF(OR(D400&lt;Capa!$A$5,D400&gt;Capa!$A$7,E400&lt;Capa!$A$5,E400&gt;Capa!$A$7,D400&gt;E400),"Erro","")</f>
        <v/>
      </c>
    </row>
    <row r="401" spans="1:9" ht="22.5">
      <c r="A401" s="345">
        <v>398</v>
      </c>
      <c r="B401" s="346" t="s">
        <v>206</v>
      </c>
      <c r="C401" s="347">
        <v>1849.58</v>
      </c>
      <c r="D401" s="348">
        <v>46388</v>
      </c>
      <c r="E401" s="348">
        <v>46722</v>
      </c>
      <c r="F401" s="346" t="s">
        <v>631</v>
      </c>
      <c r="G401" s="350" t="s">
        <v>440</v>
      </c>
      <c r="H401" s="351">
        <f t="shared" si="7"/>
        <v>22194.959999999999</v>
      </c>
      <c r="I401" s="120" t="str">
        <f>IF(OR(D401&lt;Capa!$A$5,D401&gt;Capa!$A$7,E401&lt;Capa!$A$5,E401&gt;Capa!$A$7,D401&gt;E401),"Erro","")</f>
        <v/>
      </c>
    </row>
    <row r="402" spans="1:9" ht="22.5">
      <c r="A402" s="345">
        <v>399</v>
      </c>
      <c r="B402" s="346" t="s">
        <v>206</v>
      </c>
      <c r="C402" s="347">
        <v>1957.6</v>
      </c>
      <c r="D402" s="348">
        <v>46753</v>
      </c>
      <c r="E402" s="348">
        <v>47058</v>
      </c>
      <c r="F402" s="346" t="s">
        <v>631</v>
      </c>
      <c r="G402" s="350" t="s">
        <v>440</v>
      </c>
      <c r="H402" s="351">
        <f t="shared" si="7"/>
        <v>21533.599999999999</v>
      </c>
      <c r="I402" s="120" t="str">
        <f>IF(OR(D402&lt;Capa!$A$5,D402&gt;Capa!$A$7,E402&lt;Capa!$A$5,E402&gt;Capa!$A$7,D402&gt;E402),"Erro","")</f>
        <v/>
      </c>
    </row>
    <row r="403" spans="1:9" ht="22.5">
      <c r="A403" s="345">
        <v>400</v>
      </c>
      <c r="B403" s="346" t="s">
        <v>208</v>
      </c>
      <c r="C403" s="347">
        <v>1800</v>
      </c>
      <c r="D403" s="348">
        <v>45261</v>
      </c>
      <c r="E403" s="348">
        <v>45627</v>
      </c>
      <c r="F403" s="346" t="s">
        <v>631</v>
      </c>
      <c r="G403" s="350" t="s">
        <v>440</v>
      </c>
      <c r="H403" s="351">
        <f t="shared" si="7"/>
        <v>23400</v>
      </c>
      <c r="I403" s="120" t="str">
        <f>IF(OR(D403&lt;Capa!$A$5,D403&gt;Capa!$A$7,E403&lt;Capa!$A$5,E403&gt;Capa!$A$7,D403&gt;E403),"Erro","")</f>
        <v/>
      </c>
    </row>
    <row r="404" spans="1:9" ht="22.5">
      <c r="A404" s="345">
        <v>401</v>
      </c>
      <c r="B404" s="346" t="s">
        <v>208</v>
      </c>
      <c r="C404" s="347">
        <v>1905.12</v>
      </c>
      <c r="D404" s="348">
        <v>45658</v>
      </c>
      <c r="E404" s="348">
        <v>45992</v>
      </c>
      <c r="F404" s="346" t="s">
        <v>631</v>
      </c>
      <c r="G404" s="350" t="s">
        <v>440</v>
      </c>
      <c r="H404" s="351">
        <f t="shared" si="7"/>
        <v>22861.439999999999</v>
      </c>
      <c r="I404" s="120" t="str">
        <f>IF(OR(D404&lt;Capa!$A$5,D404&gt;Capa!$A$7,E404&lt;Capa!$A$5,E404&gt;Capa!$A$7,D404&gt;E404),"Erro","")</f>
        <v/>
      </c>
    </row>
    <row r="405" spans="1:9" ht="22.5">
      <c r="A405" s="345">
        <v>402</v>
      </c>
      <c r="B405" s="346" t="s">
        <v>208</v>
      </c>
      <c r="C405" s="347">
        <v>2016.37</v>
      </c>
      <c r="D405" s="348">
        <v>46023</v>
      </c>
      <c r="E405" s="348">
        <v>46357</v>
      </c>
      <c r="F405" s="346" t="s">
        <v>631</v>
      </c>
      <c r="G405" s="350" t="s">
        <v>440</v>
      </c>
      <c r="H405" s="351">
        <f t="shared" si="7"/>
        <v>24196.44</v>
      </c>
      <c r="I405" s="120" t="str">
        <f>IF(OR(D405&lt;Capa!$A$5,D405&gt;Capa!$A$7,E405&lt;Capa!$A$5,E405&gt;Capa!$A$7,D405&gt;E405),"Erro","")</f>
        <v/>
      </c>
    </row>
    <row r="406" spans="1:9" ht="22.5">
      <c r="A406" s="345">
        <v>403</v>
      </c>
      <c r="B406" s="346" t="s">
        <v>208</v>
      </c>
      <c r="C406" s="347">
        <v>2134.13</v>
      </c>
      <c r="D406" s="348">
        <v>46388</v>
      </c>
      <c r="E406" s="348">
        <v>46722</v>
      </c>
      <c r="F406" s="346" t="s">
        <v>631</v>
      </c>
      <c r="G406" s="350" t="s">
        <v>440</v>
      </c>
      <c r="H406" s="351">
        <f t="shared" si="7"/>
        <v>25609.56</v>
      </c>
      <c r="I406" s="120" t="str">
        <f>IF(OR(D406&lt;Capa!$A$5,D406&gt;Capa!$A$7,E406&lt;Capa!$A$5,E406&gt;Capa!$A$7,D406&gt;E406),"Erro","")</f>
        <v/>
      </c>
    </row>
    <row r="407" spans="1:9" ht="22.5">
      <c r="A407" s="345">
        <v>404</v>
      </c>
      <c r="B407" s="346" t="s">
        <v>208</v>
      </c>
      <c r="C407" s="347">
        <v>2258.7600000000002</v>
      </c>
      <c r="D407" s="348">
        <v>46753</v>
      </c>
      <c r="E407" s="348">
        <v>47058</v>
      </c>
      <c r="F407" s="346" t="s">
        <v>631</v>
      </c>
      <c r="G407" s="350" t="s">
        <v>440</v>
      </c>
      <c r="H407" s="351">
        <f t="shared" si="7"/>
        <v>24846.36</v>
      </c>
      <c r="I407" s="120" t="str">
        <f>IF(OR(D407&lt;Capa!$A$5,D407&gt;Capa!$A$7,E407&lt;Capa!$A$5,E407&gt;Capa!$A$7,D407&gt;E407),"Erro","")</f>
        <v/>
      </c>
    </row>
    <row r="408" spans="1:9" ht="22.5">
      <c r="A408" s="345">
        <v>405</v>
      </c>
      <c r="B408" s="346" t="s">
        <v>210</v>
      </c>
      <c r="C408" s="347">
        <v>50</v>
      </c>
      <c r="D408" s="348">
        <v>45261</v>
      </c>
      <c r="E408" s="348">
        <v>45627</v>
      </c>
      <c r="F408" s="346" t="s">
        <v>631</v>
      </c>
      <c r="G408" s="350" t="s">
        <v>440</v>
      </c>
      <c r="H408" s="351">
        <f t="shared" si="7"/>
        <v>650</v>
      </c>
      <c r="I408" s="120" t="str">
        <f>IF(OR(D408&lt;Capa!$A$5,D408&gt;Capa!$A$7,E408&lt;Capa!$A$5,E408&gt;Capa!$A$7,D408&gt;E408),"Erro","")</f>
        <v/>
      </c>
    </row>
    <row r="409" spans="1:9" ht="22.5">
      <c r="A409" s="345">
        <v>406</v>
      </c>
      <c r="B409" s="346" t="s">
        <v>210</v>
      </c>
      <c r="C409" s="347">
        <v>52.92</v>
      </c>
      <c r="D409" s="348">
        <v>45658</v>
      </c>
      <c r="E409" s="348">
        <v>45992</v>
      </c>
      <c r="F409" s="346" t="s">
        <v>631</v>
      </c>
      <c r="G409" s="350" t="s">
        <v>440</v>
      </c>
      <c r="H409" s="351">
        <f t="shared" si="7"/>
        <v>635.04</v>
      </c>
      <c r="I409" s="120" t="str">
        <f>IF(OR(D409&lt;Capa!$A$5,D409&gt;Capa!$A$7,E409&lt;Capa!$A$5,E409&gt;Capa!$A$7,D409&gt;E409),"Erro","")</f>
        <v/>
      </c>
    </row>
    <row r="410" spans="1:9" ht="22.5">
      <c r="A410" s="345">
        <v>407</v>
      </c>
      <c r="B410" s="346" t="s">
        <v>210</v>
      </c>
      <c r="C410" s="347">
        <v>56.01</v>
      </c>
      <c r="D410" s="348">
        <v>46023</v>
      </c>
      <c r="E410" s="348">
        <v>46357</v>
      </c>
      <c r="F410" s="346" t="s">
        <v>631</v>
      </c>
      <c r="G410" s="350" t="s">
        <v>440</v>
      </c>
      <c r="H410" s="351">
        <f t="shared" si="7"/>
        <v>672.12</v>
      </c>
      <c r="I410" s="120" t="str">
        <f>IF(OR(D410&lt;Capa!$A$5,D410&gt;Capa!$A$7,E410&lt;Capa!$A$5,E410&gt;Capa!$A$7,D410&gt;E410),"Erro","")</f>
        <v/>
      </c>
    </row>
    <row r="411" spans="1:9" ht="22.5">
      <c r="A411" s="345">
        <v>408</v>
      </c>
      <c r="B411" s="346" t="s">
        <v>210</v>
      </c>
      <c r="C411" s="347">
        <v>59.28</v>
      </c>
      <c r="D411" s="348">
        <v>46388</v>
      </c>
      <c r="E411" s="348">
        <v>46722</v>
      </c>
      <c r="F411" s="346" t="s">
        <v>631</v>
      </c>
      <c r="G411" s="350" t="s">
        <v>440</v>
      </c>
      <c r="H411" s="351">
        <f t="shared" si="7"/>
        <v>711.36</v>
      </c>
      <c r="I411" s="120" t="str">
        <f>IF(OR(D411&lt;Capa!$A$5,D411&gt;Capa!$A$7,E411&lt;Capa!$A$5,E411&gt;Capa!$A$7,D411&gt;E411),"Erro","")</f>
        <v/>
      </c>
    </row>
    <row r="412" spans="1:9" ht="22.5">
      <c r="A412" s="345">
        <v>409</v>
      </c>
      <c r="B412" s="346" t="s">
        <v>210</v>
      </c>
      <c r="C412" s="347">
        <v>62.74</v>
      </c>
      <c r="D412" s="348">
        <v>46753</v>
      </c>
      <c r="E412" s="348">
        <v>47058</v>
      </c>
      <c r="F412" s="346" t="s">
        <v>631</v>
      </c>
      <c r="G412" s="350" t="s">
        <v>440</v>
      </c>
      <c r="H412" s="351">
        <f t="shared" si="7"/>
        <v>690.14</v>
      </c>
      <c r="I412" s="120" t="str">
        <f>IF(OR(D412&lt;Capa!$A$5,D412&gt;Capa!$A$7,E412&lt;Capa!$A$5,E412&gt;Capa!$A$7,D412&gt;E412),"Erro","")</f>
        <v/>
      </c>
    </row>
    <row r="413" spans="1:9" ht="22.5">
      <c r="A413" s="345">
        <v>410</v>
      </c>
      <c r="B413" s="346" t="s">
        <v>214</v>
      </c>
      <c r="C413" s="347">
        <v>99.9</v>
      </c>
      <c r="D413" s="348">
        <v>45261</v>
      </c>
      <c r="E413" s="348">
        <v>45627</v>
      </c>
      <c r="F413" s="346" t="s">
        <v>631</v>
      </c>
      <c r="G413" s="350" t="s">
        <v>440</v>
      </c>
      <c r="H413" s="351">
        <f t="shared" si="7"/>
        <v>1298.7</v>
      </c>
      <c r="I413" s="120" t="str">
        <f>IF(OR(D413&lt;Capa!$A$5,D413&gt;Capa!$A$7,E413&lt;Capa!$A$5,E413&gt;Capa!$A$7,D413&gt;E413),"Erro","")</f>
        <v/>
      </c>
    </row>
    <row r="414" spans="1:9" ht="22.5">
      <c r="A414" s="345">
        <v>411</v>
      </c>
      <c r="B414" s="346" t="s">
        <v>214</v>
      </c>
      <c r="C414" s="347">
        <v>105.73</v>
      </c>
      <c r="D414" s="348">
        <v>45658</v>
      </c>
      <c r="E414" s="348">
        <v>45992</v>
      </c>
      <c r="F414" s="346" t="s">
        <v>631</v>
      </c>
      <c r="G414" s="350" t="s">
        <v>440</v>
      </c>
      <c r="H414" s="351">
        <f t="shared" si="7"/>
        <v>1268.76</v>
      </c>
      <c r="I414" s="120" t="str">
        <f>IF(OR(D414&lt;Capa!$A$5,D414&gt;Capa!$A$7,E414&lt;Capa!$A$5,E414&gt;Capa!$A$7,D414&gt;E414),"Erro","")</f>
        <v/>
      </c>
    </row>
    <row r="415" spans="1:9" ht="22.5">
      <c r="A415" s="345">
        <v>412</v>
      </c>
      <c r="B415" s="346" t="s">
        <v>214</v>
      </c>
      <c r="C415" s="347">
        <v>111.91</v>
      </c>
      <c r="D415" s="348">
        <v>46023</v>
      </c>
      <c r="E415" s="348">
        <v>46357</v>
      </c>
      <c r="F415" s="346" t="s">
        <v>631</v>
      </c>
      <c r="G415" s="350" t="s">
        <v>440</v>
      </c>
      <c r="H415" s="351">
        <f t="shared" si="7"/>
        <v>1342.92</v>
      </c>
      <c r="I415" s="120" t="str">
        <f>IF(OR(D415&lt;Capa!$A$5,D415&gt;Capa!$A$7,E415&lt;Capa!$A$5,E415&gt;Capa!$A$7,D415&gt;E415),"Erro","")</f>
        <v/>
      </c>
    </row>
    <row r="416" spans="1:9" ht="22.5">
      <c r="A416" s="345">
        <v>413</v>
      </c>
      <c r="B416" s="346" t="s">
        <v>214</v>
      </c>
      <c r="C416" s="347">
        <v>118.44</v>
      </c>
      <c r="D416" s="348">
        <v>46388</v>
      </c>
      <c r="E416" s="348">
        <v>46722</v>
      </c>
      <c r="F416" s="346" t="s">
        <v>631</v>
      </c>
      <c r="G416" s="350" t="s">
        <v>440</v>
      </c>
      <c r="H416" s="351">
        <f t="shared" si="7"/>
        <v>1421.28</v>
      </c>
      <c r="I416" s="120" t="str">
        <f>IF(OR(D416&lt;Capa!$A$5,D416&gt;Capa!$A$7,E416&lt;Capa!$A$5,E416&gt;Capa!$A$7,D416&gt;E416),"Erro","")</f>
        <v/>
      </c>
    </row>
    <row r="417" spans="1:9" ht="22.5">
      <c r="A417" s="345">
        <v>414</v>
      </c>
      <c r="B417" s="346" t="s">
        <v>214</v>
      </c>
      <c r="C417" s="347">
        <v>125.36</v>
      </c>
      <c r="D417" s="348">
        <v>46753</v>
      </c>
      <c r="E417" s="348">
        <v>47058</v>
      </c>
      <c r="F417" s="346" t="s">
        <v>631</v>
      </c>
      <c r="G417" s="350" t="s">
        <v>440</v>
      </c>
      <c r="H417" s="351">
        <f t="shared" si="7"/>
        <v>1378.96</v>
      </c>
      <c r="I417" s="120" t="str">
        <f>IF(OR(D417&lt;Capa!$A$5,D417&gt;Capa!$A$7,E417&lt;Capa!$A$5,E417&gt;Capa!$A$7,D417&gt;E417),"Erro","")</f>
        <v/>
      </c>
    </row>
    <row r="418" spans="1:9" ht="56.25">
      <c r="A418" s="345">
        <v>415</v>
      </c>
      <c r="B418" s="346" t="s">
        <v>212</v>
      </c>
      <c r="C418" s="347">
        <v>235.74</v>
      </c>
      <c r="D418" s="348">
        <v>45261</v>
      </c>
      <c r="E418" s="348">
        <v>45627</v>
      </c>
      <c r="F418" s="346" t="s">
        <v>631</v>
      </c>
      <c r="G418" s="350" t="s">
        <v>501</v>
      </c>
      <c r="H418" s="351">
        <f t="shared" si="7"/>
        <v>3064.62</v>
      </c>
      <c r="I418" s="120" t="str">
        <f>IF(OR(D418&lt;Capa!$A$5,D418&gt;Capa!$A$7,E418&lt;Capa!$A$5,E418&gt;Capa!$A$7,D418&gt;E418),"Erro","")</f>
        <v/>
      </c>
    </row>
    <row r="419" spans="1:9" ht="56.25">
      <c r="A419" s="345">
        <v>416</v>
      </c>
      <c r="B419" s="346" t="s">
        <v>212</v>
      </c>
      <c r="C419" s="347">
        <v>249.5</v>
      </c>
      <c r="D419" s="348">
        <v>45658</v>
      </c>
      <c r="E419" s="348">
        <v>45992</v>
      </c>
      <c r="F419" s="346" t="s">
        <v>631</v>
      </c>
      <c r="G419" s="350" t="s">
        <v>501</v>
      </c>
      <c r="H419" s="351">
        <f t="shared" si="7"/>
        <v>2994</v>
      </c>
      <c r="I419" s="120" t="str">
        <f>IF(OR(D419&lt;Capa!$A$5,D419&gt;Capa!$A$7,E419&lt;Capa!$A$5,E419&gt;Capa!$A$7,D419&gt;E419),"Erro","")</f>
        <v/>
      </c>
    </row>
    <row r="420" spans="1:9" ht="56.25">
      <c r="A420" s="345">
        <v>417</v>
      </c>
      <c r="B420" s="346" t="s">
        <v>212</v>
      </c>
      <c r="C420" s="347">
        <v>264.07</v>
      </c>
      <c r="D420" s="348">
        <v>46023</v>
      </c>
      <c r="E420" s="348">
        <v>46357</v>
      </c>
      <c r="F420" s="346" t="s">
        <v>631</v>
      </c>
      <c r="G420" s="350" t="s">
        <v>501</v>
      </c>
      <c r="H420" s="351">
        <f t="shared" si="7"/>
        <v>3168.84</v>
      </c>
      <c r="I420" s="120" t="str">
        <f>IF(OR(D420&lt;Capa!$A$5,D420&gt;Capa!$A$7,E420&lt;Capa!$A$5,E420&gt;Capa!$A$7,D420&gt;E420),"Erro","")</f>
        <v/>
      </c>
    </row>
    <row r="421" spans="1:9" ht="56.25">
      <c r="A421" s="345">
        <v>418</v>
      </c>
      <c r="B421" s="346" t="s">
        <v>212</v>
      </c>
      <c r="C421" s="347">
        <v>279.5</v>
      </c>
      <c r="D421" s="348">
        <v>46388</v>
      </c>
      <c r="E421" s="348">
        <v>46722</v>
      </c>
      <c r="F421" s="346" t="s">
        <v>631</v>
      </c>
      <c r="G421" s="350" t="s">
        <v>501</v>
      </c>
      <c r="H421" s="351">
        <f t="shared" si="7"/>
        <v>3354</v>
      </c>
      <c r="I421" s="120" t="str">
        <f>IF(OR(D421&lt;Capa!$A$5,D421&gt;Capa!$A$7,E421&lt;Capa!$A$5,E421&gt;Capa!$A$7,D421&gt;E421),"Erro","")</f>
        <v/>
      </c>
    </row>
    <row r="422" spans="1:9" ht="56.25">
      <c r="A422" s="345">
        <v>419</v>
      </c>
      <c r="B422" s="346" t="s">
        <v>212</v>
      </c>
      <c r="C422" s="347">
        <v>295.82</v>
      </c>
      <c r="D422" s="348">
        <v>46753</v>
      </c>
      <c r="E422" s="348">
        <v>47058</v>
      </c>
      <c r="F422" s="346" t="s">
        <v>631</v>
      </c>
      <c r="G422" s="350" t="s">
        <v>501</v>
      </c>
      <c r="H422" s="351">
        <f t="shared" si="7"/>
        <v>3254.02</v>
      </c>
      <c r="I422" s="120" t="str">
        <f>IF(OR(D422&lt;Capa!$A$5,D422&gt;Capa!$A$7,E422&lt;Capa!$A$5,E422&gt;Capa!$A$7,D422&gt;E422),"Erro","")</f>
        <v/>
      </c>
    </row>
    <row r="423" spans="1:9" ht="45">
      <c r="A423" s="345">
        <v>420</v>
      </c>
      <c r="B423" s="346" t="s">
        <v>248</v>
      </c>
      <c r="C423" s="347">
        <v>846</v>
      </c>
      <c r="D423" s="348">
        <v>45323</v>
      </c>
      <c r="E423" s="348">
        <v>45444</v>
      </c>
      <c r="F423" s="346" t="s">
        <v>631</v>
      </c>
      <c r="G423" s="350" t="s">
        <v>441</v>
      </c>
      <c r="H423" s="351">
        <f t="shared" si="7"/>
        <v>4230</v>
      </c>
      <c r="I423" s="120" t="str">
        <f>IF(OR(D423&lt;Capa!$A$5,D423&gt;Capa!$A$7,E423&lt;Capa!$A$5,E423&gt;Capa!$A$7,D423&gt;E423),"Erro","")</f>
        <v/>
      </c>
    </row>
    <row r="424" spans="1:9" ht="45">
      <c r="A424" s="345">
        <v>421</v>
      </c>
      <c r="B424" s="346" t="s">
        <v>248</v>
      </c>
      <c r="C424" s="347">
        <v>846</v>
      </c>
      <c r="D424" s="348">
        <v>45658</v>
      </c>
      <c r="E424" s="348">
        <v>45809</v>
      </c>
      <c r="F424" s="346" t="s">
        <v>631</v>
      </c>
      <c r="G424" s="350" t="s">
        <v>441</v>
      </c>
      <c r="H424" s="351">
        <f t="shared" si="7"/>
        <v>5076</v>
      </c>
      <c r="I424" s="120" t="str">
        <f>IF(OR(D424&lt;Capa!$A$5,D424&gt;Capa!$A$7,E424&lt;Capa!$A$5,E424&gt;Capa!$A$7,D424&gt;E424),"Erro","")</f>
        <v/>
      </c>
    </row>
    <row r="425" spans="1:9" ht="45">
      <c r="A425" s="345">
        <v>422</v>
      </c>
      <c r="B425" s="346" t="s">
        <v>248</v>
      </c>
      <c r="C425" s="347">
        <v>846</v>
      </c>
      <c r="D425" s="348">
        <v>46023</v>
      </c>
      <c r="E425" s="348">
        <v>46174</v>
      </c>
      <c r="F425" s="346" t="s">
        <v>631</v>
      </c>
      <c r="G425" s="350" t="s">
        <v>441</v>
      </c>
      <c r="H425" s="351">
        <f t="shared" si="7"/>
        <v>5076</v>
      </c>
      <c r="I425" s="120" t="str">
        <f>IF(OR(D425&lt;Capa!$A$5,D425&gt;Capa!$A$7,E425&lt;Capa!$A$5,E425&gt;Capa!$A$7,D425&gt;E425),"Erro","")</f>
        <v/>
      </c>
    </row>
    <row r="426" spans="1:9" ht="45">
      <c r="A426" s="345">
        <v>423</v>
      </c>
      <c r="B426" s="346" t="s">
        <v>248</v>
      </c>
      <c r="C426" s="347">
        <v>846</v>
      </c>
      <c r="D426" s="348">
        <v>46388</v>
      </c>
      <c r="E426" s="348">
        <v>46539</v>
      </c>
      <c r="F426" s="346" t="s">
        <v>631</v>
      </c>
      <c r="G426" s="350" t="s">
        <v>441</v>
      </c>
      <c r="H426" s="351">
        <f t="shared" si="7"/>
        <v>5076</v>
      </c>
      <c r="I426" s="120" t="str">
        <f>IF(OR(D426&lt;Capa!$A$5,D426&gt;Capa!$A$7,E426&lt;Capa!$A$5,E426&gt;Capa!$A$7,D426&gt;E426),"Erro","")</f>
        <v/>
      </c>
    </row>
    <row r="427" spans="1:9" ht="45">
      <c r="A427" s="345">
        <v>424</v>
      </c>
      <c r="B427" s="346" t="s">
        <v>248</v>
      </c>
      <c r="C427" s="347">
        <v>846</v>
      </c>
      <c r="D427" s="348">
        <v>46753</v>
      </c>
      <c r="E427" s="348">
        <v>46905</v>
      </c>
      <c r="F427" s="346" t="s">
        <v>631</v>
      </c>
      <c r="G427" s="350" t="s">
        <v>441</v>
      </c>
      <c r="H427" s="351">
        <f t="shared" ref="H427:H488" si="8">IFERROR((DATEDIF(D427,E427,"M")+1)*C427,0)</f>
        <v>5076</v>
      </c>
      <c r="I427" s="120" t="str">
        <f>IF(OR(D427&lt;Capa!$A$5,D427&gt;Capa!$A$7,E427&lt;Capa!$A$5,E427&gt;Capa!$A$7,D427&gt;E427),"Erro","")</f>
        <v/>
      </c>
    </row>
    <row r="428" spans="1:9" ht="33.75">
      <c r="A428" s="345">
        <v>425</v>
      </c>
      <c r="B428" s="346" t="s">
        <v>266</v>
      </c>
      <c r="C428" s="347">
        <v>300</v>
      </c>
      <c r="D428" s="348">
        <v>45658</v>
      </c>
      <c r="E428" s="348">
        <v>45992</v>
      </c>
      <c r="F428" s="346" t="s">
        <v>631</v>
      </c>
      <c r="G428" s="350" t="s">
        <v>442</v>
      </c>
      <c r="H428" s="351">
        <f t="shared" si="8"/>
        <v>3600</v>
      </c>
      <c r="I428" s="120" t="str">
        <f>IF(OR(D428&lt;Capa!$A$5,D428&gt;Capa!$A$7,E428&lt;Capa!$A$5,E428&gt;Capa!$A$7,D428&gt;E428),"Erro","")</f>
        <v/>
      </c>
    </row>
    <row r="429" spans="1:9" ht="33.75">
      <c r="A429" s="345">
        <v>426</v>
      </c>
      <c r="B429" s="346" t="s">
        <v>266</v>
      </c>
      <c r="C429" s="347">
        <v>300</v>
      </c>
      <c r="D429" s="348">
        <v>46023</v>
      </c>
      <c r="E429" s="348">
        <v>46357</v>
      </c>
      <c r="F429" s="346" t="s">
        <v>631</v>
      </c>
      <c r="G429" s="350" t="s">
        <v>442</v>
      </c>
      <c r="H429" s="351">
        <f t="shared" si="8"/>
        <v>3600</v>
      </c>
      <c r="I429" s="120" t="str">
        <f>IF(OR(D429&lt;Capa!$A$5,D429&gt;Capa!$A$7,E429&lt;Capa!$A$5,E429&gt;Capa!$A$7,D429&gt;E429),"Erro","")</f>
        <v/>
      </c>
    </row>
    <row r="430" spans="1:9" ht="33.75">
      <c r="A430" s="345">
        <v>427</v>
      </c>
      <c r="B430" s="346" t="s">
        <v>266</v>
      </c>
      <c r="C430" s="347">
        <v>300</v>
      </c>
      <c r="D430" s="348">
        <v>46388</v>
      </c>
      <c r="E430" s="348">
        <v>46722</v>
      </c>
      <c r="F430" s="346" t="s">
        <v>631</v>
      </c>
      <c r="G430" s="350" t="s">
        <v>442</v>
      </c>
      <c r="H430" s="351">
        <f t="shared" si="8"/>
        <v>3600</v>
      </c>
      <c r="I430" s="120" t="str">
        <f>IF(OR(D430&lt;Capa!$A$5,D430&gt;Capa!$A$7,E430&lt;Capa!$A$5,E430&gt;Capa!$A$7,D430&gt;E430),"Erro","")</f>
        <v/>
      </c>
    </row>
    <row r="431" spans="1:9" ht="33.75">
      <c r="A431" s="345">
        <v>428</v>
      </c>
      <c r="B431" s="346" t="s">
        <v>266</v>
      </c>
      <c r="C431" s="347">
        <v>300</v>
      </c>
      <c r="D431" s="348">
        <v>46753</v>
      </c>
      <c r="E431" s="348">
        <v>47058</v>
      </c>
      <c r="F431" s="346" t="s">
        <v>631</v>
      </c>
      <c r="G431" s="350" t="s">
        <v>442</v>
      </c>
      <c r="H431" s="351">
        <f t="shared" si="8"/>
        <v>3300</v>
      </c>
      <c r="I431" s="120" t="str">
        <f>IF(OR(D431&lt;Capa!$A$5,D431&gt;Capa!$A$7,E431&lt;Capa!$A$5,E431&gt;Capa!$A$7,D431&gt;E431),"Erro","")</f>
        <v/>
      </c>
    </row>
    <row r="432" spans="1:9" ht="22.5">
      <c r="A432" s="345">
        <v>429</v>
      </c>
      <c r="B432" s="346" t="s">
        <v>274</v>
      </c>
      <c r="C432" s="347">
        <v>1100</v>
      </c>
      <c r="D432" s="348">
        <v>45261</v>
      </c>
      <c r="E432" s="348">
        <v>45627</v>
      </c>
      <c r="F432" s="346" t="s">
        <v>631</v>
      </c>
      <c r="G432" s="350" t="s">
        <v>443</v>
      </c>
      <c r="H432" s="351">
        <f t="shared" si="8"/>
        <v>14300</v>
      </c>
      <c r="I432" s="120" t="str">
        <f>IF(OR(D432&lt;Capa!$A$5,D432&gt;Capa!$A$7,E432&lt;Capa!$A$5,E432&gt;Capa!$A$7,D432&gt;E432),"Erro","")</f>
        <v/>
      </c>
    </row>
    <row r="433" spans="1:9" ht="22.5">
      <c r="A433" s="345">
        <v>430</v>
      </c>
      <c r="B433" s="346" t="s">
        <v>274</v>
      </c>
      <c r="C433" s="347">
        <v>1164.24</v>
      </c>
      <c r="D433" s="348">
        <v>45658</v>
      </c>
      <c r="E433" s="348">
        <v>45992</v>
      </c>
      <c r="F433" s="346" t="s">
        <v>631</v>
      </c>
      <c r="G433" s="350" t="s">
        <v>443</v>
      </c>
      <c r="H433" s="351">
        <f t="shared" si="8"/>
        <v>13970.880000000001</v>
      </c>
      <c r="I433" s="120" t="str">
        <f>IF(OR(D433&lt;Capa!$A$5,D433&gt;Capa!$A$7,E433&lt;Capa!$A$5,E433&gt;Capa!$A$7,D433&gt;E433),"Erro","")</f>
        <v/>
      </c>
    </row>
    <row r="434" spans="1:9" ht="22.5">
      <c r="A434" s="345">
        <v>431</v>
      </c>
      <c r="B434" s="346" t="s">
        <v>274</v>
      </c>
      <c r="C434" s="347">
        <v>1232.23</v>
      </c>
      <c r="D434" s="348">
        <v>46023</v>
      </c>
      <c r="E434" s="348">
        <v>46357</v>
      </c>
      <c r="F434" s="346" t="s">
        <v>631</v>
      </c>
      <c r="G434" s="350" t="s">
        <v>443</v>
      </c>
      <c r="H434" s="351">
        <f t="shared" si="8"/>
        <v>14786.76</v>
      </c>
      <c r="I434" s="120" t="str">
        <f>IF(OR(D434&lt;Capa!$A$5,D434&gt;Capa!$A$7,E434&lt;Capa!$A$5,E434&gt;Capa!$A$7,D434&gt;E434),"Erro","")</f>
        <v/>
      </c>
    </row>
    <row r="435" spans="1:9" ht="22.5">
      <c r="A435" s="345">
        <v>432</v>
      </c>
      <c r="B435" s="346" t="s">
        <v>274</v>
      </c>
      <c r="C435" s="347">
        <v>1304.19</v>
      </c>
      <c r="D435" s="348">
        <v>46388</v>
      </c>
      <c r="E435" s="348">
        <v>46722</v>
      </c>
      <c r="F435" s="346" t="s">
        <v>631</v>
      </c>
      <c r="G435" s="350" t="s">
        <v>443</v>
      </c>
      <c r="H435" s="351">
        <f t="shared" si="8"/>
        <v>15650.28</v>
      </c>
      <c r="I435" s="120" t="str">
        <f>IF(OR(D435&lt;Capa!$A$5,D435&gt;Capa!$A$7,E435&lt;Capa!$A$5,E435&gt;Capa!$A$7,D435&gt;E435),"Erro","")</f>
        <v/>
      </c>
    </row>
    <row r="436" spans="1:9" ht="22.5">
      <c r="A436" s="345">
        <v>433</v>
      </c>
      <c r="B436" s="346" t="s">
        <v>274</v>
      </c>
      <c r="C436" s="347">
        <v>1380.35</v>
      </c>
      <c r="D436" s="348">
        <v>46753</v>
      </c>
      <c r="E436" s="348">
        <v>47058</v>
      </c>
      <c r="F436" s="346" t="s">
        <v>631</v>
      </c>
      <c r="G436" s="350" t="s">
        <v>443</v>
      </c>
      <c r="H436" s="351">
        <f t="shared" si="8"/>
        <v>15183.849999999999</v>
      </c>
      <c r="I436" s="120" t="str">
        <f>IF(OR(D436&lt;Capa!$A$5,D436&gt;Capa!$A$7,E436&lt;Capa!$A$5,E436&gt;Capa!$A$7,D436&gt;E436),"Erro","")</f>
        <v/>
      </c>
    </row>
    <row r="437" spans="1:9" ht="56.25">
      <c r="A437" s="345">
        <v>434</v>
      </c>
      <c r="B437" s="346" t="s">
        <v>236</v>
      </c>
      <c r="C437" s="347">
        <v>690.19</v>
      </c>
      <c r="D437" s="348">
        <v>45292</v>
      </c>
      <c r="E437" s="348">
        <v>45627</v>
      </c>
      <c r="F437" s="346" t="s">
        <v>631</v>
      </c>
      <c r="G437" s="350" t="s">
        <v>444</v>
      </c>
      <c r="H437" s="351">
        <f t="shared" si="8"/>
        <v>8282.2800000000007</v>
      </c>
      <c r="I437" s="120" t="str">
        <f>IF(OR(D437&lt;Capa!$A$5,D437&gt;Capa!$A$7,E437&lt;Capa!$A$5,E437&gt;Capa!$A$7,D437&gt;E437),"Erro","")</f>
        <v/>
      </c>
    </row>
    <row r="438" spans="1:9" ht="56.25">
      <c r="A438" s="345">
        <v>435</v>
      </c>
      <c r="B438" s="346" t="s">
        <v>236</v>
      </c>
      <c r="C438" s="347">
        <v>850</v>
      </c>
      <c r="D438" s="348">
        <v>45658</v>
      </c>
      <c r="E438" s="348">
        <v>45992</v>
      </c>
      <c r="F438" s="346" t="s">
        <v>631</v>
      </c>
      <c r="G438" s="350" t="s">
        <v>444</v>
      </c>
      <c r="H438" s="351">
        <f t="shared" si="8"/>
        <v>10200</v>
      </c>
      <c r="I438" s="120" t="str">
        <f>IF(OR(D438&lt;Capa!$A$5,D438&gt;Capa!$A$7,E438&lt;Capa!$A$5,E438&gt;Capa!$A$7,D438&gt;E438),"Erro","")</f>
        <v/>
      </c>
    </row>
    <row r="439" spans="1:9" ht="56.25">
      <c r="A439" s="345">
        <v>436</v>
      </c>
      <c r="B439" s="346" t="s">
        <v>236</v>
      </c>
      <c r="C439" s="347">
        <v>773.16</v>
      </c>
      <c r="D439" s="348">
        <v>46023</v>
      </c>
      <c r="E439" s="348">
        <v>46357</v>
      </c>
      <c r="F439" s="346" t="s">
        <v>631</v>
      </c>
      <c r="G439" s="350" t="s">
        <v>444</v>
      </c>
      <c r="H439" s="351">
        <f t="shared" si="8"/>
        <v>9277.92</v>
      </c>
      <c r="I439" s="120" t="str">
        <f>IF(OR(D439&lt;Capa!$A$5,D439&gt;Capa!$A$7,E439&lt;Capa!$A$5,E439&gt;Capa!$A$7,D439&gt;E439),"Erro","")</f>
        <v/>
      </c>
    </row>
    <row r="440" spans="1:9" ht="56.25">
      <c r="A440" s="345">
        <v>437</v>
      </c>
      <c r="B440" s="346" t="s">
        <v>236</v>
      </c>
      <c r="C440" s="347">
        <v>818.31</v>
      </c>
      <c r="D440" s="348">
        <v>46388</v>
      </c>
      <c r="E440" s="348">
        <v>46722</v>
      </c>
      <c r="F440" s="346" t="s">
        <v>631</v>
      </c>
      <c r="G440" s="350" t="s">
        <v>444</v>
      </c>
      <c r="H440" s="351">
        <f t="shared" si="8"/>
        <v>9819.7199999999993</v>
      </c>
      <c r="I440" s="120" t="str">
        <f>IF(OR(D440&lt;Capa!$A$5,D440&gt;Capa!$A$7,E440&lt;Capa!$A$5,E440&gt;Capa!$A$7,D440&gt;E440),"Erro","")</f>
        <v/>
      </c>
    </row>
    <row r="441" spans="1:9" ht="56.25">
      <c r="A441" s="345">
        <v>438</v>
      </c>
      <c r="B441" s="346" t="s">
        <v>236</v>
      </c>
      <c r="C441" s="347">
        <v>866.09</v>
      </c>
      <c r="D441" s="348">
        <v>46753</v>
      </c>
      <c r="E441" s="348">
        <v>47058</v>
      </c>
      <c r="F441" s="346" t="s">
        <v>631</v>
      </c>
      <c r="G441" s="350" t="s">
        <v>444</v>
      </c>
      <c r="H441" s="351">
        <f t="shared" si="8"/>
        <v>9526.99</v>
      </c>
      <c r="I441" s="120" t="str">
        <f>IF(OR(D441&lt;Capa!$A$5,D441&gt;Capa!$A$7,E441&lt;Capa!$A$5,E441&gt;Capa!$A$7,D441&gt;E441),"Erro","")</f>
        <v/>
      </c>
    </row>
    <row r="442" spans="1:9" ht="33.75">
      <c r="A442" s="345">
        <v>439</v>
      </c>
      <c r="B442" s="346" t="s">
        <v>240</v>
      </c>
      <c r="C442" s="347">
        <v>50</v>
      </c>
      <c r="D442" s="348">
        <v>45292</v>
      </c>
      <c r="E442" s="348">
        <v>45627</v>
      </c>
      <c r="F442" s="346" t="s">
        <v>631</v>
      </c>
      <c r="G442" s="350" t="s">
        <v>445</v>
      </c>
      <c r="H442" s="351">
        <f t="shared" si="8"/>
        <v>600</v>
      </c>
      <c r="I442" s="120" t="str">
        <f>IF(OR(D442&lt;Capa!$A$5,D442&gt;Capa!$A$7,E442&lt;Capa!$A$5,E442&gt;Capa!$A$7,D442&gt;E442),"Erro","")</f>
        <v/>
      </c>
    </row>
    <row r="443" spans="1:9" ht="33.75">
      <c r="A443" s="345">
        <v>440</v>
      </c>
      <c r="B443" s="346" t="s">
        <v>240</v>
      </c>
      <c r="C443" s="347">
        <v>50</v>
      </c>
      <c r="D443" s="348">
        <v>45658</v>
      </c>
      <c r="E443" s="348">
        <v>45992</v>
      </c>
      <c r="F443" s="346" t="s">
        <v>631</v>
      </c>
      <c r="G443" s="350" t="s">
        <v>445</v>
      </c>
      <c r="H443" s="351">
        <f t="shared" si="8"/>
        <v>600</v>
      </c>
      <c r="I443" s="120" t="str">
        <f>IF(OR(D443&lt;Capa!$A$5,D443&gt;Capa!$A$7,E443&lt;Capa!$A$5,E443&gt;Capa!$A$7,D443&gt;E443),"Erro","")</f>
        <v/>
      </c>
    </row>
    <row r="444" spans="1:9" ht="33.75">
      <c r="A444" s="345">
        <v>441</v>
      </c>
      <c r="B444" s="346" t="s">
        <v>240</v>
      </c>
      <c r="C444" s="347">
        <v>50</v>
      </c>
      <c r="D444" s="348">
        <v>46023</v>
      </c>
      <c r="E444" s="348">
        <v>46357</v>
      </c>
      <c r="F444" s="346" t="s">
        <v>631</v>
      </c>
      <c r="G444" s="350" t="s">
        <v>445</v>
      </c>
      <c r="H444" s="351">
        <f t="shared" si="8"/>
        <v>600</v>
      </c>
      <c r="I444" s="120" t="str">
        <f>IF(OR(D444&lt;Capa!$A$5,D444&gt;Capa!$A$7,E444&lt;Capa!$A$5,E444&gt;Capa!$A$7,D444&gt;E444),"Erro","")</f>
        <v/>
      </c>
    </row>
    <row r="445" spans="1:9" ht="33.75">
      <c r="A445" s="345">
        <v>442</v>
      </c>
      <c r="B445" s="346" t="s">
        <v>240</v>
      </c>
      <c r="C445" s="347">
        <v>50</v>
      </c>
      <c r="D445" s="348">
        <v>46388</v>
      </c>
      <c r="E445" s="348">
        <v>46722</v>
      </c>
      <c r="F445" s="346" t="s">
        <v>631</v>
      </c>
      <c r="G445" s="350" t="s">
        <v>445</v>
      </c>
      <c r="H445" s="351">
        <f t="shared" si="8"/>
        <v>600</v>
      </c>
      <c r="I445" s="120" t="str">
        <f>IF(OR(D445&lt;Capa!$A$5,D445&gt;Capa!$A$7,E445&lt;Capa!$A$5,E445&gt;Capa!$A$7,D445&gt;E445),"Erro","")</f>
        <v/>
      </c>
    </row>
    <row r="446" spans="1:9" ht="33.75">
      <c r="A446" s="345">
        <v>443</v>
      </c>
      <c r="B446" s="346" t="s">
        <v>240</v>
      </c>
      <c r="C446" s="347">
        <v>50</v>
      </c>
      <c r="D446" s="348">
        <v>46753</v>
      </c>
      <c r="E446" s="348">
        <v>47058</v>
      </c>
      <c r="F446" s="346" t="s">
        <v>631</v>
      </c>
      <c r="G446" s="350" t="s">
        <v>445</v>
      </c>
      <c r="H446" s="351">
        <f t="shared" si="8"/>
        <v>550</v>
      </c>
      <c r="I446" s="120" t="str">
        <f>IF(OR(D446&lt;Capa!$A$5,D446&gt;Capa!$A$7,E446&lt;Capa!$A$5,E446&gt;Capa!$A$7,D446&gt;E446),"Erro","")</f>
        <v/>
      </c>
    </row>
    <row r="447" spans="1:9" ht="45">
      <c r="A447" s="345">
        <v>444</v>
      </c>
      <c r="B447" s="346" t="s">
        <v>244</v>
      </c>
      <c r="C447" s="347">
        <v>250</v>
      </c>
      <c r="D447" s="348">
        <v>45261</v>
      </c>
      <c r="E447" s="348">
        <v>45627</v>
      </c>
      <c r="F447" s="346" t="s">
        <v>631</v>
      </c>
      <c r="G447" s="350" t="s">
        <v>446</v>
      </c>
      <c r="H447" s="351">
        <f t="shared" si="8"/>
        <v>3250</v>
      </c>
      <c r="I447" s="120" t="str">
        <f>IF(OR(D447&lt;Capa!$A$5,D447&gt;Capa!$A$7,E447&lt;Capa!$A$5,E447&gt;Capa!$A$7,D447&gt;E447),"Erro","")</f>
        <v/>
      </c>
    </row>
    <row r="448" spans="1:9" ht="45">
      <c r="A448" s="345">
        <v>445</v>
      </c>
      <c r="B448" s="346" t="s">
        <v>244</v>
      </c>
      <c r="C448" s="347">
        <v>300</v>
      </c>
      <c r="D448" s="348">
        <v>45658</v>
      </c>
      <c r="E448" s="348">
        <v>45992</v>
      </c>
      <c r="F448" s="346" t="s">
        <v>631</v>
      </c>
      <c r="G448" s="350" t="s">
        <v>446</v>
      </c>
      <c r="H448" s="351">
        <f t="shared" si="8"/>
        <v>3600</v>
      </c>
      <c r="I448" s="120" t="str">
        <f>IF(OR(D448&lt;Capa!$A$5,D448&gt;Capa!$A$7,E448&lt;Capa!$A$5,E448&gt;Capa!$A$7,D448&gt;E448),"Erro","")</f>
        <v/>
      </c>
    </row>
    <row r="449" spans="1:9" ht="45">
      <c r="A449" s="345">
        <v>446</v>
      </c>
      <c r="B449" s="346" t="s">
        <v>244</v>
      </c>
      <c r="C449" s="347">
        <v>300</v>
      </c>
      <c r="D449" s="348">
        <v>46023</v>
      </c>
      <c r="E449" s="348">
        <v>46357</v>
      </c>
      <c r="F449" s="346" t="s">
        <v>631</v>
      </c>
      <c r="G449" s="350" t="s">
        <v>446</v>
      </c>
      <c r="H449" s="351">
        <f t="shared" si="8"/>
        <v>3600</v>
      </c>
      <c r="I449" s="120" t="str">
        <f>IF(OR(D449&lt;Capa!$A$5,D449&gt;Capa!$A$7,E449&lt;Capa!$A$5,E449&gt;Capa!$A$7,D449&gt;E449),"Erro","")</f>
        <v/>
      </c>
    </row>
    <row r="450" spans="1:9" ht="45">
      <c r="A450" s="345">
        <v>447</v>
      </c>
      <c r="B450" s="346" t="s">
        <v>244</v>
      </c>
      <c r="C450" s="347">
        <v>350</v>
      </c>
      <c r="D450" s="348">
        <v>46388</v>
      </c>
      <c r="E450" s="348">
        <v>46722</v>
      </c>
      <c r="F450" s="346" t="s">
        <v>631</v>
      </c>
      <c r="G450" s="350" t="s">
        <v>446</v>
      </c>
      <c r="H450" s="351">
        <f t="shared" si="8"/>
        <v>4200</v>
      </c>
      <c r="I450" s="120" t="str">
        <f>IF(OR(D450&lt;Capa!$A$5,D450&gt;Capa!$A$7,E450&lt;Capa!$A$5,E450&gt;Capa!$A$7,D450&gt;E450),"Erro","")</f>
        <v/>
      </c>
    </row>
    <row r="451" spans="1:9" ht="45">
      <c r="A451" s="345">
        <v>448</v>
      </c>
      <c r="B451" s="346" t="s">
        <v>244</v>
      </c>
      <c r="C451" s="347">
        <v>350</v>
      </c>
      <c r="D451" s="348">
        <v>46753</v>
      </c>
      <c r="E451" s="348">
        <v>47058</v>
      </c>
      <c r="F451" s="346" t="s">
        <v>631</v>
      </c>
      <c r="G451" s="350" t="s">
        <v>446</v>
      </c>
      <c r="H451" s="351">
        <f t="shared" si="8"/>
        <v>3850</v>
      </c>
      <c r="I451" s="120" t="str">
        <f>IF(OR(D451&lt;Capa!$A$5,D451&gt;Capa!$A$7,E451&lt;Capa!$A$5,E451&gt;Capa!$A$7,D451&gt;E451),"Erro","")</f>
        <v/>
      </c>
    </row>
    <row r="452" spans="1:9" ht="33.75">
      <c r="A452" s="345">
        <v>449</v>
      </c>
      <c r="B452" s="346" t="s">
        <v>246</v>
      </c>
      <c r="C452" s="347">
        <v>275.18</v>
      </c>
      <c r="D452" s="348">
        <v>45658</v>
      </c>
      <c r="E452" s="348">
        <v>45992</v>
      </c>
      <c r="F452" s="346" t="s">
        <v>631</v>
      </c>
      <c r="G452" s="350" t="s">
        <v>447</v>
      </c>
      <c r="H452" s="351">
        <f t="shared" si="8"/>
        <v>3302.16</v>
      </c>
      <c r="I452" s="120" t="str">
        <f>IF(OR(D452&lt;Capa!$A$5,D452&gt;Capa!$A$7,E452&lt;Capa!$A$5,E452&gt;Capa!$A$7,D452&gt;E452),"Erro","")</f>
        <v/>
      </c>
    </row>
    <row r="453" spans="1:9" ht="33.75">
      <c r="A453" s="345">
        <v>450</v>
      </c>
      <c r="B453" s="346" t="s">
        <v>246</v>
      </c>
      <c r="C453" s="347">
        <v>291.25</v>
      </c>
      <c r="D453" s="348">
        <v>46023</v>
      </c>
      <c r="E453" s="348">
        <v>46357</v>
      </c>
      <c r="F453" s="346" t="s">
        <v>631</v>
      </c>
      <c r="G453" s="350" t="s">
        <v>447</v>
      </c>
      <c r="H453" s="351">
        <f t="shared" si="8"/>
        <v>3495</v>
      </c>
      <c r="I453" s="120" t="str">
        <f>IF(OR(D453&lt;Capa!$A$5,D453&gt;Capa!$A$7,E453&lt;Capa!$A$5,E453&gt;Capa!$A$7,D453&gt;E453),"Erro","")</f>
        <v/>
      </c>
    </row>
    <row r="454" spans="1:9" ht="33.75">
      <c r="A454" s="345">
        <v>451</v>
      </c>
      <c r="B454" s="346" t="s">
        <v>246</v>
      </c>
      <c r="C454" s="347">
        <v>308.26</v>
      </c>
      <c r="D454" s="348">
        <v>46388</v>
      </c>
      <c r="E454" s="348">
        <v>46722</v>
      </c>
      <c r="F454" s="346" t="s">
        <v>631</v>
      </c>
      <c r="G454" s="350" t="s">
        <v>447</v>
      </c>
      <c r="H454" s="351">
        <f t="shared" si="8"/>
        <v>3699.12</v>
      </c>
      <c r="I454" s="120" t="str">
        <f>IF(OR(D454&lt;Capa!$A$5,D454&gt;Capa!$A$7,E454&lt;Capa!$A$5,E454&gt;Capa!$A$7,D454&gt;E454),"Erro","")</f>
        <v/>
      </c>
    </row>
    <row r="455" spans="1:9" ht="33.75">
      <c r="A455" s="345">
        <v>452</v>
      </c>
      <c r="B455" s="346" t="s">
        <v>246</v>
      </c>
      <c r="C455" s="347">
        <v>326.26</v>
      </c>
      <c r="D455" s="348">
        <v>46753</v>
      </c>
      <c r="E455" s="348">
        <v>47058</v>
      </c>
      <c r="F455" s="346" t="s">
        <v>631</v>
      </c>
      <c r="G455" s="350" t="s">
        <v>447</v>
      </c>
      <c r="H455" s="351">
        <f t="shared" si="8"/>
        <v>3588.8599999999997</v>
      </c>
      <c r="I455" s="120" t="str">
        <f>IF(OR(D455&lt;Capa!$A$5,D455&gt;Capa!$A$7,E455&lt;Capa!$A$5,E455&gt;Capa!$A$7,D455&gt;E455),"Erro","")</f>
        <v/>
      </c>
    </row>
    <row r="456" spans="1:9" ht="33.75">
      <c r="A456" s="345">
        <v>453</v>
      </c>
      <c r="B456" s="346" t="s">
        <v>258</v>
      </c>
      <c r="C456" s="347">
        <v>193.77</v>
      </c>
      <c r="D456" s="348">
        <v>45261</v>
      </c>
      <c r="E456" s="348">
        <v>45627</v>
      </c>
      <c r="F456" s="346" t="s">
        <v>631</v>
      </c>
      <c r="G456" s="350" t="s">
        <v>448</v>
      </c>
      <c r="H456" s="351">
        <f t="shared" si="8"/>
        <v>2519.0100000000002</v>
      </c>
      <c r="I456" s="120" t="str">
        <f>IF(OR(D456&lt;Capa!$A$5,D456&gt;Capa!$A$7,E456&lt;Capa!$A$5,E456&gt;Capa!$A$7,D456&gt;E456),"Erro","")</f>
        <v/>
      </c>
    </row>
    <row r="457" spans="1:9" ht="33.75">
      <c r="A457" s="345">
        <v>454</v>
      </c>
      <c r="B457" s="346" t="s">
        <v>258</v>
      </c>
      <c r="C457" s="347">
        <v>205.08</v>
      </c>
      <c r="D457" s="348">
        <v>45658</v>
      </c>
      <c r="E457" s="348">
        <v>45992</v>
      </c>
      <c r="F457" s="346" t="s">
        <v>631</v>
      </c>
      <c r="G457" s="350" t="s">
        <v>448</v>
      </c>
      <c r="H457" s="351">
        <f t="shared" si="8"/>
        <v>2460.96</v>
      </c>
      <c r="I457" s="120" t="str">
        <f>IF(OR(D457&lt;Capa!$A$5,D457&gt;Capa!$A$7,E457&lt;Capa!$A$5,E457&gt;Capa!$A$7,D457&gt;E457),"Erro","")</f>
        <v/>
      </c>
    </row>
    <row r="458" spans="1:9" ht="33.75">
      <c r="A458" s="345">
        <v>455</v>
      </c>
      <c r="B458" s="346" t="s">
        <v>258</v>
      </c>
      <c r="C458" s="347">
        <v>217.06</v>
      </c>
      <c r="D458" s="348">
        <v>46023</v>
      </c>
      <c r="E458" s="348">
        <v>46357</v>
      </c>
      <c r="F458" s="346" t="s">
        <v>631</v>
      </c>
      <c r="G458" s="350" t="s">
        <v>448</v>
      </c>
      <c r="H458" s="351">
        <f t="shared" si="8"/>
        <v>2604.7200000000003</v>
      </c>
      <c r="I458" s="120" t="str">
        <f>IF(OR(D458&lt;Capa!$A$5,D458&gt;Capa!$A$7,E458&lt;Capa!$A$5,E458&gt;Capa!$A$7,D458&gt;E458),"Erro","")</f>
        <v/>
      </c>
    </row>
    <row r="459" spans="1:9" ht="33.75">
      <c r="A459" s="345">
        <v>456</v>
      </c>
      <c r="B459" s="346" t="s">
        <v>258</v>
      </c>
      <c r="C459" s="347">
        <v>229.74</v>
      </c>
      <c r="D459" s="348">
        <v>46388</v>
      </c>
      <c r="E459" s="348">
        <v>46722</v>
      </c>
      <c r="F459" s="346" t="s">
        <v>631</v>
      </c>
      <c r="G459" s="350" t="s">
        <v>448</v>
      </c>
      <c r="H459" s="351">
        <f t="shared" si="8"/>
        <v>2756.88</v>
      </c>
      <c r="I459" s="120" t="str">
        <f>IF(OR(D459&lt;Capa!$A$5,D459&gt;Capa!$A$7,E459&lt;Capa!$A$5,E459&gt;Capa!$A$7,D459&gt;E459),"Erro","")</f>
        <v/>
      </c>
    </row>
    <row r="460" spans="1:9" ht="33.75">
      <c r="A460" s="345">
        <v>457</v>
      </c>
      <c r="B460" s="346" t="s">
        <v>258</v>
      </c>
      <c r="C460" s="347">
        <v>243.16</v>
      </c>
      <c r="D460" s="348">
        <v>46753</v>
      </c>
      <c r="E460" s="348">
        <v>47058</v>
      </c>
      <c r="F460" s="346" t="s">
        <v>631</v>
      </c>
      <c r="G460" s="350" t="s">
        <v>448</v>
      </c>
      <c r="H460" s="351">
        <f t="shared" si="8"/>
        <v>2674.7599999999998</v>
      </c>
      <c r="I460" s="120" t="str">
        <f>IF(OR(D460&lt;Capa!$A$5,D460&gt;Capa!$A$7,E460&lt;Capa!$A$5,E460&gt;Capa!$A$7,D460&gt;E460),"Erro","")</f>
        <v/>
      </c>
    </row>
    <row r="461" spans="1:9" ht="56.25">
      <c r="A461" s="345">
        <v>458</v>
      </c>
      <c r="B461" s="346" t="s">
        <v>276</v>
      </c>
      <c r="C461" s="347">
        <v>670</v>
      </c>
      <c r="D461" s="348">
        <v>45658</v>
      </c>
      <c r="E461" s="348">
        <v>45992</v>
      </c>
      <c r="F461" s="346" t="s">
        <v>631</v>
      </c>
      <c r="G461" s="350" t="s">
        <v>449</v>
      </c>
      <c r="H461" s="351">
        <f t="shared" si="8"/>
        <v>8040</v>
      </c>
      <c r="I461" s="120" t="str">
        <f>IF(OR(D461&lt;Capa!$A$5,D461&gt;Capa!$A$7,E461&lt;Capa!$A$5,E461&gt;Capa!$A$7,D461&gt;E461),"Erro","")</f>
        <v/>
      </c>
    </row>
    <row r="462" spans="1:9" ht="56.25">
      <c r="A462" s="345">
        <v>459</v>
      </c>
      <c r="B462" s="346" t="s">
        <v>276</v>
      </c>
      <c r="C462" s="347">
        <v>670</v>
      </c>
      <c r="D462" s="348">
        <v>46023</v>
      </c>
      <c r="E462" s="348">
        <v>46357</v>
      </c>
      <c r="F462" s="346" t="s">
        <v>631</v>
      </c>
      <c r="G462" s="350" t="s">
        <v>449</v>
      </c>
      <c r="H462" s="351">
        <f t="shared" si="8"/>
        <v>8040</v>
      </c>
      <c r="I462" s="120" t="str">
        <f>IF(OR(D462&lt;Capa!$A$5,D462&gt;Capa!$A$7,E462&lt;Capa!$A$5,E462&gt;Capa!$A$7,D462&gt;E462),"Erro","")</f>
        <v/>
      </c>
    </row>
    <row r="463" spans="1:9" ht="56.25">
      <c r="A463" s="345">
        <v>460</v>
      </c>
      <c r="B463" s="346" t="s">
        <v>276</v>
      </c>
      <c r="C463" s="347">
        <v>670</v>
      </c>
      <c r="D463" s="348">
        <v>46388</v>
      </c>
      <c r="E463" s="348">
        <v>46722</v>
      </c>
      <c r="F463" s="346" t="s">
        <v>631</v>
      </c>
      <c r="G463" s="350" t="s">
        <v>449</v>
      </c>
      <c r="H463" s="351">
        <f t="shared" si="8"/>
        <v>8040</v>
      </c>
      <c r="I463" s="120" t="str">
        <f>IF(OR(D463&lt;Capa!$A$5,D463&gt;Capa!$A$7,E463&lt;Capa!$A$5,E463&gt;Capa!$A$7,D463&gt;E463),"Erro","")</f>
        <v/>
      </c>
    </row>
    <row r="464" spans="1:9" ht="56.25">
      <c r="A464" s="345">
        <v>461</v>
      </c>
      <c r="B464" s="346" t="s">
        <v>276</v>
      </c>
      <c r="C464" s="347">
        <v>670</v>
      </c>
      <c r="D464" s="348">
        <v>46753</v>
      </c>
      <c r="E464" s="348">
        <v>47058</v>
      </c>
      <c r="F464" s="346" t="s">
        <v>631</v>
      </c>
      <c r="G464" s="350" t="s">
        <v>449</v>
      </c>
      <c r="H464" s="351">
        <f t="shared" si="8"/>
        <v>7370</v>
      </c>
      <c r="I464" s="120" t="str">
        <f>IF(OR(D464&lt;Capa!$A$5,D464&gt;Capa!$A$7,E464&lt;Capa!$A$5,E464&gt;Capa!$A$7,D464&gt;E464),"Erro","")</f>
        <v/>
      </c>
    </row>
    <row r="465" spans="1:9" ht="45">
      <c r="A465" s="345">
        <v>462</v>
      </c>
      <c r="B465" s="346" t="s">
        <v>278</v>
      </c>
      <c r="C465" s="347">
        <v>30000</v>
      </c>
      <c r="D465" s="348">
        <v>45261</v>
      </c>
      <c r="E465" s="348">
        <v>45261</v>
      </c>
      <c r="F465" s="346" t="s">
        <v>631</v>
      </c>
      <c r="G465" s="350" t="s">
        <v>450</v>
      </c>
      <c r="H465" s="351">
        <f t="shared" si="8"/>
        <v>30000</v>
      </c>
      <c r="I465" s="120" t="str">
        <f>IF(OR(D465&lt;Capa!$A$5,D465&gt;Capa!$A$7,E465&lt;Capa!$A$5,E465&gt;Capa!$A$7,D465&gt;E465),"Erro","")</f>
        <v/>
      </c>
    </row>
    <row r="466" spans="1:9" ht="45">
      <c r="A466" s="345">
        <v>463</v>
      </c>
      <c r="B466" s="346" t="s">
        <v>278</v>
      </c>
      <c r="C466" s="347">
        <v>41370</v>
      </c>
      <c r="D466" s="348">
        <v>45292</v>
      </c>
      <c r="E466" s="348">
        <v>45627</v>
      </c>
      <c r="F466" s="346" t="s">
        <v>631</v>
      </c>
      <c r="G466" s="350" t="s">
        <v>450</v>
      </c>
      <c r="H466" s="351">
        <f t="shared" si="8"/>
        <v>496440</v>
      </c>
      <c r="I466" s="120" t="str">
        <f>IF(OR(D466&lt;Capa!$A$5,D466&gt;Capa!$A$7,E466&lt;Capa!$A$5,E466&gt;Capa!$A$7,D466&gt;E466),"Erro","")</f>
        <v/>
      </c>
    </row>
    <row r="467" spans="1:9" ht="45">
      <c r="A467" s="345">
        <v>464</v>
      </c>
      <c r="B467" s="346" t="s">
        <v>278</v>
      </c>
      <c r="C467" s="347">
        <v>43786</v>
      </c>
      <c r="D467" s="348">
        <v>45658</v>
      </c>
      <c r="E467" s="348">
        <v>45992</v>
      </c>
      <c r="F467" s="346" t="s">
        <v>631</v>
      </c>
      <c r="G467" s="350" t="s">
        <v>450</v>
      </c>
      <c r="H467" s="351">
        <f t="shared" si="8"/>
        <v>525432</v>
      </c>
      <c r="I467" s="120" t="str">
        <f>IF(OR(D467&lt;Capa!$A$5,D467&gt;Capa!$A$7,E467&lt;Capa!$A$5,E467&gt;Capa!$A$7,D467&gt;E467),"Erro","")</f>
        <v/>
      </c>
    </row>
    <row r="468" spans="1:9" ht="45">
      <c r="A468" s="345">
        <v>465</v>
      </c>
      <c r="B468" s="346" t="s">
        <v>278</v>
      </c>
      <c r="C468" s="347">
        <v>45562</v>
      </c>
      <c r="D468" s="348">
        <v>46023</v>
      </c>
      <c r="E468" s="348">
        <v>46357</v>
      </c>
      <c r="F468" s="346" t="s">
        <v>631</v>
      </c>
      <c r="G468" s="350" t="s">
        <v>450</v>
      </c>
      <c r="H468" s="351">
        <f t="shared" si="8"/>
        <v>546744</v>
      </c>
      <c r="I468" s="120" t="str">
        <f>IF(OR(D468&lt;Capa!$A$5,D468&gt;Capa!$A$7,E468&lt;Capa!$A$5,E468&gt;Capa!$A$7,D468&gt;E468),"Erro","")</f>
        <v/>
      </c>
    </row>
    <row r="469" spans="1:9" ht="45">
      <c r="A469" s="345">
        <v>466</v>
      </c>
      <c r="B469" s="346" t="s">
        <v>278</v>
      </c>
      <c r="C469" s="347">
        <v>48222.82</v>
      </c>
      <c r="D469" s="348">
        <v>46388</v>
      </c>
      <c r="E469" s="348">
        <v>46722</v>
      </c>
      <c r="F469" s="346" t="s">
        <v>631</v>
      </c>
      <c r="G469" s="350" t="s">
        <v>450</v>
      </c>
      <c r="H469" s="351">
        <f t="shared" si="8"/>
        <v>578673.84</v>
      </c>
      <c r="I469" s="120" t="str">
        <f>IF(OR(D469&lt;Capa!$A$5,D469&gt;Capa!$A$7,E469&lt;Capa!$A$5,E469&gt;Capa!$A$7,D469&gt;E469),"Erro","")</f>
        <v/>
      </c>
    </row>
    <row r="470" spans="1:9" ht="45">
      <c r="A470" s="345">
        <v>467</v>
      </c>
      <c r="B470" s="346" t="s">
        <v>278</v>
      </c>
      <c r="C470" s="347">
        <v>51039.03</v>
      </c>
      <c r="D470" s="348">
        <v>46753</v>
      </c>
      <c r="E470" s="348">
        <v>47058</v>
      </c>
      <c r="F470" s="346" t="s">
        <v>631</v>
      </c>
      <c r="G470" s="350" t="s">
        <v>450</v>
      </c>
      <c r="H470" s="351">
        <f t="shared" si="8"/>
        <v>561429.32999999996</v>
      </c>
      <c r="I470" s="120" t="str">
        <f>IF(OR(D470&lt;Capa!$A$5,D470&gt;Capa!$A$7,E470&lt;Capa!$A$5,E470&gt;Capa!$A$7,D470&gt;E470),"Erro","")</f>
        <v/>
      </c>
    </row>
    <row r="471" spans="1:9" ht="56.25">
      <c r="A471" s="345">
        <v>468</v>
      </c>
      <c r="B471" s="346" t="s">
        <v>280</v>
      </c>
      <c r="C471" s="347">
        <v>100</v>
      </c>
      <c r="D471" s="348">
        <v>45292</v>
      </c>
      <c r="E471" s="348">
        <v>45627</v>
      </c>
      <c r="F471" s="346" t="s">
        <v>631</v>
      </c>
      <c r="G471" s="350" t="s">
        <v>451</v>
      </c>
      <c r="H471" s="351">
        <f t="shared" si="8"/>
        <v>1200</v>
      </c>
      <c r="I471" s="120" t="str">
        <f>IF(OR(D471&lt;Capa!$A$5,D471&gt;Capa!$A$7,E471&lt;Capa!$A$5,E471&gt;Capa!$A$7,D471&gt;E471),"Erro","")</f>
        <v/>
      </c>
    </row>
    <row r="472" spans="1:9" ht="56.25">
      <c r="A472" s="345">
        <v>469</v>
      </c>
      <c r="B472" s="346" t="s">
        <v>280</v>
      </c>
      <c r="C472" s="347">
        <v>100</v>
      </c>
      <c r="D472" s="348">
        <v>45658</v>
      </c>
      <c r="E472" s="348">
        <v>45992</v>
      </c>
      <c r="F472" s="346" t="s">
        <v>631</v>
      </c>
      <c r="G472" s="350" t="s">
        <v>451</v>
      </c>
      <c r="H472" s="351">
        <f t="shared" si="8"/>
        <v>1200</v>
      </c>
      <c r="I472" s="120" t="str">
        <f>IF(OR(D472&lt;Capa!$A$5,D472&gt;Capa!$A$7,E472&lt;Capa!$A$5,E472&gt;Capa!$A$7,D472&gt;E472),"Erro","")</f>
        <v/>
      </c>
    </row>
    <row r="473" spans="1:9" ht="56.25">
      <c r="A473" s="345">
        <v>470</v>
      </c>
      <c r="B473" s="346" t="s">
        <v>280</v>
      </c>
      <c r="C473" s="347">
        <v>100</v>
      </c>
      <c r="D473" s="348">
        <v>46023</v>
      </c>
      <c r="E473" s="348">
        <v>46357</v>
      </c>
      <c r="F473" s="346" t="s">
        <v>631</v>
      </c>
      <c r="G473" s="350" t="s">
        <v>451</v>
      </c>
      <c r="H473" s="351">
        <f t="shared" si="8"/>
        <v>1200</v>
      </c>
      <c r="I473" s="120" t="str">
        <f>IF(OR(D473&lt;Capa!$A$5,D473&gt;Capa!$A$7,E473&lt;Capa!$A$5,E473&gt;Capa!$A$7,D473&gt;E473),"Erro","")</f>
        <v/>
      </c>
    </row>
    <row r="474" spans="1:9" ht="56.25">
      <c r="A474" s="345">
        <v>471</v>
      </c>
      <c r="B474" s="346" t="s">
        <v>280</v>
      </c>
      <c r="C474" s="347">
        <v>100</v>
      </c>
      <c r="D474" s="348">
        <v>46388</v>
      </c>
      <c r="E474" s="348">
        <v>46722</v>
      </c>
      <c r="F474" s="346" t="s">
        <v>631</v>
      </c>
      <c r="G474" s="350" t="s">
        <v>451</v>
      </c>
      <c r="H474" s="351">
        <f t="shared" si="8"/>
        <v>1200</v>
      </c>
      <c r="I474" s="120" t="str">
        <f>IF(OR(D474&lt;Capa!$A$5,D474&gt;Capa!$A$7,E474&lt;Capa!$A$5,E474&gt;Capa!$A$7,D474&gt;E474),"Erro","")</f>
        <v/>
      </c>
    </row>
    <row r="475" spans="1:9" ht="56.25">
      <c r="A475" s="345">
        <v>472</v>
      </c>
      <c r="B475" s="346" t="s">
        <v>280</v>
      </c>
      <c r="C475" s="347">
        <v>100</v>
      </c>
      <c r="D475" s="348">
        <v>46753</v>
      </c>
      <c r="E475" s="348">
        <v>47058</v>
      </c>
      <c r="F475" s="346" t="s">
        <v>631</v>
      </c>
      <c r="G475" s="350" t="s">
        <v>451</v>
      </c>
      <c r="H475" s="351">
        <f t="shared" si="8"/>
        <v>1100</v>
      </c>
      <c r="I475" s="120" t="str">
        <f>IF(OR(D475&lt;Capa!$A$5,D475&gt;Capa!$A$7,E475&lt;Capa!$A$5,E475&gt;Capa!$A$7,D475&gt;E475),"Erro","")</f>
        <v/>
      </c>
    </row>
    <row r="476" spans="1:9" ht="45">
      <c r="A476" s="345">
        <v>473</v>
      </c>
      <c r="B476" s="346" t="s">
        <v>282</v>
      </c>
      <c r="C476" s="347">
        <v>702.18</v>
      </c>
      <c r="D476" s="348">
        <v>45292</v>
      </c>
      <c r="E476" s="348">
        <v>45627</v>
      </c>
      <c r="F476" s="346" t="s">
        <v>631</v>
      </c>
      <c r="G476" s="350" t="s">
        <v>452</v>
      </c>
      <c r="H476" s="351">
        <f t="shared" si="8"/>
        <v>8426.16</v>
      </c>
      <c r="I476" s="120" t="str">
        <f>IF(OR(D476&lt;Capa!$A$5,D476&gt;Capa!$A$7,E476&lt;Capa!$A$5,E476&gt;Capa!$A$7,D476&gt;E476),"Erro","")</f>
        <v/>
      </c>
    </row>
    <row r="477" spans="1:9" ht="45">
      <c r="A477" s="345">
        <v>474</v>
      </c>
      <c r="B477" s="346" t="s">
        <v>282</v>
      </c>
      <c r="C477" s="347">
        <v>743.18</v>
      </c>
      <c r="D477" s="348">
        <v>45658</v>
      </c>
      <c r="E477" s="348">
        <v>45992</v>
      </c>
      <c r="F477" s="346" t="s">
        <v>631</v>
      </c>
      <c r="G477" s="350" t="s">
        <v>452</v>
      </c>
      <c r="H477" s="351">
        <f t="shared" si="8"/>
        <v>8918.16</v>
      </c>
      <c r="I477" s="120" t="str">
        <f>IF(OR(D477&lt;Capa!$A$5,D477&gt;Capa!$A$7,E477&lt;Capa!$A$5,E477&gt;Capa!$A$7,D477&gt;E477),"Erro","")</f>
        <v/>
      </c>
    </row>
    <row r="478" spans="1:9" ht="45">
      <c r="A478" s="345">
        <v>475</v>
      </c>
      <c r="B478" s="346" t="s">
        <v>282</v>
      </c>
      <c r="C478" s="347">
        <v>786.59</v>
      </c>
      <c r="D478" s="348">
        <v>46023</v>
      </c>
      <c r="E478" s="348">
        <v>46357</v>
      </c>
      <c r="F478" s="346" t="s">
        <v>631</v>
      </c>
      <c r="G478" s="350" t="s">
        <v>452</v>
      </c>
      <c r="H478" s="351">
        <f t="shared" si="8"/>
        <v>9439.08</v>
      </c>
      <c r="I478" s="120" t="str">
        <f>IF(OR(D478&lt;Capa!$A$5,D478&gt;Capa!$A$7,E478&lt;Capa!$A$5,E478&gt;Capa!$A$7,D478&gt;E478),"Erro","")</f>
        <v/>
      </c>
    </row>
    <row r="479" spans="1:9" ht="45">
      <c r="A479" s="345">
        <v>476</v>
      </c>
      <c r="B479" s="346" t="s">
        <v>282</v>
      </c>
      <c r="C479" s="347">
        <v>832.52</v>
      </c>
      <c r="D479" s="348">
        <v>46388</v>
      </c>
      <c r="E479" s="348">
        <v>46722</v>
      </c>
      <c r="F479" s="346" t="s">
        <v>631</v>
      </c>
      <c r="G479" s="350" t="s">
        <v>452</v>
      </c>
      <c r="H479" s="351">
        <f t="shared" si="8"/>
        <v>9990.24</v>
      </c>
      <c r="I479" s="120" t="str">
        <f>IF(OR(D479&lt;Capa!$A$5,D479&gt;Capa!$A$7,E479&lt;Capa!$A$5,E479&gt;Capa!$A$7,D479&gt;E479),"Erro","")</f>
        <v/>
      </c>
    </row>
    <row r="480" spans="1:9" ht="45">
      <c r="A480" s="345">
        <v>477</v>
      </c>
      <c r="B480" s="346" t="s">
        <v>282</v>
      </c>
      <c r="C480" s="347">
        <v>881.14</v>
      </c>
      <c r="D480" s="348">
        <v>46753</v>
      </c>
      <c r="E480" s="348">
        <v>47058</v>
      </c>
      <c r="F480" s="346" t="s">
        <v>631</v>
      </c>
      <c r="G480" s="350" t="s">
        <v>452</v>
      </c>
      <c r="H480" s="351">
        <f t="shared" si="8"/>
        <v>9692.5399999999991</v>
      </c>
      <c r="I480" s="120" t="str">
        <f>IF(OR(D480&lt;Capa!$A$5,D480&gt;Capa!$A$7,E480&lt;Capa!$A$5,E480&gt;Capa!$A$7,D480&gt;E480),"Erro","")</f>
        <v/>
      </c>
    </row>
    <row r="481" spans="1:9" ht="45">
      <c r="A481" s="345">
        <v>478</v>
      </c>
      <c r="B481" s="346" t="s">
        <v>284</v>
      </c>
      <c r="C481" s="347">
        <v>1013.31</v>
      </c>
      <c r="D481" s="348">
        <v>45261</v>
      </c>
      <c r="E481" s="348">
        <v>45627</v>
      </c>
      <c r="F481" s="346" t="s">
        <v>631</v>
      </c>
      <c r="G481" s="350" t="s">
        <v>452</v>
      </c>
      <c r="H481" s="351">
        <f t="shared" si="8"/>
        <v>13173.029999999999</v>
      </c>
      <c r="I481" s="120" t="str">
        <f>IF(OR(D481&lt;Capa!$A$5,D481&gt;Capa!$A$7,E481&lt;Capa!$A$5,E481&gt;Capa!$A$7,D481&gt;E481),"Erro","")</f>
        <v/>
      </c>
    </row>
    <row r="482" spans="1:9" ht="45">
      <c r="A482" s="345">
        <v>479</v>
      </c>
      <c r="B482" s="346" t="s">
        <v>284</v>
      </c>
      <c r="C482" s="347">
        <v>1072.49</v>
      </c>
      <c r="D482" s="348">
        <v>45658</v>
      </c>
      <c r="E482" s="348">
        <v>45992</v>
      </c>
      <c r="F482" s="346" t="s">
        <v>631</v>
      </c>
      <c r="G482" s="350" t="s">
        <v>452</v>
      </c>
      <c r="H482" s="351">
        <f t="shared" si="8"/>
        <v>12869.880000000001</v>
      </c>
      <c r="I482" s="120" t="str">
        <f>IF(OR(D482&lt;Capa!$A$5,D482&gt;Capa!$A$7,E482&lt;Capa!$A$5,E482&gt;Capa!$A$7,D482&gt;E482),"Erro","")</f>
        <v/>
      </c>
    </row>
    <row r="483" spans="1:9" ht="45">
      <c r="A483" s="345">
        <v>480</v>
      </c>
      <c r="B483" s="346" t="s">
        <v>284</v>
      </c>
      <c r="C483" s="347">
        <v>1135.1199999999999</v>
      </c>
      <c r="D483" s="348">
        <v>46023</v>
      </c>
      <c r="E483" s="348">
        <v>46357</v>
      </c>
      <c r="F483" s="346" t="s">
        <v>631</v>
      </c>
      <c r="G483" s="350" t="s">
        <v>452</v>
      </c>
      <c r="H483" s="351">
        <f t="shared" si="8"/>
        <v>13621.439999999999</v>
      </c>
      <c r="I483" s="120" t="str">
        <f>IF(OR(D483&lt;Capa!$A$5,D483&gt;Capa!$A$7,E483&lt;Capa!$A$5,E483&gt;Capa!$A$7,D483&gt;E483),"Erro","")</f>
        <v/>
      </c>
    </row>
    <row r="484" spans="1:9" ht="45">
      <c r="A484" s="345">
        <v>481</v>
      </c>
      <c r="B484" s="346" t="s">
        <v>284</v>
      </c>
      <c r="C484" s="347">
        <v>1201.42</v>
      </c>
      <c r="D484" s="348">
        <v>46388</v>
      </c>
      <c r="E484" s="348">
        <v>46722</v>
      </c>
      <c r="F484" s="346" t="s">
        <v>631</v>
      </c>
      <c r="G484" s="350" t="s">
        <v>452</v>
      </c>
      <c r="H484" s="351">
        <f t="shared" si="8"/>
        <v>14417.04</v>
      </c>
      <c r="I484" s="120" t="str">
        <f>IF(OR(D484&lt;Capa!$A$5,D484&gt;Capa!$A$7,E484&lt;Capa!$A$5,E484&gt;Capa!$A$7,D484&gt;E484),"Erro","")</f>
        <v/>
      </c>
    </row>
    <row r="485" spans="1:9" ht="45">
      <c r="A485" s="345">
        <v>482</v>
      </c>
      <c r="B485" s="346" t="s">
        <v>284</v>
      </c>
      <c r="C485" s="347">
        <v>1271.58</v>
      </c>
      <c r="D485" s="348">
        <v>46753</v>
      </c>
      <c r="E485" s="348">
        <v>47058</v>
      </c>
      <c r="F485" s="346" t="s">
        <v>631</v>
      </c>
      <c r="G485" s="350" t="s">
        <v>452</v>
      </c>
      <c r="H485" s="351">
        <f t="shared" si="8"/>
        <v>13987.38</v>
      </c>
      <c r="I485" s="120" t="str">
        <f>IF(OR(D485&lt;Capa!$A$5,D485&gt;Capa!$A$7,E485&lt;Capa!$A$5,E485&gt;Capa!$A$7,D485&gt;E485),"Erro","")</f>
        <v/>
      </c>
    </row>
    <row r="486" spans="1:9" ht="45">
      <c r="A486" s="345">
        <v>483</v>
      </c>
      <c r="B486" s="346" t="s">
        <v>286</v>
      </c>
      <c r="C486" s="347">
        <v>1013.31</v>
      </c>
      <c r="D486" s="348">
        <v>45261</v>
      </c>
      <c r="E486" s="348">
        <v>45627</v>
      </c>
      <c r="F486" s="346" t="s">
        <v>631</v>
      </c>
      <c r="G486" s="350" t="s">
        <v>452</v>
      </c>
      <c r="H486" s="351">
        <f t="shared" si="8"/>
        <v>13173.029999999999</v>
      </c>
      <c r="I486" s="120" t="str">
        <f>IF(OR(D486&lt;Capa!$A$5,D486&gt;Capa!$A$7,E486&lt;Capa!$A$5,E486&gt;Capa!$A$7,D486&gt;E486),"Erro","")</f>
        <v/>
      </c>
    </row>
    <row r="487" spans="1:9" ht="45">
      <c r="A487" s="345">
        <v>484</v>
      </c>
      <c r="B487" s="346" t="s">
        <v>286</v>
      </c>
      <c r="C487" s="347">
        <v>1072.49</v>
      </c>
      <c r="D487" s="348">
        <v>45658</v>
      </c>
      <c r="E487" s="348">
        <v>45992</v>
      </c>
      <c r="F487" s="346" t="s">
        <v>631</v>
      </c>
      <c r="G487" s="350" t="s">
        <v>452</v>
      </c>
      <c r="H487" s="351">
        <f t="shared" si="8"/>
        <v>12869.880000000001</v>
      </c>
      <c r="I487" s="120" t="str">
        <f>IF(OR(D487&lt;Capa!$A$5,D487&gt;Capa!$A$7,E487&lt;Capa!$A$5,E487&gt;Capa!$A$7,D487&gt;E487),"Erro","")</f>
        <v/>
      </c>
    </row>
    <row r="488" spans="1:9" ht="45">
      <c r="A488" s="345">
        <v>485</v>
      </c>
      <c r="B488" s="346" t="s">
        <v>286</v>
      </c>
      <c r="C488" s="347">
        <v>1135.1199999999999</v>
      </c>
      <c r="D488" s="348">
        <v>46023</v>
      </c>
      <c r="E488" s="348">
        <v>46357</v>
      </c>
      <c r="F488" s="346" t="s">
        <v>631</v>
      </c>
      <c r="G488" s="350" t="s">
        <v>452</v>
      </c>
      <c r="H488" s="351">
        <f t="shared" si="8"/>
        <v>13621.439999999999</v>
      </c>
      <c r="I488" s="120" t="str">
        <f>IF(OR(D488&lt;Capa!$A$5,D488&gt;Capa!$A$7,E488&lt;Capa!$A$5,E488&gt;Capa!$A$7,D488&gt;E488),"Erro","")</f>
        <v/>
      </c>
    </row>
    <row r="489" spans="1:9" ht="45">
      <c r="A489" s="345">
        <v>486</v>
      </c>
      <c r="B489" s="346" t="s">
        <v>286</v>
      </c>
      <c r="C489" s="347">
        <v>1201.4100000000001</v>
      </c>
      <c r="D489" s="348">
        <v>46388</v>
      </c>
      <c r="E489" s="348">
        <v>46722</v>
      </c>
      <c r="F489" s="346" t="s">
        <v>631</v>
      </c>
      <c r="G489" s="350" t="s">
        <v>452</v>
      </c>
      <c r="H489" s="351">
        <f t="shared" ref="H489:H553" si="9">IFERROR((DATEDIF(D489,E489,"M")+1)*C489,0)</f>
        <v>14416.920000000002</v>
      </c>
      <c r="I489" s="120" t="str">
        <f>IF(OR(D489&lt;Capa!$A$5,D489&gt;Capa!$A$7,E489&lt;Capa!$A$5,E489&gt;Capa!$A$7,D489&gt;E489),"Erro","")</f>
        <v/>
      </c>
    </row>
    <row r="490" spans="1:9" ht="45">
      <c r="A490" s="345">
        <v>487</v>
      </c>
      <c r="B490" s="346" t="s">
        <v>286</v>
      </c>
      <c r="C490" s="347">
        <v>1271.57</v>
      </c>
      <c r="D490" s="348">
        <v>46753</v>
      </c>
      <c r="E490" s="348">
        <v>47058</v>
      </c>
      <c r="F490" s="346" t="s">
        <v>631</v>
      </c>
      <c r="G490" s="350" t="s">
        <v>452</v>
      </c>
      <c r="H490" s="351">
        <f t="shared" si="9"/>
        <v>13987.269999999999</v>
      </c>
      <c r="I490" s="120" t="str">
        <f>IF(OR(D490&lt;Capa!$A$5,D490&gt;Capa!$A$7,E490&lt;Capa!$A$5,E490&gt;Capa!$A$7,D490&gt;E490),"Erro","")</f>
        <v/>
      </c>
    </row>
    <row r="491" spans="1:9" ht="45">
      <c r="A491" s="345">
        <v>488</v>
      </c>
      <c r="B491" s="346" t="s">
        <v>288</v>
      </c>
      <c r="C491" s="347">
        <v>200</v>
      </c>
      <c r="D491" s="348">
        <v>45261</v>
      </c>
      <c r="E491" s="348">
        <v>45627</v>
      </c>
      <c r="F491" s="346" t="s">
        <v>631</v>
      </c>
      <c r="G491" s="350" t="s">
        <v>453</v>
      </c>
      <c r="H491" s="351">
        <f t="shared" si="9"/>
        <v>2600</v>
      </c>
      <c r="I491" s="120" t="str">
        <f>IF(OR(D491&lt;Capa!$A$5,D491&gt;Capa!$A$7,E491&lt;Capa!$A$5,E491&gt;Capa!$A$7,D491&gt;E491),"Erro","")</f>
        <v/>
      </c>
    </row>
    <row r="492" spans="1:9" ht="45">
      <c r="A492" s="345">
        <v>489</v>
      </c>
      <c r="B492" s="346" t="s">
        <v>288</v>
      </c>
      <c r="C492" s="347">
        <v>200</v>
      </c>
      <c r="D492" s="348">
        <v>45658</v>
      </c>
      <c r="E492" s="348">
        <v>45992</v>
      </c>
      <c r="F492" s="346" t="s">
        <v>631</v>
      </c>
      <c r="G492" s="350" t="s">
        <v>453</v>
      </c>
      <c r="H492" s="351">
        <f t="shared" si="9"/>
        <v>2400</v>
      </c>
      <c r="I492" s="120" t="str">
        <f>IF(OR(D492&lt;Capa!$A$5,D492&gt;Capa!$A$7,E492&lt;Capa!$A$5,E492&gt;Capa!$A$7,D492&gt;E492),"Erro","")</f>
        <v/>
      </c>
    </row>
    <row r="493" spans="1:9" ht="45">
      <c r="A493" s="345">
        <v>490</v>
      </c>
      <c r="B493" s="346" t="s">
        <v>288</v>
      </c>
      <c r="C493" s="347">
        <v>200</v>
      </c>
      <c r="D493" s="348">
        <v>46023</v>
      </c>
      <c r="E493" s="348">
        <v>46357</v>
      </c>
      <c r="F493" s="346" t="s">
        <v>631</v>
      </c>
      <c r="G493" s="350" t="s">
        <v>453</v>
      </c>
      <c r="H493" s="351">
        <f t="shared" si="9"/>
        <v>2400</v>
      </c>
      <c r="I493" s="120" t="str">
        <f>IF(OR(D493&lt;Capa!$A$5,D493&gt;Capa!$A$7,E493&lt;Capa!$A$5,E493&gt;Capa!$A$7,D493&gt;E493),"Erro","")</f>
        <v/>
      </c>
    </row>
    <row r="494" spans="1:9" ht="45">
      <c r="A494" s="345">
        <v>491</v>
      </c>
      <c r="B494" s="346" t="s">
        <v>288</v>
      </c>
      <c r="C494" s="347">
        <v>200</v>
      </c>
      <c r="D494" s="348">
        <v>46388</v>
      </c>
      <c r="E494" s="348">
        <v>46722</v>
      </c>
      <c r="F494" s="346" t="s">
        <v>631</v>
      </c>
      <c r="G494" s="350" t="s">
        <v>453</v>
      </c>
      <c r="H494" s="351">
        <f t="shared" si="9"/>
        <v>2400</v>
      </c>
      <c r="I494" s="120" t="str">
        <f>IF(OR(D494&lt;Capa!$A$5,D494&gt;Capa!$A$7,E494&lt;Capa!$A$5,E494&gt;Capa!$A$7,D494&gt;E494),"Erro","")</f>
        <v/>
      </c>
    </row>
    <row r="495" spans="1:9" ht="45">
      <c r="A495" s="345">
        <v>492</v>
      </c>
      <c r="B495" s="346" t="s">
        <v>288</v>
      </c>
      <c r="C495" s="347">
        <v>200</v>
      </c>
      <c r="D495" s="348">
        <v>46753</v>
      </c>
      <c r="E495" s="348">
        <v>47058</v>
      </c>
      <c r="F495" s="346" t="s">
        <v>631</v>
      </c>
      <c r="G495" s="350" t="s">
        <v>453</v>
      </c>
      <c r="H495" s="351">
        <f t="shared" si="9"/>
        <v>2200</v>
      </c>
      <c r="I495" s="120" t="str">
        <f>IF(OR(D495&lt;Capa!$A$5,D495&gt;Capa!$A$7,E495&lt;Capa!$A$5,E495&gt;Capa!$A$7,D495&gt;E495),"Erro","")</f>
        <v/>
      </c>
    </row>
    <row r="496" spans="1:9" ht="33.75">
      <c r="A496" s="345">
        <v>493</v>
      </c>
      <c r="B496" s="346" t="s">
        <v>294</v>
      </c>
      <c r="C496" s="347">
        <v>7000</v>
      </c>
      <c r="D496" s="348">
        <v>45261</v>
      </c>
      <c r="E496" s="348">
        <v>45627</v>
      </c>
      <c r="F496" s="346" t="s">
        <v>631</v>
      </c>
      <c r="G496" s="350" t="s">
        <v>454</v>
      </c>
      <c r="H496" s="351">
        <f t="shared" si="9"/>
        <v>91000</v>
      </c>
      <c r="I496" s="120" t="str">
        <f>IF(OR(D496&lt;Capa!$A$5,D496&gt;Capa!$A$7,E496&lt;Capa!$A$5,E496&gt;Capa!$A$7,D496&gt;E496),"Erro","")</f>
        <v/>
      </c>
    </row>
    <row r="497" spans="1:9" ht="33.75">
      <c r="A497" s="345">
        <v>494</v>
      </c>
      <c r="B497" s="346" t="s">
        <v>294</v>
      </c>
      <c r="C497" s="347">
        <v>8000</v>
      </c>
      <c r="D497" s="348">
        <v>45658</v>
      </c>
      <c r="E497" s="348">
        <v>45992</v>
      </c>
      <c r="F497" s="346" t="s">
        <v>631</v>
      </c>
      <c r="G497" s="350" t="s">
        <v>454</v>
      </c>
      <c r="H497" s="351">
        <f t="shared" si="9"/>
        <v>96000</v>
      </c>
      <c r="I497" s="120" t="str">
        <f>IF(OR(D497&lt;Capa!$A$5,D497&gt;Capa!$A$7,E497&lt;Capa!$A$5,E497&gt;Capa!$A$7,D497&gt;E497),"Erro","")</f>
        <v/>
      </c>
    </row>
    <row r="498" spans="1:9" ht="33.75">
      <c r="A498" s="345">
        <v>495</v>
      </c>
      <c r="B498" s="346" t="s">
        <v>294</v>
      </c>
      <c r="C498" s="347">
        <v>7847.65</v>
      </c>
      <c r="D498" s="348">
        <v>46023</v>
      </c>
      <c r="E498" s="348">
        <v>46357</v>
      </c>
      <c r="F498" s="346" t="s">
        <v>631</v>
      </c>
      <c r="G498" s="350" t="s">
        <v>454</v>
      </c>
      <c r="H498" s="351">
        <f t="shared" si="9"/>
        <v>94171.799999999988</v>
      </c>
      <c r="I498" s="120" t="str">
        <f>IF(OR(D498&lt;Capa!$A$5,D498&gt;Capa!$A$7,E498&lt;Capa!$A$5,E498&gt;Capa!$A$7,D498&gt;E498),"Erro","")</f>
        <v/>
      </c>
    </row>
    <row r="499" spans="1:9" ht="33.75">
      <c r="A499" s="345">
        <v>496</v>
      </c>
      <c r="B499" s="346" t="s">
        <v>294</v>
      </c>
      <c r="C499" s="347">
        <v>8305.9500000000007</v>
      </c>
      <c r="D499" s="348">
        <v>46388</v>
      </c>
      <c r="E499" s="348">
        <v>46722</v>
      </c>
      <c r="F499" s="346" t="s">
        <v>631</v>
      </c>
      <c r="G499" s="350" t="s">
        <v>454</v>
      </c>
      <c r="H499" s="351">
        <f t="shared" si="9"/>
        <v>99671.400000000009</v>
      </c>
      <c r="I499" s="120" t="str">
        <f>IF(OR(D499&lt;Capa!$A$5,D499&gt;Capa!$A$7,E499&lt;Capa!$A$5,E499&gt;Capa!$A$7,D499&gt;E499),"Erro","")</f>
        <v/>
      </c>
    </row>
    <row r="500" spans="1:9" ht="33.75">
      <c r="A500" s="345">
        <v>497</v>
      </c>
      <c r="B500" s="346" t="s">
        <v>294</v>
      </c>
      <c r="C500" s="347">
        <v>8791.02</v>
      </c>
      <c r="D500" s="348">
        <v>46753</v>
      </c>
      <c r="E500" s="348">
        <v>47058</v>
      </c>
      <c r="F500" s="346" t="s">
        <v>631</v>
      </c>
      <c r="G500" s="350" t="s">
        <v>454</v>
      </c>
      <c r="H500" s="351">
        <f t="shared" si="9"/>
        <v>96701.22</v>
      </c>
      <c r="I500" s="120" t="str">
        <f>IF(OR(D500&lt;Capa!$A$5,D500&gt;Capa!$A$7,E500&lt;Capa!$A$5,E500&gt;Capa!$A$7,D500&gt;E500),"Erro","")</f>
        <v/>
      </c>
    </row>
    <row r="501" spans="1:9" ht="22.5">
      <c r="A501" s="345">
        <v>498</v>
      </c>
      <c r="B501" s="346" t="s">
        <v>302</v>
      </c>
      <c r="C501" s="347">
        <v>200</v>
      </c>
      <c r="D501" s="348">
        <v>45261</v>
      </c>
      <c r="E501" s="348">
        <v>45627</v>
      </c>
      <c r="F501" s="346" t="s">
        <v>631</v>
      </c>
      <c r="G501" s="350" t="s">
        <v>455</v>
      </c>
      <c r="H501" s="351">
        <f t="shared" si="9"/>
        <v>2600</v>
      </c>
      <c r="I501" s="120" t="str">
        <f>IF(OR(D501&lt;Capa!$A$5,D501&gt;Capa!$A$7,E501&lt;Capa!$A$5,E501&gt;Capa!$A$7,D501&gt;E501),"Erro","")</f>
        <v/>
      </c>
    </row>
    <row r="502" spans="1:9" ht="22.5">
      <c r="A502" s="345">
        <v>499</v>
      </c>
      <c r="B502" s="346" t="s">
        <v>302</v>
      </c>
      <c r="C502" s="347">
        <v>210</v>
      </c>
      <c r="D502" s="348">
        <v>45658</v>
      </c>
      <c r="E502" s="348">
        <v>45992</v>
      </c>
      <c r="F502" s="346" t="s">
        <v>631</v>
      </c>
      <c r="G502" s="350" t="s">
        <v>455</v>
      </c>
      <c r="H502" s="351">
        <f t="shared" si="9"/>
        <v>2520</v>
      </c>
      <c r="I502" s="120" t="str">
        <f>IF(OR(D502&lt;Capa!$A$5,D502&gt;Capa!$A$7,E502&lt;Capa!$A$5,E502&gt;Capa!$A$7,D502&gt;E502),"Erro","")</f>
        <v/>
      </c>
    </row>
    <row r="503" spans="1:9" ht="22.5">
      <c r="A503" s="345">
        <v>500</v>
      </c>
      <c r="B503" s="346" t="s">
        <v>302</v>
      </c>
      <c r="C503" s="347">
        <v>210</v>
      </c>
      <c r="D503" s="348">
        <v>46023</v>
      </c>
      <c r="E503" s="348">
        <v>46357</v>
      </c>
      <c r="F503" s="346" t="s">
        <v>631</v>
      </c>
      <c r="G503" s="350" t="s">
        <v>455</v>
      </c>
      <c r="H503" s="351">
        <f t="shared" si="9"/>
        <v>2520</v>
      </c>
      <c r="I503" s="120" t="str">
        <f>IF(OR(D503&lt;Capa!$A$5,D503&gt;Capa!$A$7,E503&lt;Capa!$A$5,E503&gt;Capa!$A$7,D503&gt;E503),"Erro","")</f>
        <v/>
      </c>
    </row>
    <row r="504" spans="1:9" ht="22.5">
      <c r="A504" s="345">
        <v>501</v>
      </c>
      <c r="B504" s="346" t="s">
        <v>302</v>
      </c>
      <c r="C504" s="347">
        <v>210</v>
      </c>
      <c r="D504" s="348">
        <v>46388</v>
      </c>
      <c r="E504" s="348">
        <v>46722</v>
      </c>
      <c r="F504" s="346" t="s">
        <v>631</v>
      </c>
      <c r="G504" s="350" t="s">
        <v>455</v>
      </c>
      <c r="H504" s="351">
        <f t="shared" si="9"/>
        <v>2520</v>
      </c>
      <c r="I504" s="120" t="str">
        <f>IF(OR(D504&lt;Capa!$A$5,D504&gt;Capa!$A$7,E504&lt;Capa!$A$5,E504&gt;Capa!$A$7,D504&gt;E504),"Erro","")</f>
        <v/>
      </c>
    </row>
    <row r="505" spans="1:9" ht="22.5">
      <c r="A505" s="345">
        <v>502</v>
      </c>
      <c r="B505" s="346" t="s">
        <v>302</v>
      </c>
      <c r="C505" s="347">
        <v>210</v>
      </c>
      <c r="D505" s="348">
        <v>46753</v>
      </c>
      <c r="E505" s="348">
        <v>47058</v>
      </c>
      <c r="F505" s="346" t="s">
        <v>631</v>
      </c>
      <c r="G505" s="350" t="s">
        <v>455</v>
      </c>
      <c r="H505" s="351">
        <f t="shared" si="9"/>
        <v>2310</v>
      </c>
      <c r="I505" s="120" t="str">
        <f>IF(OR(D505&lt;Capa!$A$5,D505&gt;Capa!$A$7,E505&lt;Capa!$A$5,E505&gt;Capa!$A$7,D505&gt;E505),"Erro","")</f>
        <v/>
      </c>
    </row>
    <row r="506" spans="1:9" ht="33.75">
      <c r="A506" s="345">
        <v>503</v>
      </c>
      <c r="B506" s="346" t="s">
        <v>304</v>
      </c>
      <c r="C506" s="347">
        <v>1800</v>
      </c>
      <c r="D506" s="348">
        <v>45261</v>
      </c>
      <c r="E506" s="348">
        <v>45627</v>
      </c>
      <c r="F506" s="346" t="s">
        <v>631</v>
      </c>
      <c r="G506" s="350" t="s">
        <v>456</v>
      </c>
      <c r="H506" s="351">
        <f t="shared" si="9"/>
        <v>23400</v>
      </c>
      <c r="I506" s="120" t="str">
        <f>IF(OR(D506&lt;Capa!$A$5,D506&gt;Capa!$A$7,E506&lt;Capa!$A$5,E506&gt;Capa!$A$7,D506&gt;E506),"Erro","")</f>
        <v/>
      </c>
    </row>
    <row r="507" spans="1:9" ht="33.75">
      <c r="A507" s="345">
        <v>504</v>
      </c>
      <c r="B507" s="346" t="s">
        <v>304</v>
      </c>
      <c r="C507" s="347">
        <v>1905.12</v>
      </c>
      <c r="D507" s="348">
        <v>45658</v>
      </c>
      <c r="E507" s="348">
        <v>45992</v>
      </c>
      <c r="F507" s="346" t="s">
        <v>631</v>
      </c>
      <c r="G507" s="350" t="s">
        <v>456</v>
      </c>
      <c r="H507" s="351">
        <f t="shared" si="9"/>
        <v>22861.439999999999</v>
      </c>
      <c r="I507" s="120" t="str">
        <f>IF(OR(D507&lt;Capa!$A$5,D507&gt;Capa!$A$7,E507&lt;Capa!$A$5,E507&gt;Capa!$A$7,D507&gt;E507),"Erro","")</f>
        <v/>
      </c>
    </row>
    <row r="508" spans="1:9" ht="33.75">
      <c r="A508" s="345">
        <v>505</v>
      </c>
      <c r="B508" s="346" t="s">
        <v>304</v>
      </c>
      <c r="C508" s="347">
        <v>2016.37</v>
      </c>
      <c r="D508" s="348">
        <v>46023</v>
      </c>
      <c r="E508" s="348">
        <v>46357</v>
      </c>
      <c r="F508" s="346" t="s">
        <v>631</v>
      </c>
      <c r="G508" s="350" t="s">
        <v>456</v>
      </c>
      <c r="H508" s="351">
        <f t="shared" si="9"/>
        <v>24196.44</v>
      </c>
      <c r="I508" s="120" t="str">
        <f>IF(OR(D508&lt;Capa!$A$5,D508&gt;Capa!$A$7,E508&lt;Capa!$A$5,E508&gt;Capa!$A$7,D508&gt;E508),"Erro","")</f>
        <v/>
      </c>
    </row>
    <row r="509" spans="1:9" ht="33.75">
      <c r="A509" s="345">
        <v>506</v>
      </c>
      <c r="B509" s="346" t="s">
        <v>304</v>
      </c>
      <c r="C509" s="347">
        <v>2134.13</v>
      </c>
      <c r="D509" s="348">
        <v>46388</v>
      </c>
      <c r="E509" s="348">
        <v>46722</v>
      </c>
      <c r="F509" s="346" t="s">
        <v>631</v>
      </c>
      <c r="G509" s="350" t="s">
        <v>456</v>
      </c>
      <c r="H509" s="351">
        <f t="shared" si="9"/>
        <v>25609.56</v>
      </c>
      <c r="I509" s="120" t="str">
        <f>IF(OR(D509&lt;Capa!$A$5,D509&gt;Capa!$A$7,E509&lt;Capa!$A$5,E509&gt;Capa!$A$7,D509&gt;E509),"Erro","")</f>
        <v/>
      </c>
    </row>
    <row r="510" spans="1:9" ht="33.75">
      <c r="A510" s="345">
        <v>507</v>
      </c>
      <c r="B510" s="346" t="s">
        <v>304</v>
      </c>
      <c r="C510" s="347">
        <v>2258.7600000000002</v>
      </c>
      <c r="D510" s="348">
        <v>46753</v>
      </c>
      <c r="E510" s="348">
        <v>47058</v>
      </c>
      <c r="F510" s="346" t="s">
        <v>631</v>
      </c>
      <c r="G510" s="350" t="s">
        <v>456</v>
      </c>
      <c r="H510" s="351">
        <f t="shared" si="9"/>
        <v>24846.36</v>
      </c>
      <c r="I510" s="120" t="str">
        <f>IF(OR(D510&lt;Capa!$A$5,D510&gt;Capa!$A$7,E510&lt;Capa!$A$5,E510&gt;Capa!$A$7,D510&gt;E510),"Erro","")</f>
        <v/>
      </c>
    </row>
    <row r="511" spans="1:9" ht="22.5">
      <c r="A511" s="345">
        <v>508</v>
      </c>
      <c r="B511" s="346" t="s">
        <v>308</v>
      </c>
      <c r="C511" s="347">
        <v>26</v>
      </c>
      <c r="D511" s="348">
        <v>45292</v>
      </c>
      <c r="E511" s="348">
        <v>45413</v>
      </c>
      <c r="F511" s="346" t="s">
        <v>631</v>
      </c>
      <c r="G511" s="350" t="s">
        <v>713</v>
      </c>
      <c r="H511" s="351">
        <f t="shared" si="9"/>
        <v>130</v>
      </c>
      <c r="I511" s="120" t="str">
        <f>IF(OR(D511&lt;Capa!$A$5,D511&gt;Capa!$A$7,E511&lt;Capa!$A$5,E511&gt;Capa!$A$7,D511&gt;E511),"Erro","")</f>
        <v/>
      </c>
    </row>
    <row r="512" spans="1:9" ht="22.5">
      <c r="A512" s="345">
        <v>509</v>
      </c>
      <c r="B512" s="346" t="s">
        <v>308</v>
      </c>
      <c r="C512" s="347">
        <v>26</v>
      </c>
      <c r="D512" s="348">
        <v>45658</v>
      </c>
      <c r="E512" s="348">
        <v>45778</v>
      </c>
      <c r="F512" s="346" t="s">
        <v>631</v>
      </c>
      <c r="G512" s="350" t="s">
        <v>713</v>
      </c>
      <c r="H512" s="351">
        <f t="shared" si="9"/>
        <v>130</v>
      </c>
      <c r="I512" s="120" t="str">
        <f>IF(OR(D512&lt;Capa!$A$5,D512&gt;Capa!$A$7,E512&lt;Capa!$A$5,E512&gt;Capa!$A$7,D512&gt;E512),"Erro","")</f>
        <v/>
      </c>
    </row>
    <row r="513" spans="1:9" ht="22.5">
      <c r="A513" s="345">
        <v>510</v>
      </c>
      <c r="B513" s="346" t="s">
        <v>308</v>
      </c>
      <c r="C513" s="347">
        <v>26</v>
      </c>
      <c r="D513" s="348">
        <v>46023</v>
      </c>
      <c r="E513" s="348">
        <v>46143</v>
      </c>
      <c r="F513" s="346" t="s">
        <v>631</v>
      </c>
      <c r="G513" s="350" t="s">
        <v>713</v>
      </c>
      <c r="H513" s="351">
        <f t="shared" si="9"/>
        <v>130</v>
      </c>
      <c r="I513" s="120" t="str">
        <f>IF(OR(D513&lt;Capa!$A$5,D513&gt;Capa!$A$7,E513&lt;Capa!$A$5,E513&gt;Capa!$A$7,D513&gt;E513),"Erro","")</f>
        <v/>
      </c>
    </row>
    <row r="514" spans="1:9" ht="22.5">
      <c r="A514" s="345">
        <v>511</v>
      </c>
      <c r="B514" s="346" t="s">
        <v>308</v>
      </c>
      <c r="C514" s="347">
        <v>26</v>
      </c>
      <c r="D514" s="348">
        <v>46388</v>
      </c>
      <c r="E514" s="348">
        <v>46508</v>
      </c>
      <c r="F514" s="346" t="s">
        <v>631</v>
      </c>
      <c r="G514" s="350" t="s">
        <v>713</v>
      </c>
      <c r="H514" s="351">
        <f t="shared" si="9"/>
        <v>130</v>
      </c>
      <c r="I514" s="120" t="str">
        <f>IF(OR(D514&lt;Capa!$A$5,D514&gt;Capa!$A$7,E514&lt;Capa!$A$5,E514&gt;Capa!$A$7,D514&gt;E514),"Erro","")</f>
        <v/>
      </c>
    </row>
    <row r="515" spans="1:9" ht="22.5">
      <c r="A515" s="345">
        <v>512</v>
      </c>
      <c r="B515" s="346" t="s">
        <v>308</v>
      </c>
      <c r="C515" s="347">
        <v>26</v>
      </c>
      <c r="D515" s="348">
        <v>46753</v>
      </c>
      <c r="E515" s="348">
        <v>46874</v>
      </c>
      <c r="F515" s="346" t="s">
        <v>631</v>
      </c>
      <c r="G515" s="350" t="s">
        <v>713</v>
      </c>
      <c r="H515" s="351">
        <f t="shared" si="9"/>
        <v>130</v>
      </c>
      <c r="I515" s="120" t="str">
        <f>IF(OR(D515&lt;Capa!$A$5,D515&gt;Capa!$A$7,E515&lt;Capa!$A$5,E515&gt;Capa!$A$7,D515&gt;E515),"Erro","")</f>
        <v/>
      </c>
    </row>
    <row r="516" spans="1:9" ht="33.75">
      <c r="A516" s="345">
        <v>513</v>
      </c>
      <c r="B516" s="346" t="s">
        <v>312</v>
      </c>
      <c r="C516" s="347">
        <v>280</v>
      </c>
      <c r="D516" s="348">
        <v>45658</v>
      </c>
      <c r="E516" s="348">
        <v>45992</v>
      </c>
      <c r="F516" s="346" t="s">
        <v>631</v>
      </c>
      <c r="G516" s="350" t="s">
        <v>593</v>
      </c>
      <c r="H516" s="351">
        <f t="shared" si="9"/>
        <v>3360</v>
      </c>
      <c r="I516" s="120" t="str">
        <f>IF(OR(D516&lt;Capa!$A$5,D516&gt;Capa!$A$7,E516&lt;Capa!$A$5,E516&gt;Capa!$A$7,D516&gt;E516),"Erro","")</f>
        <v/>
      </c>
    </row>
    <row r="517" spans="1:9" ht="33.75">
      <c r="A517" s="345">
        <v>514</v>
      </c>
      <c r="B517" s="346" t="s">
        <v>312</v>
      </c>
      <c r="C517" s="347">
        <v>280</v>
      </c>
      <c r="D517" s="348">
        <v>46023</v>
      </c>
      <c r="E517" s="348">
        <v>46357</v>
      </c>
      <c r="F517" s="346" t="s">
        <v>631</v>
      </c>
      <c r="G517" s="350" t="s">
        <v>593</v>
      </c>
      <c r="H517" s="351">
        <f t="shared" si="9"/>
        <v>3360</v>
      </c>
      <c r="I517" s="120" t="str">
        <f>IF(OR(D517&lt;Capa!$A$5,D517&gt;Capa!$A$7,E517&lt;Capa!$A$5,E517&gt;Capa!$A$7,D517&gt;E517),"Erro","")</f>
        <v/>
      </c>
    </row>
    <row r="518" spans="1:9" ht="33.75">
      <c r="A518" s="345">
        <v>515</v>
      </c>
      <c r="B518" s="346" t="s">
        <v>312</v>
      </c>
      <c r="C518" s="347">
        <v>280</v>
      </c>
      <c r="D518" s="348">
        <v>46388</v>
      </c>
      <c r="E518" s="348">
        <v>46722</v>
      </c>
      <c r="F518" s="346" t="s">
        <v>631</v>
      </c>
      <c r="G518" s="350" t="s">
        <v>593</v>
      </c>
      <c r="H518" s="351">
        <f t="shared" si="9"/>
        <v>3360</v>
      </c>
      <c r="I518" s="120" t="str">
        <f>IF(OR(D518&lt;Capa!$A$5,D518&gt;Capa!$A$7,E518&lt;Capa!$A$5,E518&gt;Capa!$A$7,D518&gt;E518),"Erro","")</f>
        <v/>
      </c>
    </row>
    <row r="519" spans="1:9" ht="33.75">
      <c r="A519" s="345">
        <v>516</v>
      </c>
      <c r="B519" s="346" t="s">
        <v>312</v>
      </c>
      <c r="C519" s="347">
        <v>280</v>
      </c>
      <c r="D519" s="348">
        <v>46753</v>
      </c>
      <c r="E519" s="348">
        <v>47058</v>
      </c>
      <c r="F519" s="346" t="s">
        <v>631</v>
      </c>
      <c r="G519" s="350" t="s">
        <v>593</v>
      </c>
      <c r="H519" s="351">
        <f t="shared" si="9"/>
        <v>3080</v>
      </c>
      <c r="I519" s="120" t="str">
        <f>IF(OR(D519&lt;Capa!$A$5,D519&gt;Capa!$A$7,E519&lt;Capa!$A$5,E519&gt;Capa!$A$7,D519&gt;E519),"Erro","")</f>
        <v/>
      </c>
    </row>
    <row r="520" spans="1:9" ht="67.5">
      <c r="A520" s="345">
        <v>517</v>
      </c>
      <c r="B520" s="346" t="s">
        <v>316</v>
      </c>
      <c r="C520" s="347">
        <v>2500</v>
      </c>
      <c r="D520" s="348">
        <v>45261</v>
      </c>
      <c r="E520" s="348">
        <v>45627</v>
      </c>
      <c r="F520" s="346" t="s">
        <v>631</v>
      </c>
      <c r="G520" s="350" t="s">
        <v>457</v>
      </c>
      <c r="H520" s="351">
        <f t="shared" si="9"/>
        <v>32500</v>
      </c>
      <c r="I520" s="120" t="str">
        <f>IF(OR(D520&lt;Capa!$A$5,D520&gt;Capa!$A$7,E520&lt;Capa!$A$5,E520&gt;Capa!$A$7,D520&gt;E520),"Erro","")</f>
        <v/>
      </c>
    </row>
    <row r="521" spans="1:9" ht="67.5">
      <c r="A521" s="345">
        <v>518</v>
      </c>
      <c r="B521" s="346" t="s">
        <v>316</v>
      </c>
      <c r="C521" s="347">
        <v>2500</v>
      </c>
      <c r="D521" s="348">
        <v>45658</v>
      </c>
      <c r="E521" s="348">
        <v>45992</v>
      </c>
      <c r="F521" s="346" t="s">
        <v>631</v>
      </c>
      <c r="G521" s="350" t="s">
        <v>457</v>
      </c>
      <c r="H521" s="351">
        <f t="shared" si="9"/>
        <v>30000</v>
      </c>
      <c r="I521" s="120" t="str">
        <f>IF(OR(D521&lt;Capa!$A$5,D521&gt;Capa!$A$7,E521&lt;Capa!$A$5,E521&gt;Capa!$A$7,D521&gt;E521),"Erro","")</f>
        <v/>
      </c>
    </row>
    <row r="522" spans="1:9" ht="67.5">
      <c r="A522" s="345">
        <v>519</v>
      </c>
      <c r="B522" s="346" t="s">
        <v>316</v>
      </c>
      <c r="C522" s="347">
        <v>2500</v>
      </c>
      <c r="D522" s="348">
        <v>46023</v>
      </c>
      <c r="E522" s="348">
        <v>46357</v>
      </c>
      <c r="F522" s="346" t="s">
        <v>631</v>
      </c>
      <c r="G522" s="350" t="s">
        <v>457</v>
      </c>
      <c r="H522" s="351">
        <f t="shared" si="9"/>
        <v>30000</v>
      </c>
      <c r="I522" s="120" t="str">
        <f>IF(OR(D522&lt;Capa!$A$5,D522&gt;Capa!$A$7,E522&lt;Capa!$A$5,E522&gt;Capa!$A$7,D522&gt;E522),"Erro","")</f>
        <v/>
      </c>
    </row>
    <row r="523" spans="1:9" ht="67.5">
      <c r="A523" s="345">
        <v>520</v>
      </c>
      <c r="B523" s="346" t="s">
        <v>316</v>
      </c>
      <c r="C523" s="347">
        <v>2500</v>
      </c>
      <c r="D523" s="348">
        <v>46388</v>
      </c>
      <c r="E523" s="348">
        <v>46722</v>
      </c>
      <c r="F523" s="346" t="s">
        <v>631</v>
      </c>
      <c r="G523" s="350" t="s">
        <v>457</v>
      </c>
      <c r="H523" s="351">
        <f t="shared" si="9"/>
        <v>30000</v>
      </c>
      <c r="I523" s="120" t="str">
        <f>IF(OR(D523&lt;Capa!$A$5,D523&gt;Capa!$A$7,E523&lt;Capa!$A$5,E523&gt;Capa!$A$7,D523&gt;E523),"Erro","")</f>
        <v/>
      </c>
    </row>
    <row r="524" spans="1:9" ht="67.5">
      <c r="A524" s="345">
        <v>521</v>
      </c>
      <c r="B524" s="346" t="s">
        <v>316</v>
      </c>
      <c r="C524" s="347">
        <v>2500</v>
      </c>
      <c r="D524" s="348">
        <v>46753</v>
      </c>
      <c r="E524" s="348">
        <v>47058</v>
      </c>
      <c r="F524" s="346" t="s">
        <v>631</v>
      </c>
      <c r="G524" s="350" t="s">
        <v>457</v>
      </c>
      <c r="H524" s="351">
        <f t="shared" si="9"/>
        <v>27500</v>
      </c>
      <c r="I524" s="120" t="str">
        <f>IF(OR(D524&lt;Capa!$A$5,D524&gt;Capa!$A$7,E524&lt;Capa!$A$5,E524&gt;Capa!$A$7,D524&gt;E524),"Erro","")</f>
        <v/>
      </c>
    </row>
    <row r="525" spans="1:9" ht="67.5">
      <c r="A525" s="345">
        <v>522</v>
      </c>
      <c r="B525" s="346" t="s">
        <v>318</v>
      </c>
      <c r="C525" s="347">
        <v>1800</v>
      </c>
      <c r="D525" s="348">
        <v>45261</v>
      </c>
      <c r="E525" s="348">
        <v>45627</v>
      </c>
      <c r="F525" s="346" t="s">
        <v>631</v>
      </c>
      <c r="G525" s="350" t="s">
        <v>457</v>
      </c>
      <c r="H525" s="351">
        <f t="shared" si="9"/>
        <v>23400</v>
      </c>
      <c r="I525" s="120" t="str">
        <f>IF(OR(D525&lt;Capa!$A$5,D525&gt;Capa!$A$7,E525&lt;Capa!$A$5,E525&gt;Capa!$A$7,D525&gt;E525),"Erro","")</f>
        <v/>
      </c>
    </row>
    <row r="526" spans="1:9" ht="67.5">
      <c r="A526" s="345">
        <v>523</v>
      </c>
      <c r="B526" s="346" t="s">
        <v>318</v>
      </c>
      <c r="C526" s="347">
        <v>2500</v>
      </c>
      <c r="D526" s="348">
        <v>45658</v>
      </c>
      <c r="E526" s="348">
        <v>45992</v>
      </c>
      <c r="F526" s="346" t="s">
        <v>631</v>
      </c>
      <c r="G526" s="350" t="s">
        <v>457</v>
      </c>
      <c r="H526" s="351">
        <f t="shared" si="9"/>
        <v>30000</v>
      </c>
      <c r="I526" s="120" t="str">
        <f>IF(OR(D526&lt;Capa!$A$5,D526&gt;Capa!$A$7,E526&lt;Capa!$A$5,E526&gt;Capa!$A$7,D526&gt;E526),"Erro","")</f>
        <v/>
      </c>
    </row>
    <row r="527" spans="1:9" ht="67.5">
      <c r="A527" s="345">
        <v>524</v>
      </c>
      <c r="B527" s="346" t="s">
        <v>318</v>
      </c>
      <c r="C527" s="347">
        <v>2500</v>
      </c>
      <c r="D527" s="348">
        <v>46023</v>
      </c>
      <c r="E527" s="348">
        <v>46357</v>
      </c>
      <c r="F527" s="346" t="s">
        <v>631</v>
      </c>
      <c r="G527" s="350" t="s">
        <v>457</v>
      </c>
      <c r="H527" s="351">
        <f t="shared" si="9"/>
        <v>30000</v>
      </c>
      <c r="I527" s="120" t="str">
        <f>IF(OR(D527&lt;Capa!$A$5,D527&gt;Capa!$A$7,E527&lt;Capa!$A$5,E527&gt;Capa!$A$7,D527&gt;E527),"Erro","")</f>
        <v/>
      </c>
    </row>
    <row r="528" spans="1:9" ht="67.5">
      <c r="A528" s="345">
        <v>525</v>
      </c>
      <c r="B528" s="346" t="s">
        <v>318</v>
      </c>
      <c r="C528" s="347">
        <v>2500</v>
      </c>
      <c r="D528" s="348">
        <v>46388</v>
      </c>
      <c r="E528" s="348">
        <v>46722</v>
      </c>
      <c r="F528" s="346" t="s">
        <v>631</v>
      </c>
      <c r="G528" s="350" t="s">
        <v>457</v>
      </c>
      <c r="H528" s="351">
        <f t="shared" si="9"/>
        <v>30000</v>
      </c>
      <c r="I528" s="120" t="str">
        <f>IF(OR(D528&lt;Capa!$A$5,D528&gt;Capa!$A$7,E528&lt;Capa!$A$5,E528&gt;Capa!$A$7,D528&gt;E528),"Erro","")</f>
        <v/>
      </c>
    </row>
    <row r="529" spans="1:9" ht="67.5">
      <c r="A529" s="345">
        <v>526</v>
      </c>
      <c r="B529" s="346" t="s">
        <v>318</v>
      </c>
      <c r="C529" s="347">
        <v>2500</v>
      </c>
      <c r="D529" s="348">
        <v>46753</v>
      </c>
      <c r="E529" s="348">
        <v>47058</v>
      </c>
      <c r="F529" s="346" t="s">
        <v>631</v>
      </c>
      <c r="G529" s="350" t="s">
        <v>457</v>
      </c>
      <c r="H529" s="351">
        <f t="shared" si="9"/>
        <v>27500</v>
      </c>
      <c r="I529" s="120" t="str">
        <f>IF(OR(D529&lt;Capa!$A$5,D529&gt;Capa!$A$7,E529&lt;Capa!$A$5,E529&gt;Capa!$A$7,D529&gt;E529),"Erro","")</f>
        <v/>
      </c>
    </row>
    <row r="530" spans="1:9" ht="56.25">
      <c r="A530" s="345">
        <v>527</v>
      </c>
      <c r="B530" s="346" t="s">
        <v>318</v>
      </c>
      <c r="C530" s="347">
        <v>1800</v>
      </c>
      <c r="D530" s="348">
        <v>45261</v>
      </c>
      <c r="E530" s="348">
        <v>45627</v>
      </c>
      <c r="F530" s="346" t="s">
        <v>631</v>
      </c>
      <c r="G530" s="350" t="s">
        <v>594</v>
      </c>
      <c r="H530" s="351">
        <f t="shared" si="9"/>
        <v>23400</v>
      </c>
      <c r="I530" s="120" t="str">
        <f>IF(OR(D530&lt;Capa!$A$5,D530&gt;Capa!$A$7,E530&lt;Capa!$A$5,E530&gt;Capa!$A$7,D530&gt;E530),"Erro","")</f>
        <v/>
      </c>
    </row>
    <row r="531" spans="1:9" ht="56.25">
      <c r="A531" s="345">
        <v>528</v>
      </c>
      <c r="B531" s="346" t="s">
        <v>318</v>
      </c>
      <c r="C531" s="347">
        <v>1500</v>
      </c>
      <c r="D531" s="348">
        <v>45658</v>
      </c>
      <c r="E531" s="348">
        <v>45992</v>
      </c>
      <c r="F531" s="346" t="s">
        <v>631</v>
      </c>
      <c r="G531" s="350" t="s">
        <v>594</v>
      </c>
      <c r="H531" s="351">
        <f t="shared" si="9"/>
        <v>18000</v>
      </c>
      <c r="I531" s="120" t="str">
        <f>IF(OR(D531&lt;Capa!$A$5,D531&gt;Capa!$A$7,E531&lt;Capa!$A$5,E531&gt;Capa!$A$7,D531&gt;E531),"Erro","")</f>
        <v/>
      </c>
    </row>
    <row r="532" spans="1:9" ht="56.25">
      <c r="A532" s="345">
        <v>529</v>
      </c>
      <c r="B532" s="346" t="s">
        <v>318</v>
      </c>
      <c r="C532" s="347">
        <v>1500</v>
      </c>
      <c r="D532" s="348">
        <v>46023</v>
      </c>
      <c r="E532" s="348">
        <v>46357</v>
      </c>
      <c r="F532" s="346" t="s">
        <v>631</v>
      </c>
      <c r="G532" s="350" t="s">
        <v>594</v>
      </c>
      <c r="H532" s="351">
        <f t="shared" si="9"/>
        <v>18000</v>
      </c>
      <c r="I532" s="120" t="str">
        <f>IF(OR(D532&lt;Capa!$A$5,D532&gt;Capa!$A$7,E532&lt;Capa!$A$5,E532&gt;Capa!$A$7,D532&gt;E532),"Erro","")</f>
        <v/>
      </c>
    </row>
    <row r="533" spans="1:9" ht="56.25">
      <c r="A533" s="345">
        <v>530</v>
      </c>
      <c r="B533" s="346" t="s">
        <v>318</v>
      </c>
      <c r="C533" s="347">
        <v>1500</v>
      </c>
      <c r="D533" s="348">
        <v>46388</v>
      </c>
      <c r="E533" s="348">
        <v>46722</v>
      </c>
      <c r="F533" s="346" t="s">
        <v>631</v>
      </c>
      <c r="G533" s="350" t="s">
        <v>594</v>
      </c>
      <c r="H533" s="351">
        <f t="shared" si="9"/>
        <v>18000</v>
      </c>
      <c r="I533" s="120" t="str">
        <f>IF(OR(D533&lt;Capa!$A$5,D533&gt;Capa!$A$7,E533&lt;Capa!$A$5,E533&gt;Capa!$A$7,D533&gt;E533),"Erro","")</f>
        <v/>
      </c>
    </row>
    <row r="534" spans="1:9" ht="56.25">
      <c r="A534" s="345">
        <v>531</v>
      </c>
      <c r="B534" s="346" t="s">
        <v>318</v>
      </c>
      <c r="C534" s="347">
        <v>1500</v>
      </c>
      <c r="D534" s="348">
        <v>46753</v>
      </c>
      <c r="E534" s="348">
        <v>47058</v>
      </c>
      <c r="F534" s="346" t="s">
        <v>631</v>
      </c>
      <c r="G534" s="350" t="s">
        <v>594</v>
      </c>
      <c r="H534" s="351">
        <f t="shared" si="9"/>
        <v>16500</v>
      </c>
      <c r="I534" s="120" t="str">
        <f>IF(OR(D534&lt;Capa!$A$5,D534&gt;Capa!$A$7,E534&lt;Capa!$A$5,E534&gt;Capa!$A$7,D534&gt;E534),"Erro","")</f>
        <v/>
      </c>
    </row>
    <row r="535" spans="1:9" ht="22.5">
      <c r="A535" s="345">
        <v>532</v>
      </c>
      <c r="B535" s="346" t="s">
        <v>298</v>
      </c>
      <c r="C535" s="347">
        <v>2500</v>
      </c>
      <c r="D535" s="348">
        <v>45261</v>
      </c>
      <c r="E535" s="348">
        <v>45627</v>
      </c>
      <c r="F535" s="346" t="s">
        <v>631</v>
      </c>
      <c r="G535" s="350" t="s">
        <v>458</v>
      </c>
      <c r="H535" s="351">
        <f t="shared" si="9"/>
        <v>32500</v>
      </c>
      <c r="I535" s="120" t="str">
        <f>IF(OR(D535&lt;Capa!$A$5,D535&gt;Capa!$A$7,E535&lt;Capa!$A$5,E535&gt;Capa!$A$7,D535&gt;E535),"Erro","")</f>
        <v/>
      </c>
    </row>
    <row r="536" spans="1:9" ht="22.5">
      <c r="A536" s="345">
        <v>533</v>
      </c>
      <c r="B536" s="346" t="s">
        <v>298</v>
      </c>
      <c r="C536" s="347">
        <v>2646</v>
      </c>
      <c r="D536" s="348">
        <v>45658</v>
      </c>
      <c r="E536" s="348">
        <v>45992</v>
      </c>
      <c r="F536" s="346" t="s">
        <v>631</v>
      </c>
      <c r="G536" s="350" t="s">
        <v>458</v>
      </c>
      <c r="H536" s="351">
        <f t="shared" si="9"/>
        <v>31752</v>
      </c>
      <c r="I536" s="120" t="str">
        <f>IF(OR(D536&lt;Capa!$A$5,D536&gt;Capa!$A$7,E536&lt;Capa!$A$5,E536&gt;Capa!$A$7,D536&gt;E536),"Erro","")</f>
        <v/>
      </c>
    </row>
    <row r="537" spans="1:9" ht="22.5">
      <c r="A537" s="345">
        <v>534</v>
      </c>
      <c r="B537" s="346" t="s">
        <v>298</v>
      </c>
      <c r="C537" s="347">
        <v>2800.52</v>
      </c>
      <c r="D537" s="348">
        <v>46023</v>
      </c>
      <c r="E537" s="348">
        <v>46357</v>
      </c>
      <c r="F537" s="346" t="s">
        <v>631</v>
      </c>
      <c r="G537" s="350" t="s">
        <v>458</v>
      </c>
      <c r="H537" s="351">
        <f t="shared" si="9"/>
        <v>33606.239999999998</v>
      </c>
      <c r="I537" s="120" t="str">
        <f>IF(OR(D537&lt;Capa!$A$5,D537&gt;Capa!$A$7,E537&lt;Capa!$A$5,E537&gt;Capa!$A$7,D537&gt;E537),"Erro","")</f>
        <v/>
      </c>
    </row>
    <row r="538" spans="1:9" ht="22.5">
      <c r="A538" s="345">
        <v>535</v>
      </c>
      <c r="B538" s="346" t="s">
        <v>298</v>
      </c>
      <c r="C538" s="347">
        <v>2964.07</v>
      </c>
      <c r="D538" s="348">
        <v>46388</v>
      </c>
      <c r="E538" s="348">
        <v>46722</v>
      </c>
      <c r="F538" s="346" t="s">
        <v>631</v>
      </c>
      <c r="G538" s="350" t="s">
        <v>458</v>
      </c>
      <c r="H538" s="351">
        <f t="shared" si="9"/>
        <v>35568.840000000004</v>
      </c>
      <c r="I538" s="120" t="str">
        <f>IF(OR(D538&lt;Capa!$A$5,D538&gt;Capa!$A$7,E538&lt;Capa!$A$5,E538&gt;Capa!$A$7,D538&gt;E538),"Erro","")</f>
        <v/>
      </c>
    </row>
    <row r="539" spans="1:9" ht="22.5">
      <c r="A539" s="345">
        <v>536</v>
      </c>
      <c r="B539" s="346" t="s">
        <v>298</v>
      </c>
      <c r="C539" s="347">
        <v>3137.17</v>
      </c>
      <c r="D539" s="348">
        <v>46753</v>
      </c>
      <c r="E539" s="348">
        <v>47058</v>
      </c>
      <c r="F539" s="346" t="s">
        <v>631</v>
      </c>
      <c r="G539" s="350" t="s">
        <v>458</v>
      </c>
      <c r="H539" s="351">
        <f t="shared" si="9"/>
        <v>34508.870000000003</v>
      </c>
      <c r="I539" s="120" t="str">
        <f>IF(OR(D539&lt;Capa!$A$5,D539&gt;Capa!$A$7,E539&lt;Capa!$A$5,E539&gt;Capa!$A$7,D539&gt;E539),"Erro","")</f>
        <v/>
      </c>
    </row>
    <row r="540" spans="1:9" ht="33.75">
      <c r="A540" s="345">
        <v>537</v>
      </c>
      <c r="B540" s="346" t="s">
        <v>238</v>
      </c>
      <c r="C540" s="347">
        <v>370.44</v>
      </c>
      <c r="D540" s="348">
        <v>45658</v>
      </c>
      <c r="E540" s="348">
        <v>45992</v>
      </c>
      <c r="F540" s="346" t="s">
        <v>631</v>
      </c>
      <c r="G540" s="350" t="s">
        <v>459</v>
      </c>
      <c r="H540" s="351">
        <f t="shared" si="9"/>
        <v>4445.28</v>
      </c>
      <c r="I540" s="120" t="str">
        <f>IF(OR(D540&lt;Capa!$A$5,D540&gt;Capa!$A$7,E540&lt;Capa!$A$5,E540&gt;Capa!$A$7,D540&gt;E540),"Erro","")</f>
        <v/>
      </c>
    </row>
    <row r="541" spans="1:9" ht="33.75">
      <c r="A541" s="345">
        <v>538</v>
      </c>
      <c r="B541" s="346" t="s">
        <v>238</v>
      </c>
      <c r="C541" s="347">
        <v>392.07</v>
      </c>
      <c r="D541" s="348">
        <v>46023</v>
      </c>
      <c r="E541" s="348">
        <v>46357</v>
      </c>
      <c r="F541" s="346" t="s">
        <v>631</v>
      </c>
      <c r="G541" s="350" t="s">
        <v>459</v>
      </c>
      <c r="H541" s="351">
        <f t="shared" si="9"/>
        <v>4704.84</v>
      </c>
      <c r="I541" s="120" t="str">
        <f>IF(OR(D541&lt;Capa!$A$5,D541&gt;Capa!$A$7,E541&lt;Capa!$A$5,E541&gt;Capa!$A$7,D541&gt;E541),"Erro","")</f>
        <v/>
      </c>
    </row>
    <row r="542" spans="1:9" ht="33.75">
      <c r="A542" s="345">
        <v>539</v>
      </c>
      <c r="B542" s="346" t="s">
        <v>238</v>
      </c>
      <c r="C542" s="347">
        <v>414.97</v>
      </c>
      <c r="D542" s="348">
        <v>46388</v>
      </c>
      <c r="E542" s="348">
        <v>46722</v>
      </c>
      <c r="F542" s="346" t="s">
        <v>631</v>
      </c>
      <c r="G542" s="350" t="s">
        <v>459</v>
      </c>
      <c r="H542" s="351">
        <f t="shared" si="9"/>
        <v>4979.6400000000003</v>
      </c>
      <c r="I542" s="120" t="str">
        <f>IF(OR(D542&lt;Capa!$A$5,D542&gt;Capa!$A$7,E542&lt;Capa!$A$5,E542&gt;Capa!$A$7,D542&gt;E542),"Erro","")</f>
        <v/>
      </c>
    </row>
    <row r="543" spans="1:9" ht="33.75">
      <c r="A543" s="345">
        <v>540</v>
      </c>
      <c r="B543" s="346" t="s">
        <v>238</v>
      </c>
      <c r="C543" s="347">
        <v>439.21</v>
      </c>
      <c r="D543" s="348">
        <v>46753</v>
      </c>
      <c r="E543" s="348">
        <v>47058</v>
      </c>
      <c r="F543" s="346" t="s">
        <v>631</v>
      </c>
      <c r="G543" s="350" t="s">
        <v>459</v>
      </c>
      <c r="H543" s="351">
        <f t="shared" si="9"/>
        <v>4831.3099999999995</v>
      </c>
      <c r="I543" s="120" t="str">
        <f>IF(OR(D543&lt;Capa!$A$5,D543&gt;Capa!$A$7,E543&lt;Capa!$A$5,E543&gt;Capa!$A$7,D543&gt;E543),"Erro","")</f>
        <v/>
      </c>
    </row>
    <row r="544" spans="1:9" ht="56.25">
      <c r="A544" s="345">
        <v>541</v>
      </c>
      <c r="B544" s="346" t="s">
        <v>252</v>
      </c>
      <c r="C544" s="347">
        <v>7000</v>
      </c>
      <c r="D544" s="348">
        <v>45261</v>
      </c>
      <c r="E544" s="348">
        <v>45627</v>
      </c>
      <c r="F544" s="346" t="s">
        <v>631</v>
      </c>
      <c r="G544" s="350" t="s">
        <v>460</v>
      </c>
      <c r="H544" s="351">
        <f t="shared" si="9"/>
        <v>91000</v>
      </c>
      <c r="I544" s="120" t="str">
        <f>IF(OR(D544&lt;Capa!$A$5,D544&gt;Capa!$A$7,E544&lt;Capa!$A$5,E544&gt;Capa!$A$7,D544&gt;E544),"Erro","")</f>
        <v/>
      </c>
    </row>
    <row r="545" spans="1:9" ht="56.25">
      <c r="A545" s="345">
        <v>542</v>
      </c>
      <c r="B545" s="346" t="s">
        <v>252</v>
      </c>
      <c r="C545" s="347">
        <v>8000</v>
      </c>
      <c r="D545" s="348">
        <v>45658</v>
      </c>
      <c r="E545" s="348">
        <v>45992</v>
      </c>
      <c r="F545" s="346" t="s">
        <v>631</v>
      </c>
      <c r="G545" s="350" t="s">
        <v>460</v>
      </c>
      <c r="H545" s="351">
        <f t="shared" si="9"/>
        <v>96000</v>
      </c>
      <c r="I545" s="120" t="str">
        <f>IF(OR(D545&lt;Capa!$A$5,D545&gt;Capa!$A$7,E545&lt;Capa!$A$5,E545&gt;Capa!$A$7,D545&gt;E545),"Erro","")</f>
        <v/>
      </c>
    </row>
    <row r="546" spans="1:9" ht="56.25">
      <c r="A546" s="345">
        <v>543</v>
      </c>
      <c r="B546" s="346" t="s">
        <v>252</v>
      </c>
      <c r="C546" s="347">
        <v>7847.65</v>
      </c>
      <c r="D546" s="348">
        <v>46023</v>
      </c>
      <c r="E546" s="348">
        <v>46357</v>
      </c>
      <c r="F546" s="346" t="s">
        <v>631</v>
      </c>
      <c r="G546" s="350" t="s">
        <v>460</v>
      </c>
      <c r="H546" s="351">
        <f t="shared" si="9"/>
        <v>94171.799999999988</v>
      </c>
      <c r="I546" s="120" t="str">
        <f>IF(OR(D546&lt;Capa!$A$5,D546&gt;Capa!$A$7,E546&lt;Capa!$A$5,E546&gt;Capa!$A$7,D546&gt;E546),"Erro","")</f>
        <v/>
      </c>
    </row>
    <row r="547" spans="1:9" ht="56.25">
      <c r="A547" s="345">
        <v>544</v>
      </c>
      <c r="B547" s="346" t="s">
        <v>252</v>
      </c>
      <c r="C547" s="347">
        <v>8305.9500000000007</v>
      </c>
      <c r="D547" s="348">
        <v>46388</v>
      </c>
      <c r="E547" s="348">
        <v>46722</v>
      </c>
      <c r="F547" s="346" t="s">
        <v>631</v>
      </c>
      <c r="G547" s="350" t="s">
        <v>460</v>
      </c>
      <c r="H547" s="351">
        <f t="shared" si="9"/>
        <v>99671.400000000009</v>
      </c>
      <c r="I547" s="120" t="str">
        <f>IF(OR(D547&lt;Capa!$A$5,D547&gt;Capa!$A$7,E547&lt;Capa!$A$5,E547&gt;Capa!$A$7,D547&gt;E547),"Erro","")</f>
        <v/>
      </c>
    </row>
    <row r="548" spans="1:9" ht="56.25">
      <c r="A548" s="345">
        <v>545</v>
      </c>
      <c r="B548" s="346" t="s">
        <v>252</v>
      </c>
      <c r="C548" s="347">
        <v>8791.02</v>
      </c>
      <c r="D548" s="348">
        <v>46753</v>
      </c>
      <c r="E548" s="348">
        <v>47058</v>
      </c>
      <c r="F548" s="346" t="s">
        <v>631</v>
      </c>
      <c r="G548" s="350" t="s">
        <v>460</v>
      </c>
      <c r="H548" s="351">
        <f t="shared" si="9"/>
        <v>96701.22</v>
      </c>
      <c r="I548" s="120" t="str">
        <f>IF(OR(D548&lt;Capa!$A$5,D548&gt;Capa!$A$7,E548&lt;Capa!$A$5,E548&gt;Capa!$A$7,D548&gt;E548),"Erro","")</f>
        <v/>
      </c>
    </row>
    <row r="549" spans="1:9" ht="33.75">
      <c r="A549" s="345">
        <v>546</v>
      </c>
      <c r="B549" s="346" t="s">
        <v>651</v>
      </c>
      <c r="C549" s="347">
        <v>180</v>
      </c>
      <c r="D549" s="348">
        <v>45261</v>
      </c>
      <c r="E549" s="348">
        <v>47058</v>
      </c>
      <c r="F549" s="346" t="s">
        <v>631</v>
      </c>
      <c r="G549" s="350" t="s">
        <v>710</v>
      </c>
      <c r="H549" s="351">
        <f t="shared" si="9"/>
        <v>10800</v>
      </c>
      <c r="I549" s="120" t="str">
        <f>IF(OR(D549&lt;Capa!$A$5,D549&gt;Capa!$A$7,E549&lt;Capa!$A$5,E549&gt;Capa!$A$7,D549&gt;E549),"Erro","")</f>
        <v/>
      </c>
    </row>
    <row r="550" spans="1:9" ht="22.5">
      <c r="A550" s="345">
        <v>547</v>
      </c>
      <c r="B550" s="346" t="s">
        <v>653</v>
      </c>
      <c r="C550" s="347">
        <v>1930</v>
      </c>
      <c r="D550" s="348">
        <v>45292</v>
      </c>
      <c r="E550" s="348">
        <v>45627</v>
      </c>
      <c r="F550" s="346" t="s">
        <v>631</v>
      </c>
      <c r="G550" s="350" t="s">
        <v>712</v>
      </c>
      <c r="H550" s="351">
        <f t="shared" si="9"/>
        <v>23160</v>
      </c>
    </row>
    <row r="551" spans="1:9" ht="22.5">
      <c r="A551" s="345">
        <v>548</v>
      </c>
      <c r="B551" s="346" t="s">
        <v>653</v>
      </c>
      <c r="C551" s="347">
        <v>1930</v>
      </c>
      <c r="D551" s="348">
        <v>45658</v>
      </c>
      <c r="E551" s="348">
        <v>47058</v>
      </c>
      <c r="F551" s="346" t="s">
        <v>631</v>
      </c>
      <c r="G551" s="350" t="s">
        <v>712</v>
      </c>
      <c r="H551" s="351">
        <f t="shared" si="9"/>
        <v>90710</v>
      </c>
      <c r="I551" s="120" t="str">
        <f>IF(OR(D551&lt;Capa!$A$5,D551&gt;Capa!$A$7,E551&lt;Capa!$A$5,E551&gt;Capa!$A$7,D551&gt;E551),"Erro","")</f>
        <v/>
      </c>
    </row>
    <row r="552" spans="1:9" ht="45">
      <c r="A552" s="345">
        <v>549</v>
      </c>
      <c r="B552" s="346" t="s">
        <v>652</v>
      </c>
      <c r="C552" s="347">
        <v>10000</v>
      </c>
      <c r="D552" s="348">
        <v>45689</v>
      </c>
      <c r="E552" s="348">
        <v>45689</v>
      </c>
      <c r="F552" s="346" t="s">
        <v>631</v>
      </c>
      <c r="G552" s="350" t="s">
        <v>624</v>
      </c>
      <c r="H552" s="351">
        <f t="shared" si="9"/>
        <v>10000</v>
      </c>
      <c r="I552" s="120" t="str">
        <f>IF(OR(D552&lt;Capa!$A$5,D552&gt;Capa!$A$7,E552&lt;Capa!$A$5,E552&gt;Capa!$A$7,D552&gt;E552),"Erro","")</f>
        <v/>
      </c>
    </row>
    <row r="553" spans="1:9" ht="56.25">
      <c r="A553" s="345">
        <v>550</v>
      </c>
      <c r="B553" s="346" t="s">
        <v>652</v>
      </c>
      <c r="C553" s="347">
        <v>15000</v>
      </c>
      <c r="D553" s="348">
        <v>46419</v>
      </c>
      <c r="E553" s="348">
        <v>46419</v>
      </c>
      <c r="F553" s="346" t="s">
        <v>631</v>
      </c>
      <c r="G553" s="350" t="s">
        <v>717</v>
      </c>
      <c r="H553" s="351">
        <f t="shared" si="9"/>
        <v>15000</v>
      </c>
      <c r="I553" s="120" t="str">
        <f>IF(OR(D553&lt;Capa!$A$5,D553&gt;Capa!$A$7,E553&lt;Capa!$A$5,E553&gt;Capa!$A$7,D553&gt;E553),"Erro","")</f>
        <v/>
      </c>
    </row>
    <row r="554" spans="1:9" ht="33.75">
      <c r="A554" s="345">
        <v>551</v>
      </c>
      <c r="B554" s="346" t="s">
        <v>650</v>
      </c>
      <c r="C554" s="347">
        <v>70</v>
      </c>
      <c r="D554" s="348">
        <v>45261</v>
      </c>
      <c r="E554" s="348">
        <v>47058</v>
      </c>
      <c r="F554" s="346" t="s">
        <v>631</v>
      </c>
      <c r="G554" s="350" t="s">
        <v>711</v>
      </c>
      <c r="H554" s="351">
        <f>IFERROR((DATEDIF(D554,E554,"M")+1)*C554,0)</f>
        <v>4200</v>
      </c>
      <c r="I554" s="120" t="str">
        <f>IF(OR(D554&lt;Capa!$A$5,D554&gt;Capa!$A$7,E554&lt;Capa!$A$5,E554&gt;Capa!$A$7,D554&gt;E554),"Erro","")</f>
        <v/>
      </c>
    </row>
    <row r="555" spans="1:9" ht="33.75">
      <c r="A555" s="345">
        <v>552</v>
      </c>
      <c r="B555" s="346" t="s">
        <v>648</v>
      </c>
      <c r="C555" s="347">
        <v>500</v>
      </c>
      <c r="D555" s="348">
        <v>45323</v>
      </c>
      <c r="E555" s="348">
        <v>45323</v>
      </c>
      <c r="F555" s="346" t="s">
        <v>631</v>
      </c>
      <c r="G555" s="350" t="s">
        <v>670</v>
      </c>
      <c r="H555" s="351">
        <f t="shared" ref="H555:H568" si="10">IFERROR((DATEDIF(D555,E555,"M")+1)*C555,0)</f>
        <v>500</v>
      </c>
      <c r="I555" s="120" t="str">
        <f>IF(OR(D555&lt;Capa!$A$5,D555&gt;Capa!$A$7,E555&lt;Capa!$A$5,E555&gt;Capa!$A$7,D555&gt;E555),"Erro","")</f>
        <v/>
      </c>
    </row>
    <row r="556" spans="1:9" ht="33.75">
      <c r="A556" s="345">
        <v>553</v>
      </c>
      <c r="B556" s="346" t="s">
        <v>648</v>
      </c>
      <c r="C556" s="347">
        <v>500</v>
      </c>
      <c r="D556" s="348">
        <v>45658</v>
      </c>
      <c r="E556" s="348">
        <v>45658</v>
      </c>
      <c r="F556" s="346" t="s">
        <v>631</v>
      </c>
      <c r="G556" s="350" t="s">
        <v>670</v>
      </c>
      <c r="H556" s="351">
        <f t="shared" si="10"/>
        <v>500</v>
      </c>
      <c r="I556" s="120" t="str">
        <f>IF(OR(D556&lt;Capa!$A$5,D556&gt;Capa!$A$7,E556&lt;Capa!$A$5,E556&gt;Capa!$A$7,D556&gt;E556),"Erro","")</f>
        <v/>
      </c>
    </row>
    <row r="557" spans="1:9" ht="33.75">
      <c r="A557" s="345">
        <v>554</v>
      </c>
      <c r="B557" s="346" t="s">
        <v>648</v>
      </c>
      <c r="C557" s="347">
        <v>500</v>
      </c>
      <c r="D557" s="348">
        <v>46023</v>
      </c>
      <c r="E557" s="348">
        <v>46023</v>
      </c>
      <c r="F557" s="346" t="s">
        <v>631</v>
      </c>
      <c r="G557" s="350" t="s">
        <v>670</v>
      </c>
      <c r="H557" s="351">
        <f t="shared" si="10"/>
        <v>500</v>
      </c>
      <c r="I557" s="120" t="str">
        <f>IF(OR(D557&lt;Capa!$A$5,D557&gt;Capa!$A$7,E557&lt;Capa!$A$5,E557&gt;Capa!$A$7,D557&gt;E557),"Erro","")</f>
        <v/>
      </c>
    </row>
    <row r="558" spans="1:9" ht="33.75">
      <c r="A558" s="345">
        <v>555</v>
      </c>
      <c r="B558" s="346" t="s">
        <v>648</v>
      </c>
      <c r="C558" s="347">
        <v>500</v>
      </c>
      <c r="D558" s="348">
        <v>46388</v>
      </c>
      <c r="E558" s="348">
        <v>46388</v>
      </c>
      <c r="F558" s="346" t="s">
        <v>631</v>
      </c>
      <c r="G558" s="350" t="s">
        <v>670</v>
      </c>
      <c r="H558" s="351">
        <f t="shared" si="10"/>
        <v>500</v>
      </c>
      <c r="I558" s="120" t="str">
        <f>IF(OR(D558&lt;Capa!$A$5,D558&gt;Capa!$A$7,E558&lt;Capa!$A$5,E558&gt;Capa!$A$7,D558&gt;E558),"Erro","")</f>
        <v/>
      </c>
    </row>
    <row r="559" spans="1:9" ht="33.75">
      <c r="A559" s="345">
        <v>556</v>
      </c>
      <c r="B559" s="346" t="s">
        <v>648</v>
      </c>
      <c r="C559" s="347">
        <v>500</v>
      </c>
      <c r="D559" s="348">
        <v>46753</v>
      </c>
      <c r="E559" s="348">
        <v>46753</v>
      </c>
      <c r="F559" s="346" t="s">
        <v>631</v>
      </c>
      <c r="G559" s="350" t="s">
        <v>670</v>
      </c>
      <c r="H559" s="351">
        <f t="shared" si="10"/>
        <v>500</v>
      </c>
      <c r="I559" s="120" t="str">
        <f>IF(OR(D559&lt;Capa!$A$5,D559&gt;Capa!$A$7,E559&lt;Capa!$A$5,E559&gt;Capa!$A$7,D559&gt;E559),"Erro","")</f>
        <v/>
      </c>
    </row>
    <row r="560" spans="1:9" ht="22.5">
      <c r="A560" s="345">
        <v>557</v>
      </c>
      <c r="B560" s="346" t="s">
        <v>649</v>
      </c>
      <c r="C560" s="347">
        <v>70000</v>
      </c>
      <c r="D560" s="348">
        <v>45748</v>
      </c>
      <c r="E560" s="348">
        <v>45748</v>
      </c>
      <c r="F560" s="346" t="s">
        <v>631</v>
      </c>
      <c r="G560" s="350" t="s">
        <v>739</v>
      </c>
      <c r="H560" s="351">
        <f t="shared" si="10"/>
        <v>70000</v>
      </c>
    </row>
    <row r="561" spans="1:9" ht="33.75">
      <c r="A561" s="345">
        <v>558</v>
      </c>
      <c r="B561" s="346" t="s">
        <v>649</v>
      </c>
      <c r="C561" s="347">
        <v>1643</v>
      </c>
      <c r="D561" s="348">
        <v>45292</v>
      </c>
      <c r="E561" s="348">
        <v>47058</v>
      </c>
      <c r="F561" s="346" t="s">
        <v>631</v>
      </c>
      <c r="G561" s="350" t="s">
        <v>705</v>
      </c>
      <c r="H561" s="351">
        <f t="shared" si="10"/>
        <v>96937</v>
      </c>
      <c r="I561" s="120" t="str">
        <f>IF(OR(D561&lt;Capa!$A$5,D561&gt;Capa!$A$7,E561&lt;Capa!$A$5,E561&gt;Capa!$A$7,D561&gt;E561),"Erro","")</f>
        <v/>
      </c>
    </row>
    <row r="562" spans="1:9" ht="33.75">
      <c r="A562" s="345">
        <v>559</v>
      </c>
      <c r="B562" s="346" t="s">
        <v>654</v>
      </c>
      <c r="C562" s="347">
        <v>600</v>
      </c>
      <c r="D562" s="348">
        <v>45261</v>
      </c>
      <c r="E562" s="348">
        <v>45627</v>
      </c>
      <c r="F562" s="346" t="s">
        <v>631</v>
      </c>
      <c r="G562" s="350" t="s">
        <v>706</v>
      </c>
      <c r="H562" s="351">
        <f t="shared" si="10"/>
        <v>7800</v>
      </c>
    </row>
    <row r="563" spans="1:9" ht="33.75">
      <c r="A563" s="345">
        <v>560</v>
      </c>
      <c r="B563" s="346" t="s">
        <v>654</v>
      </c>
      <c r="C563" s="347">
        <v>1100</v>
      </c>
      <c r="D563" s="348">
        <v>45658</v>
      </c>
      <c r="E563" s="348">
        <v>47058</v>
      </c>
      <c r="F563" s="346" t="s">
        <v>631</v>
      </c>
      <c r="G563" s="350" t="s">
        <v>706</v>
      </c>
      <c r="H563" s="351">
        <f t="shared" si="10"/>
        <v>51700</v>
      </c>
      <c r="I563" s="120" t="str">
        <f>IF(OR(D563&lt;Capa!$A$5,D563&gt;Capa!$A$7,E563&lt;Capa!$A$5,E563&gt;Capa!$A$7,D563&gt;E563),"Erro","")</f>
        <v/>
      </c>
    </row>
    <row r="564" spans="1:9" ht="22.5">
      <c r="A564" s="345">
        <v>561</v>
      </c>
      <c r="B564" s="346" t="s">
        <v>656</v>
      </c>
      <c r="C564" s="347">
        <v>200</v>
      </c>
      <c r="D564" s="348">
        <v>45261</v>
      </c>
      <c r="E564" s="348">
        <v>47058</v>
      </c>
      <c r="F564" s="346" t="s">
        <v>631</v>
      </c>
      <c r="G564" s="350" t="s">
        <v>707</v>
      </c>
      <c r="H564" s="351">
        <f t="shared" si="10"/>
        <v>12000</v>
      </c>
      <c r="I564" s="120" t="str">
        <f>IF(OR(D564&lt;Capa!$A$5,D564&gt;Capa!$A$7,E564&lt;Capa!$A$5,E564&gt;Capa!$A$7,D564&gt;E564),"Erro","")</f>
        <v/>
      </c>
    </row>
    <row r="565" spans="1:9" ht="22.5">
      <c r="A565" s="345">
        <v>562</v>
      </c>
      <c r="B565" s="346" t="s">
        <v>658</v>
      </c>
      <c r="C565" s="347">
        <v>50</v>
      </c>
      <c r="D565" s="348">
        <v>45261</v>
      </c>
      <c r="E565" s="348">
        <v>47058</v>
      </c>
      <c r="F565" s="346" t="s">
        <v>631</v>
      </c>
      <c r="G565" s="350" t="s">
        <v>709</v>
      </c>
      <c r="H565" s="351">
        <f t="shared" si="10"/>
        <v>3000</v>
      </c>
      <c r="I565" s="120" t="str">
        <f>IF(OR(D565&lt;Capa!$A$5,D565&gt;Capa!$A$7,E565&lt;Capa!$A$5,E565&gt;Capa!$A$7,D565&gt;E565),"Erro","")</f>
        <v/>
      </c>
    </row>
    <row r="566" spans="1:9" ht="33.75">
      <c r="A566" s="345">
        <v>563</v>
      </c>
      <c r="B566" s="346" t="s">
        <v>657</v>
      </c>
      <c r="C566" s="347">
        <v>350</v>
      </c>
      <c r="D566" s="348">
        <v>45658</v>
      </c>
      <c r="E566" s="348">
        <v>47058</v>
      </c>
      <c r="F566" s="346" t="s">
        <v>631</v>
      </c>
      <c r="G566" s="350" t="s">
        <v>708</v>
      </c>
      <c r="H566" s="351">
        <f t="shared" si="10"/>
        <v>16450</v>
      </c>
      <c r="I566" s="120" t="str">
        <f>IF(OR(D566&lt;Capa!$A$5,D566&gt;Capa!$A$7,E566&lt;Capa!$A$5,E566&gt;Capa!$A$7,D566&gt;E566),"Erro","")</f>
        <v/>
      </c>
    </row>
    <row r="567" spans="1:9" ht="45">
      <c r="A567" s="345">
        <v>564</v>
      </c>
      <c r="B567" s="346" t="s">
        <v>320</v>
      </c>
      <c r="C567" s="347">
        <v>4545.7737500000003</v>
      </c>
      <c r="D567" s="348">
        <v>45778</v>
      </c>
      <c r="E567" s="348">
        <v>45992</v>
      </c>
      <c r="F567" s="346" t="s">
        <v>631</v>
      </c>
      <c r="G567" s="350" t="s">
        <v>596</v>
      </c>
      <c r="H567" s="351">
        <f t="shared" si="10"/>
        <v>36366.19</v>
      </c>
    </row>
    <row r="568" spans="1:9" ht="45">
      <c r="A568" s="345">
        <v>565</v>
      </c>
      <c r="B568" s="346" t="s">
        <v>320</v>
      </c>
      <c r="C568" s="347">
        <v>250</v>
      </c>
      <c r="D568" s="348">
        <v>45748</v>
      </c>
      <c r="E568" s="348">
        <v>47058</v>
      </c>
      <c r="F568" s="346" t="s">
        <v>631</v>
      </c>
      <c r="G568" s="350" t="s">
        <v>596</v>
      </c>
      <c r="H568" s="351">
        <f t="shared" si="10"/>
        <v>11000</v>
      </c>
      <c r="I568" s="120" t="str">
        <f>IF(OR(D568&lt;Capa!$A$5,D568&gt;Capa!$A$7,E568&lt;Capa!$A$5,E568&gt;Capa!$A$7,D568&gt;E568),"Erro","")</f>
        <v/>
      </c>
    </row>
    <row r="569" spans="1:9" ht="22.5">
      <c r="A569" s="345">
        <v>566</v>
      </c>
      <c r="B569" s="346" t="s">
        <v>198</v>
      </c>
      <c r="C569" s="347">
        <v>4500</v>
      </c>
      <c r="D569" s="348">
        <v>45261</v>
      </c>
      <c r="E569" s="348">
        <v>45627</v>
      </c>
      <c r="F569" s="346" t="s">
        <v>632</v>
      </c>
      <c r="G569" s="350" t="s">
        <v>438</v>
      </c>
      <c r="H569" s="351">
        <f t="shared" ref="H569:H582" si="11">IFERROR((DATEDIF(D569,E569,"M")+1)*C569,0)</f>
        <v>58500</v>
      </c>
      <c r="I569" s="120" t="str">
        <f>IF(OR(D569&lt;Capa!$A$5,D569&gt;Capa!$A$7,E569&lt;Capa!$A$5,E569&gt;Capa!$A$7,D569&gt;E569),"Erro","")</f>
        <v/>
      </c>
    </row>
    <row r="570" spans="1:9" ht="22.5">
      <c r="A570" s="345">
        <v>567</v>
      </c>
      <c r="B570" s="346" t="s">
        <v>198</v>
      </c>
      <c r="C570" s="347">
        <v>4762.8</v>
      </c>
      <c r="D570" s="348">
        <v>45658</v>
      </c>
      <c r="E570" s="348">
        <v>45992</v>
      </c>
      <c r="F570" s="346" t="s">
        <v>632</v>
      </c>
      <c r="G570" s="350" t="s">
        <v>438</v>
      </c>
      <c r="H570" s="351">
        <f t="shared" si="11"/>
        <v>57153.600000000006</v>
      </c>
      <c r="I570" s="120" t="str">
        <f>IF(OR(D570&lt;Capa!$A$5,D570&gt;Capa!$A$7,E570&lt;Capa!$A$5,E570&gt;Capa!$A$7,D570&gt;E570),"Erro","")</f>
        <v/>
      </c>
    </row>
    <row r="571" spans="1:9" ht="22.5">
      <c r="A571" s="345">
        <v>568</v>
      </c>
      <c r="B571" s="346" t="s">
        <v>198</v>
      </c>
      <c r="C571" s="347">
        <v>5040.95</v>
      </c>
      <c r="D571" s="348">
        <v>46023</v>
      </c>
      <c r="E571" s="348">
        <v>46357</v>
      </c>
      <c r="F571" s="346" t="s">
        <v>632</v>
      </c>
      <c r="G571" s="350" t="s">
        <v>438</v>
      </c>
      <c r="H571" s="351">
        <f t="shared" si="11"/>
        <v>60491.399999999994</v>
      </c>
      <c r="I571" s="120" t="str">
        <f>IF(OR(D571&lt;Capa!$A$5,D571&gt;Capa!$A$7,E571&lt;Capa!$A$5,E571&gt;Capa!$A$7,D571&gt;E571),"Erro","")</f>
        <v/>
      </c>
    </row>
    <row r="572" spans="1:9" ht="22.5">
      <c r="A572" s="345">
        <v>569</v>
      </c>
      <c r="B572" s="346" t="s">
        <v>198</v>
      </c>
      <c r="C572" s="347">
        <v>5335.34</v>
      </c>
      <c r="D572" s="348">
        <v>46388</v>
      </c>
      <c r="E572" s="348">
        <v>46722</v>
      </c>
      <c r="F572" s="346" t="s">
        <v>632</v>
      </c>
      <c r="G572" s="350" t="s">
        <v>438</v>
      </c>
      <c r="H572" s="351">
        <f t="shared" si="11"/>
        <v>64024.08</v>
      </c>
      <c r="I572" s="120" t="str">
        <f>IF(OR(D572&lt;Capa!$A$5,D572&gt;Capa!$A$7,E572&lt;Capa!$A$5,E572&gt;Capa!$A$7,D572&gt;E572),"Erro","")</f>
        <v/>
      </c>
    </row>
    <row r="573" spans="1:9" ht="22.5">
      <c r="A573" s="345">
        <v>570</v>
      </c>
      <c r="B573" s="346" t="s">
        <v>198</v>
      </c>
      <c r="C573" s="347">
        <v>5646.92</v>
      </c>
      <c r="D573" s="348">
        <v>46753</v>
      </c>
      <c r="E573" s="348">
        <v>47058</v>
      </c>
      <c r="F573" s="346" t="s">
        <v>632</v>
      </c>
      <c r="G573" s="350" t="s">
        <v>438</v>
      </c>
      <c r="H573" s="351">
        <f t="shared" si="11"/>
        <v>62116.12</v>
      </c>
      <c r="I573" s="120" t="str">
        <f>IF(OR(D573&lt;Capa!$A$5,D573&gt;Capa!$A$7,E573&lt;Capa!$A$5,E573&gt;Capa!$A$7,D573&gt;E573),"Erro","")</f>
        <v/>
      </c>
    </row>
    <row r="574" spans="1:9" ht="22.5">
      <c r="A574" s="345">
        <v>571</v>
      </c>
      <c r="B574" s="346" t="s">
        <v>202</v>
      </c>
      <c r="C574" s="347">
        <v>817.76</v>
      </c>
      <c r="D574" s="348">
        <v>45292</v>
      </c>
      <c r="E574" s="348">
        <v>45383</v>
      </c>
      <c r="F574" s="346" t="s">
        <v>632</v>
      </c>
      <c r="G574" s="350" t="s">
        <v>439</v>
      </c>
      <c r="H574" s="351">
        <f t="shared" si="11"/>
        <v>3271.04</v>
      </c>
      <c r="I574" s="120" t="str">
        <f>IF(OR(D574&lt;Capa!$A$5,D574&gt;Capa!$A$7,E574&lt;Capa!$A$5,E574&gt;Capa!$A$7,D574&gt;E574),"Erro","")</f>
        <v/>
      </c>
    </row>
    <row r="575" spans="1:9" ht="22.5">
      <c r="A575" s="345">
        <v>572</v>
      </c>
      <c r="B575" s="346" t="s">
        <v>202</v>
      </c>
      <c r="C575" s="347">
        <v>865.52</v>
      </c>
      <c r="D575" s="348">
        <v>45658</v>
      </c>
      <c r="E575" s="348">
        <v>45748</v>
      </c>
      <c r="F575" s="346" t="s">
        <v>632</v>
      </c>
      <c r="G575" s="350" t="s">
        <v>439</v>
      </c>
      <c r="H575" s="351">
        <f t="shared" si="11"/>
        <v>3462.08</v>
      </c>
      <c r="I575" s="120" t="str">
        <f>IF(OR(D575&lt;Capa!$A$5,D575&gt;Capa!$A$7,E575&lt;Capa!$A$5,E575&gt;Capa!$A$7,D575&gt;E575),"Erro","")</f>
        <v/>
      </c>
    </row>
    <row r="576" spans="1:9" ht="22.5">
      <c r="A576" s="345">
        <v>573</v>
      </c>
      <c r="B576" s="346" t="s">
        <v>202</v>
      </c>
      <c r="C576" s="347">
        <v>916.06</v>
      </c>
      <c r="D576" s="348">
        <v>46023</v>
      </c>
      <c r="E576" s="348">
        <v>46113</v>
      </c>
      <c r="F576" s="346" t="s">
        <v>632</v>
      </c>
      <c r="G576" s="350" t="s">
        <v>439</v>
      </c>
      <c r="H576" s="351">
        <f t="shared" si="11"/>
        <v>3664.24</v>
      </c>
      <c r="I576" s="120" t="str">
        <f>IF(OR(D576&lt;Capa!$A$5,D576&gt;Capa!$A$7,E576&lt;Capa!$A$5,E576&gt;Capa!$A$7,D576&gt;E576),"Erro","")</f>
        <v/>
      </c>
    </row>
    <row r="577" spans="1:9" ht="22.5">
      <c r="A577" s="345">
        <v>574</v>
      </c>
      <c r="B577" s="346" t="s">
        <v>202</v>
      </c>
      <c r="C577" s="347">
        <v>969.56</v>
      </c>
      <c r="D577" s="348">
        <v>46388</v>
      </c>
      <c r="E577" s="348">
        <v>46478</v>
      </c>
      <c r="F577" s="346" t="s">
        <v>632</v>
      </c>
      <c r="G577" s="350" t="s">
        <v>439</v>
      </c>
      <c r="H577" s="351">
        <f t="shared" si="11"/>
        <v>3878.24</v>
      </c>
      <c r="I577" s="120" t="str">
        <f>IF(OR(D577&lt;Capa!$A$5,D577&gt;Capa!$A$7,E577&lt;Capa!$A$5,E577&gt;Capa!$A$7,D577&gt;E577),"Erro","")</f>
        <v/>
      </c>
    </row>
    <row r="578" spans="1:9" ht="22.5">
      <c r="A578" s="345">
        <v>575</v>
      </c>
      <c r="B578" s="346" t="s">
        <v>202</v>
      </c>
      <c r="C578" s="347">
        <v>1026.18</v>
      </c>
      <c r="D578" s="348">
        <v>46753</v>
      </c>
      <c r="E578" s="348">
        <v>46844</v>
      </c>
      <c r="F578" s="346" t="s">
        <v>632</v>
      </c>
      <c r="G578" s="350" t="s">
        <v>439</v>
      </c>
      <c r="H578" s="351">
        <f t="shared" si="11"/>
        <v>4104.72</v>
      </c>
      <c r="I578" s="120" t="str">
        <f>IF(OR(D578&lt;Capa!$A$5,D578&gt;Capa!$A$7,E578&lt;Capa!$A$5,E578&gt;Capa!$A$7,D578&gt;E578),"Erro","")</f>
        <v/>
      </c>
    </row>
    <row r="579" spans="1:9" ht="22.5">
      <c r="A579" s="345">
        <v>576</v>
      </c>
      <c r="B579" s="346" t="s">
        <v>204</v>
      </c>
      <c r="C579" s="347">
        <v>919.01</v>
      </c>
      <c r="D579" s="348">
        <v>45292</v>
      </c>
      <c r="E579" s="348">
        <v>45383</v>
      </c>
      <c r="F579" s="346" t="s">
        <v>632</v>
      </c>
      <c r="G579" s="350" t="s">
        <v>439</v>
      </c>
      <c r="H579" s="351">
        <f t="shared" si="11"/>
        <v>3676.04</v>
      </c>
      <c r="I579" s="120" t="str">
        <f>IF(OR(D579&lt;Capa!$A$5,D579&gt;Capa!$A$7,E579&lt;Capa!$A$5,E579&gt;Capa!$A$7,D579&gt;E579),"Erro","")</f>
        <v/>
      </c>
    </row>
    <row r="580" spans="1:9" ht="22.5">
      <c r="A580" s="345">
        <v>577</v>
      </c>
      <c r="B580" s="346" t="s">
        <v>204</v>
      </c>
      <c r="C580" s="347">
        <v>972.68</v>
      </c>
      <c r="D580" s="348">
        <v>45658</v>
      </c>
      <c r="E580" s="348">
        <v>45748</v>
      </c>
      <c r="F580" s="346" t="s">
        <v>632</v>
      </c>
      <c r="G580" s="350" t="s">
        <v>439</v>
      </c>
      <c r="H580" s="351">
        <f t="shared" si="11"/>
        <v>3890.72</v>
      </c>
      <c r="I580" s="120" t="str">
        <f>IF(OR(D580&lt;Capa!$A$5,D580&gt;Capa!$A$7,E580&lt;Capa!$A$5,E580&gt;Capa!$A$7,D580&gt;E580),"Erro","")</f>
        <v/>
      </c>
    </row>
    <row r="581" spans="1:9" ht="22.5">
      <c r="A581" s="345">
        <v>578</v>
      </c>
      <c r="B581" s="346" t="s">
        <v>204</v>
      </c>
      <c r="C581" s="347">
        <v>1029.49</v>
      </c>
      <c r="D581" s="348">
        <v>46023</v>
      </c>
      <c r="E581" s="348">
        <v>46113</v>
      </c>
      <c r="F581" s="346" t="s">
        <v>632</v>
      </c>
      <c r="G581" s="350" t="s">
        <v>439</v>
      </c>
      <c r="H581" s="351">
        <f t="shared" si="11"/>
        <v>4117.96</v>
      </c>
      <c r="I581" s="120" t="str">
        <f>IF(OR(D581&lt;Capa!$A$5,D581&gt;Capa!$A$7,E581&lt;Capa!$A$5,E581&gt;Capa!$A$7,D581&gt;E581),"Erro","")</f>
        <v/>
      </c>
    </row>
    <row r="582" spans="1:9" ht="22.5">
      <c r="A582" s="345">
        <v>579</v>
      </c>
      <c r="B582" s="346" t="s">
        <v>204</v>
      </c>
      <c r="C582" s="347">
        <v>1089.6099999999999</v>
      </c>
      <c r="D582" s="348">
        <v>46388</v>
      </c>
      <c r="E582" s="348">
        <v>46478</v>
      </c>
      <c r="F582" s="346" t="s">
        <v>632</v>
      </c>
      <c r="G582" s="350" t="s">
        <v>439</v>
      </c>
      <c r="H582" s="351">
        <f t="shared" si="11"/>
        <v>4358.4399999999996</v>
      </c>
      <c r="I582" s="120" t="str">
        <f>IF(OR(D582&lt;Capa!$A$5,D582&gt;Capa!$A$7,E582&lt;Capa!$A$5,E582&gt;Capa!$A$7,D582&gt;E582),"Erro","")</f>
        <v/>
      </c>
    </row>
    <row r="583" spans="1:9" ht="22.5">
      <c r="A583" s="345">
        <v>580</v>
      </c>
      <c r="B583" s="346" t="s">
        <v>204</v>
      </c>
      <c r="C583" s="347">
        <v>1153.24</v>
      </c>
      <c r="D583" s="348">
        <v>46753</v>
      </c>
      <c r="E583" s="348">
        <v>46844</v>
      </c>
      <c r="F583" s="346" t="s">
        <v>632</v>
      </c>
      <c r="G583" s="350" t="s">
        <v>439</v>
      </c>
      <c r="H583" s="351">
        <f t="shared" ref="H583:H644" si="12">IFERROR((DATEDIF(D583,E583,"M")+1)*C583,0)</f>
        <v>4612.96</v>
      </c>
      <c r="I583" s="120" t="str">
        <f>IF(OR(D583&lt;Capa!$A$5,D583&gt;Capa!$A$7,E583&lt;Capa!$A$5,E583&gt;Capa!$A$7,D583&gt;E583),"Erro","")</f>
        <v/>
      </c>
    </row>
    <row r="584" spans="1:9" ht="22.5">
      <c r="A584" s="345">
        <v>581</v>
      </c>
      <c r="B584" s="346" t="s">
        <v>206</v>
      </c>
      <c r="C584" s="347">
        <v>1404</v>
      </c>
      <c r="D584" s="348">
        <v>45261</v>
      </c>
      <c r="E584" s="348">
        <v>45627</v>
      </c>
      <c r="F584" s="346" t="s">
        <v>632</v>
      </c>
      <c r="G584" s="350" t="s">
        <v>440</v>
      </c>
      <c r="H584" s="351">
        <f t="shared" si="12"/>
        <v>18252</v>
      </c>
      <c r="I584" s="120" t="str">
        <f>IF(OR(D584&lt;Capa!$A$5,D584&gt;Capa!$A$7,E584&lt;Capa!$A$5,E584&gt;Capa!$A$7,D584&gt;E584),"Erro","")</f>
        <v/>
      </c>
    </row>
    <row r="585" spans="1:9" ht="22.5">
      <c r="A585" s="345">
        <v>582</v>
      </c>
      <c r="B585" s="346" t="s">
        <v>206</v>
      </c>
      <c r="C585" s="347">
        <v>1485.99</v>
      </c>
      <c r="D585" s="348">
        <v>45658</v>
      </c>
      <c r="E585" s="348">
        <v>45992</v>
      </c>
      <c r="F585" s="346" t="s">
        <v>632</v>
      </c>
      <c r="G585" s="350" t="s">
        <v>440</v>
      </c>
      <c r="H585" s="351">
        <f t="shared" si="12"/>
        <v>17831.88</v>
      </c>
      <c r="I585" s="120" t="str">
        <f>IF(OR(D585&lt;Capa!$A$5,D585&gt;Capa!$A$7,E585&lt;Capa!$A$5,E585&gt;Capa!$A$7,D585&gt;E585),"Erro","")</f>
        <v/>
      </c>
    </row>
    <row r="586" spans="1:9" ht="22.5">
      <c r="A586" s="345">
        <v>583</v>
      </c>
      <c r="B586" s="346" t="s">
        <v>206</v>
      </c>
      <c r="C586" s="347">
        <v>1572.77</v>
      </c>
      <c r="D586" s="348">
        <v>46023</v>
      </c>
      <c r="E586" s="348">
        <v>46357</v>
      </c>
      <c r="F586" s="346" t="s">
        <v>632</v>
      </c>
      <c r="G586" s="350" t="s">
        <v>440</v>
      </c>
      <c r="H586" s="351">
        <f t="shared" si="12"/>
        <v>18873.239999999998</v>
      </c>
      <c r="I586" s="120" t="str">
        <f>IF(OR(D586&lt;Capa!$A$5,D586&gt;Capa!$A$7,E586&lt;Capa!$A$5,E586&gt;Capa!$A$7,D586&gt;E586),"Erro","")</f>
        <v/>
      </c>
    </row>
    <row r="587" spans="1:9" ht="22.5">
      <c r="A587" s="345">
        <v>584</v>
      </c>
      <c r="B587" s="346" t="s">
        <v>206</v>
      </c>
      <c r="C587" s="347">
        <v>1664.62</v>
      </c>
      <c r="D587" s="348">
        <v>46388</v>
      </c>
      <c r="E587" s="348">
        <v>46722</v>
      </c>
      <c r="F587" s="346" t="s">
        <v>632</v>
      </c>
      <c r="G587" s="350" t="s">
        <v>440</v>
      </c>
      <c r="H587" s="351">
        <f t="shared" si="12"/>
        <v>19975.439999999999</v>
      </c>
      <c r="I587" s="120" t="str">
        <f>IF(OR(D587&lt;Capa!$A$5,D587&gt;Capa!$A$7,E587&lt;Capa!$A$5,E587&gt;Capa!$A$7,D587&gt;E587),"Erro","")</f>
        <v/>
      </c>
    </row>
    <row r="588" spans="1:9" ht="22.5">
      <c r="A588" s="345">
        <v>585</v>
      </c>
      <c r="B588" s="346" t="s">
        <v>206</v>
      </c>
      <c r="C588" s="347">
        <v>1761.84</v>
      </c>
      <c r="D588" s="348">
        <v>46753</v>
      </c>
      <c r="E588" s="348">
        <v>47058</v>
      </c>
      <c r="F588" s="346" t="s">
        <v>632</v>
      </c>
      <c r="G588" s="350" t="s">
        <v>440</v>
      </c>
      <c r="H588" s="351">
        <f t="shared" si="12"/>
        <v>19380.239999999998</v>
      </c>
      <c r="I588" s="120" t="str">
        <f>IF(OR(D588&lt;Capa!$A$5,D588&gt;Capa!$A$7,E588&lt;Capa!$A$5,E588&gt;Capa!$A$7,D588&gt;E588),"Erro","")</f>
        <v/>
      </c>
    </row>
    <row r="589" spans="1:9" ht="22.5">
      <c r="A589" s="345">
        <v>586</v>
      </c>
      <c r="B589" s="346" t="s">
        <v>208</v>
      </c>
      <c r="C589" s="347">
        <v>1783</v>
      </c>
      <c r="D589" s="348">
        <v>45261</v>
      </c>
      <c r="E589" s="348">
        <v>45627</v>
      </c>
      <c r="F589" s="346" t="s">
        <v>632</v>
      </c>
      <c r="G589" s="350" t="s">
        <v>440</v>
      </c>
      <c r="H589" s="351">
        <f t="shared" si="12"/>
        <v>23179</v>
      </c>
      <c r="I589" s="120" t="str">
        <f>IF(OR(D589&lt;Capa!$A$5,D589&gt;Capa!$A$7,E589&lt;Capa!$A$5,E589&gt;Capa!$A$7,D589&gt;E589),"Erro","")</f>
        <v/>
      </c>
    </row>
    <row r="590" spans="1:9" ht="22.5">
      <c r="A590" s="345">
        <v>587</v>
      </c>
      <c r="B590" s="346" t="s">
        <v>208</v>
      </c>
      <c r="C590" s="347">
        <v>1887.12</v>
      </c>
      <c r="D590" s="348">
        <v>45658</v>
      </c>
      <c r="E590" s="348">
        <v>45992</v>
      </c>
      <c r="F590" s="346" t="s">
        <v>632</v>
      </c>
      <c r="G590" s="350" t="s">
        <v>440</v>
      </c>
      <c r="H590" s="351">
        <f t="shared" si="12"/>
        <v>22645.439999999999</v>
      </c>
      <c r="I590" s="120" t="str">
        <f>IF(OR(D590&lt;Capa!$A$5,D590&gt;Capa!$A$7,E590&lt;Capa!$A$5,E590&gt;Capa!$A$7,D590&gt;E590),"Erro","")</f>
        <v/>
      </c>
    </row>
    <row r="591" spans="1:9" ht="22.5">
      <c r="A591" s="345">
        <v>588</v>
      </c>
      <c r="B591" s="346" t="s">
        <v>208</v>
      </c>
      <c r="C591" s="347">
        <v>1997.33</v>
      </c>
      <c r="D591" s="348">
        <v>46023</v>
      </c>
      <c r="E591" s="348">
        <v>46357</v>
      </c>
      <c r="F591" s="346" t="s">
        <v>632</v>
      </c>
      <c r="G591" s="350" t="s">
        <v>440</v>
      </c>
      <c r="H591" s="351">
        <f t="shared" si="12"/>
        <v>23967.96</v>
      </c>
      <c r="I591" s="120" t="str">
        <f>IF(OR(D591&lt;Capa!$A$5,D591&gt;Capa!$A$7,E591&lt;Capa!$A$5,E591&gt;Capa!$A$7,D591&gt;E591),"Erro","")</f>
        <v/>
      </c>
    </row>
    <row r="592" spans="1:9" ht="22.5">
      <c r="A592" s="345">
        <v>589</v>
      </c>
      <c r="B592" s="346" t="s">
        <v>208</v>
      </c>
      <c r="C592" s="347">
        <v>2113.98</v>
      </c>
      <c r="D592" s="348">
        <v>46388</v>
      </c>
      <c r="E592" s="348">
        <v>46722</v>
      </c>
      <c r="F592" s="346" t="s">
        <v>632</v>
      </c>
      <c r="G592" s="350" t="s">
        <v>440</v>
      </c>
      <c r="H592" s="351">
        <f t="shared" si="12"/>
        <v>25367.760000000002</v>
      </c>
      <c r="I592" s="120" t="str">
        <f>IF(OR(D592&lt;Capa!$A$5,D592&gt;Capa!$A$7,E592&lt;Capa!$A$5,E592&gt;Capa!$A$7,D592&gt;E592),"Erro","")</f>
        <v/>
      </c>
    </row>
    <row r="593" spans="1:9" ht="22.5">
      <c r="A593" s="345">
        <v>590</v>
      </c>
      <c r="B593" s="346" t="s">
        <v>208</v>
      </c>
      <c r="C593" s="347">
        <v>2237.4299999999998</v>
      </c>
      <c r="D593" s="348">
        <v>46753</v>
      </c>
      <c r="E593" s="348">
        <v>47058</v>
      </c>
      <c r="F593" s="346" t="s">
        <v>632</v>
      </c>
      <c r="G593" s="350" t="s">
        <v>440</v>
      </c>
      <c r="H593" s="351">
        <f t="shared" si="12"/>
        <v>24611.73</v>
      </c>
      <c r="I593" s="120" t="str">
        <f>IF(OR(D593&lt;Capa!$A$5,D593&gt;Capa!$A$7,E593&lt;Capa!$A$5,E593&gt;Capa!$A$7,D593&gt;E593),"Erro","")</f>
        <v/>
      </c>
    </row>
    <row r="594" spans="1:9" ht="22.5">
      <c r="A594" s="345">
        <v>591</v>
      </c>
      <c r="B594" s="346" t="s">
        <v>210</v>
      </c>
      <c r="C594" s="347">
        <v>38</v>
      </c>
      <c r="D594" s="348">
        <v>45261</v>
      </c>
      <c r="E594" s="348">
        <v>45627</v>
      </c>
      <c r="F594" s="346" t="s">
        <v>632</v>
      </c>
      <c r="G594" s="350" t="s">
        <v>440</v>
      </c>
      <c r="H594" s="351">
        <f t="shared" si="12"/>
        <v>494</v>
      </c>
      <c r="I594" s="120" t="str">
        <f>IF(OR(D594&lt;Capa!$A$5,D594&gt;Capa!$A$7,E594&lt;Capa!$A$5,E594&gt;Capa!$A$7,D594&gt;E594),"Erro","")</f>
        <v/>
      </c>
    </row>
    <row r="595" spans="1:9" ht="22.5">
      <c r="A595" s="345">
        <v>592</v>
      </c>
      <c r="B595" s="346" t="s">
        <v>210</v>
      </c>
      <c r="C595" s="347">
        <v>40.22</v>
      </c>
      <c r="D595" s="348">
        <v>45658</v>
      </c>
      <c r="E595" s="348">
        <v>45992</v>
      </c>
      <c r="F595" s="346" t="s">
        <v>632</v>
      </c>
      <c r="G595" s="350" t="s">
        <v>440</v>
      </c>
      <c r="H595" s="351">
        <f t="shared" si="12"/>
        <v>482.64</v>
      </c>
      <c r="I595" s="120" t="str">
        <f>IF(OR(D595&lt;Capa!$A$5,D595&gt;Capa!$A$7,E595&lt;Capa!$A$5,E595&gt;Capa!$A$7,D595&gt;E595),"Erro","")</f>
        <v/>
      </c>
    </row>
    <row r="596" spans="1:9" ht="22.5">
      <c r="A596" s="345">
        <v>593</v>
      </c>
      <c r="B596" s="346" t="s">
        <v>210</v>
      </c>
      <c r="C596" s="347">
        <v>42.57</v>
      </c>
      <c r="D596" s="348">
        <v>46023</v>
      </c>
      <c r="E596" s="348">
        <v>46357</v>
      </c>
      <c r="F596" s="346" t="s">
        <v>632</v>
      </c>
      <c r="G596" s="350" t="s">
        <v>440</v>
      </c>
      <c r="H596" s="351">
        <f t="shared" si="12"/>
        <v>510.84000000000003</v>
      </c>
      <c r="I596" s="120" t="str">
        <f>IF(OR(D596&lt;Capa!$A$5,D596&gt;Capa!$A$7,E596&lt;Capa!$A$5,E596&gt;Capa!$A$7,D596&gt;E596),"Erro","")</f>
        <v/>
      </c>
    </row>
    <row r="597" spans="1:9" ht="22.5">
      <c r="A597" s="345">
        <v>594</v>
      </c>
      <c r="B597" s="346" t="s">
        <v>210</v>
      </c>
      <c r="C597" s="347">
        <v>45.05</v>
      </c>
      <c r="D597" s="348">
        <v>46388</v>
      </c>
      <c r="E597" s="348">
        <v>46722</v>
      </c>
      <c r="F597" s="346" t="s">
        <v>632</v>
      </c>
      <c r="G597" s="350" t="s">
        <v>440</v>
      </c>
      <c r="H597" s="351">
        <f t="shared" si="12"/>
        <v>540.59999999999991</v>
      </c>
      <c r="I597" s="120" t="str">
        <f>IF(OR(D597&lt;Capa!$A$5,D597&gt;Capa!$A$7,E597&lt;Capa!$A$5,E597&gt;Capa!$A$7,D597&gt;E597),"Erro","")</f>
        <v/>
      </c>
    </row>
    <row r="598" spans="1:9" ht="22.5">
      <c r="A598" s="345">
        <v>595</v>
      </c>
      <c r="B598" s="346" t="s">
        <v>210</v>
      </c>
      <c r="C598" s="347">
        <v>47.69</v>
      </c>
      <c r="D598" s="348">
        <v>46753</v>
      </c>
      <c r="E598" s="348">
        <v>47058</v>
      </c>
      <c r="F598" s="346" t="s">
        <v>632</v>
      </c>
      <c r="G598" s="350" t="s">
        <v>440</v>
      </c>
      <c r="H598" s="351">
        <f t="shared" si="12"/>
        <v>524.58999999999992</v>
      </c>
      <c r="I598" s="120" t="str">
        <f>IF(OR(D598&lt;Capa!$A$5,D598&gt;Capa!$A$7,E598&lt;Capa!$A$5,E598&gt;Capa!$A$7,D598&gt;E598),"Erro","")</f>
        <v/>
      </c>
    </row>
    <row r="599" spans="1:9" ht="22.5">
      <c r="A599" s="345">
        <v>596</v>
      </c>
      <c r="B599" s="346" t="s">
        <v>214</v>
      </c>
      <c r="C599" s="347">
        <v>116.9</v>
      </c>
      <c r="D599" s="348">
        <v>45261</v>
      </c>
      <c r="E599" s="348">
        <v>45627</v>
      </c>
      <c r="F599" s="346" t="s">
        <v>632</v>
      </c>
      <c r="G599" s="350" t="s">
        <v>440</v>
      </c>
      <c r="H599" s="351">
        <f t="shared" si="12"/>
        <v>1519.7</v>
      </c>
      <c r="I599" s="120" t="str">
        <f>IF(OR(D599&lt;Capa!$A$5,D599&gt;Capa!$A$7,E599&lt;Capa!$A$5,E599&gt;Capa!$A$7,D599&gt;E599),"Erro","")</f>
        <v/>
      </c>
    </row>
    <row r="600" spans="1:9" ht="22.5">
      <c r="A600" s="345">
        <v>597</v>
      </c>
      <c r="B600" s="346" t="s">
        <v>214</v>
      </c>
      <c r="C600" s="347">
        <v>123.72</v>
      </c>
      <c r="D600" s="348">
        <v>45658</v>
      </c>
      <c r="E600" s="348">
        <v>45992</v>
      </c>
      <c r="F600" s="346" t="s">
        <v>632</v>
      </c>
      <c r="G600" s="350" t="s">
        <v>440</v>
      </c>
      <c r="H600" s="351">
        <f t="shared" si="12"/>
        <v>1484.6399999999999</v>
      </c>
      <c r="I600" s="120" t="str">
        <f>IF(OR(D600&lt;Capa!$A$5,D600&gt;Capa!$A$7,E600&lt;Capa!$A$5,E600&gt;Capa!$A$7,D600&gt;E600),"Erro","")</f>
        <v/>
      </c>
    </row>
    <row r="601" spans="1:9" ht="22.5">
      <c r="A601" s="345">
        <v>598</v>
      </c>
      <c r="B601" s="346" t="s">
        <v>214</v>
      </c>
      <c r="C601" s="347">
        <v>130.94999999999999</v>
      </c>
      <c r="D601" s="348">
        <v>46023</v>
      </c>
      <c r="E601" s="348">
        <v>46357</v>
      </c>
      <c r="F601" s="346" t="s">
        <v>632</v>
      </c>
      <c r="G601" s="350" t="s">
        <v>440</v>
      </c>
      <c r="H601" s="351">
        <f t="shared" si="12"/>
        <v>1571.3999999999999</v>
      </c>
      <c r="I601" s="120" t="str">
        <f>IF(OR(D601&lt;Capa!$A$5,D601&gt;Capa!$A$7,E601&lt;Capa!$A$5,E601&gt;Capa!$A$7,D601&gt;E601),"Erro","")</f>
        <v/>
      </c>
    </row>
    <row r="602" spans="1:9" ht="22.5">
      <c r="A602" s="345">
        <v>599</v>
      </c>
      <c r="B602" s="346" t="s">
        <v>214</v>
      </c>
      <c r="C602" s="347">
        <v>138.6</v>
      </c>
      <c r="D602" s="348">
        <v>46388</v>
      </c>
      <c r="E602" s="348">
        <v>46722</v>
      </c>
      <c r="F602" s="346" t="s">
        <v>632</v>
      </c>
      <c r="G602" s="350" t="s">
        <v>440</v>
      </c>
      <c r="H602" s="351">
        <f t="shared" si="12"/>
        <v>1663.1999999999998</v>
      </c>
      <c r="I602" s="120" t="str">
        <f>IF(OR(D602&lt;Capa!$A$5,D602&gt;Capa!$A$7,E602&lt;Capa!$A$5,E602&gt;Capa!$A$7,D602&gt;E602),"Erro","")</f>
        <v/>
      </c>
    </row>
    <row r="603" spans="1:9" ht="22.5">
      <c r="A603" s="345">
        <v>600</v>
      </c>
      <c r="B603" s="346" t="s">
        <v>214</v>
      </c>
      <c r="C603" s="347">
        <v>146.69</v>
      </c>
      <c r="D603" s="348">
        <v>46753</v>
      </c>
      <c r="E603" s="348">
        <v>47058</v>
      </c>
      <c r="F603" s="346" t="s">
        <v>632</v>
      </c>
      <c r="G603" s="350" t="s">
        <v>440</v>
      </c>
      <c r="H603" s="351">
        <f t="shared" si="12"/>
        <v>1613.59</v>
      </c>
      <c r="I603" s="120" t="str">
        <f>IF(OR(D603&lt;Capa!$A$5,D603&gt;Capa!$A$7,E603&lt;Capa!$A$5,E603&gt;Capa!$A$7,D603&gt;E603),"Erro","")</f>
        <v/>
      </c>
    </row>
    <row r="604" spans="1:9" ht="56.25">
      <c r="A604" s="345">
        <v>601</v>
      </c>
      <c r="B604" s="346" t="s">
        <v>212</v>
      </c>
      <c r="C604" s="347">
        <v>235.74</v>
      </c>
      <c r="D604" s="348">
        <v>45261</v>
      </c>
      <c r="E604" s="348">
        <v>45627</v>
      </c>
      <c r="F604" s="346" t="s">
        <v>632</v>
      </c>
      <c r="G604" s="350" t="s">
        <v>500</v>
      </c>
      <c r="H604" s="351">
        <f t="shared" si="12"/>
        <v>3064.62</v>
      </c>
      <c r="I604" s="120" t="str">
        <f>IF(OR(D604&lt;Capa!$A$5,D604&gt;Capa!$A$7,E604&lt;Capa!$A$5,E604&gt;Capa!$A$7,D604&gt;E604),"Erro","")</f>
        <v/>
      </c>
    </row>
    <row r="605" spans="1:9" ht="56.25">
      <c r="A605" s="345">
        <v>602</v>
      </c>
      <c r="B605" s="346" t="s">
        <v>212</v>
      </c>
      <c r="C605" s="347">
        <v>249.5</v>
      </c>
      <c r="D605" s="348">
        <v>45658</v>
      </c>
      <c r="E605" s="348">
        <v>45992</v>
      </c>
      <c r="F605" s="346" t="s">
        <v>632</v>
      </c>
      <c r="G605" s="350" t="s">
        <v>500</v>
      </c>
      <c r="H605" s="351">
        <f t="shared" si="12"/>
        <v>2994</v>
      </c>
      <c r="I605" s="120" t="str">
        <f>IF(OR(D605&lt;Capa!$A$5,D605&gt;Capa!$A$7,E605&lt;Capa!$A$5,E605&gt;Capa!$A$7,D605&gt;E605),"Erro","")</f>
        <v/>
      </c>
    </row>
    <row r="606" spans="1:9" ht="56.25">
      <c r="A606" s="345">
        <v>603</v>
      </c>
      <c r="B606" s="346" t="s">
        <v>212</v>
      </c>
      <c r="C606" s="347">
        <v>264.07</v>
      </c>
      <c r="D606" s="348">
        <v>46023</v>
      </c>
      <c r="E606" s="348">
        <v>46357</v>
      </c>
      <c r="F606" s="346" t="s">
        <v>632</v>
      </c>
      <c r="G606" s="350" t="s">
        <v>500</v>
      </c>
      <c r="H606" s="351">
        <f t="shared" si="12"/>
        <v>3168.84</v>
      </c>
      <c r="I606" s="120" t="str">
        <f>IF(OR(D606&lt;Capa!$A$5,D606&gt;Capa!$A$7,E606&lt;Capa!$A$5,E606&gt;Capa!$A$7,D606&gt;E606),"Erro","")</f>
        <v/>
      </c>
    </row>
    <row r="607" spans="1:9" ht="56.25">
      <c r="A607" s="345">
        <v>604</v>
      </c>
      <c r="B607" s="346" t="s">
        <v>212</v>
      </c>
      <c r="C607" s="347">
        <v>279.5</v>
      </c>
      <c r="D607" s="348">
        <v>46388</v>
      </c>
      <c r="E607" s="348">
        <v>46722</v>
      </c>
      <c r="F607" s="346" t="s">
        <v>632</v>
      </c>
      <c r="G607" s="350" t="s">
        <v>500</v>
      </c>
      <c r="H607" s="351">
        <f t="shared" si="12"/>
        <v>3354</v>
      </c>
      <c r="I607" s="120" t="str">
        <f>IF(OR(D607&lt;Capa!$A$5,D607&gt;Capa!$A$7,E607&lt;Capa!$A$5,E607&gt;Capa!$A$7,D607&gt;E607),"Erro","")</f>
        <v/>
      </c>
    </row>
    <row r="608" spans="1:9" ht="56.25">
      <c r="A608" s="345">
        <v>605</v>
      </c>
      <c r="B608" s="346" t="s">
        <v>212</v>
      </c>
      <c r="C608" s="347">
        <v>295.82</v>
      </c>
      <c r="D608" s="348">
        <v>46753</v>
      </c>
      <c r="E608" s="348">
        <v>47058</v>
      </c>
      <c r="F608" s="346" t="s">
        <v>632</v>
      </c>
      <c r="G608" s="350" t="s">
        <v>500</v>
      </c>
      <c r="H608" s="351">
        <f t="shared" si="12"/>
        <v>3254.02</v>
      </c>
      <c r="I608" s="120" t="str">
        <f>IF(OR(D608&lt;Capa!$A$5,D608&gt;Capa!$A$7,E608&lt;Capa!$A$5,E608&gt;Capa!$A$7,D608&gt;E608),"Erro","")</f>
        <v/>
      </c>
    </row>
    <row r="609" spans="1:9" ht="45">
      <c r="A609" s="345">
        <v>606</v>
      </c>
      <c r="B609" s="346" t="s">
        <v>248</v>
      </c>
      <c r="C609" s="347">
        <v>846</v>
      </c>
      <c r="D609" s="348">
        <v>45323</v>
      </c>
      <c r="E609" s="348">
        <v>45444</v>
      </c>
      <c r="F609" s="346" t="s">
        <v>632</v>
      </c>
      <c r="G609" s="350" t="s">
        <v>441</v>
      </c>
      <c r="H609" s="351">
        <f t="shared" si="12"/>
        <v>4230</v>
      </c>
      <c r="I609" s="120" t="str">
        <f>IF(OR(D609&lt;Capa!$A$5,D609&gt;Capa!$A$7,E609&lt;Capa!$A$5,E609&gt;Capa!$A$7,D609&gt;E609),"Erro","")</f>
        <v/>
      </c>
    </row>
    <row r="610" spans="1:9" ht="45">
      <c r="A610" s="345">
        <v>607</v>
      </c>
      <c r="B610" s="346" t="s">
        <v>248</v>
      </c>
      <c r="C610" s="347">
        <v>846</v>
      </c>
      <c r="D610" s="348">
        <v>45597</v>
      </c>
      <c r="E610" s="348">
        <v>45809</v>
      </c>
      <c r="F610" s="346" t="s">
        <v>632</v>
      </c>
      <c r="G610" s="350" t="s">
        <v>441</v>
      </c>
      <c r="H610" s="351">
        <f t="shared" si="12"/>
        <v>6768</v>
      </c>
      <c r="I610" s="120" t="str">
        <f>IF(OR(D610&lt;Capa!$A$5,D610&gt;Capa!$A$7,E610&lt;Capa!$A$5,E610&gt;Capa!$A$7,D610&gt;E610),"Erro","")</f>
        <v/>
      </c>
    </row>
    <row r="611" spans="1:9" ht="45">
      <c r="A611" s="345">
        <v>608</v>
      </c>
      <c r="B611" s="346" t="s">
        <v>248</v>
      </c>
      <c r="C611" s="347">
        <v>846</v>
      </c>
      <c r="D611" s="348">
        <v>45962</v>
      </c>
      <c r="E611" s="348">
        <v>46174</v>
      </c>
      <c r="F611" s="346" t="s">
        <v>632</v>
      </c>
      <c r="G611" s="350" t="s">
        <v>441</v>
      </c>
      <c r="H611" s="351">
        <f t="shared" si="12"/>
        <v>6768</v>
      </c>
      <c r="I611" s="120" t="str">
        <f>IF(OR(D611&lt;Capa!$A$5,D611&gt;Capa!$A$7,E611&lt;Capa!$A$5,E611&gt;Capa!$A$7,D611&gt;E611),"Erro","")</f>
        <v/>
      </c>
    </row>
    <row r="612" spans="1:9" ht="45">
      <c r="A612" s="345">
        <v>609</v>
      </c>
      <c r="B612" s="346" t="s">
        <v>248</v>
      </c>
      <c r="C612" s="347">
        <v>846</v>
      </c>
      <c r="D612" s="348">
        <v>46327</v>
      </c>
      <c r="E612" s="348">
        <v>46539</v>
      </c>
      <c r="F612" s="346" t="s">
        <v>632</v>
      </c>
      <c r="G612" s="350" t="s">
        <v>441</v>
      </c>
      <c r="H612" s="351">
        <f t="shared" si="12"/>
        <v>6768</v>
      </c>
      <c r="I612" s="120" t="str">
        <f>IF(OR(D612&lt;Capa!$A$5,D612&gt;Capa!$A$7,E612&lt;Capa!$A$5,E612&gt;Capa!$A$7,D612&gt;E612),"Erro","")</f>
        <v/>
      </c>
    </row>
    <row r="613" spans="1:9" ht="45">
      <c r="A613" s="345">
        <v>610</v>
      </c>
      <c r="B613" s="346" t="s">
        <v>248</v>
      </c>
      <c r="C613" s="347">
        <v>846</v>
      </c>
      <c r="D613" s="348">
        <v>46692</v>
      </c>
      <c r="E613" s="348">
        <v>46905</v>
      </c>
      <c r="F613" s="346" t="s">
        <v>632</v>
      </c>
      <c r="G613" s="350" t="s">
        <v>441</v>
      </c>
      <c r="H613" s="351">
        <f t="shared" si="12"/>
        <v>6768</v>
      </c>
      <c r="I613" s="120" t="str">
        <f>IF(OR(D613&lt;Capa!$A$5,D613&gt;Capa!$A$7,E613&lt;Capa!$A$5,E613&gt;Capa!$A$7,D613&gt;E613),"Erro","")</f>
        <v/>
      </c>
    </row>
    <row r="614" spans="1:9" ht="33.75">
      <c r="A614" s="345">
        <v>611</v>
      </c>
      <c r="B614" s="346" t="s">
        <v>266</v>
      </c>
      <c r="C614" s="347">
        <v>600</v>
      </c>
      <c r="D614" s="348">
        <v>45689</v>
      </c>
      <c r="E614" s="348">
        <v>45748</v>
      </c>
      <c r="F614" s="346" t="s">
        <v>632</v>
      </c>
      <c r="G614" s="350" t="s">
        <v>442</v>
      </c>
      <c r="H614" s="351">
        <f t="shared" si="12"/>
        <v>1800</v>
      </c>
      <c r="I614" s="120" t="str">
        <f>IF(OR(D614&lt;Capa!$A$5,D614&gt;Capa!$A$7,E614&lt;Capa!$A$5,E614&gt;Capa!$A$7,D614&gt;E614),"Erro","")</f>
        <v/>
      </c>
    </row>
    <row r="615" spans="1:9" ht="33.75">
      <c r="A615" s="345">
        <v>612</v>
      </c>
      <c r="B615" s="346" t="s">
        <v>266</v>
      </c>
      <c r="C615" s="347">
        <v>600</v>
      </c>
      <c r="D615" s="348">
        <v>46054</v>
      </c>
      <c r="E615" s="348">
        <v>46113</v>
      </c>
      <c r="F615" s="346" t="s">
        <v>632</v>
      </c>
      <c r="G615" s="350" t="s">
        <v>442</v>
      </c>
      <c r="H615" s="351">
        <f t="shared" si="12"/>
        <v>1800</v>
      </c>
      <c r="I615" s="120" t="str">
        <f>IF(OR(D615&lt;Capa!$A$5,D615&gt;Capa!$A$7,E615&lt;Capa!$A$5,E615&gt;Capa!$A$7,D615&gt;E615),"Erro","")</f>
        <v/>
      </c>
    </row>
    <row r="616" spans="1:9" ht="33.75">
      <c r="A616" s="345">
        <v>613</v>
      </c>
      <c r="B616" s="346" t="s">
        <v>266</v>
      </c>
      <c r="C616" s="347">
        <v>600</v>
      </c>
      <c r="D616" s="348">
        <v>46419</v>
      </c>
      <c r="E616" s="348">
        <v>46478</v>
      </c>
      <c r="F616" s="346" t="s">
        <v>632</v>
      </c>
      <c r="G616" s="350" t="s">
        <v>442</v>
      </c>
      <c r="H616" s="351">
        <f t="shared" si="12"/>
        <v>1800</v>
      </c>
      <c r="I616" s="120" t="str">
        <f>IF(OR(D616&lt;Capa!$A$5,D616&gt;Capa!$A$7,E616&lt;Capa!$A$5,E616&gt;Capa!$A$7,D616&gt;E616),"Erro","")</f>
        <v/>
      </c>
    </row>
    <row r="617" spans="1:9" ht="33.75">
      <c r="A617" s="345">
        <v>614</v>
      </c>
      <c r="B617" s="346" t="s">
        <v>266</v>
      </c>
      <c r="C617" s="347">
        <v>600</v>
      </c>
      <c r="D617" s="348">
        <v>46784</v>
      </c>
      <c r="E617" s="348">
        <v>46844</v>
      </c>
      <c r="F617" s="346" t="s">
        <v>632</v>
      </c>
      <c r="G617" s="350" t="s">
        <v>442</v>
      </c>
      <c r="H617" s="351">
        <f t="shared" si="12"/>
        <v>1800</v>
      </c>
      <c r="I617" s="120" t="str">
        <f>IF(OR(D617&lt;Capa!$A$5,D617&gt;Capa!$A$7,E617&lt;Capa!$A$5,E617&gt;Capa!$A$7,D617&gt;E617),"Erro","")</f>
        <v/>
      </c>
    </row>
    <row r="618" spans="1:9" ht="22.5">
      <c r="A618" s="345">
        <v>615</v>
      </c>
      <c r="B618" s="346" t="s">
        <v>274</v>
      </c>
      <c r="C618" s="347">
        <v>1100</v>
      </c>
      <c r="D618" s="348">
        <v>45261</v>
      </c>
      <c r="E618" s="348">
        <v>45627</v>
      </c>
      <c r="F618" s="346" t="s">
        <v>632</v>
      </c>
      <c r="G618" s="350" t="s">
        <v>443</v>
      </c>
      <c r="H618" s="351">
        <f t="shared" si="12"/>
        <v>14300</v>
      </c>
      <c r="I618" s="120" t="str">
        <f>IF(OR(D618&lt;Capa!$A$5,D618&gt;Capa!$A$7,E618&lt;Capa!$A$5,E618&gt;Capa!$A$7,D618&gt;E618),"Erro","")</f>
        <v/>
      </c>
    </row>
    <row r="619" spans="1:9" ht="22.5">
      <c r="A619" s="345">
        <v>616</v>
      </c>
      <c r="B619" s="346" t="s">
        <v>274</v>
      </c>
      <c r="C619" s="347">
        <v>1164.24</v>
      </c>
      <c r="D619" s="348">
        <v>45658</v>
      </c>
      <c r="E619" s="348">
        <v>45992</v>
      </c>
      <c r="F619" s="346" t="s">
        <v>632</v>
      </c>
      <c r="G619" s="350" t="s">
        <v>443</v>
      </c>
      <c r="H619" s="351">
        <f t="shared" si="12"/>
        <v>13970.880000000001</v>
      </c>
      <c r="I619" s="120" t="str">
        <f>IF(OR(D619&lt;Capa!$A$5,D619&gt;Capa!$A$7,E619&lt;Capa!$A$5,E619&gt;Capa!$A$7,D619&gt;E619),"Erro","")</f>
        <v/>
      </c>
    </row>
    <row r="620" spans="1:9" ht="22.5">
      <c r="A620" s="345">
        <v>617</v>
      </c>
      <c r="B620" s="346" t="s">
        <v>274</v>
      </c>
      <c r="C620" s="347">
        <v>1232.23</v>
      </c>
      <c r="D620" s="348">
        <v>46023</v>
      </c>
      <c r="E620" s="348">
        <v>46357</v>
      </c>
      <c r="F620" s="346" t="s">
        <v>632</v>
      </c>
      <c r="G620" s="350" t="s">
        <v>443</v>
      </c>
      <c r="H620" s="351">
        <f t="shared" si="12"/>
        <v>14786.76</v>
      </c>
      <c r="I620" s="120" t="str">
        <f>IF(OR(D620&lt;Capa!$A$5,D620&gt;Capa!$A$7,E620&lt;Capa!$A$5,E620&gt;Capa!$A$7,D620&gt;E620),"Erro","")</f>
        <v/>
      </c>
    </row>
    <row r="621" spans="1:9" ht="22.5">
      <c r="A621" s="345">
        <v>618</v>
      </c>
      <c r="B621" s="346" t="s">
        <v>274</v>
      </c>
      <c r="C621" s="347">
        <v>1304.19</v>
      </c>
      <c r="D621" s="348">
        <v>46388</v>
      </c>
      <c r="E621" s="348">
        <v>46722</v>
      </c>
      <c r="F621" s="346" t="s">
        <v>632</v>
      </c>
      <c r="G621" s="350" t="s">
        <v>443</v>
      </c>
      <c r="H621" s="351">
        <f t="shared" si="12"/>
        <v>15650.28</v>
      </c>
      <c r="I621" s="120" t="str">
        <f>IF(OR(D621&lt;Capa!$A$5,D621&gt;Capa!$A$7,E621&lt;Capa!$A$5,E621&gt;Capa!$A$7,D621&gt;E621),"Erro","")</f>
        <v/>
      </c>
    </row>
    <row r="622" spans="1:9" ht="22.5">
      <c r="A622" s="345">
        <v>619</v>
      </c>
      <c r="B622" s="346" t="s">
        <v>274</v>
      </c>
      <c r="C622" s="347">
        <v>1380.35</v>
      </c>
      <c r="D622" s="348">
        <v>46753</v>
      </c>
      <c r="E622" s="348">
        <v>47058</v>
      </c>
      <c r="F622" s="346" t="s">
        <v>632</v>
      </c>
      <c r="G622" s="350" t="s">
        <v>443</v>
      </c>
      <c r="H622" s="351">
        <f t="shared" si="12"/>
        <v>15183.849999999999</v>
      </c>
      <c r="I622" s="120" t="str">
        <f>IF(OR(D622&lt;Capa!$A$5,D622&gt;Capa!$A$7,E622&lt;Capa!$A$5,E622&gt;Capa!$A$7,D622&gt;E622),"Erro","")</f>
        <v/>
      </c>
    </row>
    <row r="623" spans="1:9" ht="56.25">
      <c r="A623" s="345">
        <v>620</v>
      </c>
      <c r="B623" s="346" t="s">
        <v>236</v>
      </c>
      <c r="C623" s="347">
        <v>690.19</v>
      </c>
      <c r="D623" s="348">
        <v>45292</v>
      </c>
      <c r="E623" s="348">
        <v>45627</v>
      </c>
      <c r="F623" s="346" t="s">
        <v>632</v>
      </c>
      <c r="G623" s="350" t="s">
        <v>444</v>
      </c>
      <c r="H623" s="351">
        <f t="shared" si="12"/>
        <v>8282.2800000000007</v>
      </c>
      <c r="I623" s="120" t="str">
        <f>IF(OR(D623&lt;Capa!$A$5,D623&gt;Capa!$A$7,E623&lt;Capa!$A$5,E623&gt;Capa!$A$7,D623&gt;E623),"Erro","")</f>
        <v/>
      </c>
    </row>
    <row r="624" spans="1:9" ht="56.25">
      <c r="A624" s="345">
        <v>621</v>
      </c>
      <c r="B624" s="346" t="s">
        <v>236</v>
      </c>
      <c r="C624" s="347">
        <v>760.49</v>
      </c>
      <c r="D624" s="348">
        <v>45658</v>
      </c>
      <c r="E624" s="348">
        <v>45992</v>
      </c>
      <c r="F624" s="346" t="s">
        <v>632</v>
      </c>
      <c r="G624" s="350" t="s">
        <v>444</v>
      </c>
      <c r="H624" s="351">
        <f t="shared" si="12"/>
        <v>9125.880000000001</v>
      </c>
      <c r="I624" s="120" t="str">
        <f>IF(OR(D624&lt;Capa!$A$5,D624&gt;Capa!$A$7,E624&lt;Capa!$A$5,E624&gt;Capa!$A$7,D624&gt;E624),"Erro","")</f>
        <v/>
      </c>
    </row>
    <row r="625" spans="1:9" ht="56.25">
      <c r="A625" s="345">
        <v>622</v>
      </c>
      <c r="B625" s="346" t="s">
        <v>236</v>
      </c>
      <c r="C625" s="347">
        <v>773.16</v>
      </c>
      <c r="D625" s="348">
        <v>46023</v>
      </c>
      <c r="E625" s="348">
        <v>46357</v>
      </c>
      <c r="F625" s="346" t="s">
        <v>632</v>
      </c>
      <c r="G625" s="350" t="s">
        <v>444</v>
      </c>
      <c r="H625" s="351">
        <f t="shared" si="12"/>
        <v>9277.92</v>
      </c>
      <c r="I625" s="120" t="str">
        <f>IF(OR(D625&lt;Capa!$A$5,D625&gt;Capa!$A$7,E625&lt;Capa!$A$5,E625&gt;Capa!$A$7,D625&gt;E625),"Erro","")</f>
        <v/>
      </c>
    </row>
    <row r="626" spans="1:9" ht="56.25">
      <c r="A626" s="345">
        <v>623</v>
      </c>
      <c r="B626" s="346" t="s">
        <v>236</v>
      </c>
      <c r="C626" s="347">
        <v>818.31</v>
      </c>
      <c r="D626" s="348">
        <v>46388</v>
      </c>
      <c r="E626" s="348">
        <v>46722</v>
      </c>
      <c r="F626" s="346" t="s">
        <v>632</v>
      </c>
      <c r="G626" s="350" t="s">
        <v>444</v>
      </c>
      <c r="H626" s="351">
        <f t="shared" si="12"/>
        <v>9819.7199999999993</v>
      </c>
      <c r="I626" s="120" t="str">
        <f>IF(OR(D626&lt;Capa!$A$5,D626&gt;Capa!$A$7,E626&lt;Capa!$A$5,E626&gt;Capa!$A$7,D626&gt;E626),"Erro","")</f>
        <v/>
      </c>
    </row>
    <row r="627" spans="1:9" ht="56.25">
      <c r="A627" s="345">
        <v>624</v>
      </c>
      <c r="B627" s="346" t="s">
        <v>236</v>
      </c>
      <c r="C627" s="347">
        <v>866.09</v>
      </c>
      <c r="D627" s="348">
        <v>46753</v>
      </c>
      <c r="E627" s="348">
        <v>47058</v>
      </c>
      <c r="F627" s="346" t="s">
        <v>632</v>
      </c>
      <c r="G627" s="350" t="s">
        <v>444</v>
      </c>
      <c r="H627" s="351">
        <f t="shared" si="12"/>
        <v>9526.99</v>
      </c>
      <c r="I627" s="120" t="str">
        <f>IF(OR(D627&lt;Capa!$A$5,D627&gt;Capa!$A$7,E627&lt;Capa!$A$5,E627&gt;Capa!$A$7,D627&gt;E627),"Erro","")</f>
        <v/>
      </c>
    </row>
    <row r="628" spans="1:9" ht="33.75">
      <c r="A628" s="345">
        <v>625</v>
      </c>
      <c r="B628" s="346" t="s">
        <v>240</v>
      </c>
      <c r="C628" s="347">
        <v>50</v>
      </c>
      <c r="D628" s="348">
        <v>45292</v>
      </c>
      <c r="E628" s="348">
        <v>45627</v>
      </c>
      <c r="F628" s="346" t="s">
        <v>632</v>
      </c>
      <c r="G628" s="350" t="s">
        <v>445</v>
      </c>
      <c r="H628" s="351">
        <f t="shared" si="12"/>
        <v>600</v>
      </c>
      <c r="I628" s="120" t="str">
        <f>IF(OR(D628&lt;Capa!$A$5,D628&gt;Capa!$A$7,E628&lt;Capa!$A$5,E628&gt;Capa!$A$7,D628&gt;E628),"Erro","")</f>
        <v/>
      </c>
    </row>
    <row r="629" spans="1:9" ht="33.75">
      <c r="A629" s="345">
        <v>626</v>
      </c>
      <c r="B629" s="346" t="s">
        <v>240</v>
      </c>
      <c r="C629" s="347">
        <v>50</v>
      </c>
      <c r="D629" s="348">
        <v>45658</v>
      </c>
      <c r="E629" s="348">
        <v>45992</v>
      </c>
      <c r="F629" s="346" t="s">
        <v>632</v>
      </c>
      <c r="G629" s="350" t="s">
        <v>445</v>
      </c>
      <c r="H629" s="351">
        <f t="shared" si="12"/>
        <v>600</v>
      </c>
      <c r="I629" s="120" t="str">
        <f>IF(OR(D629&lt;Capa!$A$5,D629&gt;Capa!$A$7,E629&lt;Capa!$A$5,E629&gt;Capa!$A$7,D629&gt;E629),"Erro","")</f>
        <v/>
      </c>
    </row>
    <row r="630" spans="1:9" ht="33.75">
      <c r="A630" s="345">
        <v>627</v>
      </c>
      <c r="B630" s="346" t="s">
        <v>240</v>
      </c>
      <c r="C630" s="347">
        <v>50</v>
      </c>
      <c r="D630" s="348">
        <v>46023</v>
      </c>
      <c r="E630" s="348">
        <v>46357</v>
      </c>
      <c r="F630" s="346" t="s">
        <v>632</v>
      </c>
      <c r="G630" s="350" t="s">
        <v>445</v>
      </c>
      <c r="H630" s="351">
        <f t="shared" si="12"/>
        <v>600</v>
      </c>
      <c r="I630" s="120" t="str">
        <f>IF(OR(D630&lt;Capa!$A$5,D630&gt;Capa!$A$7,E630&lt;Capa!$A$5,E630&gt;Capa!$A$7,D630&gt;E630),"Erro","")</f>
        <v/>
      </c>
    </row>
    <row r="631" spans="1:9" ht="33.75">
      <c r="A631" s="345">
        <v>628</v>
      </c>
      <c r="B631" s="346" t="s">
        <v>240</v>
      </c>
      <c r="C631" s="347">
        <v>50</v>
      </c>
      <c r="D631" s="348">
        <v>46388</v>
      </c>
      <c r="E631" s="348">
        <v>46722</v>
      </c>
      <c r="F631" s="346" t="s">
        <v>632</v>
      </c>
      <c r="G631" s="350" t="s">
        <v>445</v>
      </c>
      <c r="H631" s="351">
        <f t="shared" si="12"/>
        <v>600</v>
      </c>
      <c r="I631" s="120" t="str">
        <f>IF(OR(D631&lt;Capa!$A$5,D631&gt;Capa!$A$7,E631&lt;Capa!$A$5,E631&gt;Capa!$A$7,D631&gt;E631),"Erro","")</f>
        <v/>
      </c>
    </row>
    <row r="632" spans="1:9" ht="33.75">
      <c r="A632" s="345">
        <v>629</v>
      </c>
      <c r="B632" s="346" t="s">
        <v>240</v>
      </c>
      <c r="C632" s="347">
        <v>50</v>
      </c>
      <c r="D632" s="348">
        <v>46753</v>
      </c>
      <c r="E632" s="348">
        <v>47058</v>
      </c>
      <c r="F632" s="346" t="s">
        <v>632</v>
      </c>
      <c r="G632" s="350" t="s">
        <v>445</v>
      </c>
      <c r="H632" s="351">
        <f t="shared" si="12"/>
        <v>550</v>
      </c>
      <c r="I632" s="120" t="str">
        <f>IF(OR(D632&lt;Capa!$A$5,D632&gt;Capa!$A$7,E632&lt;Capa!$A$5,E632&gt;Capa!$A$7,D632&gt;E632),"Erro","")</f>
        <v/>
      </c>
    </row>
    <row r="633" spans="1:9" ht="45">
      <c r="A633" s="345">
        <v>630</v>
      </c>
      <c r="B633" s="346" t="s">
        <v>244</v>
      </c>
      <c r="C633" s="347">
        <v>250</v>
      </c>
      <c r="D633" s="348">
        <v>45261</v>
      </c>
      <c r="E633" s="348">
        <v>45627</v>
      </c>
      <c r="F633" s="346" t="s">
        <v>632</v>
      </c>
      <c r="G633" s="350" t="s">
        <v>446</v>
      </c>
      <c r="H633" s="351">
        <f t="shared" si="12"/>
        <v>3250</v>
      </c>
      <c r="I633" s="120" t="str">
        <f>IF(OR(D633&lt;Capa!$A$5,D633&gt;Capa!$A$7,E633&lt;Capa!$A$5,E633&gt;Capa!$A$7,D633&gt;E633),"Erro","")</f>
        <v/>
      </c>
    </row>
    <row r="634" spans="1:9" ht="45">
      <c r="A634" s="345">
        <v>631</v>
      </c>
      <c r="B634" s="346" t="s">
        <v>244</v>
      </c>
      <c r="C634" s="347">
        <v>250</v>
      </c>
      <c r="D634" s="348">
        <v>45658</v>
      </c>
      <c r="E634" s="348">
        <v>45992</v>
      </c>
      <c r="F634" s="346" t="s">
        <v>632</v>
      </c>
      <c r="G634" s="350" t="s">
        <v>446</v>
      </c>
      <c r="H634" s="351">
        <f t="shared" si="12"/>
        <v>3000</v>
      </c>
      <c r="I634" s="120" t="str">
        <f>IF(OR(D634&lt;Capa!$A$5,D634&gt;Capa!$A$7,E634&lt;Capa!$A$5,E634&gt;Capa!$A$7,D634&gt;E634),"Erro","")</f>
        <v/>
      </c>
    </row>
    <row r="635" spans="1:9" ht="45">
      <c r="A635" s="345">
        <v>632</v>
      </c>
      <c r="B635" s="346" t="s">
        <v>244</v>
      </c>
      <c r="C635" s="347">
        <v>300</v>
      </c>
      <c r="D635" s="348">
        <v>46023</v>
      </c>
      <c r="E635" s="348">
        <v>46357</v>
      </c>
      <c r="F635" s="346" t="s">
        <v>632</v>
      </c>
      <c r="G635" s="350" t="s">
        <v>446</v>
      </c>
      <c r="H635" s="351">
        <f t="shared" si="12"/>
        <v>3600</v>
      </c>
      <c r="I635" s="120" t="str">
        <f>IF(OR(D635&lt;Capa!$A$5,D635&gt;Capa!$A$7,E635&lt;Capa!$A$5,E635&gt;Capa!$A$7,D635&gt;E635),"Erro","")</f>
        <v/>
      </c>
    </row>
    <row r="636" spans="1:9" ht="45">
      <c r="A636" s="345">
        <v>633</v>
      </c>
      <c r="B636" s="346" t="s">
        <v>244</v>
      </c>
      <c r="C636" s="347">
        <v>300</v>
      </c>
      <c r="D636" s="348">
        <v>46388</v>
      </c>
      <c r="E636" s="348">
        <v>46722</v>
      </c>
      <c r="F636" s="346" t="s">
        <v>632</v>
      </c>
      <c r="G636" s="350" t="s">
        <v>446</v>
      </c>
      <c r="H636" s="351">
        <f t="shared" si="12"/>
        <v>3600</v>
      </c>
      <c r="I636" s="120" t="str">
        <f>IF(OR(D636&lt;Capa!$A$5,D636&gt;Capa!$A$7,E636&lt;Capa!$A$5,E636&gt;Capa!$A$7,D636&gt;E636),"Erro","")</f>
        <v/>
      </c>
    </row>
    <row r="637" spans="1:9" ht="45">
      <c r="A637" s="345">
        <v>634</v>
      </c>
      <c r="B637" s="346" t="s">
        <v>244</v>
      </c>
      <c r="C637" s="347">
        <v>350</v>
      </c>
      <c r="D637" s="348">
        <v>46753</v>
      </c>
      <c r="E637" s="348">
        <v>47058</v>
      </c>
      <c r="F637" s="346" t="s">
        <v>632</v>
      </c>
      <c r="G637" s="350" t="s">
        <v>446</v>
      </c>
      <c r="H637" s="351">
        <f t="shared" si="12"/>
        <v>3850</v>
      </c>
      <c r="I637" s="120" t="str">
        <f>IF(OR(D637&lt;Capa!$A$5,D637&gt;Capa!$A$7,E637&lt;Capa!$A$5,E637&gt;Capa!$A$7,D637&gt;E637),"Erro","")</f>
        <v/>
      </c>
    </row>
    <row r="638" spans="1:9" ht="33.75">
      <c r="A638" s="345">
        <v>635</v>
      </c>
      <c r="B638" s="346" t="s">
        <v>246</v>
      </c>
      <c r="C638" s="347">
        <v>275.18</v>
      </c>
      <c r="D638" s="348">
        <v>45658</v>
      </c>
      <c r="E638" s="348">
        <v>45992</v>
      </c>
      <c r="F638" s="346" t="s">
        <v>632</v>
      </c>
      <c r="G638" s="350" t="s">
        <v>447</v>
      </c>
      <c r="H638" s="351">
        <f t="shared" si="12"/>
        <v>3302.16</v>
      </c>
      <c r="I638" s="120" t="str">
        <f>IF(OR(D638&lt;Capa!$A$5,D638&gt;Capa!$A$7,E638&lt;Capa!$A$5,E638&gt;Capa!$A$7,D638&gt;E638),"Erro","")</f>
        <v/>
      </c>
    </row>
    <row r="639" spans="1:9" ht="33.75">
      <c r="A639" s="345">
        <v>636</v>
      </c>
      <c r="B639" s="346" t="s">
        <v>246</v>
      </c>
      <c r="C639" s="347">
        <v>291.25</v>
      </c>
      <c r="D639" s="348">
        <v>46023</v>
      </c>
      <c r="E639" s="348">
        <v>46357</v>
      </c>
      <c r="F639" s="346" t="s">
        <v>632</v>
      </c>
      <c r="G639" s="350" t="s">
        <v>447</v>
      </c>
      <c r="H639" s="351">
        <f t="shared" si="12"/>
        <v>3495</v>
      </c>
      <c r="I639" s="120" t="str">
        <f>IF(OR(D639&lt;Capa!$A$5,D639&gt;Capa!$A$7,E639&lt;Capa!$A$5,E639&gt;Capa!$A$7,D639&gt;E639),"Erro","")</f>
        <v/>
      </c>
    </row>
    <row r="640" spans="1:9" ht="33.75">
      <c r="A640" s="345">
        <v>637</v>
      </c>
      <c r="B640" s="346" t="s">
        <v>246</v>
      </c>
      <c r="C640" s="347">
        <v>308.26</v>
      </c>
      <c r="D640" s="348">
        <v>46388</v>
      </c>
      <c r="E640" s="348">
        <v>46722</v>
      </c>
      <c r="F640" s="346" t="s">
        <v>632</v>
      </c>
      <c r="G640" s="350" t="s">
        <v>447</v>
      </c>
      <c r="H640" s="351">
        <f t="shared" si="12"/>
        <v>3699.12</v>
      </c>
      <c r="I640" s="120" t="str">
        <f>IF(OR(D640&lt;Capa!$A$5,D640&gt;Capa!$A$7,E640&lt;Capa!$A$5,E640&gt;Capa!$A$7,D640&gt;E640),"Erro","")</f>
        <v/>
      </c>
    </row>
    <row r="641" spans="1:9" ht="33.75">
      <c r="A641" s="345">
        <v>638</v>
      </c>
      <c r="B641" s="346" t="s">
        <v>246</v>
      </c>
      <c r="C641" s="347">
        <v>326.26</v>
      </c>
      <c r="D641" s="348">
        <v>46753</v>
      </c>
      <c r="E641" s="348">
        <v>47058</v>
      </c>
      <c r="F641" s="346" t="s">
        <v>632</v>
      </c>
      <c r="G641" s="350" t="s">
        <v>447</v>
      </c>
      <c r="H641" s="351">
        <f t="shared" si="12"/>
        <v>3588.8599999999997</v>
      </c>
      <c r="I641" s="120" t="str">
        <f>IF(OR(D641&lt;Capa!$A$5,D641&gt;Capa!$A$7,E641&lt;Capa!$A$5,E641&gt;Capa!$A$7,D641&gt;E641),"Erro","")</f>
        <v/>
      </c>
    </row>
    <row r="642" spans="1:9" ht="33.75">
      <c r="A642" s="345">
        <v>639</v>
      </c>
      <c r="B642" s="346" t="s">
        <v>258</v>
      </c>
      <c r="C642" s="347">
        <v>193.77</v>
      </c>
      <c r="D642" s="348">
        <v>45261</v>
      </c>
      <c r="E642" s="348">
        <v>45627</v>
      </c>
      <c r="F642" s="346" t="s">
        <v>632</v>
      </c>
      <c r="G642" s="350" t="s">
        <v>448</v>
      </c>
      <c r="H642" s="351">
        <f t="shared" si="12"/>
        <v>2519.0100000000002</v>
      </c>
      <c r="I642" s="120" t="str">
        <f>IF(OR(D642&lt;Capa!$A$5,D642&gt;Capa!$A$7,E642&lt;Capa!$A$5,E642&gt;Capa!$A$7,D642&gt;E642),"Erro","")</f>
        <v/>
      </c>
    </row>
    <row r="643" spans="1:9" ht="33.75">
      <c r="A643" s="345">
        <v>640</v>
      </c>
      <c r="B643" s="346" t="s">
        <v>258</v>
      </c>
      <c r="C643" s="347">
        <v>205.08</v>
      </c>
      <c r="D643" s="348">
        <v>45658</v>
      </c>
      <c r="E643" s="348">
        <v>45992</v>
      </c>
      <c r="F643" s="346" t="s">
        <v>632</v>
      </c>
      <c r="G643" s="350" t="s">
        <v>448</v>
      </c>
      <c r="H643" s="351">
        <f t="shared" si="12"/>
        <v>2460.96</v>
      </c>
      <c r="I643" s="120" t="str">
        <f>IF(OR(D643&lt;Capa!$A$5,D643&gt;Capa!$A$7,E643&lt;Capa!$A$5,E643&gt;Capa!$A$7,D643&gt;E643),"Erro","")</f>
        <v/>
      </c>
    </row>
    <row r="644" spans="1:9" ht="33.75">
      <c r="A644" s="345">
        <v>641</v>
      </c>
      <c r="B644" s="346" t="s">
        <v>258</v>
      </c>
      <c r="C644" s="347">
        <v>217.06</v>
      </c>
      <c r="D644" s="348">
        <v>46023</v>
      </c>
      <c r="E644" s="348">
        <v>46357</v>
      </c>
      <c r="F644" s="346" t="s">
        <v>632</v>
      </c>
      <c r="G644" s="350" t="s">
        <v>448</v>
      </c>
      <c r="H644" s="351">
        <f t="shared" si="12"/>
        <v>2604.7200000000003</v>
      </c>
      <c r="I644" s="120" t="str">
        <f>IF(OR(D644&lt;Capa!$A$5,D644&gt;Capa!$A$7,E644&lt;Capa!$A$5,E644&gt;Capa!$A$7,D644&gt;E644),"Erro","")</f>
        <v/>
      </c>
    </row>
    <row r="645" spans="1:9" ht="33.75">
      <c r="A645" s="345">
        <v>642</v>
      </c>
      <c r="B645" s="346" t="s">
        <v>258</v>
      </c>
      <c r="C645" s="347">
        <v>229.74</v>
      </c>
      <c r="D645" s="348">
        <v>46388</v>
      </c>
      <c r="E645" s="348">
        <v>46722</v>
      </c>
      <c r="F645" s="346" t="s">
        <v>632</v>
      </c>
      <c r="G645" s="350" t="s">
        <v>448</v>
      </c>
      <c r="H645" s="351">
        <f t="shared" ref="H645:H697" si="13">IFERROR((DATEDIF(D645,E645,"M")+1)*C645,0)</f>
        <v>2756.88</v>
      </c>
      <c r="I645" s="120" t="str">
        <f>IF(OR(D645&lt;Capa!$A$5,D645&gt;Capa!$A$7,E645&lt;Capa!$A$5,E645&gt;Capa!$A$7,D645&gt;E645),"Erro","")</f>
        <v/>
      </c>
    </row>
    <row r="646" spans="1:9" ht="33.75">
      <c r="A646" s="345">
        <v>643</v>
      </c>
      <c r="B646" s="346" t="s">
        <v>258</v>
      </c>
      <c r="C646" s="347">
        <v>243.16</v>
      </c>
      <c r="D646" s="348">
        <v>46753</v>
      </c>
      <c r="E646" s="348">
        <v>47058</v>
      </c>
      <c r="F646" s="346" t="s">
        <v>632</v>
      </c>
      <c r="G646" s="350" t="s">
        <v>448</v>
      </c>
      <c r="H646" s="351">
        <f t="shared" si="13"/>
        <v>2674.7599999999998</v>
      </c>
      <c r="I646" s="120" t="str">
        <f>IF(OR(D646&lt;Capa!$A$5,D646&gt;Capa!$A$7,E646&lt;Capa!$A$5,E646&gt;Capa!$A$7,D646&gt;E646),"Erro","")</f>
        <v/>
      </c>
    </row>
    <row r="647" spans="1:9" ht="56.25">
      <c r="A647" s="345">
        <v>644</v>
      </c>
      <c r="B647" s="346" t="s">
        <v>276</v>
      </c>
      <c r="C647" s="347">
        <v>670</v>
      </c>
      <c r="D647" s="348">
        <v>45658</v>
      </c>
      <c r="E647" s="348">
        <v>45992</v>
      </c>
      <c r="F647" s="346" t="s">
        <v>632</v>
      </c>
      <c r="G647" s="350" t="s">
        <v>449</v>
      </c>
      <c r="H647" s="351">
        <f t="shared" si="13"/>
        <v>8040</v>
      </c>
      <c r="I647" s="120" t="str">
        <f>IF(OR(D647&lt;Capa!$A$5,D647&gt;Capa!$A$7,E647&lt;Capa!$A$5,E647&gt;Capa!$A$7,D647&gt;E647),"Erro","")</f>
        <v/>
      </c>
    </row>
    <row r="648" spans="1:9" ht="56.25">
      <c r="A648" s="345">
        <v>645</v>
      </c>
      <c r="B648" s="346" t="s">
        <v>276</v>
      </c>
      <c r="C648" s="347">
        <v>670</v>
      </c>
      <c r="D648" s="348">
        <v>46023</v>
      </c>
      <c r="E648" s="348">
        <v>46357</v>
      </c>
      <c r="F648" s="346" t="s">
        <v>632</v>
      </c>
      <c r="G648" s="350" t="s">
        <v>449</v>
      </c>
      <c r="H648" s="351">
        <f t="shared" si="13"/>
        <v>8040</v>
      </c>
      <c r="I648" s="120" t="str">
        <f>IF(OR(D648&lt;Capa!$A$5,D648&gt;Capa!$A$7,E648&lt;Capa!$A$5,E648&gt;Capa!$A$7,D648&gt;E648),"Erro","")</f>
        <v/>
      </c>
    </row>
    <row r="649" spans="1:9" ht="56.25">
      <c r="A649" s="345">
        <v>646</v>
      </c>
      <c r="B649" s="346" t="s">
        <v>276</v>
      </c>
      <c r="C649" s="347">
        <v>670</v>
      </c>
      <c r="D649" s="348">
        <v>46388</v>
      </c>
      <c r="E649" s="348">
        <v>46722</v>
      </c>
      <c r="F649" s="346" t="s">
        <v>632</v>
      </c>
      <c r="G649" s="350" t="s">
        <v>449</v>
      </c>
      <c r="H649" s="351">
        <f t="shared" si="13"/>
        <v>8040</v>
      </c>
      <c r="I649" s="120" t="str">
        <f>IF(OR(D649&lt;Capa!$A$5,D649&gt;Capa!$A$7,E649&lt;Capa!$A$5,E649&gt;Capa!$A$7,D649&gt;E649),"Erro","")</f>
        <v/>
      </c>
    </row>
    <row r="650" spans="1:9" ht="56.25">
      <c r="A650" s="345">
        <v>647</v>
      </c>
      <c r="B650" s="346" t="s">
        <v>276</v>
      </c>
      <c r="C650" s="347">
        <v>670</v>
      </c>
      <c r="D650" s="348">
        <v>46753</v>
      </c>
      <c r="E650" s="348">
        <v>47058</v>
      </c>
      <c r="F650" s="346" t="s">
        <v>632</v>
      </c>
      <c r="G650" s="350" t="s">
        <v>449</v>
      </c>
      <c r="H650" s="351">
        <f t="shared" si="13"/>
        <v>7370</v>
      </c>
      <c r="I650" s="120" t="str">
        <f>IF(OR(D650&lt;Capa!$A$5,D650&gt;Capa!$A$7,E650&lt;Capa!$A$5,E650&gt;Capa!$A$7,D650&gt;E650),"Erro","")</f>
        <v/>
      </c>
    </row>
    <row r="651" spans="1:9" ht="45">
      <c r="A651" s="345">
        <v>648</v>
      </c>
      <c r="B651" s="346" t="s">
        <v>278</v>
      </c>
      <c r="C651" s="347">
        <v>16000</v>
      </c>
      <c r="D651" s="348">
        <v>45261</v>
      </c>
      <c r="E651" s="348">
        <v>45261</v>
      </c>
      <c r="F651" s="346" t="s">
        <v>632</v>
      </c>
      <c r="G651" s="350" t="s">
        <v>450</v>
      </c>
      <c r="H651" s="351">
        <f t="shared" si="13"/>
        <v>16000</v>
      </c>
      <c r="I651" s="120" t="str">
        <f>IF(OR(D651&lt;Capa!$A$5,D651&gt;Capa!$A$7,E651&lt;Capa!$A$5,E651&gt;Capa!$A$7,D651&gt;E651),"Erro","")</f>
        <v/>
      </c>
    </row>
    <row r="652" spans="1:9" ht="45">
      <c r="A652" s="345">
        <v>649</v>
      </c>
      <c r="B652" s="346" t="s">
        <v>278</v>
      </c>
      <c r="C652" s="347">
        <v>34475</v>
      </c>
      <c r="D652" s="348">
        <v>45292</v>
      </c>
      <c r="E652" s="348">
        <v>45627</v>
      </c>
      <c r="F652" s="346" t="s">
        <v>632</v>
      </c>
      <c r="G652" s="350" t="s">
        <v>450</v>
      </c>
      <c r="H652" s="351">
        <f t="shared" si="13"/>
        <v>413700</v>
      </c>
      <c r="I652" s="120" t="str">
        <f>IF(OR(D652&lt;Capa!$A$5,D652&gt;Capa!$A$7,E652&lt;Capa!$A$5,E652&gt;Capa!$A$7,D652&gt;E652),"Erro","")</f>
        <v/>
      </c>
    </row>
    <row r="653" spans="1:9" ht="45">
      <c r="A653" s="345">
        <v>650</v>
      </c>
      <c r="B653" s="346" t="s">
        <v>278</v>
      </c>
      <c r="C653" s="347">
        <v>36488</v>
      </c>
      <c r="D653" s="348">
        <v>45658</v>
      </c>
      <c r="E653" s="348">
        <v>45992</v>
      </c>
      <c r="F653" s="346" t="s">
        <v>632</v>
      </c>
      <c r="G653" s="350" t="s">
        <v>450</v>
      </c>
      <c r="H653" s="351">
        <f t="shared" si="13"/>
        <v>437856</v>
      </c>
      <c r="I653" s="120" t="str">
        <f>IF(OR(D653&lt;Capa!$A$5,D653&gt;Capa!$A$7,E653&lt;Capa!$A$5,E653&gt;Capa!$A$7,D653&gt;E653),"Erro","")</f>
        <v/>
      </c>
    </row>
    <row r="654" spans="1:9" ht="45">
      <c r="A654" s="345">
        <v>651</v>
      </c>
      <c r="B654" s="346" t="s">
        <v>278</v>
      </c>
      <c r="C654" s="347">
        <v>38619</v>
      </c>
      <c r="D654" s="348">
        <v>46023</v>
      </c>
      <c r="E654" s="348">
        <v>46357</v>
      </c>
      <c r="F654" s="346" t="s">
        <v>632</v>
      </c>
      <c r="G654" s="350" t="s">
        <v>450</v>
      </c>
      <c r="H654" s="351">
        <f t="shared" si="13"/>
        <v>463428</v>
      </c>
      <c r="I654" s="120" t="str">
        <f>IF(OR(D654&lt;Capa!$A$5,D654&gt;Capa!$A$7,E654&lt;Capa!$A$5,E654&gt;Capa!$A$7,D654&gt;E654),"Erro","")</f>
        <v/>
      </c>
    </row>
    <row r="655" spans="1:9" ht="45">
      <c r="A655" s="345">
        <v>652</v>
      </c>
      <c r="B655" s="346" t="s">
        <v>278</v>
      </c>
      <c r="C655" s="347">
        <v>40874.620000000003</v>
      </c>
      <c r="D655" s="348">
        <v>46388</v>
      </c>
      <c r="E655" s="348">
        <v>46722</v>
      </c>
      <c r="F655" s="346" t="s">
        <v>632</v>
      </c>
      <c r="G655" s="350" t="s">
        <v>450</v>
      </c>
      <c r="H655" s="351">
        <f t="shared" si="13"/>
        <v>490495.44000000006</v>
      </c>
      <c r="I655" s="120" t="str">
        <f>IF(OR(D655&lt;Capa!$A$5,D655&gt;Capa!$A$7,E655&lt;Capa!$A$5,E655&gt;Capa!$A$7,D655&gt;E655),"Erro","")</f>
        <v/>
      </c>
    </row>
    <row r="656" spans="1:9" ht="45">
      <c r="A656" s="345">
        <v>653</v>
      </c>
      <c r="B656" s="346" t="s">
        <v>278</v>
      </c>
      <c r="C656" s="347">
        <v>43261</v>
      </c>
      <c r="D656" s="348">
        <v>46753</v>
      </c>
      <c r="E656" s="348">
        <v>47058</v>
      </c>
      <c r="F656" s="346" t="s">
        <v>632</v>
      </c>
      <c r="G656" s="350" t="s">
        <v>450</v>
      </c>
      <c r="H656" s="351">
        <f t="shared" si="13"/>
        <v>475871</v>
      </c>
      <c r="I656" s="120" t="str">
        <f>IF(OR(D656&lt;Capa!$A$5,D656&gt;Capa!$A$7,E656&lt;Capa!$A$5,E656&gt;Capa!$A$7,D656&gt;E656),"Erro","")</f>
        <v/>
      </c>
    </row>
    <row r="657" spans="1:9" ht="56.25">
      <c r="A657" s="345">
        <v>654</v>
      </c>
      <c r="B657" s="346" t="s">
        <v>280</v>
      </c>
      <c r="C657" s="347">
        <v>100</v>
      </c>
      <c r="D657" s="348">
        <v>45261</v>
      </c>
      <c r="E657" s="348">
        <v>45627</v>
      </c>
      <c r="F657" s="346" t="s">
        <v>632</v>
      </c>
      <c r="G657" s="350" t="s">
        <v>451</v>
      </c>
      <c r="H657" s="351">
        <f t="shared" si="13"/>
        <v>1300</v>
      </c>
      <c r="I657" s="120" t="str">
        <f>IF(OR(D657&lt;Capa!$A$5,D657&gt;Capa!$A$7,E657&lt;Capa!$A$5,E657&gt;Capa!$A$7,D657&gt;E657),"Erro","")</f>
        <v/>
      </c>
    </row>
    <row r="658" spans="1:9" ht="56.25">
      <c r="A658" s="345">
        <v>655</v>
      </c>
      <c r="B658" s="346" t="s">
        <v>280</v>
      </c>
      <c r="C658" s="347">
        <v>100</v>
      </c>
      <c r="D658" s="348">
        <v>45658</v>
      </c>
      <c r="E658" s="348">
        <v>45992</v>
      </c>
      <c r="F658" s="346" t="s">
        <v>632</v>
      </c>
      <c r="G658" s="350" t="s">
        <v>451</v>
      </c>
      <c r="H658" s="351">
        <f t="shared" si="13"/>
        <v>1200</v>
      </c>
      <c r="I658" s="120" t="str">
        <f>IF(OR(D658&lt;Capa!$A$5,D658&gt;Capa!$A$7,E658&lt;Capa!$A$5,E658&gt;Capa!$A$7,D658&gt;E658),"Erro","")</f>
        <v/>
      </c>
    </row>
    <row r="659" spans="1:9" ht="56.25">
      <c r="A659" s="345">
        <v>656</v>
      </c>
      <c r="B659" s="346" t="s">
        <v>280</v>
      </c>
      <c r="C659" s="347">
        <v>100</v>
      </c>
      <c r="D659" s="348">
        <v>46023</v>
      </c>
      <c r="E659" s="348">
        <v>46357</v>
      </c>
      <c r="F659" s="346" t="s">
        <v>632</v>
      </c>
      <c r="G659" s="350" t="s">
        <v>451</v>
      </c>
      <c r="H659" s="351">
        <f t="shared" si="13"/>
        <v>1200</v>
      </c>
      <c r="I659" s="120" t="str">
        <f>IF(OR(D659&lt;Capa!$A$5,D659&gt;Capa!$A$7,E659&lt;Capa!$A$5,E659&gt;Capa!$A$7,D659&gt;E659),"Erro","")</f>
        <v/>
      </c>
    </row>
    <row r="660" spans="1:9" ht="56.25">
      <c r="A660" s="345">
        <v>657</v>
      </c>
      <c r="B660" s="346" t="s">
        <v>280</v>
      </c>
      <c r="C660" s="347">
        <v>100</v>
      </c>
      <c r="D660" s="348">
        <v>46388</v>
      </c>
      <c r="E660" s="348">
        <v>46722</v>
      </c>
      <c r="F660" s="346" t="s">
        <v>632</v>
      </c>
      <c r="G660" s="350" t="s">
        <v>451</v>
      </c>
      <c r="H660" s="351">
        <f t="shared" si="13"/>
        <v>1200</v>
      </c>
      <c r="I660" s="120" t="str">
        <f>IF(OR(D660&lt;Capa!$A$5,D660&gt;Capa!$A$7,E660&lt;Capa!$A$5,E660&gt;Capa!$A$7,D660&gt;E660),"Erro","")</f>
        <v/>
      </c>
    </row>
    <row r="661" spans="1:9" ht="56.25">
      <c r="A661" s="345">
        <v>658</v>
      </c>
      <c r="B661" s="346" t="s">
        <v>280</v>
      </c>
      <c r="C661" s="347">
        <v>100</v>
      </c>
      <c r="D661" s="348">
        <v>46753</v>
      </c>
      <c r="E661" s="348">
        <v>47058</v>
      </c>
      <c r="F661" s="346" t="s">
        <v>632</v>
      </c>
      <c r="G661" s="350" t="s">
        <v>451</v>
      </c>
      <c r="H661" s="351">
        <f t="shared" si="13"/>
        <v>1100</v>
      </c>
      <c r="I661" s="120" t="str">
        <f>IF(OR(D661&lt;Capa!$A$5,D661&gt;Capa!$A$7,E661&lt;Capa!$A$5,E661&gt;Capa!$A$7,D661&gt;E661),"Erro","")</f>
        <v/>
      </c>
    </row>
    <row r="662" spans="1:9" ht="45">
      <c r="A662" s="345">
        <v>659</v>
      </c>
      <c r="B662" s="346" t="s">
        <v>282</v>
      </c>
      <c r="C662" s="347">
        <v>702.18</v>
      </c>
      <c r="D662" s="348">
        <v>45261</v>
      </c>
      <c r="E662" s="348">
        <v>45627</v>
      </c>
      <c r="F662" s="346" t="s">
        <v>632</v>
      </c>
      <c r="G662" s="350" t="s">
        <v>452</v>
      </c>
      <c r="H662" s="351">
        <f t="shared" si="13"/>
        <v>9128.34</v>
      </c>
      <c r="I662" s="120" t="str">
        <f>IF(OR(D662&lt;Capa!$A$5,D662&gt;Capa!$A$7,E662&lt;Capa!$A$5,E662&gt;Capa!$A$7,D662&gt;E662),"Erro","")</f>
        <v/>
      </c>
    </row>
    <row r="663" spans="1:9" ht="45">
      <c r="A663" s="345">
        <v>660</v>
      </c>
      <c r="B663" s="346" t="s">
        <v>282</v>
      </c>
      <c r="C663" s="347">
        <v>743.18</v>
      </c>
      <c r="D663" s="348">
        <v>45658</v>
      </c>
      <c r="E663" s="348">
        <v>45992</v>
      </c>
      <c r="F663" s="346" t="s">
        <v>632</v>
      </c>
      <c r="G663" s="350" t="s">
        <v>452</v>
      </c>
      <c r="H663" s="351">
        <f t="shared" si="13"/>
        <v>8918.16</v>
      </c>
      <c r="I663" s="120" t="str">
        <f>IF(OR(D663&lt;Capa!$A$5,D663&gt;Capa!$A$7,E663&lt;Capa!$A$5,E663&gt;Capa!$A$7,D663&gt;E663),"Erro","")</f>
        <v/>
      </c>
    </row>
    <row r="664" spans="1:9" ht="45">
      <c r="A664" s="345">
        <v>661</v>
      </c>
      <c r="B664" s="346" t="s">
        <v>282</v>
      </c>
      <c r="C664" s="347">
        <v>786.59</v>
      </c>
      <c r="D664" s="348">
        <v>46023</v>
      </c>
      <c r="E664" s="348">
        <v>46357</v>
      </c>
      <c r="F664" s="346" t="s">
        <v>632</v>
      </c>
      <c r="G664" s="350" t="s">
        <v>452</v>
      </c>
      <c r="H664" s="351">
        <f t="shared" si="13"/>
        <v>9439.08</v>
      </c>
      <c r="I664" s="120" t="str">
        <f>IF(OR(D664&lt;Capa!$A$5,D664&gt;Capa!$A$7,E664&lt;Capa!$A$5,E664&gt;Capa!$A$7,D664&gt;E664),"Erro","")</f>
        <v/>
      </c>
    </row>
    <row r="665" spans="1:9" ht="45">
      <c r="A665" s="345">
        <v>662</v>
      </c>
      <c r="B665" s="346" t="s">
        <v>282</v>
      </c>
      <c r="C665" s="347">
        <v>832.52</v>
      </c>
      <c r="D665" s="348">
        <v>46388</v>
      </c>
      <c r="E665" s="348">
        <v>46722</v>
      </c>
      <c r="F665" s="346" t="s">
        <v>632</v>
      </c>
      <c r="G665" s="350" t="s">
        <v>452</v>
      </c>
      <c r="H665" s="351">
        <f t="shared" si="13"/>
        <v>9990.24</v>
      </c>
      <c r="I665" s="120" t="str">
        <f>IF(OR(D665&lt;Capa!$A$5,D665&gt;Capa!$A$7,E665&lt;Capa!$A$5,E665&gt;Capa!$A$7,D665&gt;E665),"Erro","")</f>
        <v/>
      </c>
    </row>
    <row r="666" spans="1:9" ht="45">
      <c r="A666" s="345">
        <v>663</v>
      </c>
      <c r="B666" s="346" t="s">
        <v>282</v>
      </c>
      <c r="C666" s="347">
        <v>881.14</v>
      </c>
      <c r="D666" s="348">
        <v>46753</v>
      </c>
      <c r="E666" s="348">
        <v>47058</v>
      </c>
      <c r="F666" s="346" t="s">
        <v>632</v>
      </c>
      <c r="G666" s="350" t="s">
        <v>452</v>
      </c>
      <c r="H666" s="351">
        <f t="shared" si="13"/>
        <v>9692.5399999999991</v>
      </c>
      <c r="I666" s="120" t="str">
        <f>IF(OR(D666&lt;Capa!$A$5,D666&gt;Capa!$A$7,E666&lt;Capa!$A$5,E666&gt;Capa!$A$7,D666&gt;E666),"Erro","")</f>
        <v/>
      </c>
    </row>
    <row r="667" spans="1:9" ht="45">
      <c r="A667" s="345">
        <v>664</v>
      </c>
      <c r="B667" s="346" t="s">
        <v>284</v>
      </c>
      <c r="C667" s="347">
        <v>1013.31</v>
      </c>
      <c r="D667" s="348">
        <v>45261</v>
      </c>
      <c r="E667" s="348">
        <v>45627</v>
      </c>
      <c r="F667" s="346" t="s">
        <v>632</v>
      </c>
      <c r="G667" s="350" t="s">
        <v>452</v>
      </c>
      <c r="H667" s="351">
        <f t="shared" si="13"/>
        <v>13173.029999999999</v>
      </c>
      <c r="I667" s="120" t="str">
        <f>IF(OR(D667&lt;Capa!$A$5,D667&gt;Capa!$A$7,E667&lt;Capa!$A$5,E667&gt;Capa!$A$7,D667&gt;E667),"Erro","")</f>
        <v/>
      </c>
    </row>
    <row r="668" spans="1:9" ht="45">
      <c r="A668" s="345">
        <v>665</v>
      </c>
      <c r="B668" s="346" t="s">
        <v>284</v>
      </c>
      <c r="C668" s="347">
        <v>1072.49</v>
      </c>
      <c r="D668" s="348">
        <v>45658</v>
      </c>
      <c r="E668" s="348">
        <v>45992</v>
      </c>
      <c r="F668" s="346" t="s">
        <v>632</v>
      </c>
      <c r="G668" s="350" t="s">
        <v>452</v>
      </c>
      <c r="H668" s="351">
        <f t="shared" si="13"/>
        <v>12869.880000000001</v>
      </c>
      <c r="I668" s="120" t="str">
        <f>IF(OR(D668&lt;Capa!$A$5,D668&gt;Capa!$A$7,E668&lt;Capa!$A$5,E668&gt;Capa!$A$7,D668&gt;E668),"Erro","")</f>
        <v/>
      </c>
    </row>
    <row r="669" spans="1:9" ht="45">
      <c r="A669" s="345">
        <v>666</v>
      </c>
      <c r="B669" s="346" t="s">
        <v>284</v>
      </c>
      <c r="C669" s="347">
        <v>1135.1199999999999</v>
      </c>
      <c r="D669" s="348">
        <v>46023</v>
      </c>
      <c r="E669" s="348">
        <v>46357</v>
      </c>
      <c r="F669" s="346" t="s">
        <v>632</v>
      </c>
      <c r="G669" s="350" t="s">
        <v>452</v>
      </c>
      <c r="H669" s="351">
        <f t="shared" si="13"/>
        <v>13621.439999999999</v>
      </c>
      <c r="I669" s="120" t="str">
        <f>IF(OR(D669&lt;Capa!$A$5,D669&gt;Capa!$A$7,E669&lt;Capa!$A$5,E669&gt;Capa!$A$7,D669&gt;E669),"Erro","")</f>
        <v/>
      </c>
    </row>
    <row r="670" spans="1:9" ht="45">
      <c r="A670" s="345">
        <v>667</v>
      </c>
      <c r="B670" s="346" t="s">
        <v>284</v>
      </c>
      <c r="C670" s="347">
        <v>1201.42</v>
      </c>
      <c r="D670" s="348">
        <v>46388</v>
      </c>
      <c r="E670" s="348">
        <v>46722</v>
      </c>
      <c r="F670" s="346" t="s">
        <v>632</v>
      </c>
      <c r="G670" s="350" t="s">
        <v>452</v>
      </c>
      <c r="H670" s="351">
        <f t="shared" si="13"/>
        <v>14417.04</v>
      </c>
      <c r="I670" s="120" t="str">
        <f>IF(OR(D670&lt;Capa!$A$5,D670&gt;Capa!$A$7,E670&lt;Capa!$A$5,E670&gt;Capa!$A$7,D670&gt;E670),"Erro","")</f>
        <v/>
      </c>
    </row>
    <row r="671" spans="1:9" ht="45">
      <c r="A671" s="345">
        <v>668</v>
      </c>
      <c r="B671" s="346" t="s">
        <v>284</v>
      </c>
      <c r="C671" s="347">
        <v>1271.58</v>
      </c>
      <c r="D671" s="348">
        <v>46753</v>
      </c>
      <c r="E671" s="348">
        <v>47058</v>
      </c>
      <c r="F671" s="346" t="s">
        <v>632</v>
      </c>
      <c r="G671" s="350" t="s">
        <v>452</v>
      </c>
      <c r="H671" s="351">
        <f t="shared" si="13"/>
        <v>13987.38</v>
      </c>
      <c r="I671" s="120" t="str">
        <f>IF(OR(D671&lt;Capa!$A$5,D671&gt;Capa!$A$7,E671&lt;Capa!$A$5,E671&gt;Capa!$A$7,D671&gt;E671),"Erro","")</f>
        <v/>
      </c>
    </row>
    <row r="672" spans="1:9" ht="45">
      <c r="A672" s="345">
        <v>669</v>
      </c>
      <c r="B672" s="346" t="s">
        <v>286</v>
      </c>
      <c r="C672" s="347">
        <v>1013.31</v>
      </c>
      <c r="D672" s="348">
        <v>45261</v>
      </c>
      <c r="E672" s="348">
        <v>45627</v>
      </c>
      <c r="F672" s="346" t="s">
        <v>632</v>
      </c>
      <c r="G672" s="350" t="s">
        <v>452</v>
      </c>
      <c r="H672" s="351">
        <f t="shared" si="13"/>
        <v>13173.029999999999</v>
      </c>
      <c r="I672" s="120" t="str">
        <f>IF(OR(D672&lt;Capa!$A$5,D672&gt;Capa!$A$7,E672&lt;Capa!$A$5,E672&gt;Capa!$A$7,D672&gt;E672),"Erro","")</f>
        <v/>
      </c>
    </row>
    <row r="673" spans="1:9" ht="45">
      <c r="A673" s="345">
        <v>670</v>
      </c>
      <c r="B673" s="346" t="s">
        <v>286</v>
      </c>
      <c r="C673" s="347">
        <v>1072.49</v>
      </c>
      <c r="D673" s="348">
        <v>45658</v>
      </c>
      <c r="E673" s="348">
        <v>45992</v>
      </c>
      <c r="F673" s="346" t="s">
        <v>632</v>
      </c>
      <c r="G673" s="350" t="s">
        <v>452</v>
      </c>
      <c r="H673" s="351">
        <f t="shared" si="13"/>
        <v>12869.880000000001</v>
      </c>
      <c r="I673" s="120" t="str">
        <f>IF(OR(D673&lt;Capa!$A$5,D673&gt;Capa!$A$7,E673&lt;Capa!$A$5,E673&gt;Capa!$A$7,D673&gt;E673),"Erro","")</f>
        <v/>
      </c>
    </row>
    <row r="674" spans="1:9" ht="45">
      <c r="A674" s="345">
        <v>671</v>
      </c>
      <c r="B674" s="346" t="s">
        <v>286</v>
      </c>
      <c r="C674" s="347">
        <v>1135.1199999999999</v>
      </c>
      <c r="D674" s="348">
        <v>46023</v>
      </c>
      <c r="E674" s="348">
        <v>46357</v>
      </c>
      <c r="F674" s="346" t="s">
        <v>632</v>
      </c>
      <c r="G674" s="350" t="s">
        <v>452</v>
      </c>
      <c r="H674" s="351">
        <f t="shared" si="13"/>
        <v>13621.439999999999</v>
      </c>
      <c r="I674" s="120" t="str">
        <f>IF(OR(D674&lt;Capa!$A$5,D674&gt;Capa!$A$7,E674&lt;Capa!$A$5,E674&gt;Capa!$A$7,D674&gt;E674),"Erro","")</f>
        <v/>
      </c>
    </row>
    <row r="675" spans="1:9" ht="45">
      <c r="A675" s="345">
        <v>672</v>
      </c>
      <c r="B675" s="346" t="s">
        <v>286</v>
      </c>
      <c r="C675" s="347">
        <v>1201.4100000000001</v>
      </c>
      <c r="D675" s="348">
        <v>46388</v>
      </c>
      <c r="E675" s="348">
        <v>46722</v>
      </c>
      <c r="F675" s="346" t="s">
        <v>632</v>
      </c>
      <c r="G675" s="350" t="s">
        <v>452</v>
      </c>
      <c r="H675" s="351">
        <f t="shared" si="13"/>
        <v>14416.920000000002</v>
      </c>
      <c r="I675" s="120" t="str">
        <f>IF(OR(D675&lt;Capa!$A$5,D675&gt;Capa!$A$7,E675&lt;Capa!$A$5,E675&gt;Capa!$A$7,D675&gt;E675),"Erro","")</f>
        <v/>
      </c>
    </row>
    <row r="676" spans="1:9" ht="45">
      <c r="A676" s="345">
        <v>673</v>
      </c>
      <c r="B676" s="346" t="s">
        <v>286</v>
      </c>
      <c r="C676" s="347">
        <v>1271.57</v>
      </c>
      <c r="D676" s="348">
        <v>46753</v>
      </c>
      <c r="E676" s="348">
        <v>47058</v>
      </c>
      <c r="F676" s="346" t="s">
        <v>632</v>
      </c>
      <c r="G676" s="350" t="s">
        <v>452</v>
      </c>
      <c r="H676" s="351">
        <f t="shared" si="13"/>
        <v>13987.269999999999</v>
      </c>
      <c r="I676" s="120" t="str">
        <f>IF(OR(D676&lt;Capa!$A$5,D676&gt;Capa!$A$7,E676&lt;Capa!$A$5,E676&gt;Capa!$A$7,D676&gt;E676),"Erro","")</f>
        <v/>
      </c>
    </row>
    <row r="677" spans="1:9" ht="45">
      <c r="A677" s="345">
        <v>674</v>
      </c>
      <c r="B677" s="346" t="s">
        <v>288</v>
      </c>
      <c r="C677" s="347">
        <v>200</v>
      </c>
      <c r="D677" s="348">
        <v>45261</v>
      </c>
      <c r="E677" s="348">
        <v>45627</v>
      </c>
      <c r="F677" s="346" t="s">
        <v>632</v>
      </c>
      <c r="G677" s="350" t="s">
        <v>453</v>
      </c>
      <c r="H677" s="351">
        <f t="shared" si="13"/>
        <v>2600</v>
      </c>
      <c r="I677" s="120" t="str">
        <f>IF(OR(D677&lt;Capa!$A$5,D677&gt;Capa!$A$7,E677&lt;Capa!$A$5,E677&gt;Capa!$A$7,D677&gt;E677),"Erro","")</f>
        <v/>
      </c>
    </row>
    <row r="678" spans="1:9" ht="45">
      <c r="A678" s="345">
        <v>675</v>
      </c>
      <c r="B678" s="346" t="s">
        <v>288</v>
      </c>
      <c r="C678" s="347">
        <v>200</v>
      </c>
      <c r="D678" s="348">
        <v>45658</v>
      </c>
      <c r="E678" s="348">
        <v>45992</v>
      </c>
      <c r="F678" s="346" t="s">
        <v>632</v>
      </c>
      <c r="G678" s="350" t="s">
        <v>453</v>
      </c>
      <c r="H678" s="351">
        <f t="shared" si="13"/>
        <v>2400</v>
      </c>
      <c r="I678" s="120" t="str">
        <f>IF(OR(D678&lt;Capa!$A$5,D678&gt;Capa!$A$7,E678&lt;Capa!$A$5,E678&gt;Capa!$A$7,D678&gt;E678),"Erro","")</f>
        <v/>
      </c>
    </row>
    <row r="679" spans="1:9" ht="45">
      <c r="A679" s="345">
        <v>676</v>
      </c>
      <c r="B679" s="346" t="s">
        <v>288</v>
      </c>
      <c r="C679" s="347">
        <v>200</v>
      </c>
      <c r="D679" s="348">
        <v>46023</v>
      </c>
      <c r="E679" s="348">
        <v>46357</v>
      </c>
      <c r="F679" s="346" t="s">
        <v>632</v>
      </c>
      <c r="G679" s="350" t="s">
        <v>453</v>
      </c>
      <c r="H679" s="351">
        <f t="shared" si="13"/>
        <v>2400</v>
      </c>
      <c r="I679" s="120" t="str">
        <f>IF(OR(D679&lt;Capa!$A$5,D679&gt;Capa!$A$7,E679&lt;Capa!$A$5,E679&gt;Capa!$A$7,D679&gt;E679),"Erro","")</f>
        <v/>
      </c>
    </row>
    <row r="680" spans="1:9" ht="45">
      <c r="A680" s="345">
        <v>677</v>
      </c>
      <c r="B680" s="346" t="s">
        <v>288</v>
      </c>
      <c r="C680" s="347">
        <v>200</v>
      </c>
      <c r="D680" s="348">
        <v>46388</v>
      </c>
      <c r="E680" s="348">
        <v>46722</v>
      </c>
      <c r="F680" s="346" t="s">
        <v>632</v>
      </c>
      <c r="G680" s="350" t="s">
        <v>453</v>
      </c>
      <c r="H680" s="351">
        <f t="shared" si="13"/>
        <v>2400</v>
      </c>
      <c r="I680" s="120" t="str">
        <f>IF(OR(D680&lt;Capa!$A$5,D680&gt;Capa!$A$7,E680&lt;Capa!$A$5,E680&gt;Capa!$A$7,D680&gt;E680),"Erro","")</f>
        <v/>
      </c>
    </row>
    <row r="681" spans="1:9" ht="45">
      <c r="A681" s="345">
        <v>678</v>
      </c>
      <c r="B681" s="346" t="s">
        <v>288</v>
      </c>
      <c r="C681" s="347">
        <v>200</v>
      </c>
      <c r="D681" s="348">
        <v>46753</v>
      </c>
      <c r="E681" s="348">
        <v>47058</v>
      </c>
      <c r="F681" s="346" t="s">
        <v>632</v>
      </c>
      <c r="G681" s="350" t="s">
        <v>453</v>
      </c>
      <c r="H681" s="351">
        <f t="shared" si="13"/>
        <v>2200</v>
      </c>
      <c r="I681" s="120" t="str">
        <f>IF(OR(D681&lt;Capa!$A$5,D681&gt;Capa!$A$7,E681&lt;Capa!$A$5,E681&gt;Capa!$A$7,D681&gt;E681),"Erro","")</f>
        <v/>
      </c>
    </row>
    <row r="682" spans="1:9" ht="33.75">
      <c r="A682" s="345">
        <v>679</v>
      </c>
      <c r="B682" s="346" t="s">
        <v>294</v>
      </c>
      <c r="C682" s="347">
        <v>7000</v>
      </c>
      <c r="D682" s="348">
        <v>45261</v>
      </c>
      <c r="E682" s="348">
        <v>45627</v>
      </c>
      <c r="F682" s="346" t="s">
        <v>632</v>
      </c>
      <c r="G682" s="350" t="s">
        <v>454</v>
      </c>
      <c r="H682" s="351">
        <f t="shared" si="13"/>
        <v>91000</v>
      </c>
      <c r="I682" s="120" t="str">
        <f>IF(OR(D682&lt;Capa!$A$5,D682&gt;Capa!$A$7,E682&lt;Capa!$A$5,E682&gt;Capa!$A$7,D682&gt;E682),"Erro","")</f>
        <v/>
      </c>
    </row>
    <row r="683" spans="1:9" ht="33.75">
      <c r="A683" s="345">
        <v>680</v>
      </c>
      <c r="B683" s="346" t="s">
        <v>294</v>
      </c>
      <c r="C683" s="347">
        <v>7408.8</v>
      </c>
      <c r="D683" s="348">
        <v>45658</v>
      </c>
      <c r="E683" s="348">
        <v>45992</v>
      </c>
      <c r="F683" s="346" t="s">
        <v>632</v>
      </c>
      <c r="G683" s="350" t="s">
        <v>454</v>
      </c>
      <c r="H683" s="351">
        <f t="shared" si="13"/>
        <v>88905.600000000006</v>
      </c>
      <c r="I683" s="120" t="str">
        <f>IF(OR(D683&lt;Capa!$A$5,D683&gt;Capa!$A$7,E683&lt;Capa!$A$5,E683&gt;Capa!$A$7,D683&gt;E683),"Erro","")</f>
        <v/>
      </c>
    </row>
    <row r="684" spans="1:9" ht="33.75">
      <c r="A684" s="345">
        <v>681</v>
      </c>
      <c r="B684" s="346" t="s">
        <v>294</v>
      </c>
      <c r="C684" s="347">
        <v>7847.65</v>
      </c>
      <c r="D684" s="348">
        <v>46023</v>
      </c>
      <c r="E684" s="348">
        <v>46357</v>
      </c>
      <c r="F684" s="346" t="s">
        <v>632</v>
      </c>
      <c r="G684" s="350" t="s">
        <v>454</v>
      </c>
      <c r="H684" s="351">
        <f t="shared" si="13"/>
        <v>94171.799999999988</v>
      </c>
      <c r="I684" s="120" t="str">
        <f>IF(OR(D684&lt;Capa!$A$5,D684&gt;Capa!$A$7,E684&lt;Capa!$A$5,E684&gt;Capa!$A$7,D684&gt;E684),"Erro","")</f>
        <v/>
      </c>
    </row>
    <row r="685" spans="1:9" ht="33.75">
      <c r="A685" s="345">
        <v>682</v>
      </c>
      <c r="B685" s="346" t="s">
        <v>294</v>
      </c>
      <c r="C685" s="347">
        <v>8305.9500000000007</v>
      </c>
      <c r="D685" s="348">
        <v>46388</v>
      </c>
      <c r="E685" s="348">
        <v>46722</v>
      </c>
      <c r="F685" s="346" t="s">
        <v>632</v>
      </c>
      <c r="G685" s="350" t="s">
        <v>454</v>
      </c>
      <c r="H685" s="351">
        <f t="shared" si="13"/>
        <v>99671.400000000009</v>
      </c>
      <c r="I685" s="120" t="str">
        <f>IF(OR(D685&lt;Capa!$A$5,D685&gt;Capa!$A$7,E685&lt;Capa!$A$5,E685&gt;Capa!$A$7,D685&gt;E685),"Erro","")</f>
        <v/>
      </c>
    </row>
    <row r="686" spans="1:9" ht="33.75">
      <c r="A686" s="345">
        <v>683</v>
      </c>
      <c r="B686" s="346" t="s">
        <v>294</v>
      </c>
      <c r="C686" s="347">
        <v>8791.02</v>
      </c>
      <c r="D686" s="348">
        <v>46753</v>
      </c>
      <c r="E686" s="348">
        <v>47058</v>
      </c>
      <c r="F686" s="346" t="s">
        <v>632</v>
      </c>
      <c r="G686" s="350" t="s">
        <v>454</v>
      </c>
      <c r="H686" s="351">
        <f t="shared" si="13"/>
        <v>96701.22</v>
      </c>
      <c r="I686" s="120" t="str">
        <f>IF(OR(D686&lt;Capa!$A$5,D686&gt;Capa!$A$7,E686&lt;Capa!$A$5,E686&gt;Capa!$A$7,D686&gt;E686),"Erro","")</f>
        <v/>
      </c>
    </row>
    <row r="687" spans="1:9" ht="22.5">
      <c r="A687" s="345">
        <v>684</v>
      </c>
      <c r="B687" s="346" t="s">
        <v>302</v>
      </c>
      <c r="C687" s="347">
        <v>500</v>
      </c>
      <c r="D687" s="348">
        <v>45261</v>
      </c>
      <c r="E687" s="348">
        <v>45627</v>
      </c>
      <c r="F687" s="346" t="s">
        <v>632</v>
      </c>
      <c r="G687" s="350" t="s">
        <v>455</v>
      </c>
      <c r="H687" s="351">
        <f t="shared" si="13"/>
        <v>6500</v>
      </c>
      <c r="I687" s="120" t="str">
        <f>IF(OR(D687&lt;Capa!$A$5,D687&gt;Capa!$A$7,E687&lt;Capa!$A$5,E687&gt;Capa!$A$7,D687&gt;E687),"Erro","")</f>
        <v/>
      </c>
    </row>
    <row r="688" spans="1:9" ht="22.5">
      <c r="A688" s="345">
        <v>685</v>
      </c>
      <c r="B688" s="346" t="s">
        <v>302</v>
      </c>
      <c r="C688" s="347">
        <v>210</v>
      </c>
      <c r="D688" s="348">
        <v>45658</v>
      </c>
      <c r="E688" s="348">
        <v>45992</v>
      </c>
      <c r="F688" s="346" t="s">
        <v>632</v>
      </c>
      <c r="G688" s="350" t="s">
        <v>455</v>
      </c>
      <c r="H688" s="351">
        <f t="shared" si="13"/>
        <v>2520</v>
      </c>
      <c r="I688" s="120" t="str">
        <f>IF(OR(D688&lt;Capa!$A$5,D688&gt;Capa!$A$7,E688&lt;Capa!$A$5,E688&gt;Capa!$A$7,D688&gt;E688),"Erro","")</f>
        <v/>
      </c>
    </row>
    <row r="689" spans="1:9" ht="22.5">
      <c r="A689" s="345">
        <v>686</v>
      </c>
      <c r="B689" s="346" t="s">
        <v>302</v>
      </c>
      <c r="C689" s="347">
        <v>210</v>
      </c>
      <c r="D689" s="348">
        <v>46023</v>
      </c>
      <c r="E689" s="348">
        <v>46357</v>
      </c>
      <c r="F689" s="346" t="s">
        <v>632</v>
      </c>
      <c r="G689" s="350" t="s">
        <v>455</v>
      </c>
      <c r="H689" s="351">
        <f t="shared" si="13"/>
        <v>2520</v>
      </c>
      <c r="I689" s="120" t="str">
        <f>IF(OR(D689&lt;Capa!$A$5,D689&gt;Capa!$A$7,E689&lt;Capa!$A$5,E689&gt;Capa!$A$7,D689&gt;E689),"Erro","")</f>
        <v/>
      </c>
    </row>
    <row r="690" spans="1:9" ht="22.5">
      <c r="A690" s="345">
        <v>687</v>
      </c>
      <c r="B690" s="346" t="s">
        <v>302</v>
      </c>
      <c r="C690" s="347">
        <v>210</v>
      </c>
      <c r="D690" s="348">
        <v>46388</v>
      </c>
      <c r="E690" s="348">
        <v>46722</v>
      </c>
      <c r="F690" s="346" t="s">
        <v>632</v>
      </c>
      <c r="G690" s="350" t="s">
        <v>455</v>
      </c>
      <c r="H690" s="351">
        <f t="shared" si="13"/>
        <v>2520</v>
      </c>
      <c r="I690" s="120" t="str">
        <f>IF(OR(D690&lt;Capa!$A$5,D690&gt;Capa!$A$7,E690&lt;Capa!$A$5,E690&gt;Capa!$A$7,D690&gt;E690),"Erro","")</f>
        <v/>
      </c>
    </row>
    <row r="691" spans="1:9" ht="22.5">
      <c r="A691" s="345">
        <v>688</v>
      </c>
      <c r="B691" s="346" t="s">
        <v>302</v>
      </c>
      <c r="C691" s="347">
        <v>210</v>
      </c>
      <c r="D691" s="348">
        <v>46753</v>
      </c>
      <c r="E691" s="348">
        <v>47058</v>
      </c>
      <c r="F691" s="346" t="s">
        <v>632</v>
      </c>
      <c r="G691" s="350" t="s">
        <v>455</v>
      </c>
      <c r="H691" s="351">
        <f t="shared" si="13"/>
        <v>2310</v>
      </c>
      <c r="I691" s="120" t="str">
        <f>IF(OR(D691&lt;Capa!$A$5,D691&gt;Capa!$A$7,E691&lt;Capa!$A$5,E691&gt;Capa!$A$7,D691&gt;E691),"Erro","")</f>
        <v/>
      </c>
    </row>
    <row r="692" spans="1:9" ht="33.75">
      <c r="A692" s="345">
        <v>689</v>
      </c>
      <c r="B692" s="346" t="s">
        <v>304</v>
      </c>
      <c r="C692" s="347">
        <v>1800</v>
      </c>
      <c r="D692" s="348">
        <v>45261</v>
      </c>
      <c r="E692" s="348">
        <v>45627</v>
      </c>
      <c r="F692" s="346" t="s">
        <v>632</v>
      </c>
      <c r="G692" s="350" t="s">
        <v>456</v>
      </c>
      <c r="H692" s="351">
        <f t="shared" si="13"/>
        <v>23400</v>
      </c>
      <c r="I692" s="120" t="str">
        <f>IF(OR(D692&lt;Capa!$A$5,D692&gt;Capa!$A$7,E692&lt;Capa!$A$5,E692&gt;Capa!$A$7,D692&gt;E692),"Erro","")</f>
        <v/>
      </c>
    </row>
    <row r="693" spans="1:9" ht="33.75">
      <c r="A693" s="345">
        <v>690</v>
      </c>
      <c r="B693" s="346" t="s">
        <v>304</v>
      </c>
      <c r="C693" s="347">
        <v>1905.12</v>
      </c>
      <c r="D693" s="348">
        <v>45658</v>
      </c>
      <c r="E693" s="348">
        <v>45992</v>
      </c>
      <c r="F693" s="346" t="s">
        <v>632</v>
      </c>
      <c r="G693" s="350" t="s">
        <v>456</v>
      </c>
      <c r="H693" s="351">
        <f t="shared" si="13"/>
        <v>22861.439999999999</v>
      </c>
      <c r="I693" s="120" t="str">
        <f>IF(OR(D693&lt;Capa!$A$5,D693&gt;Capa!$A$7,E693&lt;Capa!$A$5,E693&gt;Capa!$A$7,D693&gt;E693),"Erro","")</f>
        <v/>
      </c>
    </row>
    <row r="694" spans="1:9" ht="33.75">
      <c r="A694" s="345">
        <v>691</v>
      </c>
      <c r="B694" s="346" t="s">
        <v>304</v>
      </c>
      <c r="C694" s="347">
        <v>2016.37</v>
      </c>
      <c r="D694" s="348">
        <v>46023</v>
      </c>
      <c r="E694" s="348">
        <v>46357</v>
      </c>
      <c r="F694" s="346" t="s">
        <v>632</v>
      </c>
      <c r="G694" s="350" t="s">
        <v>456</v>
      </c>
      <c r="H694" s="351">
        <f t="shared" si="13"/>
        <v>24196.44</v>
      </c>
      <c r="I694" s="120" t="str">
        <f>IF(OR(D694&lt;Capa!$A$5,D694&gt;Capa!$A$7,E694&lt;Capa!$A$5,E694&gt;Capa!$A$7,D694&gt;E694),"Erro","")</f>
        <v/>
      </c>
    </row>
    <row r="695" spans="1:9" ht="33.75">
      <c r="A695" s="345">
        <v>692</v>
      </c>
      <c r="B695" s="346" t="s">
        <v>304</v>
      </c>
      <c r="C695" s="347">
        <v>2134.13</v>
      </c>
      <c r="D695" s="348">
        <v>46388</v>
      </c>
      <c r="E695" s="348">
        <v>46722</v>
      </c>
      <c r="F695" s="346" t="s">
        <v>632</v>
      </c>
      <c r="G695" s="350" t="s">
        <v>456</v>
      </c>
      <c r="H695" s="351">
        <f t="shared" si="13"/>
        <v>25609.56</v>
      </c>
      <c r="I695" s="120" t="str">
        <f>IF(OR(D695&lt;Capa!$A$5,D695&gt;Capa!$A$7,E695&lt;Capa!$A$5,E695&gt;Capa!$A$7,D695&gt;E695),"Erro","")</f>
        <v/>
      </c>
    </row>
    <row r="696" spans="1:9" ht="33.75">
      <c r="A696" s="345">
        <v>693</v>
      </c>
      <c r="B696" s="346" t="s">
        <v>304</v>
      </c>
      <c r="C696" s="347">
        <v>2258.7600000000002</v>
      </c>
      <c r="D696" s="348">
        <v>46753</v>
      </c>
      <c r="E696" s="348">
        <v>47058</v>
      </c>
      <c r="F696" s="346" t="s">
        <v>632</v>
      </c>
      <c r="G696" s="350" t="s">
        <v>456</v>
      </c>
      <c r="H696" s="351">
        <f t="shared" si="13"/>
        <v>24846.36</v>
      </c>
      <c r="I696" s="120" t="str">
        <f>IF(OR(D696&lt;Capa!$A$5,D696&gt;Capa!$A$7,E696&lt;Capa!$A$5,E696&gt;Capa!$A$7,D696&gt;E696),"Erro","")</f>
        <v/>
      </c>
    </row>
    <row r="697" spans="1:9" ht="33.75">
      <c r="A697" s="345">
        <v>694</v>
      </c>
      <c r="B697" s="346" t="s">
        <v>312</v>
      </c>
      <c r="C697" s="347">
        <v>280</v>
      </c>
      <c r="D697" s="348">
        <v>45658</v>
      </c>
      <c r="E697" s="348">
        <v>45992</v>
      </c>
      <c r="F697" s="346" t="s">
        <v>632</v>
      </c>
      <c r="G697" s="350" t="s">
        <v>593</v>
      </c>
      <c r="H697" s="351">
        <f t="shared" si="13"/>
        <v>3360</v>
      </c>
      <c r="I697" s="120" t="str">
        <f>IF(OR(D697&lt;Capa!$A$5,D697&gt;Capa!$A$7,E697&lt;Capa!$A$5,E697&gt;Capa!$A$7,D697&gt;E697),"Erro","")</f>
        <v/>
      </c>
    </row>
    <row r="698" spans="1:9" ht="33.75">
      <c r="A698" s="345">
        <v>695</v>
      </c>
      <c r="B698" s="346" t="s">
        <v>312</v>
      </c>
      <c r="C698" s="347">
        <v>280</v>
      </c>
      <c r="D698" s="348">
        <v>46023</v>
      </c>
      <c r="E698" s="348">
        <v>46357</v>
      </c>
      <c r="F698" s="346" t="s">
        <v>632</v>
      </c>
      <c r="G698" s="350" t="s">
        <v>593</v>
      </c>
      <c r="H698" s="351">
        <f t="shared" ref="H698:H780" si="14">IFERROR((DATEDIF(D698,E698,"M")+1)*C698,0)</f>
        <v>3360</v>
      </c>
      <c r="I698" s="120" t="str">
        <f>IF(OR(D698&lt;Capa!$A$5,D698&gt;Capa!$A$7,E698&lt;Capa!$A$5,E698&gt;Capa!$A$7,D698&gt;E698),"Erro","")</f>
        <v/>
      </c>
    </row>
    <row r="699" spans="1:9" ht="33.75">
      <c r="A699" s="345">
        <v>696</v>
      </c>
      <c r="B699" s="346" t="s">
        <v>312</v>
      </c>
      <c r="C699" s="347">
        <v>280</v>
      </c>
      <c r="D699" s="348">
        <v>46388</v>
      </c>
      <c r="E699" s="348">
        <v>46722</v>
      </c>
      <c r="F699" s="346" t="s">
        <v>632</v>
      </c>
      <c r="G699" s="350" t="s">
        <v>593</v>
      </c>
      <c r="H699" s="351">
        <f t="shared" si="14"/>
        <v>3360</v>
      </c>
      <c r="I699" s="120" t="str">
        <f>IF(OR(D699&lt;Capa!$A$5,D699&gt;Capa!$A$7,E699&lt;Capa!$A$5,E699&gt;Capa!$A$7,D699&gt;E699),"Erro","")</f>
        <v/>
      </c>
    </row>
    <row r="700" spans="1:9" ht="33.75">
      <c r="A700" s="345">
        <v>697</v>
      </c>
      <c r="B700" s="346" t="s">
        <v>312</v>
      </c>
      <c r="C700" s="347">
        <v>280</v>
      </c>
      <c r="D700" s="348">
        <v>46753</v>
      </c>
      <c r="E700" s="348">
        <v>47058</v>
      </c>
      <c r="F700" s="346" t="s">
        <v>632</v>
      </c>
      <c r="G700" s="350" t="s">
        <v>593</v>
      </c>
      <c r="H700" s="351">
        <f t="shared" si="14"/>
        <v>3080</v>
      </c>
      <c r="I700" s="120" t="str">
        <f>IF(OR(D700&lt;Capa!$A$5,D700&gt;Capa!$A$7,E700&lt;Capa!$A$5,E700&gt;Capa!$A$7,D700&gt;E700),"Erro","")</f>
        <v/>
      </c>
    </row>
    <row r="701" spans="1:9" ht="67.5">
      <c r="A701" s="345">
        <v>698</v>
      </c>
      <c r="B701" s="346" t="s">
        <v>316</v>
      </c>
      <c r="C701" s="347">
        <v>1800</v>
      </c>
      <c r="D701" s="348">
        <v>45261</v>
      </c>
      <c r="E701" s="348">
        <v>45627</v>
      </c>
      <c r="F701" s="346" t="s">
        <v>632</v>
      </c>
      <c r="G701" s="350" t="s">
        <v>457</v>
      </c>
      <c r="H701" s="351">
        <f t="shared" si="14"/>
        <v>23400</v>
      </c>
      <c r="I701" s="120" t="str">
        <f>IF(OR(D701&lt;Capa!$A$5,D701&gt;Capa!$A$7,E701&lt;Capa!$A$5,E701&gt;Capa!$A$7,D701&gt;E701),"Erro","")</f>
        <v/>
      </c>
    </row>
    <row r="702" spans="1:9" ht="67.5">
      <c r="A702" s="345">
        <v>699</v>
      </c>
      <c r="B702" s="346" t="s">
        <v>316</v>
      </c>
      <c r="C702" s="347">
        <v>1800</v>
      </c>
      <c r="D702" s="348">
        <v>45658</v>
      </c>
      <c r="E702" s="348">
        <v>45992</v>
      </c>
      <c r="F702" s="346" t="s">
        <v>632</v>
      </c>
      <c r="G702" s="350" t="s">
        <v>457</v>
      </c>
      <c r="H702" s="351">
        <f t="shared" si="14"/>
        <v>21600</v>
      </c>
      <c r="I702" s="120" t="str">
        <f>IF(OR(D702&lt;Capa!$A$5,D702&gt;Capa!$A$7,E702&lt;Capa!$A$5,E702&gt;Capa!$A$7,D702&gt;E702),"Erro","")</f>
        <v/>
      </c>
    </row>
    <row r="703" spans="1:9" ht="67.5">
      <c r="A703" s="345">
        <v>700</v>
      </c>
      <c r="B703" s="346" t="s">
        <v>316</v>
      </c>
      <c r="C703" s="347">
        <v>1800</v>
      </c>
      <c r="D703" s="348">
        <v>46023</v>
      </c>
      <c r="E703" s="348">
        <v>46357</v>
      </c>
      <c r="F703" s="346" t="s">
        <v>632</v>
      </c>
      <c r="G703" s="350" t="s">
        <v>457</v>
      </c>
      <c r="H703" s="351">
        <f t="shared" si="14"/>
        <v>21600</v>
      </c>
      <c r="I703" s="120" t="str">
        <f>IF(OR(D703&lt;Capa!$A$5,D703&gt;Capa!$A$7,E703&lt;Capa!$A$5,E703&gt;Capa!$A$7,D703&gt;E703),"Erro","")</f>
        <v/>
      </c>
    </row>
    <row r="704" spans="1:9" ht="67.5">
      <c r="A704" s="345">
        <v>701</v>
      </c>
      <c r="B704" s="346" t="s">
        <v>316</v>
      </c>
      <c r="C704" s="347">
        <v>1800</v>
      </c>
      <c r="D704" s="348">
        <v>46388</v>
      </c>
      <c r="E704" s="348">
        <v>46722</v>
      </c>
      <c r="F704" s="346" t="s">
        <v>632</v>
      </c>
      <c r="G704" s="350" t="s">
        <v>457</v>
      </c>
      <c r="H704" s="351">
        <f t="shared" si="14"/>
        <v>21600</v>
      </c>
      <c r="I704" s="120" t="str">
        <f>IF(OR(D704&lt;Capa!$A$5,D704&gt;Capa!$A$7,E704&lt;Capa!$A$5,E704&gt;Capa!$A$7,D704&gt;E704),"Erro","")</f>
        <v/>
      </c>
    </row>
    <row r="705" spans="1:9" ht="67.5">
      <c r="A705" s="345">
        <v>702</v>
      </c>
      <c r="B705" s="346" t="s">
        <v>316</v>
      </c>
      <c r="C705" s="347">
        <v>1800</v>
      </c>
      <c r="D705" s="348">
        <v>46753</v>
      </c>
      <c r="E705" s="348">
        <v>47058</v>
      </c>
      <c r="F705" s="346" t="s">
        <v>632</v>
      </c>
      <c r="G705" s="350" t="s">
        <v>457</v>
      </c>
      <c r="H705" s="351">
        <f t="shared" si="14"/>
        <v>19800</v>
      </c>
      <c r="I705" s="120" t="str">
        <f>IF(OR(D705&lt;Capa!$A$5,D705&gt;Capa!$A$7,E705&lt;Capa!$A$5,E705&gt;Capa!$A$7,D705&gt;E705),"Erro","")</f>
        <v/>
      </c>
    </row>
    <row r="706" spans="1:9" ht="56.25">
      <c r="A706" s="345">
        <v>703</v>
      </c>
      <c r="B706" s="346" t="s">
        <v>318</v>
      </c>
      <c r="C706" s="347">
        <v>1800</v>
      </c>
      <c r="D706" s="348">
        <v>45261</v>
      </c>
      <c r="E706" s="348">
        <v>45627</v>
      </c>
      <c r="F706" s="346" t="s">
        <v>632</v>
      </c>
      <c r="G706" s="350" t="s">
        <v>594</v>
      </c>
      <c r="H706" s="351">
        <f t="shared" si="14"/>
        <v>23400</v>
      </c>
      <c r="I706" s="120" t="str">
        <f>IF(OR(D706&lt;Capa!$A$5,D706&gt;Capa!$A$7,E706&lt;Capa!$A$5,E706&gt;Capa!$A$7,D706&gt;E706),"Erro","")</f>
        <v/>
      </c>
    </row>
    <row r="707" spans="1:9" ht="56.25">
      <c r="A707" s="345">
        <v>704</v>
      </c>
      <c r="B707" s="346" t="s">
        <v>318</v>
      </c>
      <c r="C707" s="347">
        <v>1500</v>
      </c>
      <c r="D707" s="348">
        <v>45658</v>
      </c>
      <c r="E707" s="348">
        <v>45992</v>
      </c>
      <c r="F707" s="346" t="s">
        <v>632</v>
      </c>
      <c r="G707" s="350" t="s">
        <v>594</v>
      </c>
      <c r="H707" s="351">
        <f t="shared" si="14"/>
        <v>18000</v>
      </c>
      <c r="I707" s="120" t="str">
        <f>IF(OR(D707&lt;Capa!$A$5,D707&gt;Capa!$A$7,E707&lt;Capa!$A$5,E707&gt;Capa!$A$7,D707&gt;E707),"Erro","")</f>
        <v/>
      </c>
    </row>
    <row r="708" spans="1:9" ht="56.25">
      <c r="A708" s="345">
        <v>705</v>
      </c>
      <c r="B708" s="346" t="s">
        <v>318</v>
      </c>
      <c r="C708" s="347">
        <v>1500</v>
      </c>
      <c r="D708" s="348">
        <v>46023</v>
      </c>
      <c r="E708" s="348">
        <v>46357</v>
      </c>
      <c r="F708" s="346" t="s">
        <v>632</v>
      </c>
      <c r="G708" s="350" t="s">
        <v>594</v>
      </c>
      <c r="H708" s="351">
        <f t="shared" si="14"/>
        <v>18000</v>
      </c>
      <c r="I708" s="120" t="str">
        <f>IF(OR(D708&lt;Capa!$A$5,D708&gt;Capa!$A$7,E708&lt;Capa!$A$5,E708&gt;Capa!$A$7,D708&gt;E708),"Erro","")</f>
        <v/>
      </c>
    </row>
    <row r="709" spans="1:9" ht="56.25">
      <c r="A709" s="345">
        <v>706</v>
      </c>
      <c r="B709" s="346" t="s">
        <v>318</v>
      </c>
      <c r="C709" s="347">
        <v>1500</v>
      </c>
      <c r="D709" s="348">
        <v>46388</v>
      </c>
      <c r="E709" s="348">
        <v>46722</v>
      </c>
      <c r="F709" s="346" t="s">
        <v>632</v>
      </c>
      <c r="G709" s="350" t="s">
        <v>594</v>
      </c>
      <c r="H709" s="351">
        <f t="shared" si="14"/>
        <v>18000</v>
      </c>
      <c r="I709" s="120" t="str">
        <f>IF(OR(D709&lt;Capa!$A$5,D709&gt;Capa!$A$7,E709&lt;Capa!$A$5,E709&gt;Capa!$A$7,D709&gt;E709),"Erro","")</f>
        <v/>
      </c>
    </row>
    <row r="710" spans="1:9" ht="56.25">
      <c r="A710" s="345">
        <v>707</v>
      </c>
      <c r="B710" s="346" t="s">
        <v>318</v>
      </c>
      <c r="C710" s="347">
        <v>1500</v>
      </c>
      <c r="D710" s="348">
        <v>46753</v>
      </c>
      <c r="E710" s="348">
        <v>47058</v>
      </c>
      <c r="F710" s="346" t="s">
        <v>632</v>
      </c>
      <c r="G710" s="350" t="s">
        <v>594</v>
      </c>
      <c r="H710" s="351">
        <f t="shared" si="14"/>
        <v>16500</v>
      </c>
      <c r="I710" s="120" t="str">
        <f>IF(OR(D710&lt;Capa!$A$5,D710&gt;Capa!$A$7,E710&lt;Capa!$A$5,E710&gt;Capa!$A$7,D710&gt;E710),"Erro","")</f>
        <v/>
      </c>
    </row>
    <row r="711" spans="1:9" ht="67.5">
      <c r="A711" s="345">
        <v>708</v>
      </c>
      <c r="B711" s="346" t="s">
        <v>318</v>
      </c>
      <c r="C711" s="347">
        <v>1800</v>
      </c>
      <c r="D711" s="348">
        <v>45261</v>
      </c>
      <c r="E711" s="348">
        <v>45627</v>
      </c>
      <c r="F711" s="346" t="s">
        <v>632</v>
      </c>
      <c r="G711" s="350" t="s">
        <v>457</v>
      </c>
      <c r="H711" s="351">
        <f t="shared" si="14"/>
        <v>23400</v>
      </c>
      <c r="I711" s="120" t="str">
        <f>IF(OR(D711&lt;Capa!$A$5,D711&gt;Capa!$A$7,E711&lt;Capa!$A$5,E711&gt;Capa!$A$7,D711&gt;E711),"Erro","")</f>
        <v/>
      </c>
    </row>
    <row r="712" spans="1:9" ht="67.5">
      <c r="A712" s="345">
        <v>709</v>
      </c>
      <c r="B712" s="346" t="s">
        <v>318</v>
      </c>
      <c r="C712" s="347">
        <v>1500</v>
      </c>
      <c r="D712" s="348">
        <v>45658</v>
      </c>
      <c r="E712" s="348">
        <v>45992</v>
      </c>
      <c r="F712" s="346" t="s">
        <v>632</v>
      </c>
      <c r="G712" s="350" t="s">
        <v>457</v>
      </c>
      <c r="H712" s="351">
        <f t="shared" si="14"/>
        <v>18000</v>
      </c>
      <c r="I712" s="120" t="str">
        <f>IF(OR(D712&lt;Capa!$A$5,D712&gt;Capa!$A$7,E712&lt;Capa!$A$5,E712&gt;Capa!$A$7,D712&gt;E712),"Erro","")</f>
        <v/>
      </c>
    </row>
    <row r="713" spans="1:9" ht="67.5">
      <c r="A713" s="345">
        <v>710</v>
      </c>
      <c r="B713" s="346" t="s">
        <v>318</v>
      </c>
      <c r="C713" s="347">
        <v>1500</v>
      </c>
      <c r="D713" s="348">
        <v>46023</v>
      </c>
      <c r="E713" s="348">
        <v>46357</v>
      </c>
      <c r="F713" s="346" t="s">
        <v>632</v>
      </c>
      <c r="G713" s="350" t="s">
        <v>457</v>
      </c>
      <c r="H713" s="351">
        <f t="shared" si="14"/>
        <v>18000</v>
      </c>
      <c r="I713" s="120" t="str">
        <f>IF(OR(D713&lt;Capa!$A$5,D713&gt;Capa!$A$7,E713&lt;Capa!$A$5,E713&gt;Capa!$A$7,D713&gt;E713),"Erro","")</f>
        <v/>
      </c>
    </row>
    <row r="714" spans="1:9" ht="67.5">
      <c r="A714" s="345">
        <v>711</v>
      </c>
      <c r="B714" s="346" t="s">
        <v>318</v>
      </c>
      <c r="C714" s="347">
        <v>1500</v>
      </c>
      <c r="D714" s="348">
        <v>46388</v>
      </c>
      <c r="E714" s="348">
        <v>46722</v>
      </c>
      <c r="F714" s="346" t="s">
        <v>632</v>
      </c>
      <c r="G714" s="350" t="s">
        <v>457</v>
      </c>
      <c r="H714" s="351">
        <f t="shared" si="14"/>
        <v>18000</v>
      </c>
      <c r="I714" s="120" t="str">
        <f>IF(OR(D714&lt;Capa!$A$5,D714&gt;Capa!$A$7,E714&lt;Capa!$A$5,E714&gt;Capa!$A$7,D714&gt;E714),"Erro","")</f>
        <v/>
      </c>
    </row>
    <row r="715" spans="1:9" ht="67.5">
      <c r="A715" s="345">
        <v>712</v>
      </c>
      <c r="B715" s="346" t="s">
        <v>318</v>
      </c>
      <c r="C715" s="347">
        <v>1500</v>
      </c>
      <c r="D715" s="348">
        <v>46753</v>
      </c>
      <c r="E715" s="348">
        <v>47058</v>
      </c>
      <c r="F715" s="346" t="s">
        <v>632</v>
      </c>
      <c r="G715" s="350" t="s">
        <v>457</v>
      </c>
      <c r="H715" s="351">
        <f t="shared" si="14"/>
        <v>16500</v>
      </c>
      <c r="I715" s="120" t="str">
        <f>IF(OR(D715&lt;Capa!$A$5,D715&gt;Capa!$A$7,E715&lt;Capa!$A$5,E715&gt;Capa!$A$7,D715&gt;E715),"Erro","")</f>
        <v/>
      </c>
    </row>
    <row r="716" spans="1:9" ht="22.5">
      <c r="A716" s="345">
        <v>713</v>
      </c>
      <c r="B716" s="346" t="s">
        <v>298</v>
      </c>
      <c r="C716" s="347">
        <v>2500</v>
      </c>
      <c r="D716" s="348">
        <v>45261</v>
      </c>
      <c r="E716" s="348">
        <v>45627</v>
      </c>
      <c r="F716" s="346" t="s">
        <v>632</v>
      </c>
      <c r="G716" s="350" t="s">
        <v>458</v>
      </c>
      <c r="H716" s="351">
        <f t="shared" si="14"/>
        <v>32500</v>
      </c>
      <c r="I716" s="120" t="str">
        <f>IF(OR(D716&lt;Capa!$A$5,D716&gt;Capa!$A$7,E716&lt;Capa!$A$5,E716&gt;Capa!$A$7,D716&gt;E716),"Erro","")</f>
        <v/>
      </c>
    </row>
    <row r="717" spans="1:9" ht="22.5">
      <c r="A717" s="345">
        <v>714</v>
      </c>
      <c r="B717" s="346" t="s">
        <v>298</v>
      </c>
      <c r="C717" s="347">
        <v>2646</v>
      </c>
      <c r="D717" s="348">
        <v>45658</v>
      </c>
      <c r="E717" s="348">
        <v>45992</v>
      </c>
      <c r="F717" s="346" t="s">
        <v>632</v>
      </c>
      <c r="G717" s="350" t="s">
        <v>458</v>
      </c>
      <c r="H717" s="351">
        <f t="shared" si="14"/>
        <v>31752</v>
      </c>
      <c r="I717" s="120" t="str">
        <f>IF(OR(D717&lt;Capa!$A$5,D717&gt;Capa!$A$7,E717&lt;Capa!$A$5,E717&gt;Capa!$A$7,D717&gt;E717),"Erro","")</f>
        <v/>
      </c>
    </row>
    <row r="718" spans="1:9" ht="22.5">
      <c r="A718" s="345">
        <v>715</v>
      </c>
      <c r="B718" s="346" t="s">
        <v>298</v>
      </c>
      <c r="C718" s="347">
        <v>2800.52</v>
      </c>
      <c r="D718" s="348">
        <v>46023</v>
      </c>
      <c r="E718" s="348">
        <v>46357</v>
      </c>
      <c r="F718" s="346" t="s">
        <v>632</v>
      </c>
      <c r="G718" s="350" t="s">
        <v>458</v>
      </c>
      <c r="H718" s="351">
        <f t="shared" si="14"/>
        <v>33606.239999999998</v>
      </c>
      <c r="I718" s="120" t="str">
        <f>IF(OR(D718&lt;Capa!$A$5,D718&gt;Capa!$A$7,E718&lt;Capa!$A$5,E718&gt;Capa!$A$7,D718&gt;E718),"Erro","")</f>
        <v/>
      </c>
    </row>
    <row r="719" spans="1:9" ht="22.5">
      <c r="A719" s="345">
        <v>716</v>
      </c>
      <c r="B719" s="346" t="s">
        <v>298</v>
      </c>
      <c r="C719" s="347">
        <v>2964.07</v>
      </c>
      <c r="D719" s="348">
        <v>46388</v>
      </c>
      <c r="E719" s="348">
        <v>46722</v>
      </c>
      <c r="F719" s="346" t="s">
        <v>632</v>
      </c>
      <c r="G719" s="350" t="s">
        <v>458</v>
      </c>
      <c r="H719" s="351">
        <f t="shared" si="14"/>
        <v>35568.840000000004</v>
      </c>
      <c r="I719" s="120" t="str">
        <f>IF(OR(D719&lt;Capa!$A$5,D719&gt;Capa!$A$7,E719&lt;Capa!$A$5,E719&gt;Capa!$A$7,D719&gt;E719),"Erro","")</f>
        <v/>
      </c>
    </row>
    <row r="720" spans="1:9" ht="22.5">
      <c r="A720" s="345">
        <v>717</v>
      </c>
      <c r="B720" s="346" t="s">
        <v>298</v>
      </c>
      <c r="C720" s="347">
        <v>3137.17</v>
      </c>
      <c r="D720" s="348">
        <v>46753</v>
      </c>
      <c r="E720" s="348">
        <v>47058</v>
      </c>
      <c r="F720" s="346" t="s">
        <v>632</v>
      </c>
      <c r="G720" s="350" t="s">
        <v>458</v>
      </c>
      <c r="H720" s="351">
        <f t="shared" si="14"/>
        <v>34508.870000000003</v>
      </c>
      <c r="I720" s="120" t="str">
        <f>IF(OR(D720&lt;Capa!$A$5,D720&gt;Capa!$A$7,E720&lt;Capa!$A$5,E720&gt;Capa!$A$7,D720&gt;E720),"Erro","")</f>
        <v/>
      </c>
    </row>
    <row r="721" spans="1:9" ht="33.75">
      <c r="A721" s="345">
        <v>718</v>
      </c>
      <c r="B721" s="346" t="s">
        <v>238</v>
      </c>
      <c r="C721" s="347">
        <v>370.44</v>
      </c>
      <c r="D721" s="348">
        <v>45658</v>
      </c>
      <c r="E721" s="348">
        <v>45992</v>
      </c>
      <c r="F721" s="346" t="s">
        <v>632</v>
      </c>
      <c r="G721" s="350" t="s">
        <v>459</v>
      </c>
      <c r="H721" s="351">
        <f t="shared" si="14"/>
        <v>4445.28</v>
      </c>
      <c r="I721" s="120" t="str">
        <f>IF(OR(D721&lt;Capa!$A$5,D721&gt;Capa!$A$7,E721&lt;Capa!$A$5,E721&gt;Capa!$A$7,D721&gt;E721),"Erro","")</f>
        <v/>
      </c>
    </row>
    <row r="722" spans="1:9" ht="33.75">
      <c r="A722" s="345">
        <v>719</v>
      </c>
      <c r="B722" s="346" t="s">
        <v>238</v>
      </c>
      <c r="C722" s="347">
        <v>392.07</v>
      </c>
      <c r="D722" s="348">
        <v>46023</v>
      </c>
      <c r="E722" s="348">
        <v>46357</v>
      </c>
      <c r="F722" s="346" t="s">
        <v>632</v>
      </c>
      <c r="G722" s="350" t="s">
        <v>459</v>
      </c>
      <c r="H722" s="351">
        <f t="shared" si="14"/>
        <v>4704.84</v>
      </c>
      <c r="I722" s="120" t="str">
        <f>IF(OR(D722&lt;Capa!$A$5,D722&gt;Capa!$A$7,E722&lt;Capa!$A$5,E722&gt;Capa!$A$7,D722&gt;E722),"Erro","")</f>
        <v/>
      </c>
    </row>
    <row r="723" spans="1:9" ht="33.75">
      <c r="A723" s="345">
        <v>720</v>
      </c>
      <c r="B723" s="346" t="s">
        <v>238</v>
      </c>
      <c r="C723" s="347">
        <v>414.97</v>
      </c>
      <c r="D723" s="348">
        <v>46388</v>
      </c>
      <c r="E723" s="348">
        <v>46722</v>
      </c>
      <c r="F723" s="346" t="s">
        <v>632</v>
      </c>
      <c r="G723" s="350" t="s">
        <v>459</v>
      </c>
      <c r="H723" s="351">
        <f t="shared" si="14"/>
        <v>4979.6400000000003</v>
      </c>
      <c r="I723" s="120" t="str">
        <f>IF(OR(D723&lt;Capa!$A$5,D723&gt;Capa!$A$7,E723&lt;Capa!$A$5,E723&gt;Capa!$A$7,D723&gt;E723),"Erro","")</f>
        <v/>
      </c>
    </row>
    <row r="724" spans="1:9" ht="33.75">
      <c r="A724" s="345">
        <v>721</v>
      </c>
      <c r="B724" s="346" t="s">
        <v>238</v>
      </c>
      <c r="C724" s="347">
        <v>439.21</v>
      </c>
      <c r="D724" s="348">
        <v>46753</v>
      </c>
      <c r="E724" s="348">
        <v>47058</v>
      </c>
      <c r="F724" s="346" t="s">
        <v>632</v>
      </c>
      <c r="G724" s="350" t="s">
        <v>459</v>
      </c>
      <c r="H724" s="351">
        <f t="shared" si="14"/>
        <v>4831.3099999999995</v>
      </c>
      <c r="I724" s="120" t="str">
        <f>IF(OR(D724&lt;Capa!$A$5,D724&gt;Capa!$A$7,E724&lt;Capa!$A$5,E724&gt;Capa!$A$7,D724&gt;E724),"Erro","")</f>
        <v/>
      </c>
    </row>
    <row r="725" spans="1:9" ht="56.25">
      <c r="A725" s="345">
        <v>722</v>
      </c>
      <c r="B725" s="346" t="s">
        <v>252</v>
      </c>
      <c r="C725" s="347">
        <v>7000</v>
      </c>
      <c r="D725" s="348">
        <v>45261</v>
      </c>
      <c r="E725" s="348">
        <v>45627</v>
      </c>
      <c r="F725" s="346" t="s">
        <v>632</v>
      </c>
      <c r="G725" s="350" t="s">
        <v>460</v>
      </c>
      <c r="H725" s="351">
        <f t="shared" si="14"/>
        <v>91000</v>
      </c>
      <c r="I725" s="120" t="str">
        <f>IF(OR(D725&lt;Capa!$A$5,D725&gt;Capa!$A$7,E725&lt;Capa!$A$5,E725&gt;Capa!$A$7,D725&gt;E725),"Erro","")</f>
        <v/>
      </c>
    </row>
    <row r="726" spans="1:9" ht="56.25">
      <c r="A726" s="345">
        <v>723</v>
      </c>
      <c r="B726" s="346" t="s">
        <v>252</v>
      </c>
      <c r="C726" s="347">
        <v>7408.8</v>
      </c>
      <c r="D726" s="348">
        <v>45658</v>
      </c>
      <c r="E726" s="348">
        <v>45992</v>
      </c>
      <c r="F726" s="346" t="s">
        <v>632</v>
      </c>
      <c r="G726" s="350" t="s">
        <v>460</v>
      </c>
      <c r="H726" s="351">
        <f t="shared" si="14"/>
        <v>88905.600000000006</v>
      </c>
      <c r="I726" s="120" t="str">
        <f>IF(OR(D726&lt;Capa!$A$5,D726&gt;Capa!$A$7,E726&lt;Capa!$A$5,E726&gt;Capa!$A$7,D726&gt;E726),"Erro","")</f>
        <v/>
      </c>
    </row>
    <row r="727" spans="1:9" ht="56.25">
      <c r="A727" s="345">
        <v>724</v>
      </c>
      <c r="B727" s="346" t="s">
        <v>252</v>
      </c>
      <c r="C727" s="347">
        <v>7847.65</v>
      </c>
      <c r="D727" s="348">
        <v>46023</v>
      </c>
      <c r="E727" s="348">
        <v>46357</v>
      </c>
      <c r="F727" s="346" t="s">
        <v>632</v>
      </c>
      <c r="G727" s="350" t="s">
        <v>460</v>
      </c>
      <c r="H727" s="351">
        <f t="shared" si="14"/>
        <v>94171.799999999988</v>
      </c>
      <c r="I727" s="120" t="str">
        <f>IF(OR(D727&lt;Capa!$A$5,D727&gt;Capa!$A$7,E727&lt;Capa!$A$5,E727&gt;Capa!$A$7,D727&gt;E727),"Erro","")</f>
        <v/>
      </c>
    </row>
    <row r="728" spans="1:9" ht="56.25">
      <c r="A728" s="345">
        <v>725</v>
      </c>
      <c r="B728" s="346" t="s">
        <v>252</v>
      </c>
      <c r="C728" s="347">
        <v>8305.9500000000007</v>
      </c>
      <c r="D728" s="348">
        <v>46388</v>
      </c>
      <c r="E728" s="348">
        <v>46722</v>
      </c>
      <c r="F728" s="346" t="s">
        <v>632</v>
      </c>
      <c r="G728" s="350" t="s">
        <v>460</v>
      </c>
      <c r="H728" s="351">
        <f t="shared" si="14"/>
        <v>99671.400000000009</v>
      </c>
      <c r="I728" s="120" t="str">
        <f>IF(OR(D728&lt;Capa!$A$5,D728&gt;Capa!$A$7,E728&lt;Capa!$A$5,E728&gt;Capa!$A$7,D728&gt;E728),"Erro","")</f>
        <v/>
      </c>
    </row>
    <row r="729" spans="1:9" ht="56.25">
      <c r="A729" s="345">
        <v>726</v>
      </c>
      <c r="B729" s="346" t="s">
        <v>252</v>
      </c>
      <c r="C729" s="347">
        <v>8791.02</v>
      </c>
      <c r="D729" s="348">
        <v>46753</v>
      </c>
      <c r="E729" s="348">
        <v>47058</v>
      </c>
      <c r="F729" s="346" t="s">
        <v>632</v>
      </c>
      <c r="G729" s="350" t="s">
        <v>460</v>
      </c>
      <c r="H729" s="351">
        <f t="shared" si="14"/>
        <v>96701.22</v>
      </c>
      <c r="I729" s="120" t="str">
        <f>IF(OR(D729&lt;Capa!$A$5,D729&gt;Capa!$A$7,E729&lt;Capa!$A$5,E729&gt;Capa!$A$7,D729&gt;E729),"Erro","")</f>
        <v/>
      </c>
    </row>
    <row r="730" spans="1:9" ht="33.75">
      <c r="A730" s="345">
        <v>727</v>
      </c>
      <c r="B730" s="346" t="s">
        <v>651</v>
      </c>
      <c r="C730" s="347">
        <v>180</v>
      </c>
      <c r="D730" s="348">
        <v>45261</v>
      </c>
      <c r="E730" s="348">
        <v>47058</v>
      </c>
      <c r="F730" s="346" t="s">
        <v>632</v>
      </c>
      <c r="G730" s="350" t="s">
        <v>710</v>
      </c>
      <c r="H730" s="351">
        <f t="shared" si="14"/>
        <v>10800</v>
      </c>
      <c r="I730" s="120" t="str">
        <f>IF(OR(D730&lt;Capa!$A$5,D730&gt;Capa!$A$7,E730&lt;Capa!$A$5,E730&gt;Capa!$A$7,D730&gt;E730),"Erro","")</f>
        <v/>
      </c>
    </row>
    <row r="731" spans="1:9" ht="22.5">
      <c r="A731" s="345">
        <v>728</v>
      </c>
      <c r="B731" s="346" t="s">
        <v>653</v>
      </c>
      <c r="C731" s="347">
        <v>1930</v>
      </c>
      <c r="D731" s="348">
        <v>45292</v>
      </c>
      <c r="E731" s="348">
        <v>45627</v>
      </c>
      <c r="F731" s="346" t="s">
        <v>632</v>
      </c>
      <c r="G731" s="350" t="s">
        <v>712</v>
      </c>
      <c r="H731" s="351">
        <f t="shared" si="14"/>
        <v>23160</v>
      </c>
    </row>
    <row r="732" spans="1:9" ht="22.5">
      <c r="A732" s="345">
        <v>729</v>
      </c>
      <c r="B732" s="346" t="s">
        <v>653</v>
      </c>
      <c r="C732" s="347">
        <v>1930</v>
      </c>
      <c r="D732" s="348">
        <v>45658</v>
      </c>
      <c r="E732" s="348">
        <v>47058</v>
      </c>
      <c r="F732" s="346" t="s">
        <v>632</v>
      </c>
      <c r="G732" s="350" t="s">
        <v>712</v>
      </c>
      <c r="H732" s="351">
        <f t="shared" si="14"/>
        <v>90710</v>
      </c>
      <c r="I732" s="120" t="str">
        <f>IF(OR(D732&lt;Capa!$A$5,D732&gt;Capa!$A$7,E732&lt;Capa!$A$5,E732&gt;Capa!$A$7,D732&gt;E732),"Erro","")</f>
        <v/>
      </c>
    </row>
    <row r="733" spans="1:9" ht="45">
      <c r="A733" s="345">
        <v>730</v>
      </c>
      <c r="B733" s="346" t="s">
        <v>652</v>
      </c>
      <c r="C733" s="347">
        <v>15000</v>
      </c>
      <c r="D733" s="348">
        <v>45323</v>
      </c>
      <c r="E733" s="348">
        <v>45323</v>
      </c>
      <c r="F733" s="346" t="s">
        <v>632</v>
      </c>
      <c r="G733" s="350" t="s">
        <v>624</v>
      </c>
      <c r="H733" s="351">
        <f t="shared" si="14"/>
        <v>15000</v>
      </c>
      <c r="I733" s="120" t="str">
        <f>IF(OR(D733&lt;Capa!$A$5,D733&gt;Capa!$A$7,E733&lt;Capa!$A$5,E733&gt;Capa!$A$7,D733&gt;E733),"Erro","")</f>
        <v/>
      </c>
    </row>
    <row r="734" spans="1:9" ht="56.25">
      <c r="A734" s="345">
        <v>731</v>
      </c>
      <c r="B734" s="346" t="s">
        <v>652</v>
      </c>
      <c r="C734" s="347">
        <v>10000</v>
      </c>
      <c r="D734" s="348">
        <v>46419</v>
      </c>
      <c r="E734" s="348">
        <v>46419</v>
      </c>
      <c r="F734" s="346" t="s">
        <v>632</v>
      </c>
      <c r="G734" s="350" t="s">
        <v>717</v>
      </c>
      <c r="H734" s="351">
        <f t="shared" si="14"/>
        <v>10000</v>
      </c>
      <c r="I734" s="120" t="str">
        <f>IF(OR(D734&lt;Capa!$A$5,D734&gt;Capa!$A$7,E734&lt;Capa!$A$5,E734&gt;Capa!$A$7,D734&gt;E734),"Erro","")</f>
        <v/>
      </c>
    </row>
    <row r="735" spans="1:9" ht="33.75">
      <c r="A735" s="345">
        <v>732</v>
      </c>
      <c r="B735" s="346" t="s">
        <v>650</v>
      </c>
      <c r="C735" s="347">
        <v>70</v>
      </c>
      <c r="D735" s="348">
        <v>45261</v>
      </c>
      <c r="E735" s="348">
        <v>47058</v>
      </c>
      <c r="F735" s="346" t="s">
        <v>632</v>
      </c>
      <c r="G735" s="350" t="s">
        <v>711</v>
      </c>
      <c r="H735" s="351">
        <f t="shared" si="14"/>
        <v>4200</v>
      </c>
      <c r="I735" s="120" t="str">
        <f>IF(OR(D735&lt;Capa!$A$5,D735&gt;Capa!$A$7,E735&lt;Capa!$A$5,E735&gt;Capa!$A$7,D735&gt;E735),"Erro","")</f>
        <v/>
      </c>
    </row>
    <row r="736" spans="1:9" ht="33.75">
      <c r="A736" s="345">
        <v>733</v>
      </c>
      <c r="B736" s="346" t="s">
        <v>648</v>
      </c>
      <c r="C736" s="347">
        <v>3024</v>
      </c>
      <c r="D736" s="348">
        <v>45292</v>
      </c>
      <c r="E736" s="348">
        <v>45292</v>
      </c>
      <c r="F736" s="346" t="s">
        <v>632</v>
      </c>
      <c r="G736" s="350" t="s">
        <v>670</v>
      </c>
      <c r="H736" s="351">
        <f t="shared" si="14"/>
        <v>3024</v>
      </c>
      <c r="I736" s="120" t="str">
        <f>IF(OR(D736&lt;Capa!$A$5,D736&gt;Capa!$A$7,E736&lt;Capa!$A$5,E736&gt;Capa!$A$7,D736&gt;E736),"Erro","")</f>
        <v/>
      </c>
    </row>
    <row r="737" spans="1:9" ht="33.75">
      <c r="A737" s="345">
        <v>734</v>
      </c>
      <c r="B737" s="346" t="s">
        <v>648</v>
      </c>
      <c r="C737" s="347">
        <v>3200.6</v>
      </c>
      <c r="D737" s="348">
        <v>45658</v>
      </c>
      <c r="E737" s="348">
        <v>45658</v>
      </c>
      <c r="F737" s="346" t="s">
        <v>632</v>
      </c>
      <c r="G737" s="350" t="s">
        <v>670</v>
      </c>
      <c r="H737" s="351">
        <f t="shared" si="14"/>
        <v>3200.6</v>
      </c>
      <c r="I737" s="120" t="str">
        <f>IF(OR(D737&lt;Capa!$A$5,D737&gt;Capa!$A$7,E737&lt;Capa!$A$5,E737&gt;Capa!$A$7,D737&gt;E737),"Erro","")</f>
        <v/>
      </c>
    </row>
    <row r="738" spans="1:9" ht="33.75">
      <c r="A738" s="345">
        <v>735</v>
      </c>
      <c r="B738" s="346" t="s">
        <v>648</v>
      </c>
      <c r="C738" s="347">
        <v>3387.51</v>
      </c>
      <c r="D738" s="348">
        <v>46023</v>
      </c>
      <c r="E738" s="348">
        <v>46023</v>
      </c>
      <c r="F738" s="346" t="s">
        <v>632</v>
      </c>
      <c r="G738" s="350" t="s">
        <v>670</v>
      </c>
      <c r="H738" s="351">
        <f t="shared" si="14"/>
        <v>3387.51</v>
      </c>
      <c r="I738" s="120" t="str">
        <f>IF(OR(D738&lt;Capa!$A$5,D738&gt;Capa!$A$7,E738&lt;Capa!$A$5,E738&gt;Capa!$A$7,D738&gt;E738),"Erro","")</f>
        <v/>
      </c>
    </row>
    <row r="739" spans="1:9" ht="33.75">
      <c r="A739" s="345">
        <v>736</v>
      </c>
      <c r="B739" s="346" t="s">
        <v>648</v>
      </c>
      <c r="C739" s="347">
        <v>3585.34</v>
      </c>
      <c r="D739" s="348">
        <v>46388</v>
      </c>
      <c r="E739" s="348">
        <v>46388</v>
      </c>
      <c r="F739" s="346" t="s">
        <v>632</v>
      </c>
      <c r="G739" s="350" t="s">
        <v>670</v>
      </c>
      <c r="H739" s="351">
        <f t="shared" si="14"/>
        <v>3585.34</v>
      </c>
      <c r="I739" s="120" t="str">
        <f>IF(OR(D739&lt;Capa!$A$5,D739&gt;Capa!$A$7,E739&lt;Capa!$A$5,E739&gt;Capa!$A$7,D739&gt;E739),"Erro","")</f>
        <v/>
      </c>
    </row>
    <row r="740" spans="1:9" ht="33.75">
      <c r="A740" s="345">
        <v>737</v>
      </c>
      <c r="B740" s="346" t="s">
        <v>648</v>
      </c>
      <c r="C740" s="347">
        <v>3794.73</v>
      </c>
      <c r="D740" s="348">
        <v>46753</v>
      </c>
      <c r="E740" s="348">
        <v>46753</v>
      </c>
      <c r="F740" s="346" t="s">
        <v>632</v>
      </c>
      <c r="G740" s="350" t="s">
        <v>670</v>
      </c>
      <c r="H740" s="351">
        <f t="shared" si="14"/>
        <v>3794.73</v>
      </c>
      <c r="I740" s="120" t="str">
        <f>IF(OR(D740&lt;Capa!$A$5,D740&gt;Capa!$A$7,E740&lt;Capa!$A$5,E740&gt;Capa!$A$7,D740&gt;E740),"Erro","")</f>
        <v/>
      </c>
    </row>
    <row r="741" spans="1:9" ht="22.5">
      <c r="A741" s="345">
        <v>738</v>
      </c>
      <c r="B741" s="346" t="s">
        <v>649</v>
      </c>
      <c r="C741" s="347">
        <v>70000</v>
      </c>
      <c r="D741" s="348">
        <v>45748</v>
      </c>
      <c r="E741" s="348">
        <v>45748</v>
      </c>
      <c r="F741" s="346" t="s">
        <v>632</v>
      </c>
      <c r="G741" s="350" t="s">
        <v>739</v>
      </c>
      <c r="H741" s="351">
        <f t="shared" si="14"/>
        <v>70000</v>
      </c>
    </row>
    <row r="742" spans="1:9" ht="33.75">
      <c r="A742" s="345">
        <v>739</v>
      </c>
      <c r="B742" s="346" t="s">
        <v>649</v>
      </c>
      <c r="C742" s="347">
        <v>1643</v>
      </c>
      <c r="D742" s="348">
        <v>45292</v>
      </c>
      <c r="E742" s="348">
        <v>47058</v>
      </c>
      <c r="F742" s="346" t="s">
        <v>632</v>
      </c>
      <c r="G742" s="350" t="s">
        <v>705</v>
      </c>
      <c r="H742" s="351">
        <f t="shared" si="14"/>
        <v>96937</v>
      </c>
      <c r="I742" s="120" t="str">
        <f>IF(OR(D742&lt;Capa!$A$5,D742&gt;Capa!$A$7,E742&lt;Capa!$A$5,E742&gt;Capa!$A$7,D742&gt;E742),"Erro","")</f>
        <v/>
      </c>
    </row>
    <row r="743" spans="1:9" ht="33.75">
      <c r="A743" s="345">
        <v>740</v>
      </c>
      <c r="B743" s="346" t="s">
        <v>654</v>
      </c>
      <c r="C743" s="347">
        <v>600</v>
      </c>
      <c r="D743" s="348">
        <v>45261</v>
      </c>
      <c r="E743" s="348">
        <v>45627</v>
      </c>
      <c r="F743" s="346" t="s">
        <v>632</v>
      </c>
      <c r="G743" s="350" t="s">
        <v>706</v>
      </c>
      <c r="H743" s="351">
        <f t="shared" si="14"/>
        <v>7800</v>
      </c>
    </row>
    <row r="744" spans="1:9" ht="33.75">
      <c r="A744" s="345">
        <v>741</v>
      </c>
      <c r="B744" s="346" t="s">
        <v>654</v>
      </c>
      <c r="C744" s="347">
        <v>1100</v>
      </c>
      <c r="D744" s="348">
        <v>45658</v>
      </c>
      <c r="E744" s="348">
        <v>47058</v>
      </c>
      <c r="F744" s="346" t="s">
        <v>632</v>
      </c>
      <c r="G744" s="350" t="s">
        <v>706</v>
      </c>
      <c r="H744" s="351">
        <f t="shared" si="14"/>
        <v>51700</v>
      </c>
      <c r="I744" s="120" t="str">
        <f>IF(OR(D744&lt;Capa!$A$5,D744&gt;Capa!$A$7,E744&lt;Capa!$A$5,E744&gt;Capa!$A$7,D744&gt;E744),"Erro","")</f>
        <v/>
      </c>
    </row>
    <row r="745" spans="1:9" ht="22.5">
      <c r="A745" s="345">
        <v>742</v>
      </c>
      <c r="B745" s="346" t="s">
        <v>656</v>
      </c>
      <c r="C745" s="347">
        <v>200</v>
      </c>
      <c r="D745" s="348">
        <v>45261</v>
      </c>
      <c r="E745" s="348">
        <v>47058</v>
      </c>
      <c r="F745" s="346" t="s">
        <v>632</v>
      </c>
      <c r="G745" s="350" t="s">
        <v>707</v>
      </c>
      <c r="H745" s="351">
        <f t="shared" si="14"/>
        <v>12000</v>
      </c>
      <c r="I745" s="120" t="str">
        <f>IF(OR(D745&lt;Capa!$A$5,D745&gt;Capa!$A$7,E745&lt;Capa!$A$5,E745&gt;Capa!$A$7,D745&gt;E745),"Erro","")</f>
        <v/>
      </c>
    </row>
    <row r="746" spans="1:9" ht="22.5">
      <c r="A746" s="345">
        <v>743</v>
      </c>
      <c r="B746" s="346" t="s">
        <v>658</v>
      </c>
      <c r="C746" s="347">
        <v>50</v>
      </c>
      <c r="D746" s="348">
        <v>45261</v>
      </c>
      <c r="E746" s="348">
        <v>47058</v>
      </c>
      <c r="F746" s="346" t="s">
        <v>632</v>
      </c>
      <c r="G746" s="350" t="s">
        <v>709</v>
      </c>
      <c r="H746" s="351">
        <f t="shared" si="14"/>
        <v>3000</v>
      </c>
      <c r="I746" s="120" t="str">
        <f>IF(OR(D746&lt;Capa!$A$5,D746&gt;Capa!$A$7,E746&lt;Capa!$A$5,E746&gt;Capa!$A$7,D746&gt;E746),"Erro","")</f>
        <v/>
      </c>
    </row>
    <row r="747" spans="1:9" ht="33.75">
      <c r="A747" s="345">
        <v>744</v>
      </c>
      <c r="B747" s="346" t="s">
        <v>657</v>
      </c>
      <c r="C747" s="347">
        <v>350</v>
      </c>
      <c r="D747" s="348">
        <v>45658</v>
      </c>
      <c r="E747" s="348">
        <v>47058</v>
      </c>
      <c r="F747" s="346" t="s">
        <v>632</v>
      </c>
      <c r="G747" s="350" t="s">
        <v>708</v>
      </c>
      <c r="H747" s="351">
        <f t="shared" si="14"/>
        <v>16450</v>
      </c>
      <c r="I747" s="120" t="str">
        <f>IF(OR(D747&lt;Capa!$A$5,D747&gt;Capa!$A$7,E747&lt;Capa!$A$5,E747&gt;Capa!$A$7,D747&gt;E747),"Erro","")</f>
        <v/>
      </c>
    </row>
    <row r="748" spans="1:9" ht="45">
      <c r="A748" s="345">
        <v>745</v>
      </c>
      <c r="B748" s="346" t="s">
        <v>320</v>
      </c>
      <c r="C748" s="347">
        <v>4545.7737500000003</v>
      </c>
      <c r="D748" s="348">
        <v>45778</v>
      </c>
      <c r="E748" s="348">
        <v>45992</v>
      </c>
      <c r="F748" s="346" t="s">
        <v>632</v>
      </c>
      <c r="G748" s="350" t="s">
        <v>596</v>
      </c>
      <c r="H748" s="351">
        <f t="shared" si="14"/>
        <v>36366.19</v>
      </c>
    </row>
    <row r="749" spans="1:9" ht="45">
      <c r="A749" s="345">
        <v>746</v>
      </c>
      <c r="B749" s="346" t="s">
        <v>320</v>
      </c>
      <c r="C749" s="347">
        <v>250</v>
      </c>
      <c r="D749" s="348">
        <v>45748</v>
      </c>
      <c r="E749" s="348">
        <v>47058</v>
      </c>
      <c r="F749" s="346" t="s">
        <v>632</v>
      </c>
      <c r="G749" s="350" t="s">
        <v>596</v>
      </c>
      <c r="H749" s="351">
        <f t="shared" si="14"/>
        <v>11000</v>
      </c>
      <c r="I749" s="120" t="str">
        <f>IF(OR(D749&lt;Capa!$A$5,D749&gt;Capa!$A$7,E749&lt;Capa!$A$5,E749&gt;Capa!$A$7,D749&gt;E749),"Erro","")</f>
        <v/>
      </c>
    </row>
    <row r="750" spans="1:9" ht="22.5">
      <c r="A750" s="345">
        <v>747</v>
      </c>
      <c r="B750" s="346" t="s">
        <v>198</v>
      </c>
      <c r="C750" s="347">
        <v>4500</v>
      </c>
      <c r="D750" s="348">
        <v>45261</v>
      </c>
      <c r="E750" s="348">
        <v>45627</v>
      </c>
      <c r="F750" s="346" t="s">
        <v>633</v>
      </c>
      <c r="G750" s="350" t="s">
        <v>438</v>
      </c>
      <c r="H750" s="351">
        <f t="shared" si="14"/>
        <v>58500</v>
      </c>
      <c r="I750" s="120" t="str">
        <f>IF(OR(D750&lt;Capa!$A$5,D750&gt;Capa!$A$7,E750&lt;Capa!$A$5,E750&gt;Capa!$A$7,D750&gt;E750),"Erro","")</f>
        <v/>
      </c>
    </row>
    <row r="751" spans="1:9" ht="22.5">
      <c r="A751" s="345">
        <v>748</v>
      </c>
      <c r="B751" s="346" t="s">
        <v>198</v>
      </c>
      <c r="C751" s="347">
        <v>4762.8</v>
      </c>
      <c r="D751" s="348">
        <v>45658</v>
      </c>
      <c r="E751" s="348">
        <v>45992</v>
      </c>
      <c r="F751" s="346" t="s">
        <v>633</v>
      </c>
      <c r="G751" s="350" t="s">
        <v>438</v>
      </c>
      <c r="H751" s="351">
        <f t="shared" si="14"/>
        <v>57153.600000000006</v>
      </c>
      <c r="I751" s="120" t="str">
        <f>IF(OR(D751&lt;Capa!$A$5,D751&gt;Capa!$A$7,E751&lt;Capa!$A$5,E751&gt;Capa!$A$7,D751&gt;E751),"Erro","")</f>
        <v/>
      </c>
    </row>
    <row r="752" spans="1:9" ht="22.5">
      <c r="A752" s="345">
        <v>749</v>
      </c>
      <c r="B752" s="346" t="s">
        <v>198</v>
      </c>
      <c r="C752" s="347">
        <v>5040.95</v>
      </c>
      <c r="D752" s="348">
        <v>46023</v>
      </c>
      <c r="E752" s="348">
        <v>46357</v>
      </c>
      <c r="F752" s="346" t="s">
        <v>633</v>
      </c>
      <c r="G752" s="350" t="s">
        <v>438</v>
      </c>
      <c r="H752" s="351">
        <f t="shared" si="14"/>
        <v>60491.399999999994</v>
      </c>
      <c r="I752" s="120" t="str">
        <f>IF(OR(D752&lt;Capa!$A$5,D752&gt;Capa!$A$7,E752&lt;Capa!$A$5,E752&gt;Capa!$A$7,D752&gt;E752),"Erro","")</f>
        <v/>
      </c>
    </row>
    <row r="753" spans="1:9" ht="22.5">
      <c r="A753" s="345">
        <v>750</v>
      </c>
      <c r="B753" s="346" t="s">
        <v>198</v>
      </c>
      <c r="C753" s="347">
        <v>5335.34</v>
      </c>
      <c r="D753" s="348">
        <v>46388</v>
      </c>
      <c r="E753" s="348">
        <v>46722</v>
      </c>
      <c r="F753" s="346" t="s">
        <v>633</v>
      </c>
      <c r="G753" s="350" t="s">
        <v>438</v>
      </c>
      <c r="H753" s="351">
        <f t="shared" si="14"/>
        <v>64024.08</v>
      </c>
      <c r="I753" s="120" t="str">
        <f>IF(OR(D753&lt;Capa!$A$5,D753&gt;Capa!$A$7,E753&lt;Capa!$A$5,E753&gt;Capa!$A$7,D753&gt;E753),"Erro","")</f>
        <v/>
      </c>
    </row>
    <row r="754" spans="1:9" ht="22.5">
      <c r="A754" s="345">
        <v>751</v>
      </c>
      <c r="B754" s="346" t="s">
        <v>198</v>
      </c>
      <c r="C754" s="347">
        <v>5646.92</v>
      </c>
      <c r="D754" s="348">
        <v>46753</v>
      </c>
      <c r="E754" s="348">
        <v>47058</v>
      </c>
      <c r="F754" s="346" t="s">
        <v>633</v>
      </c>
      <c r="G754" s="350" t="s">
        <v>438</v>
      </c>
      <c r="H754" s="351">
        <f t="shared" si="14"/>
        <v>62116.12</v>
      </c>
      <c r="I754" s="120" t="str">
        <f>IF(OR(D754&lt;Capa!$A$5,D754&gt;Capa!$A$7,E754&lt;Capa!$A$5,E754&gt;Capa!$A$7,D754&gt;E754),"Erro","")</f>
        <v/>
      </c>
    </row>
    <row r="755" spans="1:9" ht="22.5">
      <c r="A755" s="345">
        <v>752</v>
      </c>
      <c r="B755" s="346" t="s">
        <v>202</v>
      </c>
      <c r="C755" s="347">
        <v>817.76</v>
      </c>
      <c r="D755" s="348">
        <v>45292</v>
      </c>
      <c r="E755" s="348">
        <v>45383</v>
      </c>
      <c r="F755" s="346" t="s">
        <v>633</v>
      </c>
      <c r="G755" s="350" t="s">
        <v>439</v>
      </c>
      <c r="H755" s="351">
        <f t="shared" si="14"/>
        <v>3271.04</v>
      </c>
      <c r="I755" s="120" t="str">
        <f>IF(OR(D755&lt;Capa!$A$5,D755&gt;Capa!$A$7,E755&lt;Capa!$A$5,E755&gt;Capa!$A$7,D755&gt;E755),"Erro","")</f>
        <v/>
      </c>
    </row>
    <row r="756" spans="1:9" ht="22.5">
      <c r="A756" s="345">
        <v>753</v>
      </c>
      <c r="B756" s="346" t="s">
        <v>202</v>
      </c>
      <c r="C756" s="347">
        <v>865.52</v>
      </c>
      <c r="D756" s="348">
        <v>45658</v>
      </c>
      <c r="E756" s="348">
        <v>45748</v>
      </c>
      <c r="F756" s="346" t="s">
        <v>633</v>
      </c>
      <c r="G756" s="350" t="s">
        <v>439</v>
      </c>
      <c r="H756" s="351">
        <f t="shared" si="14"/>
        <v>3462.08</v>
      </c>
      <c r="I756" s="120" t="str">
        <f>IF(OR(D756&lt;Capa!$A$5,D756&gt;Capa!$A$7,E756&lt;Capa!$A$5,E756&gt;Capa!$A$7,D756&gt;E756),"Erro","")</f>
        <v/>
      </c>
    </row>
    <row r="757" spans="1:9" ht="22.5">
      <c r="A757" s="345">
        <v>754</v>
      </c>
      <c r="B757" s="346" t="s">
        <v>202</v>
      </c>
      <c r="C757" s="347">
        <v>916.06</v>
      </c>
      <c r="D757" s="348">
        <v>46023</v>
      </c>
      <c r="E757" s="348">
        <v>46113</v>
      </c>
      <c r="F757" s="346" t="s">
        <v>633</v>
      </c>
      <c r="G757" s="350" t="s">
        <v>439</v>
      </c>
      <c r="H757" s="351">
        <f t="shared" si="14"/>
        <v>3664.24</v>
      </c>
      <c r="I757" s="120" t="str">
        <f>IF(OR(D757&lt;Capa!$A$5,D757&gt;Capa!$A$7,E757&lt;Capa!$A$5,E757&gt;Capa!$A$7,D757&gt;E757),"Erro","")</f>
        <v/>
      </c>
    </row>
    <row r="758" spans="1:9" ht="22.5">
      <c r="A758" s="345">
        <v>755</v>
      </c>
      <c r="B758" s="346" t="s">
        <v>202</v>
      </c>
      <c r="C758" s="347">
        <v>969.56</v>
      </c>
      <c r="D758" s="348">
        <v>46388</v>
      </c>
      <c r="E758" s="348">
        <v>46478</v>
      </c>
      <c r="F758" s="346" t="s">
        <v>633</v>
      </c>
      <c r="G758" s="350" t="s">
        <v>439</v>
      </c>
      <c r="H758" s="351">
        <f t="shared" si="14"/>
        <v>3878.24</v>
      </c>
      <c r="I758" s="120" t="str">
        <f>IF(OR(D758&lt;Capa!$A$5,D758&gt;Capa!$A$7,E758&lt;Capa!$A$5,E758&gt;Capa!$A$7,D758&gt;E758),"Erro","")</f>
        <v/>
      </c>
    </row>
    <row r="759" spans="1:9" ht="22.5">
      <c r="A759" s="345">
        <v>756</v>
      </c>
      <c r="B759" s="346" t="s">
        <v>202</v>
      </c>
      <c r="C759" s="347">
        <v>1026.18</v>
      </c>
      <c r="D759" s="348">
        <v>46753</v>
      </c>
      <c r="E759" s="348">
        <v>46844</v>
      </c>
      <c r="F759" s="346" t="s">
        <v>633</v>
      </c>
      <c r="G759" s="350" t="s">
        <v>439</v>
      </c>
      <c r="H759" s="351">
        <f t="shared" si="14"/>
        <v>4104.72</v>
      </c>
      <c r="I759" s="120" t="str">
        <f>IF(OR(D759&lt;Capa!$A$5,D759&gt;Capa!$A$7,E759&lt;Capa!$A$5,E759&gt;Capa!$A$7,D759&gt;E759),"Erro","")</f>
        <v/>
      </c>
    </row>
    <row r="760" spans="1:9" ht="22.5">
      <c r="A760" s="345">
        <v>757</v>
      </c>
      <c r="B760" s="346" t="s">
        <v>204</v>
      </c>
      <c r="C760" s="347">
        <v>919.01</v>
      </c>
      <c r="D760" s="348">
        <v>45292</v>
      </c>
      <c r="E760" s="348">
        <v>45383</v>
      </c>
      <c r="F760" s="346" t="s">
        <v>633</v>
      </c>
      <c r="G760" s="350" t="s">
        <v>439</v>
      </c>
      <c r="H760" s="351">
        <f t="shared" si="14"/>
        <v>3676.04</v>
      </c>
      <c r="I760" s="120" t="str">
        <f>IF(OR(D760&lt;Capa!$A$5,D760&gt;Capa!$A$7,E760&lt;Capa!$A$5,E760&gt;Capa!$A$7,D760&gt;E760),"Erro","")</f>
        <v/>
      </c>
    </row>
    <row r="761" spans="1:9" ht="22.5">
      <c r="A761" s="345">
        <v>758</v>
      </c>
      <c r="B761" s="346" t="s">
        <v>204</v>
      </c>
      <c r="C761" s="347">
        <v>972.68</v>
      </c>
      <c r="D761" s="348">
        <v>45658</v>
      </c>
      <c r="E761" s="348">
        <v>45748</v>
      </c>
      <c r="F761" s="346" t="s">
        <v>633</v>
      </c>
      <c r="G761" s="350" t="s">
        <v>439</v>
      </c>
      <c r="H761" s="351">
        <f t="shared" si="14"/>
        <v>3890.72</v>
      </c>
      <c r="I761" s="120" t="str">
        <f>IF(OR(D761&lt;Capa!$A$5,D761&gt;Capa!$A$7,E761&lt;Capa!$A$5,E761&gt;Capa!$A$7,D761&gt;E761),"Erro","")</f>
        <v/>
      </c>
    </row>
    <row r="762" spans="1:9" ht="22.5">
      <c r="A762" s="345">
        <v>759</v>
      </c>
      <c r="B762" s="346" t="s">
        <v>204</v>
      </c>
      <c r="C762" s="347">
        <v>1029.49</v>
      </c>
      <c r="D762" s="348">
        <v>46023</v>
      </c>
      <c r="E762" s="348">
        <v>46113</v>
      </c>
      <c r="F762" s="346" t="s">
        <v>633</v>
      </c>
      <c r="G762" s="350" t="s">
        <v>439</v>
      </c>
      <c r="H762" s="351">
        <f t="shared" si="14"/>
        <v>4117.96</v>
      </c>
      <c r="I762" s="120" t="str">
        <f>IF(OR(D762&lt;Capa!$A$5,D762&gt;Capa!$A$7,E762&lt;Capa!$A$5,E762&gt;Capa!$A$7,D762&gt;E762),"Erro","")</f>
        <v/>
      </c>
    </row>
    <row r="763" spans="1:9" ht="22.5">
      <c r="A763" s="345">
        <v>760</v>
      </c>
      <c r="B763" s="346" t="s">
        <v>204</v>
      </c>
      <c r="C763" s="347">
        <v>1089.6099999999999</v>
      </c>
      <c r="D763" s="348">
        <v>46388</v>
      </c>
      <c r="E763" s="348">
        <v>46478</v>
      </c>
      <c r="F763" s="346" t="s">
        <v>633</v>
      </c>
      <c r="G763" s="350" t="s">
        <v>439</v>
      </c>
      <c r="H763" s="351">
        <f t="shared" si="14"/>
        <v>4358.4399999999996</v>
      </c>
      <c r="I763" s="120" t="str">
        <f>IF(OR(D763&lt;Capa!$A$5,D763&gt;Capa!$A$7,E763&lt;Capa!$A$5,E763&gt;Capa!$A$7,D763&gt;E763),"Erro","")</f>
        <v/>
      </c>
    </row>
    <row r="764" spans="1:9" ht="22.5">
      <c r="A764" s="345">
        <v>761</v>
      </c>
      <c r="B764" s="346" t="s">
        <v>204</v>
      </c>
      <c r="C764" s="347">
        <v>1153.24</v>
      </c>
      <c r="D764" s="348">
        <v>46753</v>
      </c>
      <c r="E764" s="348">
        <v>46844</v>
      </c>
      <c r="F764" s="346" t="s">
        <v>633</v>
      </c>
      <c r="G764" s="350" t="s">
        <v>439</v>
      </c>
      <c r="H764" s="351">
        <f t="shared" si="14"/>
        <v>4612.96</v>
      </c>
      <c r="I764" s="120" t="str">
        <f>IF(OR(D764&lt;Capa!$A$5,D764&gt;Capa!$A$7,E764&lt;Capa!$A$5,E764&gt;Capa!$A$7,D764&gt;E764),"Erro","")</f>
        <v/>
      </c>
    </row>
    <row r="765" spans="1:9" ht="22.5">
      <c r="A765" s="345">
        <v>762</v>
      </c>
      <c r="B765" s="346" t="s">
        <v>206</v>
      </c>
      <c r="C765" s="347">
        <v>1404</v>
      </c>
      <c r="D765" s="348">
        <v>45261</v>
      </c>
      <c r="E765" s="348">
        <v>45627</v>
      </c>
      <c r="F765" s="346" t="s">
        <v>633</v>
      </c>
      <c r="G765" s="350" t="s">
        <v>440</v>
      </c>
      <c r="H765" s="351">
        <f t="shared" si="14"/>
        <v>18252</v>
      </c>
      <c r="I765" s="120" t="str">
        <f>IF(OR(D765&lt;Capa!$A$5,D765&gt;Capa!$A$7,E765&lt;Capa!$A$5,E765&gt;Capa!$A$7,D765&gt;E765),"Erro","")</f>
        <v/>
      </c>
    </row>
    <row r="766" spans="1:9" ht="22.5">
      <c r="A766" s="345">
        <v>763</v>
      </c>
      <c r="B766" s="346" t="s">
        <v>206</v>
      </c>
      <c r="C766" s="347">
        <v>1485.99</v>
      </c>
      <c r="D766" s="348">
        <v>45658</v>
      </c>
      <c r="E766" s="348">
        <v>45992</v>
      </c>
      <c r="F766" s="346" t="s">
        <v>633</v>
      </c>
      <c r="G766" s="350" t="s">
        <v>440</v>
      </c>
      <c r="H766" s="351">
        <f t="shared" si="14"/>
        <v>17831.88</v>
      </c>
      <c r="I766" s="120" t="str">
        <f>IF(OR(D766&lt;Capa!$A$5,D766&gt;Capa!$A$7,E766&lt;Capa!$A$5,E766&gt;Capa!$A$7,D766&gt;E766),"Erro","")</f>
        <v/>
      </c>
    </row>
    <row r="767" spans="1:9" ht="22.5">
      <c r="A767" s="345">
        <v>764</v>
      </c>
      <c r="B767" s="346" t="s">
        <v>206</v>
      </c>
      <c r="C767" s="347">
        <v>1572.77</v>
      </c>
      <c r="D767" s="348">
        <v>46023</v>
      </c>
      <c r="E767" s="348">
        <v>46357</v>
      </c>
      <c r="F767" s="346" t="s">
        <v>633</v>
      </c>
      <c r="G767" s="350" t="s">
        <v>440</v>
      </c>
      <c r="H767" s="351">
        <f t="shared" si="14"/>
        <v>18873.239999999998</v>
      </c>
      <c r="I767" s="120" t="str">
        <f>IF(OR(D767&lt;Capa!$A$5,D767&gt;Capa!$A$7,E767&lt;Capa!$A$5,E767&gt;Capa!$A$7,D767&gt;E767),"Erro","")</f>
        <v/>
      </c>
    </row>
    <row r="768" spans="1:9" ht="22.5">
      <c r="A768" s="345">
        <v>765</v>
      </c>
      <c r="B768" s="346" t="s">
        <v>206</v>
      </c>
      <c r="C768" s="347">
        <v>1664.62</v>
      </c>
      <c r="D768" s="348">
        <v>46388</v>
      </c>
      <c r="E768" s="348">
        <v>46722</v>
      </c>
      <c r="F768" s="346" t="s">
        <v>633</v>
      </c>
      <c r="G768" s="350" t="s">
        <v>440</v>
      </c>
      <c r="H768" s="351">
        <f t="shared" si="14"/>
        <v>19975.439999999999</v>
      </c>
      <c r="I768" s="120" t="str">
        <f>IF(OR(D768&lt;Capa!$A$5,D768&gt;Capa!$A$7,E768&lt;Capa!$A$5,E768&gt;Capa!$A$7,D768&gt;E768),"Erro","")</f>
        <v/>
      </c>
    </row>
    <row r="769" spans="1:9" ht="22.5">
      <c r="A769" s="345">
        <v>766</v>
      </c>
      <c r="B769" s="346" t="s">
        <v>206</v>
      </c>
      <c r="C769" s="347">
        <v>1761.84</v>
      </c>
      <c r="D769" s="348">
        <v>46753</v>
      </c>
      <c r="E769" s="348">
        <v>47058</v>
      </c>
      <c r="F769" s="346" t="s">
        <v>633</v>
      </c>
      <c r="G769" s="350" t="s">
        <v>440</v>
      </c>
      <c r="H769" s="351">
        <f t="shared" si="14"/>
        <v>19380.239999999998</v>
      </c>
      <c r="I769" s="120" t="str">
        <f>IF(OR(D769&lt;Capa!$A$5,D769&gt;Capa!$A$7,E769&lt;Capa!$A$5,E769&gt;Capa!$A$7,D769&gt;E769),"Erro","")</f>
        <v/>
      </c>
    </row>
    <row r="770" spans="1:9" ht="22.5">
      <c r="A770" s="345">
        <v>767</v>
      </c>
      <c r="B770" s="346" t="s">
        <v>208</v>
      </c>
      <c r="C770" s="347">
        <v>1783</v>
      </c>
      <c r="D770" s="348">
        <v>45261</v>
      </c>
      <c r="E770" s="348">
        <v>45627</v>
      </c>
      <c r="F770" s="346" t="s">
        <v>633</v>
      </c>
      <c r="G770" s="350" t="s">
        <v>440</v>
      </c>
      <c r="H770" s="351">
        <f t="shared" si="14"/>
        <v>23179</v>
      </c>
      <c r="I770" s="120" t="str">
        <f>IF(OR(D770&lt;Capa!$A$5,D770&gt;Capa!$A$7,E770&lt;Capa!$A$5,E770&gt;Capa!$A$7,D770&gt;E770),"Erro","")</f>
        <v/>
      </c>
    </row>
    <row r="771" spans="1:9" ht="22.5">
      <c r="A771" s="345">
        <v>768</v>
      </c>
      <c r="B771" s="346" t="s">
        <v>208</v>
      </c>
      <c r="C771" s="347">
        <v>1887.12</v>
      </c>
      <c r="D771" s="348">
        <v>45658</v>
      </c>
      <c r="E771" s="348">
        <v>45992</v>
      </c>
      <c r="F771" s="346" t="s">
        <v>633</v>
      </c>
      <c r="G771" s="350" t="s">
        <v>440</v>
      </c>
      <c r="H771" s="351">
        <f t="shared" si="14"/>
        <v>22645.439999999999</v>
      </c>
      <c r="I771" s="120" t="str">
        <f>IF(OR(D771&lt;Capa!$A$5,D771&gt;Capa!$A$7,E771&lt;Capa!$A$5,E771&gt;Capa!$A$7,D771&gt;E771),"Erro","")</f>
        <v/>
      </c>
    </row>
    <row r="772" spans="1:9" ht="22.5">
      <c r="A772" s="345">
        <v>769</v>
      </c>
      <c r="B772" s="346" t="s">
        <v>208</v>
      </c>
      <c r="C772" s="347">
        <v>1997.33</v>
      </c>
      <c r="D772" s="348">
        <v>46023</v>
      </c>
      <c r="E772" s="348">
        <v>46357</v>
      </c>
      <c r="F772" s="346" t="s">
        <v>633</v>
      </c>
      <c r="G772" s="350" t="s">
        <v>440</v>
      </c>
      <c r="H772" s="351">
        <f t="shared" si="14"/>
        <v>23967.96</v>
      </c>
      <c r="I772" s="120" t="str">
        <f>IF(OR(D772&lt;Capa!$A$5,D772&gt;Capa!$A$7,E772&lt;Capa!$A$5,E772&gt;Capa!$A$7,D772&gt;E772),"Erro","")</f>
        <v/>
      </c>
    </row>
    <row r="773" spans="1:9" ht="22.5">
      <c r="A773" s="345">
        <v>770</v>
      </c>
      <c r="B773" s="346" t="s">
        <v>208</v>
      </c>
      <c r="C773" s="347">
        <v>2113.98</v>
      </c>
      <c r="D773" s="348">
        <v>46388</v>
      </c>
      <c r="E773" s="348">
        <v>46722</v>
      </c>
      <c r="F773" s="346" t="s">
        <v>633</v>
      </c>
      <c r="G773" s="350" t="s">
        <v>440</v>
      </c>
      <c r="H773" s="351">
        <f t="shared" si="14"/>
        <v>25367.760000000002</v>
      </c>
      <c r="I773" s="120" t="str">
        <f>IF(OR(D773&lt;Capa!$A$5,D773&gt;Capa!$A$7,E773&lt;Capa!$A$5,E773&gt;Capa!$A$7,D773&gt;E773),"Erro","")</f>
        <v/>
      </c>
    </row>
    <row r="774" spans="1:9" ht="22.5">
      <c r="A774" s="345">
        <v>771</v>
      </c>
      <c r="B774" s="346" t="s">
        <v>208</v>
      </c>
      <c r="C774" s="347">
        <v>2237.4299999999998</v>
      </c>
      <c r="D774" s="348">
        <v>46753</v>
      </c>
      <c r="E774" s="348">
        <v>47058</v>
      </c>
      <c r="F774" s="346" t="s">
        <v>633</v>
      </c>
      <c r="G774" s="350" t="s">
        <v>440</v>
      </c>
      <c r="H774" s="351">
        <f t="shared" si="14"/>
        <v>24611.73</v>
      </c>
      <c r="I774" s="120" t="str">
        <f>IF(OR(D774&lt;Capa!$A$5,D774&gt;Capa!$A$7,E774&lt;Capa!$A$5,E774&gt;Capa!$A$7,D774&gt;E774),"Erro","")</f>
        <v/>
      </c>
    </row>
    <row r="775" spans="1:9" ht="22.5">
      <c r="A775" s="345">
        <v>772</v>
      </c>
      <c r="B775" s="346" t="s">
        <v>210</v>
      </c>
      <c r="C775" s="347">
        <v>38</v>
      </c>
      <c r="D775" s="348">
        <v>45261</v>
      </c>
      <c r="E775" s="348">
        <v>45627</v>
      </c>
      <c r="F775" s="346" t="s">
        <v>633</v>
      </c>
      <c r="G775" s="350" t="s">
        <v>440</v>
      </c>
      <c r="H775" s="351">
        <f t="shared" si="14"/>
        <v>494</v>
      </c>
      <c r="I775" s="120" t="str">
        <f>IF(OR(D775&lt;Capa!$A$5,D775&gt;Capa!$A$7,E775&lt;Capa!$A$5,E775&gt;Capa!$A$7,D775&gt;E775),"Erro","")</f>
        <v/>
      </c>
    </row>
    <row r="776" spans="1:9" ht="22.5">
      <c r="A776" s="345">
        <v>773</v>
      </c>
      <c r="B776" s="346" t="s">
        <v>210</v>
      </c>
      <c r="C776" s="347">
        <v>40.22</v>
      </c>
      <c r="D776" s="348">
        <v>45658</v>
      </c>
      <c r="E776" s="348">
        <v>45992</v>
      </c>
      <c r="F776" s="346" t="s">
        <v>633</v>
      </c>
      <c r="G776" s="350" t="s">
        <v>440</v>
      </c>
      <c r="H776" s="351">
        <f t="shared" si="14"/>
        <v>482.64</v>
      </c>
      <c r="I776" s="120" t="str">
        <f>IF(OR(D776&lt;Capa!$A$5,D776&gt;Capa!$A$7,E776&lt;Capa!$A$5,E776&gt;Capa!$A$7,D776&gt;E776),"Erro","")</f>
        <v/>
      </c>
    </row>
    <row r="777" spans="1:9" ht="22.5">
      <c r="A777" s="345">
        <v>774</v>
      </c>
      <c r="B777" s="346" t="s">
        <v>210</v>
      </c>
      <c r="C777" s="347">
        <v>42.57</v>
      </c>
      <c r="D777" s="348">
        <v>46023</v>
      </c>
      <c r="E777" s="348">
        <v>46357</v>
      </c>
      <c r="F777" s="346" t="s">
        <v>633</v>
      </c>
      <c r="G777" s="350" t="s">
        <v>440</v>
      </c>
      <c r="H777" s="351">
        <f t="shared" si="14"/>
        <v>510.84000000000003</v>
      </c>
      <c r="I777" s="120" t="str">
        <f>IF(OR(D777&lt;Capa!$A$5,D777&gt;Capa!$A$7,E777&lt;Capa!$A$5,E777&gt;Capa!$A$7,D777&gt;E777),"Erro","")</f>
        <v/>
      </c>
    </row>
    <row r="778" spans="1:9" ht="22.5">
      <c r="A778" s="345">
        <v>775</v>
      </c>
      <c r="B778" s="346" t="s">
        <v>210</v>
      </c>
      <c r="C778" s="347">
        <v>45.05</v>
      </c>
      <c r="D778" s="348">
        <v>46388</v>
      </c>
      <c r="E778" s="348">
        <v>46722</v>
      </c>
      <c r="F778" s="346" t="s">
        <v>633</v>
      </c>
      <c r="G778" s="350" t="s">
        <v>440</v>
      </c>
      <c r="H778" s="351">
        <f t="shared" si="14"/>
        <v>540.59999999999991</v>
      </c>
      <c r="I778" s="120" t="str">
        <f>IF(OR(D778&lt;Capa!$A$5,D778&gt;Capa!$A$7,E778&lt;Capa!$A$5,E778&gt;Capa!$A$7,D778&gt;E778),"Erro","")</f>
        <v/>
      </c>
    </row>
    <row r="779" spans="1:9" ht="22.5">
      <c r="A779" s="345">
        <v>776</v>
      </c>
      <c r="B779" s="346" t="s">
        <v>210</v>
      </c>
      <c r="C779" s="347">
        <v>47.69</v>
      </c>
      <c r="D779" s="348">
        <v>46753</v>
      </c>
      <c r="E779" s="348">
        <v>47058</v>
      </c>
      <c r="F779" s="346" t="s">
        <v>633</v>
      </c>
      <c r="G779" s="350" t="s">
        <v>440</v>
      </c>
      <c r="H779" s="351">
        <f t="shared" si="14"/>
        <v>524.58999999999992</v>
      </c>
      <c r="I779" s="120" t="str">
        <f>IF(OR(D779&lt;Capa!$A$5,D779&gt;Capa!$A$7,E779&lt;Capa!$A$5,E779&gt;Capa!$A$7,D779&gt;E779),"Erro","")</f>
        <v/>
      </c>
    </row>
    <row r="780" spans="1:9" ht="22.5">
      <c r="A780" s="345">
        <v>777</v>
      </c>
      <c r="B780" s="346" t="s">
        <v>214</v>
      </c>
      <c r="C780" s="347">
        <v>116.9</v>
      </c>
      <c r="D780" s="348">
        <v>45261</v>
      </c>
      <c r="E780" s="348">
        <v>45627</v>
      </c>
      <c r="F780" s="346" t="s">
        <v>633</v>
      </c>
      <c r="G780" s="350" t="s">
        <v>440</v>
      </c>
      <c r="H780" s="351">
        <f t="shared" si="14"/>
        <v>1519.7</v>
      </c>
      <c r="I780" s="120" t="str">
        <f>IF(OR(D780&lt;Capa!$A$5,D780&gt;Capa!$A$7,E780&lt;Capa!$A$5,E780&gt;Capa!$A$7,D780&gt;E780),"Erro","")</f>
        <v/>
      </c>
    </row>
    <row r="781" spans="1:9" ht="22.5">
      <c r="A781" s="345">
        <v>778</v>
      </c>
      <c r="B781" s="346" t="s">
        <v>214</v>
      </c>
      <c r="C781" s="347">
        <v>123.72</v>
      </c>
      <c r="D781" s="348">
        <v>45658</v>
      </c>
      <c r="E781" s="348">
        <v>45992</v>
      </c>
      <c r="F781" s="346" t="s">
        <v>633</v>
      </c>
      <c r="G781" s="350" t="s">
        <v>440</v>
      </c>
      <c r="H781" s="351">
        <f t="shared" ref="H781:H842" si="15">IFERROR((DATEDIF(D781,E781,"M")+1)*C781,0)</f>
        <v>1484.6399999999999</v>
      </c>
      <c r="I781" s="120" t="str">
        <f>IF(OR(D781&lt;Capa!$A$5,D781&gt;Capa!$A$7,E781&lt;Capa!$A$5,E781&gt;Capa!$A$7,D781&gt;E781),"Erro","")</f>
        <v/>
      </c>
    </row>
    <row r="782" spans="1:9" ht="22.5">
      <c r="A782" s="345">
        <v>779</v>
      </c>
      <c r="B782" s="346" t="s">
        <v>214</v>
      </c>
      <c r="C782" s="347">
        <v>130.94999999999999</v>
      </c>
      <c r="D782" s="348">
        <v>46023</v>
      </c>
      <c r="E782" s="348">
        <v>46357</v>
      </c>
      <c r="F782" s="346" t="s">
        <v>633</v>
      </c>
      <c r="G782" s="350" t="s">
        <v>440</v>
      </c>
      <c r="H782" s="351">
        <f t="shared" si="15"/>
        <v>1571.3999999999999</v>
      </c>
      <c r="I782" s="120" t="str">
        <f>IF(OR(D782&lt;Capa!$A$5,D782&gt;Capa!$A$7,E782&lt;Capa!$A$5,E782&gt;Capa!$A$7,D782&gt;E782),"Erro","")</f>
        <v/>
      </c>
    </row>
    <row r="783" spans="1:9" ht="22.5">
      <c r="A783" s="345">
        <v>780</v>
      </c>
      <c r="B783" s="346" t="s">
        <v>214</v>
      </c>
      <c r="C783" s="347">
        <v>138.6</v>
      </c>
      <c r="D783" s="348">
        <v>46388</v>
      </c>
      <c r="E783" s="348">
        <v>46722</v>
      </c>
      <c r="F783" s="346" t="s">
        <v>633</v>
      </c>
      <c r="G783" s="350" t="s">
        <v>440</v>
      </c>
      <c r="H783" s="351">
        <f t="shared" si="15"/>
        <v>1663.1999999999998</v>
      </c>
      <c r="I783" s="120" t="str">
        <f>IF(OR(D783&lt;Capa!$A$5,D783&gt;Capa!$A$7,E783&lt;Capa!$A$5,E783&gt;Capa!$A$7,D783&gt;E783),"Erro","")</f>
        <v/>
      </c>
    </row>
    <row r="784" spans="1:9" ht="22.5">
      <c r="A784" s="345">
        <v>781</v>
      </c>
      <c r="B784" s="346" t="s">
        <v>214</v>
      </c>
      <c r="C784" s="347">
        <v>146.69</v>
      </c>
      <c r="D784" s="348">
        <v>46753</v>
      </c>
      <c r="E784" s="348">
        <v>47058</v>
      </c>
      <c r="F784" s="346" t="s">
        <v>633</v>
      </c>
      <c r="G784" s="350" t="s">
        <v>440</v>
      </c>
      <c r="H784" s="351">
        <f t="shared" si="15"/>
        <v>1613.59</v>
      </c>
      <c r="I784" s="120" t="str">
        <f>IF(OR(D784&lt;Capa!$A$5,D784&gt;Capa!$A$7,E784&lt;Capa!$A$5,E784&gt;Capa!$A$7,D784&gt;E784),"Erro","")</f>
        <v/>
      </c>
    </row>
    <row r="785" spans="1:9" ht="56.25">
      <c r="A785" s="345">
        <v>782</v>
      </c>
      <c r="B785" s="346" t="s">
        <v>212</v>
      </c>
      <c r="C785" s="347">
        <v>235.74</v>
      </c>
      <c r="D785" s="348">
        <v>45261</v>
      </c>
      <c r="E785" s="348">
        <v>45627</v>
      </c>
      <c r="F785" s="346" t="s">
        <v>633</v>
      </c>
      <c r="G785" s="350" t="s">
        <v>500</v>
      </c>
      <c r="H785" s="351">
        <f t="shared" si="15"/>
        <v>3064.62</v>
      </c>
      <c r="I785" s="120" t="str">
        <f>IF(OR(D785&lt;Capa!$A$5,D785&gt;Capa!$A$7,E785&lt;Capa!$A$5,E785&gt;Capa!$A$7,D785&gt;E785),"Erro","")</f>
        <v/>
      </c>
    </row>
    <row r="786" spans="1:9" ht="56.25">
      <c r="A786" s="345">
        <v>783</v>
      </c>
      <c r="B786" s="346" t="s">
        <v>212</v>
      </c>
      <c r="C786" s="347">
        <v>249.5</v>
      </c>
      <c r="D786" s="348">
        <v>45658</v>
      </c>
      <c r="E786" s="348">
        <v>45992</v>
      </c>
      <c r="F786" s="346" t="s">
        <v>633</v>
      </c>
      <c r="G786" s="350" t="s">
        <v>500</v>
      </c>
      <c r="H786" s="351">
        <f t="shared" si="15"/>
        <v>2994</v>
      </c>
      <c r="I786" s="120" t="str">
        <f>IF(OR(D786&lt;Capa!$A$5,D786&gt;Capa!$A$7,E786&lt;Capa!$A$5,E786&gt;Capa!$A$7,D786&gt;E786),"Erro","")</f>
        <v/>
      </c>
    </row>
    <row r="787" spans="1:9" ht="56.25">
      <c r="A787" s="345">
        <v>784</v>
      </c>
      <c r="B787" s="346" t="s">
        <v>212</v>
      </c>
      <c r="C787" s="347">
        <v>264.07</v>
      </c>
      <c r="D787" s="348">
        <v>46023</v>
      </c>
      <c r="E787" s="348">
        <v>46357</v>
      </c>
      <c r="F787" s="346" t="s">
        <v>633</v>
      </c>
      <c r="G787" s="350" t="s">
        <v>500</v>
      </c>
      <c r="H787" s="351">
        <f t="shared" si="15"/>
        <v>3168.84</v>
      </c>
      <c r="I787" s="120" t="str">
        <f>IF(OR(D787&lt;Capa!$A$5,D787&gt;Capa!$A$7,E787&lt;Capa!$A$5,E787&gt;Capa!$A$7,D787&gt;E787),"Erro","")</f>
        <v/>
      </c>
    </row>
    <row r="788" spans="1:9" ht="56.25">
      <c r="A788" s="345">
        <v>785</v>
      </c>
      <c r="B788" s="346" t="s">
        <v>212</v>
      </c>
      <c r="C788" s="347">
        <v>279.5</v>
      </c>
      <c r="D788" s="348">
        <v>46388</v>
      </c>
      <c r="E788" s="348">
        <v>46722</v>
      </c>
      <c r="F788" s="346" t="s">
        <v>633</v>
      </c>
      <c r="G788" s="350" t="s">
        <v>500</v>
      </c>
      <c r="H788" s="351">
        <f t="shared" si="15"/>
        <v>3354</v>
      </c>
      <c r="I788" s="120" t="str">
        <f>IF(OR(D788&lt;Capa!$A$5,D788&gt;Capa!$A$7,E788&lt;Capa!$A$5,E788&gt;Capa!$A$7,D788&gt;E788),"Erro","")</f>
        <v/>
      </c>
    </row>
    <row r="789" spans="1:9" ht="56.25">
      <c r="A789" s="345">
        <v>786</v>
      </c>
      <c r="B789" s="346" t="s">
        <v>212</v>
      </c>
      <c r="C789" s="347">
        <v>295.82</v>
      </c>
      <c r="D789" s="348">
        <v>46753</v>
      </c>
      <c r="E789" s="348">
        <v>47058</v>
      </c>
      <c r="F789" s="346" t="s">
        <v>633</v>
      </c>
      <c r="G789" s="350" t="s">
        <v>500</v>
      </c>
      <c r="H789" s="351">
        <f t="shared" si="15"/>
        <v>3254.02</v>
      </c>
      <c r="I789" s="120" t="str">
        <f>IF(OR(D789&lt;Capa!$A$5,D789&gt;Capa!$A$7,E789&lt;Capa!$A$5,E789&gt;Capa!$A$7,D789&gt;E789),"Erro","")</f>
        <v/>
      </c>
    </row>
    <row r="790" spans="1:9" ht="45">
      <c r="A790" s="345">
        <v>787</v>
      </c>
      <c r="B790" s="346" t="s">
        <v>248</v>
      </c>
      <c r="C790" s="347">
        <v>846</v>
      </c>
      <c r="D790" s="348">
        <v>45323</v>
      </c>
      <c r="E790" s="348">
        <v>45444</v>
      </c>
      <c r="F790" s="346" t="s">
        <v>633</v>
      </c>
      <c r="G790" s="350" t="s">
        <v>441</v>
      </c>
      <c r="H790" s="351">
        <f t="shared" si="15"/>
        <v>4230</v>
      </c>
      <c r="I790" s="120" t="str">
        <f>IF(OR(D790&lt;Capa!$A$5,D790&gt;Capa!$A$7,E790&lt;Capa!$A$5,E790&gt;Capa!$A$7,D790&gt;E790),"Erro","")</f>
        <v/>
      </c>
    </row>
    <row r="791" spans="1:9" ht="45">
      <c r="A791" s="345">
        <v>788</v>
      </c>
      <c r="B791" s="346" t="s">
        <v>248</v>
      </c>
      <c r="C791" s="347">
        <v>846</v>
      </c>
      <c r="D791" s="348">
        <v>45658</v>
      </c>
      <c r="E791" s="348">
        <v>45809</v>
      </c>
      <c r="F791" s="346" t="s">
        <v>633</v>
      </c>
      <c r="G791" s="350" t="s">
        <v>441</v>
      </c>
      <c r="H791" s="351">
        <f t="shared" si="15"/>
        <v>5076</v>
      </c>
      <c r="I791" s="120" t="str">
        <f>IF(OR(D791&lt;Capa!$A$5,D791&gt;Capa!$A$7,E791&lt;Capa!$A$5,E791&gt;Capa!$A$7,D791&gt;E791),"Erro","")</f>
        <v/>
      </c>
    </row>
    <row r="792" spans="1:9" ht="45">
      <c r="A792" s="345">
        <v>789</v>
      </c>
      <c r="B792" s="346" t="s">
        <v>248</v>
      </c>
      <c r="C792" s="347">
        <v>846</v>
      </c>
      <c r="D792" s="348">
        <v>46023</v>
      </c>
      <c r="E792" s="348">
        <v>46174</v>
      </c>
      <c r="F792" s="346" t="s">
        <v>633</v>
      </c>
      <c r="G792" s="350" t="s">
        <v>441</v>
      </c>
      <c r="H792" s="351">
        <f t="shared" si="15"/>
        <v>5076</v>
      </c>
      <c r="I792" s="120" t="str">
        <f>IF(OR(D792&lt;Capa!$A$5,D792&gt;Capa!$A$7,E792&lt;Capa!$A$5,E792&gt;Capa!$A$7,D792&gt;E792),"Erro","")</f>
        <v/>
      </c>
    </row>
    <row r="793" spans="1:9" ht="45">
      <c r="A793" s="345">
        <v>790</v>
      </c>
      <c r="B793" s="346" t="s">
        <v>248</v>
      </c>
      <c r="C793" s="347">
        <v>846</v>
      </c>
      <c r="D793" s="348">
        <v>46388</v>
      </c>
      <c r="E793" s="348">
        <v>46539</v>
      </c>
      <c r="F793" s="346" t="s">
        <v>633</v>
      </c>
      <c r="G793" s="350" t="s">
        <v>441</v>
      </c>
      <c r="H793" s="351">
        <f t="shared" si="15"/>
        <v>5076</v>
      </c>
      <c r="I793" s="120" t="str">
        <f>IF(OR(D793&lt;Capa!$A$5,D793&gt;Capa!$A$7,E793&lt;Capa!$A$5,E793&gt;Capa!$A$7,D793&gt;E793),"Erro","")</f>
        <v/>
      </c>
    </row>
    <row r="794" spans="1:9" ht="45">
      <c r="A794" s="345">
        <v>791</v>
      </c>
      <c r="B794" s="346" t="s">
        <v>248</v>
      </c>
      <c r="C794" s="347">
        <v>846</v>
      </c>
      <c r="D794" s="348">
        <v>46753</v>
      </c>
      <c r="E794" s="348">
        <v>46905</v>
      </c>
      <c r="F794" s="346" t="s">
        <v>633</v>
      </c>
      <c r="G794" s="350" t="s">
        <v>441</v>
      </c>
      <c r="H794" s="351">
        <f t="shared" si="15"/>
        <v>5076</v>
      </c>
      <c r="I794" s="120" t="str">
        <f>IF(OR(D794&lt;Capa!$A$5,D794&gt;Capa!$A$7,E794&lt;Capa!$A$5,E794&gt;Capa!$A$7,D794&gt;E794),"Erro","")</f>
        <v/>
      </c>
    </row>
    <row r="795" spans="1:9" ht="33.75">
      <c r="A795" s="345">
        <v>792</v>
      </c>
      <c r="B795" s="346" t="s">
        <v>266</v>
      </c>
      <c r="C795" s="347">
        <v>600</v>
      </c>
      <c r="D795" s="348">
        <v>45689</v>
      </c>
      <c r="E795" s="348">
        <v>45748</v>
      </c>
      <c r="F795" s="346" t="s">
        <v>633</v>
      </c>
      <c r="G795" s="350" t="s">
        <v>442</v>
      </c>
      <c r="H795" s="351">
        <f t="shared" si="15"/>
        <v>1800</v>
      </c>
      <c r="I795" s="120" t="str">
        <f>IF(OR(D795&lt;Capa!$A$5,D795&gt;Capa!$A$7,E795&lt;Capa!$A$5,E795&gt;Capa!$A$7,D795&gt;E795),"Erro","")</f>
        <v/>
      </c>
    </row>
    <row r="796" spans="1:9" ht="33.75">
      <c r="A796" s="345">
        <v>793</v>
      </c>
      <c r="B796" s="346" t="s">
        <v>266</v>
      </c>
      <c r="C796" s="347">
        <v>600</v>
      </c>
      <c r="D796" s="348">
        <v>46054</v>
      </c>
      <c r="E796" s="348">
        <v>46113</v>
      </c>
      <c r="F796" s="346" t="s">
        <v>633</v>
      </c>
      <c r="G796" s="350" t="s">
        <v>442</v>
      </c>
      <c r="H796" s="351">
        <f t="shared" si="15"/>
        <v>1800</v>
      </c>
      <c r="I796" s="120" t="str">
        <f>IF(OR(D796&lt;Capa!$A$5,D796&gt;Capa!$A$7,E796&lt;Capa!$A$5,E796&gt;Capa!$A$7,D796&gt;E796),"Erro","")</f>
        <v/>
      </c>
    </row>
    <row r="797" spans="1:9" ht="33.75">
      <c r="A797" s="345">
        <v>794</v>
      </c>
      <c r="B797" s="346" t="s">
        <v>266</v>
      </c>
      <c r="C797" s="347">
        <v>600</v>
      </c>
      <c r="D797" s="348">
        <v>46419</v>
      </c>
      <c r="E797" s="348">
        <v>46478</v>
      </c>
      <c r="F797" s="346" t="s">
        <v>633</v>
      </c>
      <c r="G797" s="350" t="s">
        <v>442</v>
      </c>
      <c r="H797" s="351">
        <f t="shared" si="15"/>
        <v>1800</v>
      </c>
      <c r="I797" s="120" t="str">
        <f>IF(OR(D797&lt;Capa!$A$5,D797&gt;Capa!$A$7,E797&lt;Capa!$A$5,E797&gt;Capa!$A$7,D797&gt;E797),"Erro","")</f>
        <v/>
      </c>
    </row>
    <row r="798" spans="1:9" ht="33.75">
      <c r="A798" s="345">
        <v>795</v>
      </c>
      <c r="B798" s="346" t="s">
        <v>266</v>
      </c>
      <c r="C798" s="347">
        <v>600</v>
      </c>
      <c r="D798" s="348">
        <v>46784</v>
      </c>
      <c r="E798" s="348">
        <v>46844</v>
      </c>
      <c r="F798" s="346" t="s">
        <v>633</v>
      </c>
      <c r="G798" s="350" t="s">
        <v>442</v>
      </c>
      <c r="H798" s="351">
        <f t="shared" si="15"/>
        <v>1800</v>
      </c>
      <c r="I798" s="120" t="str">
        <f>IF(OR(D798&lt;Capa!$A$5,D798&gt;Capa!$A$7,E798&lt;Capa!$A$5,E798&gt;Capa!$A$7,D798&gt;E798),"Erro","")</f>
        <v/>
      </c>
    </row>
    <row r="799" spans="1:9" ht="22.5">
      <c r="A799" s="345">
        <v>796</v>
      </c>
      <c r="B799" s="346" t="s">
        <v>274</v>
      </c>
      <c r="C799" s="347">
        <v>1100</v>
      </c>
      <c r="D799" s="348">
        <v>45261</v>
      </c>
      <c r="E799" s="348">
        <v>45627</v>
      </c>
      <c r="F799" s="346" t="s">
        <v>633</v>
      </c>
      <c r="G799" s="350" t="s">
        <v>443</v>
      </c>
      <c r="H799" s="351">
        <f t="shared" si="15"/>
        <v>14300</v>
      </c>
      <c r="I799" s="120" t="str">
        <f>IF(OR(D799&lt;Capa!$A$5,D799&gt;Capa!$A$7,E799&lt;Capa!$A$5,E799&gt;Capa!$A$7,D799&gt;E799),"Erro","")</f>
        <v/>
      </c>
    </row>
    <row r="800" spans="1:9" ht="22.5">
      <c r="A800" s="345">
        <v>797</v>
      </c>
      <c r="B800" s="346" t="s">
        <v>274</v>
      </c>
      <c r="C800" s="347">
        <v>1164.24</v>
      </c>
      <c r="D800" s="348">
        <v>45658</v>
      </c>
      <c r="E800" s="348">
        <v>45992</v>
      </c>
      <c r="F800" s="346" t="s">
        <v>633</v>
      </c>
      <c r="G800" s="350" t="s">
        <v>443</v>
      </c>
      <c r="H800" s="351">
        <f t="shared" si="15"/>
        <v>13970.880000000001</v>
      </c>
      <c r="I800" s="120" t="str">
        <f>IF(OR(D800&lt;Capa!$A$5,D800&gt;Capa!$A$7,E800&lt;Capa!$A$5,E800&gt;Capa!$A$7,D800&gt;E800),"Erro","")</f>
        <v/>
      </c>
    </row>
    <row r="801" spans="1:9" ht="22.5">
      <c r="A801" s="345">
        <v>798</v>
      </c>
      <c r="B801" s="346" t="s">
        <v>274</v>
      </c>
      <c r="C801" s="347">
        <v>1232.23</v>
      </c>
      <c r="D801" s="348">
        <v>46023</v>
      </c>
      <c r="E801" s="348">
        <v>46357</v>
      </c>
      <c r="F801" s="346" t="s">
        <v>633</v>
      </c>
      <c r="G801" s="350" t="s">
        <v>443</v>
      </c>
      <c r="H801" s="351">
        <f t="shared" si="15"/>
        <v>14786.76</v>
      </c>
      <c r="I801" s="120" t="str">
        <f>IF(OR(D801&lt;Capa!$A$5,D801&gt;Capa!$A$7,E801&lt;Capa!$A$5,E801&gt;Capa!$A$7,D801&gt;E801),"Erro","")</f>
        <v/>
      </c>
    </row>
    <row r="802" spans="1:9" ht="22.5">
      <c r="A802" s="345">
        <v>799</v>
      </c>
      <c r="B802" s="346" t="s">
        <v>274</v>
      </c>
      <c r="C802" s="347">
        <v>1304.19</v>
      </c>
      <c r="D802" s="348">
        <v>46388</v>
      </c>
      <c r="E802" s="348">
        <v>46722</v>
      </c>
      <c r="F802" s="346" t="s">
        <v>633</v>
      </c>
      <c r="G802" s="350" t="s">
        <v>443</v>
      </c>
      <c r="H802" s="351">
        <f t="shared" si="15"/>
        <v>15650.28</v>
      </c>
      <c r="I802" s="120" t="str">
        <f>IF(OR(D802&lt;Capa!$A$5,D802&gt;Capa!$A$7,E802&lt;Capa!$A$5,E802&gt;Capa!$A$7,D802&gt;E802),"Erro","")</f>
        <v/>
      </c>
    </row>
    <row r="803" spans="1:9" ht="22.5">
      <c r="A803" s="345">
        <v>800</v>
      </c>
      <c r="B803" s="346" t="s">
        <v>274</v>
      </c>
      <c r="C803" s="347">
        <v>1380.35</v>
      </c>
      <c r="D803" s="348">
        <v>46753</v>
      </c>
      <c r="E803" s="348">
        <v>47058</v>
      </c>
      <c r="F803" s="346" t="s">
        <v>633</v>
      </c>
      <c r="G803" s="350" t="s">
        <v>443</v>
      </c>
      <c r="H803" s="351">
        <f t="shared" si="15"/>
        <v>15183.849999999999</v>
      </c>
      <c r="I803" s="120" t="str">
        <f>IF(OR(D803&lt;Capa!$A$5,D803&gt;Capa!$A$7,E803&lt;Capa!$A$5,E803&gt;Capa!$A$7,D803&gt;E803),"Erro","")</f>
        <v/>
      </c>
    </row>
    <row r="804" spans="1:9" ht="56.25">
      <c r="A804" s="345">
        <v>801</v>
      </c>
      <c r="B804" s="346" t="s">
        <v>236</v>
      </c>
      <c r="C804" s="347">
        <v>690.19</v>
      </c>
      <c r="D804" s="348">
        <v>45292</v>
      </c>
      <c r="E804" s="348">
        <v>45627</v>
      </c>
      <c r="F804" s="346" t="s">
        <v>633</v>
      </c>
      <c r="G804" s="350" t="s">
        <v>444</v>
      </c>
      <c r="H804" s="351">
        <f t="shared" si="15"/>
        <v>8282.2800000000007</v>
      </c>
      <c r="I804" s="120" t="str">
        <f>IF(OR(D804&lt;Capa!$A$5,D804&gt;Capa!$A$7,E804&lt;Capa!$A$5,E804&gt;Capa!$A$7,D804&gt;E804),"Erro","")</f>
        <v/>
      </c>
    </row>
    <row r="805" spans="1:9" ht="56.25">
      <c r="A805" s="345">
        <v>802</v>
      </c>
      <c r="B805" s="346" t="s">
        <v>236</v>
      </c>
      <c r="C805" s="347">
        <v>760.49</v>
      </c>
      <c r="D805" s="348">
        <v>45658</v>
      </c>
      <c r="E805" s="348">
        <v>45992</v>
      </c>
      <c r="F805" s="346" t="s">
        <v>633</v>
      </c>
      <c r="G805" s="350" t="s">
        <v>444</v>
      </c>
      <c r="H805" s="351">
        <f t="shared" si="15"/>
        <v>9125.880000000001</v>
      </c>
      <c r="I805" s="120" t="str">
        <f>IF(OR(D805&lt;Capa!$A$5,D805&gt;Capa!$A$7,E805&lt;Capa!$A$5,E805&gt;Capa!$A$7,D805&gt;E805),"Erro","")</f>
        <v/>
      </c>
    </row>
    <row r="806" spans="1:9" ht="56.25">
      <c r="A806" s="345">
        <v>803</v>
      </c>
      <c r="B806" s="346" t="s">
        <v>236</v>
      </c>
      <c r="C806" s="347">
        <v>773.16</v>
      </c>
      <c r="D806" s="348">
        <v>46023</v>
      </c>
      <c r="E806" s="348">
        <v>46357</v>
      </c>
      <c r="F806" s="346" t="s">
        <v>633</v>
      </c>
      <c r="G806" s="350" t="s">
        <v>444</v>
      </c>
      <c r="H806" s="351">
        <f t="shared" si="15"/>
        <v>9277.92</v>
      </c>
      <c r="I806" s="120" t="str">
        <f>IF(OR(D806&lt;Capa!$A$5,D806&gt;Capa!$A$7,E806&lt;Capa!$A$5,E806&gt;Capa!$A$7,D806&gt;E806),"Erro","")</f>
        <v/>
      </c>
    </row>
    <row r="807" spans="1:9" ht="56.25">
      <c r="A807" s="345">
        <v>804</v>
      </c>
      <c r="B807" s="346" t="s">
        <v>236</v>
      </c>
      <c r="C807" s="347">
        <v>818.31</v>
      </c>
      <c r="D807" s="348">
        <v>46388</v>
      </c>
      <c r="E807" s="348">
        <v>46722</v>
      </c>
      <c r="F807" s="346" t="s">
        <v>633</v>
      </c>
      <c r="G807" s="350" t="s">
        <v>444</v>
      </c>
      <c r="H807" s="351">
        <f t="shared" si="15"/>
        <v>9819.7199999999993</v>
      </c>
      <c r="I807" s="120" t="str">
        <f>IF(OR(D807&lt;Capa!$A$5,D807&gt;Capa!$A$7,E807&lt;Capa!$A$5,E807&gt;Capa!$A$7,D807&gt;E807),"Erro","")</f>
        <v/>
      </c>
    </row>
    <row r="808" spans="1:9" ht="56.25">
      <c r="A808" s="345">
        <v>805</v>
      </c>
      <c r="B808" s="346" t="s">
        <v>236</v>
      </c>
      <c r="C808" s="347">
        <v>866.09</v>
      </c>
      <c r="D808" s="348">
        <v>46753</v>
      </c>
      <c r="E808" s="348">
        <v>47058</v>
      </c>
      <c r="F808" s="346" t="s">
        <v>633</v>
      </c>
      <c r="G808" s="350" t="s">
        <v>444</v>
      </c>
      <c r="H808" s="351">
        <f t="shared" si="15"/>
        <v>9526.99</v>
      </c>
      <c r="I808" s="120" t="str">
        <f>IF(OR(D808&lt;Capa!$A$5,D808&gt;Capa!$A$7,E808&lt;Capa!$A$5,E808&gt;Capa!$A$7,D808&gt;E808),"Erro","")</f>
        <v/>
      </c>
    </row>
    <row r="809" spans="1:9" ht="33.75">
      <c r="A809" s="345">
        <v>806</v>
      </c>
      <c r="B809" s="346" t="s">
        <v>240</v>
      </c>
      <c r="C809" s="347">
        <v>50</v>
      </c>
      <c r="D809" s="348">
        <v>45292</v>
      </c>
      <c r="E809" s="348">
        <v>45627</v>
      </c>
      <c r="F809" s="346" t="s">
        <v>633</v>
      </c>
      <c r="G809" s="350" t="s">
        <v>445</v>
      </c>
      <c r="H809" s="351">
        <f t="shared" si="15"/>
        <v>600</v>
      </c>
      <c r="I809" s="120" t="str">
        <f>IF(OR(D809&lt;Capa!$A$5,D809&gt;Capa!$A$7,E809&lt;Capa!$A$5,E809&gt;Capa!$A$7,D809&gt;E809),"Erro","")</f>
        <v/>
      </c>
    </row>
    <row r="810" spans="1:9" ht="33.75">
      <c r="A810" s="345">
        <v>807</v>
      </c>
      <c r="B810" s="346" t="s">
        <v>240</v>
      </c>
      <c r="C810" s="347">
        <v>50</v>
      </c>
      <c r="D810" s="348">
        <v>45658</v>
      </c>
      <c r="E810" s="348">
        <v>45992</v>
      </c>
      <c r="F810" s="346" t="s">
        <v>633</v>
      </c>
      <c r="G810" s="350" t="s">
        <v>445</v>
      </c>
      <c r="H810" s="351">
        <f t="shared" si="15"/>
        <v>600</v>
      </c>
      <c r="I810" s="120" t="str">
        <f>IF(OR(D810&lt;Capa!$A$5,D810&gt;Capa!$A$7,E810&lt;Capa!$A$5,E810&gt;Capa!$A$7,D810&gt;E810),"Erro","")</f>
        <v/>
      </c>
    </row>
    <row r="811" spans="1:9" ht="33.75">
      <c r="A811" s="345">
        <v>808</v>
      </c>
      <c r="B811" s="346" t="s">
        <v>240</v>
      </c>
      <c r="C811" s="347">
        <v>50</v>
      </c>
      <c r="D811" s="348">
        <v>46023</v>
      </c>
      <c r="E811" s="348">
        <v>46357</v>
      </c>
      <c r="F811" s="346" t="s">
        <v>633</v>
      </c>
      <c r="G811" s="350" t="s">
        <v>445</v>
      </c>
      <c r="H811" s="351">
        <f t="shared" si="15"/>
        <v>600</v>
      </c>
      <c r="I811" s="120" t="str">
        <f>IF(OR(D811&lt;Capa!$A$5,D811&gt;Capa!$A$7,E811&lt;Capa!$A$5,E811&gt;Capa!$A$7,D811&gt;E811),"Erro","")</f>
        <v/>
      </c>
    </row>
    <row r="812" spans="1:9" ht="33.75">
      <c r="A812" s="345">
        <v>809</v>
      </c>
      <c r="B812" s="346" t="s">
        <v>240</v>
      </c>
      <c r="C812" s="347">
        <v>50</v>
      </c>
      <c r="D812" s="348">
        <v>46388</v>
      </c>
      <c r="E812" s="348">
        <v>46722</v>
      </c>
      <c r="F812" s="346" t="s">
        <v>633</v>
      </c>
      <c r="G812" s="350" t="s">
        <v>445</v>
      </c>
      <c r="H812" s="351">
        <f t="shared" si="15"/>
        <v>600</v>
      </c>
      <c r="I812" s="120" t="str">
        <f>IF(OR(D812&lt;Capa!$A$5,D812&gt;Capa!$A$7,E812&lt;Capa!$A$5,E812&gt;Capa!$A$7,D812&gt;E812),"Erro","")</f>
        <v/>
      </c>
    </row>
    <row r="813" spans="1:9" ht="33.75">
      <c r="A813" s="345">
        <v>810</v>
      </c>
      <c r="B813" s="346" t="s">
        <v>240</v>
      </c>
      <c r="C813" s="347">
        <v>50</v>
      </c>
      <c r="D813" s="348">
        <v>46753</v>
      </c>
      <c r="E813" s="348">
        <v>47058</v>
      </c>
      <c r="F813" s="346" t="s">
        <v>633</v>
      </c>
      <c r="G813" s="350" t="s">
        <v>445</v>
      </c>
      <c r="H813" s="351">
        <f t="shared" si="15"/>
        <v>550</v>
      </c>
      <c r="I813" s="120" t="str">
        <f>IF(OR(D813&lt;Capa!$A$5,D813&gt;Capa!$A$7,E813&lt;Capa!$A$5,E813&gt;Capa!$A$7,D813&gt;E813),"Erro","")</f>
        <v/>
      </c>
    </row>
    <row r="814" spans="1:9" ht="45">
      <c r="A814" s="345">
        <v>811</v>
      </c>
      <c r="B814" s="346" t="s">
        <v>244</v>
      </c>
      <c r="C814" s="347">
        <v>250</v>
      </c>
      <c r="D814" s="348">
        <v>45261</v>
      </c>
      <c r="E814" s="348">
        <v>45627</v>
      </c>
      <c r="F814" s="346" t="s">
        <v>633</v>
      </c>
      <c r="G814" s="350" t="s">
        <v>446</v>
      </c>
      <c r="H814" s="351">
        <f t="shared" si="15"/>
        <v>3250</v>
      </c>
      <c r="I814" s="120" t="str">
        <f>IF(OR(D814&lt;Capa!$A$5,D814&gt;Capa!$A$7,E814&lt;Capa!$A$5,E814&gt;Capa!$A$7,D814&gt;E814),"Erro","")</f>
        <v/>
      </c>
    </row>
    <row r="815" spans="1:9" ht="45">
      <c r="A815" s="345">
        <v>812</v>
      </c>
      <c r="B815" s="346" t="s">
        <v>244</v>
      </c>
      <c r="C815" s="347">
        <v>300</v>
      </c>
      <c r="D815" s="348">
        <v>45658</v>
      </c>
      <c r="E815" s="348">
        <v>45992</v>
      </c>
      <c r="F815" s="346" t="s">
        <v>633</v>
      </c>
      <c r="G815" s="350" t="s">
        <v>446</v>
      </c>
      <c r="H815" s="351">
        <f t="shared" si="15"/>
        <v>3600</v>
      </c>
      <c r="I815" s="120" t="str">
        <f>IF(OR(D815&lt;Capa!$A$5,D815&gt;Capa!$A$7,E815&lt;Capa!$A$5,E815&gt;Capa!$A$7,D815&gt;E815),"Erro","")</f>
        <v/>
      </c>
    </row>
    <row r="816" spans="1:9" ht="45">
      <c r="A816" s="345">
        <v>813</v>
      </c>
      <c r="B816" s="346" t="s">
        <v>244</v>
      </c>
      <c r="C816" s="347">
        <v>300</v>
      </c>
      <c r="D816" s="348">
        <v>46023</v>
      </c>
      <c r="E816" s="348">
        <v>46357</v>
      </c>
      <c r="F816" s="346" t="s">
        <v>633</v>
      </c>
      <c r="G816" s="350" t="s">
        <v>446</v>
      </c>
      <c r="H816" s="351">
        <f t="shared" si="15"/>
        <v>3600</v>
      </c>
      <c r="I816" s="120" t="str">
        <f>IF(OR(D816&lt;Capa!$A$5,D816&gt;Capa!$A$7,E816&lt;Capa!$A$5,E816&gt;Capa!$A$7,D816&gt;E816),"Erro","")</f>
        <v/>
      </c>
    </row>
    <row r="817" spans="1:9" ht="45">
      <c r="A817" s="345">
        <v>814</v>
      </c>
      <c r="B817" s="346" t="s">
        <v>244</v>
      </c>
      <c r="C817" s="347">
        <v>350</v>
      </c>
      <c r="D817" s="348">
        <v>46388</v>
      </c>
      <c r="E817" s="348">
        <v>46722</v>
      </c>
      <c r="F817" s="346" t="s">
        <v>633</v>
      </c>
      <c r="G817" s="350" t="s">
        <v>446</v>
      </c>
      <c r="H817" s="351">
        <f t="shared" si="15"/>
        <v>4200</v>
      </c>
      <c r="I817" s="120" t="str">
        <f>IF(OR(D817&lt;Capa!$A$5,D817&gt;Capa!$A$7,E817&lt;Capa!$A$5,E817&gt;Capa!$A$7,D817&gt;E817),"Erro","")</f>
        <v/>
      </c>
    </row>
    <row r="818" spans="1:9" ht="45">
      <c r="A818" s="345">
        <v>815</v>
      </c>
      <c r="B818" s="346" t="s">
        <v>244</v>
      </c>
      <c r="C818" s="347">
        <v>350</v>
      </c>
      <c r="D818" s="348">
        <v>46753</v>
      </c>
      <c r="E818" s="348">
        <v>47058</v>
      </c>
      <c r="F818" s="346" t="s">
        <v>633</v>
      </c>
      <c r="G818" s="350" t="s">
        <v>446</v>
      </c>
      <c r="H818" s="351">
        <f t="shared" si="15"/>
        <v>3850</v>
      </c>
      <c r="I818" s="120" t="str">
        <f>IF(OR(D818&lt;Capa!$A$5,D818&gt;Capa!$A$7,E818&lt;Capa!$A$5,E818&gt;Capa!$A$7,D818&gt;E818),"Erro","")</f>
        <v/>
      </c>
    </row>
    <row r="819" spans="1:9" ht="33.75">
      <c r="A819" s="345">
        <v>816</v>
      </c>
      <c r="B819" s="346" t="s">
        <v>246</v>
      </c>
      <c r="C819" s="347">
        <v>275.18</v>
      </c>
      <c r="D819" s="348">
        <v>45658</v>
      </c>
      <c r="E819" s="348">
        <v>45992</v>
      </c>
      <c r="F819" s="346" t="s">
        <v>633</v>
      </c>
      <c r="G819" s="350" t="s">
        <v>447</v>
      </c>
      <c r="H819" s="351">
        <f t="shared" si="15"/>
        <v>3302.16</v>
      </c>
      <c r="I819" s="120" t="str">
        <f>IF(OR(D819&lt;Capa!$A$5,D819&gt;Capa!$A$7,E819&lt;Capa!$A$5,E819&gt;Capa!$A$7,D819&gt;E819),"Erro","")</f>
        <v/>
      </c>
    </row>
    <row r="820" spans="1:9" ht="33.75">
      <c r="A820" s="345">
        <v>817</v>
      </c>
      <c r="B820" s="346" t="s">
        <v>246</v>
      </c>
      <c r="C820" s="347">
        <v>291.25</v>
      </c>
      <c r="D820" s="348">
        <v>46023</v>
      </c>
      <c r="E820" s="348">
        <v>46357</v>
      </c>
      <c r="F820" s="346" t="s">
        <v>633</v>
      </c>
      <c r="G820" s="350" t="s">
        <v>447</v>
      </c>
      <c r="H820" s="351">
        <f t="shared" si="15"/>
        <v>3495</v>
      </c>
      <c r="I820" s="120" t="str">
        <f>IF(OR(D820&lt;Capa!$A$5,D820&gt;Capa!$A$7,E820&lt;Capa!$A$5,E820&gt;Capa!$A$7,D820&gt;E820),"Erro","")</f>
        <v/>
      </c>
    </row>
    <row r="821" spans="1:9" ht="33.75">
      <c r="A821" s="345">
        <v>818</v>
      </c>
      <c r="B821" s="346" t="s">
        <v>246</v>
      </c>
      <c r="C821" s="347">
        <v>308.26</v>
      </c>
      <c r="D821" s="348">
        <v>46388</v>
      </c>
      <c r="E821" s="348">
        <v>46722</v>
      </c>
      <c r="F821" s="346" t="s">
        <v>633</v>
      </c>
      <c r="G821" s="350" t="s">
        <v>447</v>
      </c>
      <c r="H821" s="351">
        <f t="shared" si="15"/>
        <v>3699.12</v>
      </c>
      <c r="I821" s="120" t="str">
        <f>IF(OR(D821&lt;Capa!$A$5,D821&gt;Capa!$A$7,E821&lt;Capa!$A$5,E821&gt;Capa!$A$7,D821&gt;E821),"Erro","")</f>
        <v/>
      </c>
    </row>
    <row r="822" spans="1:9" ht="33.75">
      <c r="A822" s="345">
        <v>819</v>
      </c>
      <c r="B822" s="346" t="s">
        <v>246</v>
      </c>
      <c r="C822" s="347">
        <v>326.26</v>
      </c>
      <c r="D822" s="348">
        <v>46753</v>
      </c>
      <c r="E822" s="348">
        <v>47058</v>
      </c>
      <c r="F822" s="346" t="s">
        <v>633</v>
      </c>
      <c r="G822" s="350" t="s">
        <v>447</v>
      </c>
      <c r="H822" s="351">
        <f t="shared" si="15"/>
        <v>3588.8599999999997</v>
      </c>
      <c r="I822" s="120" t="str">
        <f>IF(OR(D822&lt;Capa!$A$5,D822&gt;Capa!$A$7,E822&lt;Capa!$A$5,E822&gt;Capa!$A$7,D822&gt;E822),"Erro","")</f>
        <v/>
      </c>
    </row>
    <row r="823" spans="1:9" ht="33.75">
      <c r="A823" s="345">
        <v>820</v>
      </c>
      <c r="B823" s="346" t="s">
        <v>258</v>
      </c>
      <c r="C823" s="347">
        <v>193.77</v>
      </c>
      <c r="D823" s="348">
        <v>45261</v>
      </c>
      <c r="E823" s="348">
        <v>45627</v>
      </c>
      <c r="F823" s="346" t="s">
        <v>633</v>
      </c>
      <c r="G823" s="350" t="s">
        <v>448</v>
      </c>
      <c r="H823" s="351">
        <f t="shared" si="15"/>
        <v>2519.0100000000002</v>
      </c>
      <c r="I823" s="120" t="str">
        <f>IF(OR(D823&lt;Capa!$A$5,D823&gt;Capa!$A$7,E823&lt;Capa!$A$5,E823&gt;Capa!$A$7,D823&gt;E823),"Erro","")</f>
        <v/>
      </c>
    </row>
    <row r="824" spans="1:9" ht="33.75">
      <c r="A824" s="345">
        <v>821</v>
      </c>
      <c r="B824" s="346" t="s">
        <v>258</v>
      </c>
      <c r="C824" s="347">
        <v>205.08</v>
      </c>
      <c r="D824" s="348">
        <v>45658</v>
      </c>
      <c r="E824" s="348">
        <v>45992</v>
      </c>
      <c r="F824" s="346" t="s">
        <v>633</v>
      </c>
      <c r="G824" s="350" t="s">
        <v>448</v>
      </c>
      <c r="H824" s="351">
        <f t="shared" si="15"/>
        <v>2460.96</v>
      </c>
      <c r="I824" s="120" t="str">
        <f>IF(OR(D824&lt;Capa!$A$5,D824&gt;Capa!$A$7,E824&lt;Capa!$A$5,E824&gt;Capa!$A$7,D824&gt;E824),"Erro","")</f>
        <v/>
      </c>
    </row>
    <row r="825" spans="1:9" ht="33.75">
      <c r="A825" s="345">
        <v>822</v>
      </c>
      <c r="B825" s="346" t="s">
        <v>258</v>
      </c>
      <c r="C825" s="347">
        <v>217.06</v>
      </c>
      <c r="D825" s="348">
        <v>46023</v>
      </c>
      <c r="E825" s="348">
        <v>46357</v>
      </c>
      <c r="F825" s="346" t="s">
        <v>633</v>
      </c>
      <c r="G825" s="350" t="s">
        <v>448</v>
      </c>
      <c r="H825" s="351">
        <f t="shared" si="15"/>
        <v>2604.7200000000003</v>
      </c>
      <c r="I825" s="120" t="str">
        <f>IF(OR(D825&lt;Capa!$A$5,D825&gt;Capa!$A$7,E825&lt;Capa!$A$5,E825&gt;Capa!$A$7,D825&gt;E825),"Erro","")</f>
        <v/>
      </c>
    </row>
    <row r="826" spans="1:9" ht="33.75">
      <c r="A826" s="345">
        <v>823</v>
      </c>
      <c r="B826" s="346" t="s">
        <v>258</v>
      </c>
      <c r="C826" s="347">
        <v>229.74</v>
      </c>
      <c r="D826" s="348">
        <v>46388</v>
      </c>
      <c r="E826" s="348">
        <v>46722</v>
      </c>
      <c r="F826" s="346" t="s">
        <v>633</v>
      </c>
      <c r="G826" s="350" t="s">
        <v>448</v>
      </c>
      <c r="H826" s="351">
        <f t="shared" si="15"/>
        <v>2756.88</v>
      </c>
      <c r="I826" s="120" t="str">
        <f>IF(OR(D826&lt;Capa!$A$5,D826&gt;Capa!$A$7,E826&lt;Capa!$A$5,E826&gt;Capa!$A$7,D826&gt;E826),"Erro","")</f>
        <v/>
      </c>
    </row>
    <row r="827" spans="1:9" ht="33.75">
      <c r="A827" s="345">
        <v>824</v>
      </c>
      <c r="B827" s="346" t="s">
        <v>258</v>
      </c>
      <c r="C827" s="347">
        <v>243.16</v>
      </c>
      <c r="D827" s="348">
        <v>46753</v>
      </c>
      <c r="E827" s="348">
        <v>47058</v>
      </c>
      <c r="F827" s="346" t="s">
        <v>633</v>
      </c>
      <c r="G827" s="350" t="s">
        <v>448</v>
      </c>
      <c r="H827" s="351">
        <f t="shared" si="15"/>
        <v>2674.7599999999998</v>
      </c>
      <c r="I827" s="120" t="str">
        <f>IF(OR(D827&lt;Capa!$A$5,D827&gt;Capa!$A$7,E827&lt;Capa!$A$5,E827&gt;Capa!$A$7,D827&gt;E827),"Erro","")</f>
        <v/>
      </c>
    </row>
    <row r="828" spans="1:9" ht="56.25">
      <c r="A828" s="345">
        <v>825</v>
      </c>
      <c r="B828" s="346" t="s">
        <v>276</v>
      </c>
      <c r="C828" s="347">
        <v>670</v>
      </c>
      <c r="D828" s="348">
        <v>45658</v>
      </c>
      <c r="E828" s="348">
        <v>45992</v>
      </c>
      <c r="F828" s="346" t="s">
        <v>633</v>
      </c>
      <c r="G828" s="350" t="s">
        <v>449</v>
      </c>
      <c r="H828" s="351">
        <f t="shared" si="15"/>
        <v>8040</v>
      </c>
      <c r="I828" s="120" t="str">
        <f>IF(OR(D828&lt;Capa!$A$5,D828&gt;Capa!$A$7,E828&lt;Capa!$A$5,E828&gt;Capa!$A$7,D828&gt;E828),"Erro","")</f>
        <v/>
      </c>
    </row>
    <row r="829" spans="1:9" ht="56.25">
      <c r="A829" s="345">
        <v>826</v>
      </c>
      <c r="B829" s="346" t="s">
        <v>276</v>
      </c>
      <c r="C829" s="347">
        <v>670</v>
      </c>
      <c r="D829" s="348">
        <v>46023</v>
      </c>
      <c r="E829" s="348">
        <v>46357</v>
      </c>
      <c r="F829" s="346" t="s">
        <v>633</v>
      </c>
      <c r="G829" s="350" t="s">
        <v>449</v>
      </c>
      <c r="H829" s="351">
        <f t="shared" si="15"/>
        <v>8040</v>
      </c>
      <c r="I829" s="120" t="str">
        <f>IF(OR(D829&lt;Capa!$A$5,D829&gt;Capa!$A$7,E829&lt;Capa!$A$5,E829&gt;Capa!$A$7,D829&gt;E829),"Erro","")</f>
        <v/>
      </c>
    </row>
    <row r="830" spans="1:9" ht="56.25">
      <c r="A830" s="345">
        <v>827</v>
      </c>
      <c r="B830" s="346" t="s">
        <v>276</v>
      </c>
      <c r="C830" s="347">
        <v>670</v>
      </c>
      <c r="D830" s="348">
        <v>46388</v>
      </c>
      <c r="E830" s="348">
        <v>46722</v>
      </c>
      <c r="F830" s="346" t="s">
        <v>633</v>
      </c>
      <c r="G830" s="350" t="s">
        <v>449</v>
      </c>
      <c r="H830" s="351">
        <f t="shared" si="15"/>
        <v>8040</v>
      </c>
      <c r="I830" s="120" t="str">
        <f>IF(OR(D830&lt;Capa!$A$5,D830&gt;Capa!$A$7,E830&lt;Capa!$A$5,E830&gt;Capa!$A$7,D830&gt;E830),"Erro","")</f>
        <v/>
      </c>
    </row>
    <row r="831" spans="1:9" ht="56.25">
      <c r="A831" s="345">
        <v>828</v>
      </c>
      <c r="B831" s="346" t="s">
        <v>276</v>
      </c>
      <c r="C831" s="347">
        <v>670</v>
      </c>
      <c r="D831" s="348">
        <v>46753</v>
      </c>
      <c r="E831" s="348">
        <v>47058</v>
      </c>
      <c r="F831" s="346" t="s">
        <v>633</v>
      </c>
      <c r="G831" s="350" t="s">
        <v>449</v>
      </c>
      <c r="H831" s="351">
        <f t="shared" si="15"/>
        <v>7370</v>
      </c>
      <c r="I831" s="120" t="str">
        <f>IF(OR(D831&lt;Capa!$A$5,D831&gt;Capa!$A$7,E831&lt;Capa!$A$5,E831&gt;Capa!$A$7,D831&gt;E831),"Erro","")</f>
        <v/>
      </c>
    </row>
    <row r="832" spans="1:9" ht="45">
      <c r="A832" s="345">
        <v>829</v>
      </c>
      <c r="B832" s="346" t="s">
        <v>278</v>
      </c>
      <c r="C832" s="347">
        <v>16000</v>
      </c>
      <c r="D832" s="348">
        <v>45261</v>
      </c>
      <c r="E832" s="348">
        <v>45261</v>
      </c>
      <c r="F832" s="346" t="s">
        <v>633</v>
      </c>
      <c r="G832" s="350" t="s">
        <v>450</v>
      </c>
      <c r="H832" s="351">
        <f t="shared" si="15"/>
        <v>16000</v>
      </c>
      <c r="I832" s="120" t="str">
        <f>IF(OR(D832&lt;Capa!$A$5,D832&gt;Capa!$A$7,E832&lt;Capa!$A$5,E832&gt;Capa!$A$7,D832&gt;E832),"Erro","")</f>
        <v/>
      </c>
    </row>
    <row r="833" spans="1:9" ht="45">
      <c r="A833" s="345">
        <v>830</v>
      </c>
      <c r="B833" s="346" t="s">
        <v>278</v>
      </c>
      <c r="C833" s="347">
        <v>41370</v>
      </c>
      <c r="D833" s="348">
        <v>45292</v>
      </c>
      <c r="E833" s="348">
        <v>45627</v>
      </c>
      <c r="F833" s="346" t="s">
        <v>633</v>
      </c>
      <c r="G833" s="350" t="s">
        <v>450</v>
      </c>
      <c r="H833" s="351">
        <f t="shared" si="15"/>
        <v>496440</v>
      </c>
      <c r="I833" s="120" t="str">
        <f>IF(OR(D833&lt;Capa!$A$5,D833&gt;Capa!$A$7,E833&lt;Capa!$A$5,E833&gt;Capa!$A$7,D833&gt;E833),"Erro","")</f>
        <v/>
      </c>
    </row>
    <row r="834" spans="1:9" ht="45">
      <c r="A834" s="345">
        <v>831</v>
      </c>
      <c r="B834" s="346" t="s">
        <v>278</v>
      </c>
      <c r="C834" s="347">
        <v>43786</v>
      </c>
      <c r="D834" s="348">
        <v>45658</v>
      </c>
      <c r="E834" s="348">
        <v>45992</v>
      </c>
      <c r="F834" s="346" t="s">
        <v>633</v>
      </c>
      <c r="G834" s="350" t="s">
        <v>450</v>
      </c>
      <c r="H834" s="351">
        <f t="shared" si="15"/>
        <v>525432</v>
      </c>
      <c r="I834" s="120" t="str">
        <f>IF(OR(D834&lt;Capa!$A$5,D834&gt;Capa!$A$7,E834&lt;Capa!$A$5,E834&gt;Capa!$A$7,D834&gt;E834),"Erro","")</f>
        <v/>
      </c>
    </row>
    <row r="835" spans="1:9" ht="45">
      <c r="A835" s="345">
        <v>832</v>
      </c>
      <c r="B835" s="346" t="s">
        <v>278</v>
      </c>
      <c r="C835" s="347">
        <v>45562</v>
      </c>
      <c r="D835" s="348">
        <v>46023</v>
      </c>
      <c r="E835" s="348">
        <v>46357</v>
      </c>
      <c r="F835" s="346" t="s">
        <v>633</v>
      </c>
      <c r="G835" s="350" t="s">
        <v>450</v>
      </c>
      <c r="H835" s="351">
        <f t="shared" si="15"/>
        <v>546744</v>
      </c>
      <c r="I835" s="120" t="str">
        <f>IF(OR(D835&lt;Capa!$A$5,D835&gt;Capa!$A$7,E835&lt;Capa!$A$5,E835&gt;Capa!$A$7,D835&gt;E835),"Erro","")</f>
        <v/>
      </c>
    </row>
    <row r="836" spans="1:9" ht="45">
      <c r="A836" s="345">
        <v>833</v>
      </c>
      <c r="B836" s="346" t="s">
        <v>278</v>
      </c>
      <c r="C836" s="347">
        <v>48222.82</v>
      </c>
      <c r="D836" s="348">
        <v>46388</v>
      </c>
      <c r="E836" s="348">
        <v>46722</v>
      </c>
      <c r="F836" s="346" t="s">
        <v>633</v>
      </c>
      <c r="G836" s="350" t="s">
        <v>450</v>
      </c>
      <c r="H836" s="351">
        <f t="shared" si="15"/>
        <v>578673.84</v>
      </c>
      <c r="I836" s="120" t="str">
        <f>IF(OR(D836&lt;Capa!$A$5,D836&gt;Capa!$A$7,E836&lt;Capa!$A$5,E836&gt;Capa!$A$7,D836&gt;E836),"Erro","")</f>
        <v/>
      </c>
    </row>
    <row r="837" spans="1:9" ht="45">
      <c r="A837" s="345">
        <v>834</v>
      </c>
      <c r="B837" s="346" t="s">
        <v>278</v>
      </c>
      <c r="C837" s="347">
        <v>51039.03</v>
      </c>
      <c r="D837" s="348">
        <v>46753</v>
      </c>
      <c r="E837" s="348">
        <v>47058</v>
      </c>
      <c r="F837" s="346" t="s">
        <v>633</v>
      </c>
      <c r="G837" s="350" t="s">
        <v>450</v>
      </c>
      <c r="H837" s="351">
        <f t="shared" si="15"/>
        <v>561429.32999999996</v>
      </c>
      <c r="I837" s="120" t="str">
        <f>IF(OR(D837&lt;Capa!$A$5,D837&gt;Capa!$A$7,E837&lt;Capa!$A$5,E837&gt;Capa!$A$7,D837&gt;E837),"Erro","")</f>
        <v/>
      </c>
    </row>
    <row r="838" spans="1:9" ht="56.25">
      <c r="A838" s="345">
        <v>835</v>
      </c>
      <c r="B838" s="346" t="s">
        <v>280</v>
      </c>
      <c r="C838" s="347">
        <v>100</v>
      </c>
      <c r="D838" s="348">
        <v>45292</v>
      </c>
      <c r="E838" s="348">
        <v>45627</v>
      </c>
      <c r="F838" s="346" t="s">
        <v>633</v>
      </c>
      <c r="G838" s="350" t="s">
        <v>451</v>
      </c>
      <c r="H838" s="351">
        <f t="shared" si="15"/>
        <v>1200</v>
      </c>
      <c r="I838" s="120" t="str">
        <f>IF(OR(D838&lt;Capa!$A$5,D838&gt;Capa!$A$7,E838&lt;Capa!$A$5,E838&gt;Capa!$A$7,D838&gt;E838),"Erro","")</f>
        <v/>
      </c>
    </row>
    <row r="839" spans="1:9" ht="56.25">
      <c r="A839" s="345">
        <v>836</v>
      </c>
      <c r="B839" s="346" t="s">
        <v>280</v>
      </c>
      <c r="C839" s="347">
        <v>100</v>
      </c>
      <c r="D839" s="348">
        <v>45658</v>
      </c>
      <c r="E839" s="348">
        <v>45992</v>
      </c>
      <c r="F839" s="346" t="s">
        <v>633</v>
      </c>
      <c r="G839" s="350" t="s">
        <v>451</v>
      </c>
      <c r="H839" s="351">
        <f t="shared" si="15"/>
        <v>1200</v>
      </c>
      <c r="I839" s="120" t="str">
        <f>IF(OR(D839&lt;Capa!$A$5,D839&gt;Capa!$A$7,E839&lt;Capa!$A$5,E839&gt;Capa!$A$7,D839&gt;E839),"Erro","")</f>
        <v/>
      </c>
    </row>
    <row r="840" spans="1:9" ht="56.25">
      <c r="A840" s="345">
        <v>837</v>
      </c>
      <c r="B840" s="346" t="s">
        <v>280</v>
      </c>
      <c r="C840" s="347">
        <v>100</v>
      </c>
      <c r="D840" s="348">
        <v>46023</v>
      </c>
      <c r="E840" s="348">
        <v>46357</v>
      </c>
      <c r="F840" s="346" t="s">
        <v>633</v>
      </c>
      <c r="G840" s="350" t="s">
        <v>451</v>
      </c>
      <c r="H840" s="351">
        <f t="shared" si="15"/>
        <v>1200</v>
      </c>
      <c r="I840" s="120" t="str">
        <f>IF(OR(D840&lt;Capa!$A$5,D840&gt;Capa!$A$7,E840&lt;Capa!$A$5,E840&gt;Capa!$A$7,D840&gt;E840),"Erro","")</f>
        <v/>
      </c>
    </row>
    <row r="841" spans="1:9" ht="56.25">
      <c r="A841" s="345">
        <v>838</v>
      </c>
      <c r="B841" s="346" t="s">
        <v>280</v>
      </c>
      <c r="C841" s="347">
        <v>100</v>
      </c>
      <c r="D841" s="348">
        <v>46388</v>
      </c>
      <c r="E841" s="348">
        <v>46722</v>
      </c>
      <c r="F841" s="346" t="s">
        <v>633</v>
      </c>
      <c r="G841" s="350" t="s">
        <v>451</v>
      </c>
      <c r="H841" s="351">
        <f t="shared" si="15"/>
        <v>1200</v>
      </c>
      <c r="I841" s="120" t="str">
        <f>IF(OR(D841&lt;Capa!$A$5,D841&gt;Capa!$A$7,E841&lt;Capa!$A$5,E841&gt;Capa!$A$7,D841&gt;E841),"Erro","")</f>
        <v/>
      </c>
    </row>
    <row r="842" spans="1:9" ht="56.25">
      <c r="A842" s="345">
        <v>839</v>
      </c>
      <c r="B842" s="346" t="s">
        <v>280</v>
      </c>
      <c r="C842" s="347">
        <v>100</v>
      </c>
      <c r="D842" s="348">
        <v>46753</v>
      </c>
      <c r="E842" s="348">
        <v>47058</v>
      </c>
      <c r="F842" s="346" t="s">
        <v>633</v>
      </c>
      <c r="G842" s="350" t="s">
        <v>451</v>
      </c>
      <c r="H842" s="351">
        <f t="shared" si="15"/>
        <v>1100</v>
      </c>
      <c r="I842" s="120" t="str">
        <f>IF(OR(D842&lt;Capa!$A$5,D842&gt;Capa!$A$7,E842&lt;Capa!$A$5,E842&gt;Capa!$A$7,D842&gt;E842),"Erro","")</f>
        <v/>
      </c>
    </row>
    <row r="843" spans="1:9" ht="45">
      <c r="A843" s="345">
        <v>840</v>
      </c>
      <c r="B843" s="346" t="s">
        <v>282</v>
      </c>
      <c r="C843" s="347">
        <v>702.18</v>
      </c>
      <c r="D843" s="348">
        <v>45261</v>
      </c>
      <c r="E843" s="348">
        <v>45627</v>
      </c>
      <c r="F843" s="346" t="s">
        <v>633</v>
      </c>
      <c r="G843" s="350" t="s">
        <v>452</v>
      </c>
      <c r="H843" s="351">
        <f t="shared" ref="H843:H900" si="16">IFERROR((DATEDIF(D843,E843,"M")+1)*C843,0)</f>
        <v>9128.34</v>
      </c>
      <c r="I843" s="120" t="str">
        <f>IF(OR(D843&lt;Capa!$A$5,D843&gt;Capa!$A$7,E843&lt;Capa!$A$5,E843&gt;Capa!$A$7,D843&gt;E843),"Erro","")</f>
        <v/>
      </c>
    </row>
    <row r="844" spans="1:9" ht="45">
      <c r="A844" s="345">
        <v>841</v>
      </c>
      <c r="B844" s="346" t="s">
        <v>282</v>
      </c>
      <c r="C844" s="347">
        <v>743.18</v>
      </c>
      <c r="D844" s="348">
        <v>45658</v>
      </c>
      <c r="E844" s="348">
        <v>45992</v>
      </c>
      <c r="F844" s="346" t="s">
        <v>633</v>
      </c>
      <c r="G844" s="350" t="s">
        <v>452</v>
      </c>
      <c r="H844" s="351">
        <f t="shared" si="16"/>
        <v>8918.16</v>
      </c>
      <c r="I844" s="120" t="str">
        <f>IF(OR(D844&lt;Capa!$A$5,D844&gt;Capa!$A$7,E844&lt;Capa!$A$5,E844&gt;Capa!$A$7,D844&gt;E844),"Erro","")</f>
        <v/>
      </c>
    </row>
    <row r="845" spans="1:9" ht="45">
      <c r="A845" s="345">
        <v>842</v>
      </c>
      <c r="B845" s="346" t="s">
        <v>282</v>
      </c>
      <c r="C845" s="347">
        <v>786.59</v>
      </c>
      <c r="D845" s="348">
        <v>46023</v>
      </c>
      <c r="E845" s="348">
        <v>46357</v>
      </c>
      <c r="F845" s="346" t="s">
        <v>633</v>
      </c>
      <c r="G845" s="350" t="s">
        <v>452</v>
      </c>
      <c r="H845" s="351">
        <f t="shared" si="16"/>
        <v>9439.08</v>
      </c>
      <c r="I845" s="120" t="str">
        <f>IF(OR(D845&lt;Capa!$A$5,D845&gt;Capa!$A$7,E845&lt;Capa!$A$5,E845&gt;Capa!$A$7,D845&gt;E845),"Erro","")</f>
        <v/>
      </c>
    </row>
    <row r="846" spans="1:9" ht="45">
      <c r="A846" s="345">
        <v>843</v>
      </c>
      <c r="B846" s="346" t="s">
        <v>282</v>
      </c>
      <c r="C846" s="347">
        <v>832.52</v>
      </c>
      <c r="D846" s="348">
        <v>46388</v>
      </c>
      <c r="E846" s="348">
        <v>46722</v>
      </c>
      <c r="F846" s="346" t="s">
        <v>633</v>
      </c>
      <c r="G846" s="350" t="s">
        <v>452</v>
      </c>
      <c r="H846" s="351">
        <f t="shared" si="16"/>
        <v>9990.24</v>
      </c>
      <c r="I846" s="120" t="str">
        <f>IF(OR(D846&lt;Capa!$A$5,D846&gt;Capa!$A$7,E846&lt;Capa!$A$5,E846&gt;Capa!$A$7,D846&gt;E846),"Erro","")</f>
        <v/>
      </c>
    </row>
    <row r="847" spans="1:9" ht="45">
      <c r="A847" s="345">
        <v>844</v>
      </c>
      <c r="B847" s="346" t="s">
        <v>282</v>
      </c>
      <c r="C847" s="347">
        <v>881.14</v>
      </c>
      <c r="D847" s="348">
        <v>46753</v>
      </c>
      <c r="E847" s="348">
        <v>47058</v>
      </c>
      <c r="F847" s="346" t="s">
        <v>633</v>
      </c>
      <c r="G847" s="350" t="s">
        <v>452</v>
      </c>
      <c r="H847" s="351">
        <f t="shared" si="16"/>
        <v>9692.5399999999991</v>
      </c>
      <c r="I847" s="120" t="str">
        <f>IF(OR(D847&lt;Capa!$A$5,D847&gt;Capa!$A$7,E847&lt;Capa!$A$5,E847&gt;Capa!$A$7,D847&gt;E847),"Erro","")</f>
        <v/>
      </c>
    </row>
    <row r="848" spans="1:9" ht="45">
      <c r="A848" s="345">
        <v>845</v>
      </c>
      <c r="B848" s="346" t="s">
        <v>284</v>
      </c>
      <c r="C848" s="347">
        <v>1013.31</v>
      </c>
      <c r="D848" s="348">
        <v>45261</v>
      </c>
      <c r="E848" s="348">
        <v>45627</v>
      </c>
      <c r="F848" s="346" t="s">
        <v>633</v>
      </c>
      <c r="G848" s="350" t="s">
        <v>452</v>
      </c>
      <c r="H848" s="351">
        <f t="shared" si="16"/>
        <v>13173.029999999999</v>
      </c>
      <c r="I848" s="120" t="str">
        <f>IF(OR(D848&lt;Capa!$A$5,D848&gt;Capa!$A$7,E848&lt;Capa!$A$5,E848&gt;Capa!$A$7,D848&gt;E848),"Erro","")</f>
        <v/>
      </c>
    </row>
    <row r="849" spans="1:9" ht="45">
      <c r="A849" s="345">
        <v>846</v>
      </c>
      <c r="B849" s="346" t="s">
        <v>284</v>
      </c>
      <c r="C849" s="347">
        <v>1072.49</v>
      </c>
      <c r="D849" s="348">
        <v>45658</v>
      </c>
      <c r="E849" s="348">
        <v>45992</v>
      </c>
      <c r="F849" s="346" t="s">
        <v>633</v>
      </c>
      <c r="G849" s="350" t="s">
        <v>452</v>
      </c>
      <c r="H849" s="351">
        <f t="shared" si="16"/>
        <v>12869.880000000001</v>
      </c>
      <c r="I849" s="120" t="str">
        <f>IF(OR(D849&lt;Capa!$A$5,D849&gt;Capa!$A$7,E849&lt;Capa!$A$5,E849&gt;Capa!$A$7,D849&gt;E849),"Erro","")</f>
        <v/>
      </c>
    </row>
    <row r="850" spans="1:9" ht="45">
      <c r="A850" s="345">
        <v>847</v>
      </c>
      <c r="B850" s="346" t="s">
        <v>284</v>
      </c>
      <c r="C850" s="347">
        <v>1135.1199999999999</v>
      </c>
      <c r="D850" s="348">
        <v>46023</v>
      </c>
      <c r="E850" s="348">
        <v>46357</v>
      </c>
      <c r="F850" s="346" t="s">
        <v>633</v>
      </c>
      <c r="G850" s="350" t="s">
        <v>452</v>
      </c>
      <c r="H850" s="351">
        <f t="shared" si="16"/>
        <v>13621.439999999999</v>
      </c>
      <c r="I850" s="120" t="str">
        <f>IF(OR(D850&lt;Capa!$A$5,D850&gt;Capa!$A$7,E850&lt;Capa!$A$5,E850&gt;Capa!$A$7,D850&gt;E850),"Erro","")</f>
        <v/>
      </c>
    </row>
    <row r="851" spans="1:9" ht="45">
      <c r="A851" s="345">
        <v>848</v>
      </c>
      <c r="B851" s="346" t="s">
        <v>284</v>
      </c>
      <c r="C851" s="347">
        <v>1201.42</v>
      </c>
      <c r="D851" s="348">
        <v>46388</v>
      </c>
      <c r="E851" s="348">
        <v>46722</v>
      </c>
      <c r="F851" s="346" t="s">
        <v>633</v>
      </c>
      <c r="G851" s="350" t="s">
        <v>452</v>
      </c>
      <c r="H851" s="351">
        <f t="shared" si="16"/>
        <v>14417.04</v>
      </c>
      <c r="I851" s="120" t="str">
        <f>IF(OR(D851&lt;Capa!$A$5,D851&gt;Capa!$A$7,E851&lt;Capa!$A$5,E851&gt;Capa!$A$7,D851&gt;E851),"Erro","")</f>
        <v/>
      </c>
    </row>
    <row r="852" spans="1:9" ht="45">
      <c r="A852" s="345">
        <v>849</v>
      </c>
      <c r="B852" s="346" t="s">
        <v>284</v>
      </c>
      <c r="C852" s="347">
        <v>1271.58</v>
      </c>
      <c r="D852" s="348">
        <v>46753</v>
      </c>
      <c r="E852" s="348">
        <v>47058</v>
      </c>
      <c r="F852" s="346" t="s">
        <v>633</v>
      </c>
      <c r="G852" s="350" t="s">
        <v>452</v>
      </c>
      <c r="H852" s="351">
        <f t="shared" si="16"/>
        <v>13987.38</v>
      </c>
      <c r="I852" s="120" t="str">
        <f>IF(OR(D852&lt;Capa!$A$5,D852&gt;Capa!$A$7,E852&lt;Capa!$A$5,E852&gt;Capa!$A$7,D852&gt;E852),"Erro","")</f>
        <v/>
      </c>
    </row>
    <row r="853" spans="1:9" ht="45">
      <c r="A853" s="345">
        <v>850</v>
      </c>
      <c r="B853" s="346" t="s">
        <v>286</v>
      </c>
      <c r="C853" s="347">
        <v>1013.31</v>
      </c>
      <c r="D853" s="348">
        <v>45261</v>
      </c>
      <c r="E853" s="348">
        <v>45627</v>
      </c>
      <c r="F853" s="346" t="s">
        <v>633</v>
      </c>
      <c r="G853" s="350" t="s">
        <v>452</v>
      </c>
      <c r="H853" s="351">
        <f t="shared" si="16"/>
        <v>13173.029999999999</v>
      </c>
      <c r="I853" s="120" t="str">
        <f>IF(OR(D853&lt;Capa!$A$5,D853&gt;Capa!$A$7,E853&lt;Capa!$A$5,E853&gt;Capa!$A$7,D853&gt;E853),"Erro","")</f>
        <v/>
      </c>
    </row>
    <row r="854" spans="1:9" ht="45">
      <c r="A854" s="345">
        <v>851</v>
      </c>
      <c r="B854" s="346" t="s">
        <v>286</v>
      </c>
      <c r="C854" s="347">
        <v>1072.49</v>
      </c>
      <c r="D854" s="348">
        <v>45658</v>
      </c>
      <c r="E854" s="348">
        <v>45992</v>
      </c>
      <c r="F854" s="346" t="s">
        <v>633</v>
      </c>
      <c r="G854" s="350" t="s">
        <v>452</v>
      </c>
      <c r="H854" s="351">
        <f t="shared" si="16"/>
        <v>12869.880000000001</v>
      </c>
      <c r="I854" s="120" t="str">
        <f>IF(OR(D854&lt;Capa!$A$5,D854&gt;Capa!$A$7,E854&lt;Capa!$A$5,E854&gt;Capa!$A$7,D854&gt;E854),"Erro","")</f>
        <v/>
      </c>
    </row>
    <row r="855" spans="1:9" ht="45">
      <c r="A855" s="345">
        <v>852</v>
      </c>
      <c r="B855" s="346" t="s">
        <v>286</v>
      </c>
      <c r="C855" s="347">
        <v>1135.1199999999999</v>
      </c>
      <c r="D855" s="348">
        <v>46023</v>
      </c>
      <c r="E855" s="348">
        <v>46357</v>
      </c>
      <c r="F855" s="346" t="s">
        <v>633</v>
      </c>
      <c r="G855" s="350" t="s">
        <v>452</v>
      </c>
      <c r="H855" s="351">
        <f t="shared" si="16"/>
        <v>13621.439999999999</v>
      </c>
      <c r="I855" s="120" t="str">
        <f>IF(OR(D855&lt;Capa!$A$5,D855&gt;Capa!$A$7,E855&lt;Capa!$A$5,E855&gt;Capa!$A$7,D855&gt;E855),"Erro","")</f>
        <v/>
      </c>
    </row>
    <row r="856" spans="1:9" ht="45">
      <c r="A856" s="345">
        <v>853</v>
      </c>
      <c r="B856" s="346" t="s">
        <v>286</v>
      </c>
      <c r="C856" s="347">
        <v>1201.4100000000001</v>
      </c>
      <c r="D856" s="348">
        <v>46388</v>
      </c>
      <c r="E856" s="348">
        <v>46722</v>
      </c>
      <c r="F856" s="346" t="s">
        <v>633</v>
      </c>
      <c r="G856" s="350" t="s">
        <v>452</v>
      </c>
      <c r="H856" s="351">
        <f t="shared" si="16"/>
        <v>14416.920000000002</v>
      </c>
      <c r="I856" s="120" t="str">
        <f>IF(OR(D856&lt;Capa!$A$5,D856&gt;Capa!$A$7,E856&lt;Capa!$A$5,E856&gt;Capa!$A$7,D856&gt;E856),"Erro","")</f>
        <v/>
      </c>
    </row>
    <row r="857" spans="1:9" ht="45">
      <c r="A857" s="345">
        <v>854</v>
      </c>
      <c r="B857" s="346" t="s">
        <v>286</v>
      </c>
      <c r="C857" s="347">
        <v>1271.57</v>
      </c>
      <c r="D857" s="348">
        <v>46753</v>
      </c>
      <c r="E857" s="348">
        <v>47058</v>
      </c>
      <c r="F857" s="346" t="s">
        <v>633</v>
      </c>
      <c r="G857" s="350" t="s">
        <v>452</v>
      </c>
      <c r="H857" s="351">
        <f t="shared" si="16"/>
        <v>13987.269999999999</v>
      </c>
      <c r="I857" s="120" t="str">
        <f>IF(OR(D857&lt;Capa!$A$5,D857&gt;Capa!$A$7,E857&lt;Capa!$A$5,E857&gt;Capa!$A$7,D857&gt;E857),"Erro","")</f>
        <v/>
      </c>
    </row>
    <row r="858" spans="1:9" ht="45">
      <c r="A858" s="345">
        <v>855</v>
      </c>
      <c r="B858" s="346" t="s">
        <v>288</v>
      </c>
      <c r="C858" s="347">
        <v>200</v>
      </c>
      <c r="D858" s="348">
        <v>45261</v>
      </c>
      <c r="E858" s="348">
        <v>45627</v>
      </c>
      <c r="F858" s="346" t="s">
        <v>633</v>
      </c>
      <c r="G858" s="350" t="s">
        <v>453</v>
      </c>
      <c r="H858" s="351">
        <f t="shared" si="16"/>
        <v>2600</v>
      </c>
      <c r="I858" s="120" t="str">
        <f>IF(OR(D858&lt;Capa!$A$5,D858&gt;Capa!$A$7,E858&lt;Capa!$A$5,E858&gt;Capa!$A$7,D858&gt;E858),"Erro","")</f>
        <v/>
      </c>
    </row>
    <row r="859" spans="1:9" ht="45">
      <c r="A859" s="345">
        <v>856</v>
      </c>
      <c r="B859" s="346" t="s">
        <v>288</v>
      </c>
      <c r="C859" s="347">
        <v>200</v>
      </c>
      <c r="D859" s="348">
        <v>45658</v>
      </c>
      <c r="E859" s="348">
        <v>45992</v>
      </c>
      <c r="F859" s="346" t="s">
        <v>633</v>
      </c>
      <c r="G859" s="350" t="s">
        <v>453</v>
      </c>
      <c r="H859" s="351">
        <f t="shared" si="16"/>
        <v>2400</v>
      </c>
      <c r="I859" s="120" t="str">
        <f>IF(OR(D859&lt;Capa!$A$5,D859&gt;Capa!$A$7,E859&lt;Capa!$A$5,E859&gt;Capa!$A$7,D859&gt;E859),"Erro","")</f>
        <v/>
      </c>
    </row>
    <row r="860" spans="1:9" ht="45">
      <c r="A860" s="345">
        <v>857</v>
      </c>
      <c r="B860" s="346" t="s">
        <v>288</v>
      </c>
      <c r="C860" s="347">
        <v>200</v>
      </c>
      <c r="D860" s="348">
        <v>46023</v>
      </c>
      <c r="E860" s="348">
        <v>46357</v>
      </c>
      <c r="F860" s="346" t="s">
        <v>633</v>
      </c>
      <c r="G860" s="350" t="s">
        <v>453</v>
      </c>
      <c r="H860" s="351">
        <f t="shared" si="16"/>
        <v>2400</v>
      </c>
      <c r="I860" s="120" t="str">
        <f>IF(OR(D860&lt;Capa!$A$5,D860&gt;Capa!$A$7,E860&lt;Capa!$A$5,E860&gt;Capa!$A$7,D860&gt;E860),"Erro","")</f>
        <v/>
      </c>
    </row>
    <row r="861" spans="1:9" ht="45">
      <c r="A861" s="345">
        <v>858</v>
      </c>
      <c r="B861" s="346" t="s">
        <v>288</v>
      </c>
      <c r="C861" s="347">
        <v>200</v>
      </c>
      <c r="D861" s="348">
        <v>46388</v>
      </c>
      <c r="E861" s="348">
        <v>46722</v>
      </c>
      <c r="F861" s="346" t="s">
        <v>633</v>
      </c>
      <c r="G861" s="350" t="s">
        <v>453</v>
      </c>
      <c r="H861" s="351">
        <f t="shared" si="16"/>
        <v>2400</v>
      </c>
      <c r="I861" s="120" t="str">
        <f>IF(OR(D861&lt;Capa!$A$5,D861&gt;Capa!$A$7,E861&lt;Capa!$A$5,E861&gt;Capa!$A$7,D861&gt;E861),"Erro","")</f>
        <v/>
      </c>
    </row>
    <row r="862" spans="1:9" ht="45">
      <c r="A862" s="345">
        <v>859</v>
      </c>
      <c r="B862" s="346" t="s">
        <v>288</v>
      </c>
      <c r="C862" s="347">
        <v>200</v>
      </c>
      <c r="D862" s="348">
        <v>46753</v>
      </c>
      <c r="E862" s="348">
        <v>47058</v>
      </c>
      <c r="F862" s="346" t="s">
        <v>633</v>
      </c>
      <c r="G862" s="350" t="s">
        <v>453</v>
      </c>
      <c r="H862" s="351">
        <f t="shared" si="16"/>
        <v>2200</v>
      </c>
      <c r="I862" s="120" t="str">
        <f>IF(OR(D862&lt;Capa!$A$5,D862&gt;Capa!$A$7,E862&lt;Capa!$A$5,E862&gt;Capa!$A$7,D862&gt;E862),"Erro","")</f>
        <v/>
      </c>
    </row>
    <row r="863" spans="1:9" ht="33.75">
      <c r="A863" s="345">
        <v>860</v>
      </c>
      <c r="B863" s="346" t="s">
        <v>294</v>
      </c>
      <c r="C863" s="347">
        <v>7000</v>
      </c>
      <c r="D863" s="348">
        <v>45261</v>
      </c>
      <c r="E863" s="348">
        <v>45627</v>
      </c>
      <c r="F863" s="346" t="s">
        <v>633</v>
      </c>
      <c r="G863" s="350" t="s">
        <v>454</v>
      </c>
      <c r="H863" s="351">
        <f t="shared" si="16"/>
        <v>91000</v>
      </c>
      <c r="I863" s="120" t="str">
        <f>IF(OR(D863&lt;Capa!$A$5,D863&gt;Capa!$A$7,E863&lt;Capa!$A$5,E863&gt;Capa!$A$7,D863&gt;E863),"Erro","")</f>
        <v/>
      </c>
    </row>
    <row r="864" spans="1:9" ht="33.75">
      <c r="A864" s="345">
        <v>861</v>
      </c>
      <c r="B864" s="346" t="s">
        <v>294</v>
      </c>
      <c r="C864" s="347">
        <v>7408.8</v>
      </c>
      <c r="D864" s="348">
        <v>45658</v>
      </c>
      <c r="E864" s="348">
        <v>45992</v>
      </c>
      <c r="F864" s="346" t="s">
        <v>633</v>
      </c>
      <c r="G864" s="350" t="s">
        <v>454</v>
      </c>
      <c r="H864" s="351">
        <f t="shared" si="16"/>
        <v>88905.600000000006</v>
      </c>
      <c r="I864" s="120" t="str">
        <f>IF(OR(D864&lt;Capa!$A$5,D864&gt;Capa!$A$7,E864&lt;Capa!$A$5,E864&gt;Capa!$A$7,D864&gt;E864),"Erro","")</f>
        <v/>
      </c>
    </row>
    <row r="865" spans="1:9" ht="33.75">
      <c r="A865" s="345">
        <v>862</v>
      </c>
      <c r="B865" s="346" t="s">
        <v>294</v>
      </c>
      <c r="C865" s="347">
        <v>7847.65</v>
      </c>
      <c r="D865" s="348">
        <v>46023</v>
      </c>
      <c r="E865" s="348">
        <v>46357</v>
      </c>
      <c r="F865" s="346" t="s">
        <v>633</v>
      </c>
      <c r="G865" s="350" t="s">
        <v>454</v>
      </c>
      <c r="H865" s="351">
        <f t="shared" si="16"/>
        <v>94171.799999999988</v>
      </c>
      <c r="I865" s="120" t="str">
        <f>IF(OR(D865&lt;Capa!$A$5,D865&gt;Capa!$A$7,E865&lt;Capa!$A$5,E865&gt;Capa!$A$7,D865&gt;E865),"Erro","")</f>
        <v/>
      </c>
    </row>
    <row r="866" spans="1:9" ht="33.75">
      <c r="A866" s="345">
        <v>863</v>
      </c>
      <c r="B866" s="346" t="s">
        <v>294</v>
      </c>
      <c r="C866" s="347">
        <v>8305.9500000000007</v>
      </c>
      <c r="D866" s="348">
        <v>46388</v>
      </c>
      <c r="E866" s="348">
        <v>46722</v>
      </c>
      <c r="F866" s="346" t="s">
        <v>633</v>
      </c>
      <c r="G866" s="350" t="s">
        <v>454</v>
      </c>
      <c r="H866" s="351">
        <f t="shared" si="16"/>
        <v>99671.400000000009</v>
      </c>
      <c r="I866" s="120" t="str">
        <f>IF(OR(D866&lt;Capa!$A$5,D866&gt;Capa!$A$7,E866&lt;Capa!$A$5,E866&gt;Capa!$A$7,D866&gt;E866),"Erro","")</f>
        <v/>
      </c>
    </row>
    <row r="867" spans="1:9" ht="33.75">
      <c r="A867" s="345">
        <v>864</v>
      </c>
      <c r="B867" s="346" t="s">
        <v>294</v>
      </c>
      <c r="C867" s="347">
        <v>8791.02</v>
      </c>
      <c r="D867" s="348">
        <v>46753</v>
      </c>
      <c r="E867" s="348">
        <v>47058</v>
      </c>
      <c r="F867" s="346" t="s">
        <v>633</v>
      </c>
      <c r="G867" s="350" t="s">
        <v>454</v>
      </c>
      <c r="H867" s="351">
        <f t="shared" si="16"/>
        <v>96701.22</v>
      </c>
      <c r="I867" s="120" t="str">
        <f>IF(OR(D867&lt;Capa!$A$5,D867&gt;Capa!$A$7,E867&lt;Capa!$A$5,E867&gt;Capa!$A$7,D867&gt;E867),"Erro","")</f>
        <v/>
      </c>
    </row>
    <row r="868" spans="1:9" ht="22.5">
      <c r="A868" s="345">
        <v>865</v>
      </c>
      <c r="B868" s="346" t="s">
        <v>302</v>
      </c>
      <c r="C868" s="347">
        <v>210</v>
      </c>
      <c r="D868" s="348">
        <v>45261</v>
      </c>
      <c r="E868" s="348">
        <v>45627</v>
      </c>
      <c r="F868" s="346" t="s">
        <v>633</v>
      </c>
      <c r="G868" s="350" t="s">
        <v>455</v>
      </c>
      <c r="H868" s="351">
        <f t="shared" si="16"/>
        <v>2730</v>
      </c>
      <c r="I868" s="120" t="str">
        <f>IF(OR(D868&lt;Capa!$A$5,D868&gt;Capa!$A$7,E868&lt;Capa!$A$5,E868&gt;Capa!$A$7,D868&gt;E868),"Erro","")</f>
        <v/>
      </c>
    </row>
    <row r="869" spans="1:9" ht="22.5">
      <c r="A869" s="345">
        <v>866</v>
      </c>
      <c r="B869" s="346" t="s">
        <v>302</v>
      </c>
      <c r="C869" s="347">
        <v>210</v>
      </c>
      <c r="D869" s="348">
        <v>45658</v>
      </c>
      <c r="E869" s="348">
        <v>45992</v>
      </c>
      <c r="F869" s="346" t="s">
        <v>633</v>
      </c>
      <c r="G869" s="350" t="s">
        <v>455</v>
      </c>
      <c r="H869" s="351">
        <f t="shared" si="16"/>
        <v>2520</v>
      </c>
      <c r="I869" s="120" t="str">
        <f>IF(OR(D869&lt;Capa!$A$5,D869&gt;Capa!$A$7,E869&lt;Capa!$A$5,E869&gt;Capa!$A$7,D869&gt;E869),"Erro","")</f>
        <v/>
      </c>
    </row>
    <row r="870" spans="1:9" ht="22.5">
      <c r="A870" s="345">
        <v>867</v>
      </c>
      <c r="B870" s="346" t="s">
        <v>302</v>
      </c>
      <c r="C870" s="347">
        <v>210</v>
      </c>
      <c r="D870" s="348">
        <v>46023</v>
      </c>
      <c r="E870" s="348">
        <v>46357</v>
      </c>
      <c r="F870" s="346" t="s">
        <v>633</v>
      </c>
      <c r="G870" s="350" t="s">
        <v>455</v>
      </c>
      <c r="H870" s="351">
        <f t="shared" si="16"/>
        <v>2520</v>
      </c>
      <c r="I870" s="120" t="str">
        <f>IF(OR(D870&lt;Capa!$A$5,D870&gt;Capa!$A$7,E870&lt;Capa!$A$5,E870&gt;Capa!$A$7,D870&gt;E870),"Erro","")</f>
        <v/>
      </c>
    </row>
    <row r="871" spans="1:9" ht="22.5">
      <c r="A871" s="345">
        <v>868</v>
      </c>
      <c r="B871" s="346" t="s">
        <v>302</v>
      </c>
      <c r="C871" s="347">
        <v>210</v>
      </c>
      <c r="D871" s="348">
        <v>46388</v>
      </c>
      <c r="E871" s="348">
        <v>46722</v>
      </c>
      <c r="F871" s="346" t="s">
        <v>633</v>
      </c>
      <c r="G871" s="350" t="s">
        <v>455</v>
      </c>
      <c r="H871" s="351">
        <f t="shared" si="16"/>
        <v>2520</v>
      </c>
      <c r="I871" s="120" t="str">
        <f>IF(OR(D871&lt;Capa!$A$5,D871&gt;Capa!$A$7,E871&lt;Capa!$A$5,E871&gt;Capa!$A$7,D871&gt;E871),"Erro","")</f>
        <v/>
      </c>
    </row>
    <row r="872" spans="1:9" ht="22.5">
      <c r="A872" s="345">
        <v>869</v>
      </c>
      <c r="B872" s="346" t="s">
        <v>302</v>
      </c>
      <c r="C872" s="347">
        <v>210</v>
      </c>
      <c r="D872" s="348">
        <v>46753</v>
      </c>
      <c r="E872" s="348">
        <v>47058</v>
      </c>
      <c r="F872" s="346" t="s">
        <v>633</v>
      </c>
      <c r="G872" s="350" t="s">
        <v>455</v>
      </c>
      <c r="H872" s="351">
        <f t="shared" si="16"/>
        <v>2310</v>
      </c>
      <c r="I872" s="120" t="str">
        <f>IF(OR(D872&lt;Capa!$A$5,D872&gt;Capa!$A$7,E872&lt;Capa!$A$5,E872&gt;Capa!$A$7,D872&gt;E872),"Erro","")</f>
        <v/>
      </c>
    </row>
    <row r="873" spans="1:9" ht="33.75">
      <c r="A873" s="345">
        <v>870</v>
      </c>
      <c r="B873" s="346" t="s">
        <v>304</v>
      </c>
      <c r="C873" s="347">
        <v>1800</v>
      </c>
      <c r="D873" s="348">
        <v>45261</v>
      </c>
      <c r="E873" s="348">
        <v>45627</v>
      </c>
      <c r="F873" s="346" t="s">
        <v>633</v>
      </c>
      <c r="G873" s="350" t="s">
        <v>456</v>
      </c>
      <c r="H873" s="351">
        <f t="shared" si="16"/>
        <v>23400</v>
      </c>
      <c r="I873" s="120" t="str">
        <f>IF(OR(D873&lt;Capa!$A$5,D873&gt;Capa!$A$7,E873&lt;Capa!$A$5,E873&gt;Capa!$A$7,D873&gt;E873),"Erro","")</f>
        <v/>
      </c>
    </row>
    <row r="874" spans="1:9" ht="33.75">
      <c r="A874" s="345">
        <v>871</v>
      </c>
      <c r="B874" s="346" t="s">
        <v>304</v>
      </c>
      <c r="C874" s="347">
        <v>1905.12</v>
      </c>
      <c r="D874" s="348">
        <v>45658</v>
      </c>
      <c r="E874" s="348">
        <v>45992</v>
      </c>
      <c r="F874" s="346" t="s">
        <v>633</v>
      </c>
      <c r="G874" s="350" t="s">
        <v>456</v>
      </c>
      <c r="H874" s="351">
        <f t="shared" si="16"/>
        <v>22861.439999999999</v>
      </c>
      <c r="I874" s="120" t="str">
        <f>IF(OR(D874&lt;Capa!$A$5,D874&gt;Capa!$A$7,E874&lt;Capa!$A$5,E874&gt;Capa!$A$7,D874&gt;E874),"Erro","")</f>
        <v/>
      </c>
    </row>
    <row r="875" spans="1:9" ht="33.75">
      <c r="A875" s="345">
        <v>872</v>
      </c>
      <c r="B875" s="346" t="s">
        <v>304</v>
      </c>
      <c r="C875" s="347">
        <v>2016.37</v>
      </c>
      <c r="D875" s="348">
        <v>46023</v>
      </c>
      <c r="E875" s="348">
        <v>46357</v>
      </c>
      <c r="F875" s="346" t="s">
        <v>633</v>
      </c>
      <c r="G875" s="350" t="s">
        <v>456</v>
      </c>
      <c r="H875" s="351">
        <f t="shared" si="16"/>
        <v>24196.44</v>
      </c>
      <c r="I875" s="120" t="str">
        <f>IF(OR(D875&lt;Capa!$A$5,D875&gt;Capa!$A$7,E875&lt;Capa!$A$5,E875&gt;Capa!$A$7,D875&gt;E875),"Erro","")</f>
        <v/>
      </c>
    </row>
    <row r="876" spans="1:9" ht="33.75">
      <c r="A876" s="345">
        <v>873</v>
      </c>
      <c r="B876" s="346" t="s">
        <v>304</v>
      </c>
      <c r="C876" s="347">
        <v>2134.13</v>
      </c>
      <c r="D876" s="348">
        <v>46388</v>
      </c>
      <c r="E876" s="348">
        <v>46722</v>
      </c>
      <c r="F876" s="346" t="s">
        <v>633</v>
      </c>
      <c r="G876" s="350" t="s">
        <v>456</v>
      </c>
      <c r="H876" s="351">
        <f t="shared" si="16"/>
        <v>25609.56</v>
      </c>
      <c r="I876" s="120" t="str">
        <f>IF(OR(D876&lt;Capa!$A$5,D876&gt;Capa!$A$7,E876&lt;Capa!$A$5,E876&gt;Capa!$A$7,D876&gt;E876),"Erro","")</f>
        <v/>
      </c>
    </row>
    <row r="877" spans="1:9" ht="33.75">
      <c r="A877" s="345">
        <v>874</v>
      </c>
      <c r="B877" s="346" t="s">
        <v>304</v>
      </c>
      <c r="C877" s="347">
        <v>2258.7600000000002</v>
      </c>
      <c r="D877" s="348">
        <v>46753</v>
      </c>
      <c r="E877" s="348">
        <v>47058</v>
      </c>
      <c r="F877" s="346" t="s">
        <v>633</v>
      </c>
      <c r="G877" s="350" t="s">
        <v>456</v>
      </c>
      <c r="H877" s="351">
        <f t="shared" si="16"/>
        <v>24846.36</v>
      </c>
      <c r="I877" s="120" t="str">
        <f>IF(OR(D877&lt;Capa!$A$5,D877&gt;Capa!$A$7,E877&lt;Capa!$A$5,E877&gt;Capa!$A$7,D877&gt;E877),"Erro","")</f>
        <v/>
      </c>
    </row>
    <row r="878" spans="1:9" ht="33.75">
      <c r="A878" s="345">
        <v>875</v>
      </c>
      <c r="B878" s="346" t="s">
        <v>312</v>
      </c>
      <c r="C878" s="347">
        <v>280</v>
      </c>
      <c r="D878" s="348">
        <v>45658</v>
      </c>
      <c r="E878" s="348">
        <v>45992</v>
      </c>
      <c r="F878" s="346" t="s">
        <v>633</v>
      </c>
      <c r="G878" s="350" t="s">
        <v>593</v>
      </c>
      <c r="H878" s="351">
        <f t="shared" si="16"/>
        <v>3360</v>
      </c>
      <c r="I878" s="120" t="str">
        <f>IF(OR(D878&lt;Capa!$A$5,D878&gt;Capa!$A$7,E878&lt;Capa!$A$5,E878&gt;Capa!$A$7,D878&gt;E878),"Erro","")</f>
        <v/>
      </c>
    </row>
    <row r="879" spans="1:9" ht="33.75">
      <c r="A879" s="345">
        <v>876</v>
      </c>
      <c r="B879" s="346" t="s">
        <v>312</v>
      </c>
      <c r="C879" s="347">
        <v>280</v>
      </c>
      <c r="D879" s="348">
        <v>46023</v>
      </c>
      <c r="E879" s="348">
        <v>46357</v>
      </c>
      <c r="F879" s="346" t="s">
        <v>633</v>
      </c>
      <c r="G879" s="350" t="s">
        <v>593</v>
      </c>
      <c r="H879" s="351">
        <f t="shared" si="16"/>
        <v>3360</v>
      </c>
      <c r="I879" s="120" t="str">
        <f>IF(OR(D879&lt;Capa!$A$5,D879&gt;Capa!$A$7,E879&lt;Capa!$A$5,E879&gt;Capa!$A$7,D879&gt;E879),"Erro","")</f>
        <v/>
      </c>
    </row>
    <row r="880" spans="1:9" ht="33.75">
      <c r="A880" s="345">
        <v>877</v>
      </c>
      <c r="B880" s="346" t="s">
        <v>312</v>
      </c>
      <c r="C880" s="347">
        <v>280</v>
      </c>
      <c r="D880" s="348">
        <v>46388</v>
      </c>
      <c r="E880" s="348">
        <v>46722</v>
      </c>
      <c r="F880" s="346" t="s">
        <v>633</v>
      </c>
      <c r="G880" s="350" t="s">
        <v>593</v>
      </c>
      <c r="H880" s="351">
        <f t="shared" si="16"/>
        <v>3360</v>
      </c>
      <c r="I880" s="120" t="str">
        <f>IF(OR(D880&lt;Capa!$A$5,D880&gt;Capa!$A$7,E880&lt;Capa!$A$5,E880&gt;Capa!$A$7,D880&gt;E880),"Erro","")</f>
        <v/>
      </c>
    </row>
    <row r="881" spans="1:9" ht="33.75">
      <c r="A881" s="345">
        <v>878</v>
      </c>
      <c r="B881" s="346" t="s">
        <v>312</v>
      </c>
      <c r="C881" s="347">
        <v>280</v>
      </c>
      <c r="D881" s="348">
        <v>46753</v>
      </c>
      <c r="E881" s="348">
        <v>47058</v>
      </c>
      <c r="F881" s="346" t="s">
        <v>633</v>
      </c>
      <c r="G881" s="350" t="s">
        <v>593</v>
      </c>
      <c r="H881" s="351">
        <f t="shared" si="16"/>
        <v>3080</v>
      </c>
      <c r="I881" s="120" t="str">
        <f>IF(OR(D881&lt;Capa!$A$5,D881&gt;Capa!$A$7,E881&lt;Capa!$A$5,E881&gt;Capa!$A$7,D881&gt;E881),"Erro","")</f>
        <v/>
      </c>
    </row>
    <row r="882" spans="1:9" ht="67.5">
      <c r="A882" s="345">
        <v>879</v>
      </c>
      <c r="B882" s="346" t="s">
        <v>316</v>
      </c>
      <c r="C882" s="347">
        <v>1800</v>
      </c>
      <c r="D882" s="348">
        <v>45261</v>
      </c>
      <c r="E882" s="348">
        <v>45627</v>
      </c>
      <c r="F882" s="346" t="s">
        <v>633</v>
      </c>
      <c r="G882" s="350" t="s">
        <v>457</v>
      </c>
      <c r="H882" s="351">
        <f t="shared" si="16"/>
        <v>23400</v>
      </c>
      <c r="I882" s="120" t="str">
        <f>IF(OR(D882&lt;Capa!$A$5,D882&gt;Capa!$A$7,E882&lt;Capa!$A$5,E882&gt;Capa!$A$7,D882&gt;E882),"Erro","")</f>
        <v/>
      </c>
    </row>
    <row r="883" spans="1:9" ht="67.5">
      <c r="A883" s="345">
        <v>880</v>
      </c>
      <c r="B883" s="346" t="s">
        <v>316</v>
      </c>
      <c r="C883" s="347">
        <v>1800</v>
      </c>
      <c r="D883" s="348">
        <v>45658</v>
      </c>
      <c r="E883" s="348">
        <v>45992</v>
      </c>
      <c r="F883" s="346" t="s">
        <v>633</v>
      </c>
      <c r="G883" s="350" t="s">
        <v>457</v>
      </c>
      <c r="H883" s="351">
        <f t="shared" si="16"/>
        <v>21600</v>
      </c>
      <c r="I883" s="120" t="str">
        <f>IF(OR(D883&lt;Capa!$A$5,D883&gt;Capa!$A$7,E883&lt;Capa!$A$5,E883&gt;Capa!$A$7,D883&gt;E883),"Erro","")</f>
        <v/>
      </c>
    </row>
    <row r="884" spans="1:9" ht="67.5">
      <c r="A884" s="345">
        <v>881</v>
      </c>
      <c r="B884" s="346" t="s">
        <v>316</v>
      </c>
      <c r="C884" s="347">
        <v>1800</v>
      </c>
      <c r="D884" s="348">
        <v>46023</v>
      </c>
      <c r="E884" s="348">
        <v>46357</v>
      </c>
      <c r="F884" s="346" t="s">
        <v>633</v>
      </c>
      <c r="G884" s="350" t="s">
        <v>457</v>
      </c>
      <c r="H884" s="351">
        <f t="shared" si="16"/>
        <v>21600</v>
      </c>
      <c r="I884" s="120" t="str">
        <f>IF(OR(D884&lt;Capa!$A$5,D884&gt;Capa!$A$7,E884&lt;Capa!$A$5,E884&gt;Capa!$A$7,D884&gt;E884),"Erro","")</f>
        <v/>
      </c>
    </row>
    <row r="885" spans="1:9" ht="67.5">
      <c r="A885" s="345">
        <v>882</v>
      </c>
      <c r="B885" s="346" t="s">
        <v>316</v>
      </c>
      <c r="C885" s="347">
        <v>1800</v>
      </c>
      <c r="D885" s="348">
        <v>46388</v>
      </c>
      <c r="E885" s="348">
        <v>46722</v>
      </c>
      <c r="F885" s="346" t="s">
        <v>633</v>
      </c>
      <c r="G885" s="350" t="s">
        <v>457</v>
      </c>
      <c r="H885" s="351">
        <f t="shared" si="16"/>
        <v>21600</v>
      </c>
      <c r="I885" s="120" t="str">
        <f>IF(OR(D885&lt;Capa!$A$5,D885&gt;Capa!$A$7,E885&lt;Capa!$A$5,E885&gt;Capa!$A$7,D885&gt;E885),"Erro","")</f>
        <v/>
      </c>
    </row>
    <row r="886" spans="1:9" ht="67.5">
      <c r="A886" s="345">
        <v>883</v>
      </c>
      <c r="B886" s="346" t="s">
        <v>316</v>
      </c>
      <c r="C886" s="347">
        <v>1800</v>
      </c>
      <c r="D886" s="348">
        <v>46753</v>
      </c>
      <c r="E886" s="348">
        <v>47058</v>
      </c>
      <c r="F886" s="346" t="s">
        <v>633</v>
      </c>
      <c r="G886" s="350" t="s">
        <v>457</v>
      </c>
      <c r="H886" s="351">
        <f t="shared" si="16"/>
        <v>19800</v>
      </c>
      <c r="I886" s="120" t="str">
        <f>IF(OR(D886&lt;Capa!$A$5,D886&gt;Capa!$A$7,E886&lt;Capa!$A$5,E886&gt;Capa!$A$7,D886&gt;E886),"Erro","")</f>
        <v/>
      </c>
    </row>
    <row r="887" spans="1:9" ht="56.25">
      <c r="A887" s="345">
        <v>884</v>
      </c>
      <c r="B887" s="346" t="s">
        <v>318</v>
      </c>
      <c r="C887" s="347">
        <v>1800</v>
      </c>
      <c r="D887" s="348">
        <v>45261</v>
      </c>
      <c r="E887" s="348">
        <v>45627</v>
      </c>
      <c r="F887" s="346" t="s">
        <v>633</v>
      </c>
      <c r="G887" s="350" t="s">
        <v>594</v>
      </c>
      <c r="H887" s="351">
        <f t="shared" si="16"/>
        <v>23400</v>
      </c>
      <c r="I887" s="120" t="str">
        <f>IF(OR(D887&lt;Capa!$A$5,D887&gt;Capa!$A$7,E887&lt;Capa!$A$5,E887&gt;Capa!$A$7,D887&gt;E887),"Erro","")</f>
        <v/>
      </c>
    </row>
    <row r="888" spans="1:9" ht="56.25">
      <c r="A888" s="345">
        <v>885</v>
      </c>
      <c r="B888" s="346" t="s">
        <v>318</v>
      </c>
      <c r="C888" s="347">
        <v>1500</v>
      </c>
      <c r="D888" s="348">
        <v>45658</v>
      </c>
      <c r="E888" s="348">
        <v>45992</v>
      </c>
      <c r="F888" s="346" t="s">
        <v>633</v>
      </c>
      <c r="G888" s="350" t="s">
        <v>594</v>
      </c>
      <c r="H888" s="351">
        <f t="shared" si="16"/>
        <v>18000</v>
      </c>
      <c r="I888" s="120" t="str">
        <f>IF(OR(D888&lt;Capa!$A$5,D888&gt;Capa!$A$7,E888&lt;Capa!$A$5,E888&gt;Capa!$A$7,D888&gt;E888),"Erro","")</f>
        <v/>
      </c>
    </row>
    <row r="889" spans="1:9" ht="56.25">
      <c r="A889" s="345">
        <v>886</v>
      </c>
      <c r="B889" s="346" t="s">
        <v>318</v>
      </c>
      <c r="C889" s="347">
        <v>1500</v>
      </c>
      <c r="D889" s="348">
        <v>46023</v>
      </c>
      <c r="E889" s="348">
        <v>46357</v>
      </c>
      <c r="F889" s="346" t="s">
        <v>633</v>
      </c>
      <c r="G889" s="350" t="s">
        <v>594</v>
      </c>
      <c r="H889" s="351">
        <f t="shared" si="16"/>
        <v>18000</v>
      </c>
      <c r="I889" s="120" t="str">
        <f>IF(OR(D889&lt;Capa!$A$5,D889&gt;Capa!$A$7,E889&lt;Capa!$A$5,E889&gt;Capa!$A$7,D889&gt;E889),"Erro","")</f>
        <v/>
      </c>
    </row>
    <row r="890" spans="1:9" ht="56.25">
      <c r="A890" s="345">
        <v>887</v>
      </c>
      <c r="B890" s="346" t="s">
        <v>318</v>
      </c>
      <c r="C890" s="347">
        <v>1500</v>
      </c>
      <c r="D890" s="348">
        <v>46388</v>
      </c>
      <c r="E890" s="348">
        <v>46722</v>
      </c>
      <c r="F890" s="346" t="s">
        <v>633</v>
      </c>
      <c r="G890" s="350" t="s">
        <v>594</v>
      </c>
      <c r="H890" s="351">
        <f t="shared" si="16"/>
        <v>18000</v>
      </c>
      <c r="I890" s="120" t="str">
        <f>IF(OR(D890&lt;Capa!$A$5,D890&gt;Capa!$A$7,E890&lt;Capa!$A$5,E890&gt;Capa!$A$7,D890&gt;E890),"Erro","")</f>
        <v/>
      </c>
    </row>
    <row r="891" spans="1:9" ht="56.25">
      <c r="A891" s="345">
        <v>888</v>
      </c>
      <c r="B891" s="346" t="s">
        <v>318</v>
      </c>
      <c r="C891" s="347">
        <v>1500</v>
      </c>
      <c r="D891" s="348">
        <v>46753</v>
      </c>
      <c r="E891" s="348">
        <v>47058</v>
      </c>
      <c r="F891" s="346" t="s">
        <v>633</v>
      </c>
      <c r="G891" s="350" t="s">
        <v>594</v>
      </c>
      <c r="H891" s="351">
        <f t="shared" si="16"/>
        <v>16500</v>
      </c>
      <c r="I891" s="120" t="str">
        <f>IF(OR(D891&lt;Capa!$A$5,D891&gt;Capa!$A$7,E891&lt;Capa!$A$5,E891&gt;Capa!$A$7,D891&gt;E891),"Erro","")</f>
        <v/>
      </c>
    </row>
    <row r="892" spans="1:9" ht="67.5">
      <c r="A892" s="345">
        <v>889</v>
      </c>
      <c r="B892" s="346" t="s">
        <v>318</v>
      </c>
      <c r="C892" s="347">
        <v>1800</v>
      </c>
      <c r="D892" s="348">
        <v>45261</v>
      </c>
      <c r="E892" s="348">
        <v>45627</v>
      </c>
      <c r="F892" s="346" t="s">
        <v>633</v>
      </c>
      <c r="G892" s="350" t="s">
        <v>457</v>
      </c>
      <c r="H892" s="351">
        <f t="shared" si="16"/>
        <v>23400</v>
      </c>
      <c r="I892" s="120" t="str">
        <f>IF(OR(D892&lt;Capa!$A$5,D892&gt;Capa!$A$7,E892&lt;Capa!$A$5,E892&gt;Capa!$A$7,D892&gt;E892),"Erro","")</f>
        <v/>
      </c>
    </row>
    <row r="893" spans="1:9" ht="67.5">
      <c r="A893" s="345">
        <v>890</v>
      </c>
      <c r="B893" s="346" t="s">
        <v>318</v>
      </c>
      <c r="C893" s="347">
        <v>1500</v>
      </c>
      <c r="D893" s="348">
        <v>45658</v>
      </c>
      <c r="E893" s="348">
        <v>45992</v>
      </c>
      <c r="F893" s="346" t="s">
        <v>633</v>
      </c>
      <c r="G893" s="350" t="s">
        <v>457</v>
      </c>
      <c r="H893" s="351">
        <f t="shared" si="16"/>
        <v>18000</v>
      </c>
      <c r="I893" s="120" t="str">
        <f>IF(OR(D893&lt;Capa!$A$5,D893&gt;Capa!$A$7,E893&lt;Capa!$A$5,E893&gt;Capa!$A$7,D893&gt;E893),"Erro","")</f>
        <v/>
      </c>
    </row>
    <row r="894" spans="1:9" ht="67.5">
      <c r="A894" s="345">
        <v>891</v>
      </c>
      <c r="B894" s="346" t="s">
        <v>318</v>
      </c>
      <c r="C894" s="347">
        <v>1500</v>
      </c>
      <c r="D894" s="348">
        <v>46023</v>
      </c>
      <c r="E894" s="348">
        <v>46357</v>
      </c>
      <c r="F894" s="346" t="s">
        <v>633</v>
      </c>
      <c r="G894" s="350" t="s">
        <v>457</v>
      </c>
      <c r="H894" s="351">
        <f t="shared" si="16"/>
        <v>18000</v>
      </c>
      <c r="I894" s="120" t="str">
        <f>IF(OR(D894&lt;Capa!$A$5,D894&gt;Capa!$A$7,E894&lt;Capa!$A$5,E894&gt;Capa!$A$7,D894&gt;E894),"Erro","")</f>
        <v/>
      </c>
    </row>
    <row r="895" spans="1:9" ht="67.5">
      <c r="A895" s="345">
        <v>892</v>
      </c>
      <c r="B895" s="346" t="s">
        <v>318</v>
      </c>
      <c r="C895" s="347">
        <v>1500</v>
      </c>
      <c r="D895" s="348">
        <v>46388</v>
      </c>
      <c r="E895" s="348">
        <v>46722</v>
      </c>
      <c r="F895" s="346" t="s">
        <v>633</v>
      </c>
      <c r="G895" s="350" t="s">
        <v>457</v>
      </c>
      <c r="H895" s="351">
        <f t="shared" si="16"/>
        <v>18000</v>
      </c>
      <c r="I895" s="120" t="str">
        <f>IF(OR(D895&lt;Capa!$A$5,D895&gt;Capa!$A$7,E895&lt;Capa!$A$5,E895&gt;Capa!$A$7,D895&gt;E895),"Erro","")</f>
        <v/>
      </c>
    </row>
    <row r="896" spans="1:9" ht="67.5">
      <c r="A896" s="345">
        <v>893</v>
      </c>
      <c r="B896" s="346" t="s">
        <v>318</v>
      </c>
      <c r="C896" s="347">
        <v>1500</v>
      </c>
      <c r="D896" s="348">
        <v>46753</v>
      </c>
      <c r="E896" s="348">
        <v>47058</v>
      </c>
      <c r="F896" s="346" t="s">
        <v>633</v>
      </c>
      <c r="G896" s="350" t="s">
        <v>457</v>
      </c>
      <c r="H896" s="351">
        <f t="shared" si="16"/>
        <v>16500</v>
      </c>
      <c r="I896" s="120" t="str">
        <f>IF(OR(D896&lt;Capa!$A$5,D896&gt;Capa!$A$7,E896&lt;Capa!$A$5,E896&gt;Capa!$A$7,D896&gt;E896),"Erro","")</f>
        <v/>
      </c>
    </row>
    <row r="897" spans="1:9" ht="22.5">
      <c r="A897" s="345">
        <v>894</v>
      </c>
      <c r="B897" s="346" t="s">
        <v>298</v>
      </c>
      <c r="C897" s="347">
        <v>2500</v>
      </c>
      <c r="D897" s="348">
        <v>45261</v>
      </c>
      <c r="E897" s="348">
        <v>45627</v>
      </c>
      <c r="F897" s="346" t="s">
        <v>633</v>
      </c>
      <c r="G897" s="350" t="s">
        <v>458</v>
      </c>
      <c r="H897" s="351">
        <f t="shared" si="16"/>
        <v>32500</v>
      </c>
      <c r="I897" s="120" t="str">
        <f>IF(OR(D897&lt;Capa!$A$5,D897&gt;Capa!$A$7,E897&lt;Capa!$A$5,E897&gt;Capa!$A$7,D897&gt;E897),"Erro","")</f>
        <v/>
      </c>
    </row>
    <row r="898" spans="1:9" ht="22.5">
      <c r="A898" s="345">
        <v>895</v>
      </c>
      <c r="B898" s="346" t="s">
        <v>298</v>
      </c>
      <c r="C898" s="347">
        <v>2646</v>
      </c>
      <c r="D898" s="348">
        <v>45658</v>
      </c>
      <c r="E898" s="348">
        <v>45992</v>
      </c>
      <c r="F898" s="346" t="s">
        <v>633</v>
      </c>
      <c r="G898" s="350" t="s">
        <v>458</v>
      </c>
      <c r="H898" s="351">
        <f t="shared" si="16"/>
        <v>31752</v>
      </c>
      <c r="I898" s="120" t="str">
        <f>IF(OR(D898&lt;Capa!$A$5,D898&gt;Capa!$A$7,E898&lt;Capa!$A$5,E898&gt;Capa!$A$7,D898&gt;E898),"Erro","")</f>
        <v/>
      </c>
    </row>
    <row r="899" spans="1:9" ht="22.5">
      <c r="A899" s="345">
        <v>896</v>
      </c>
      <c r="B899" s="346" t="s">
        <v>298</v>
      </c>
      <c r="C899" s="347">
        <v>2800.52</v>
      </c>
      <c r="D899" s="348">
        <v>46023</v>
      </c>
      <c r="E899" s="348">
        <v>46357</v>
      </c>
      <c r="F899" s="346" t="s">
        <v>633</v>
      </c>
      <c r="G899" s="350" t="s">
        <v>458</v>
      </c>
      <c r="H899" s="351">
        <f t="shared" si="16"/>
        <v>33606.239999999998</v>
      </c>
      <c r="I899" s="120" t="str">
        <f>IF(OR(D899&lt;Capa!$A$5,D899&gt;Capa!$A$7,E899&lt;Capa!$A$5,E899&gt;Capa!$A$7,D899&gt;E899),"Erro","")</f>
        <v/>
      </c>
    </row>
    <row r="900" spans="1:9" ht="22.5">
      <c r="A900" s="345">
        <v>897</v>
      </c>
      <c r="B900" s="346" t="s">
        <v>298</v>
      </c>
      <c r="C900" s="347">
        <v>2964.07</v>
      </c>
      <c r="D900" s="348">
        <v>46388</v>
      </c>
      <c r="E900" s="348">
        <v>46722</v>
      </c>
      <c r="F900" s="346" t="s">
        <v>633</v>
      </c>
      <c r="G900" s="350" t="s">
        <v>458</v>
      </c>
      <c r="H900" s="351">
        <f t="shared" si="16"/>
        <v>35568.840000000004</v>
      </c>
      <c r="I900" s="120" t="str">
        <f>IF(OR(D900&lt;Capa!$A$5,D900&gt;Capa!$A$7,E900&lt;Capa!$A$5,E900&gt;Capa!$A$7,D900&gt;E900),"Erro","")</f>
        <v/>
      </c>
    </row>
    <row r="901" spans="1:9" ht="22.5">
      <c r="A901" s="345">
        <v>898</v>
      </c>
      <c r="B901" s="346" t="s">
        <v>298</v>
      </c>
      <c r="C901" s="347">
        <v>3137.17</v>
      </c>
      <c r="D901" s="348">
        <v>46753</v>
      </c>
      <c r="E901" s="348">
        <v>47058</v>
      </c>
      <c r="F901" s="346" t="s">
        <v>633</v>
      </c>
      <c r="G901" s="350" t="s">
        <v>458</v>
      </c>
      <c r="H901" s="351">
        <f t="shared" ref="H901:H977" si="17">IFERROR((DATEDIF(D901,E901,"M")+1)*C901,0)</f>
        <v>34508.870000000003</v>
      </c>
      <c r="I901" s="120" t="str">
        <f>IF(OR(D901&lt;Capa!$A$5,D901&gt;Capa!$A$7,E901&lt;Capa!$A$5,E901&gt;Capa!$A$7,D901&gt;E901),"Erro","")</f>
        <v/>
      </c>
    </row>
    <row r="902" spans="1:9" ht="33.75">
      <c r="A902" s="345">
        <v>899</v>
      </c>
      <c r="B902" s="346" t="s">
        <v>238</v>
      </c>
      <c r="C902" s="347">
        <v>370.44</v>
      </c>
      <c r="D902" s="348">
        <v>45658</v>
      </c>
      <c r="E902" s="348">
        <v>45992</v>
      </c>
      <c r="F902" s="346" t="s">
        <v>633</v>
      </c>
      <c r="G902" s="350" t="s">
        <v>459</v>
      </c>
      <c r="H902" s="351">
        <f t="shared" si="17"/>
        <v>4445.28</v>
      </c>
      <c r="I902" s="120" t="str">
        <f>IF(OR(D902&lt;Capa!$A$5,D902&gt;Capa!$A$7,E902&lt;Capa!$A$5,E902&gt;Capa!$A$7,D902&gt;E902),"Erro","")</f>
        <v/>
      </c>
    </row>
    <row r="903" spans="1:9" ht="33.75">
      <c r="A903" s="345">
        <v>900</v>
      </c>
      <c r="B903" s="346" t="s">
        <v>238</v>
      </c>
      <c r="C903" s="347">
        <v>392.07</v>
      </c>
      <c r="D903" s="348">
        <v>46023</v>
      </c>
      <c r="E903" s="348">
        <v>46357</v>
      </c>
      <c r="F903" s="346" t="s">
        <v>633</v>
      </c>
      <c r="G903" s="350" t="s">
        <v>459</v>
      </c>
      <c r="H903" s="351">
        <f t="shared" si="17"/>
        <v>4704.84</v>
      </c>
      <c r="I903" s="120" t="str">
        <f>IF(OR(D903&lt;Capa!$A$5,D903&gt;Capa!$A$7,E903&lt;Capa!$A$5,E903&gt;Capa!$A$7,D903&gt;E903),"Erro","")</f>
        <v/>
      </c>
    </row>
    <row r="904" spans="1:9" ht="33.75">
      <c r="A904" s="345">
        <v>901</v>
      </c>
      <c r="B904" s="346" t="s">
        <v>238</v>
      </c>
      <c r="C904" s="347">
        <v>414.97</v>
      </c>
      <c r="D904" s="348">
        <v>46388</v>
      </c>
      <c r="E904" s="348">
        <v>46722</v>
      </c>
      <c r="F904" s="346" t="s">
        <v>633</v>
      </c>
      <c r="G904" s="350" t="s">
        <v>459</v>
      </c>
      <c r="H904" s="351">
        <f t="shared" si="17"/>
        <v>4979.6400000000003</v>
      </c>
      <c r="I904" s="120" t="str">
        <f>IF(OR(D904&lt;Capa!$A$5,D904&gt;Capa!$A$7,E904&lt;Capa!$A$5,E904&gt;Capa!$A$7,D904&gt;E904),"Erro","")</f>
        <v/>
      </c>
    </row>
    <row r="905" spans="1:9" ht="33.75">
      <c r="A905" s="345">
        <v>902</v>
      </c>
      <c r="B905" s="346" t="s">
        <v>238</v>
      </c>
      <c r="C905" s="347">
        <v>439.21</v>
      </c>
      <c r="D905" s="348">
        <v>46753</v>
      </c>
      <c r="E905" s="348">
        <v>47058</v>
      </c>
      <c r="F905" s="346" t="s">
        <v>633</v>
      </c>
      <c r="G905" s="350" t="s">
        <v>459</v>
      </c>
      <c r="H905" s="351">
        <f t="shared" si="17"/>
        <v>4831.3099999999995</v>
      </c>
      <c r="I905" s="120" t="str">
        <f>IF(OR(D905&lt;Capa!$A$5,D905&gt;Capa!$A$7,E905&lt;Capa!$A$5,E905&gt;Capa!$A$7,D905&gt;E905),"Erro","")</f>
        <v/>
      </c>
    </row>
    <row r="906" spans="1:9" ht="56.25">
      <c r="A906" s="345">
        <v>903</v>
      </c>
      <c r="B906" s="346" t="s">
        <v>252</v>
      </c>
      <c r="C906" s="347">
        <v>7000</v>
      </c>
      <c r="D906" s="348">
        <v>45261</v>
      </c>
      <c r="E906" s="348">
        <v>45627</v>
      </c>
      <c r="F906" s="346" t="s">
        <v>633</v>
      </c>
      <c r="G906" s="350" t="s">
        <v>460</v>
      </c>
      <c r="H906" s="351">
        <f t="shared" si="17"/>
        <v>91000</v>
      </c>
      <c r="I906" s="120" t="str">
        <f>IF(OR(D906&lt;Capa!$A$5,D906&gt;Capa!$A$7,E906&lt;Capa!$A$5,E906&gt;Capa!$A$7,D906&gt;E906),"Erro","")</f>
        <v/>
      </c>
    </row>
    <row r="907" spans="1:9" ht="56.25">
      <c r="A907" s="345">
        <v>904</v>
      </c>
      <c r="B907" s="346" t="s">
        <v>252</v>
      </c>
      <c r="C907" s="347">
        <v>7408.8</v>
      </c>
      <c r="D907" s="348">
        <v>45658</v>
      </c>
      <c r="E907" s="348">
        <v>45992</v>
      </c>
      <c r="F907" s="346" t="s">
        <v>633</v>
      </c>
      <c r="G907" s="350" t="s">
        <v>460</v>
      </c>
      <c r="H907" s="351">
        <f t="shared" si="17"/>
        <v>88905.600000000006</v>
      </c>
      <c r="I907" s="120" t="str">
        <f>IF(OR(D907&lt;Capa!$A$5,D907&gt;Capa!$A$7,E907&lt;Capa!$A$5,E907&gt;Capa!$A$7,D907&gt;E907),"Erro","")</f>
        <v/>
      </c>
    </row>
    <row r="908" spans="1:9" ht="56.25">
      <c r="A908" s="345">
        <v>905</v>
      </c>
      <c r="B908" s="346" t="s">
        <v>252</v>
      </c>
      <c r="C908" s="347">
        <v>7847.65</v>
      </c>
      <c r="D908" s="348">
        <v>46023</v>
      </c>
      <c r="E908" s="348">
        <v>46357</v>
      </c>
      <c r="F908" s="346" t="s">
        <v>633</v>
      </c>
      <c r="G908" s="350" t="s">
        <v>460</v>
      </c>
      <c r="H908" s="351">
        <f t="shared" si="17"/>
        <v>94171.799999999988</v>
      </c>
      <c r="I908" s="120" t="str">
        <f>IF(OR(D908&lt;Capa!$A$5,D908&gt;Capa!$A$7,E908&lt;Capa!$A$5,E908&gt;Capa!$A$7,D908&gt;E908),"Erro","")</f>
        <v/>
      </c>
    </row>
    <row r="909" spans="1:9" ht="56.25">
      <c r="A909" s="345">
        <v>906</v>
      </c>
      <c r="B909" s="346" t="s">
        <v>252</v>
      </c>
      <c r="C909" s="347">
        <v>8305.9500000000007</v>
      </c>
      <c r="D909" s="348">
        <v>46388</v>
      </c>
      <c r="E909" s="348">
        <v>46722</v>
      </c>
      <c r="F909" s="346" t="s">
        <v>633</v>
      </c>
      <c r="G909" s="350" t="s">
        <v>460</v>
      </c>
      <c r="H909" s="351">
        <f t="shared" si="17"/>
        <v>99671.400000000009</v>
      </c>
      <c r="I909" s="120" t="str">
        <f>IF(OR(D909&lt;Capa!$A$5,D909&gt;Capa!$A$7,E909&lt;Capa!$A$5,E909&gt;Capa!$A$7,D909&gt;E909),"Erro","")</f>
        <v/>
      </c>
    </row>
    <row r="910" spans="1:9" ht="56.25">
      <c r="A910" s="345">
        <v>907</v>
      </c>
      <c r="B910" s="346" t="s">
        <v>252</v>
      </c>
      <c r="C910" s="347">
        <v>8791.02</v>
      </c>
      <c r="D910" s="348">
        <v>46753</v>
      </c>
      <c r="E910" s="348">
        <v>47058</v>
      </c>
      <c r="F910" s="346" t="s">
        <v>633</v>
      </c>
      <c r="G910" s="350" t="s">
        <v>460</v>
      </c>
      <c r="H910" s="351">
        <f t="shared" si="17"/>
        <v>96701.22</v>
      </c>
      <c r="I910" s="120" t="str">
        <f>IF(OR(D910&lt;Capa!$A$5,D910&gt;Capa!$A$7,E910&lt;Capa!$A$5,E910&gt;Capa!$A$7,D910&gt;E910),"Erro","")</f>
        <v/>
      </c>
    </row>
    <row r="911" spans="1:9" ht="33.75">
      <c r="A911" s="345">
        <v>908</v>
      </c>
      <c r="B911" s="346" t="s">
        <v>651</v>
      </c>
      <c r="C911" s="347">
        <v>180</v>
      </c>
      <c r="D911" s="348">
        <v>45261</v>
      </c>
      <c r="E911" s="348">
        <v>47058</v>
      </c>
      <c r="F911" s="346" t="s">
        <v>633</v>
      </c>
      <c r="G911" s="350" t="s">
        <v>710</v>
      </c>
      <c r="H911" s="351">
        <f t="shared" si="17"/>
        <v>10800</v>
      </c>
      <c r="I911" s="120" t="str">
        <f>IF(OR(D911&lt;Capa!$A$5,D911&gt;Capa!$A$7,E911&lt;Capa!$A$5,E911&gt;Capa!$A$7,D911&gt;E911),"Erro","")</f>
        <v/>
      </c>
    </row>
    <row r="912" spans="1:9" ht="22.5">
      <c r="A912" s="345">
        <v>909</v>
      </c>
      <c r="B912" s="346" t="s">
        <v>653</v>
      </c>
      <c r="C912" s="347">
        <v>1930</v>
      </c>
      <c r="D912" s="348">
        <v>45292</v>
      </c>
      <c r="E912" s="348">
        <v>45627</v>
      </c>
      <c r="F912" s="346" t="s">
        <v>633</v>
      </c>
      <c r="G912" s="350" t="s">
        <v>712</v>
      </c>
      <c r="H912" s="351">
        <f t="shared" si="17"/>
        <v>23160</v>
      </c>
    </row>
    <row r="913" spans="1:9" ht="22.5">
      <c r="A913" s="345">
        <v>910</v>
      </c>
      <c r="B913" s="346" t="s">
        <v>653</v>
      </c>
      <c r="C913" s="347">
        <v>1930</v>
      </c>
      <c r="D913" s="348">
        <v>45658</v>
      </c>
      <c r="E913" s="348">
        <v>47058</v>
      </c>
      <c r="F913" s="346" t="s">
        <v>633</v>
      </c>
      <c r="G913" s="350" t="s">
        <v>712</v>
      </c>
      <c r="H913" s="351">
        <f t="shared" si="17"/>
        <v>90710</v>
      </c>
      <c r="I913" s="120" t="str">
        <f>IF(OR(D913&lt;Capa!$A$5,D913&gt;Capa!$A$7,E913&lt;Capa!$A$5,E913&gt;Capa!$A$7,D913&gt;E913),"Erro","")</f>
        <v/>
      </c>
    </row>
    <row r="914" spans="1:9" ht="45">
      <c r="A914" s="345">
        <v>911</v>
      </c>
      <c r="B914" s="346" t="s">
        <v>652</v>
      </c>
      <c r="C914" s="347">
        <v>15000</v>
      </c>
      <c r="D914" s="348">
        <v>45323</v>
      </c>
      <c r="E914" s="348">
        <v>45323</v>
      </c>
      <c r="F914" s="346" t="s">
        <v>633</v>
      </c>
      <c r="G914" s="350" t="s">
        <v>624</v>
      </c>
      <c r="H914" s="351">
        <f t="shared" si="17"/>
        <v>15000</v>
      </c>
      <c r="I914" s="120" t="str">
        <f>IF(OR(D914&lt;Capa!$A$5,D914&gt;Capa!$A$7,E914&lt;Capa!$A$5,E914&gt;Capa!$A$7,D914&gt;E914),"Erro","")</f>
        <v/>
      </c>
    </row>
    <row r="915" spans="1:9" ht="56.25">
      <c r="A915" s="345">
        <v>912</v>
      </c>
      <c r="B915" s="346" t="s">
        <v>652</v>
      </c>
      <c r="C915" s="347">
        <v>10000</v>
      </c>
      <c r="D915" s="348">
        <v>46419</v>
      </c>
      <c r="E915" s="348">
        <v>46419</v>
      </c>
      <c r="F915" s="346" t="s">
        <v>633</v>
      </c>
      <c r="G915" s="350" t="s">
        <v>717</v>
      </c>
      <c r="H915" s="351">
        <f t="shared" si="17"/>
        <v>10000</v>
      </c>
      <c r="I915" s="120" t="str">
        <f>IF(OR(D915&lt;Capa!$A$5,D915&gt;Capa!$A$7,E915&lt;Capa!$A$5,E915&gt;Capa!$A$7,D915&gt;E915),"Erro","")</f>
        <v/>
      </c>
    </row>
    <row r="916" spans="1:9" ht="33.75">
      <c r="A916" s="345">
        <v>913</v>
      </c>
      <c r="B916" s="346" t="s">
        <v>650</v>
      </c>
      <c r="C916" s="347">
        <v>70</v>
      </c>
      <c r="D916" s="348">
        <v>45261</v>
      </c>
      <c r="E916" s="348">
        <v>47058</v>
      </c>
      <c r="F916" s="346" t="s">
        <v>633</v>
      </c>
      <c r="G916" s="350" t="s">
        <v>711</v>
      </c>
      <c r="H916" s="351">
        <f t="shared" si="17"/>
        <v>4200</v>
      </c>
      <c r="I916" s="120" t="str">
        <f>IF(OR(D916&lt;Capa!$A$5,D916&gt;Capa!$A$7,E916&lt;Capa!$A$5,E916&gt;Capa!$A$7,D916&gt;E916),"Erro","")</f>
        <v/>
      </c>
    </row>
    <row r="917" spans="1:9" ht="33.75">
      <c r="A917" s="345">
        <v>914</v>
      </c>
      <c r="B917" s="346" t="s">
        <v>648</v>
      </c>
      <c r="C917" s="347">
        <v>3600</v>
      </c>
      <c r="D917" s="348">
        <v>45292</v>
      </c>
      <c r="E917" s="348">
        <v>45292</v>
      </c>
      <c r="F917" s="346" t="s">
        <v>633</v>
      </c>
      <c r="G917" s="350" t="s">
        <v>670</v>
      </c>
      <c r="H917" s="351">
        <f t="shared" si="17"/>
        <v>3600</v>
      </c>
      <c r="I917" s="120" t="str">
        <f>IF(OR(D917&lt;Capa!$A$5,D917&gt;Capa!$A$7,E917&lt;Capa!$A$5,E917&gt;Capa!$A$7,D917&gt;E917),"Erro","")</f>
        <v/>
      </c>
    </row>
    <row r="918" spans="1:9" ht="33.75">
      <c r="A918" s="345">
        <v>915</v>
      </c>
      <c r="B918" s="346" t="s">
        <v>648</v>
      </c>
      <c r="C918" s="347">
        <v>3816</v>
      </c>
      <c r="D918" s="348">
        <v>45658</v>
      </c>
      <c r="E918" s="348">
        <v>45658</v>
      </c>
      <c r="F918" s="346" t="s">
        <v>633</v>
      </c>
      <c r="G918" s="350" t="s">
        <v>670</v>
      </c>
      <c r="H918" s="351">
        <f t="shared" si="17"/>
        <v>3816</v>
      </c>
      <c r="I918" s="120" t="str">
        <f>IF(OR(D918&lt;Capa!$A$5,D918&gt;Capa!$A$7,E918&lt;Capa!$A$5,E918&gt;Capa!$A$7,D918&gt;E918),"Erro","")</f>
        <v/>
      </c>
    </row>
    <row r="919" spans="1:9" ht="33.75">
      <c r="A919" s="345">
        <v>916</v>
      </c>
      <c r="B919" s="346" t="s">
        <v>648</v>
      </c>
      <c r="C919" s="347">
        <v>4044.96</v>
      </c>
      <c r="D919" s="348">
        <v>46023</v>
      </c>
      <c r="E919" s="348">
        <v>46023</v>
      </c>
      <c r="F919" s="346" t="s">
        <v>633</v>
      </c>
      <c r="G919" s="350" t="s">
        <v>670</v>
      </c>
      <c r="H919" s="351">
        <f t="shared" si="17"/>
        <v>4044.96</v>
      </c>
      <c r="I919" s="120" t="str">
        <f>IF(OR(D919&lt;Capa!$A$5,D919&gt;Capa!$A$7,E919&lt;Capa!$A$5,E919&gt;Capa!$A$7,D919&gt;E919),"Erro","")</f>
        <v/>
      </c>
    </row>
    <row r="920" spans="1:9" ht="33.75">
      <c r="A920" s="345">
        <v>917</v>
      </c>
      <c r="B920" s="346" t="s">
        <v>648</v>
      </c>
      <c r="C920" s="347">
        <v>4287.6499999999996</v>
      </c>
      <c r="D920" s="348">
        <v>46388</v>
      </c>
      <c r="E920" s="348">
        <v>46388</v>
      </c>
      <c r="F920" s="346" t="s">
        <v>633</v>
      </c>
      <c r="G920" s="350" t="s">
        <v>670</v>
      </c>
      <c r="H920" s="351">
        <f t="shared" si="17"/>
        <v>4287.6499999999996</v>
      </c>
      <c r="I920" s="120" t="str">
        <f>IF(OR(D920&lt;Capa!$A$5,D920&gt;Capa!$A$7,E920&lt;Capa!$A$5,E920&gt;Capa!$A$7,D920&gt;E920),"Erro","")</f>
        <v/>
      </c>
    </row>
    <row r="921" spans="1:9" ht="33.75">
      <c r="A921" s="345">
        <v>918</v>
      </c>
      <c r="B921" s="346" t="s">
        <v>648</v>
      </c>
      <c r="C921" s="347">
        <v>4544.91</v>
      </c>
      <c r="D921" s="348">
        <v>46753</v>
      </c>
      <c r="E921" s="348">
        <v>46753</v>
      </c>
      <c r="F921" s="346" t="s">
        <v>633</v>
      </c>
      <c r="G921" s="350" t="s">
        <v>670</v>
      </c>
      <c r="H921" s="351">
        <f t="shared" si="17"/>
        <v>4544.91</v>
      </c>
      <c r="I921" s="120" t="str">
        <f>IF(OR(D921&lt;Capa!$A$5,D921&gt;Capa!$A$7,E921&lt;Capa!$A$5,E921&gt;Capa!$A$7,D921&gt;E921),"Erro","")</f>
        <v/>
      </c>
    </row>
    <row r="922" spans="1:9" ht="22.5">
      <c r="A922" s="345">
        <v>919</v>
      </c>
      <c r="B922" s="346" t="s">
        <v>649</v>
      </c>
      <c r="C922" s="347">
        <v>70000</v>
      </c>
      <c r="D922" s="348">
        <v>45748</v>
      </c>
      <c r="E922" s="348">
        <v>45748</v>
      </c>
      <c r="F922" s="346" t="s">
        <v>633</v>
      </c>
      <c r="G922" s="350" t="s">
        <v>739</v>
      </c>
      <c r="H922" s="351">
        <f t="shared" si="17"/>
        <v>70000</v>
      </c>
    </row>
    <row r="923" spans="1:9" ht="33.75">
      <c r="A923" s="345">
        <v>920</v>
      </c>
      <c r="B923" s="346" t="s">
        <v>649</v>
      </c>
      <c r="C923" s="347">
        <v>1643</v>
      </c>
      <c r="D923" s="348">
        <v>45292</v>
      </c>
      <c r="E923" s="348">
        <v>47058</v>
      </c>
      <c r="F923" s="346" t="s">
        <v>633</v>
      </c>
      <c r="G923" s="350" t="s">
        <v>705</v>
      </c>
      <c r="H923" s="351">
        <f t="shared" si="17"/>
        <v>96937</v>
      </c>
      <c r="I923" s="120" t="str">
        <f>IF(OR(D923&lt;Capa!$A$5,D923&gt;Capa!$A$7,E923&lt;Capa!$A$5,E923&gt;Capa!$A$7,D923&gt;E923),"Erro","")</f>
        <v/>
      </c>
    </row>
    <row r="924" spans="1:9" ht="33.75">
      <c r="A924" s="345">
        <v>921</v>
      </c>
      <c r="B924" s="346" t="s">
        <v>654</v>
      </c>
      <c r="C924" s="347">
        <v>600</v>
      </c>
      <c r="D924" s="348">
        <v>45261</v>
      </c>
      <c r="E924" s="348">
        <v>45627</v>
      </c>
      <c r="F924" s="346" t="s">
        <v>633</v>
      </c>
      <c r="G924" s="350" t="s">
        <v>706</v>
      </c>
      <c r="H924" s="351">
        <f t="shared" si="17"/>
        <v>7800</v>
      </c>
    </row>
    <row r="925" spans="1:9" ht="33.75">
      <c r="A925" s="345">
        <v>922</v>
      </c>
      <c r="B925" s="346" t="s">
        <v>654</v>
      </c>
      <c r="C925" s="347">
        <v>1100</v>
      </c>
      <c r="D925" s="348">
        <v>45658</v>
      </c>
      <c r="E925" s="348">
        <v>47027</v>
      </c>
      <c r="F925" s="346" t="s">
        <v>633</v>
      </c>
      <c r="G925" s="350" t="s">
        <v>706</v>
      </c>
      <c r="H925" s="351">
        <f t="shared" si="17"/>
        <v>50600</v>
      </c>
      <c r="I925" s="120" t="str">
        <f>IF(OR(D925&lt;Capa!$A$5,D925&gt;Capa!$A$7,E925&lt;Capa!$A$5,E925&gt;Capa!$A$7,D925&gt;E925),"Erro","")</f>
        <v/>
      </c>
    </row>
    <row r="926" spans="1:9" ht="22.5">
      <c r="A926" s="345">
        <v>923</v>
      </c>
      <c r="B926" s="346" t="s">
        <v>656</v>
      </c>
      <c r="C926" s="347">
        <v>200</v>
      </c>
      <c r="D926" s="348">
        <v>45261</v>
      </c>
      <c r="E926" s="348">
        <v>47058</v>
      </c>
      <c r="F926" s="346" t="s">
        <v>633</v>
      </c>
      <c r="G926" s="350" t="s">
        <v>707</v>
      </c>
      <c r="H926" s="351">
        <f t="shared" si="17"/>
        <v>12000</v>
      </c>
      <c r="I926" s="120" t="str">
        <f>IF(OR(D926&lt;Capa!$A$5,D926&gt;Capa!$A$7,E926&lt;Capa!$A$5,E926&gt;Capa!$A$7,D926&gt;E926),"Erro","")</f>
        <v/>
      </c>
    </row>
    <row r="927" spans="1:9" ht="22.5">
      <c r="A927" s="345">
        <v>924</v>
      </c>
      <c r="B927" s="346" t="s">
        <v>658</v>
      </c>
      <c r="C927" s="347">
        <v>50</v>
      </c>
      <c r="D927" s="348">
        <v>45261</v>
      </c>
      <c r="E927" s="348">
        <v>47058</v>
      </c>
      <c r="F927" s="346" t="s">
        <v>633</v>
      </c>
      <c r="G927" s="350" t="s">
        <v>709</v>
      </c>
      <c r="H927" s="351">
        <f t="shared" si="17"/>
        <v>3000</v>
      </c>
      <c r="I927" s="120" t="str">
        <f>IF(OR(D927&lt;Capa!$A$5,D927&gt;Capa!$A$7,E927&lt;Capa!$A$5,E927&gt;Capa!$A$7,D927&gt;E927),"Erro","")</f>
        <v/>
      </c>
    </row>
    <row r="928" spans="1:9" ht="33.75">
      <c r="A928" s="345">
        <v>925</v>
      </c>
      <c r="B928" s="346" t="s">
        <v>657</v>
      </c>
      <c r="C928" s="347">
        <v>350</v>
      </c>
      <c r="D928" s="348">
        <v>45658</v>
      </c>
      <c r="E928" s="348">
        <v>47058</v>
      </c>
      <c r="F928" s="346" t="s">
        <v>633</v>
      </c>
      <c r="G928" s="350" t="s">
        <v>708</v>
      </c>
      <c r="H928" s="351">
        <f t="shared" si="17"/>
        <v>16450</v>
      </c>
      <c r="I928" s="120" t="str">
        <f>IF(OR(D928&lt;Capa!$A$5,D928&gt;Capa!$A$7,E928&lt;Capa!$A$5,E928&gt;Capa!$A$7,D928&gt;E928),"Erro","")</f>
        <v/>
      </c>
    </row>
    <row r="929" spans="1:9" ht="45">
      <c r="A929" s="345">
        <v>926</v>
      </c>
      <c r="B929" s="346" t="s">
        <v>320</v>
      </c>
      <c r="C929" s="347">
        <v>4545.7737500000003</v>
      </c>
      <c r="D929" s="348">
        <v>45778</v>
      </c>
      <c r="E929" s="348">
        <v>45992</v>
      </c>
      <c r="F929" s="346" t="s">
        <v>633</v>
      </c>
      <c r="G929" s="350" t="s">
        <v>596</v>
      </c>
      <c r="H929" s="351">
        <f t="shared" si="17"/>
        <v>36366.19</v>
      </c>
    </row>
    <row r="930" spans="1:9" ht="45">
      <c r="A930" s="345">
        <v>927</v>
      </c>
      <c r="B930" s="346" t="s">
        <v>320</v>
      </c>
      <c r="C930" s="347">
        <v>250</v>
      </c>
      <c r="D930" s="348">
        <v>45748</v>
      </c>
      <c r="E930" s="348">
        <v>47058</v>
      </c>
      <c r="F930" s="346" t="s">
        <v>633</v>
      </c>
      <c r="G930" s="350" t="s">
        <v>596</v>
      </c>
      <c r="H930" s="351">
        <f t="shared" si="17"/>
        <v>11000</v>
      </c>
      <c r="I930" s="120" t="str">
        <f>IF(OR(D930&lt;Capa!$A$5,D930&gt;Capa!$A$7,E930&lt;Capa!$A$5,E930&gt;Capa!$A$7,D930&gt;E930),"Erro","")</f>
        <v/>
      </c>
    </row>
    <row r="931" spans="1:9" ht="22.5">
      <c r="A931" s="345">
        <v>928</v>
      </c>
      <c r="B931" s="346" t="s">
        <v>198</v>
      </c>
      <c r="C931" s="347">
        <v>7500</v>
      </c>
      <c r="D931" s="348">
        <v>45261</v>
      </c>
      <c r="E931" s="348">
        <v>45627</v>
      </c>
      <c r="F931" s="346" t="s">
        <v>634</v>
      </c>
      <c r="G931" s="350" t="s">
        <v>438</v>
      </c>
      <c r="H931" s="351">
        <f t="shared" si="17"/>
        <v>97500</v>
      </c>
      <c r="I931" s="120" t="str">
        <f>IF(OR(D931&lt;Capa!$A$5,D931&gt;Capa!$A$7,E931&lt;Capa!$A$5,E931&gt;Capa!$A$7,D931&gt;E931),"Erro","")</f>
        <v/>
      </c>
    </row>
    <row r="932" spans="1:9" ht="22.5">
      <c r="A932" s="345">
        <v>929</v>
      </c>
      <c r="B932" s="346" t="s">
        <v>198</v>
      </c>
      <c r="C932" s="347">
        <v>7938</v>
      </c>
      <c r="D932" s="348">
        <v>45658</v>
      </c>
      <c r="E932" s="348">
        <v>45992</v>
      </c>
      <c r="F932" s="346" t="s">
        <v>634</v>
      </c>
      <c r="G932" s="350" t="s">
        <v>438</v>
      </c>
      <c r="H932" s="351">
        <f t="shared" si="17"/>
        <v>95256</v>
      </c>
      <c r="I932" s="120" t="str">
        <f>IF(OR(D932&lt;Capa!$A$5,D932&gt;Capa!$A$7,E932&lt;Capa!$A$5,E932&gt;Capa!$A$7,D932&gt;E932),"Erro","")</f>
        <v/>
      </c>
    </row>
    <row r="933" spans="1:9" ht="22.5">
      <c r="A933" s="345">
        <v>930</v>
      </c>
      <c r="B933" s="346" t="s">
        <v>198</v>
      </c>
      <c r="C933" s="347">
        <v>8401.58</v>
      </c>
      <c r="D933" s="348">
        <v>46023</v>
      </c>
      <c r="E933" s="348">
        <v>46023</v>
      </c>
      <c r="F933" s="346" t="s">
        <v>634</v>
      </c>
      <c r="G933" s="350" t="s">
        <v>438</v>
      </c>
      <c r="H933" s="351">
        <f t="shared" si="17"/>
        <v>8401.58</v>
      </c>
      <c r="I933" s="120" t="str">
        <f>IF(OR(D933&lt;Capa!$A$5,D933&gt;Capa!$A$7,E933&lt;Capa!$A$5,E933&gt;Capa!$A$7,D933&gt;E933),"Erro","")</f>
        <v/>
      </c>
    </row>
    <row r="934" spans="1:9" ht="22.5">
      <c r="A934" s="345">
        <v>931</v>
      </c>
      <c r="B934" s="346" t="s">
        <v>198</v>
      </c>
      <c r="C934" s="347">
        <v>8892.23</v>
      </c>
      <c r="D934" s="348">
        <v>46388</v>
      </c>
      <c r="E934" s="348">
        <v>46722</v>
      </c>
      <c r="F934" s="346" t="s">
        <v>634</v>
      </c>
      <c r="G934" s="350" t="s">
        <v>438</v>
      </c>
      <c r="H934" s="351">
        <f t="shared" si="17"/>
        <v>106706.76</v>
      </c>
      <c r="I934" s="120" t="str">
        <f>IF(OR(D934&lt;Capa!$A$5,D934&gt;Capa!$A$7,E934&lt;Capa!$A$5,E934&gt;Capa!$A$7,D934&gt;E934),"Erro","")</f>
        <v/>
      </c>
    </row>
    <row r="935" spans="1:9" ht="22.5">
      <c r="A935" s="345">
        <v>932</v>
      </c>
      <c r="B935" s="346" t="s">
        <v>198</v>
      </c>
      <c r="C935" s="347">
        <v>9411.5400000000009</v>
      </c>
      <c r="D935" s="348">
        <v>46753</v>
      </c>
      <c r="E935" s="348">
        <v>47058</v>
      </c>
      <c r="F935" s="346" t="s">
        <v>634</v>
      </c>
      <c r="G935" s="350" t="s">
        <v>438</v>
      </c>
      <c r="H935" s="351">
        <f t="shared" si="17"/>
        <v>103526.94</v>
      </c>
      <c r="I935" s="120" t="str">
        <f>IF(OR(D935&lt;Capa!$A$5,D935&gt;Capa!$A$7,E935&lt;Capa!$A$5,E935&gt;Capa!$A$7,D935&gt;E935),"Erro","")</f>
        <v/>
      </c>
    </row>
    <row r="936" spans="1:9" ht="22.5">
      <c r="A936" s="345">
        <v>933</v>
      </c>
      <c r="B936" s="346" t="s">
        <v>202</v>
      </c>
      <c r="C936" s="347">
        <v>1362.94</v>
      </c>
      <c r="D936" s="348">
        <v>45292</v>
      </c>
      <c r="E936" s="348">
        <v>45352</v>
      </c>
      <c r="F936" s="346" t="s">
        <v>634</v>
      </c>
      <c r="G936" s="350" t="s">
        <v>439</v>
      </c>
      <c r="H936" s="351">
        <f t="shared" si="17"/>
        <v>4088.82</v>
      </c>
      <c r="I936" s="120" t="str">
        <f>IF(OR(D936&lt;Capa!$A$5,D936&gt;Capa!$A$7,E936&lt;Capa!$A$5,E936&gt;Capa!$A$7,D936&gt;E936),"Erro","")</f>
        <v/>
      </c>
    </row>
    <row r="937" spans="1:9" ht="22.5">
      <c r="A937" s="345">
        <v>934</v>
      </c>
      <c r="B937" s="346" t="s">
        <v>202</v>
      </c>
      <c r="C937" s="347">
        <v>1442.53</v>
      </c>
      <c r="D937" s="348">
        <v>45658</v>
      </c>
      <c r="E937" s="348">
        <v>45717</v>
      </c>
      <c r="F937" s="346" t="s">
        <v>634</v>
      </c>
      <c r="G937" s="350" t="s">
        <v>439</v>
      </c>
      <c r="H937" s="351">
        <f t="shared" si="17"/>
        <v>4327.59</v>
      </c>
      <c r="I937" s="120" t="str">
        <f>IF(OR(D937&lt;Capa!$A$5,D937&gt;Capa!$A$7,E937&lt;Capa!$A$5,E937&gt;Capa!$A$7,D937&gt;E937),"Erro","")</f>
        <v/>
      </c>
    </row>
    <row r="938" spans="1:9" ht="22.5">
      <c r="A938" s="345">
        <v>935</v>
      </c>
      <c r="B938" s="346" t="s">
        <v>202</v>
      </c>
      <c r="C938" s="347">
        <v>1526.78</v>
      </c>
      <c r="D938" s="348">
        <v>46023</v>
      </c>
      <c r="E938" s="348">
        <v>46082</v>
      </c>
      <c r="F938" s="346" t="s">
        <v>634</v>
      </c>
      <c r="G938" s="350" t="s">
        <v>439</v>
      </c>
      <c r="H938" s="351">
        <f t="shared" si="17"/>
        <v>4580.34</v>
      </c>
      <c r="I938" s="120" t="str">
        <f>IF(OR(D938&lt;Capa!$A$5,D938&gt;Capa!$A$7,E938&lt;Capa!$A$5,E938&gt;Capa!$A$7,D938&gt;E938),"Erro","")</f>
        <v/>
      </c>
    </row>
    <row r="939" spans="1:9" ht="22.5">
      <c r="A939" s="345">
        <v>936</v>
      </c>
      <c r="B939" s="346" t="s">
        <v>202</v>
      </c>
      <c r="C939" s="347">
        <v>1615.94</v>
      </c>
      <c r="D939" s="348">
        <v>46388</v>
      </c>
      <c r="E939" s="348">
        <v>46447</v>
      </c>
      <c r="F939" s="346" t="s">
        <v>634</v>
      </c>
      <c r="G939" s="350" t="s">
        <v>439</v>
      </c>
      <c r="H939" s="351">
        <f t="shared" si="17"/>
        <v>4847.82</v>
      </c>
      <c r="I939" s="120" t="str">
        <f>IF(OR(D939&lt;Capa!$A$5,D939&gt;Capa!$A$7,E939&lt;Capa!$A$5,E939&gt;Capa!$A$7,D939&gt;E939),"Erro","")</f>
        <v/>
      </c>
    </row>
    <row r="940" spans="1:9" ht="22.5">
      <c r="A940" s="345">
        <v>937</v>
      </c>
      <c r="B940" s="346" t="s">
        <v>202</v>
      </c>
      <c r="C940" s="347">
        <v>1710.32</v>
      </c>
      <c r="D940" s="348">
        <v>46753</v>
      </c>
      <c r="E940" s="348">
        <v>46813</v>
      </c>
      <c r="F940" s="346" t="s">
        <v>634</v>
      </c>
      <c r="G940" s="350" t="s">
        <v>439</v>
      </c>
      <c r="H940" s="351">
        <f t="shared" si="17"/>
        <v>5130.96</v>
      </c>
      <c r="I940" s="120" t="str">
        <f>IF(OR(D940&lt;Capa!$A$5,D940&gt;Capa!$A$7,E940&lt;Capa!$A$5,E940&gt;Capa!$A$7,D940&gt;E940),"Erro","")</f>
        <v/>
      </c>
    </row>
    <row r="941" spans="1:9" ht="22.5">
      <c r="A941" s="345">
        <v>938</v>
      </c>
      <c r="B941" s="346" t="s">
        <v>204</v>
      </c>
      <c r="C941" s="347">
        <v>1531.69</v>
      </c>
      <c r="D941" s="348">
        <v>45292</v>
      </c>
      <c r="E941" s="348">
        <v>45383</v>
      </c>
      <c r="F941" s="346" t="s">
        <v>634</v>
      </c>
      <c r="G941" s="350" t="s">
        <v>439</v>
      </c>
      <c r="H941" s="351">
        <f t="shared" si="17"/>
        <v>6126.76</v>
      </c>
      <c r="I941" s="120" t="str">
        <f>IF(OR(D941&lt;Capa!$A$5,D941&gt;Capa!$A$7,E941&lt;Capa!$A$5,E941&gt;Capa!$A$7,D941&gt;E941),"Erro","")</f>
        <v/>
      </c>
    </row>
    <row r="942" spans="1:9" ht="22.5">
      <c r="A942" s="345">
        <v>939</v>
      </c>
      <c r="B942" s="346" t="s">
        <v>204</v>
      </c>
      <c r="C942" s="347">
        <v>1621.13</v>
      </c>
      <c r="D942" s="348">
        <v>45658</v>
      </c>
      <c r="E942" s="348">
        <v>45748</v>
      </c>
      <c r="F942" s="346" t="s">
        <v>634</v>
      </c>
      <c r="G942" s="350" t="s">
        <v>439</v>
      </c>
      <c r="H942" s="351">
        <f t="shared" si="17"/>
        <v>6484.52</v>
      </c>
      <c r="I942" s="120" t="str">
        <f>IF(OR(D942&lt;Capa!$A$5,D942&gt;Capa!$A$7,E942&lt;Capa!$A$5,E942&gt;Capa!$A$7,D942&gt;E942),"Erro","")</f>
        <v/>
      </c>
    </row>
    <row r="943" spans="1:9" ht="22.5">
      <c r="A943" s="345">
        <v>940</v>
      </c>
      <c r="B943" s="346" t="s">
        <v>204</v>
      </c>
      <c r="C943" s="347">
        <v>1715.81</v>
      </c>
      <c r="D943" s="348">
        <v>46023</v>
      </c>
      <c r="E943" s="348">
        <v>46113</v>
      </c>
      <c r="F943" s="346" t="s">
        <v>634</v>
      </c>
      <c r="G943" s="350" t="s">
        <v>439</v>
      </c>
      <c r="H943" s="351">
        <f t="shared" si="17"/>
        <v>6863.24</v>
      </c>
      <c r="I943" s="120" t="str">
        <f>IF(OR(D943&lt;Capa!$A$5,D943&gt;Capa!$A$7,E943&lt;Capa!$A$5,E943&gt;Capa!$A$7,D943&gt;E943),"Erro","")</f>
        <v/>
      </c>
    </row>
    <row r="944" spans="1:9" ht="22.5">
      <c r="A944" s="345">
        <v>941</v>
      </c>
      <c r="B944" s="346" t="s">
        <v>204</v>
      </c>
      <c r="C944" s="347">
        <v>1816.02</v>
      </c>
      <c r="D944" s="348">
        <v>46388</v>
      </c>
      <c r="E944" s="348">
        <v>46478</v>
      </c>
      <c r="F944" s="346" t="s">
        <v>634</v>
      </c>
      <c r="G944" s="350" t="s">
        <v>439</v>
      </c>
      <c r="H944" s="351">
        <f t="shared" si="17"/>
        <v>7264.08</v>
      </c>
      <c r="I944" s="120" t="str">
        <f>IF(OR(D944&lt;Capa!$A$5,D944&gt;Capa!$A$7,E944&lt;Capa!$A$5,E944&gt;Capa!$A$7,D944&gt;E944),"Erro","")</f>
        <v/>
      </c>
    </row>
    <row r="945" spans="1:9" ht="22.5">
      <c r="A945" s="345">
        <v>942</v>
      </c>
      <c r="B945" s="346" t="s">
        <v>204</v>
      </c>
      <c r="C945" s="347">
        <v>1922.07</v>
      </c>
      <c r="D945" s="348">
        <v>46753</v>
      </c>
      <c r="E945" s="348">
        <v>46844</v>
      </c>
      <c r="F945" s="346" t="s">
        <v>634</v>
      </c>
      <c r="G945" s="350" t="s">
        <v>439</v>
      </c>
      <c r="H945" s="351">
        <f t="shared" si="17"/>
        <v>7688.28</v>
      </c>
      <c r="I945" s="120" t="str">
        <f>IF(OR(D945&lt;Capa!$A$5,D945&gt;Capa!$A$7,E945&lt;Capa!$A$5,E945&gt;Capa!$A$7,D945&gt;E945),"Erro","")</f>
        <v/>
      </c>
    </row>
    <row r="946" spans="1:9" ht="22.5">
      <c r="A946" s="345">
        <v>943</v>
      </c>
      <c r="B946" s="346" t="s">
        <v>206</v>
      </c>
      <c r="C946" s="347">
        <v>1404</v>
      </c>
      <c r="D946" s="348">
        <v>45261</v>
      </c>
      <c r="E946" s="348">
        <v>45627</v>
      </c>
      <c r="F946" s="346" t="s">
        <v>634</v>
      </c>
      <c r="G946" s="350" t="s">
        <v>440</v>
      </c>
      <c r="H946" s="351">
        <f t="shared" si="17"/>
        <v>18252</v>
      </c>
      <c r="I946" s="120" t="str">
        <f>IF(OR(D946&lt;Capa!$A$5,D946&gt;Capa!$A$7,E946&lt;Capa!$A$5,E946&gt;Capa!$A$7,D946&gt;E946),"Erro","")</f>
        <v/>
      </c>
    </row>
    <row r="947" spans="1:9" ht="22.5">
      <c r="A947" s="345">
        <v>944</v>
      </c>
      <c r="B947" s="346" t="s">
        <v>206</v>
      </c>
      <c r="C947" s="347">
        <v>1485.99</v>
      </c>
      <c r="D947" s="348">
        <v>45658</v>
      </c>
      <c r="E947" s="348">
        <v>45992</v>
      </c>
      <c r="F947" s="346" t="s">
        <v>634</v>
      </c>
      <c r="G947" s="350" t="s">
        <v>440</v>
      </c>
      <c r="H947" s="351">
        <f t="shared" si="17"/>
        <v>17831.88</v>
      </c>
      <c r="I947" s="120" t="str">
        <f>IF(OR(D947&lt;Capa!$A$5,D947&gt;Capa!$A$7,E947&lt;Capa!$A$5,E947&gt;Capa!$A$7,D947&gt;E947),"Erro","")</f>
        <v/>
      </c>
    </row>
    <row r="948" spans="1:9" ht="22.5">
      <c r="A948" s="345">
        <v>945</v>
      </c>
      <c r="B948" s="346" t="s">
        <v>206</v>
      </c>
      <c r="C948" s="347">
        <v>1572.77</v>
      </c>
      <c r="D948" s="348">
        <v>46023</v>
      </c>
      <c r="E948" s="348">
        <v>46023</v>
      </c>
      <c r="F948" s="346" t="s">
        <v>634</v>
      </c>
      <c r="G948" s="350" t="s">
        <v>440</v>
      </c>
      <c r="H948" s="351">
        <f t="shared" si="17"/>
        <v>1572.77</v>
      </c>
      <c r="I948" s="120" t="str">
        <f>IF(OR(D948&lt;Capa!$A$5,D948&gt;Capa!$A$7,E948&lt;Capa!$A$5,E948&gt;Capa!$A$7,D948&gt;E948),"Erro","")</f>
        <v/>
      </c>
    </row>
    <row r="949" spans="1:9" ht="22.5">
      <c r="A949" s="345">
        <v>946</v>
      </c>
      <c r="B949" s="346" t="s">
        <v>206</v>
      </c>
      <c r="C949" s="347">
        <v>1664.62</v>
      </c>
      <c r="D949" s="348">
        <v>46388</v>
      </c>
      <c r="E949" s="348">
        <v>46722</v>
      </c>
      <c r="F949" s="346" t="s">
        <v>634</v>
      </c>
      <c r="G949" s="350" t="s">
        <v>440</v>
      </c>
      <c r="H949" s="351">
        <f t="shared" si="17"/>
        <v>19975.439999999999</v>
      </c>
      <c r="I949" s="120" t="str">
        <f>IF(OR(D949&lt;Capa!$A$5,D949&gt;Capa!$A$7,E949&lt;Capa!$A$5,E949&gt;Capa!$A$7,D949&gt;E949),"Erro","")</f>
        <v/>
      </c>
    </row>
    <row r="950" spans="1:9" ht="22.5">
      <c r="A950" s="345">
        <v>947</v>
      </c>
      <c r="B950" s="346" t="s">
        <v>206</v>
      </c>
      <c r="C950" s="347">
        <v>1761.84</v>
      </c>
      <c r="D950" s="348">
        <v>46753</v>
      </c>
      <c r="E950" s="348">
        <v>47058</v>
      </c>
      <c r="F950" s="346" t="s">
        <v>634</v>
      </c>
      <c r="G950" s="350" t="s">
        <v>440</v>
      </c>
      <c r="H950" s="351">
        <f t="shared" si="17"/>
        <v>19380.239999999998</v>
      </c>
      <c r="I950" s="120" t="str">
        <f>IF(OR(D950&lt;Capa!$A$5,D950&gt;Capa!$A$7,E950&lt;Capa!$A$5,E950&gt;Capa!$A$7,D950&gt;E950),"Erro","")</f>
        <v/>
      </c>
    </row>
    <row r="951" spans="1:9" ht="22.5">
      <c r="A951" s="345">
        <v>948</v>
      </c>
      <c r="B951" s="346" t="s">
        <v>208</v>
      </c>
      <c r="C951" s="347">
        <v>1783</v>
      </c>
      <c r="D951" s="348">
        <v>45261</v>
      </c>
      <c r="E951" s="348">
        <v>45627</v>
      </c>
      <c r="F951" s="346" t="s">
        <v>634</v>
      </c>
      <c r="G951" s="350" t="s">
        <v>440</v>
      </c>
      <c r="H951" s="351">
        <f t="shared" si="17"/>
        <v>23179</v>
      </c>
      <c r="I951" s="120" t="str">
        <f>IF(OR(D951&lt;Capa!$A$5,D951&gt;Capa!$A$7,E951&lt;Capa!$A$5,E951&gt;Capa!$A$7,D951&gt;E951),"Erro","")</f>
        <v/>
      </c>
    </row>
    <row r="952" spans="1:9" ht="22.5">
      <c r="A952" s="345">
        <v>949</v>
      </c>
      <c r="B952" s="346" t="s">
        <v>208</v>
      </c>
      <c r="C952" s="347">
        <v>1887.12</v>
      </c>
      <c r="D952" s="348">
        <v>45658</v>
      </c>
      <c r="E952" s="348">
        <v>45992</v>
      </c>
      <c r="F952" s="346" t="s">
        <v>634</v>
      </c>
      <c r="G952" s="350" t="s">
        <v>440</v>
      </c>
      <c r="H952" s="351">
        <f t="shared" si="17"/>
        <v>22645.439999999999</v>
      </c>
      <c r="I952" s="120" t="str">
        <f>IF(OR(D952&lt;Capa!$A$5,D952&gt;Capa!$A$7,E952&lt;Capa!$A$5,E952&gt;Capa!$A$7,D952&gt;E952),"Erro","")</f>
        <v/>
      </c>
    </row>
    <row r="953" spans="1:9" ht="22.5">
      <c r="A953" s="345">
        <v>950</v>
      </c>
      <c r="B953" s="346" t="s">
        <v>208</v>
      </c>
      <c r="C953" s="347">
        <v>1997.33</v>
      </c>
      <c r="D953" s="348">
        <v>46023</v>
      </c>
      <c r="E953" s="348">
        <v>46023</v>
      </c>
      <c r="F953" s="346" t="s">
        <v>634</v>
      </c>
      <c r="G953" s="350" t="s">
        <v>440</v>
      </c>
      <c r="H953" s="351">
        <f t="shared" si="17"/>
        <v>1997.33</v>
      </c>
      <c r="I953" s="120" t="str">
        <f>IF(OR(D953&lt;Capa!$A$5,D953&gt;Capa!$A$7,E953&lt;Capa!$A$5,E953&gt;Capa!$A$7,D953&gt;E953),"Erro","")</f>
        <v/>
      </c>
    </row>
    <row r="954" spans="1:9" ht="22.5">
      <c r="A954" s="345">
        <v>951</v>
      </c>
      <c r="B954" s="346" t="s">
        <v>208</v>
      </c>
      <c r="C954" s="347">
        <v>2113.98</v>
      </c>
      <c r="D954" s="348">
        <v>46388</v>
      </c>
      <c r="E954" s="348">
        <v>46722</v>
      </c>
      <c r="F954" s="346" t="s">
        <v>634</v>
      </c>
      <c r="G954" s="350" t="s">
        <v>440</v>
      </c>
      <c r="H954" s="351">
        <f t="shared" si="17"/>
        <v>25367.760000000002</v>
      </c>
      <c r="I954" s="120" t="str">
        <f>IF(OR(D954&lt;Capa!$A$5,D954&gt;Capa!$A$7,E954&lt;Capa!$A$5,E954&gt;Capa!$A$7,D954&gt;E954),"Erro","")</f>
        <v/>
      </c>
    </row>
    <row r="955" spans="1:9" ht="22.5">
      <c r="A955" s="345">
        <v>952</v>
      </c>
      <c r="B955" s="346" t="s">
        <v>208</v>
      </c>
      <c r="C955" s="347">
        <v>2237.4299999999998</v>
      </c>
      <c r="D955" s="348">
        <v>46753</v>
      </c>
      <c r="E955" s="348">
        <v>47058</v>
      </c>
      <c r="F955" s="346" t="s">
        <v>634</v>
      </c>
      <c r="G955" s="350" t="s">
        <v>440</v>
      </c>
      <c r="H955" s="351">
        <f t="shared" si="17"/>
        <v>24611.73</v>
      </c>
      <c r="I955" s="120" t="str">
        <f>IF(OR(D955&lt;Capa!$A$5,D955&gt;Capa!$A$7,E955&lt;Capa!$A$5,E955&gt;Capa!$A$7,D955&gt;E955),"Erro","")</f>
        <v/>
      </c>
    </row>
    <row r="956" spans="1:9" ht="22.5">
      <c r="A956" s="345">
        <v>953</v>
      </c>
      <c r="B956" s="346" t="s">
        <v>210</v>
      </c>
      <c r="C956" s="347">
        <v>38</v>
      </c>
      <c r="D956" s="348">
        <v>45261</v>
      </c>
      <c r="E956" s="348">
        <v>45627</v>
      </c>
      <c r="F956" s="346" t="s">
        <v>634</v>
      </c>
      <c r="G956" s="350" t="s">
        <v>440</v>
      </c>
      <c r="H956" s="351">
        <f t="shared" si="17"/>
        <v>494</v>
      </c>
      <c r="I956" s="120" t="str">
        <f>IF(OR(D956&lt;Capa!$A$5,D956&gt;Capa!$A$7,E956&lt;Capa!$A$5,E956&gt;Capa!$A$7,D956&gt;E956),"Erro","")</f>
        <v/>
      </c>
    </row>
    <row r="957" spans="1:9" ht="22.5">
      <c r="A957" s="345">
        <v>954</v>
      </c>
      <c r="B957" s="346" t="s">
        <v>210</v>
      </c>
      <c r="C957" s="347">
        <v>40.22</v>
      </c>
      <c r="D957" s="348">
        <v>45658</v>
      </c>
      <c r="E957" s="348">
        <v>45992</v>
      </c>
      <c r="F957" s="346" t="s">
        <v>634</v>
      </c>
      <c r="G957" s="350" t="s">
        <v>440</v>
      </c>
      <c r="H957" s="351">
        <f t="shared" si="17"/>
        <v>482.64</v>
      </c>
      <c r="I957" s="120" t="str">
        <f>IF(OR(D957&lt;Capa!$A$5,D957&gt;Capa!$A$7,E957&lt;Capa!$A$5,E957&gt;Capa!$A$7,D957&gt;E957),"Erro","")</f>
        <v/>
      </c>
    </row>
    <row r="958" spans="1:9" ht="22.5">
      <c r="A958" s="345">
        <v>955</v>
      </c>
      <c r="B958" s="346" t="s">
        <v>210</v>
      </c>
      <c r="C958" s="347">
        <v>42.57</v>
      </c>
      <c r="D958" s="348">
        <v>46023</v>
      </c>
      <c r="E958" s="348">
        <v>46023</v>
      </c>
      <c r="F958" s="346" t="s">
        <v>634</v>
      </c>
      <c r="G958" s="350" t="s">
        <v>440</v>
      </c>
      <c r="H958" s="351">
        <f t="shared" si="17"/>
        <v>42.57</v>
      </c>
      <c r="I958" s="120" t="str">
        <f>IF(OR(D958&lt;Capa!$A$5,D958&gt;Capa!$A$7,E958&lt;Capa!$A$5,E958&gt;Capa!$A$7,D958&gt;E958),"Erro","")</f>
        <v/>
      </c>
    </row>
    <row r="959" spans="1:9" ht="22.5">
      <c r="A959" s="345">
        <v>956</v>
      </c>
      <c r="B959" s="346" t="s">
        <v>210</v>
      </c>
      <c r="C959" s="347">
        <v>45.05</v>
      </c>
      <c r="D959" s="348">
        <v>46388</v>
      </c>
      <c r="E959" s="348">
        <v>46722</v>
      </c>
      <c r="F959" s="346" t="s">
        <v>634</v>
      </c>
      <c r="G959" s="350" t="s">
        <v>440</v>
      </c>
      <c r="H959" s="351">
        <f t="shared" si="17"/>
        <v>540.59999999999991</v>
      </c>
      <c r="I959" s="120" t="str">
        <f>IF(OR(D959&lt;Capa!$A$5,D959&gt;Capa!$A$7,E959&lt;Capa!$A$5,E959&gt;Capa!$A$7,D959&gt;E959),"Erro","")</f>
        <v/>
      </c>
    </row>
    <row r="960" spans="1:9" ht="22.5">
      <c r="A960" s="345">
        <v>957</v>
      </c>
      <c r="B960" s="346" t="s">
        <v>210</v>
      </c>
      <c r="C960" s="347">
        <v>47.69</v>
      </c>
      <c r="D960" s="348">
        <v>46753</v>
      </c>
      <c r="E960" s="348">
        <v>47058</v>
      </c>
      <c r="F960" s="346" t="s">
        <v>634</v>
      </c>
      <c r="G960" s="350" t="s">
        <v>440</v>
      </c>
      <c r="H960" s="351">
        <f t="shared" si="17"/>
        <v>524.58999999999992</v>
      </c>
      <c r="I960" s="120" t="str">
        <f>IF(OR(D960&lt;Capa!$A$5,D960&gt;Capa!$A$7,E960&lt;Capa!$A$5,E960&gt;Capa!$A$7,D960&gt;E960),"Erro","")</f>
        <v/>
      </c>
    </row>
    <row r="961" spans="1:9" ht="22.5">
      <c r="A961" s="345">
        <v>958</v>
      </c>
      <c r="B961" s="346" t="s">
        <v>214</v>
      </c>
      <c r="C961" s="347">
        <v>116.9</v>
      </c>
      <c r="D961" s="348">
        <v>45261</v>
      </c>
      <c r="E961" s="348">
        <v>45627</v>
      </c>
      <c r="F961" s="346" t="s">
        <v>634</v>
      </c>
      <c r="G961" s="350" t="s">
        <v>440</v>
      </c>
      <c r="H961" s="351">
        <f t="shared" si="17"/>
        <v>1519.7</v>
      </c>
      <c r="I961" s="120" t="str">
        <f>IF(OR(D961&lt;Capa!$A$5,D961&gt;Capa!$A$7,E961&lt;Capa!$A$5,E961&gt;Capa!$A$7,D961&gt;E961),"Erro","")</f>
        <v/>
      </c>
    </row>
    <row r="962" spans="1:9" ht="22.5">
      <c r="A962" s="345">
        <v>959</v>
      </c>
      <c r="B962" s="346" t="s">
        <v>214</v>
      </c>
      <c r="C962" s="347">
        <v>123.72</v>
      </c>
      <c r="D962" s="348">
        <v>45658</v>
      </c>
      <c r="E962" s="348">
        <v>45992</v>
      </c>
      <c r="F962" s="346" t="s">
        <v>634</v>
      </c>
      <c r="G962" s="350" t="s">
        <v>440</v>
      </c>
      <c r="H962" s="351">
        <f t="shared" si="17"/>
        <v>1484.6399999999999</v>
      </c>
      <c r="I962" s="120" t="str">
        <f>IF(OR(D962&lt;Capa!$A$5,D962&gt;Capa!$A$7,E962&lt;Capa!$A$5,E962&gt;Capa!$A$7,D962&gt;E962),"Erro","")</f>
        <v/>
      </c>
    </row>
    <row r="963" spans="1:9" ht="22.5">
      <c r="A963" s="345">
        <v>960</v>
      </c>
      <c r="B963" s="346" t="s">
        <v>214</v>
      </c>
      <c r="C963" s="347">
        <v>130.94999999999999</v>
      </c>
      <c r="D963" s="348">
        <v>46023</v>
      </c>
      <c r="E963" s="348">
        <v>46023</v>
      </c>
      <c r="F963" s="346" t="s">
        <v>634</v>
      </c>
      <c r="G963" s="350" t="s">
        <v>440</v>
      </c>
      <c r="H963" s="351">
        <f t="shared" si="17"/>
        <v>130.94999999999999</v>
      </c>
      <c r="I963" s="120" t="str">
        <f>IF(OR(D963&lt;Capa!$A$5,D963&gt;Capa!$A$7,E963&lt;Capa!$A$5,E963&gt;Capa!$A$7,D963&gt;E963),"Erro","")</f>
        <v/>
      </c>
    </row>
    <row r="964" spans="1:9" ht="22.5">
      <c r="A964" s="345">
        <v>961</v>
      </c>
      <c r="B964" s="346" t="s">
        <v>214</v>
      </c>
      <c r="C964" s="347">
        <v>138.6</v>
      </c>
      <c r="D964" s="348">
        <v>46388</v>
      </c>
      <c r="E964" s="348">
        <v>46722</v>
      </c>
      <c r="F964" s="346" t="s">
        <v>634</v>
      </c>
      <c r="G964" s="350" t="s">
        <v>440</v>
      </c>
      <c r="H964" s="351">
        <f t="shared" si="17"/>
        <v>1663.1999999999998</v>
      </c>
      <c r="I964" s="120" t="str">
        <f>IF(OR(D964&lt;Capa!$A$5,D964&gt;Capa!$A$7,E964&lt;Capa!$A$5,E964&gt;Capa!$A$7,D964&gt;E964),"Erro","")</f>
        <v/>
      </c>
    </row>
    <row r="965" spans="1:9" ht="22.5">
      <c r="A965" s="345">
        <v>962</v>
      </c>
      <c r="B965" s="346" t="s">
        <v>214</v>
      </c>
      <c r="C965" s="347">
        <v>146.69</v>
      </c>
      <c r="D965" s="348">
        <v>46753</v>
      </c>
      <c r="E965" s="348">
        <v>47058</v>
      </c>
      <c r="F965" s="346" t="s">
        <v>634</v>
      </c>
      <c r="G965" s="350" t="s">
        <v>440</v>
      </c>
      <c r="H965" s="351">
        <f t="shared" si="17"/>
        <v>1613.59</v>
      </c>
      <c r="I965" s="120" t="str">
        <f>IF(OR(D965&lt;Capa!$A$5,D965&gt;Capa!$A$7,E965&lt;Capa!$A$5,E965&gt;Capa!$A$7,D965&gt;E965),"Erro","")</f>
        <v/>
      </c>
    </row>
    <row r="966" spans="1:9" ht="56.25">
      <c r="A966" s="345">
        <v>963</v>
      </c>
      <c r="B966" s="346" t="s">
        <v>212</v>
      </c>
      <c r="C966" s="347">
        <v>235.74</v>
      </c>
      <c r="D966" s="348">
        <v>45261</v>
      </c>
      <c r="E966" s="348">
        <v>45627</v>
      </c>
      <c r="F966" s="346" t="s">
        <v>634</v>
      </c>
      <c r="G966" s="350" t="s">
        <v>500</v>
      </c>
      <c r="H966" s="351">
        <f t="shared" si="17"/>
        <v>3064.62</v>
      </c>
      <c r="I966" s="120" t="str">
        <f>IF(OR(D966&lt;Capa!$A$5,D966&gt;Capa!$A$7,E966&lt;Capa!$A$5,E966&gt;Capa!$A$7,D966&gt;E966),"Erro","")</f>
        <v/>
      </c>
    </row>
    <row r="967" spans="1:9" ht="56.25">
      <c r="A967" s="345">
        <v>964</v>
      </c>
      <c r="B967" s="346" t="s">
        <v>212</v>
      </c>
      <c r="C967" s="347">
        <v>249.5</v>
      </c>
      <c r="D967" s="348">
        <v>45658</v>
      </c>
      <c r="E967" s="348">
        <v>45992</v>
      </c>
      <c r="F967" s="346" t="s">
        <v>634</v>
      </c>
      <c r="G967" s="350" t="s">
        <v>500</v>
      </c>
      <c r="H967" s="351">
        <f t="shared" si="17"/>
        <v>2994</v>
      </c>
      <c r="I967" s="120" t="str">
        <f>IF(OR(D967&lt;Capa!$A$5,D967&gt;Capa!$A$7,E967&lt;Capa!$A$5,E967&gt;Capa!$A$7,D967&gt;E967),"Erro","")</f>
        <v/>
      </c>
    </row>
    <row r="968" spans="1:9" ht="56.25">
      <c r="A968" s="345">
        <v>965</v>
      </c>
      <c r="B968" s="346" t="s">
        <v>212</v>
      </c>
      <c r="C968" s="347">
        <v>264.07</v>
      </c>
      <c r="D968" s="348">
        <v>46023</v>
      </c>
      <c r="E968" s="348">
        <v>46023</v>
      </c>
      <c r="F968" s="346" t="s">
        <v>634</v>
      </c>
      <c r="G968" s="350" t="s">
        <v>500</v>
      </c>
      <c r="H968" s="351">
        <f t="shared" si="17"/>
        <v>264.07</v>
      </c>
      <c r="I968" s="120" t="str">
        <f>IF(OR(D968&lt;Capa!$A$5,D968&gt;Capa!$A$7,E968&lt;Capa!$A$5,E968&gt;Capa!$A$7,D968&gt;E968),"Erro","")</f>
        <v/>
      </c>
    </row>
    <row r="969" spans="1:9" ht="56.25">
      <c r="A969" s="345">
        <v>966</v>
      </c>
      <c r="B969" s="346" t="s">
        <v>212</v>
      </c>
      <c r="C969" s="347">
        <v>279.5</v>
      </c>
      <c r="D969" s="348">
        <v>46388</v>
      </c>
      <c r="E969" s="348">
        <v>46722</v>
      </c>
      <c r="F969" s="346" t="s">
        <v>634</v>
      </c>
      <c r="G969" s="350" t="s">
        <v>500</v>
      </c>
      <c r="H969" s="351">
        <f t="shared" si="17"/>
        <v>3354</v>
      </c>
      <c r="I969" s="120" t="str">
        <f>IF(OR(D969&lt;Capa!$A$5,D969&gt;Capa!$A$7,E969&lt;Capa!$A$5,E969&gt;Capa!$A$7,D969&gt;E969),"Erro","")</f>
        <v/>
      </c>
    </row>
    <row r="970" spans="1:9" ht="56.25">
      <c r="A970" s="345">
        <v>967</v>
      </c>
      <c r="B970" s="346" t="s">
        <v>212</v>
      </c>
      <c r="C970" s="347">
        <v>295.82</v>
      </c>
      <c r="D970" s="348">
        <v>46753</v>
      </c>
      <c r="E970" s="348">
        <v>47058</v>
      </c>
      <c r="F970" s="346" t="s">
        <v>634</v>
      </c>
      <c r="G970" s="350" t="s">
        <v>500</v>
      </c>
      <c r="H970" s="351">
        <f t="shared" si="17"/>
        <v>3254.02</v>
      </c>
      <c r="I970" s="120" t="str">
        <f>IF(OR(D970&lt;Capa!$A$5,D970&gt;Capa!$A$7,E970&lt;Capa!$A$5,E970&gt;Capa!$A$7,D970&gt;E970),"Erro","")</f>
        <v/>
      </c>
    </row>
    <row r="971" spans="1:9" ht="45">
      <c r="A971" s="345">
        <v>968</v>
      </c>
      <c r="B971" s="346" t="s">
        <v>248</v>
      </c>
      <c r="C971" s="347">
        <v>846</v>
      </c>
      <c r="D971" s="348">
        <v>45261</v>
      </c>
      <c r="E971" s="348">
        <v>45444</v>
      </c>
      <c r="F971" s="346" t="s">
        <v>634</v>
      </c>
      <c r="G971" s="350" t="s">
        <v>441</v>
      </c>
      <c r="H971" s="351">
        <f t="shared" si="17"/>
        <v>5922</v>
      </c>
      <c r="I971" s="120" t="str">
        <f>IF(OR(D971&lt;Capa!$A$5,D971&gt;Capa!$A$7,E971&lt;Capa!$A$5,E971&gt;Capa!$A$7,D971&gt;E971),"Erro","")</f>
        <v/>
      </c>
    </row>
    <row r="972" spans="1:9" ht="45">
      <c r="A972" s="345">
        <v>969</v>
      </c>
      <c r="B972" s="346" t="s">
        <v>248</v>
      </c>
      <c r="C972" s="347">
        <v>846</v>
      </c>
      <c r="D972" s="348">
        <v>45658</v>
      </c>
      <c r="E972" s="348">
        <v>45809</v>
      </c>
      <c r="F972" s="346" t="s">
        <v>634</v>
      </c>
      <c r="G972" s="350" t="s">
        <v>441</v>
      </c>
      <c r="H972" s="351">
        <f t="shared" si="17"/>
        <v>5076</v>
      </c>
      <c r="I972" s="120" t="str">
        <f>IF(OR(D972&lt;Capa!$A$5,D972&gt;Capa!$A$7,E972&lt;Capa!$A$5,E972&gt;Capa!$A$7,D972&gt;E972),"Erro","")</f>
        <v/>
      </c>
    </row>
    <row r="973" spans="1:9" ht="45">
      <c r="A973" s="345">
        <v>970</v>
      </c>
      <c r="B973" s="346" t="s">
        <v>248</v>
      </c>
      <c r="C973" s="347">
        <v>846</v>
      </c>
      <c r="D973" s="348">
        <v>46023</v>
      </c>
      <c r="E973" s="348">
        <v>46174</v>
      </c>
      <c r="F973" s="346" t="s">
        <v>634</v>
      </c>
      <c r="G973" s="350" t="s">
        <v>441</v>
      </c>
      <c r="H973" s="351">
        <f t="shared" si="17"/>
        <v>5076</v>
      </c>
      <c r="I973" s="120" t="str">
        <f>IF(OR(D973&lt;Capa!$A$5,D973&gt;Capa!$A$7,E973&lt;Capa!$A$5,E973&gt;Capa!$A$7,D973&gt;E973),"Erro","")</f>
        <v/>
      </c>
    </row>
    <row r="974" spans="1:9" ht="45">
      <c r="A974" s="345">
        <v>971</v>
      </c>
      <c r="B974" s="346" t="s">
        <v>248</v>
      </c>
      <c r="C974" s="347">
        <v>846</v>
      </c>
      <c r="D974" s="348">
        <v>46388</v>
      </c>
      <c r="E974" s="348">
        <v>46539</v>
      </c>
      <c r="F974" s="346" t="s">
        <v>634</v>
      </c>
      <c r="G974" s="350" t="s">
        <v>441</v>
      </c>
      <c r="H974" s="351">
        <f t="shared" si="17"/>
        <v>5076</v>
      </c>
      <c r="I974" s="120" t="str">
        <f>IF(OR(D974&lt;Capa!$A$5,D974&gt;Capa!$A$7,E974&lt;Capa!$A$5,E974&gt;Capa!$A$7,D974&gt;E974),"Erro","")</f>
        <v/>
      </c>
    </row>
    <row r="975" spans="1:9" ht="45">
      <c r="A975" s="345">
        <v>972</v>
      </c>
      <c r="B975" s="346" t="s">
        <v>248</v>
      </c>
      <c r="C975" s="347">
        <v>846</v>
      </c>
      <c r="D975" s="348">
        <v>46753</v>
      </c>
      <c r="E975" s="348">
        <v>46905</v>
      </c>
      <c r="F975" s="346" t="s">
        <v>634</v>
      </c>
      <c r="G975" s="350" t="s">
        <v>441</v>
      </c>
      <c r="H975" s="351">
        <f t="shared" si="17"/>
        <v>5076</v>
      </c>
      <c r="I975" s="120" t="str">
        <f>IF(OR(D975&lt;Capa!$A$5,D975&gt;Capa!$A$7,E975&lt;Capa!$A$5,E975&gt;Capa!$A$7,D975&gt;E975),"Erro","")</f>
        <v/>
      </c>
    </row>
    <row r="976" spans="1:9" ht="33.75">
      <c r="A976" s="345">
        <v>973</v>
      </c>
      <c r="B976" s="346" t="s">
        <v>266</v>
      </c>
      <c r="C976" s="347">
        <v>600</v>
      </c>
      <c r="D976" s="348">
        <v>45597</v>
      </c>
      <c r="E976" s="348">
        <v>45717</v>
      </c>
      <c r="F976" s="346" t="s">
        <v>634</v>
      </c>
      <c r="G976" s="350" t="s">
        <v>442</v>
      </c>
      <c r="H976" s="351">
        <f t="shared" si="17"/>
        <v>3000</v>
      </c>
      <c r="I976" s="120" t="str">
        <f>IF(OR(D976&lt;Capa!$A$5,D976&gt;Capa!$A$7,E976&lt;Capa!$A$5,E976&gt;Capa!$A$7,D976&gt;E976),"Erro","")</f>
        <v/>
      </c>
    </row>
    <row r="977" spans="1:9" ht="33.75">
      <c r="A977" s="345">
        <v>974</v>
      </c>
      <c r="B977" s="346" t="s">
        <v>266</v>
      </c>
      <c r="C977" s="347">
        <v>600</v>
      </c>
      <c r="D977" s="348">
        <v>45962</v>
      </c>
      <c r="E977" s="348">
        <v>46082</v>
      </c>
      <c r="F977" s="346" t="s">
        <v>634</v>
      </c>
      <c r="G977" s="350" t="s">
        <v>442</v>
      </c>
      <c r="H977" s="351">
        <f t="shared" si="17"/>
        <v>3000</v>
      </c>
      <c r="I977" s="120" t="str">
        <f>IF(OR(D977&lt;Capa!$A$5,D977&gt;Capa!$A$7,E977&lt;Capa!$A$5,E977&gt;Capa!$A$7,D977&gt;E977),"Erro","")</f>
        <v/>
      </c>
    </row>
    <row r="978" spans="1:9" ht="33.75">
      <c r="A978" s="345">
        <v>975</v>
      </c>
      <c r="B978" s="346" t="s">
        <v>266</v>
      </c>
      <c r="C978" s="347">
        <v>600</v>
      </c>
      <c r="D978" s="348">
        <v>46327</v>
      </c>
      <c r="E978" s="348">
        <v>46447</v>
      </c>
      <c r="F978" s="346" t="s">
        <v>634</v>
      </c>
      <c r="G978" s="350" t="s">
        <v>442</v>
      </c>
      <c r="H978" s="351">
        <f t="shared" ref="H978:H1040" si="18">IFERROR((DATEDIF(D978,E978,"M")+1)*C978,0)</f>
        <v>3000</v>
      </c>
      <c r="I978" s="120" t="str">
        <f>IF(OR(D978&lt;Capa!$A$5,D978&gt;Capa!$A$7,E978&lt;Capa!$A$5,E978&gt;Capa!$A$7,D978&gt;E978),"Erro","")</f>
        <v/>
      </c>
    </row>
    <row r="979" spans="1:9" ht="33.75">
      <c r="A979" s="345">
        <v>976</v>
      </c>
      <c r="B979" s="346" t="s">
        <v>266</v>
      </c>
      <c r="C979" s="347">
        <v>600</v>
      </c>
      <c r="D979" s="348">
        <v>46692</v>
      </c>
      <c r="E979" s="348">
        <v>46813</v>
      </c>
      <c r="F979" s="346" t="s">
        <v>634</v>
      </c>
      <c r="G979" s="350" t="s">
        <v>442</v>
      </c>
      <c r="H979" s="351">
        <f t="shared" si="18"/>
        <v>3000</v>
      </c>
      <c r="I979" s="120" t="str">
        <f>IF(OR(D979&lt;Capa!$A$5,D979&gt;Capa!$A$7,E979&lt;Capa!$A$5,E979&gt;Capa!$A$7,D979&gt;E979),"Erro","")</f>
        <v/>
      </c>
    </row>
    <row r="980" spans="1:9" ht="22.5">
      <c r="A980" s="345">
        <v>977</v>
      </c>
      <c r="B980" s="346" t="s">
        <v>274</v>
      </c>
      <c r="C980" s="347">
        <v>1100</v>
      </c>
      <c r="D980" s="348">
        <v>45261</v>
      </c>
      <c r="E980" s="348">
        <v>45627</v>
      </c>
      <c r="F980" s="346" t="s">
        <v>634</v>
      </c>
      <c r="G980" s="350" t="s">
        <v>443</v>
      </c>
      <c r="H980" s="351">
        <f t="shared" si="18"/>
        <v>14300</v>
      </c>
      <c r="I980" s="120" t="str">
        <f>IF(OR(D980&lt;Capa!$A$5,D980&gt;Capa!$A$7,E980&lt;Capa!$A$5,E980&gt;Capa!$A$7,D980&gt;E980),"Erro","")</f>
        <v/>
      </c>
    </row>
    <row r="981" spans="1:9" ht="22.5">
      <c r="A981" s="345">
        <v>978</v>
      </c>
      <c r="B981" s="346" t="s">
        <v>274</v>
      </c>
      <c r="C981" s="347">
        <v>1100</v>
      </c>
      <c r="D981" s="348">
        <v>45658</v>
      </c>
      <c r="E981" s="348">
        <v>45992</v>
      </c>
      <c r="F981" s="346" t="s">
        <v>634</v>
      </c>
      <c r="G981" s="350" t="s">
        <v>443</v>
      </c>
      <c r="H981" s="351">
        <f t="shared" si="18"/>
        <v>13200</v>
      </c>
      <c r="I981" s="120" t="str">
        <f>IF(OR(D981&lt;Capa!$A$5,D981&gt;Capa!$A$7,E981&lt;Capa!$A$5,E981&gt;Capa!$A$7,D981&gt;E981),"Erro","")</f>
        <v/>
      </c>
    </row>
    <row r="982" spans="1:9" ht="22.5">
      <c r="A982" s="345">
        <v>979</v>
      </c>
      <c r="B982" s="346" t="s">
        <v>274</v>
      </c>
      <c r="C982" s="347">
        <v>2288.91</v>
      </c>
      <c r="D982" s="348">
        <v>46023</v>
      </c>
      <c r="E982" s="348">
        <v>46357</v>
      </c>
      <c r="F982" s="346" t="s">
        <v>634</v>
      </c>
      <c r="G982" s="350" t="s">
        <v>443</v>
      </c>
      <c r="H982" s="351">
        <f t="shared" si="18"/>
        <v>27466.92</v>
      </c>
      <c r="I982" s="120" t="str">
        <f>IF(OR(D982&lt;Capa!$A$5,D982&gt;Capa!$A$7,E982&lt;Capa!$A$5,E982&gt;Capa!$A$7,D982&gt;E982),"Erro","")</f>
        <v/>
      </c>
    </row>
    <row r="983" spans="1:9" ht="22.5">
      <c r="A983" s="345">
        <v>980</v>
      </c>
      <c r="B983" s="346" t="s">
        <v>274</v>
      </c>
      <c r="C983" s="347">
        <v>2422.58</v>
      </c>
      <c r="D983" s="348">
        <v>46388</v>
      </c>
      <c r="E983" s="348">
        <v>46722</v>
      </c>
      <c r="F983" s="346" t="s">
        <v>634</v>
      </c>
      <c r="G983" s="350" t="s">
        <v>443</v>
      </c>
      <c r="H983" s="351">
        <f t="shared" si="18"/>
        <v>29070.959999999999</v>
      </c>
      <c r="I983" s="120" t="str">
        <f>IF(OR(D983&lt;Capa!$A$5,D983&gt;Capa!$A$7,E983&lt;Capa!$A$5,E983&gt;Capa!$A$7,D983&gt;E983),"Erro","")</f>
        <v/>
      </c>
    </row>
    <row r="984" spans="1:9" ht="22.5">
      <c r="A984" s="345">
        <v>981</v>
      </c>
      <c r="B984" s="346" t="s">
        <v>274</v>
      </c>
      <c r="C984" s="347">
        <v>2564.06</v>
      </c>
      <c r="D984" s="348">
        <v>46753</v>
      </c>
      <c r="E984" s="348">
        <v>47058</v>
      </c>
      <c r="F984" s="346" t="s">
        <v>634</v>
      </c>
      <c r="G984" s="350" t="s">
        <v>443</v>
      </c>
      <c r="H984" s="351">
        <f t="shared" si="18"/>
        <v>28204.66</v>
      </c>
      <c r="I984" s="120" t="str">
        <f>IF(OR(D984&lt;Capa!$A$5,D984&gt;Capa!$A$7,E984&lt;Capa!$A$5,E984&gt;Capa!$A$7,D984&gt;E984),"Erro","")</f>
        <v/>
      </c>
    </row>
    <row r="985" spans="1:9" ht="56.25">
      <c r="A985" s="345">
        <v>982</v>
      </c>
      <c r="B985" s="346" t="s">
        <v>236</v>
      </c>
      <c r="C985" s="347">
        <v>690.19</v>
      </c>
      <c r="D985" s="348">
        <v>45292</v>
      </c>
      <c r="E985" s="348">
        <v>45627</v>
      </c>
      <c r="F985" s="346" t="s">
        <v>634</v>
      </c>
      <c r="G985" s="350" t="s">
        <v>444</v>
      </c>
      <c r="H985" s="351">
        <f t="shared" si="18"/>
        <v>8282.2800000000007</v>
      </c>
      <c r="I985" s="120" t="str">
        <f>IF(OR(D985&lt;Capa!$A$5,D985&gt;Capa!$A$7,E985&lt;Capa!$A$5,E985&gt;Capa!$A$7,D985&gt;E985),"Erro","")</f>
        <v/>
      </c>
    </row>
    <row r="986" spans="1:9" ht="56.25">
      <c r="A986" s="345">
        <v>983</v>
      </c>
      <c r="B986" s="346" t="s">
        <v>236</v>
      </c>
      <c r="C986" s="347">
        <v>760.49</v>
      </c>
      <c r="D986" s="348">
        <v>45658</v>
      </c>
      <c r="E986" s="348">
        <v>45992</v>
      </c>
      <c r="F986" s="346" t="s">
        <v>634</v>
      </c>
      <c r="G986" s="350" t="s">
        <v>444</v>
      </c>
      <c r="H986" s="351">
        <f t="shared" si="18"/>
        <v>9125.880000000001</v>
      </c>
      <c r="I986" s="120" t="str">
        <f>IF(OR(D986&lt;Capa!$A$5,D986&gt;Capa!$A$7,E986&lt;Capa!$A$5,E986&gt;Capa!$A$7,D986&gt;E986),"Erro","")</f>
        <v/>
      </c>
    </row>
    <row r="987" spans="1:9" ht="56.25">
      <c r="A987" s="345">
        <v>984</v>
      </c>
      <c r="B987" s="346" t="s">
        <v>236</v>
      </c>
      <c r="C987" s="347">
        <v>773.16</v>
      </c>
      <c r="D987" s="348">
        <v>46023</v>
      </c>
      <c r="E987" s="348">
        <v>46357</v>
      </c>
      <c r="F987" s="346" t="s">
        <v>634</v>
      </c>
      <c r="G987" s="350" t="s">
        <v>444</v>
      </c>
      <c r="H987" s="351">
        <f t="shared" si="18"/>
        <v>9277.92</v>
      </c>
      <c r="I987" s="120" t="str">
        <f>IF(OR(D987&lt;Capa!$A$5,D987&gt;Capa!$A$7,E987&lt;Capa!$A$5,E987&gt;Capa!$A$7,D987&gt;E987),"Erro","")</f>
        <v/>
      </c>
    </row>
    <row r="988" spans="1:9" ht="56.25">
      <c r="A988" s="345">
        <v>985</v>
      </c>
      <c r="B988" s="346" t="s">
        <v>236</v>
      </c>
      <c r="C988" s="347">
        <v>818.31</v>
      </c>
      <c r="D988" s="348">
        <v>46388</v>
      </c>
      <c r="E988" s="348">
        <v>46722</v>
      </c>
      <c r="F988" s="346" t="s">
        <v>634</v>
      </c>
      <c r="G988" s="350" t="s">
        <v>444</v>
      </c>
      <c r="H988" s="351">
        <f t="shared" si="18"/>
        <v>9819.7199999999993</v>
      </c>
      <c r="I988" s="120" t="str">
        <f>IF(OR(D988&lt;Capa!$A$5,D988&gt;Capa!$A$7,E988&lt;Capa!$A$5,E988&gt;Capa!$A$7,D988&gt;E988),"Erro","")</f>
        <v/>
      </c>
    </row>
    <row r="989" spans="1:9" ht="56.25">
      <c r="A989" s="345">
        <v>986</v>
      </c>
      <c r="B989" s="346" t="s">
        <v>236</v>
      </c>
      <c r="C989" s="347">
        <v>866.09</v>
      </c>
      <c r="D989" s="348">
        <v>46753</v>
      </c>
      <c r="E989" s="348">
        <v>47058</v>
      </c>
      <c r="F989" s="346" t="s">
        <v>634</v>
      </c>
      <c r="G989" s="350" t="s">
        <v>444</v>
      </c>
      <c r="H989" s="351">
        <f t="shared" si="18"/>
        <v>9526.99</v>
      </c>
      <c r="I989" s="120" t="str">
        <f>IF(OR(D989&lt;Capa!$A$5,D989&gt;Capa!$A$7,E989&lt;Capa!$A$5,E989&gt;Capa!$A$7,D989&gt;E989),"Erro","")</f>
        <v/>
      </c>
    </row>
    <row r="990" spans="1:9" ht="33.75">
      <c r="A990" s="345">
        <v>987</v>
      </c>
      <c r="B990" s="346" t="s">
        <v>240</v>
      </c>
      <c r="C990" s="347">
        <v>50</v>
      </c>
      <c r="D990" s="348">
        <v>45292</v>
      </c>
      <c r="E990" s="348">
        <v>45627</v>
      </c>
      <c r="F990" s="346" t="s">
        <v>634</v>
      </c>
      <c r="G990" s="350" t="s">
        <v>445</v>
      </c>
      <c r="H990" s="351">
        <f t="shared" si="18"/>
        <v>600</v>
      </c>
      <c r="I990" s="120" t="str">
        <f>IF(OR(D990&lt;Capa!$A$5,D990&gt;Capa!$A$7,E990&lt;Capa!$A$5,E990&gt;Capa!$A$7,D990&gt;E990),"Erro","")</f>
        <v/>
      </c>
    </row>
    <row r="991" spans="1:9" ht="33.75">
      <c r="A991" s="345">
        <v>988</v>
      </c>
      <c r="B991" s="346" t="s">
        <v>240</v>
      </c>
      <c r="C991" s="347">
        <v>50</v>
      </c>
      <c r="D991" s="348">
        <v>45658</v>
      </c>
      <c r="E991" s="348">
        <v>45992</v>
      </c>
      <c r="F991" s="346" t="s">
        <v>634</v>
      </c>
      <c r="G991" s="350" t="s">
        <v>445</v>
      </c>
      <c r="H991" s="351">
        <f t="shared" si="18"/>
        <v>600</v>
      </c>
      <c r="I991" s="120" t="str">
        <f>IF(OR(D991&lt;Capa!$A$5,D991&gt;Capa!$A$7,E991&lt;Capa!$A$5,E991&gt;Capa!$A$7,D991&gt;E991),"Erro","")</f>
        <v/>
      </c>
    </row>
    <row r="992" spans="1:9" ht="33.75">
      <c r="A992" s="345">
        <v>989</v>
      </c>
      <c r="B992" s="346" t="s">
        <v>240</v>
      </c>
      <c r="C992" s="347">
        <v>50</v>
      </c>
      <c r="D992" s="348">
        <v>46023</v>
      </c>
      <c r="E992" s="348">
        <v>46357</v>
      </c>
      <c r="F992" s="346" t="s">
        <v>634</v>
      </c>
      <c r="G992" s="350" t="s">
        <v>445</v>
      </c>
      <c r="H992" s="351">
        <f t="shared" si="18"/>
        <v>600</v>
      </c>
      <c r="I992" s="120" t="str">
        <f>IF(OR(D992&lt;Capa!$A$5,D992&gt;Capa!$A$7,E992&lt;Capa!$A$5,E992&gt;Capa!$A$7,D992&gt;E992),"Erro","")</f>
        <v/>
      </c>
    </row>
    <row r="993" spans="1:9" ht="33.75">
      <c r="A993" s="345">
        <v>990</v>
      </c>
      <c r="B993" s="346" t="s">
        <v>240</v>
      </c>
      <c r="C993" s="347">
        <v>50</v>
      </c>
      <c r="D993" s="348">
        <v>46388</v>
      </c>
      <c r="E993" s="348">
        <v>46722</v>
      </c>
      <c r="F993" s="346" t="s">
        <v>634</v>
      </c>
      <c r="G993" s="350" t="s">
        <v>445</v>
      </c>
      <c r="H993" s="351">
        <f t="shared" si="18"/>
        <v>600</v>
      </c>
      <c r="I993" s="120" t="str">
        <f>IF(OR(D993&lt;Capa!$A$5,D993&gt;Capa!$A$7,E993&lt;Capa!$A$5,E993&gt;Capa!$A$7,D993&gt;E993),"Erro","")</f>
        <v/>
      </c>
    </row>
    <row r="994" spans="1:9" ht="33.75">
      <c r="A994" s="345">
        <v>991</v>
      </c>
      <c r="B994" s="346" t="s">
        <v>240</v>
      </c>
      <c r="C994" s="347">
        <v>50</v>
      </c>
      <c r="D994" s="348">
        <v>46753</v>
      </c>
      <c r="E994" s="348">
        <v>47058</v>
      </c>
      <c r="F994" s="346" t="s">
        <v>634</v>
      </c>
      <c r="G994" s="350" t="s">
        <v>445</v>
      </c>
      <c r="H994" s="351">
        <f t="shared" si="18"/>
        <v>550</v>
      </c>
      <c r="I994" s="120" t="str">
        <f>IF(OR(D994&lt;Capa!$A$5,D994&gt;Capa!$A$7,E994&lt;Capa!$A$5,E994&gt;Capa!$A$7,D994&gt;E994),"Erro","")</f>
        <v/>
      </c>
    </row>
    <row r="995" spans="1:9" ht="45">
      <c r="A995" s="345">
        <v>992</v>
      </c>
      <c r="B995" s="346" t="s">
        <v>244</v>
      </c>
      <c r="C995" s="347">
        <v>250</v>
      </c>
      <c r="D995" s="348">
        <v>45261</v>
      </c>
      <c r="E995" s="348">
        <v>45627</v>
      </c>
      <c r="F995" s="346" t="s">
        <v>634</v>
      </c>
      <c r="G995" s="350" t="s">
        <v>446</v>
      </c>
      <c r="H995" s="351">
        <f t="shared" si="18"/>
        <v>3250</v>
      </c>
      <c r="I995" s="120" t="str">
        <f>IF(OR(D995&lt;Capa!$A$5,D995&gt;Capa!$A$7,E995&lt;Capa!$A$5,E995&gt;Capa!$A$7,D995&gt;E995),"Erro","")</f>
        <v/>
      </c>
    </row>
    <row r="996" spans="1:9" ht="45">
      <c r="A996" s="345">
        <v>993</v>
      </c>
      <c r="B996" s="346" t="s">
        <v>244</v>
      </c>
      <c r="C996" s="347">
        <v>300</v>
      </c>
      <c r="D996" s="348">
        <v>45658</v>
      </c>
      <c r="E996" s="348">
        <v>45992</v>
      </c>
      <c r="F996" s="346" t="s">
        <v>634</v>
      </c>
      <c r="G996" s="350" t="s">
        <v>446</v>
      </c>
      <c r="H996" s="351">
        <f t="shared" si="18"/>
        <v>3600</v>
      </c>
      <c r="I996" s="120" t="str">
        <f>IF(OR(D996&lt;Capa!$A$5,D996&gt;Capa!$A$7,E996&lt;Capa!$A$5,E996&gt;Capa!$A$7,D996&gt;E996),"Erro","")</f>
        <v/>
      </c>
    </row>
    <row r="997" spans="1:9" ht="45">
      <c r="A997" s="345">
        <v>994</v>
      </c>
      <c r="B997" s="346" t="s">
        <v>244</v>
      </c>
      <c r="C997" s="347">
        <v>300</v>
      </c>
      <c r="D997" s="348">
        <v>46023</v>
      </c>
      <c r="E997" s="348">
        <v>46357</v>
      </c>
      <c r="F997" s="346" t="s">
        <v>634</v>
      </c>
      <c r="G997" s="350" t="s">
        <v>446</v>
      </c>
      <c r="H997" s="351">
        <f t="shared" si="18"/>
        <v>3600</v>
      </c>
      <c r="I997" s="120" t="str">
        <f>IF(OR(D997&lt;Capa!$A$5,D997&gt;Capa!$A$7,E997&lt;Capa!$A$5,E997&gt;Capa!$A$7,D997&gt;E997),"Erro","")</f>
        <v/>
      </c>
    </row>
    <row r="998" spans="1:9" ht="45">
      <c r="A998" s="345">
        <v>995</v>
      </c>
      <c r="B998" s="346" t="s">
        <v>244</v>
      </c>
      <c r="C998" s="347">
        <v>350</v>
      </c>
      <c r="D998" s="348">
        <v>46388</v>
      </c>
      <c r="E998" s="348">
        <v>46722</v>
      </c>
      <c r="F998" s="346" t="s">
        <v>634</v>
      </c>
      <c r="G998" s="350" t="s">
        <v>446</v>
      </c>
      <c r="H998" s="351">
        <f t="shared" si="18"/>
        <v>4200</v>
      </c>
      <c r="I998" s="120" t="str">
        <f>IF(OR(D998&lt;Capa!$A$5,D998&gt;Capa!$A$7,E998&lt;Capa!$A$5,E998&gt;Capa!$A$7,D998&gt;E998),"Erro","")</f>
        <v/>
      </c>
    </row>
    <row r="999" spans="1:9" ht="45">
      <c r="A999" s="345">
        <v>996</v>
      </c>
      <c r="B999" s="346" t="s">
        <v>244</v>
      </c>
      <c r="C999" s="347">
        <v>350</v>
      </c>
      <c r="D999" s="348">
        <v>46753</v>
      </c>
      <c r="E999" s="348">
        <v>47058</v>
      </c>
      <c r="F999" s="346" t="s">
        <v>634</v>
      </c>
      <c r="G999" s="350" t="s">
        <v>446</v>
      </c>
      <c r="H999" s="351">
        <f t="shared" si="18"/>
        <v>3850</v>
      </c>
      <c r="I999" s="120" t="str">
        <f>IF(OR(D999&lt;Capa!$A$5,D999&gt;Capa!$A$7,E999&lt;Capa!$A$5,E999&gt;Capa!$A$7,D999&gt;E999),"Erro","")</f>
        <v/>
      </c>
    </row>
    <row r="1000" spans="1:9" ht="33.75">
      <c r="A1000" s="345">
        <v>997</v>
      </c>
      <c r="B1000" s="346" t="s">
        <v>246</v>
      </c>
      <c r="C1000" s="347">
        <v>275.18</v>
      </c>
      <c r="D1000" s="348">
        <v>45658</v>
      </c>
      <c r="E1000" s="348">
        <v>45992</v>
      </c>
      <c r="F1000" s="346" t="s">
        <v>634</v>
      </c>
      <c r="G1000" s="350" t="s">
        <v>447</v>
      </c>
      <c r="H1000" s="351">
        <f t="shared" si="18"/>
        <v>3302.16</v>
      </c>
      <c r="I1000" s="120" t="str">
        <f>IF(OR(D1000&lt;Capa!$A$5,D1000&gt;Capa!$A$7,E1000&lt;Capa!$A$5,E1000&gt;Capa!$A$7,D1000&gt;E1000),"Erro","")</f>
        <v/>
      </c>
    </row>
    <row r="1001" spans="1:9" ht="33.75">
      <c r="A1001" s="345">
        <v>998</v>
      </c>
      <c r="B1001" s="346" t="s">
        <v>246</v>
      </c>
      <c r="C1001" s="347">
        <v>291.25</v>
      </c>
      <c r="D1001" s="348">
        <v>46023</v>
      </c>
      <c r="E1001" s="348">
        <v>46357</v>
      </c>
      <c r="F1001" s="346" t="s">
        <v>634</v>
      </c>
      <c r="G1001" s="350" t="s">
        <v>447</v>
      </c>
      <c r="H1001" s="351">
        <f t="shared" si="18"/>
        <v>3495</v>
      </c>
      <c r="I1001" s="120" t="str">
        <f>IF(OR(D1001&lt;Capa!$A$5,D1001&gt;Capa!$A$7,E1001&lt;Capa!$A$5,E1001&gt;Capa!$A$7,D1001&gt;E1001),"Erro","")</f>
        <v/>
      </c>
    </row>
    <row r="1002" spans="1:9" ht="33.75">
      <c r="A1002" s="345">
        <v>999</v>
      </c>
      <c r="B1002" s="346" t="s">
        <v>246</v>
      </c>
      <c r="C1002" s="347">
        <v>308.26</v>
      </c>
      <c r="D1002" s="348">
        <v>46388</v>
      </c>
      <c r="E1002" s="348">
        <v>46722</v>
      </c>
      <c r="F1002" s="346" t="s">
        <v>634</v>
      </c>
      <c r="G1002" s="350" t="s">
        <v>447</v>
      </c>
      <c r="H1002" s="351">
        <f t="shared" si="18"/>
        <v>3699.12</v>
      </c>
      <c r="I1002" s="120" t="str">
        <f>IF(OR(D1002&lt;Capa!$A$5,D1002&gt;Capa!$A$7,E1002&lt;Capa!$A$5,E1002&gt;Capa!$A$7,D1002&gt;E1002),"Erro","")</f>
        <v/>
      </c>
    </row>
    <row r="1003" spans="1:9" ht="33.75">
      <c r="A1003" s="345">
        <v>1000</v>
      </c>
      <c r="B1003" s="346" t="s">
        <v>246</v>
      </c>
      <c r="C1003" s="347">
        <v>326.26</v>
      </c>
      <c r="D1003" s="348">
        <v>46753</v>
      </c>
      <c r="E1003" s="348">
        <v>47058</v>
      </c>
      <c r="F1003" s="346" t="s">
        <v>634</v>
      </c>
      <c r="G1003" s="350" t="s">
        <v>447</v>
      </c>
      <c r="H1003" s="351">
        <f t="shared" si="18"/>
        <v>3588.8599999999997</v>
      </c>
      <c r="I1003" s="120" t="str">
        <f>IF(OR(D1003&lt;Capa!$A$5,D1003&gt;Capa!$A$7,E1003&lt;Capa!$A$5,E1003&gt;Capa!$A$7,D1003&gt;E1003),"Erro","")</f>
        <v/>
      </c>
    </row>
    <row r="1004" spans="1:9" ht="33.75">
      <c r="A1004" s="345">
        <v>1001</v>
      </c>
      <c r="B1004" s="346" t="s">
        <v>258</v>
      </c>
      <c r="C1004" s="347">
        <v>193.77</v>
      </c>
      <c r="D1004" s="348">
        <v>45261</v>
      </c>
      <c r="E1004" s="348">
        <v>45627</v>
      </c>
      <c r="F1004" s="346" t="s">
        <v>634</v>
      </c>
      <c r="G1004" s="350" t="s">
        <v>448</v>
      </c>
      <c r="H1004" s="351">
        <f t="shared" si="18"/>
        <v>2519.0100000000002</v>
      </c>
      <c r="I1004" s="120" t="str">
        <f>IF(OR(D1004&lt;Capa!$A$5,D1004&gt;Capa!$A$7,E1004&lt;Capa!$A$5,E1004&gt;Capa!$A$7,D1004&gt;E1004),"Erro","")</f>
        <v/>
      </c>
    </row>
    <row r="1005" spans="1:9" ht="33.75">
      <c r="A1005" s="345">
        <v>1002</v>
      </c>
      <c r="B1005" s="346" t="s">
        <v>258</v>
      </c>
      <c r="C1005" s="347">
        <v>205.08</v>
      </c>
      <c r="D1005" s="348">
        <v>45658</v>
      </c>
      <c r="E1005" s="348">
        <v>45992</v>
      </c>
      <c r="F1005" s="346" t="s">
        <v>634</v>
      </c>
      <c r="G1005" s="350" t="s">
        <v>448</v>
      </c>
      <c r="H1005" s="351">
        <f t="shared" si="18"/>
        <v>2460.96</v>
      </c>
      <c r="I1005" s="120" t="str">
        <f>IF(OR(D1005&lt;Capa!$A$5,D1005&gt;Capa!$A$7,E1005&lt;Capa!$A$5,E1005&gt;Capa!$A$7,D1005&gt;E1005),"Erro","")</f>
        <v/>
      </c>
    </row>
    <row r="1006" spans="1:9" ht="33.75">
      <c r="A1006" s="345">
        <v>1003</v>
      </c>
      <c r="B1006" s="346" t="s">
        <v>258</v>
      </c>
      <c r="C1006" s="347">
        <v>217.06</v>
      </c>
      <c r="D1006" s="348">
        <v>46023</v>
      </c>
      <c r="E1006" s="348">
        <v>46357</v>
      </c>
      <c r="F1006" s="346" t="s">
        <v>634</v>
      </c>
      <c r="G1006" s="350" t="s">
        <v>448</v>
      </c>
      <c r="H1006" s="351">
        <f t="shared" si="18"/>
        <v>2604.7200000000003</v>
      </c>
      <c r="I1006" s="120" t="str">
        <f>IF(OR(D1006&lt;Capa!$A$5,D1006&gt;Capa!$A$7,E1006&lt;Capa!$A$5,E1006&gt;Capa!$A$7,D1006&gt;E1006),"Erro","")</f>
        <v/>
      </c>
    </row>
    <row r="1007" spans="1:9" ht="33.75">
      <c r="A1007" s="345">
        <v>1004</v>
      </c>
      <c r="B1007" s="346" t="s">
        <v>258</v>
      </c>
      <c r="C1007" s="347">
        <v>229.74</v>
      </c>
      <c r="D1007" s="348">
        <v>46388</v>
      </c>
      <c r="E1007" s="348">
        <v>46722</v>
      </c>
      <c r="F1007" s="346" t="s">
        <v>634</v>
      </c>
      <c r="G1007" s="350" t="s">
        <v>448</v>
      </c>
      <c r="H1007" s="351">
        <f t="shared" si="18"/>
        <v>2756.88</v>
      </c>
      <c r="I1007" s="120" t="str">
        <f>IF(OR(D1007&lt;Capa!$A$5,D1007&gt;Capa!$A$7,E1007&lt;Capa!$A$5,E1007&gt;Capa!$A$7,D1007&gt;E1007),"Erro","")</f>
        <v/>
      </c>
    </row>
    <row r="1008" spans="1:9" ht="33.75">
      <c r="A1008" s="345">
        <v>1005</v>
      </c>
      <c r="B1008" s="346" t="s">
        <v>258</v>
      </c>
      <c r="C1008" s="347">
        <v>243.16</v>
      </c>
      <c r="D1008" s="348">
        <v>46753</v>
      </c>
      <c r="E1008" s="348">
        <v>47058</v>
      </c>
      <c r="F1008" s="346" t="s">
        <v>634</v>
      </c>
      <c r="G1008" s="350" t="s">
        <v>448</v>
      </c>
      <c r="H1008" s="351">
        <f t="shared" si="18"/>
        <v>2674.7599999999998</v>
      </c>
      <c r="I1008" s="120" t="str">
        <f>IF(OR(D1008&lt;Capa!$A$5,D1008&gt;Capa!$A$7,E1008&lt;Capa!$A$5,E1008&gt;Capa!$A$7,D1008&gt;E1008),"Erro","")</f>
        <v/>
      </c>
    </row>
    <row r="1009" spans="1:9" ht="56.25">
      <c r="A1009" s="345">
        <v>1006</v>
      </c>
      <c r="B1009" s="346" t="s">
        <v>276</v>
      </c>
      <c r="C1009" s="347">
        <v>670</v>
      </c>
      <c r="D1009" s="348">
        <v>45658</v>
      </c>
      <c r="E1009" s="348">
        <v>45992</v>
      </c>
      <c r="F1009" s="346" t="s">
        <v>634</v>
      </c>
      <c r="G1009" s="350" t="s">
        <v>449</v>
      </c>
      <c r="H1009" s="351">
        <f t="shared" si="18"/>
        <v>8040</v>
      </c>
      <c r="I1009" s="120" t="str">
        <f>IF(OR(D1009&lt;Capa!$A$5,D1009&gt;Capa!$A$7,E1009&lt;Capa!$A$5,E1009&gt;Capa!$A$7,D1009&gt;E1009),"Erro","")</f>
        <v/>
      </c>
    </row>
    <row r="1010" spans="1:9" ht="56.25">
      <c r="A1010" s="345">
        <v>1007</v>
      </c>
      <c r="B1010" s="346" t="s">
        <v>276</v>
      </c>
      <c r="C1010" s="347">
        <v>670</v>
      </c>
      <c r="D1010" s="348">
        <v>46023</v>
      </c>
      <c r="E1010" s="348">
        <v>46357</v>
      </c>
      <c r="F1010" s="346" t="s">
        <v>634</v>
      </c>
      <c r="G1010" s="350" t="s">
        <v>449</v>
      </c>
      <c r="H1010" s="351">
        <f t="shared" si="18"/>
        <v>8040</v>
      </c>
      <c r="I1010" s="120" t="str">
        <f>IF(OR(D1010&lt;Capa!$A$5,D1010&gt;Capa!$A$7,E1010&lt;Capa!$A$5,E1010&gt;Capa!$A$7,D1010&gt;E1010),"Erro","")</f>
        <v/>
      </c>
    </row>
    <row r="1011" spans="1:9" ht="56.25">
      <c r="A1011" s="345">
        <v>1008</v>
      </c>
      <c r="B1011" s="346" t="s">
        <v>276</v>
      </c>
      <c r="C1011" s="347">
        <v>670</v>
      </c>
      <c r="D1011" s="348">
        <v>46388</v>
      </c>
      <c r="E1011" s="348">
        <v>46722</v>
      </c>
      <c r="F1011" s="346" t="s">
        <v>634</v>
      </c>
      <c r="G1011" s="350" t="s">
        <v>449</v>
      </c>
      <c r="H1011" s="351">
        <f t="shared" si="18"/>
        <v>8040</v>
      </c>
      <c r="I1011" s="120" t="str">
        <f>IF(OR(D1011&lt;Capa!$A$5,D1011&gt;Capa!$A$7,E1011&lt;Capa!$A$5,E1011&gt;Capa!$A$7,D1011&gt;E1011),"Erro","")</f>
        <v/>
      </c>
    </row>
    <row r="1012" spans="1:9" ht="56.25">
      <c r="A1012" s="345">
        <v>1009</v>
      </c>
      <c r="B1012" s="346" t="s">
        <v>276</v>
      </c>
      <c r="C1012" s="347">
        <v>670</v>
      </c>
      <c r="D1012" s="348">
        <v>46753</v>
      </c>
      <c r="E1012" s="348">
        <v>47058</v>
      </c>
      <c r="F1012" s="346" t="s">
        <v>634</v>
      </c>
      <c r="G1012" s="350" t="s">
        <v>449</v>
      </c>
      <c r="H1012" s="351">
        <f t="shared" si="18"/>
        <v>7370</v>
      </c>
      <c r="I1012" s="120" t="str">
        <f>IF(OR(D1012&lt;Capa!$A$5,D1012&gt;Capa!$A$7,E1012&lt;Capa!$A$5,E1012&gt;Capa!$A$7,D1012&gt;E1012),"Erro","")</f>
        <v/>
      </c>
    </row>
    <row r="1013" spans="1:9" ht="45">
      <c r="A1013" s="345">
        <v>1010</v>
      </c>
      <c r="B1013" s="346" t="s">
        <v>278</v>
      </c>
      <c r="C1013" s="347">
        <v>16000</v>
      </c>
      <c r="D1013" s="348">
        <v>45261</v>
      </c>
      <c r="E1013" s="348">
        <v>45261</v>
      </c>
      <c r="F1013" s="346" t="s">
        <v>634</v>
      </c>
      <c r="G1013" s="350" t="s">
        <v>450</v>
      </c>
      <c r="H1013" s="351">
        <f t="shared" si="18"/>
        <v>16000</v>
      </c>
      <c r="I1013" s="120" t="str">
        <f>IF(OR(D1013&lt;Capa!$A$5,D1013&gt;Capa!$A$7,E1013&lt;Capa!$A$5,E1013&gt;Capa!$A$7,D1013&gt;E1013),"Erro","")</f>
        <v/>
      </c>
    </row>
    <row r="1014" spans="1:9" ht="45">
      <c r="A1014" s="345">
        <v>1011</v>
      </c>
      <c r="B1014" s="346" t="s">
        <v>278</v>
      </c>
      <c r="C1014" s="347">
        <v>34475</v>
      </c>
      <c r="D1014" s="348">
        <v>45292</v>
      </c>
      <c r="E1014" s="348">
        <v>45627</v>
      </c>
      <c r="F1014" s="346" t="s">
        <v>634</v>
      </c>
      <c r="G1014" s="350" t="s">
        <v>450</v>
      </c>
      <c r="H1014" s="351">
        <f t="shared" si="18"/>
        <v>413700</v>
      </c>
      <c r="I1014" s="120" t="str">
        <f>IF(OR(D1014&lt;Capa!$A$5,D1014&gt;Capa!$A$7,E1014&lt;Capa!$A$5,E1014&gt;Capa!$A$7,D1014&gt;E1014),"Erro","")</f>
        <v/>
      </c>
    </row>
    <row r="1015" spans="1:9" ht="45">
      <c r="A1015" s="345">
        <v>1012</v>
      </c>
      <c r="B1015" s="346" t="s">
        <v>278</v>
      </c>
      <c r="C1015" s="347">
        <v>36488</v>
      </c>
      <c r="D1015" s="348">
        <v>45658</v>
      </c>
      <c r="E1015" s="348">
        <v>45992</v>
      </c>
      <c r="F1015" s="346" t="s">
        <v>634</v>
      </c>
      <c r="G1015" s="350" t="s">
        <v>450</v>
      </c>
      <c r="H1015" s="351">
        <f t="shared" si="18"/>
        <v>437856</v>
      </c>
      <c r="I1015" s="120" t="str">
        <f>IF(OR(D1015&lt;Capa!$A$5,D1015&gt;Capa!$A$7,E1015&lt;Capa!$A$5,E1015&gt;Capa!$A$7,D1015&gt;E1015),"Erro","")</f>
        <v/>
      </c>
    </row>
    <row r="1016" spans="1:9" ht="45">
      <c r="A1016" s="345">
        <v>1013</v>
      </c>
      <c r="B1016" s="346" t="s">
        <v>278</v>
      </c>
      <c r="C1016" s="347">
        <v>38619</v>
      </c>
      <c r="D1016" s="348">
        <v>46023</v>
      </c>
      <c r="E1016" s="348">
        <v>46357</v>
      </c>
      <c r="F1016" s="346" t="s">
        <v>634</v>
      </c>
      <c r="G1016" s="350" t="s">
        <v>450</v>
      </c>
      <c r="H1016" s="351">
        <f t="shared" si="18"/>
        <v>463428</v>
      </c>
      <c r="I1016" s="120" t="str">
        <f>IF(OR(D1016&lt;Capa!$A$5,D1016&gt;Capa!$A$7,E1016&lt;Capa!$A$5,E1016&gt;Capa!$A$7,D1016&gt;E1016),"Erro","")</f>
        <v/>
      </c>
    </row>
    <row r="1017" spans="1:9" ht="45">
      <c r="A1017" s="345">
        <v>1014</v>
      </c>
      <c r="B1017" s="346" t="s">
        <v>278</v>
      </c>
      <c r="C1017" s="347">
        <v>40874.620000000003</v>
      </c>
      <c r="D1017" s="348">
        <v>46388</v>
      </c>
      <c r="E1017" s="348">
        <v>46722</v>
      </c>
      <c r="F1017" s="346" t="s">
        <v>634</v>
      </c>
      <c r="G1017" s="350" t="s">
        <v>450</v>
      </c>
      <c r="H1017" s="351">
        <f t="shared" si="18"/>
        <v>490495.44000000006</v>
      </c>
      <c r="I1017" s="120" t="str">
        <f>IF(OR(D1017&lt;Capa!$A$5,D1017&gt;Capa!$A$7,E1017&lt;Capa!$A$5,E1017&gt;Capa!$A$7,D1017&gt;E1017),"Erro","")</f>
        <v/>
      </c>
    </row>
    <row r="1018" spans="1:9" ht="45">
      <c r="A1018" s="345">
        <v>1015</v>
      </c>
      <c r="B1018" s="346" t="s">
        <v>278</v>
      </c>
      <c r="C1018" s="347">
        <v>43261</v>
      </c>
      <c r="D1018" s="348">
        <v>46753</v>
      </c>
      <c r="E1018" s="348">
        <v>47058</v>
      </c>
      <c r="F1018" s="346" t="s">
        <v>634</v>
      </c>
      <c r="G1018" s="350" t="s">
        <v>450</v>
      </c>
      <c r="H1018" s="351">
        <f t="shared" si="18"/>
        <v>475871</v>
      </c>
      <c r="I1018" s="120" t="str">
        <f>IF(OR(D1018&lt;Capa!$A$5,D1018&gt;Capa!$A$7,E1018&lt;Capa!$A$5,E1018&gt;Capa!$A$7,D1018&gt;E1018),"Erro","")</f>
        <v/>
      </c>
    </row>
    <row r="1019" spans="1:9" ht="56.25">
      <c r="A1019" s="345">
        <v>1016</v>
      </c>
      <c r="B1019" s="346" t="s">
        <v>280</v>
      </c>
      <c r="C1019" s="347">
        <v>100</v>
      </c>
      <c r="D1019" s="348">
        <v>45292</v>
      </c>
      <c r="E1019" s="348">
        <v>45627</v>
      </c>
      <c r="F1019" s="346" t="s">
        <v>634</v>
      </c>
      <c r="G1019" s="350" t="s">
        <v>451</v>
      </c>
      <c r="H1019" s="351">
        <f t="shared" si="18"/>
        <v>1200</v>
      </c>
      <c r="I1019" s="120" t="str">
        <f>IF(OR(D1019&lt;Capa!$A$5,D1019&gt;Capa!$A$7,E1019&lt;Capa!$A$5,E1019&gt;Capa!$A$7,D1019&gt;E1019),"Erro","")</f>
        <v/>
      </c>
    </row>
    <row r="1020" spans="1:9" ht="56.25">
      <c r="A1020" s="345">
        <v>1017</v>
      </c>
      <c r="B1020" s="346" t="s">
        <v>280</v>
      </c>
      <c r="C1020" s="347">
        <v>100</v>
      </c>
      <c r="D1020" s="348">
        <v>45658</v>
      </c>
      <c r="E1020" s="348">
        <v>45992</v>
      </c>
      <c r="F1020" s="346" t="s">
        <v>634</v>
      </c>
      <c r="G1020" s="350" t="s">
        <v>451</v>
      </c>
      <c r="H1020" s="351">
        <f t="shared" si="18"/>
        <v>1200</v>
      </c>
      <c r="I1020" s="120" t="str">
        <f>IF(OR(D1020&lt;Capa!$A$5,D1020&gt;Capa!$A$7,E1020&lt;Capa!$A$5,E1020&gt;Capa!$A$7,D1020&gt;E1020),"Erro","")</f>
        <v/>
      </c>
    </row>
    <row r="1021" spans="1:9" ht="56.25">
      <c r="A1021" s="345">
        <v>1018</v>
      </c>
      <c r="B1021" s="346" t="s">
        <v>280</v>
      </c>
      <c r="C1021" s="347">
        <v>100</v>
      </c>
      <c r="D1021" s="348">
        <v>46023</v>
      </c>
      <c r="E1021" s="348">
        <v>46357</v>
      </c>
      <c r="F1021" s="346" t="s">
        <v>634</v>
      </c>
      <c r="G1021" s="350" t="s">
        <v>451</v>
      </c>
      <c r="H1021" s="351">
        <f t="shared" si="18"/>
        <v>1200</v>
      </c>
      <c r="I1021" s="120" t="str">
        <f>IF(OR(D1021&lt;Capa!$A$5,D1021&gt;Capa!$A$7,E1021&lt;Capa!$A$5,E1021&gt;Capa!$A$7,D1021&gt;E1021),"Erro","")</f>
        <v/>
      </c>
    </row>
    <row r="1022" spans="1:9" ht="56.25">
      <c r="A1022" s="345">
        <v>1019</v>
      </c>
      <c r="B1022" s="346" t="s">
        <v>280</v>
      </c>
      <c r="C1022" s="347">
        <v>100</v>
      </c>
      <c r="D1022" s="348">
        <v>46388</v>
      </c>
      <c r="E1022" s="348">
        <v>46722</v>
      </c>
      <c r="F1022" s="346" t="s">
        <v>634</v>
      </c>
      <c r="G1022" s="350" t="s">
        <v>451</v>
      </c>
      <c r="H1022" s="351">
        <f t="shared" si="18"/>
        <v>1200</v>
      </c>
      <c r="I1022" s="120" t="str">
        <f>IF(OR(D1022&lt;Capa!$A$5,D1022&gt;Capa!$A$7,E1022&lt;Capa!$A$5,E1022&gt;Capa!$A$7,D1022&gt;E1022),"Erro","")</f>
        <v/>
      </c>
    </row>
    <row r="1023" spans="1:9" ht="56.25">
      <c r="A1023" s="345">
        <v>1020</v>
      </c>
      <c r="B1023" s="346" t="s">
        <v>280</v>
      </c>
      <c r="C1023" s="347">
        <v>100</v>
      </c>
      <c r="D1023" s="348">
        <v>46753</v>
      </c>
      <c r="E1023" s="348">
        <v>47058</v>
      </c>
      <c r="F1023" s="346" t="s">
        <v>634</v>
      </c>
      <c r="G1023" s="350" t="s">
        <v>451</v>
      </c>
      <c r="H1023" s="351">
        <f t="shared" si="18"/>
        <v>1100</v>
      </c>
      <c r="I1023" s="120" t="str">
        <f>IF(OR(D1023&lt;Capa!$A$5,D1023&gt;Capa!$A$7,E1023&lt;Capa!$A$5,E1023&gt;Capa!$A$7,D1023&gt;E1023),"Erro","")</f>
        <v/>
      </c>
    </row>
    <row r="1024" spans="1:9" ht="45">
      <c r="A1024" s="345">
        <v>1021</v>
      </c>
      <c r="B1024" s="346" t="s">
        <v>282</v>
      </c>
      <c r="C1024" s="347">
        <v>702.18</v>
      </c>
      <c r="D1024" s="348">
        <v>45261</v>
      </c>
      <c r="E1024" s="348">
        <v>45627</v>
      </c>
      <c r="F1024" s="346" t="s">
        <v>634</v>
      </c>
      <c r="G1024" s="350" t="s">
        <v>452</v>
      </c>
      <c r="H1024" s="351">
        <f t="shared" si="18"/>
        <v>9128.34</v>
      </c>
      <c r="I1024" s="120" t="str">
        <f>IF(OR(D1024&lt;Capa!$A$5,D1024&gt;Capa!$A$7,E1024&lt;Capa!$A$5,E1024&gt;Capa!$A$7,D1024&gt;E1024),"Erro","")</f>
        <v/>
      </c>
    </row>
    <row r="1025" spans="1:9" ht="45">
      <c r="A1025" s="345">
        <v>1022</v>
      </c>
      <c r="B1025" s="346" t="s">
        <v>282</v>
      </c>
      <c r="C1025" s="347">
        <v>743.18</v>
      </c>
      <c r="D1025" s="348">
        <v>45658</v>
      </c>
      <c r="E1025" s="348">
        <v>45992</v>
      </c>
      <c r="F1025" s="346" t="s">
        <v>634</v>
      </c>
      <c r="G1025" s="350" t="s">
        <v>452</v>
      </c>
      <c r="H1025" s="351">
        <f t="shared" si="18"/>
        <v>8918.16</v>
      </c>
      <c r="I1025" s="120" t="str">
        <f>IF(OR(D1025&lt;Capa!$A$5,D1025&gt;Capa!$A$7,E1025&lt;Capa!$A$5,E1025&gt;Capa!$A$7,D1025&gt;E1025),"Erro","")</f>
        <v/>
      </c>
    </row>
    <row r="1026" spans="1:9" ht="45">
      <c r="A1026" s="345">
        <v>1023</v>
      </c>
      <c r="B1026" s="346" t="s">
        <v>282</v>
      </c>
      <c r="C1026" s="347">
        <v>786.59</v>
      </c>
      <c r="D1026" s="348">
        <v>46023</v>
      </c>
      <c r="E1026" s="348">
        <v>46357</v>
      </c>
      <c r="F1026" s="346" t="s">
        <v>634</v>
      </c>
      <c r="G1026" s="350" t="s">
        <v>452</v>
      </c>
      <c r="H1026" s="351">
        <f t="shared" si="18"/>
        <v>9439.08</v>
      </c>
      <c r="I1026" s="120" t="str">
        <f>IF(OR(D1026&lt;Capa!$A$5,D1026&gt;Capa!$A$7,E1026&lt;Capa!$A$5,E1026&gt;Capa!$A$7,D1026&gt;E1026),"Erro","")</f>
        <v/>
      </c>
    </row>
    <row r="1027" spans="1:9" ht="45">
      <c r="A1027" s="345">
        <v>1024</v>
      </c>
      <c r="B1027" s="346" t="s">
        <v>282</v>
      </c>
      <c r="C1027" s="347">
        <v>832.52</v>
      </c>
      <c r="D1027" s="348">
        <v>46388</v>
      </c>
      <c r="E1027" s="348">
        <v>46722</v>
      </c>
      <c r="F1027" s="346" t="s">
        <v>634</v>
      </c>
      <c r="G1027" s="350" t="s">
        <v>452</v>
      </c>
      <c r="H1027" s="351">
        <f t="shared" si="18"/>
        <v>9990.24</v>
      </c>
      <c r="I1027" s="120" t="str">
        <f>IF(OR(D1027&lt;Capa!$A$5,D1027&gt;Capa!$A$7,E1027&lt;Capa!$A$5,E1027&gt;Capa!$A$7,D1027&gt;E1027),"Erro","")</f>
        <v/>
      </c>
    </row>
    <row r="1028" spans="1:9" ht="45">
      <c r="A1028" s="345">
        <v>1025</v>
      </c>
      <c r="B1028" s="346" t="s">
        <v>282</v>
      </c>
      <c r="C1028" s="347">
        <v>881.14</v>
      </c>
      <c r="D1028" s="348">
        <v>46753</v>
      </c>
      <c r="E1028" s="348">
        <v>47058</v>
      </c>
      <c r="F1028" s="346" t="s">
        <v>634</v>
      </c>
      <c r="G1028" s="350" t="s">
        <v>452</v>
      </c>
      <c r="H1028" s="351">
        <f t="shared" si="18"/>
        <v>9692.5399999999991</v>
      </c>
      <c r="I1028" s="120" t="str">
        <f>IF(OR(D1028&lt;Capa!$A$5,D1028&gt;Capa!$A$7,E1028&lt;Capa!$A$5,E1028&gt;Capa!$A$7,D1028&gt;E1028),"Erro","")</f>
        <v/>
      </c>
    </row>
    <row r="1029" spans="1:9" ht="45">
      <c r="A1029" s="345">
        <v>1026</v>
      </c>
      <c r="B1029" s="346" t="s">
        <v>284</v>
      </c>
      <c r="C1029" s="347">
        <v>1013.31</v>
      </c>
      <c r="D1029" s="348">
        <v>45261</v>
      </c>
      <c r="E1029" s="348">
        <v>45627</v>
      </c>
      <c r="F1029" s="346" t="s">
        <v>634</v>
      </c>
      <c r="G1029" s="350" t="s">
        <v>452</v>
      </c>
      <c r="H1029" s="351">
        <f t="shared" si="18"/>
        <v>13173.029999999999</v>
      </c>
      <c r="I1029" s="120" t="str">
        <f>IF(OR(D1029&lt;Capa!$A$5,D1029&gt;Capa!$A$7,E1029&lt;Capa!$A$5,E1029&gt;Capa!$A$7,D1029&gt;E1029),"Erro","")</f>
        <v/>
      </c>
    </row>
    <row r="1030" spans="1:9" ht="45">
      <c r="A1030" s="345">
        <v>1027</v>
      </c>
      <c r="B1030" s="346" t="s">
        <v>284</v>
      </c>
      <c r="C1030" s="347">
        <v>1072.49</v>
      </c>
      <c r="D1030" s="348">
        <v>45658</v>
      </c>
      <c r="E1030" s="348">
        <v>45992</v>
      </c>
      <c r="F1030" s="346" t="s">
        <v>634</v>
      </c>
      <c r="G1030" s="350" t="s">
        <v>452</v>
      </c>
      <c r="H1030" s="351">
        <f t="shared" si="18"/>
        <v>12869.880000000001</v>
      </c>
      <c r="I1030" s="120" t="str">
        <f>IF(OR(D1030&lt;Capa!$A$5,D1030&gt;Capa!$A$7,E1030&lt;Capa!$A$5,E1030&gt;Capa!$A$7,D1030&gt;E1030),"Erro","")</f>
        <v/>
      </c>
    </row>
    <row r="1031" spans="1:9" ht="45">
      <c r="A1031" s="345">
        <v>1028</v>
      </c>
      <c r="B1031" s="346" t="s">
        <v>284</v>
      </c>
      <c r="C1031" s="347">
        <v>1135.1199999999999</v>
      </c>
      <c r="D1031" s="348">
        <v>46023</v>
      </c>
      <c r="E1031" s="348">
        <v>46357</v>
      </c>
      <c r="F1031" s="346" t="s">
        <v>634</v>
      </c>
      <c r="G1031" s="350" t="s">
        <v>452</v>
      </c>
      <c r="H1031" s="351">
        <f t="shared" si="18"/>
        <v>13621.439999999999</v>
      </c>
      <c r="I1031" s="120" t="str">
        <f>IF(OR(D1031&lt;Capa!$A$5,D1031&gt;Capa!$A$7,E1031&lt;Capa!$A$5,E1031&gt;Capa!$A$7,D1031&gt;E1031),"Erro","")</f>
        <v/>
      </c>
    </row>
    <row r="1032" spans="1:9" ht="45">
      <c r="A1032" s="345">
        <v>1029</v>
      </c>
      <c r="B1032" s="346" t="s">
        <v>284</v>
      </c>
      <c r="C1032" s="347">
        <v>1201.42</v>
      </c>
      <c r="D1032" s="348">
        <v>46388</v>
      </c>
      <c r="E1032" s="348">
        <v>46722</v>
      </c>
      <c r="F1032" s="346" t="s">
        <v>634</v>
      </c>
      <c r="G1032" s="350" t="s">
        <v>452</v>
      </c>
      <c r="H1032" s="351">
        <f t="shared" si="18"/>
        <v>14417.04</v>
      </c>
      <c r="I1032" s="120" t="str">
        <f>IF(OR(D1032&lt;Capa!$A$5,D1032&gt;Capa!$A$7,E1032&lt;Capa!$A$5,E1032&gt;Capa!$A$7,D1032&gt;E1032),"Erro","")</f>
        <v/>
      </c>
    </row>
    <row r="1033" spans="1:9" ht="45">
      <c r="A1033" s="345">
        <v>1030</v>
      </c>
      <c r="B1033" s="346" t="s">
        <v>284</v>
      </c>
      <c r="C1033" s="347">
        <v>1271.58</v>
      </c>
      <c r="D1033" s="348">
        <v>46753</v>
      </c>
      <c r="E1033" s="348">
        <v>47058</v>
      </c>
      <c r="F1033" s="346" t="s">
        <v>634</v>
      </c>
      <c r="G1033" s="350" t="s">
        <v>452</v>
      </c>
      <c r="H1033" s="351">
        <f t="shared" si="18"/>
        <v>13987.38</v>
      </c>
      <c r="I1033" s="120" t="str">
        <f>IF(OR(D1033&lt;Capa!$A$5,D1033&gt;Capa!$A$7,E1033&lt;Capa!$A$5,E1033&gt;Capa!$A$7,D1033&gt;E1033),"Erro","")</f>
        <v/>
      </c>
    </row>
    <row r="1034" spans="1:9" ht="45">
      <c r="A1034" s="345">
        <v>1031</v>
      </c>
      <c r="B1034" s="346" t="s">
        <v>286</v>
      </c>
      <c r="C1034" s="347">
        <v>1013.31</v>
      </c>
      <c r="D1034" s="348">
        <v>45261</v>
      </c>
      <c r="E1034" s="348">
        <v>45627</v>
      </c>
      <c r="F1034" s="346" t="s">
        <v>634</v>
      </c>
      <c r="G1034" s="350" t="s">
        <v>452</v>
      </c>
      <c r="H1034" s="351">
        <f t="shared" si="18"/>
        <v>13173.029999999999</v>
      </c>
      <c r="I1034" s="120" t="str">
        <f>IF(OR(D1034&lt;Capa!$A$5,D1034&gt;Capa!$A$7,E1034&lt;Capa!$A$5,E1034&gt;Capa!$A$7,D1034&gt;E1034),"Erro","")</f>
        <v/>
      </c>
    </row>
    <row r="1035" spans="1:9" ht="45">
      <c r="A1035" s="345">
        <v>1032</v>
      </c>
      <c r="B1035" s="346" t="s">
        <v>286</v>
      </c>
      <c r="C1035" s="347">
        <v>1072.49</v>
      </c>
      <c r="D1035" s="348">
        <v>45658</v>
      </c>
      <c r="E1035" s="348">
        <v>45992</v>
      </c>
      <c r="F1035" s="346" t="s">
        <v>634</v>
      </c>
      <c r="G1035" s="350" t="s">
        <v>452</v>
      </c>
      <c r="H1035" s="351">
        <f t="shared" si="18"/>
        <v>12869.880000000001</v>
      </c>
      <c r="I1035" s="120" t="str">
        <f>IF(OR(D1035&lt;Capa!$A$5,D1035&gt;Capa!$A$7,E1035&lt;Capa!$A$5,E1035&gt;Capa!$A$7,D1035&gt;E1035),"Erro","")</f>
        <v/>
      </c>
    </row>
    <row r="1036" spans="1:9" ht="45">
      <c r="A1036" s="345">
        <v>1033</v>
      </c>
      <c r="B1036" s="346" t="s">
        <v>286</v>
      </c>
      <c r="C1036" s="347">
        <v>1135.1199999999999</v>
      </c>
      <c r="D1036" s="348">
        <v>46023</v>
      </c>
      <c r="E1036" s="348">
        <v>46357</v>
      </c>
      <c r="F1036" s="346" t="s">
        <v>634</v>
      </c>
      <c r="G1036" s="350" t="s">
        <v>452</v>
      </c>
      <c r="H1036" s="351">
        <f t="shared" si="18"/>
        <v>13621.439999999999</v>
      </c>
      <c r="I1036" s="120" t="str">
        <f>IF(OR(D1036&lt;Capa!$A$5,D1036&gt;Capa!$A$7,E1036&lt;Capa!$A$5,E1036&gt;Capa!$A$7,D1036&gt;E1036),"Erro","")</f>
        <v/>
      </c>
    </row>
    <row r="1037" spans="1:9" ht="45">
      <c r="A1037" s="345">
        <v>1034</v>
      </c>
      <c r="B1037" s="346" t="s">
        <v>286</v>
      </c>
      <c r="C1037" s="347">
        <v>1201.4100000000001</v>
      </c>
      <c r="D1037" s="348">
        <v>46388</v>
      </c>
      <c r="E1037" s="348">
        <v>46722</v>
      </c>
      <c r="F1037" s="346" t="s">
        <v>634</v>
      </c>
      <c r="G1037" s="350" t="s">
        <v>452</v>
      </c>
      <c r="H1037" s="351">
        <f t="shared" si="18"/>
        <v>14416.920000000002</v>
      </c>
      <c r="I1037" s="120" t="str">
        <f>IF(OR(D1037&lt;Capa!$A$5,D1037&gt;Capa!$A$7,E1037&lt;Capa!$A$5,E1037&gt;Capa!$A$7,D1037&gt;E1037),"Erro","")</f>
        <v/>
      </c>
    </row>
    <row r="1038" spans="1:9" ht="45">
      <c r="A1038" s="345">
        <v>1035</v>
      </c>
      <c r="B1038" s="346" t="s">
        <v>286</v>
      </c>
      <c r="C1038" s="347">
        <v>1271.57</v>
      </c>
      <c r="D1038" s="348">
        <v>46753</v>
      </c>
      <c r="E1038" s="348">
        <v>47058</v>
      </c>
      <c r="F1038" s="346" t="s">
        <v>634</v>
      </c>
      <c r="G1038" s="350" t="s">
        <v>452</v>
      </c>
      <c r="H1038" s="351">
        <f t="shared" si="18"/>
        <v>13987.269999999999</v>
      </c>
      <c r="I1038" s="120" t="str">
        <f>IF(OR(D1038&lt;Capa!$A$5,D1038&gt;Capa!$A$7,E1038&lt;Capa!$A$5,E1038&gt;Capa!$A$7,D1038&gt;E1038),"Erro","")</f>
        <v/>
      </c>
    </row>
    <row r="1039" spans="1:9" ht="45">
      <c r="A1039" s="345">
        <v>1036</v>
      </c>
      <c r="B1039" s="346" t="s">
        <v>288</v>
      </c>
      <c r="C1039" s="347">
        <v>200</v>
      </c>
      <c r="D1039" s="348">
        <v>45261</v>
      </c>
      <c r="E1039" s="348">
        <v>45627</v>
      </c>
      <c r="F1039" s="346" t="s">
        <v>634</v>
      </c>
      <c r="G1039" s="350" t="s">
        <v>453</v>
      </c>
      <c r="H1039" s="351">
        <f t="shared" si="18"/>
        <v>2600</v>
      </c>
      <c r="I1039" s="120" t="str">
        <f>IF(OR(D1039&lt;Capa!$A$5,D1039&gt;Capa!$A$7,E1039&lt;Capa!$A$5,E1039&gt;Capa!$A$7,D1039&gt;E1039),"Erro","")</f>
        <v/>
      </c>
    </row>
    <row r="1040" spans="1:9" ht="45">
      <c r="A1040" s="345">
        <v>1037</v>
      </c>
      <c r="B1040" s="346" t="s">
        <v>288</v>
      </c>
      <c r="C1040" s="347">
        <v>200</v>
      </c>
      <c r="D1040" s="348">
        <v>45658</v>
      </c>
      <c r="E1040" s="348">
        <v>45992</v>
      </c>
      <c r="F1040" s="346" t="s">
        <v>634</v>
      </c>
      <c r="G1040" s="350" t="s">
        <v>453</v>
      </c>
      <c r="H1040" s="351">
        <f t="shared" si="18"/>
        <v>2400</v>
      </c>
      <c r="I1040" s="120" t="str">
        <f>IF(OR(D1040&lt;Capa!$A$5,D1040&gt;Capa!$A$7,E1040&lt;Capa!$A$5,E1040&gt;Capa!$A$7,D1040&gt;E1040),"Erro","")</f>
        <v/>
      </c>
    </row>
    <row r="1041" spans="1:9" ht="45">
      <c r="A1041" s="345">
        <v>1038</v>
      </c>
      <c r="B1041" s="346" t="s">
        <v>288</v>
      </c>
      <c r="C1041" s="347">
        <v>200</v>
      </c>
      <c r="D1041" s="348">
        <v>46023</v>
      </c>
      <c r="E1041" s="348">
        <v>46357</v>
      </c>
      <c r="F1041" s="346" t="s">
        <v>634</v>
      </c>
      <c r="G1041" s="350" t="s">
        <v>453</v>
      </c>
      <c r="H1041" s="351">
        <f t="shared" ref="H1041:H1112" si="19">IFERROR((DATEDIF(D1041,E1041,"M")+1)*C1041,0)</f>
        <v>2400</v>
      </c>
      <c r="I1041" s="120" t="str">
        <f>IF(OR(D1041&lt;Capa!$A$5,D1041&gt;Capa!$A$7,E1041&lt;Capa!$A$5,E1041&gt;Capa!$A$7,D1041&gt;E1041),"Erro","")</f>
        <v/>
      </c>
    </row>
    <row r="1042" spans="1:9" ht="45">
      <c r="A1042" s="345">
        <v>1039</v>
      </c>
      <c r="B1042" s="346" t="s">
        <v>288</v>
      </c>
      <c r="C1042" s="347">
        <v>200</v>
      </c>
      <c r="D1042" s="348">
        <v>46388</v>
      </c>
      <c r="E1042" s="348">
        <v>46722</v>
      </c>
      <c r="F1042" s="346" t="s">
        <v>634</v>
      </c>
      <c r="G1042" s="350" t="s">
        <v>453</v>
      </c>
      <c r="H1042" s="351">
        <f t="shared" si="19"/>
        <v>2400</v>
      </c>
      <c r="I1042" s="120" t="str">
        <f>IF(OR(D1042&lt;Capa!$A$5,D1042&gt;Capa!$A$7,E1042&lt;Capa!$A$5,E1042&gt;Capa!$A$7,D1042&gt;E1042),"Erro","")</f>
        <v/>
      </c>
    </row>
    <row r="1043" spans="1:9" ht="45">
      <c r="A1043" s="345">
        <v>1040</v>
      </c>
      <c r="B1043" s="346" t="s">
        <v>288</v>
      </c>
      <c r="C1043" s="347">
        <v>200</v>
      </c>
      <c r="D1043" s="348">
        <v>46753</v>
      </c>
      <c r="E1043" s="348">
        <v>47058</v>
      </c>
      <c r="F1043" s="346" t="s">
        <v>634</v>
      </c>
      <c r="G1043" s="350" t="s">
        <v>453</v>
      </c>
      <c r="H1043" s="351">
        <f t="shared" si="19"/>
        <v>2200</v>
      </c>
      <c r="I1043" s="120" t="str">
        <f>IF(OR(D1043&lt;Capa!$A$5,D1043&gt;Capa!$A$7,E1043&lt;Capa!$A$5,E1043&gt;Capa!$A$7,D1043&gt;E1043),"Erro","")</f>
        <v/>
      </c>
    </row>
    <row r="1044" spans="1:9" ht="33.75">
      <c r="A1044" s="345">
        <v>1041</v>
      </c>
      <c r="B1044" s="346" t="s">
        <v>294</v>
      </c>
      <c r="C1044" s="347">
        <v>7000</v>
      </c>
      <c r="D1044" s="348">
        <v>45261</v>
      </c>
      <c r="E1044" s="348">
        <v>45627</v>
      </c>
      <c r="F1044" s="346" t="s">
        <v>634</v>
      </c>
      <c r="G1044" s="350" t="s">
        <v>454</v>
      </c>
      <c r="H1044" s="351">
        <f t="shared" si="19"/>
        <v>91000</v>
      </c>
      <c r="I1044" s="120" t="str">
        <f>IF(OR(D1044&lt;Capa!$A$5,D1044&gt;Capa!$A$7,E1044&lt;Capa!$A$5,E1044&gt;Capa!$A$7,D1044&gt;E1044),"Erro","")</f>
        <v/>
      </c>
    </row>
    <row r="1045" spans="1:9" ht="33.75">
      <c r="A1045" s="345">
        <v>1042</v>
      </c>
      <c r="B1045" s="346" t="s">
        <v>294</v>
      </c>
      <c r="C1045" s="347">
        <v>7408.8</v>
      </c>
      <c r="D1045" s="348">
        <v>45658</v>
      </c>
      <c r="E1045" s="348">
        <v>45992</v>
      </c>
      <c r="F1045" s="346" t="s">
        <v>634</v>
      </c>
      <c r="G1045" s="350" t="s">
        <v>454</v>
      </c>
      <c r="H1045" s="351">
        <f t="shared" si="19"/>
        <v>88905.600000000006</v>
      </c>
      <c r="I1045" s="120" t="str">
        <f>IF(OR(D1045&lt;Capa!$A$5,D1045&gt;Capa!$A$7,E1045&lt;Capa!$A$5,E1045&gt;Capa!$A$7,D1045&gt;E1045),"Erro","")</f>
        <v/>
      </c>
    </row>
    <row r="1046" spans="1:9" ht="33.75">
      <c r="A1046" s="345">
        <v>1043</v>
      </c>
      <c r="B1046" s="346" t="s">
        <v>294</v>
      </c>
      <c r="C1046" s="347">
        <v>7847.65</v>
      </c>
      <c r="D1046" s="348">
        <v>46023</v>
      </c>
      <c r="E1046" s="348">
        <v>46357</v>
      </c>
      <c r="F1046" s="346" t="s">
        <v>634</v>
      </c>
      <c r="G1046" s="350" t="s">
        <v>454</v>
      </c>
      <c r="H1046" s="351">
        <f t="shared" si="19"/>
        <v>94171.799999999988</v>
      </c>
      <c r="I1046" s="120" t="str">
        <f>IF(OR(D1046&lt;Capa!$A$5,D1046&gt;Capa!$A$7,E1046&lt;Capa!$A$5,E1046&gt;Capa!$A$7,D1046&gt;E1046),"Erro","")</f>
        <v/>
      </c>
    </row>
    <row r="1047" spans="1:9" ht="33.75">
      <c r="A1047" s="345">
        <v>1044</v>
      </c>
      <c r="B1047" s="346" t="s">
        <v>294</v>
      </c>
      <c r="C1047" s="347">
        <v>8305.9500000000007</v>
      </c>
      <c r="D1047" s="348">
        <v>46388</v>
      </c>
      <c r="E1047" s="348">
        <v>46722</v>
      </c>
      <c r="F1047" s="346" t="s">
        <v>634</v>
      </c>
      <c r="G1047" s="350" t="s">
        <v>454</v>
      </c>
      <c r="H1047" s="351">
        <f t="shared" si="19"/>
        <v>99671.400000000009</v>
      </c>
      <c r="I1047" s="120" t="str">
        <f>IF(OR(D1047&lt;Capa!$A$5,D1047&gt;Capa!$A$7,E1047&lt;Capa!$A$5,E1047&gt;Capa!$A$7,D1047&gt;E1047),"Erro","")</f>
        <v/>
      </c>
    </row>
    <row r="1048" spans="1:9" ht="33.75">
      <c r="A1048" s="345">
        <v>1045</v>
      </c>
      <c r="B1048" s="346" t="s">
        <v>294</v>
      </c>
      <c r="C1048" s="347">
        <v>8791.02</v>
      </c>
      <c r="D1048" s="348">
        <v>46753</v>
      </c>
      <c r="E1048" s="348">
        <v>47058</v>
      </c>
      <c r="F1048" s="346" t="s">
        <v>634</v>
      </c>
      <c r="G1048" s="350" t="s">
        <v>454</v>
      </c>
      <c r="H1048" s="351">
        <f t="shared" si="19"/>
        <v>96701.22</v>
      </c>
      <c r="I1048" s="120" t="str">
        <f>IF(OR(D1048&lt;Capa!$A$5,D1048&gt;Capa!$A$7,E1048&lt;Capa!$A$5,E1048&gt;Capa!$A$7,D1048&gt;E1048),"Erro","")</f>
        <v/>
      </c>
    </row>
    <row r="1049" spans="1:9" ht="22.5">
      <c r="A1049" s="345">
        <v>1046</v>
      </c>
      <c r="B1049" s="346" t="s">
        <v>302</v>
      </c>
      <c r="C1049" s="347">
        <v>250</v>
      </c>
      <c r="D1049" s="348">
        <v>45261</v>
      </c>
      <c r="E1049" s="348">
        <v>45627</v>
      </c>
      <c r="F1049" s="346" t="s">
        <v>634</v>
      </c>
      <c r="G1049" s="350" t="s">
        <v>455</v>
      </c>
      <c r="H1049" s="351">
        <f t="shared" si="19"/>
        <v>3250</v>
      </c>
      <c r="I1049" s="120" t="str">
        <f>IF(OR(D1049&lt;Capa!$A$5,D1049&gt;Capa!$A$7,E1049&lt;Capa!$A$5,E1049&gt;Capa!$A$7,D1049&gt;E1049),"Erro","")</f>
        <v/>
      </c>
    </row>
    <row r="1050" spans="1:9" ht="22.5">
      <c r="A1050" s="345">
        <v>1047</v>
      </c>
      <c r="B1050" s="346" t="s">
        <v>302</v>
      </c>
      <c r="C1050" s="347">
        <v>210</v>
      </c>
      <c r="D1050" s="348">
        <v>45658</v>
      </c>
      <c r="E1050" s="348">
        <v>45992</v>
      </c>
      <c r="F1050" s="346" t="s">
        <v>634</v>
      </c>
      <c r="G1050" s="350" t="s">
        <v>455</v>
      </c>
      <c r="H1050" s="351">
        <f t="shared" si="19"/>
        <v>2520</v>
      </c>
      <c r="I1050" s="120" t="str">
        <f>IF(OR(D1050&lt;Capa!$A$5,D1050&gt;Capa!$A$7,E1050&lt;Capa!$A$5,E1050&gt;Capa!$A$7,D1050&gt;E1050),"Erro","")</f>
        <v/>
      </c>
    </row>
    <row r="1051" spans="1:9" ht="22.5">
      <c r="A1051" s="345">
        <v>1048</v>
      </c>
      <c r="B1051" s="346" t="s">
        <v>302</v>
      </c>
      <c r="C1051" s="347">
        <v>210</v>
      </c>
      <c r="D1051" s="348">
        <v>46023</v>
      </c>
      <c r="E1051" s="348">
        <v>46357</v>
      </c>
      <c r="F1051" s="346" t="s">
        <v>634</v>
      </c>
      <c r="G1051" s="350" t="s">
        <v>455</v>
      </c>
      <c r="H1051" s="351">
        <f t="shared" si="19"/>
        <v>2520</v>
      </c>
      <c r="I1051" s="120" t="str">
        <f>IF(OR(D1051&lt;Capa!$A$5,D1051&gt;Capa!$A$7,E1051&lt;Capa!$A$5,E1051&gt;Capa!$A$7,D1051&gt;E1051),"Erro","")</f>
        <v/>
      </c>
    </row>
    <row r="1052" spans="1:9" ht="22.5">
      <c r="A1052" s="345">
        <v>1049</v>
      </c>
      <c r="B1052" s="346" t="s">
        <v>302</v>
      </c>
      <c r="C1052" s="347">
        <v>210</v>
      </c>
      <c r="D1052" s="348">
        <v>46388</v>
      </c>
      <c r="E1052" s="348">
        <v>46722</v>
      </c>
      <c r="F1052" s="346" t="s">
        <v>634</v>
      </c>
      <c r="G1052" s="350" t="s">
        <v>455</v>
      </c>
      <c r="H1052" s="351">
        <f t="shared" si="19"/>
        <v>2520</v>
      </c>
      <c r="I1052" s="120" t="str">
        <f>IF(OR(D1052&lt;Capa!$A$5,D1052&gt;Capa!$A$7,E1052&lt;Capa!$A$5,E1052&gt;Capa!$A$7,D1052&gt;E1052),"Erro","")</f>
        <v/>
      </c>
    </row>
    <row r="1053" spans="1:9" ht="22.5">
      <c r="A1053" s="345">
        <v>1050</v>
      </c>
      <c r="B1053" s="346" t="s">
        <v>302</v>
      </c>
      <c r="C1053" s="347">
        <v>210</v>
      </c>
      <c r="D1053" s="348">
        <v>46753</v>
      </c>
      <c r="E1053" s="348">
        <v>47058</v>
      </c>
      <c r="F1053" s="346" t="s">
        <v>634</v>
      </c>
      <c r="G1053" s="350" t="s">
        <v>455</v>
      </c>
      <c r="H1053" s="351">
        <f t="shared" si="19"/>
        <v>2310</v>
      </c>
      <c r="I1053" s="120" t="str">
        <f>IF(OR(D1053&lt;Capa!$A$5,D1053&gt;Capa!$A$7,E1053&lt;Capa!$A$5,E1053&gt;Capa!$A$7,D1053&gt;E1053),"Erro","")</f>
        <v/>
      </c>
    </row>
    <row r="1054" spans="1:9" ht="33.75">
      <c r="A1054" s="345">
        <v>1051</v>
      </c>
      <c r="B1054" s="346" t="s">
        <v>304</v>
      </c>
      <c r="C1054" s="347">
        <v>1800</v>
      </c>
      <c r="D1054" s="348">
        <v>45261</v>
      </c>
      <c r="E1054" s="348">
        <v>45627</v>
      </c>
      <c r="F1054" s="346" t="s">
        <v>634</v>
      </c>
      <c r="G1054" s="350" t="s">
        <v>456</v>
      </c>
      <c r="H1054" s="351">
        <f t="shared" si="19"/>
        <v>23400</v>
      </c>
      <c r="I1054" s="120" t="str">
        <f>IF(OR(D1054&lt;Capa!$A$5,D1054&gt;Capa!$A$7,E1054&lt;Capa!$A$5,E1054&gt;Capa!$A$7,D1054&gt;E1054),"Erro","")</f>
        <v/>
      </c>
    </row>
    <row r="1055" spans="1:9" ht="33.75">
      <c r="A1055" s="345">
        <v>1052</v>
      </c>
      <c r="B1055" s="346" t="s">
        <v>304</v>
      </c>
      <c r="C1055" s="347">
        <v>1905.12</v>
      </c>
      <c r="D1055" s="348">
        <v>45658</v>
      </c>
      <c r="E1055" s="348">
        <v>45992</v>
      </c>
      <c r="F1055" s="346" t="s">
        <v>634</v>
      </c>
      <c r="G1055" s="350" t="s">
        <v>456</v>
      </c>
      <c r="H1055" s="351">
        <f t="shared" si="19"/>
        <v>22861.439999999999</v>
      </c>
      <c r="I1055" s="120" t="str">
        <f>IF(OR(D1055&lt;Capa!$A$5,D1055&gt;Capa!$A$7,E1055&lt;Capa!$A$5,E1055&gt;Capa!$A$7,D1055&gt;E1055),"Erro","")</f>
        <v/>
      </c>
    </row>
    <row r="1056" spans="1:9" ht="33.75">
      <c r="A1056" s="345">
        <v>1053</v>
      </c>
      <c r="B1056" s="346" t="s">
        <v>304</v>
      </c>
      <c r="C1056" s="347">
        <v>2016.37</v>
      </c>
      <c r="D1056" s="348">
        <v>46023</v>
      </c>
      <c r="E1056" s="348">
        <v>46357</v>
      </c>
      <c r="F1056" s="346" t="s">
        <v>634</v>
      </c>
      <c r="G1056" s="350" t="s">
        <v>456</v>
      </c>
      <c r="H1056" s="351">
        <f t="shared" si="19"/>
        <v>24196.44</v>
      </c>
      <c r="I1056" s="120" t="str">
        <f>IF(OR(D1056&lt;Capa!$A$5,D1056&gt;Capa!$A$7,E1056&lt;Capa!$A$5,E1056&gt;Capa!$A$7,D1056&gt;E1056),"Erro","")</f>
        <v/>
      </c>
    </row>
    <row r="1057" spans="1:9" ht="33.75">
      <c r="A1057" s="345">
        <v>1054</v>
      </c>
      <c r="B1057" s="346" t="s">
        <v>304</v>
      </c>
      <c r="C1057" s="347">
        <v>2134.13</v>
      </c>
      <c r="D1057" s="348">
        <v>46388</v>
      </c>
      <c r="E1057" s="348">
        <v>46722</v>
      </c>
      <c r="F1057" s="346" t="s">
        <v>634</v>
      </c>
      <c r="G1057" s="350" t="s">
        <v>456</v>
      </c>
      <c r="H1057" s="351">
        <f t="shared" si="19"/>
        <v>25609.56</v>
      </c>
      <c r="I1057" s="120" t="str">
        <f>IF(OR(D1057&lt;Capa!$A$5,D1057&gt;Capa!$A$7,E1057&lt;Capa!$A$5,E1057&gt;Capa!$A$7,D1057&gt;E1057),"Erro","")</f>
        <v/>
      </c>
    </row>
    <row r="1058" spans="1:9" ht="33.75">
      <c r="A1058" s="345">
        <v>1055</v>
      </c>
      <c r="B1058" s="346" t="s">
        <v>304</v>
      </c>
      <c r="C1058" s="347">
        <v>2258.7600000000002</v>
      </c>
      <c r="D1058" s="348">
        <v>46753</v>
      </c>
      <c r="E1058" s="348">
        <v>47058</v>
      </c>
      <c r="F1058" s="346" t="s">
        <v>634</v>
      </c>
      <c r="G1058" s="350" t="s">
        <v>456</v>
      </c>
      <c r="H1058" s="351">
        <f t="shared" si="19"/>
        <v>24846.36</v>
      </c>
      <c r="I1058" s="120" t="str">
        <f>IF(OR(D1058&lt;Capa!$A$5,D1058&gt;Capa!$A$7,E1058&lt;Capa!$A$5,E1058&gt;Capa!$A$7,D1058&gt;E1058),"Erro","")</f>
        <v/>
      </c>
    </row>
    <row r="1059" spans="1:9" ht="33.75">
      <c r="A1059" s="345">
        <v>1056</v>
      </c>
      <c r="B1059" s="346" t="s">
        <v>312</v>
      </c>
      <c r="C1059" s="347">
        <v>280</v>
      </c>
      <c r="D1059" s="348">
        <v>45658</v>
      </c>
      <c r="E1059" s="348">
        <v>45992</v>
      </c>
      <c r="F1059" s="346" t="s">
        <v>634</v>
      </c>
      <c r="G1059" s="350" t="s">
        <v>593</v>
      </c>
      <c r="H1059" s="351">
        <f t="shared" si="19"/>
        <v>3360</v>
      </c>
      <c r="I1059" s="120" t="str">
        <f>IF(OR(D1059&lt;Capa!$A$5,D1059&gt;Capa!$A$7,E1059&lt;Capa!$A$5,E1059&gt;Capa!$A$7,D1059&gt;E1059),"Erro","")</f>
        <v/>
      </c>
    </row>
    <row r="1060" spans="1:9" ht="33.75">
      <c r="A1060" s="345">
        <v>1057</v>
      </c>
      <c r="B1060" s="346" t="s">
        <v>312</v>
      </c>
      <c r="C1060" s="347">
        <v>280</v>
      </c>
      <c r="D1060" s="348">
        <v>46023</v>
      </c>
      <c r="E1060" s="348">
        <v>46357</v>
      </c>
      <c r="F1060" s="346" t="s">
        <v>634</v>
      </c>
      <c r="G1060" s="350" t="s">
        <v>593</v>
      </c>
      <c r="H1060" s="351">
        <f t="shared" si="19"/>
        <v>3360</v>
      </c>
      <c r="I1060" s="120" t="str">
        <f>IF(OR(D1060&lt;Capa!$A$5,D1060&gt;Capa!$A$7,E1060&lt;Capa!$A$5,E1060&gt;Capa!$A$7,D1060&gt;E1060),"Erro","")</f>
        <v/>
      </c>
    </row>
    <row r="1061" spans="1:9" ht="33.75">
      <c r="A1061" s="345">
        <v>1058</v>
      </c>
      <c r="B1061" s="346" t="s">
        <v>312</v>
      </c>
      <c r="C1061" s="347">
        <v>280</v>
      </c>
      <c r="D1061" s="348">
        <v>46388</v>
      </c>
      <c r="E1061" s="348">
        <v>46722</v>
      </c>
      <c r="F1061" s="346" t="s">
        <v>634</v>
      </c>
      <c r="G1061" s="350" t="s">
        <v>593</v>
      </c>
      <c r="H1061" s="351">
        <f t="shared" si="19"/>
        <v>3360</v>
      </c>
      <c r="I1061" s="120" t="str">
        <f>IF(OR(D1061&lt;Capa!$A$5,D1061&gt;Capa!$A$7,E1061&lt;Capa!$A$5,E1061&gt;Capa!$A$7,D1061&gt;E1061),"Erro","")</f>
        <v/>
      </c>
    </row>
    <row r="1062" spans="1:9" ht="33.75">
      <c r="A1062" s="345">
        <v>1059</v>
      </c>
      <c r="B1062" s="346" t="s">
        <v>312</v>
      </c>
      <c r="C1062" s="347">
        <v>280</v>
      </c>
      <c r="D1062" s="348">
        <v>46753</v>
      </c>
      <c r="E1062" s="348">
        <v>47058</v>
      </c>
      <c r="F1062" s="346" t="s">
        <v>634</v>
      </c>
      <c r="G1062" s="350" t="s">
        <v>593</v>
      </c>
      <c r="H1062" s="351">
        <f t="shared" si="19"/>
        <v>3080</v>
      </c>
      <c r="I1062" s="120" t="str">
        <f>IF(OR(D1062&lt;Capa!$A$5,D1062&gt;Capa!$A$7,E1062&lt;Capa!$A$5,E1062&gt;Capa!$A$7,D1062&gt;E1062),"Erro","")</f>
        <v/>
      </c>
    </row>
    <row r="1063" spans="1:9" ht="67.5">
      <c r="A1063" s="345">
        <v>1060</v>
      </c>
      <c r="B1063" s="346" t="s">
        <v>316</v>
      </c>
      <c r="C1063" s="347">
        <v>1800</v>
      </c>
      <c r="D1063" s="348">
        <v>45261</v>
      </c>
      <c r="E1063" s="348">
        <v>45627</v>
      </c>
      <c r="F1063" s="346" t="s">
        <v>634</v>
      </c>
      <c r="G1063" s="350" t="s">
        <v>457</v>
      </c>
      <c r="H1063" s="351">
        <f t="shared" si="19"/>
        <v>23400</v>
      </c>
      <c r="I1063" s="120" t="str">
        <f>IF(OR(D1063&lt;Capa!$A$5,D1063&gt;Capa!$A$7,E1063&lt;Capa!$A$5,E1063&gt;Capa!$A$7,D1063&gt;E1063),"Erro","")</f>
        <v/>
      </c>
    </row>
    <row r="1064" spans="1:9" ht="67.5">
      <c r="A1064" s="345">
        <v>1061</v>
      </c>
      <c r="B1064" s="346" t="s">
        <v>316</v>
      </c>
      <c r="C1064" s="347">
        <v>1800</v>
      </c>
      <c r="D1064" s="348">
        <v>45658</v>
      </c>
      <c r="E1064" s="348">
        <v>45992</v>
      </c>
      <c r="F1064" s="346" t="s">
        <v>634</v>
      </c>
      <c r="G1064" s="350" t="s">
        <v>457</v>
      </c>
      <c r="H1064" s="351">
        <f t="shared" si="19"/>
        <v>21600</v>
      </c>
      <c r="I1064" s="120" t="str">
        <f>IF(OR(D1064&lt;Capa!$A$5,D1064&gt;Capa!$A$7,E1064&lt;Capa!$A$5,E1064&gt;Capa!$A$7,D1064&gt;E1064),"Erro","")</f>
        <v/>
      </c>
    </row>
    <row r="1065" spans="1:9" ht="67.5">
      <c r="A1065" s="345">
        <v>1062</v>
      </c>
      <c r="B1065" s="346" t="s">
        <v>316</v>
      </c>
      <c r="C1065" s="347">
        <v>1800</v>
      </c>
      <c r="D1065" s="348">
        <v>46023</v>
      </c>
      <c r="E1065" s="348">
        <v>46357</v>
      </c>
      <c r="F1065" s="346" t="s">
        <v>634</v>
      </c>
      <c r="G1065" s="350" t="s">
        <v>457</v>
      </c>
      <c r="H1065" s="351">
        <f t="shared" si="19"/>
        <v>21600</v>
      </c>
      <c r="I1065" s="120" t="str">
        <f>IF(OR(D1065&lt;Capa!$A$5,D1065&gt;Capa!$A$7,E1065&lt;Capa!$A$5,E1065&gt;Capa!$A$7,D1065&gt;E1065),"Erro","")</f>
        <v/>
      </c>
    </row>
    <row r="1066" spans="1:9" ht="67.5">
      <c r="A1066" s="345">
        <v>1063</v>
      </c>
      <c r="B1066" s="346" t="s">
        <v>316</v>
      </c>
      <c r="C1066" s="347">
        <v>1800</v>
      </c>
      <c r="D1066" s="348">
        <v>46388</v>
      </c>
      <c r="E1066" s="348">
        <v>46722</v>
      </c>
      <c r="F1066" s="346" t="s">
        <v>634</v>
      </c>
      <c r="G1066" s="350" t="s">
        <v>457</v>
      </c>
      <c r="H1066" s="351">
        <f t="shared" si="19"/>
        <v>21600</v>
      </c>
      <c r="I1066" s="120" t="str">
        <f>IF(OR(D1066&lt;Capa!$A$5,D1066&gt;Capa!$A$7,E1066&lt;Capa!$A$5,E1066&gt;Capa!$A$7,D1066&gt;E1066),"Erro","")</f>
        <v/>
      </c>
    </row>
    <row r="1067" spans="1:9" ht="67.5">
      <c r="A1067" s="345">
        <v>1064</v>
      </c>
      <c r="B1067" s="346" t="s">
        <v>316</v>
      </c>
      <c r="C1067" s="347">
        <v>1800</v>
      </c>
      <c r="D1067" s="348">
        <v>46753</v>
      </c>
      <c r="E1067" s="348">
        <v>47058</v>
      </c>
      <c r="F1067" s="346" t="s">
        <v>634</v>
      </c>
      <c r="G1067" s="350" t="s">
        <v>457</v>
      </c>
      <c r="H1067" s="351">
        <f t="shared" si="19"/>
        <v>19800</v>
      </c>
      <c r="I1067" s="120" t="str">
        <f>IF(OR(D1067&lt;Capa!$A$5,D1067&gt;Capa!$A$7,E1067&lt;Capa!$A$5,E1067&gt;Capa!$A$7,D1067&gt;E1067),"Erro","")</f>
        <v/>
      </c>
    </row>
    <row r="1068" spans="1:9" ht="56.25">
      <c r="A1068" s="345">
        <v>1065</v>
      </c>
      <c r="B1068" s="346" t="s">
        <v>318</v>
      </c>
      <c r="C1068" s="347">
        <v>1800</v>
      </c>
      <c r="D1068" s="348">
        <v>45261</v>
      </c>
      <c r="E1068" s="348">
        <v>45627</v>
      </c>
      <c r="F1068" s="346" t="s">
        <v>634</v>
      </c>
      <c r="G1068" s="350" t="s">
        <v>594</v>
      </c>
      <c r="H1068" s="351">
        <f t="shared" si="19"/>
        <v>23400</v>
      </c>
      <c r="I1068" s="120" t="str">
        <f>IF(OR(D1068&lt;Capa!$A$5,D1068&gt;Capa!$A$7,E1068&lt;Capa!$A$5,E1068&gt;Capa!$A$7,D1068&gt;E1068),"Erro","")</f>
        <v/>
      </c>
    </row>
    <row r="1069" spans="1:9" ht="56.25">
      <c r="A1069" s="345">
        <v>1066</v>
      </c>
      <c r="B1069" s="346" t="s">
        <v>318</v>
      </c>
      <c r="C1069" s="347">
        <v>1500</v>
      </c>
      <c r="D1069" s="348">
        <v>45658</v>
      </c>
      <c r="E1069" s="348">
        <v>45992</v>
      </c>
      <c r="F1069" s="346" t="s">
        <v>634</v>
      </c>
      <c r="G1069" s="350" t="s">
        <v>594</v>
      </c>
      <c r="H1069" s="351">
        <f t="shared" si="19"/>
        <v>18000</v>
      </c>
      <c r="I1069" s="120" t="str">
        <f>IF(OR(D1069&lt;Capa!$A$5,D1069&gt;Capa!$A$7,E1069&lt;Capa!$A$5,E1069&gt;Capa!$A$7,D1069&gt;E1069),"Erro","")</f>
        <v/>
      </c>
    </row>
    <row r="1070" spans="1:9" ht="56.25">
      <c r="A1070" s="345">
        <v>1067</v>
      </c>
      <c r="B1070" s="346" t="s">
        <v>318</v>
      </c>
      <c r="C1070" s="347">
        <v>1500</v>
      </c>
      <c r="D1070" s="348">
        <v>46023</v>
      </c>
      <c r="E1070" s="348">
        <v>46357</v>
      </c>
      <c r="F1070" s="346" t="s">
        <v>634</v>
      </c>
      <c r="G1070" s="350" t="s">
        <v>594</v>
      </c>
      <c r="H1070" s="351">
        <f t="shared" si="19"/>
        <v>18000</v>
      </c>
      <c r="I1070" s="120" t="str">
        <f>IF(OR(D1070&lt;Capa!$A$5,D1070&gt;Capa!$A$7,E1070&lt;Capa!$A$5,E1070&gt;Capa!$A$7,D1070&gt;E1070),"Erro","")</f>
        <v/>
      </c>
    </row>
    <row r="1071" spans="1:9" ht="56.25">
      <c r="A1071" s="345">
        <v>1068</v>
      </c>
      <c r="B1071" s="346" t="s">
        <v>318</v>
      </c>
      <c r="C1071" s="347">
        <v>1500</v>
      </c>
      <c r="D1071" s="348">
        <v>46388</v>
      </c>
      <c r="E1071" s="348">
        <v>46722</v>
      </c>
      <c r="F1071" s="346" t="s">
        <v>634</v>
      </c>
      <c r="G1071" s="350" t="s">
        <v>594</v>
      </c>
      <c r="H1071" s="351">
        <f t="shared" si="19"/>
        <v>18000</v>
      </c>
      <c r="I1071" s="120" t="str">
        <f>IF(OR(D1071&lt;Capa!$A$5,D1071&gt;Capa!$A$7,E1071&lt;Capa!$A$5,E1071&gt;Capa!$A$7,D1071&gt;E1071),"Erro","")</f>
        <v/>
      </c>
    </row>
    <row r="1072" spans="1:9" ht="56.25">
      <c r="A1072" s="345">
        <v>1069</v>
      </c>
      <c r="B1072" s="346" t="s">
        <v>318</v>
      </c>
      <c r="C1072" s="347">
        <v>1500</v>
      </c>
      <c r="D1072" s="348">
        <v>46753</v>
      </c>
      <c r="E1072" s="348">
        <v>47058</v>
      </c>
      <c r="F1072" s="346" t="s">
        <v>634</v>
      </c>
      <c r="G1072" s="350" t="s">
        <v>594</v>
      </c>
      <c r="H1072" s="351">
        <f t="shared" si="19"/>
        <v>16500</v>
      </c>
      <c r="I1072" s="120" t="str">
        <f>IF(OR(D1072&lt;Capa!$A$5,D1072&gt;Capa!$A$7,E1072&lt;Capa!$A$5,E1072&gt;Capa!$A$7,D1072&gt;E1072),"Erro","")</f>
        <v/>
      </c>
    </row>
    <row r="1073" spans="1:9" ht="67.5">
      <c r="A1073" s="345">
        <v>1070</v>
      </c>
      <c r="B1073" s="346" t="s">
        <v>318</v>
      </c>
      <c r="C1073" s="347">
        <v>1800</v>
      </c>
      <c r="D1073" s="348">
        <v>45261</v>
      </c>
      <c r="E1073" s="348">
        <v>45627</v>
      </c>
      <c r="F1073" s="346" t="s">
        <v>634</v>
      </c>
      <c r="G1073" s="350" t="s">
        <v>457</v>
      </c>
      <c r="H1073" s="351">
        <f t="shared" si="19"/>
        <v>23400</v>
      </c>
      <c r="I1073" s="120" t="str">
        <f>IF(OR(D1073&lt;Capa!$A$5,D1073&gt;Capa!$A$7,E1073&lt;Capa!$A$5,E1073&gt;Capa!$A$7,D1073&gt;E1073),"Erro","")</f>
        <v/>
      </c>
    </row>
    <row r="1074" spans="1:9" ht="67.5">
      <c r="A1074" s="345">
        <v>1071</v>
      </c>
      <c r="B1074" s="346" t="s">
        <v>318</v>
      </c>
      <c r="C1074" s="347">
        <v>1500</v>
      </c>
      <c r="D1074" s="348">
        <v>45658</v>
      </c>
      <c r="E1074" s="348">
        <v>45992</v>
      </c>
      <c r="F1074" s="346" t="s">
        <v>634</v>
      </c>
      <c r="G1074" s="350" t="s">
        <v>457</v>
      </c>
      <c r="H1074" s="351">
        <f t="shared" si="19"/>
        <v>18000</v>
      </c>
      <c r="I1074" s="120" t="str">
        <f>IF(OR(D1074&lt;Capa!$A$5,D1074&gt;Capa!$A$7,E1074&lt;Capa!$A$5,E1074&gt;Capa!$A$7,D1074&gt;E1074),"Erro","")</f>
        <v/>
      </c>
    </row>
    <row r="1075" spans="1:9" ht="67.5">
      <c r="A1075" s="345">
        <v>1072</v>
      </c>
      <c r="B1075" s="346" t="s">
        <v>318</v>
      </c>
      <c r="C1075" s="347">
        <v>1500</v>
      </c>
      <c r="D1075" s="348">
        <v>46023</v>
      </c>
      <c r="E1075" s="348">
        <v>46357</v>
      </c>
      <c r="F1075" s="346" t="s">
        <v>634</v>
      </c>
      <c r="G1075" s="350" t="s">
        <v>457</v>
      </c>
      <c r="H1075" s="351">
        <f t="shared" si="19"/>
        <v>18000</v>
      </c>
      <c r="I1075" s="120" t="str">
        <f>IF(OR(D1075&lt;Capa!$A$5,D1075&gt;Capa!$A$7,E1075&lt;Capa!$A$5,E1075&gt;Capa!$A$7,D1075&gt;E1075),"Erro","")</f>
        <v/>
      </c>
    </row>
    <row r="1076" spans="1:9" ht="67.5">
      <c r="A1076" s="345">
        <v>1073</v>
      </c>
      <c r="B1076" s="346" t="s">
        <v>318</v>
      </c>
      <c r="C1076" s="347">
        <v>1500</v>
      </c>
      <c r="D1076" s="348">
        <v>46388</v>
      </c>
      <c r="E1076" s="348">
        <v>46722</v>
      </c>
      <c r="F1076" s="346" t="s">
        <v>634</v>
      </c>
      <c r="G1076" s="350" t="s">
        <v>457</v>
      </c>
      <c r="H1076" s="351">
        <f t="shared" si="19"/>
        <v>18000</v>
      </c>
      <c r="I1076" s="120" t="str">
        <f>IF(OR(D1076&lt;Capa!$A$5,D1076&gt;Capa!$A$7,E1076&lt;Capa!$A$5,E1076&gt;Capa!$A$7,D1076&gt;E1076),"Erro","")</f>
        <v/>
      </c>
    </row>
    <row r="1077" spans="1:9" ht="67.5">
      <c r="A1077" s="345">
        <v>1074</v>
      </c>
      <c r="B1077" s="346" t="s">
        <v>318</v>
      </c>
      <c r="C1077" s="347">
        <v>1500</v>
      </c>
      <c r="D1077" s="348">
        <v>46753</v>
      </c>
      <c r="E1077" s="348">
        <v>47058</v>
      </c>
      <c r="F1077" s="346" t="s">
        <v>634</v>
      </c>
      <c r="G1077" s="350" t="s">
        <v>457</v>
      </c>
      <c r="H1077" s="351">
        <f t="shared" si="19"/>
        <v>16500</v>
      </c>
      <c r="I1077" s="120" t="str">
        <f>IF(OR(D1077&lt;Capa!$A$5,D1077&gt;Capa!$A$7,E1077&lt;Capa!$A$5,E1077&gt;Capa!$A$7,D1077&gt;E1077),"Erro","")</f>
        <v/>
      </c>
    </row>
    <row r="1078" spans="1:9" ht="22.5">
      <c r="A1078" s="345">
        <v>1075</v>
      </c>
      <c r="B1078" s="346" t="s">
        <v>298</v>
      </c>
      <c r="C1078" s="347">
        <v>2500</v>
      </c>
      <c r="D1078" s="348">
        <v>45261</v>
      </c>
      <c r="E1078" s="348">
        <v>45627</v>
      </c>
      <c r="F1078" s="346" t="s">
        <v>634</v>
      </c>
      <c r="G1078" s="350" t="s">
        <v>458</v>
      </c>
      <c r="H1078" s="351">
        <f t="shared" si="19"/>
        <v>32500</v>
      </c>
      <c r="I1078" s="120" t="str">
        <f>IF(OR(D1078&lt;Capa!$A$5,D1078&gt;Capa!$A$7,E1078&lt;Capa!$A$5,E1078&gt;Capa!$A$7,D1078&gt;E1078),"Erro","")</f>
        <v/>
      </c>
    </row>
    <row r="1079" spans="1:9" ht="22.5">
      <c r="A1079" s="345">
        <v>1076</v>
      </c>
      <c r="B1079" s="346" t="s">
        <v>298</v>
      </c>
      <c r="C1079" s="347">
        <v>2646</v>
      </c>
      <c r="D1079" s="348">
        <v>45658</v>
      </c>
      <c r="E1079" s="348">
        <v>45992</v>
      </c>
      <c r="F1079" s="346" t="s">
        <v>634</v>
      </c>
      <c r="G1079" s="350" t="s">
        <v>458</v>
      </c>
      <c r="H1079" s="351">
        <f t="shared" si="19"/>
        <v>31752</v>
      </c>
      <c r="I1079" s="120" t="str">
        <f>IF(OR(D1079&lt;Capa!$A$5,D1079&gt;Capa!$A$7,E1079&lt;Capa!$A$5,E1079&gt;Capa!$A$7,D1079&gt;E1079),"Erro","")</f>
        <v/>
      </c>
    </row>
    <row r="1080" spans="1:9" ht="22.5">
      <c r="A1080" s="345">
        <v>1077</v>
      </c>
      <c r="B1080" s="346" t="s">
        <v>298</v>
      </c>
      <c r="C1080" s="347">
        <v>2800.52</v>
      </c>
      <c r="D1080" s="348">
        <v>46023</v>
      </c>
      <c r="E1080" s="348">
        <v>46357</v>
      </c>
      <c r="F1080" s="346" t="s">
        <v>634</v>
      </c>
      <c r="G1080" s="350" t="s">
        <v>458</v>
      </c>
      <c r="H1080" s="351">
        <f t="shared" si="19"/>
        <v>33606.239999999998</v>
      </c>
      <c r="I1080" s="120" t="str">
        <f>IF(OR(D1080&lt;Capa!$A$5,D1080&gt;Capa!$A$7,E1080&lt;Capa!$A$5,E1080&gt;Capa!$A$7,D1080&gt;E1080),"Erro","")</f>
        <v/>
      </c>
    </row>
    <row r="1081" spans="1:9" ht="22.5">
      <c r="A1081" s="345">
        <v>1078</v>
      </c>
      <c r="B1081" s="346" t="s">
        <v>298</v>
      </c>
      <c r="C1081" s="347">
        <v>2964.07</v>
      </c>
      <c r="D1081" s="348">
        <v>46388</v>
      </c>
      <c r="E1081" s="348">
        <v>46722</v>
      </c>
      <c r="F1081" s="346" t="s">
        <v>634</v>
      </c>
      <c r="G1081" s="350" t="s">
        <v>458</v>
      </c>
      <c r="H1081" s="351">
        <f t="shared" si="19"/>
        <v>35568.840000000004</v>
      </c>
      <c r="I1081" s="120" t="str">
        <f>IF(OR(D1081&lt;Capa!$A$5,D1081&gt;Capa!$A$7,E1081&lt;Capa!$A$5,E1081&gt;Capa!$A$7,D1081&gt;E1081),"Erro","")</f>
        <v/>
      </c>
    </row>
    <row r="1082" spans="1:9" ht="22.5">
      <c r="A1082" s="345">
        <v>1079</v>
      </c>
      <c r="B1082" s="346" t="s">
        <v>298</v>
      </c>
      <c r="C1082" s="347">
        <v>3137.17</v>
      </c>
      <c r="D1082" s="348">
        <v>46753</v>
      </c>
      <c r="E1082" s="348">
        <v>47058</v>
      </c>
      <c r="F1082" s="346" t="s">
        <v>634</v>
      </c>
      <c r="G1082" s="350" t="s">
        <v>458</v>
      </c>
      <c r="H1082" s="351">
        <f t="shared" si="19"/>
        <v>34508.870000000003</v>
      </c>
      <c r="I1082" s="120" t="str">
        <f>IF(OR(D1082&lt;Capa!$A$5,D1082&gt;Capa!$A$7,E1082&lt;Capa!$A$5,E1082&gt;Capa!$A$7,D1082&gt;E1082),"Erro","")</f>
        <v/>
      </c>
    </row>
    <row r="1083" spans="1:9" ht="33.75">
      <c r="A1083" s="345">
        <v>1080</v>
      </c>
      <c r="B1083" s="346" t="s">
        <v>238</v>
      </c>
      <c r="C1083" s="347">
        <v>370.44</v>
      </c>
      <c r="D1083" s="348">
        <v>45658</v>
      </c>
      <c r="E1083" s="348">
        <v>45992</v>
      </c>
      <c r="F1083" s="346" t="s">
        <v>634</v>
      </c>
      <c r="G1083" s="350" t="s">
        <v>459</v>
      </c>
      <c r="H1083" s="351">
        <f t="shared" si="19"/>
        <v>4445.28</v>
      </c>
      <c r="I1083" s="120" t="str">
        <f>IF(OR(D1083&lt;Capa!$A$5,D1083&gt;Capa!$A$7,E1083&lt;Capa!$A$5,E1083&gt;Capa!$A$7,D1083&gt;E1083),"Erro","")</f>
        <v/>
      </c>
    </row>
    <row r="1084" spans="1:9" ht="33.75">
      <c r="A1084" s="345">
        <v>1081</v>
      </c>
      <c r="B1084" s="346" t="s">
        <v>238</v>
      </c>
      <c r="C1084" s="347">
        <v>392.07</v>
      </c>
      <c r="D1084" s="348">
        <v>46023</v>
      </c>
      <c r="E1084" s="348">
        <v>46357</v>
      </c>
      <c r="F1084" s="346" t="s">
        <v>634</v>
      </c>
      <c r="G1084" s="350" t="s">
        <v>459</v>
      </c>
      <c r="H1084" s="351">
        <f t="shared" si="19"/>
        <v>4704.84</v>
      </c>
      <c r="I1084" s="120" t="str">
        <f>IF(OR(D1084&lt;Capa!$A$5,D1084&gt;Capa!$A$7,E1084&lt;Capa!$A$5,E1084&gt;Capa!$A$7,D1084&gt;E1084),"Erro","")</f>
        <v/>
      </c>
    </row>
    <row r="1085" spans="1:9" ht="33.75">
      <c r="A1085" s="345">
        <v>1082</v>
      </c>
      <c r="B1085" s="346" t="s">
        <v>238</v>
      </c>
      <c r="C1085" s="347">
        <v>414.97</v>
      </c>
      <c r="D1085" s="348">
        <v>46388</v>
      </c>
      <c r="E1085" s="348">
        <v>46722</v>
      </c>
      <c r="F1085" s="346" t="s">
        <v>634</v>
      </c>
      <c r="G1085" s="350" t="s">
        <v>459</v>
      </c>
      <c r="H1085" s="351">
        <f t="shared" si="19"/>
        <v>4979.6400000000003</v>
      </c>
      <c r="I1085" s="120" t="str">
        <f>IF(OR(D1085&lt;Capa!$A$5,D1085&gt;Capa!$A$7,E1085&lt;Capa!$A$5,E1085&gt;Capa!$A$7,D1085&gt;E1085),"Erro","")</f>
        <v/>
      </c>
    </row>
    <row r="1086" spans="1:9" ht="33.75">
      <c r="A1086" s="345">
        <v>1083</v>
      </c>
      <c r="B1086" s="346" t="s">
        <v>238</v>
      </c>
      <c r="C1086" s="347">
        <v>439.21</v>
      </c>
      <c r="D1086" s="348">
        <v>46753</v>
      </c>
      <c r="E1086" s="348">
        <v>47058</v>
      </c>
      <c r="F1086" s="346" t="s">
        <v>634</v>
      </c>
      <c r="G1086" s="350" t="s">
        <v>459</v>
      </c>
      <c r="H1086" s="351">
        <f t="shared" si="19"/>
        <v>4831.3099999999995</v>
      </c>
      <c r="I1086" s="120" t="str">
        <f>IF(OR(D1086&lt;Capa!$A$5,D1086&gt;Capa!$A$7,E1086&lt;Capa!$A$5,E1086&gt;Capa!$A$7,D1086&gt;E1086),"Erro","")</f>
        <v/>
      </c>
    </row>
    <row r="1087" spans="1:9" ht="56.25">
      <c r="A1087" s="345">
        <v>1084</v>
      </c>
      <c r="B1087" s="346" t="s">
        <v>252</v>
      </c>
      <c r="C1087" s="347">
        <v>7000</v>
      </c>
      <c r="D1087" s="348">
        <v>45261</v>
      </c>
      <c r="E1087" s="348">
        <v>45627</v>
      </c>
      <c r="F1087" s="346" t="s">
        <v>634</v>
      </c>
      <c r="G1087" s="350" t="s">
        <v>460</v>
      </c>
      <c r="H1087" s="351">
        <f t="shared" si="19"/>
        <v>91000</v>
      </c>
      <c r="I1087" s="120" t="str">
        <f>IF(OR(D1087&lt;Capa!$A$5,D1087&gt;Capa!$A$7,E1087&lt;Capa!$A$5,E1087&gt;Capa!$A$7,D1087&gt;E1087),"Erro","")</f>
        <v/>
      </c>
    </row>
    <row r="1088" spans="1:9" ht="56.25">
      <c r="A1088" s="345">
        <v>1085</v>
      </c>
      <c r="B1088" s="346" t="s">
        <v>252</v>
      </c>
      <c r="C1088" s="347">
        <v>7408.8</v>
      </c>
      <c r="D1088" s="348">
        <v>45658</v>
      </c>
      <c r="E1088" s="348">
        <v>45992</v>
      </c>
      <c r="F1088" s="346" t="s">
        <v>634</v>
      </c>
      <c r="G1088" s="350" t="s">
        <v>460</v>
      </c>
      <c r="H1088" s="351">
        <f t="shared" si="19"/>
        <v>88905.600000000006</v>
      </c>
      <c r="I1088" s="120" t="str">
        <f>IF(OR(D1088&lt;Capa!$A$5,D1088&gt;Capa!$A$7,E1088&lt;Capa!$A$5,E1088&gt;Capa!$A$7,D1088&gt;E1088),"Erro","")</f>
        <v/>
      </c>
    </row>
    <row r="1089" spans="1:9" ht="56.25">
      <c r="A1089" s="345">
        <v>1086</v>
      </c>
      <c r="B1089" s="346" t="s">
        <v>252</v>
      </c>
      <c r="C1089" s="347">
        <v>7847.65</v>
      </c>
      <c r="D1089" s="348">
        <v>46023</v>
      </c>
      <c r="E1089" s="348">
        <v>46357</v>
      </c>
      <c r="F1089" s="346" t="s">
        <v>634</v>
      </c>
      <c r="G1089" s="350" t="s">
        <v>460</v>
      </c>
      <c r="H1089" s="351">
        <f t="shared" si="19"/>
        <v>94171.799999999988</v>
      </c>
      <c r="I1089" s="120" t="str">
        <f>IF(OR(D1089&lt;Capa!$A$5,D1089&gt;Capa!$A$7,E1089&lt;Capa!$A$5,E1089&gt;Capa!$A$7,D1089&gt;E1089),"Erro","")</f>
        <v/>
      </c>
    </row>
    <row r="1090" spans="1:9" ht="56.25">
      <c r="A1090" s="345">
        <v>1087</v>
      </c>
      <c r="B1090" s="346" t="s">
        <v>252</v>
      </c>
      <c r="C1090" s="347">
        <v>8305.9500000000007</v>
      </c>
      <c r="D1090" s="348">
        <v>46388</v>
      </c>
      <c r="E1090" s="348">
        <v>46722</v>
      </c>
      <c r="F1090" s="346" t="s">
        <v>634</v>
      </c>
      <c r="G1090" s="350" t="s">
        <v>460</v>
      </c>
      <c r="H1090" s="351">
        <f t="shared" si="19"/>
        <v>99671.400000000009</v>
      </c>
      <c r="I1090" s="120" t="str">
        <f>IF(OR(D1090&lt;Capa!$A$5,D1090&gt;Capa!$A$7,E1090&lt;Capa!$A$5,E1090&gt;Capa!$A$7,D1090&gt;E1090),"Erro","")</f>
        <v/>
      </c>
    </row>
    <row r="1091" spans="1:9" ht="56.25">
      <c r="A1091" s="345">
        <v>1088</v>
      </c>
      <c r="B1091" s="346" t="s">
        <v>252</v>
      </c>
      <c r="C1091" s="347">
        <v>8791.02</v>
      </c>
      <c r="D1091" s="348">
        <v>46753</v>
      </c>
      <c r="E1091" s="348">
        <v>47058</v>
      </c>
      <c r="F1091" s="346" t="s">
        <v>634</v>
      </c>
      <c r="G1091" s="350" t="s">
        <v>460</v>
      </c>
      <c r="H1091" s="351">
        <f t="shared" si="19"/>
        <v>96701.22</v>
      </c>
      <c r="I1091" s="120" t="str">
        <f>IF(OR(D1091&lt;Capa!$A$5,D1091&gt;Capa!$A$7,E1091&lt;Capa!$A$5,E1091&gt;Capa!$A$7,D1091&gt;E1091),"Erro","")</f>
        <v/>
      </c>
    </row>
    <row r="1092" spans="1:9" ht="33.75">
      <c r="A1092" s="345">
        <v>1089</v>
      </c>
      <c r="B1092" s="346" t="s">
        <v>651</v>
      </c>
      <c r="C1092" s="347">
        <v>180</v>
      </c>
      <c r="D1092" s="348">
        <v>45261</v>
      </c>
      <c r="E1092" s="348">
        <v>47058</v>
      </c>
      <c r="F1092" s="346" t="s">
        <v>634</v>
      </c>
      <c r="G1092" s="350" t="s">
        <v>710</v>
      </c>
      <c r="H1092" s="351">
        <f t="shared" si="19"/>
        <v>10800</v>
      </c>
      <c r="I1092" s="120" t="str">
        <f>IF(OR(D1092&lt;Capa!$A$5,D1092&gt;Capa!$A$7,E1092&lt;Capa!$A$5,E1092&gt;Capa!$A$7,D1092&gt;E1092),"Erro","")</f>
        <v/>
      </c>
    </row>
    <row r="1093" spans="1:9" ht="22.5">
      <c r="A1093" s="345">
        <v>1090</v>
      </c>
      <c r="B1093" s="346" t="s">
        <v>653</v>
      </c>
      <c r="C1093" s="347">
        <v>1930</v>
      </c>
      <c r="D1093" s="348">
        <v>45292</v>
      </c>
      <c r="E1093" s="348">
        <v>45627</v>
      </c>
      <c r="F1093" s="346" t="s">
        <v>634</v>
      </c>
      <c r="G1093" s="350" t="s">
        <v>712</v>
      </c>
      <c r="H1093" s="351">
        <f t="shared" si="19"/>
        <v>23160</v>
      </c>
    </row>
    <row r="1094" spans="1:9" ht="22.5">
      <c r="A1094" s="345">
        <v>1091</v>
      </c>
      <c r="B1094" s="346" t="s">
        <v>653</v>
      </c>
      <c r="C1094" s="347">
        <v>1930</v>
      </c>
      <c r="D1094" s="348">
        <v>45658</v>
      </c>
      <c r="E1094" s="348">
        <v>47058</v>
      </c>
      <c r="F1094" s="346" t="s">
        <v>634</v>
      </c>
      <c r="G1094" s="350" t="s">
        <v>712</v>
      </c>
      <c r="H1094" s="351">
        <f t="shared" si="19"/>
        <v>90710</v>
      </c>
      <c r="I1094" s="120" t="str">
        <f>IF(OR(D1094&lt;Capa!$A$5,D1094&gt;Capa!$A$7,E1094&lt;Capa!$A$5,E1094&gt;Capa!$A$7,D1094&gt;E1094),"Erro","")</f>
        <v/>
      </c>
    </row>
    <row r="1095" spans="1:9" ht="45">
      <c r="A1095" s="345">
        <v>1092</v>
      </c>
      <c r="B1095" s="346" t="s">
        <v>652</v>
      </c>
      <c r="C1095" s="347">
        <v>10000</v>
      </c>
      <c r="D1095" s="348">
        <v>45413</v>
      </c>
      <c r="E1095" s="348">
        <v>45413</v>
      </c>
      <c r="F1095" s="346" t="s">
        <v>634</v>
      </c>
      <c r="G1095" s="350" t="s">
        <v>624</v>
      </c>
      <c r="H1095" s="351">
        <f t="shared" si="19"/>
        <v>10000</v>
      </c>
      <c r="I1095" s="120" t="str">
        <f>IF(OR(D1095&lt;Capa!$A$5,D1095&gt;Capa!$A$7,E1095&lt;Capa!$A$5,E1095&gt;Capa!$A$7,D1095&gt;E1095),"Erro","")</f>
        <v/>
      </c>
    </row>
    <row r="1096" spans="1:9" ht="56.25">
      <c r="A1096" s="345">
        <v>1093</v>
      </c>
      <c r="B1096" s="346" t="s">
        <v>652</v>
      </c>
      <c r="C1096" s="347">
        <v>10000</v>
      </c>
      <c r="D1096" s="348">
        <v>46419</v>
      </c>
      <c r="E1096" s="348">
        <v>46419</v>
      </c>
      <c r="F1096" s="346" t="s">
        <v>634</v>
      </c>
      <c r="G1096" s="350" t="s">
        <v>717</v>
      </c>
      <c r="H1096" s="351">
        <f t="shared" si="19"/>
        <v>10000</v>
      </c>
      <c r="I1096" s="120" t="str">
        <f>IF(OR(D1096&lt;Capa!$A$5,D1096&gt;Capa!$A$7,E1096&lt;Capa!$A$5,E1096&gt;Capa!$A$7,D1096&gt;E1096),"Erro","")</f>
        <v/>
      </c>
    </row>
    <row r="1097" spans="1:9" ht="33.75">
      <c r="A1097" s="345">
        <v>1094</v>
      </c>
      <c r="B1097" s="346" t="s">
        <v>650</v>
      </c>
      <c r="C1097" s="347">
        <v>70</v>
      </c>
      <c r="D1097" s="348">
        <v>45261</v>
      </c>
      <c r="E1097" s="348">
        <v>47058</v>
      </c>
      <c r="F1097" s="346" t="s">
        <v>634</v>
      </c>
      <c r="G1097" s="350" t="s">
        <v>711</v>
      </c>
      <c r="H1097" s="351">
        <f t="shared" si="19"/>
        <v>4200</v>
      </c>
      <c r="I1097" s="120" t="str">
        <f>IF(OR(D1097&lt;Capa!$A$5,D1097&gt;Capa!$A$7,E1097&lt;Capa!$A$5,E1097&gt;Capa!$A$7,D1097&gt;E1097),"Erro","")</f>
        <v/>
      </c>
    </row>
    <row r="1098" spans="1:9" ht="33.75">
      <c r="A1098" s="345">
        <v>1095</v>
      </c>
      <c r="B1098" s="346" t="s">
        <v>648</v>
      </c>
      <c r="C1098" s="347">
        <v>3920</v>
      </c>
      <c r="D1098" s="348">
        <v>45292</v>
      </c>
      <c r="E1098" s="348">
        <v>45292</v>
      </c>
      <c r="F1098" s="346" t="s">
        <v>634</v>
      </c>
      <c r="G1098" s="350" t="s">
        <v>670</v>
      </c>
      <c r="H1098" s="351">
        <f t="shared" si="19"/>
        <v>3920</v>
      </c>
      <c r="I1098" s="120" t="str">
        <f>IF(OR(D1098&lt;Capa!$A$5,D1098&gt;Capa!$A$7,E1098&lt;Capa!$A$5,E1098&gt;Capa!$A$7,D1098&gt;E1098),"Erro","")</f>
        <v/>
      </c>
    </row>
    <row r="1099" spans="1:9" ht="33.75">
      <c r="A1099" s="345">
        <v>1096</v>
      </c>
      <c r="B1099" s="346" t="s">
        <v>648</v>
      </c>
      <c r="C1099" s="347">
        <v>4148.92</v>
      </c>
      <c r="D1099" s="348">
        <v>45658</v>
      </c>
      <c r="E1099" s="348">
        <v>45658</v>
      </c>
      <c r="F1099" s="346" t="s">
        <v>634</v>
      </c>
      <c r="G1099" s="350" t="s">
        <v>670</v>
      </c>
      <c r="H1099" s="351">
        <f t="shared" si="19"/>
        <v>4148.92</v>
      </c>
      <c r="I1099" s="120" t="str">
        <f>IF(OR(D1099&lt;Capa!$A$5,D1099&gt;Capa!$A$7,E1099&lt;Capa!$A$5,E1099&gt;Capa!$A$7,D1099&gt;E1099),"Erro","")</f>
        <v/>
      </c>
    </row>
    <row r="1100" spans="1:9" ht="33.75">
      <c r="A1100" s="345">
        <v>1097</v>
      </c>
      <c r="B1100" s="346" t="s">
        <v>648</v>
      </c>
      <c r="C1100" s="347">
        <v>4391.22</v>
      </c>
      <c r="D1100" s="348">
        <v>46023</v>
      </c>
      <c r="E1100" s="348">
        <v>46023</v>
      </c>
      <c r="F1100" s="346" t="s">
        <v>634</v>
      </c>
      <c r="G1100" s="350" t="s">
        <v>670</v>
      </c>
      <c r="H1100" s="351">
        <f t="shared" si="19"/>
        <v>4391.22</v>
      </c>
      <c r="I1100" s="120" t="str">
        <f>IF(OR(D1100&lt;Capa!$A$5,D1100&gt;Capa!$A$7,E1100&lt;Capa!$A$5,E1100&gt;Capa!$A$7,D1100&gt;E1100),"Erro","")</f>
        <v/>
      </c>
    </row>
    <row r="1101" spans="1:9" ht="33.75">
      <c r="A1101" s="345">
        <v>1098</v>
      </c>
      <c r="B1101" s="346" t="s">
        <v>648</v>
      </c>
      <c r="C1101" s="347">
        <v>4647.67</v>
      </c>
      <c r="D1101" s="348">
        <v>46388</v>
      </c>
      <c r="E1101" s="348">
        <v>46388</v>
      </c>
      <c r="F1101" s="346" t="s">
        <v>634</v>
      </c>
      <c r="G1101" s="350" t="s">
        <v>670</v>
      </c>
      <c r="H1101" s="351">
        <f t="shared" si="19"/>
        <v>4647.67</v>
      </c>
      <c r="I1101" s="120" t="str">
        <f>IF(OR(D1101&lt;Capa!$A$5,D1101&gt;Capa!$A$7,E1101&lt;Capa!$A$5,E1101&gt;Capa!$A$7,D1101&gt;E1101),"Erro","")</f>
        <v/>
      </c>
    </row>
    <row r="1102" spans="1:9" ht="33.75">
      <c r="A1102" s="345">
        <v>1099</v>
      </c>
      <c r="B1102" s="346" t="s">
        <v>648</v>
      </c>
      <c r="C1102" s="347">
        <v>4919.09</v>
      </c>
      <c r="D1102" s="348">
        <v>46753</v>
      </c>
      <c r="E1102" s="348">
        <v>46753</v>
      </c>
      <c r="F1102" s="346" t="s">
        <v>634</v>
      </c>
      <c r="G1102" s="350" t="s">
        <v>670</v>
      </c>
      <c r="H1102" s="351">
        <f t="shared" si="19"/>
        <v>4919.09</v>
      </c>
      <c r="I1102" s="120" t="str">
        <f>IF(OR(D1102&lt;Capa!$A$5,D1102&gt;Capa!$A$7,E1102&lt;Capa!$A$5,E1102&gt;Capa!$A$7,D1102&gt;E1102),"Erro","")</f>
        <v/>
      </c>
    </row>
    <row r="1103" spans="1:9" ht="22.5">
      <c r="A1103" s="345">
        <v>1100</v>
      </c>
      <c r="B1103" s="346" t="s">
        <v>649</v>
      </c>
      <c r="C1103" s="347">
        <v>70000</v>
      </c>
      <c r="D1103" s="348">
        <v>45748</v>
      </c>
      <c r="E1103" s="348">
        <v>45748</v>
      </c>
      <c r="F1103" s="346" t="s">
        <v>634</v>
      </c>
      <c r="G1103" s="350" t="s">
        <v>739</v>
      </c>
      <c r="H1103" s="351">
        <f t="shared" si="19"/>
        <v>70000</v>
      </c>
    </row>
    <row r="1104" spans="1:9" ht="33.75">
      <c r="A1104" s="345">
        <v>1101</v>
      </c>
      <c r="B1104" s="346" t="s">
        <v>649</v>
      </c>
      <c r="C1104" s="347">
        <v>1643</v>
      </c>
      <c r="D1104" s="348">
        <v>45292</v>
      </c>
      <c r="E1104" s="348">
        <v>47058</v>
      </c>
      <c r="F1104" s="346" t="s">
        <v>634</v>
      </c>
      <c r="G1104" s="350" t="s">
        <v>705</v>
      </c>
      <c r="H1104" s="351">
        <f t="shared" si="19"/>
        <v>96937</v>
      </c>
      <c r="I1104" s="120" t="str">
        <f>IF(OR(D1104&lt;Capa!$A$5,D1104&gt;Capa!$A$7,E1104&lt;Capa!$A$5,E1104&gt;Capa!$A$7,D1104&gt;E1104),"Erro","")</f>
        <v/>
      </c>
    </row>
    <row r="1105" spans="1:9" ht="33.75">
      <c r="A1105" s="345">
        <v>1102</v>
      </c>
      <c r="B1105" s="346" t="s">
        <v>654</v>
      </c>
      <c r="C1105" s="347">
        <v>600</v>
      </c>
      <c r="D1105" s="348">
        <v>45261</v>
      </c>
      <c r="E1105" s="348">
        <v>45627</v>
      </c>
      <c r="F1105" s="346" t="s">
        <v>634</v>
      </c>
      <c r="G1105" s="350" t="s">
        <v>706</v>
      </c>
      <c r="H1105" s="351">
        <f t="shared" si="19"/>
        <v>7800</v>
      </c>
    </row>
    <row r="1106" spans="1:9" ht="33.75">
      <c r="A1106" s="345">
        <v>1103</v>
      </c>
      <c r="B1106" s="346" t="s">
        <v>654</v>
      </c>
      <c r="C1106" s="347">
        <v>1100</v>
      </c>
      <c r="D1106" s="348">
        <v>45658</v>
      </c>
      <c r="E1106" s="348">
        <v>47058</v>
      </c>
      <c r="F1106" s="346" t="s">
        <v>634</v>
      </c>
      <c r="G1106" s="350" t="s">
        <v>706</v>
      </c>
      <c r="H1106" s="351">
        <f t="shared" si="19"/>
        <v>51700</v>
      </c>
      <c r="I1106" s="120" t="str">
        <f>IF(OR(D1106&lt;Capa!$A$5,D1106&gt;Capa!$A$7,E1106&lt;Capa!$A$5,E1106&gt;Capa!$A$7,D1106&gt;E1106),"Erro","")</f>
        <v/>
      </c>
    </row>
    <row r="1107" spans="1:9" ht="22.5">
      <c r="A1107" s="345">
        <v>1104</v>
      </c>
      <c r="B1107" s="346" t="s">
        <v>656</v>
      </c>
      <c r="C1107" s="347">
        <v>200</v>
      </c>
      <c r="D1107" s="348">
        <v>45261</v>
      </c>
      <c r="E1107" s="348">
        <v>47058</v>
      </c>
      <c r="F1107" s="346" t="s">
        <v>634</v>
      </c>
      <c r="G1107" s="350" t="s">
        <v>707</v>
      </c>
      <c r="H1107" s="351">
        <f t="shared" si="19"/>
        <v>12000</v>
      </c>
      <c r="I1107" s="120" t="str">
        <f>IF(OR(D1107&lt;Capa!$A$5,D1107&gt;Capa!$A$7,E1107&lt;Capa!$A$5,E1107&gt;Capa!$A$7,D1107&gt;E1107),"Erro","")</f>
        <v/>
      </c>
    </row>
    <row r="1108" spans="1:9" ht="22.5">
      <c r="A1108" s="345">
        <v>1105</v>
      </c>
      <c r="B1108" s="346" t="s">
        <v>658</v>
      </c>
      <c r="C1108" s="347">
        <v>50</v>
      </c>
      <c r="D1108" s="348">
        <v>45261</v>
      </c>
      <c r="E1108" s="348">
        <v>47058</v>
      </c>
      <c r="F1108" s="346" t="s">
        <v>634</v>
      </c>
      <c r="G1108" s="350" t="s">
        <v>709</v>
      </c>
      <c r="H1108" s="351">
        <f t="shared" si="19"/>
        <v>3000</v>
      </c>
      <c r="I1108" s="120" t="str">
        <f>IF(OR(D1108&lt;Capa!$A$5,D1108&gt;Capa!$A$7,E1108&lt;Capa!$A$5,E1108&gt;Capa!$A$7,D1108&gt;E1108),"Erro","")</f>
        <v/>
      </c>
    </row>
    <row r="1109" spans="1:9" ht="33.75">
      <c r="A1109" s="345">
        <v>1106</v>
      </c>
      <c r="B1109" s="346" t="s">
        <v>657</v>
      </c>
      <c r="C1109" s="347">
        <v>350</v>
      </c>
      <c r="D1109" s="348">
        <v>45658</v>
      </c>
      <c r="E1109" s="348">
        <v>47058</v>
      </c>
      <c r="F1109" s="346" t="s">
        <v>634</v>
      </c>
      <c r="G1109" s="350" t="s">
        <v>708</v>
      </c>
      <c r="H1109" s="351">
        <f t="shared" si="19"/>
        <v>16450</v>
      </c>
      <c r="I1109" s="120" t="str">
        <f>IF(OR(D1109&lt;Capa!$A$5,D1109&gt;Capa!$A$7,E1109&lt;Capa!$A$5,E1109&gt;Capa!$A$7,D1109&gt;E1109),"Erro","")</f>
        <v/>
      </c>
    </row>
    <row r="1110" spans="1:9" ht="45">
      <c r="A1110" s="345">
        <v>1107</v>
      </c>
      <c r="B1110" s="346" t="s">
        <v>320</v>
      </c>
      <c r="C1110" s="347">
        <v>4545.7737500000003</v>
      </c>
      <c r="D1110" s="348">
        <v>45778</v>
      </c>
      <c r="E1110" s="348">
        <v>45992</v>
      </c>
      <c r="F1110" s="346" t="s">
        <v>634</v>
      </c>
      <c r="G1110" s="350" t="s">
        <v>596</v>
      </c>
      <c r="H1110" s="351">
        <f t="shared" si="19"/>
        <v>36366.19</v>
      </c>
    </row>
    <row r="1111" spans="1:9" ht="45">
      <c r="A1111" s="345">
        <v>1108</v>
      </c>
      <c r="B1111" s="346" t="s">
        <v>320</v>
      </c>
      <c r="C1111" s="347">
        <v>250</v>
      </c>
      <c r="D1111" s="348">
        <v>45748</v>
      </c>
      <c r="E1111" s="348">
        <v>47058</v>
      </c>
      <c r="F1111" s="346" t="s">
        <v>634</v>
      </c>
      <c r="G1111" s="350" t="s">
        <v>596</v>
      </c>
      <c r="H1111" s="351">
        <f t="shared" si="19"/>
        <v>11000</v>
      </c>
      <c r="I1111" s="120" t="str">
        <f>IF(OR(D1111&lt;Capa!$A$5,D1111&gt;Capa!$A$7,E1111&lt;Capa!$A$5,E1111&gt;Capa!$A$7,D1111&gt;E1111),"Erro","")</f>
        <v/>
      </c>
    </row>
    <row r="1112" spans="1:9" ht="22.5">
      <c r="A1112" s="345">
        <v>1109</v>
      </c>
      <c r="B1112" s="346" t="s">
        <v>198</v>
      </c>
      <c r="C1112" s="347">
        <v>5000</v>
      </c>
      <c r="D1112" s="348">
        <v>45261</v>
      </c>
      <c r="E1112" s="348">
        <v>45627</v>
      </c>
      <c r="F1112" s="346" t="s">
        <v>635</v>
      </c>
      <c r="G1112" s="350" t="s">
        <v>438</v>
      </c>
      <c r="H1112" s="351">
        <f t="shared" si="19"/>
        <v>65000</v>
      </c>
      <c r="I1112" s="120" t="str">
        <f>IF(OR(D1112&lt;Capa!$A$5,D1112&gt;Capa!$A$7,E1112&lt;Capa!$A$5,E1112&gt;Capa!$A$7,D1112&gt;E1112),"Erro","")</f>
        <v/>
      </c>
    </row>
    <row r="1113" spans="1:9" ht="22.5">
      <c r="A1113" s="345">
        <v>1110</v>
      </c>
      <c r="B1113" s="346" t="s">
        <v>198</v>
      </c>
      <c r="C1113" s="347">
        <v>5292</v>
      </c>
      <c r="D1113" s="348">
        <v>45658</v>
      </c>
      <c r="E1113" s="348">
        <v>45992</v>
      </c>
      <c r="F1113" s="346" t="s">
        <v>635</v>
      </c>
      <c r="G1113" s="350" t="s">
        <v>438</v>
      </c>
      <c r="H1113" s="351">
        <f t="shared" ref="H1113:H1175" si="20">IFERROR((DATEDIF(D1113,E1113,"M")+1)*C1113,0)</f>
        <v>63504</v>
      </c>
      <c r="I1113" s="120" t="str">
        <f>IF(OR(D1113&lt;Capa!$A$5,D1113&gt;Capa!$A$7,E1113&lt;Capa!$A$5,E1113&gt;Capa!$A$7,D1113&gt;E1113),"Erro","")</f>
        <v/>
      </c>
    </row>
    <row r="1114" spans="1:9" ht="22.5">
      <c r="A1114" s="345">
        <v>1111</v>
      </c>
      <c r="B1114" s="346" t="s">
        <v>198</v>
      </c>
      <c r="C1114" s="347">
        <v>5601.05</v>
      </c>
      <c r="D1114" s="348">
        <v>46023</v>
      </c>
      <c r="E1114" s="348">
        <v>46357</v>
      </c>
      <c r="F1114" s="346" t="s">
        <v>635</v>
      </c>
      <c r="G1114" s="350" t="s">
        <v>438</v>
      </c>
      <c r="H1114" s="351">
        <f t="shared" si="20"/>
        <v>67212.600000000006</v>
      </c>
      <c r="I1114" s="120" t="str">
        <f>IF(OR(D1114&lt;Capa!$A$5,D1114&gt;Capa!$A$7,E1114&lt;Capa!$A$5,E1114&gt;Capa!$A$7,D1114&gt;E1114),"Erro","")</f>
        <v/>
      </c>
    </row>
    <row r="1115" spans="1:9" ht="22.5">
      <c r="A1115" s="345">
        <v>1112</v>
      </c>
      <c r="B1115" s="346" t="s">
        <v>198</v>
      </c>
      <c r="C1115" s="347">
        <v>5928.15</v>
      </c>
      <c r="D1115" s="348">
        <v>46388</v>
      </c>
      <c r="E1115" s="348">
        <v>46722</v>
      </c>
      <c r="F1115" s="346" t="s">
        <v>635</v>
      </c>
      <c r="G1115" s="350" t="s">
        <v>438</v>
      </c>
      <c r="H1115" s="351">
        <f t="shared" si="20"/>
        <v>71137.799999999988</v>
      </c>
      <c r="I1115" s="120" t="str">
        <f>IF(OR(D1115&lt;Capa!$A$5,D1115&gt;Capa!$A$7,E1115&lt;Capa!$A$5,E1115&gt;Capa!$A$7,D1115&gt;E1115),"Erro","")</f>
        <v/>
      </c>
    </row>
    <row r="1116" spans="1:9" ht="22.5">
      <c r="A1116" s="345">
        <v>1113</v>
      </c>
      <c r="B1116" s="346" t="s">
        <v>198</v>
      </c>
      <c r="C1116" s="347">
        <v>6274.36</v>
      </c>
      <c r="D1116" s="348">
        <v>46753</v>
      </c>
      <c r="E1116" s="348">
        <v>47058</v>
      </c>
      <c r="F1116" s="346" t="s">
        <v>635</v>
      </c>
      <c r="G1116" s="350" t="s">
        <v>438</v>
      </c>
      <c r="H1116" s="351">
        <f t="shared" si="20"/>
        <v>69017.959999999992</v>
      </c>
      <c r="I1116" s="120" t="str">
        <f>IF(OR(D1116&lt;Capa!$A$5,D1116&gt;Capa!$A$7,E1116&lt;Capa!$A$5,E1116&gt;Capa!$A$7,D1116&gt;E1116),"Erro","")</f>
        <v/>
      </c>
    </row>
    <row r="1117" spans="1:9" ht="22.5">
      <c r="A1117" s="345">
        <v>1114</v>
      </c>
      <c r="B1117" s="346" t="s">
        <v>202</v>
      </c>
      <c r="C1117" s="347">
        <v>1658.21</v>
      </c>
      <c r="D1117" s="348">
        <v>45292</v>
      </c>
      <c r="E1117" s="348">
        <v>45292</v>
      </c>
      <c r="F1117" s="346" t="s">
        <v>635</v>
      </c>
      <c r="G1117" s="350" t="s">
        <v>439</v>
      </c>
      <c r="H1117" s="351">
        <f t="shared" si="20"/>
        <v>1658.21</v>
      </c>
      <c r="I1117" s="120" t="str">
        <f>IF(OR(D1117&lt;Capa!$A$5,D1117&gt;Capa!$A$7,E1117&lt;Capa!$A$5,E1117&gt;Capa!$A$7,D1117&gt;E1117),"Erro","")</f>
        <v/>
      </c>
    </row>
    <row r="1118" spans="1:9" ht="22.5">
      <c r="A1118" s="345">
        <v>1115</v>
      </c>
      <c r="B1118" s="346" t="s">
        <v>202</v>
      </c>
      <c r="C1118" s="347">
        <v>1761.09</v>
      </c>
      <c r="D1118" s="348">
        <v>45658</v>
      </c>
      <c r="E1118" s="348">
        <v>45658</v>
      </c>
      <c r="F1118" s="346" t="s">
        <v>635</v>
      </c>
      <c r="G1118" s="350" t="s">
        <v>439</v>
      </c>
      <c r="H1118" s="351">
        <f t="shared" si="20"/>
        <v>1761.09</v>
      </c>
      <c r="I1118" s="120" t="str">
        <f>IF(OR(D1118&lt;Capa!$A$5,D1118&gt;Capa!$A$7,E1118&lt;Capa!$A$5,E1118&gt;Capa!$A$7,D1118&gt;E1118),"Erro","")</f>
        <v/>
      </c>
    </row>
    <row r="1119" spans="1:9" ht="22.5">
      <c r="A1119" s="345">
        <v>1116</v>
      </c>
      <c r="B1119" s="346" t="s">
        <v>202</v>
      </c>
      <c r="C1119" s="347">
        <v>1863.94</v>
      </c>
      <c r="D1119" s="348">
        <v>46023</v>
      </c>
      <c r="E1119" s="348">
        <v>46023</v>
      </c>
      <c r="F1119" s="346" t="s">
        <v>635</v>
      </c>
      <c r="G1119" s="350" t="s">
        <v>439</v>
      </c>
      <c r="H1119" s="351">
        <f t="shared" si="20"/>
        <v>1863.94</v>
      </c>
      <c r="I1119" s="120" t="str">
        <f>IF(OR(D1119&lt;Capa!$A$5,D1119&gt;Capa!$A$7,E1119&lt;Capa!$A$5,E1119&gt;Capa!$A$7,D1119&gt;E1119),"Erro","")</f>
        <v/>
      </c>
    </row>
    <row r="1120" spans="1:9" ht="22.5">
      <c r="A1120" s="345">
        <v>1117</v>
      </c>
      <c r="B1120" s="346" t="s">
        <v>202</v>
      </c>
      <c r="C1120" s="347">
        <v>1972.79</v>
      </c>
      <c r="D1120" s="348">
        <v>46388</v>
      </c>
      <c r="E1120" s="348">
        <v>46388</v>
      </c>
      <c r="F1120" s="346" t="s">
        <v>635</v>
      </c>
      <c r="G1120" s="350" t="s">
        <v>439</v>
      </c>
      <c r="H1120" s="351">
        <f t="shared" si="20"/>
        <v>1972.79</v>
      </c>
      <c r="I1120" s="120" t="str">
        <f>IF(OR(D1120&lt;Capa!$A$5,D1120&gt;Capa!$A$7,E1120&lt;Capa!$A$5,E1120&gt;Capa!$A$7,D1120&gt;E1120),"Erro","")</f>
        <v/>
      </c>
    </row>
    <row r="1121" spans="1:9" ht="22.5">
      <c r="A1121" s="345">
        <v>1118</v>
      </c>
      <c r="B1121" s="346" t="s">
        <v>202</v>
      </c>
      <c r="C1121" s="347">
        <v>2088</v>
      </c>
      <c r="D1121" s="348">
        <v>46753</v>
      </c>
      <c r="E1121" s="348">
        <v>46753</v>
      </c>
      <c r="F1121" s="346" t="s">
        <v>635</v>
      </c>
      <c r="G1121" s="350" t="s">
        <v>439</v>
      </c>
      <c r="H1121" s="351">
        <f t="shared" si="20"/>
        <v>2088</v>
      </c>
      <c r="I1121" s="120" t="str">
        <f>IF(OR(D1121&lt;Capa!$A$5,D1121&gt;Capa!$A$7,E1121&lt;Capa!$A$5,E1121&gt;Capa!$A$7,D1121&gt;E1121),"Erro","")</f>
        <v/>
      </c>
    </row>
    <row r="1122" spans="1:9" ht="22.5">
      <c r="A1122" s="345">
        <v>1119</v>
      </c>
      <c r="B1122" s="346" t="s">
        <v>204</v>
      </c>
      <c r="C1122" s="347">
        <v>1687.58</v>
      </c>
      <c r="D1122" s="348">
        <v>45292</v>
      </c>
      <c r="E1122" s="348">
        <v>45383</v>
      </c>
      <c r="F1122" s="346" t="s">
        <v>635</v>
      </c>
      <c r="G1122" s="350" t="s">
        <v>439</v>
      </c>
      <c r="H1122" s="351">
        <f t="shared" si="20"/>
        <v>6750.32</v>
      </c>
      <c r="I1122" s="120" t="str">
        <f>IF(OR(D1122&lt;Capa!$A$5,D1122&gt;Capa!$A$7,E1122&lt;Capa!$A$5,E1122&gt;Capa!$A$7,D1122&gt;E1122),"Erro","")</f>
        <v/>
      </c>
    </row>
    <row r="1123" spans="1:9" ht="22.5">
      <c r="A1123" s="345">
        <v>1120</v>
      </c>
      <c r="B1123" s="346" t="s">
        <v>204</v>
      </c>
      <c r="C1123" s="347">
        <v>1786.14</v>
      </c>
      <c r="D1123" s="348">
        <v>45658</v>
      </c>
      <c r="E1123" s="348">
        <v>45748</v>
      </c>
      <c r="F1123" s="346" t="s">
        <v>635</v>
      </c>
      <c r="G1123" s="350" t="s">
        <v>439</v>
      </c>
      <c r="H1123" s="351">
        <f t="shared" si="20"/>
        <v>7144.56</v>
      </c>
      <c r="I1123" s="120" t="str">
        <f>IF(OR(D1123&lt;Capa!$A$5,D1123&gt;Capa!$A$7,E1123&lt;Capa!$A$5,E1123&gt;Capa!$A$7,D1123&gt;E1123),"Erro","")</f>
        <v/>
      </c>
    </row>
    <row r="1124" spans="1:9" ht="22.5">
      <c r="A1124" s="345">
        <v>1121</v>
      </c>
      <c r="B1124" s="346" t="s">
        <v>204</v>
      </c>
      <c r="C1124" s="347">
        <v>1890.45</v>
      </c>
      <c r="D1124" s="348">
        <v>46023</v>
      </c>
      <c r="E1124" s="348">
        <v>46113</v>
      </c>
      <c r="F1124" s="346" t="s">
        <v>635</v>
      </c>
      <c r="G1124" s="350" t="s">
        <v>439</v>
      </c>
      <c r="H1124" s="351">
        <f t="shared" si="20"/>
        <v>7561.8</v>
      </c>
      <c r="I1124" s="120" t="str">
        <f>IF(OR(D1124&lt;Capa!$A$5,D1124&gt;Capa!$A$7,E1124&lt;Capa!$A$5,E1124&gt;Capa!$A$7,D1124&gt;E1124),"Erro","")</f>
        <v/>
      </c>
    </row>
    <row r="1125" spans="1:9" ht="22.5">
      <c r="A1125" s="345">
        <v>1122</v>
      </c>
      <c r="B1125" s="346" t="s">
        <v>204</v>
      </c>
      <c r="C1125" s="347">
        <v>2000.85</v>
      </c>
      <c r="D1125" s="348">
        <v>46388</v>
      </c>
      <c r="E1125" s="348">
        <v>46478</v>
      </c>
      <c r="F1125" s="346" t="s">
        <v>635</v>
      </c>
      <c r="G1125" s="350" t="s">
        <v>439</v>
      </c>
      <c r="H1125" s="351">
        <f t="shared" si="20"/>
        <v>8003.4</v>
      </c>
      <c r="I1125" s="120" t="str">
        <f>IF(OR(D1125&lt;Capa!$A$5,D1125&gt;Capa!$A$7,E1125&lt;Capa!$A$5,E1125&gt;Capa!$A$7,D1125&gt;E1125),"Erro","")</f>
        <v/>
      </c>
    </row>
    <row r="1126" spans="1:9" ht="22.5">
      <c r="A1126" s="345">
        <v>1123</v>
      </c>
      <c r="B1126" s="346" t="s">
        <v>204</v>
      </c>
      <c r="C1126" s="347">
        <v>2117.6999999999998</v>
      </c>
      <c r="D1126" s="348">
        <v>46753</v>
      </c>
      <c r="E1126" s="348">
        <v>46844</v>
      </c>
      <c r="F1126" s="346" t="s">
        <v>635</v>
      </c>
      <c r="G1126" s="350" t="s">
        <v>439</v>
      </c>
      <c r="H1126" s="351">
        <f t="shared" si="20"/>
        <v>8470.7999999999993</v>
      </c>
      <c r="I1126" s="120" t="str">
        <f>IF(OR(D1126&lt;Capa!$A$5,D1126&gt;Capa!$A$7,E1126&lt;Capa!$A$5,E1126&gt;Capa!$A$7,D1126&gt;E1126),"Erro","")</f>
        <v/>
      </c>
    </row>
    <row r="1127" spans="1:9" ht="22.5">
      <c r="A1127" s="345">
        <v>1124</v>
      </c>
      <c r="B1127" s="346" t="s">
        <v>206</v>
      </c>
      <c r="C1127" s="347">
        <v>1010</v>
      </c>
      <c r="D1127" s="348">
        <v>45261</v>
      </c>
      <c r="E1127" s="348">
        <v>45627</v>
      </c>
      <c r="F1127" s="346" t="s">
        <v>635</v>
      </c>
      <c r="G1127" s="350" t="s">
        <v>440</v>
      </c>
      <c r="H1127" s="351">
        <f t="shared" si="20"/>
        <v>13130</v>
      </c>
      <c r="I1127" s="120" t="str">
        <f>IF(OR(D1127&lt;Capa!$A$5,D1127&gt;Capa!$A$7,E1127&lt;Capa!$A$5,E1127&gt;Capa!$A$7,D1127&gt;E1127),"Erro","")</f>
        <v/>
      </c>
    </row>
    <row r="1128" spans="1:9" ht="22.5">
      <c r="A1128" s="345">
        <v>1125</v>
      </c>
      <c r="B1128" s="346" t="s">
        <v>206</v>
      </c>
      <c r="C1128" s="347">
        <v>1116.23</v>
      </c>
      <c r="D1128" s="348">
        <v>45658</v>
      </c>
      <c r="E1128" s="348">
        <v>45992</v>
      </c>
      <c r="F1128" s="346" t="s">
        <v>635</v>
      </c>
      <c r="G1128" s="350" t="s">
        <v>440</v>
      </c>
      <c r="H1128" s="351">
        <f t="shared" si="20"/>
        <v>13394.76</v>
      </c>
      <c r="I1128" s="120" t="str">
        <f>IF(OR(D1128&lt;Capa!$A$5,D1128&gt;Capa!$A$7,E1128&lt;Capa!$A$5,E1128&gt;Capa!$A$7,D1128&gt;E1128),"Erro","")</f>
        <v/>
      </c>
    </row>
    <row r="1129" spans="1:9" ht="22.5">
      <c r="A1129" s="345">
        <v>1126</v>
      </c>
      <c r="B1129" s="346" t="s">
        <v>206</v>
      </c>
      <c r="C1129" s="347">
        <v>1181.42</v>
      </c>
      <c r="D1129" s="348">
        <v>46023</v>
      </c>
      <c r="E1129" s="348">
        <v>46357</v>
      </c>
      <c r="F1129" s="346" t="s">
        <v>635</v>
      </c>
      <c r="G1129" s="350" t="s">
        <v>440</v>
      </c>
      <c r="H1129" s="351">
        <f t="shared" si="20"/>
        <v>14177.04</v>
      </c>
      <c r="I1129" s="120" t="str">
        <f>IF(OR(D1129&lt;Capa!$A$5,D1129&gt;Capa!$A$7,E1129&lt;Capa!$A$5,E1129&gt;Capa!$A$7,D1129&gt;E1129),"Erro","")</f>
        <v/>
      </c>
    </row>
    <row r="1130" spans="1:9" ht="22.5">
      <c r="A1130" s="345">
        <v>1127</v>
      </c>
      <c r="B1130" s="346" t="s">
        <v>206</v>
      </c>
      <c r="C1130" s="347">
        <v>1250.4100000000001</v>
      </c>
      <c r="D1130" s="348">
        <v>46388</v>
      </c>
      <c r="E1130" s="348">
        <v>46722</v>
      </c>
      <c r="F1130" s="346" t="s">
        <v>635</v>
      </c>
      <c r="G1130" s="350" t="s">
        <v>440</v>
      </c>
      <c r="H1130" s="351">
        <f t="shared" si="20"/>
        <v>15004.920000000002</v>
      </c>
      <c r="I1130" s="120" t="str">
        <f>IF(OR(D1130&lt;Capa!$A$5,D1130&gt;Capa!$A$7,E1130&lt;Capa!$A$5,E1130&gt;Capa!$A$7,D1130&gt;E1130),"Erro","")</f>
        <v/>
      </c>
    </row>
    <row r="1131" spans="1:9" ht="22.5">
      <c r="A1131" s="345">
        <v>1128</v>
      </c>
      <c r="B1131" s="346" t="s">
        <v>206</v>
      </c>
      <c r="C1131" s="347">
        <v>1323.44</v>
      </c>
      <c r="D1131" s="348">
        <v>46753</v>
      </c>
      <c r="E1131" s="348">
        <v>47058</v>
      </c>
      <c r="F1131" s="346" t="s">
        <v>635</v>
      </c>
      <c r="G1131" s="350" t="s">
        <v>440</v>
      </c>
      <c r="H1131" s="351">
        <f t="shared" si="20"/>
        <v>14557.84</v>
      </c>
      <c r="I1131" s="120" t="str">
        <f>IF(OR(D1131&lt;Capa!$A$5,D1131&gt;Capa!$A$7,E1131&lt;Capa!$A$5,E1131&gt;Capa!$A$7,D1131&gt;E1131),"Erro","")</f>
        <v/>
      </c>
    </row>
    <row r="1132" spans="1:9" ht="22.5">
      <c r="A1132" s="345">
        <v>1129</v>
      </c>
      <c r="B1132" s="346" t="s">
        <v>208</v>
      </c>
      <c r="C1132" s="347">
        <v>833.55</v>
      </c>
      <c r="D1132" s="348">
        <v>45261</v>
      </c>
      <c r="E1132" s="348">
        <v>45627</v>
      </c>
      <c r="F1132" s="346" t="s">
        <v>635</v>
      </c>
      <c r="G1132" s="350" t="s">
        <v>440</v>
      </c>
      <c r="H1132" s="351">
        <f t="shared" si="20"/>
        <v>10836.15</v>
      </c>
      <c r="I1132" s="120" t="str">
        <f>IF(OR(D1132&lt;Capa!$A$5,D1132&gt;Capa!$A$7,E1132&lt;Capa!$A$5,E1132&gt;Capa!$A$7,D1132&gt;E1132),"Erro","")</f>
        <v/>
      </c>
    </row>
    <row r="1133" spans="1:9" ht="22.5">
      <c r="A1133" s="345">
        <v>1130</v>
      </c>
      <c r="B1133" s="346" t="s">
        <v>208</v>
      </c>
      <c r="C1133" s="347">
        <v>882.23</v>
      </c>
      <c r="D1133" s="348">
        <v>45658</v>
      </c>
      <c r="E1133" s="348">
        <v>45992</v>
      </c>
      <c r="F1133" s="346" t="s">
        <v>635</v>
      </c>
      <c r="G1133" s="350" t="s">
        <v>440</v>
      </c>
      <c r="H1133" s="351">
        <f t="shared" si="20"/>
        <v>10586.76</v>
      </c>
      <c r="I1133" s="120" t="str">
        <f>IF(OR(D1133&lt;Capa!$A$5,D1133&gt;Capa!$A$7,E1133&lt;Capa!$A$5,E1133&gt;Capa!$A$7,D1133&gt;E1133),"Erro","")</f>
        <v/>
      </c>
    </row>
    <row r="1134" spans="1:9" ht="22.5">
      <c r="A1134" s="345">
        <v>1131</v>
      </c>
      <c r="B1134" s="346" t="s">
        <v>208</v>
      </c>
      <c r="C1134" s="347">
        <v>933.76</v>
      </c>
      <c r="D1134" s="348">
        <v>46023</v>
      </c>
      <c r="E1134" s="348">
        <v>46357</v>
      </c>
      <c r="F1134" s="346" t="s">
        <v>635</v>
      </c>
      <c r="G1134" s="350" t="s">
        <v>440</v>
      </c>
      <c r="H1134" s="351">
        <f t="shared" si="20"/>
        <v>11205.119999999999</v>
      </c>
      <c r="I1134" s="120" t="str">
        <f>IF(OR(D1134&lt;Capa!$A$5,D1134&gt;Capa!$A$7,E1134&lt;Capa!$A$5,E1134&gt;Capa!$A$7,D1134&gt;E1134),"Erro","")</f>
        <v/>
      </c>
    </row>
    <row r="1135" spans="1:9" ht="22.5">
      <c r="A1135" s="345">
        <v>1132</v>
      </c>
      <c r="B1135" s="346" t="s">
        <v>208</v>
      </c>
      <c r="C1135" s="347">
        <v>988.29</v>
      </c>
      <c r="D1135" s="348">
        <v>46388</v>
      </c>
      <c r="E1135" s="348">
        <v>46722</v>
      </c>
      <c r="F1135" s="346" t="s">
        <v>635</v>
      </c>
      <c r="G1135" s="350" t="s">
        <v>440</v>
      </c>
      <c r="H1135" s="351">
        <f t="shared" si="20"/>
        <v>11859.48</v>
      </c>
      <c r="I1135" s="120" t="str">
        <f>IF(OR(D1135&lt;Capa!$A$5,D1135&gt;Capa!$A$7,E1135&lt;Capa!$A$5,E1135&gt;Capa!$A$7,D1135&gt;E1135),"Erro","")</f>
        <v/>
      </c>
    </row>
    <row r="1136" spans="1:9" ht="22.5">
      <c r="A1136" s="345">
        <v>1133</v>
      </c>
      <c r="B1136" s="346" t="s">
        <v>208</v>
      </c>
      <c r="C1136" s="347">
        <v>1046</v>
      </c>
      <c r="D1136" s="348">
        <v>46753</v>
      </c>
      <c r="E1136" s="348">
        <v>47058</v>
      </c>
      <c r="F1136" s="346" t="s">
        <v>635</v>
      </c>
      <c r="G1136" s="350" t="s">
        <v>440</v>
      </c>
      <c r="H1136" s="351">
        <f t="shared" si="20"/>
        <v>11506</v>
      </c>
      <c r="I1136" s="120" t="str">
        <f>IF(OR(D1136&lt;Capa!$A$5,D1136&gt;Capa!$A$7,E1136&lt;Capa!$A$5,E1136&gt;Capa!$A$7,D1136&gt;E1136),"Erro","")</f>
        <v/>
      </c>
    </row>
    <row r="1137" spans="1:9" ht="22.5">
      <c r="A1137" s="345">
        <v>1134</v>
      </c>
      <c r="B1137" s="346" t="s">
        <v>210</v>
      </c>
      <c r="C1137" s="347">
        <v>39.68</v>
      </c>
      <c r="D1137" s="348">
        <v>45261</v>
      </c>
      <c r="E1137" s="348">
        <v>45627</v>
      </c>
      <c r="F1137" s="346" t="s">
        <v>635</v>
      </c>
      <c r="G1137" s="350" t="s">
        <v>440</v>
      </c>
      <c r="H1137" s="351">
        <f t="shared" si="20"/>
        <v>515.84</v>
      </c>
      <c r="I1137" s="120" t="str">
        <f>IF(OR(D1137&lt;Capa!$A$5,D1137&gt;Capa!$A$7,E1137&lt;Capa!$A$5,E1137&gt;Capa!$A$7,D1137&gt;E1137),"Erro","")</f>
        <v/>
      </c>
    </row>
    <row r="1138" spans="1:9" ht="22.5">
      <c r="A1138" s="345">
        <v>1135</v>
      </c>
      <c r="B1138" s="346" t="s">
        <v>210</v>
      </c>
      <c r="C1138" s="347">
        <v>41.99</v>
      </c>
      <c r="D1138" s="348">
        <v>45658</v>
      </c>
      <c r="E1138" s="348">
        <v>45992</v>
      </c>
      <c r="F1138" s="346" t="s">
        <v>635</v>
      </c>
      <c r="G1138" s="350" t="s">
        <v>440</v>
      </c>
      <c r="H1138" s="351">
        <f t="shared" si="20"/>
        <v>503.88</v>
      </c>
      <c r="I1138" s="120" t="str">
        <f>IF(OR(D1138&lt;Capa!$A$5,D1138&gt;Capa!$A$7,E1138&lt;Capa!$A$5,E1138&gt;Capa!$A$7,D1138&gt;E1138),"Erro","")</f>
        <v/>
      </c>
    </row>
    <row r="1139" spans="1:9" ht="22.5">
      <c r="A1139" s="345">
        <v>1136</v>
      </c>
      <c r="B1139" s="346" t="s">
        <v>210</v>
      </c>
      <c r="C1139" s="347">
        <v>44.44</v>
      </c>
      <c r="D1139" s="348">
        <v>46023</v>
      </c>
      <c r="E1139" s="348">
        <v>46357</v>
      </c>
      <c r="F1139" s="346" t="s">
        <v>635</v>
      </c>
      <c r="G1139" s="350" t="s">
        <v>440</v>
      </c>
      <c r="H1139" s="351">
        <f t="shared" si="20"/>
        <v>533.28</v>
      </c>
      <c r="I1139" s="120" t="str">
        <f>IF(OR(D1139&lt;Capa!$A$5,D1139&gt;Capa!$A$7,E1139&lt;Capa!$A$5,E1139&gt;Capa!$A$7,D1139&gt;E1139),"Erro","")</f>
        <v/>
      </c>
    </row>
    <row r="1140" spans="1:9" ht="22.5">
      <c r="A1140" s="345">
        <v>1137</v>
      </c>
      <c r="B1140" s="346" t="s">
        <v>210</v>
      </c>
      <c r="C1140" s="347">
        <v>47.04</v>
      </c>
      <c r="D1140" s="348">
        <v>46388</v>
      </c>
      <c r="E1140" s="348">
        <v>46722</v>
      </c>
      <c r="F1140" s="346" t="s">
        <v>635</v>
      </c>
      <c r="G1140" s="350" t="s">
        <v>440</v>
      </c>
      <c r="H1140" s="351">
        <f t="shared" si="20"/>
        <v>564.48</v>
      </c>
      <c r="I1140" s="120" t="str">
        <f>IF(OR(D1140&lt;Capa!$A$5,D1140&gt;Capa!$A$7,E1140&lt;Capa!$A$5,E1140&gt;Capa!$A$7,D1140&gt;E1140),"Erro","")</f>
        <v/>
      </c>
    </row>
    <row r="1141" spans="1:9" ht="22.5">
      <c r="A1141" s="345">
        <v>1138</v>
      </c>
      <c r="B1141" s="346" t="s">
        <v>210</v>
      </c>
      <c r="C1141" s="347">
        <v>49.79</v>
      </c>
      <c r="D1141" s="348">
        <v>46753</v>
      </c>
      <c r="E1141" s="348">
        <v>47058</v>
      </c>
      <c r="F1141" s="346" t="s">
        <v>635</v>
      </c>
      <c r="G1141" s="350" t="s">
        <v>440</v>
      </c>
      <c r="H1141" s="351">
        <f t="shared" si="20"/>
        <v>547.68999999999994</v>
      </c>
      <c r="I1141" s="120" t="str">
        <f>IF(OR(D1141&lt;Capa!$A$5,D1141&gt;Capa!$A$7,E1141&lt;Capa!$A$5,E1141&gt;Capa!$A$7,D1141&gt;E1141),"Erro","")</f>
        <v/>
      </c>
    </row>
    <row r="1142" spans="1:9" ht="22.5">
      <c r="A1142" s="345">
        <v>1139</v>
      </c>
      <c r="B1142" s="346" t="s">
        <v>214</v>
      </c>
      <c r="C1142" s="347">
        <v>131.97999999999999</v>
      </c>
      <c r="D1142" s="348">
        <v>45261</v>
      </c>
      <c r="E1142" s="348">
        <v>45627</v>
      </c>
      <c r="F1142" s="346" t="s">
        <v>635</v>
      </c>
      <c r="G1142" s="350" t="s">
        <v>440</v>
      </c>
      <c r="H1142" s="351">
        <f t="shared" si="20"/>
        <v>1715.7399999999998</v>
      </c>
      <c r="I1142" s="120" t="str">
        <f>IF(OR(D1142&lt;Capa!$A$5,D1142&gt;Capa!$A$7,E1142&lt;Capa!$A$5,E1142&gt;Capa!$A$7,D1142&gt;E1142),"Erro","")</f>
        <v/>
      </c>
    </row>
    <row r="1143" spans="1:9" ht="22.5">
      <c r="A1143" s="345">
        <v>1140</v>
      </c>
      <c r="B1143" s="346" t="s">
        <v>214</v>
      </c>
      <c r="C1143" s="347">
        <v>139.68</v>
      </c>
      <c r="D1143" s="348">
        <v>45658</v>
      </c>
      <c r="E1143" s="348">
        <v>45992</v>
      </c>
      <c r="F1143" s="346" t="s">
        <v>635</v>
      </c>
      <c r="G1143" s="350" t="s">
        <v>440</v>
      </c>
      <c r="H1143" s="351">
        <f t="shared" si="20"/>
        <v>1676.16</v>
      </c>
      <c r="I1143" s="120" t="str">
        <f>IF(OR(D1143&lt;Capa!$A$5,D1143&gt;Capa!$A$7,E1143&lt;Capa!$A$5,E1143&gt;Capa!$A$7,D1143&gt;E1143),"Erro","")</f>
        <v/>
      </c>
    </row>
    <row r="1144" spans="1:9" ht="22.5">
      <c r="A1144" s="345">
        <v>1141</v>
      </c>
      <c r="B1144" s="346" t="s">
        <v>214</v>
      </c>
      <c r="C1144" s="347">
        <v>147.84</v>
      </c>
      <c r="D1144" s="348">
        <v>46023</v>
      </c>
      <c r="E1144" s="348">
        <v>46357</v>
      </c>
      <c r="F1144" s="346" t="s">
        <v>635</v>
      </c>
      <c r="G1144" s="350" t="s">
        <v>440</v>
      </c>
      <c r="H1144" s="351">
        <f t="shared" si="20"/>
        <v>1774.08</v>
      </c>
      <c r="I1144" s="120" t="str">
        <f>IF(OR(D1144&lt;Capa!$A$5,D1144&gt;Capa!$A$7,E1144&lt;Capa!$A$5,E1144&gt;Capa!$A$7,D1144&gt;E1144),"Erro","")</f>
        <v/>
      </c>
    </row>
    <row r="1145" spans="1:9" ht="22.5">
      <c r="A1145" s="345">
        <v>1142</v>
      </c>
      <c r="B1145" s="346" t="s">
        <v>214</v>
      </c>
      <c r="C1145" s="347">
        <v>156.47999999999999</v>
      </c>
      <c r="D1145" s="348">
        <v>46388</v>
      </c>
      <c r="E1145" s="348">
        <v>46722</v>
      </c>
      <c r="F1145" s="346" t="s">
        <v>635</v>
      </c>
      <c r="G1145" s="350" t="s">
        <v>440</v>
      </c>
      <c r="H1145" s="351">
        <f t="shared" si="20"/>
        <v>1877.7599999999998</v>
      </c>
      <c r="I1145" s="120" t="str">
        <f>IF(OR(D1145&lt;Capa!$A$5,D1145&gt;Capa!$A$7,E1145&lt;Capa!$A$5,E1145&gt;Capa!$A$7,D1145&gt;E1145),"Erro","")</f>
        <v/>
      </c>
    </row>
    <row r="1146" spans="1:9" ht="22.5">
      <c r="A1146" s="345">
        <v>1143</v>
      </c>
      <c r="B1146" s="346" t="s">
        <v>214</v>
      </c>
      <c r="C1146" s="347">
        <v>165.62</v>
      </c>
      <c r="D1146" s="348">
        <v>46753</v>
      </c>
      <c r="E1146" s="348">
        <v>47058</v>
      </c>
      <c r="F1146" s="346" t="s">
        <v>635</v>
      </c>
      <c r="G1146" s="350" t="s">
        <v>440</v>
      </c>
      <c r="H1146" s="351">
        <f t="shared" si="20"/>
        <v>1821.8200000000002</v>
      </c>
      <c r="I1146" s="120" t="str">
        <f>IF(OR(D1146&lt;Capa!$A$5,D1146&gt;Capa!$A$7,E1146&lt;Capa!$A$5,E1146&gt;Capa!$A$7,D1146&gt;E1146),"Erro","")</f>
        <v/>
      </c>
    </row>
    <row r="1147" spans="1:9" ht="22.5">
      <c r="A1147" s="345">
        <v>1144</v>
      </c>
      <c r="B1147" s="346" t="s">
        <v>212</v>
      </c>
      <c r="C1147" s="347">
        <v>156.93</v>
      </c>
      <c r="D1147" s="348">
        <v>45261</v>
      </c>
      <c r="E1147" s="348">
        <v>45627</v>
      </c>
      <c r="F1147" s="346" t="s">
        <v>635</v>
      </c>
      <c r="G1147" s="350" t="s">
        <v>440</v>
      </c>
      <c r="H1147" s="351">
        <f t="shared" si="20"/>
        <v>2040.0900000000001</v>
      </c>
      <c r="I1147" s="120" t="str">
        <f>IF(OR(D1147&lt;Capa!$A$5,D1147&gt;Capa!$A$7,E1147&lt;Capa!$A$5,E1147&gt;Capa!$A$7,D1147&gt;E1147),"Erro","")</f>
        <v/>
      </c>
    </row>
    <row r="1148" spans="1:9" ht="22.5">
      <c r="A1148" s="345">
        <v>1145</v>
      </c>
      <c r="B1148" s="346" t="s">
        <v>212</v>
      </c>
      <c r="C1148" s="347">
        <v>166.09</v>
      </c>
      <c r="D1148" s="348">
        <v>45658</v>
      </c>
      <c r="E1148" s="348">
        <v>45992</v>
      </c>
      <c r="F1148" s="346" t="s">
        <v>635</v>
      </c>
      <c r="G1148" s="350" t="s">
        <v>440</v>
      </c>
      <c r="H1148" s="351">
        <f t="shared" si="20"/>
        <v>1993.08</v>
      </c>
      <c r="I1148" s="120" t="str">
        <f>IF(OR(D1148&lt;Capa!$A$5,D1148&gt;Capa!$A$7,E1148&lt;Capa!$A$5,E1148&gt;Capa!$A$7,D1148&gt;E1148),"Erro","")</f>
        <v/>
      </c>
    </row>
    <row r="1149" spans="1:9" ht="22.5">
      <c r="A1149" s="345">
        <v>1146</v>
      </c>
      <c r="B1149" s="346" t="s">
        <v>212</v>
      </c>
      <c r="C1149" s="347">
        <v>175.79</v>
      </c>
      <c r="D1149" s="348">
        <v>46023</v>
      </c>
      <c r="E1149" s="348">
        <v>46357</v>
      </c>
      <c r="F1149" s="346" t="s">
        <v>635</v>
      </c>
      <c r="G1149" s="350" t="s">
        <v>440</v>
      </c>
      <c r="H1149" s="351">
        <f t="shared" si="20"/>
        <v>2109.48</v>
      </c>
      <c r="I1149" s="120" t="str">
        <f>IF(OR(D1149&lt;Capa!$A$5,D1149&gt;Capa!$A$7,E1149&lt;Capa!$A$5,E1149&gt;Capa!$A$7,D1149&gt;E1149),"Erro","")</f>
        <v/>
      </c>
    </row>
    <row r="1150" spans="1:9" ht="22.5">
      <c r="A1150" s="345">
        <v>1147</v>
      </c>
      <c r="B1150" s="346" t="s">
        <v>212</v>
      </c>
      <c r="C1150" s="347">
        <v>186.06</v>
      </c>
      <c r="D1150" s="348">
        <v>46388</v>
      </c>
      <c r="E1150" s="348">
        <v>46722</v>
      </c>
      <c r="F1150" s="346" t="s">
        <v>635</v>
      </c>
      <c r="G1150" s="350" t="s">
        <v>440</v>
      </c>
      <c r="H1150" s="351">
        <f t="shared" si="20"/>
        <v>2232.7200000000003</v>
      </c>
      <c r="I1150" s="120" t="str">
        <f>IF(OR(D1150&lt;Capa!$A$5,D1150&gt;Capa!$A$7,E1150&lt;Capa!$A$5,E1150&gt;Capa!$A$7,D1150&gt;E1150),"Erro","")</f>
        <v/>
      </c>
    </row>
    <row r="1151" spans="1:9" ht="22.5">
      <c r="A1151" s="345">
        <v>1148</v>
      </c>
      <c r="B1151" s="346" t="s">
        <v>212</v>
      </c>
      <c r="C1151" s="347">
        <v>196.93</v>
      </c>
      <c r="D1151" s="348">
        <v>46753</v>
      </c>
      <c r="E1151" s="348">
        <v>47058</v>
      </c>
      <c r="F1151" s="346" t="s">
        <v>635</v>
      </c>
      <c r="G1151" s="350" t="s">
        <v>440</v>
      </c>
      <c r="H1151" s="351">
        <f t="shared" si="20"/>
        <v>2166.23</v>
      </c>
      <c r="I1151" s="120" t="str">
        <f>IF(OR(D1151&lt;Capa!$A$5,D1151&gt;Capa!$A$7,E1151&lt;Capa!$A$5,E1151&gt;Capa!$A$7,D1151&gt;E1151),"Erro","")</f>
        <v/>
      </c>
    </row>
    <row r="1152" spans="1:9" ht="45">
      <c r="A1152" s="345">
        <v>1149</v>
      </c>
      <c r="B1152" s="346" t="s">
        <v>248</v>
      </c>
      <c r="C1152" s="347">
        <v>414.5</v>
      </c>
      <c r="D1152" s="348">
        <v>45261</v>
      </c>
      <c r="E1152" s="348">
        <v>45627</v>
      </c>
      <c r="F1152" s="346" t="s">
        <v>635</v>
      </c>
      <c r="G1152" s="350" t="s">
        <v>441</v>
      </c>
      <c r="H1152" s="351">
        <f t="shared" si="20"/>
        <v>5388.5</v>
      </c>
      <c r="I1152" s="120" t="str">
        <f>IF(OR(D1152&lt;Capa!$A$5,D1152&gt;Capa!$A$7,E1152&lt;Capa!$A$5,E1152&gt;Capa!$A$7,D1152&gt;E1152),"Erro","")</f>
        <v/>
      </c>
    </row>
    <row r="1153" spans="1:9" ht="45">
      <c r="A1153" s="345">
        <v>1150</v>
      </c>
      <c r="B1153" s="346" t="s">
        <v>248</v>
      </c>
      <c r="C1153" s="347">
        <v>420.33</v>
      </c>
      <c r="D1153" s="348">
        <v>45658</v>
      </c>
      <c r="E1153" s="348">
        <v>45992</v>
      </c>
      <c r="F1153" s="346" t="s">
        <v>635</v>
      </c>
      <c r="G1153" s="350" t="s">
        <v>441</v>
      </c>
      <c r="H1153" s="351">
        <f t="shared" si="20"/>
        <v>5043.96</v>
      </c>
      <c r="I1153" s="120" t="str">
        <f>IF(OR(D1153&lt;Capa!$A$5,D1153&gt;Capa!$A$7,E1153&lt;Capa!$A$5,E1153&gt;Capa!$A$7,D1153&gt;E1153),"Erro","")</f>
        <v/>
      </c>
    </row>
    <row r="1154" spans="1:9" ht="45">
      <c r="A1154" s="345">
        <v>1151</v>
      </c>
      <c r="B1154" s="346" t="s">
        <v>248</v>
      </c>
      <c r="C1154" s="347">
        <v>444.88</v>
      </c>
      <c r="D1154" s="348">
        <v>46023</v>
      </c>
      <c r="E1154" s="348">
        <v>46357</v>
      </c>
      <c r="F1154" s="346" t="s">
        <v>635</v>
      </c>
      <c r="G1154" s="350" t="s">
        <v>441</v>
      </c>
      <c r="H1154" s="351">
        <f t="shared" si="20"/>
        <v>5338.5599999999995</v>
      </c>
      <c r="I1154" s="120" t="str">
        <f>IF(OR(D1154&lt;Capa!$A$5,D1154&gt;Capa!$A$7,E1154&lt;Capa!$A$5,E1154&gt;Capa!$A$7,D1154&gt;E1154),"Erro","")</f>
        <v/>
      </c>
    </row>
    <row r="1155" spans="1:9" ht="45">
      <c r="A1155" s="345">
        <v>1152</v>
      </c>
      <c r="B1155" s="346" t="s">
        <v>248</v>
      </c>
      <c r="C1155" s="347">
        <v>470.86</v>
      </c>
      <c r="D1155" s="348">
        <v>46388</v>
      </c>
      <c r="E1155" s="348">
        <v>46722</v>
      </c>
      <c r="F1155" s="346" t="s">
        <v>635</v>
      </c>
      <c r="G1155" s="350" t="s">
        <v>441</v>
      </c>
      <c r="H1155" s="351">
        <f t="shared" si="20"/>
        <v>5650.32</v>
      </c>
      <c r="I1155" s="120" t="str">
        <f>IF(OR(D1155&lt;Capa!$A$5,D1155&gt;Capa!$A$7,E1155&lt;Capa!$A$5,E1155&gt;Capa!$A$7,D1155&gt;E1155),"Erro","")</f>
        <v/>
      </c>
    </row>
    <row r="1156" spans="1:9" ht="45">
      <c r="A1156" s="345">
        <v>1153</v>
      </c>
      <c r="B1156" s="346" t="s">
        <v>248</v>
      </c>
      <c r="C1156" s="347">
        <v>498.36</v>
      </c>
      <c r="D1156" s="348">
        <v>46753</v>
      </c>
      <c r="E1156" s="348">
        <v>47058</v>
      </c>
      <c r="F1156" s="346" t="s">
        <v>635</v>
      </c>
      <c r="G1156" s="350" t="s">
        <v>441</v>
      </c>
      <c r="H1156" s="351">
        <f t="shared" si="20"/>
        <v>5481.96</v>
      </c>
      <c r="I1156" s="120" t="str">
        <f>IF(OR(D1156&lt;Capa!$A$5,D1156&gt;Capa!$A$7,E1156&lt;Capa!$A$5,E1156&gt;Capa!$A$7,D1156&gt;E1156),"Erro","")</f>
        <v/>
      </c>
    </row>
    <row r="1157" spans="1:9" ht="33.75">
      <c r="A1157" s="345">
        <v>1154</v>
      </c>
      <c r="B1157" s="346" t="s">
        <v>266</v>
      </c>
      <c r="C1157" s="347">
        <v>400</v>
      </c>
      <c r="D1157" s="348">
        <v>45597</v>
      </c>
      <c r="E1157" s="348">
        <v>45717</v>
      </c>
      <c r="F1157" s="346" t="s">
        <v>635</v>
      </c>
      <c r="G1157" s="350" t="s">
        <v>442</v>
      </c>
      <c r="H1157" s="351">
        <f t="shared" si="20"/>
        <v>2000</v>
      </c>
      <c r="I1157" s="120" t="str">
        <f>IF(OR(D1157&lt;Capa!$A$5,D1157&gt;Capa!$A$7,E1157&lt;Capa!$A$5,E1157&gt;Capa!$A$7,D1157&gt;E1157),"Erro","")</f>
        <v/>
      </c>
    </row>
    <row r="1158" spans="1:9" ht="33.75">
      <c r="A1158" s="345">
        <v>1155</v>
      </c>
      <c r="B1158" s="346" t="s">
        <v>266</v>
      </c>
      <c r="C1158" s="347">
        <v>450</v>
      </c>
      <c r="D1158" s="348">
        <v>45962</v>
      </c>
      <c r="E1158" s="348">
        <v>46082</v>
      </c>
      <c r="F1158" s="346" t="s">
        <v>635</v>
      </c>
      <c r="G1158" s="350" t="s">
        <v>442</v>
      </c>
      <c r="H1158" s="351">
        <f t="shared" si="20"/>
        <v>2250</v>
      </c>
      <c r="I1158" s="120" t="str">
        <f>IF(OR(D1158&lt;Capa!$A$5,D1158&gt;Capa!$A$7,E1158&lt;Capa!$A$5,E1158&gt;Capa!$A$7,D1158&gt;E1158),"Erro","")</f>
        <v/>
      </c>
    </row>
    <row r="1159" spans="1:9" ht="33.75">
      <c r="A1159" s="345">
        <v>1156</v>
      </c>
      <c r="B1159" s="346" t="s">
        <v>266</v>
      </c>
      <c r="C1159" s="347">
        <v>500</v>
      </c>
      <c r="D1159" s="348">
        <v>46327</v>
      </c>
      <c r="E1159" s="348">
        <v>46447</v>
      </c>
      <c r="F1159" s="346" t="s">
        <v>635</v>
      </c>
      <c r="G1159" s="350" t="s">
        <v>442</v>
      </c>
      <c r="H1159" s="351">
        <f t="shared" si="20"/>
        <v>2500</v>
      </c>
      <c r="I1159" s="120" t="str">
        <f>IF(OR(D1159&lt;Capa!$A$5,D1159&gt;Capa!$A$7,E1159&lt;Capa!$A$5,E1159&gt;Capa!$A$7,D1159&gt;E1159),"Erro","")</f>
        <v/>
      </c>
    </row>
    <row r="1160" spans="1:9" ht="33.75">
      <c r="A1160" s="345">
        <v>1157</v>
      </c>
      <c r="B1160" s="346" t="s">
        <v>266</v>
      </c>
      <c r="C1160" s="347">
        <v>550</v>
      </c>
      <c r="D1160" s="348">
        <v>46692</v>
      </c>
      <c r="E1160" s="348">
        <v>46813</v>
      </c>
      <c r="F1160" s="346" t="s">
        <v>635</v>
      </c>
      <c r="G1160" s="350" t="s">
        <v>442</v>
      </c>
      <c r="H1160" s="351">
        <f t="shared" si="20"/>
        <v>2750</v>
      </c>
      <c r="I1160" s="120" t="str">
        <f>IF(OR(D1160&lt;Capa!$A$5,D1160&gt;Capa!$A$7,E1160&lt;Capa!$A$5,E1160&gt;Capa!$A$7,D1160&gt;E1160),"Erro","")</f>
        <v/>
      </c>
    </row>
    <row r="1161" spans="1:9" ht="22.5">
      <c r="A1161" s="345">
        <v>1158</v>
      </c>
      <c r="B1161" s="346" t="s">
        <v>274</v>
      </c>
      <c r="C1161" s="347">
        <v>1100</v>
      </c>
      <c r="D1161" s="348">
        <v>45261</v>
      </c>
      <c r="E1161" s="348">
        <v>45627</v>
      </c>
      <c r="F1161" s="346" t="s">
        <v>635</v>
      </c>
      <c r="G1161" s="350" t="s">
        <v>443</v>
      </c>
      <c r="H1161" s="351">
        <f t="shared" si="20"/>
        <v>14300</v>
      </c>
      <c r="I1161" s="120" t="str">
        <f>IF(OR(D1161&lt;Capa!$A$5,D1161&gt;Capa!$A$7,E1161&lt;Capa!$A$5,E1161&gt;Capa!$A$7,D1161&gt;E1161),"Erro","")</f>
        <v/>
      </c>
    </row>
    <row r="1162" spans="1:9" ht="22.5">
      <c r="A1162" s="345">
        <v>1159</v>
      </c>
      <c r="B1162" s="346" t="s">
        <v>274</v>
      </c>
      <c r="C1162" s="347">
        <v>1164.24</v>
      </c>
      <c r="D1162" s="348">
        <v>45658</v>
      </c>
      <c r="E1162" s="348">
        <v>45992</v>
      </c>
      <c r="F1162" s="346" t="s">
        <v>635</v>
      </c>
      <c r="G1162" s="350" t="s">
        <v>443</v>
      </c>
      <c r="H1162" s="351">
        <f t="shared" si="20"/>
        <v>13970.880000000001</v>
      </c>
      <c r="I1162" s="120" t="str">
        <f>IF(OR(D1162&lt;Capa!$A$5,D1162&gt;Capa!$A$7,E1162&lt;Capa!$A$5,E1162&gt;Capa!$A$7,D1162&gt;E1162),"Erro","")</f>
        <v/>
      </c>
    </row>
    <row r="1163" spans="1:9" ht="22.5">
      <c r="A1163" s="345">
        <v>1160</v>
      </c>
      <c r="B1163" s="346" t="s">
        <v>274</v>
      </c>
      <c r="C1163" s="347">
        <v>1232.23</v>
      </c>
      <c r="D1163" s="348">
        <v>46023</v>
      </c>
      <c r="E1163" s="348">
        <v>46357</v>
      </c>
      <c r="F1163" s="346" t="s">
        <v>635</v>
      </c>
      <c r="G1163" s="350" t="s">
        <v>443</v>
      </c>
      <c r="H1163" s="351">
        <f t="shared" si="20"/>
        <v>14786.76</v>
      </c>
      <c r="I1163" s="120" t="str">
        <f>IF(OR(D1163&lt;Capa!$A$5,D1163&gt;Capa!$A$7,E1163&lt;Capa!$A$5,E1163&gt;Capa!$A$7,D1163&gt;E1163),"Erro","")</f>
        <v/>
      </c>
    </row>
    <row r="1164" spans="1:9" ht="22.5">
      <c r="A1164" s="345">
        <v>1161</v>
      </c>
      <c r="B1164" s="346" t="s">
        <v>274</v>
      </c>
      <c r="C1164" s="347">
        <v>1304.19</v>
      </c>
      <c r="D1164" s="348">
        <v>46388</v>
      </c>
      <c r="E1164" s="348">
        <v>46722</v>
      </c>
      <c r="F1164" s="346" t="s">
        <v>635</v>
      </c>
      <c r="G1164" s="350" t="s">
        <v>443</v>
      </c>
      <c r="H1164" s="351">
        <f t="shared" si="20"/>
        <v>15650.28</v>
      </c>
      <c r="I1164" s="120" t="str">
        <f>IF(OR(D1164&lt;Capa!$A$5,D1164&gt;Capa!$A$7,E1164&lt;Capa!$A$5,E1164&gt;Capa!$A$7,D1164&gt;E1164),"Erro","")</f>
        <v/>
      </c>
    </row>
    <row r="1165" spans="1:9" ht="22.5">
      <c r="A1165" s="345">
        <v>1162</v>
      </c>
      <c r="B1165" s="346" t="s">
        <v>274</v>
      </c>
      <c r="C1165" s="347">
        <v>1380.35</v>
      </c>
      <c r="D1165" s="348">
        <v>46753</v>
      </c>
      <c r="E1165" s="348">
        <v>47058</v>
      </c>
      <c r="F1165" s="346" t="s">
        <v>635</v>
      </c>
      <c r="G1165" s="350" t="s">
        <v>443</v>
      </c>
      <c r="H1165" s="351">
        <f t="shared" si="20"/>
        <v>15183.849999999999</v>
      </c>
      <c r="I1165" s="120" t="str">
        <f>IF(OR(D1165&lt;Capa!$A$5,D1165&gt;Capa!$A$7,E1165&lt;Capa!$A$5,E1165&gt;Capa!$A$7,D1165&gt;E1165),"Erro","")</f>
        <v/>
      </c>
    </row>
    <row r="1166" spans="1:9" ht="56.25">
      <c r="A1166" s="345">
        <v>1163</v>
      </c>
      <c r="B1166" s="346" t="s">
        <v>236</v>
      </c>
      <c r="C1166" s="347">
        <v>690.19</v>
      </c>
      <c r="D1166" s="348">
        <v>45292</v>
      </c>
      <c r="E1166" s="348">
        <v>45627</v>
      </c>
      <c r="F1166" s="346" t="s">
        <v>635</v>
      </c>
      <c r="G1166" s="350" t="s">
        <v>444</v>
      </c>
      <c r="H1166" s="351">
        <f t="shared" si="20"/>
        <v>8282.2800000000007</v>
      </c>
      <c r="I1166" s="120" t="str">
        <f>IF(OR(D1166&lt;Capa!$A$5,D1166&gt;Capa!$A$7,E1166&lt;Capa!$A$5,E1166&gt;Capa!$A$7,D1166&gt;E1166),"Erro","")</f>
        <v/>
      </c>
    </row>
    <row r="1167" spans="1:9" ht="56.25">
      <c r="A1167" s="345">
        <v>1164</v>
      </c>
      <c r="B1167" s="346" t="s">
        <v>236</v>
      </c>
      <c r="C1167" s="347">
        <v>760.49</v>
      </c>
      <c r="D1167" s="348">
        <v>45658</v>
      </c>
      <c r="E1167" s="348">
        <v>45992</v>
      </c>
      <c r="F1167" s="346" t="s">
        <v>635</v>
      </c>
      <c r="G1167" s="350" t="s">
        <v>444</v>
      </c>
      <c r="H1167" s="351">
        <f t="shared" si="20"/>
        <v>9125.880000000001</v>
      </c>
      <c r="I1167" s="120" t="str">
        <f>IF(OR(D1167&lt;Capa!$A$5,D1167&gt;Capa!$A$7,E1167&lt;Capa!$A$5,E1167&gt;Capa!$A$7,D1167&gt;E1167),"Erro","")</f>
        <v/>
      </c>
    </row>
    <row r="1168" spans="1:9" ht="56.25">
      <c r="A1168" s="345">
        <v>1165</v>
      </c>
      <c r="B1168" s="346" t="s">
        <v>236</v>
      </c>
      <c r="C1168" s="347">
        <v>773.16</v>
      </c>
      <c r="D1168" s="348">
        <v>46023</v>
      </c>
      <c r="E1168" s="348">
        <v>46357</v>
      </c>
      <c r="F1168" s="346" t="s">
        <v>635</v>
      </c>
      <c r="G1168" s="350" t="s">
        <v>444</v>
      </c>
      <c r="H1168" s="351">
        <f t="shared" si="20"/>
        <v>9277.92</v>
      </c>
      <c r="I1168" s="120" t="str">
        <f>IF(OR(D1168&lt;Capa!$A$5,D1168&gt;Capa!$A$7,E1168&lt;Capa!$A$5,E1168&gt;Capa!$A$7,D1168&gt;E1168),"Erro","")</f>
        <v/>
      </c>
    </row>
    <row r="1169" spans="1:9" ht="56.25">
      <c r="A1169" s="345">
        <v>1166</v>
      </c>
      <c r="B1169" s="346" t="s">
        <v>236</v>
      </c>
      <c r="C1169" s="347">
        <v>818.31</v>
      </c>
      <c r="D1169" s="348">
        <v>46388</v>
      </c>
      <c r="E1169" s="348">
        <v>46722</v>
      </c>
      <c r="F1169" s="346" t="s">
        <v>635</v>
      </c>
      <c r="G1169" s="350" t="s">
        <v>444</v>
      </c>
      <c r="H1169" s="351">
        <f t="shared" si="20"/>
        <v>9819.7199999999993</v>
      </c>
      <c r="I1169" s="120" t="str">
        <f>IF(OR(D1169&lt;Capa!$A$5,D1169&gt;Capa!$A$7,E1169&lt;Capa!$A$5,E1169&gt;Capa!$A$7,D1169&gt;E1169),"Erro","")</f>
        <v/>
      </c>
    </row>
    <row r="1170" spans="1:9" ht="56.25">
      <c r="A1170" s="345">
        <v>1167</v>
      </c>
      <c r="B1170" s="346" t="s">
        <v>236</v>
      </c>
      <c r="C1170" s="347">
        <v>866.09</v>
      </c>
      <c r="D1170" s="348">
        <v>46753</v>
      </c>
      <c r="E1170" s="348">
        <v>47058</v>
      </c>
      <c r="F1170" s="346" t="s">
        <v>635</v>
      </c>
      <c r="G1170" s="350" t="s">
        <v>444</v>
      </c>
      <c r="H1170" s="351">
        <f t="shared" si="20"/>
        <v>9526.99</v>
      </c>
      <c r="I1170" s="120" t="str">
        <f>IF(OR(D1170&lt;Capa!$A$5,D1170&gt;Capa!$A$7,E1170&lt;Capa!$A$5,E1170&gt;Capa!$A$7,D1170&gt;E1170),"Erro","")</f>
        <v/>
      </c>
    </row>
    <row r="1171" spans="1:9" ht="33.75">
      <c r="A1171" s="345">
        <v>1168</v>
      </c>
      <c r="B1171" s="346" t="s">
        <v>240</v>
      </c>
      <c r="C1171" s="347">
        <v>50</v>
      </c>
      <c r="D1171" s="348">
        <v>45292</v>
      </c>
      <c r="E1171" s="348">
        <v>45627</v>
      </c>
      <c r="F1171" s="346" t="s">
        <v>635</v>
      </c>
      <c r="G1171" s="350" t="s">
        <v>445</v>
      </c>
      <c r="H1171" s="351">
        <f t="shared" si="20"/>
        <v>600</v>
      </c>
      <c r="I1171" s="120" t="str">
        <f>IF(OR(D1171&lt;Capa!$A$5,D1171&gt;Capa!$A$7,E1171&lt;Capa!$A$5,E1171&gt;Capa!$A$7,D1171&gt;E1171),"Erro","")</f>
        <v/>
      </c>
    </row>
    <row r="1172" spans="1:9" ht="33.75">
      <c r="A1172" s="345">
        <v>1169</v>
      </c>
      <c r="B1172" s="346" t="s">
        <v>240</v>
      </c>
      <c r="C1172" s="347">
        <v>50</v>
      </c>
      <c r="D1172" s="348">
        <v>45658</v>
      </c>
      <c r="E1172" s="348">
        <v>45992</v>
      </c>
      <c r="F1172" s="346" t="s">
        <v>635</v>
      </c>
      <c r="G1172" s="350" t="s">
        <v>445</v>
      </c>
      <c r="H1172" s="351">
        <f t="shared" si="20"/>
        <v>600</v>
      </c>
      <c r="I1172" s="120" t="str">
        <f>IF(OR(D1172&lt;Capa!$A$5,D1172&gt;Capa!$A$7,E1172&lt;Capa!$A$5,E1172&gt;Capa!$A$7,D1172&gt;E1172),"Erro","")</f>
        <v/>
      </c>
    </row>
    <row r="1173" spans="1:9" ht="33.75">
      <c r="A1173" s="345">
        <v>1170</v>
      </c>
      <c r="B1173" s="346" t="s">
        <v>240</v>
      </c>
      <c r="C1173" s="347">
        <v>50</v>
      </c>
      <c r="D1173" s="348">
        <v>46023</v>
      </c>
      <c r="E1173" s="348">
        <v>46357</v>
      </c>
      <c r="F1173" s="346" t="s">
        <v>635</v>
      </c>
      <c r="G1173" s="350" t="s">
        <v>445</v>
      </c>
      <c r="H1173" s="351">
        <f t="shared" si="20"/>
        <v>600</v>
      </c>
      <c r="I1173" s="120" t="str">
        <f>IF(OR(D1173&lt;Capa!$A$5,D1173&gt;Capa!$A$7,E1173&lt;Capa!$A$5,E1173&gt;Capa!$A$7,D1173&gt;E1173),"Erro","")</f>
        <v/>
      </c>
    </row>
    <row r="1174" spans="1:9" ht="33.75">
      <c r="A1174" s="345">
        <v>1171</v>
      </c>
      <c r="B1174" s="346" t="s">
        <v>240</v>
      </c>
      <c r="C1174" s="347">
        <v>50</v>
      </c>
      <c r="D1174" s="348">
        <v>46388</v>
      </c>
      <c r="E1174" s="348">
        <v>46722</v>
      </c>
      <c r="F1174" s="346" t="s">
        <v>635</v>
      </c>
      <c r="G1174" s="350" t="s">
        <v>445</v>
      </c>
      <c r="H1174" s="351">
        <f t="shared" si="20"/>
        <v>600</v>
      </c>
      <c r="I1174" s="120" t="str">
        <f>IF(OR(D1174&lt;Capa!$A$5,D1174&gt;Capa!$A$7,E1174&lt;Capa!$A$5,E1174&gt;Capa!$A$7,D1174&gt;E1174),"Erro","")</f>
        <v/>
      </c>
    </row>
    <row r="1175" spans="1:9" ht="33.75">
      <c r="A1175" s="345">
        <v>1172</v>
      </c>
      <c r="B1175" s="346" t="s">
        <v>240</v>
      </c>
      <c r="C1175" s="347">
        <v>50</v>
      </c>
      <c r="D1175" s="348">
        <v>46753</v>
      </c>
      <c r="E1175" s="348">
        <v>47058</v>
      </c>
      <c r="F1175" s="346" t="s">
        <v>635</v>
      </c>
      <c r="G1175" s="350" t="s">
        <v>445</v>
      </c>
      <c r="H1175" s="351">
        <f t="shared" si="20"/>
        <v>550</v>
      </c>
      <c r="I1175" s="120" t="str">
        <f>IF(OR(D1175&lt;Capa!$A$5,D1175&gt;Capa!$A$7,E1175&lt;Capa!$A$5,E1175&gt;Capa!$A$7,D1175&gt;E1175),"Erro","")</f>
        <v/>
      </c>
    </row>
    <row r="1176" spans="1:9" ht="45">
      <c r="A1176" s="345">
        <v>1173</v>
      </c>
      <c r="B1176" s="346" t="s">
        <v>244</v>
      </c>
      <c r="C1176" s="347">
        <v>250</v>
      </c>
      <c r="D1176" s="348">
        <v>45261</v>
      </c>
      <c r="E1176" s="348">
        <v>45627</v>
      </c>
      <c r="F1176" s="346" t="s">
        <v>635</v>
      </c>
      <c r="G1176" s="350" t="s">
        <v>446</v>
      </c>
      <c r="H1176" s="351">
        <f t="shared" ref="H1176:H1238" si="21">IFERROR((DATEDIF(D1176,E1176,"M")+1)*C1176,0)</f>
        <v>3250</v>
      </c>
      <c r="I1176" s="120" t="str">
        <f>IF(OR(D1176&lt;Capa!$A$5,D1176&gt;Capa!$A$7,E1176&lt;Capa!$A$5,E1176&gt;Capa!$A$7,D1176&gt;E1176),"Erro","")</f>
        <v/>
      </c>
    </row>
    <row r="1177" spans="1:9" ht="45">
      <c r="A1177" s="345">
        <v>1174</v>
      </c>
      <c r="B1177" s="346" t="s">
        <v>244</v>
      </c>
      <c r="C1177" s="347">
        <v>300</v>
      </c>
      <c r="D1177" s="348">
        <v>45658</v>
      </c>
      <c r="E1177" s="348">
        <v>45992</v>
      </c>
      <c r="F1177" s="346" t="s">
        <v>635</v>
      </c>
      <c r="G1177" s="350" t="s">
        <v>446</v>
      </c>
      <c r="H1177" s="351">
        <f t="shared" si="21"/>
        <v>3600</v>
      </c>
      <c r="I1177" s="120" t="str">
        <f>IF(OR(D1177&lt;Capa!$A$5,D1177&gt;Capa!$A$7,E1177&lt;Capa!$A$5,E1177&gt;Capa!$A$7,D1177&gt;E1177),"Erro","")</f>
        <v/>
      </c>
    </row>
    <row r="1178" spans="1:9" ht="45">
      <c r="A1178" s="345">
        <v>1175</v>
      </c>
      <c r="B1178" s="346" t="s">
        <v>244</v>
      </c>
      <c r="C1178" s="347">
        <v>300</v>
      </c>
      <c r="D1178" s="348">
        <v>46023</v>
      </c>
      <c r="E1178" s="348">
        <v>46357</v>
      </c>
      <c r="F1178" s="346" t="s">
        <v>635</v>
      </c>
      <c r="G1178" s="350" t="s">
        <v>446</v>
      </c>
      <c r="H1178" s="351">
        <f t="shared" si="21"/>
        <v>3600</v>
      </c>
      <c r="I1178" s="120" t="str">
        <f>IF(OR(D1178&lt;Capa!$A$5,D1178&gt;Capa!$A$7,E1178&lt;Capa!$A$5,E1178&gt;Capa!$A$7,D1178&gt;E1178),"Erro","")</f>
        <v/>
      </c>
    </row>
    <row r="1179" spans="1:9" ht="45">
      <c r="A1179" s="345">
        <v>1176</v>
      </c>
      <c r="B1179" s="346" t="s">
        <v>244</v>
      </c>
      <c r="C1179" s="347">
        <v>350</v>
      </c>
      <c r="D1179" s="348">
        <v>46388</v>
      </c>
      <c r="E1179" s="348">
        <v>46722</v>
      </c>
      <c r="F1179" s="346" t="s">
        <v>635</v>
      </c>
      <c r="G1179" s="350" t="s">
        <v>446</v>
      </c>
      <c r="H1179" s="351">
        <f t="shared" si="21"/>
        <v>4200</v>
      </c>
      <c r="I1179" s="120" t="str">
        <f>IF(OR(D1179&lt;Capa!$A$5,D1179&gt;Capa!$A$7,E1179&lt;Capa!$A$5,E1179&gt;Capa!$A$7,D1179&gt;E1179),"Erro","")</f>
        <v/>
      </c>
    </row>
    <row r="1180" spans="1:9" ht="45">
      <c r="A1180" s="345">
        <v>1177</v>
      </c>
      <c r="B1180" s="346" t="s">
        <v>244</v>
      </c>
      <c r="C1180" s="347">
        <v>350</v>
      </c>
      <c r="D1180" s="348">
        <v>46753</v>
      </c>
      <c r="E1180" s="348">
        <v>47058</v>
      </c>
      <c r="F1180" s="346" t="s">
        <v>635</v>
      </c>
      <c r="G1180" s="350" t="s">
        <v>446</v>
      </c>
      <c r="H1180" s="351">
        <f t="shared" si="21"/>
        <v>3850</v>
      </c>
      <c r="I1180" s="120" t="str">
        <f>IF(OR(D1180&lt;Capa!$A$5,D1180&gt;Capa!$A$7,E1180&lt;Capa!$A$5,E1180&gt;Capa!$A$7,D1180&gt;E1180),"Erro","")</f>
        <v/>
      </c>
    </row>
    <row r="1181" spans="1:9" ht="33.75">
      <c r="A1181" s="345">
        <v>1178</v>
      </c>
      <c r="B1181" s="346" t="s">
        <v>246</v>
      </c>
      <c r="C1181" s="347">
        <v>275.18</v>
      </c>
      <c r="D1181" s="348">
        <v>45658</v>
      </c>
      <c r="E1181" s="348">
        <v>45992</v>
      </c>
      <c r="F1181" s="346" t="s">
        <v>635</v>
      </c>
      <c r="G1181" s="350" t="s">
        <v>447</v>
      </c>
      <c r="H1181" s="351">
        <f t="shared" si="21"/>
        <v>3302.16</v>
      </c>
      <c r="I1181" s="120" t="str">
        <f>IF(OR(D1181&lt;Capa!$A$5,D1181&gt;Capa!$A$7,E1181&lt;Capa!$A$5,E1181&gt;Capa!$A$7,D1181&gt;E1181),"Erro","")</f>
        <v/>
      </c>
    </row>
    <row r="1182" spans="1:9" ht="33.75">
      <c r="A1182" s="345">
        <v>1179</v>
      </c>
      <c r="B1182" s="346" t="s">
        <v>246</v>
      </c>
      <c r="C1182" s="347">
        <v>291.25</v>
      </c>
      <c r="D1182" s="348">
        <v>46023</v>
      </c>
      <c r="E1182" s="348">
        <v>46357</v>
      </c>
      <c r="F1182" s="346" t="s">
        <v>635</v>
      </c>
      <c r="G1182" s="350" t="s">
        <v>447</v>
      </c>
      <c r="H1182" s="351">
        <f t="shared" si="21"/>
        <v>3495</v>
      </c>
      <c r="I1182" s="120" t="str">
        <f>IF(OR(D1182&lt;Capa!$A$5,D1182&gt;Capa!$A$7,E1182&lt;Capa!$A$5,E1182&gt;Capa!$A$7,D1182&gt;E1182),"Erro","")</f>
        <v/>
      </c>
    </row>
    <row r="1183" spans="1:9" ht="33.75">
      <c r="A1183" s="345">
        <v>1180</v>
      </c>
      <c r="B1183" s="346" t="s">
        <v>246</v>
      </c>
      <c r="C1183" s="347">
        <v>308.26</v>
      </c>
      <c r="D1183" s="348">
        <v>46388</v>
      </c>
      <c r="E1183" s="348">
        <v>46722</v>
      </c>
      <c r="F1183" s="346" t="s">
        <v>635</v>
      </c>
      <c r="G1183" s="350" t="s">
        <v>447</v>
      </c>
      <c r="H1183" s="351">
        <f t="shared" si="21"/>
        <v>3699.12</v>
      </c>
      <c r="I1183" s="120" t="str">
        <f>IF(OR(D1183&lt;Capa!$A$5,D1183&gt;Capa!$A$7,E1183&lt;Capa!$A$5,E1183&gt;Capa!$A$7,D1183&gt;E1183),"Erro","")</f>
        <v/>
      </c>
    </row>
    <row r="1184" spans="1:9" ht="33.75">
      <c r="A1184" s="345">
        <v>1181</v>
      </c>
      <c r="B1184" s="346" t="s">
        <v>246</v>
      </c>
      <c r="C1184" s="347">
        <v>326.26</v>
      </c>
      <c r="D1184" s="348">
        <v>46753</v>
      </c>
      <c r="E1184" s="348">
        <v>47058</v>
      </c>
      <c r="F1184" s="346" t="s">
        <v>635</v>
      </c>
      <c r="G1184" s="350" t="s">
        <v>447</v>
      </c>
      <c r="H1184" s="351">
        <f t="shared" si="21"/>
        <v>3588.8599999999997</v>
      </c>
      <c r="I1184" s="120" t="str">
        <f>IF(OR(D1184&lt;Capa!$A$5,D1184&gt;Capa!$A$7,E1184&lt;Capa!$A$5,E1184&gt;Capa!$A$7,D1184&gt;E1184),"Erro","")</f>
        <v/>
      </c>
    </row>
    <row r="1185" spans="1:9" ht="33.75">
      <c r="A1185" s="345">
        <v>1182</v>
      </c>
      <c r="B1185" s="346" t="s">
        <v>258</v>
      </c>
      <c r="C1185" s="347">
        <v>193.77</v>
      </c>
      <c r="D1185" s="348">
        <v>45261</v>
      </c>
      <c r="E1185" s="348">
        <v>45627</v>
      </c>
      <c r="F1185" s="346" t="s">
        <v>635</v>
      </c>
      <c r="G1185" s="350" t="s">
        <v>448</v>
      </c>
      <c r="H1185" s="351">
        <f t="shared" si="21"/>
        <v>2519.0100000000002</v>
      </c>
      <c r="I1185" s="120" t="str">
        <f>IF(OR(D1185&lt;Capa!$A$5,D1185&gt;Capa!$A$7,E1185&lt;Capa!$A$5,E1185&gt;Capa!$A$7,D1185&gt;E1185),"Erro","")</f>
        <v/>
      </c>
    </row>
    <row r="1186" spans="1:9" ht="33.75">
      <c r="A1186" s="345">
        <v>1183</v>
      </c>
      <c r="B1186" s="346" t="s">
        <v>258</v>
      </c>
      <c r="C1186" s="347">
        <v>205.08</v>
      </c>
      <c r="D1186" s="348">
        <v>45658</v>
      </c>
      <c r="E1186" s="348">
        <v>45992</v>
      </c>
      <c r="F1186" s="346" t="s">
        <v>635</v>
      </c>
      <c r="G1186" s="350" t="s">
        <v>448</v>
      </c>
      <c r="H1186" s="351">
        <f t="shared" si="21"/>
        <v>2460.96</v>
      </c>
      <c r="I1186" s="120" t="str">
        <f>IF(OR(D1186&lt;Capa!$A$5,D1186&gt;Capa!$A$7,E1186&lt;Capa!$A$5,E1186&gt;Capa!$A$7,D1186&gt;E1186),"Erro","")</f>
        <v/>
      </c>
    </row>
    <row r="1187" spans="1:9" ht="33.75">
      <c r="A1187" s="345">
        <v>1184</v>
      </c>
      <c r="B1187" s="346" t="s">
        <v>258</v>
      </c>
      <c r="C1187" s="347">
        <v>217.06</v>
      </c>
      <c r="D1187" s="348">
        <v>46023</v>
      </c>
      <c r="E1187" s="348">
        <v>46357</v>
      </c>
      <c r="F1187" s="346" t="s">
        <v>635</v>
      </c>
      <c r="G1187" s="350" t="s">
        <v>448</v>
      </c>
      <c r="H1187" s="351">
        <f t="shared" si="21"/>
        <v>2604.7200000000003</v>
      </c>
      <c r="I1187" s="120" t="str">
        <f>IF(OR(D1187&lt;Capa!$A$5,D1187&gt;Capa!$A$7,E1187&lt;Capa!$A$5,E1187&gt;Capa!$A$7,D1187&gt;E1187),"Erro","")</f>
        <v/>
      </c>
    </row>
    <row r="1188" spans="1:9" ht="33.75">
      <c r="A1188" s="345">
        <v>1185</v>
      </c>
      <c r="B1188" s="346" t="s">
        <v>258</v>
      </c>
      <c r="C1188" s="347">
        <v>229.74</v>
      </c>
      <c r="D1188" s="348">
        <v>46388</v>
      </c>
      <c r="E1188" s="348">
        <v>46722</v>
      </c>
      <c r="F1188" s="346" t="s">
        <v>635</v>
      </c>
      <c r="G1188" s="350" t="s">
        <v>448</v>
      </c>
      <c r="H1188" s="351">
        <f t="shared" si="21"/>
        <v>2756.88</v>
      </c>
      <c r="I1188" s="120" t="str">
        <f>IF(OR(D1188&lt;Capa!$A$5,D1188&gt;Capa!$A$7,E1188&lt;Capa!$A$5,E1188&gt;Capa!$A$7,D1188&gt;E1188),"Erro","")</f>
        <v/>
      </c>
    </row>
    <row r="1189" spans="1:9" ht="33.75">
      <c r="A1189" s="345">
        <v>1186</v>
      </c>
      <c r="B1189" s="346" t="s">
        <v>258</v>
      </c>
      <c r="C1189" s="347">
        <v>243.16</v>
      </c>
      <c r="D1189" s="348">
        <v>46753</v>
      </c>
      <c r="E1189" s="348">
        <v>47058</v>
      </c>
      <c r="F1189" s="346" t="s">
        <v>635</v>
      </c>
      <c r="G1189" s="350" t="s">
        <v>448</v>
      </c>
      <c r="H1189" s="351">
        <f t="shared" si="21"/>
        <v>2674.7599999999998</v>
      </c>
      <c r="I1189" s="120" t="str">
        <f>IF(OR(D1189&lt;Capa!$A$5,D1189&gt;Capa!$A$7,E1189&lt;Capa!$A$5,E1189&gt;Capa!$A$7,D1189&gt;E1189),"Erro","")</f>
        <v/>
      </c>
    </row>
    <row r="1190" spans="1:9" ht="56.25">
      <c r="A1190" s="345">
        <v>1187</v>
      </c>
      <c r="B1190" s="346" t="s">
        <v>276</v>
      </c>
      <c r="C1190" s="347">
        <v>670</v>
      </c>
      <c r="D1190" s="348">
        <v>45658</v>
      </c>
      <c r="E1190" s="348">
        <v>45992</v>
      </c>
      <c r="F1190" s="346" t="s">
        <v>635</v>
      </c>
      <c r="G1190" s="350" t="s">
        <v>449</v>
      </c>
      <c r="H1190" s="351">
        <f t="shared" si="21"/>
        <v>8040</v>
      </c>
      <c r="I1190" s="120" t="str">
        <f>IF(OR(D1190&lt;Capa!$A$5,D1190&gt;Capa!$A$7,E1190&lt;Capa!$A$5,E1190&gt;Capa!$A$7,D1190&gt;E1190),"Erro","")</f>
        <v/>
      </c>
    </row>
    <row r="1191" spans="1:9" ht="56.25">
      <c r="A1191" s="345">
        <v>1188</v>
      </c>
      <c r="B1191" s="346" t="s">
        <v>276</v>
      </c>
      <c r="C1191" s="347">
        <v>670</v>
      </c>
      <c r="D1191" s="348">
        <v>46023</v>
      </c>
      <c r="E1191" s="348">
        <v>46357</v>
      </c>
      <c r="F1191" s="346" t="s">
        <v>635</v>
      </c>
      <c r="G1191" s="350" t="s">
        <v>449</v>
      </c>
      <c r="H1191" s="351">
        <f t="shared" si="21"/>
        <v>8040</v>
      </c>
      <c r="I1191" s="120" t="str">
        <f>IF(OR(D1191&lt;Capa!$A$5,D1191&gt;Capa!$A$7,E1191&lt;Capa!$A$5,E1191&gt;Capa!$A$7,D1191&gt;E1191),"Erro","")</f>
        <v/>
      </c>
    </row>
    <row r="1192" spans="1:9" ht="56.25">
      <c r="A1192" s="345">
        <v>1189</v>
      </c>
      <c r="B1192" s="346" t="s">
        <v>276</v>
      </c>
      <c r="C1192" s="347">
        <v>670</v>
      </c>
      <c r="D1192" s="348">
        <v>46388</v>
      </c>
      <c r="E1192" s="348">
        <v>46722</v>
      </c>
      <c r="F1192" s="346" t="s">
        <v>635</v>
      </c>
      <c r="G1192" s="350" t="s">
        <v>449</v>
      </c>
      <c r="H1192" s="351">
        <f t="shared" si="21"/>
        <v>8040</v>
      </c>
      <c r="I1192" s="120" t="str">
        <f>IF(OR(D1192&lt;Capa!$A$5,D1192&gt;Capa!$A$7,E1192&lt;Capa!$A$5,E1192&gt;Capa!$A$7,D1192&gt;E1192),"Erro","")</f>
        <v/>
      </c>
    </row>
    <row r="1193" spans="1:9" ht="56.25">
      <c r="A1193" s="345">
        <v>1190</v>
      </c>
      <c r="B1193" s="346" t="s">
        <v>276</v>
      </c>
      <c r="C1193" s="347">
        <v>670</v>
      </c>
      <c r="D1193" s="348">
        <v>46753</v>
      </c>
      <c r="E1193" s="348">
        <v>47058</v>
      </c>
      <c r="F1193" s="346" t="s">
        <v>635</v>
      </c>
      <c r="G1193" s="350" t="s">
        <v>449</v>
      </c>
      <c r="H1193" s="351">
        <f t="shared" si="21"/>
        <v>7370</v>
      </c>
      <c r="I1193" s="120" t="str">
        <f>IF(OR(D1193&lt;Capa!$A$5,D1193&gt;Capa!$A$7,E1193&lt;Capa!$A$5,E1193&gt;Capa!$A$7,D1193&gt;E1193),"Erro","")</f>
        <v/>
      </c>
    </row>
    <row r="1194" spans="1:9" ht="45">
      <c r="A1194" s="345">
        <v>1191</v>
      </c>
      <c r="B1194" s="346" t="s">
        <v>278</v>
      </c>
      <c r="C1194" s="347">
        <v>15000</v>
      </c>
      <c r="D1194" s="348">
        <v>45261</v>
      </c>
      <c r="E1194" s="348">
        <v>45261</v>
      </c>
      <c r="F1194" s="346" t="s">
        <v>635</v>
      </c>
      <c r="G1194" s="350" t="s">
        <v>450</v>
      </c>
      <c r="H1194" s="351">
        <f t="shared" si="21"/>
        <v>15000</v>
      </c>
      <c r="I1194" s="120" t="str">
        <f>IF(OR(D1194&lt;Capa!$A$5,D1194&gt;Capa!$A$7,E1194&lt;Capa!$A$5,E1194&gt;Capa!$A$7,D1194&gt;E1194),"Erro","")</f>
        <v/>
      </c>
    </row>
    <row r="1195" spans="1:9" ht="45">
      <c r="A1195" s="345">
        <v>1192</v>
      </c>
      <c r="B1195" s="346" t="s">
        <v>278</v>
      </c>
      <c r="C1195" s="347">
        <v>34475</v>
      </c>
      <c r="D1195" s="348">
        <v>45292</v>
      </c>
      <c r="E1195" s="348">
        <v>45627</v>
      </c>
      <c r="F1195" s="346" t="s">
        <v>635</v>
      </c>
      <c r="G1195" s="350" t="s">
        <v>450</v>
      </c>
      <c r="H1195" s="351">
        <f t="shared" si="21"/>
        <v>413700</v>
      </c>
      <c r="I1195" s="120" t="str">
        <f>IF(OR(D1195&lt;Capa!$A$5,D1195&gt;Capa!$A$7,E1195&lt;Capa!$A$5,E1195&gt;Capa!$A$7,D1195&gt;E1195),"Erro","")</f>
        <v/>
      </c>
    </row>
    <row r="1196" spans="1:9" ht="45">
      <c r="A1196" s="345">
        <v>1193</v>
      </c>
      <c r="B1196" s="346" t="s">
        <v>278</v>
      </c>
      <c r="C1196" s="347">
        <v>36488</v>
      </c>
      <c r="D1196" s="348">
        <v>45658</v>
      </c>
      <c r="E1196" s="348">
        <v>45992</v>
      </c>
      <c r="F1196" s="346" t="s">
        <v>635</v>
      </c>
      <c r="G1196" s="350" t="s">
        <v>450</v>
      </c>
      <c r="H1196" s="351">
        <f t="shared" si="21"/>
        <v>437856</v>
      </c>
      <c r="I1196" s="120" t="str">
        <f>IF(OR(D1196&lt;Capa!$A$5,D1196&gt;Capa!$A$7,E1196&lt;Capa!$A$5,E1196&gt;Capa!$A$7,D1196&gt;E1196),"Erro","")</f>
        <v/>
      </c>
    </row>
    <row r="1197" spans="1:9" ht="45">
      <c r="A1197" s="345">
        <v>1194</v>
      </c>
      <c r="B1197" s="346" t="s">
        <v>278</v>
      </c>
      <c r="C1197" s="347">
        <v>38619</v>
      </c>
      <c r="D1197" s="348">
        <v>46023</v>
      </c>
      <c r="E1197" s="348">
        <v>46357</v>
      </c>
      <c r="F1197" s="346" t="s">
        <v>635</v>
      </c>
      <c r="G1197" s="350" t="s">
        <v>450</v>
      </c>
      <c r="H1197" s="351">
        <f t="shared" si="21"/>
        <v>463428</v>
      </c>
      <c r="I1197" s="120" t="str">
        <f>IF(OR(D1197&lt;Capa!$A$5,D1197&gt;Capa!$A$7,E1197&lt;Capa!$A$5,E1197&gt;Capa!$A$7,D1197&gt;E1197),"Erro","")</f>
        <v/>
      </c>
    </row>
    <row r="1198" spans="1:9" ht="45">
      <c r="A1198" s="345">
        <v>1195</v>
      </c>
      <c r="B1198" s="346" t="s">
        <v>278</v>
      </c>
      <c r="C1198" s="347">
        <v>40874.620000000003</v>
      </c>
      <c r="D1198" s="348">
        <v>46388</v>
      </c>
      <c r="E1198" s="348">
        <v>46722</v>
      </c>
      <c r="F1198" s="346" t="s">
        <v>635</v>
      </c>
      <c r="G1198" s="350" t="s">
        <v>450</v>
      </c>
      <c r="H1198" s="351">
        <f t="shared" si="21"/>
        <v>490495.44000000006</v>
      </c>
      <c r="I1198" s="120" t="str">
        <f>IF(OR(D1198&lt;Capa!$A$5,D1198&gt;Capa!$A$7,E1198&lt;Capa!$A$5,E1198&gt;Capa!$A$7,D1198&gt;E1198),"Erro","")</f>
        <v/>
      </c>
    </row>
    <row r="1199" spans="1:9" ht="45">
      <c r="A1199" s="345">
        <v>1196</v>
      </c>
      <c r="B1199" s="346" t="s">
        <v>278</v>
      </c>
      <c r="C1199" s="347">
        <v>43261</v>
      </c>
      <c r="D1199" s="348">
        <v>46753</v>
      </c>
      <c r="E1199" s="348">
        <v>47058</v>
      </c>
      <c r="F1199" s="346" t="s">
        <v>635</v>
      </c>
      <c r="G1199" s="350" t="s">
        <v>450</v>
      </c>
      <c r="H1199" s="351">
        <f t="shared" si="21"/>
        <v>475871</v>
      </c>
      <c r="I1199" s="120" t="str">
        <f>IF(OR(D1199&lt;Capa!$A$5,D1199&gt;Capa!$A$7,E1199&lt;Capa!$A$5,E1199&gt;Capa!$A$7,D1199&gt;E1199),"Erro","")</f>
        <v/>
      </c>
    </row>
    <row r="1200" spans="1:9" ht="56.25">
      <c r="A1200" s="345">
        <v>1197</v>
      </c>
      <c r="B1200" s="346" t="s">
        <v>280</v>
      </c>
      <c r="C1200" s="347">
        <v>100</v>
      </c>
      <c r="D1200" s="348">
        <v>45292</v>
      </c>
      <c r="E1200" s="348">
        <v>45627</v>
      </c>
      <c r="F1200" s="346" t="s">
        <v>635</v>
      </c>
      <c r="G1200" s="350" t="s">
        <v>451</v>
      </c>
      <c r="H1200" s="351">
        <f t="shared" si="21"/>
        <v>1200</v>
      </c>
      <c r="I1200" s="120" t="str">
        <f>IF(OR(D1200&lt;Capa!$A$5,D1200&gt;Capa!$A$7,E1200&lt;Capa!$A$5,E1200&gt;Capa!$A$7,D1200&gt;E1200),"Erro","")</f>
        <v/>
      </c>
    </row>
    <row r="1201" spans="1:9" ht="56.25">
      <c r="A1201" s="345">
        <v>1198</v>
      </c>
      <c r="B1201" s="346" t="s">
        <v>280</v>
      </c>
      <c r="C1201" s="347">
        <v>100</v>
      </c>
      <c r="D1201" s="348">
        <v>45658</v>
      </c>
      <c r="E1201" s="348">
        <v>45992</v>
      </c>
      <c r="F1201" s="346" t="s">
        <v>635</v>
      </c>
      <c r="G1201" s="350" t="s">
        <v>451</v>
      </c>
      <c r="H1201" s="351">
        <f t="shared" si="21"/>
        <v>1200</v>
      </c>
      <c r="I1201" s="120" t="str">
        <f>IF(OR(D1201&lt;Capa!$A$5,D1201&gt;Capa!$A$7,E1201&lt;Capa!$A$5,E1201&gt;Capa!$A$7,D1201&gt;E1201),"Erro","")</f>
        <v/>
      </c>
    </row>
    <row r="1202" spans="1:9" ht="56.25">
      <c r="A1202" s="345">
        <v>1199</v>
      </c>
      <c r="B1202" s="346" t="s">
        <v>280</v>
      </c>
      <c r="C1202" s="347">
        <v>100</v>
      </c>
      <c r="D1202" s="348">
        <v>46023</v>
      </c>
      <c r="E1202" s="348">
        <v>46357</v>
      </c>
      <c r="F1202" s="346" t="s">
        <v>635</v>
      </c>
      <c r="G1202" s="350" t="s">
        <v>451</v>
      </c>
      <c r="H1202" s="351">
        <f t="shared" si="21"/>
        <v>1200</v>
      </c>
      <c r="I1202" s="120" t="str">
        <f>IF(OR(D1202&lt;Capa!$A$5,D1202&gt;Capa!$A$7,E1202&lt;Capa!$A$5,E1202&gt;Capa!$A$7,D1202&gt;E1202),"Erro","")</f>
        <v/>
      </c>
    </row>
    <row r="1203" spans="1:9" ht="56.25">
      <c r="A1203" s="345">
        <v>1200</v>
      </c>
      <c r="B1203" s="346" t="s">
        <v>280</v>
      </c>
      <c r="C1203" s="347">
        <v>100</v>
      </c>
      <c r="D1203" s="348">
        <v>46388</v>
      </c>
      <c r="E1203" s="348">
        <v>46722</v>
      </c>
      <c r="F1203" s="346" t="s">
        <v>635</v>
      </c>
      <c r="G1203" s="350" t="s">
        <v>451</v>
      </c>
      <c r="H1203" s="351">
        <f t="shared" si="21"/>
        <v>1200</v>
      </c>
      <c r="I1203" s="120" t="str">
        <f>IF(OR(D1203&lt;Capa!$A$5,D1203&gt;Capa!$A$7,E1203&lt;Capa!$A$5,E1203&gt;Capa!$A$7,D1203&gt;E1203),"Erro","")</f>
        <v/>
      </c>
    </row>
    <row r="1204" spans="1:9" ht="56.25">
      <c r="A1204" s="345">
        <v>1201</v>
      </c>
      <c r="B1204" s="346" t="s">
        <v>280</v>
      </c>
      <c r="C1204" s="347">
        <v>100</v>
      </c>
      <c r="D1204" s="348">
        <v>46753</v>
      </c>
      <c r="E1204" s="348">
        <v>47058</v>
      </c>
      <c r="F1204" s="346" t="s">
        <v>635</v>
      </c>
      <c r="G1204" s="350" t="s">
        <v>451</v>
      </c>
      <c r="H1204" s="351">
        <f t="shared" si="21"/>
        <v>1100</v>
      </c>
      <c r="I1204" s="120" t="str">
        <f>IF(OR(D1204&lt;Capa!$A$5,D1204&gt;Capa!$A$7,E1204&lt;Capa!$A$5,E1204&gt;Capa!$A$7,D1204&gt;E1204),"Erro","")</f>
        <v/>
      </c>
    </row>
    <row r="1205" spans="1:9" ht="45">
      <c r="A1205" s="345">
        <v>1202</v>
      </c>
      <c r="B1205" s="346" t="s">
        <v>282</v>
      </c>
      <c r="C1205" s="347">
        <v>702.18</v>
      </c>
      <c r="D1205" s="348">
        <v>45261</v>
      </c>
      <c r="E1205" s="348">
        <v>45627</v>
      </c>
      <c r="F1205" s="346" t="s">
        <v>635</v>
      </c>
      <c r="G1205" s="350" t="s">
        <v>452</v>
      </c>
      <c r="H1205" s="351">
        <f t="shared" si="21"/>
        <v>9128.34</v>
      </c>
      <c r="I1205" s="120" t="str">
        <f>IF(OR(D1205&lt;Capa!$A$5,D1205&gt;Capa!$A$7,E1205&lt;Capa!$A$5,E1205&gt;Capa!$A$7,D1205&gt;E1205),"Erro","")</f>
        <v/>
      </c>
    </row>
    <row r="1206" spans="1:9" ht="45">
      <c r="A1206" s="345">
        <v>1203</v>
      </c>
      <c r="B1206" s="346" t="s">
        <v>282</v>
      </c>
      <c r="C1206" s="347">
        <v>743.18</v>
      </c>
      <c r="D1206" s="348">
        <v>45658</v>
      </c>
      <c r="E1206" s="348">
        <v>45992</v>
      </c>
      <c r="F1206" s="346" t="s">
        <v>635</v>
      </c>
      <c r="G1206" s="350" t="s">
        <v>452</v>
      </c>
      <c r="H1206" s="351">
        <f t="shared" si="21"/>
        <v>8918.16</v>
      </c>
      <c r="I1206" s="120" t="str">
        <f>IF(OR(D1206&lt;Capa!$A$5,D1206&gt;Capa!$A$7,E1206&lt;Capa!$A$5,E1206&gt;Capa!$A$7,D1206&gt;E1206),"Erro","")</f>
        <v/>
      </c>
    </row>
    <row r="1207" spans="1:9" ht="45">
      <c r="A1207" s="345">
        <v>1204</v>
      </c>
      <c r="B1207" s="346" t="s">
        <v>282</v>
      </c>
      <c r="C1207" s="347">
        <v>786.59</v>
      </c>
      <c r="D1207" s="348">
        <v>46023</v>
      </c>
      <c r="E1207" s="348">
        <v>46357</v>
      </c>
      <c r="F1207" s="346" t="s">
        <v>635</v>
      </c>
      <c r="G1207" s="350" t="s">
        <v>452</v>
      </c>
      <c r="H1207" s="351">
        <f t="shared" si="21"/>
        <v>9439.08</v>
      </c>
      <c r="I1207" s="120" t="str">
        <f>IF(OR(D1207&lt;Capa!$A$5,D1207&gt;Capa!$A$7,E1207&lt;Capa!$A$5,E1207&gt;Capa!$A$7,D1207&gt;E1207),"Erro","")</f>
        <v/>
      </c>
    </row>
    <row r="1208" spans="1:9" ht="45">
      <c r="A1208" s="345">
        <v>1205</v>
      </c>
      <c r="B1208" s="346" t="s">
        <v>282</v>
      </c>
      <c r="C1208" s="347">
        <v>832.52</v>
      </c>
      <c r="D1208" s="348">
        <v>46388</v>
      </c>
      <c r="E1208" s="348">
        <v>46722</v>
      </c>
      <c r="F1208" s="346" t="s">
        <v>635</v>
      </c>
      <c r="G1208" s="350" t="s">
        <v>452</v>
      </c>
      <c r="H1208" s="351">
        <f t="shared" si="21"/>
        <v>9990.24</v>
      </c>
      <c r="I1208" s="120" t="str">
        <f>IF(OR(D1208&lt;Capa!$A$5,D1208&gt;Capa!$A$7,E1208&lt;Capa!$A$5,E1208&gt;Capa!$A$7,D1208&gt;E1208),"Erro","")</f>
        <v/>
      </c>
    </row>
    <row r="1209" spans="1:9" ht="45">
      <c r="A1209" s="345">
        <v>1206</v>
      </c>
      <c r="B1209" s="346" t="s">
        <v>282</v>
      </c>
      <c r="C1209" s="347">
        <v>881.14</v>
      </c>
      <c r="D1209" s="348">
        <v>46753</v>
      </c>
      <c r="E1209" s="348">
        <v>47058</v>
      </c>
      <c r="F1209" s="346" t="s">
        <v>635</v>
      </c>
      <c r="G1209" s="350" t="s">
        <v>452</v>
      </c>
      <c r="H1209" s="351">
        <f t="shared" si="21"/>
        <v>9692.5399999999991</v>
      </c>
      <c r="I1209" s="120" t="str">
        <f>IF(OR(D1209&lt;Capa!$A$5,D1209&gt;Capa!$A$7,E1209&lt;Capa!$A$5,E1209&gt;Capa!$A$7,D1209&gt;E1209),"Erro","")</f>
        <v/>
      </c>
    </row>
    <row r="1210" spans="1:9" ht="45">
      <c r="A1210" s="345">
        <v>1207</v>
      </c>
      <c r="B1210" s="346" t="s">
        <v>284</v>
      </c>
      <c r="C1210" s="347">
        <v>1013.31</v>
      </c>
      <c r="D1210" s="348">
        <v>45261</v>
      </c>
      <c r="E1210" s="348">
        <v>45627</v>
      </c>
      <c r="F1210" s="346" t="s">
        <v>635</v>
      </c>
      <c r="G1210" s="350" t="s">
        <v>452</v>
      </c>
      <c r="H1210" s="351">
        <f t="shared" si="21"/>
        <v>13173.029999999999</v>
      </c>
      <c r="I1210" s="120" t="str">
        <f>IF(OR(D1210&lt;Capa!$A$5,D1210&gt;Capa!$A$7,E1210&lt;Capa!$A$5,E1210&gt;Capa!$A$7,D1210&gt;E1210),"Erro","")</f>
        <v/>
      </c>
    </row>
    <row r="1211" spans="1:9" ht="45">
      <c r="A1211" s="345">
        <v>1208</v>
      </c>
      <c r="B1211" s="346" t="s">
        <v>284</v>
      </c>
      <c r="C1211" s="347">
        <v>1072.49</v>
      </c>
      <c r="D1211" s="348">
        <v>45658</v>
      </c>
      <c r="E1211" s="348">
        <v>45992</v>
      </c>
      <c r="F1211" s="346" t="s">
        <v>635</v>
      </c>
      <c r="G1211" s="350" t="s">
        <v>452</v>
      </c>
      <c r="H1211" s="351">
        <f t="shared" si="21"/>
        <v>12869.880000000001</v>
      </c>
      <c r="I1211" s="120" t="str">
        <f>IF(OR(D1211&lt;Capa!$A$5,D1211&gt;Capa!$A$7,E1211&lt;Capa!$A$5,E1211&gt;Capa!$A$7,D1211&gt;E1211),"Erro","")</f>
        <v/>
      </c>
    </row>
    <row r="1212" spans="1:9" ht="45">
      <c r="A1212" s="345">
        <v>1209</v>
      </c>
      <c r="B1212" s="346" t="s">
        <v>284</v>
      </c>
      <c r="C1212" s="347">
        <v>1135.1199999999999</v>
      </c>
      <c r="D1212" s="348">
        <v>46023</v>
      </c>
      <c r="E1212" s="348">
        <v>46357</v>
      </c>
      <c r="F1212" s="346" t="s">
        <v>635</v>
      </c>
      <c r="G1212" s="350" t="s">
        <v>452</v>
      </c>
      <c r="H1212" s="351">
        <f t="shared" si="21"/>
        <v>13621.439999999999</v>
      </c>
      <c r="I1212" s="120" t="str">
        <f>IF(OR(D1212&lt;Capa!$A$5,D1212&gt;Capa!$A$7,E1212&lt;Capa!$A$5,E1212&gt;Capa!$A$7,D1212&gt;E1212),"Erro","")</f>
        <v/>
      </c>
    </row>
    <row r="1213" spans="1:9" ht="45">
      <c r="A1213" s="345">
        <v>1210</v>
      </c>
      <c r="B1213" s="346" t="s">
        <v>284</v>
      </c>
      <c r="C1213" s="347">
        <v>1201.42</v>
      </c>
      <c r="D1213" s="348">
        <v>46388</v>
      </c>
      <c r="E1213" s="348">
        <v>46722</v>
      </c>
      <c r="F1213" s="346" t="s">
        <v>635</v>
      </c>
      <c r="G1213" s="350" t="s">
        <v>452</v>
      </c>
      <c r="H1213" s="351">
        <f t="shared" si="21"/>
        <v>14417.04</v>
      </c>
      <c r="I1213" s="120" t="str">
        <f>IF(OR(D1213&lt;Capa!$A$5,D1213&gt;Capa!$A$7,E1213&lt;Capa!$A$5,E1213&gt;Capa!$A$7,D1213&gt;E1213),"Erro","")</f>
        <v/>
      </c>
    </row>
    <row r="1214" spans="1:9" ht="45">
      <c r="A1214" s="345">
        <v>1211</v>
      </c>
      <c r="B1214" s="346" t="s">
        <v>284</v>
      </c>
      <c r="C1214" s="347">
        <v>1271.58</v>
      </c>
      <c r="D1214" s="348">
        <v>46753</v>
      </c>
      <c r="E1214" s="348">
        <v>47058</v>
      </c>
      <c r="F1214" s="346" t="s">
        <v>635</v>
      </c>
      <c r="G1214" s="350" t="s">
        <v>452</v>
      </c>
      <c r="H1214" s="351">
        <f t="shared" si="21"/>
        <v>13987.38</v>
      </c>
      <c r="I1214" s="120" t="str">
        <f>IF(OR(D1214&lt;Capa!$A$5,D1214&gt;Capa!$A$7,E1214&lt;Capa!$A$5,E1214&gt;Capa!$A$7,D1214&gt;E1214),"Erro","")</f>
        <v/>
      </c>
    </row>
    <row r="1215" spans="1:9" ht="45">
      <c r="A1215" s="345">
        <v>1212</v>
      </c>
      <c r="B1215" s="346" t="s">
        <v>286</v>
      </c>
      <c r="C1215" s="347">
        <v>1013.31</v>
      </c>
      <c r="D1215" s="348">
        <v>45261</v>
      </c>
      <c r="E1215" s="348">
        <v>45627</v>
      </c>
      <c r="F1215" s="346" t="s">
        <v>635</v>
      </c>
      <c r="G1215" s="350" t="s">
        <v>452</v>
      </c>
      <c r="H1215" s="351">
        <f t="shared" si="21"/>
        <v>13173.029999999999</v>
      </c>
      <c r="I1215" s="120" t="str">
        <f>IF(OR(D1215&lt;Capa!$A$5,D1215&gt;Capa!$A$7,E1215&lt;Capa!$A$5,E1215&gt;Capa!$A$7,D1215&gt;E1215),"Erro","")</f>
        <v/>
      </c>
    </row>
    <row r="1216" spans="1:9" ht="45">
      <c r="A1216" s="345">
        <v>1213</v>
      </c>
      <c r="B1216" s="346" t="s">
        <v>286</v>
      </c>
      <c r="C1216" s="347">
        <v>1072.49</v>
      </c>
      <c r="D1216" s="348">
        <v>45658</v>
      </c>
      <c r="E1216" s="348">
        <v>45992</v>
      </c>
      <c r="F1216" s="346" t="s">
        <v>635</v>
      </c>
      <c r="G1216" s="350" t="s">
        <v>452</v>
      </c>
      <c r="H1216" s="351">
        <f t="shared" si="21"/>
        <v>12869.880000000001</v>
      </c>
      <c r="I1216" s="120" t="str">
        <f>IF(OR(D1216&lt;Capa!$A$5,D1216&gt;Capa!$A$7,E1216&lt;Capa!$A$5,E1216&gt;Capa!$A$7,D1216&gt;E1216),"Erro","")</f>
        <v/>
      </c>
    </row>
    <row r="1217" spans="1:9" ht="45">
      <c r="A1217" s="345">
        <v>1214</v>
      </c>
      <c r="B1217" s="346" t="s">
        <v>286</v>
      </c>
      <c r="C1217" s="347">
        <v>1164</v>
      </c>
      <c r="D1217" s="348">
        <v>46023</v>
      </c>
      <c r="E1217" s="348">
        <v>46357</v>
      </c>
      <c r="F1217" s="346" t="s">
        <v>635</v>
      </c>
      <c r="G1217" s="350" t="s">
        <v>452</v>
      </c>
      <c r="H1217" s="351">
        <f t="shared" si="21"/>
        <v>13968</v>
      </c>
      <c r="I1217" s="120" t="str">
        <f>IF(OR(D1217&lt;Capa!$A$5,D1217&gt;Capa!$A$7,E1217&lt;Capa!$A$5,E1217&gt;Capa!$A$7,D1217&gt;E1217),"Erro","")</f>
        <v/>
      </c>
    </row>
    <row r="1218" spans="1:9" ht="45">
      <c r="A1218" s="345">
        <v>1215</v>
      </c>
      <c r="B1218" s="346" t="s">
        <v>286</v>
      </c>
      <c r="C1218" s="347">
        <v>1232</v>
      </c>
      <c r="D1218" s="348">
        <v>46388</v>
      </c>
      <c r="E1218" s="348">
        <v>46722</v>
      </c>
      <c r="F1218" s="346" t="s">
        <v>635</v>
      </c>
      <c r="G1218" s="350" t="s">
        <v>452</v>
      </c>
      <c r="H1218" s="351">
        <f t="shared" si="21"/>
        <v>14784</v>
      </c>
      <c r="I1218" s="120" t="str">
        <f>IF(OR(D1218&lt;Capa!$A$5,D1218&gt;Capa!$A$7,E1218&lt;Capa!$A$5,E1218&gt;Capa!$A$7,D1218&gt;E1218),"Erro","")</f>
        <v/>
      </c>
    </row>
    <row r="1219" spans="1:9" ht="45">
      <c r="A1219" s="345">
        <v>1216</v>
      </c>
      <c r="B1219" s="346" t="s">
        <v>286</v>
      </c>
      <c r="C1219" s="347">
        <v>1303</v>
      </c>
      <c r="D1219" s="348">
        <v>46753</v>
      </c>
      <c r="E1219" s="348">
        <v>47058</v>
      </c>
      <c r="F1219" s="346" t="s">
        <v>635</v>
      </c>
      <c r="G1219" s="350" t="s">
        <v>452</v>
      </c>
      <c r="H1219" s="351">
        <f t="shared" si="21"/>
        <v>14333</v>
      </c>
      <c r="I1219" s="120" t="str">
        <f>IF(OR(D1219&lt;Capa!$A$5,D1219&gt;Capa!$A$7,E1219&lt;Capa!$A$5,E1219&gt;Capa!$A$7,D1219&gt;E1219),"Erro","")</f>
        <v/>
      </c>
    </row>
    <row r="1220" spans="1:9" ht="45">
      <c r="A1220" s="345">
        <v>1217</v>
      </c>
      <c r="B1220" s="346" t="s">
        <v>288</v>
      </c>
      <c r="C1220" s="347">
        <v>200</v>
      </c>
      <c r="D1220" s="348">
        <v>45261</v>
      </c>
      <c r="E1220" s="348">
        <v>45627</v>
      </c>
      <c r="F1220" s="346" t="s">
        <v>635</v>
      </c>
      <c r="G1220" s="350" t="s">
        <v>453</v>
      </c>
      <c r="H1220" s="351">
        <f t="shared" si="21"/>
        <v>2600</v>
      </c>
      <c r="I1220" s="120" t="str">
        <f>IF(OR(D1220&lt;Capa!$A$5,D1220&gt;Capa!$A$7,E1220&lt;Capa!$A$5,E1220&gt;Capa!$A$7,D1220&gt;E1220),"Erro","")</f>
        <v/>
      </c>
    </row>
    <row r="1221" spans="1:9" ht="45">
      <c r="A1221" s="345">
        <v>1218</v>
      </c>
      <c r="B1221" s="346" t="s">
        <v>288</v>
      </c>
      <c r="C1221" s="347">
        <v>200</v>
      </c>
      <c r="D1221" s="348">
        <v>45658</v>
      </c>
      <c r="E1221" s="348">
        <v>45992</v>
      </c>
      <c r="F1221" s="346" t="s">
        <v>635</v>
      </c>
      <c r="G1221" s="350" t="s">
        <v>453</v>
      </c>
      <c r="H1221" s="351">
        <f t="shared" si="21"/>
        <v>2400</v>
      </c>
      <c r="I1221" s="120" t="str">
        <f>IF(OR(D1221&lt;Capa!$A$5,D1221&gt;Capa!$A$7,E1221&lt;Capa!$A$5,E1221&gt;Capa!$A$7,D1221&gt;E1221),"Erro","")</f>
        <v/>
      </c>
    </row>
    <row r="1222" spans="1:9" ht="45">
      <c r="A1222" s="345">
        <v>1219</v>
      </c>
      <c r="B1222" s="346" t="s">
        <v>288</v>
      </c>
      <c r="C1222" s="347">
        <v>200</v>
      </c>
      <c r="D1222" s="348">
        <v>46023</v>
      </c>
      <c r="E1222" s="348">
        <v>46357</v>
      </c>
      <c r="F1222" s="346" t="s">
        <v>635</v>
      </c>
      <c r="G1222" s="350" t="s">
        <v>453</v>
      </c>
      <c r="H1222" s="351">
        <f t="shared" si="21"/>
        <v>2400</v>
      </c>
      <c r="I1222" s="120" t="str">
        <f>IF(OR(D1222&lt;Capa!$A$5,D1222&gt;Capa!$A$7,E1222&lt;Capa!$A$5,E1222&gt;Capa!$A$7,D1222&gt;E1222),"Erro","")</f>
        <v/>
      </c>
    </row>
    <row r="1223" spans="1:9" ht="45">
      <c r="A1223" s="345">
        <v>1220</v>
      </c>
      <c r="B1223" s="346" t="s">
        <v>288</v>
      </c>
      <c r="C1223" s="347">
        <v>200</v>
      </c>
      <c r="D1223" s="348">
        <v>46388</v>
      </c>
      <c r="E1223" s="348">
        <v>46722</v>
      </c>
      <c r="F1223" s="346" t="s">
        <v>635</v>
      </c>
      <c r="G1223" s="350" t="s">
        <v>453</v>
      </c>
      <c r="H1223" s="351">
        <f t="shared" si="21"/>
        <v>2400</v>
      </c>
      <c r="I1223" s="120" t="str">
        <f>IF(OR(D1223&lt;Capa!$A$5,D1223&gt;Capa!$A$7,E1223&lt;Capa!$A$5,E1223&gt;Capa!$A$7,D1223&gt;E1223),"Erro","")</f>
        <v/>
      </c>
    </row>
    <row r="1224" spans="1:9" ht="45">
      <c r="A1224" s="345">
        <v>1221</v>
      </c>
      <c r="B1224" s="346" t="s">
        <v>288</v>
      </c>
      <c r="C1224" s="347">
        <v>200</v>
      </c>
      <c r="D1224" s="348">
        <v>46753</v>
      </c>
      <c r="E1224" s="348">
        <v>47058</v>
      </c>
      <c r="F1224" s="346" t="s">
        <v>635</v>
      </c>
      <c r="G1224" s="350" t="s">
        <v>453</v>
      </c>
      <c r="H1224" s="351">
        <f t="shared" si="21"/>
        <v>2200</v>
      </c>
      <c r="I1224" s="120" t="str">
        <f>IF(OR(D1224&lt;Capa!$A$5,D1224&gt;Capa!$A$7,E1224&lt;Capa!$A$5,E1224&gt;Capa!$A$7,D1224&gt;E1224),"Erro","")</f>
        <v/>
      </c>
    </row>
    <row r="1225" spans="1:9" ht="33.75">
      <c r="A1225" s="345">
        <v>1222</v>
      </c>
      <c r="B1225" s="346" t="s">
        <v>294</v>
      </c>
      <c r="C1225" s="347">
        <v>7000</v>
      </c>
      <c r="D1225" s="348">
        <v>45261</v>
      </c>
      <c r="E1225" s="348">
        <v>45627</v>
      </c>
      <c r="F1225" s="346" t="s">
        <v>635</v>
      </c>
      <c r="G1225" s="350" t="s">
        <v>454</v>
      </c>
      <c r="H1225" s="351">
        <f t="shared" si="21"/>
        <v>91000</v>
      </c>
      <c r="I1225" s="120" t="str">
        <f>IF(OR(D1225&lt;Capa!$A$5,D1225&gt;Capa!$A$7,E1225&lt;Capa!$A$5,E1225&gt;Capa!$A$7,D1225&gt;E1225),"Erro","")</f>
        <v/>
      </c>
    </row>
    <row r="1226" spans="1:9" ht="33.75">
      <c r="A1226" s="345">
        <v>1223</v>
      </c>
      <c r="B1226" s="346" t="s">
        <v>294</v>
      </c>
      <c r="C1226" s="347">
        <v>7408.8</v>
      </c>
      <c r="D1226" s="348">
        <v>45658</v>
      </c>
      <c r="E1226" s="348">
        <v>45992</v>
      </c>
      <c r="F1226" s="346" t="s">
        <v>635</v>
      </c>
      <c r="G1226" s="350" t="s">
        <v>454</v>
      </c>
      <c r="H1226" s="351">
        <f t="shared" si="21"/>
        <v>88905.600000000006</v>
      </c>
      <c r="I1226" s="120" t="str">
        <f>IF(OR(D1226&lt;Capa!$A$5,D1226&gt;Capa!$A$7,E1226&lt;Capa!$A$5,E1226&gt;Capa!$A$7,D1226&gt;E1226),"Erro","")</f>
        <v/>
      </c>
    </row>
    <row r="1227" spans="1:9" ht="33.75">
      <c r="A1227" s="345">
        <v>1224</v>
      </c>
      <c r="B1227" s="346" t="s">
        <v>294</v>
      </c>
      <c r="C1227" s="347">
        <v>7847.65</v>
      </c>
      <c r="D1227" s="348">
        <v>46023</v>
      </c>
      <c r="E1227" s="348">
        <v>46357</v>
      </c>
      <c r="F1227" s="346" t="s">
        <v>635</v>
      </c>
      <c r="G1227" s="350" t="s">
        <v>454</v>
      </c>
      <c r="H1227" s="351">
        <f t="shared" si="21"/>
        <v>94171.799999999988</v>
      </c>
      <c r="I1227" s="120" t="str">
        <f>IF(OR(D1227&lt;Capa!$A$5,D1227&gt;Capa!$A$7,E1227&lt;Capa!$A$5,E1227&gt;Capa!$A$7,D1227&gt;E1227),"Erro","")</f>
        <v/>
      </c>
    </row>
    <row r="1228" spans="1:9" ht="33.75">
      <c r="A1228" s="345">
        <v>1225</v>
      </c>
      <c r="B1228" s="346" t="s">
        <v>294</v>
      </c>
      <c r="C1228" s="347">
        <v>8305.9500000000007</v>
      </c>
      <c r="D1228" s="348">
        <v>46388</v>
      </c>
      <c r="E1228" s="348">
        <v>46722</v>
      </c>
      <c r="F1228" s="346" t="s">
        <v>635</v>
      </c>
      <c r="G1228" s="350" t="s">
        <v>454</v>
      </c>
      <c r="H1228" s="351">
        <f t="shared" si="21"/>
        <v>99671.400000000009</v>
      </c>
      <c r="I1228" s="120" t="str">
        <f>IF(OR(D1228&lt;Capa!$A$5,D1228&gt;Capa!$A$7,E1228&lt;Capa!$A$5,E1228&gt;Capa!$A$7,D1228&gt;E1228),"Erro","")</f>
        <v/>
      </c>
    </row>
    <row r="1229" spans="1:9" ht="33.75">
      <c r="A1229" s="345">
        <v>1226</v>
      </c>
      <c r="B1229" s="346" t="s">
        <v>294</v>
      </c>
      <c r="C1229" s="347">
        <v>8791.02</v>
      </c>
      <c r="D1229" s="348">
        <v>46753</v>
      </c>
      <c r="E1229" s="348">
        <v>47058</v>
      </c>
      <c r="F1229" s="346" t="s">
        <v>635</v>
      </c>
      <c r="G1229" s="350" t="s">
        <v>454</v>
      </c>
      <c r="H1229" s="351">
        <f t="shared" si="21"/>
        <v>96701.22</v>
      </c>
      <c r="I1229" s="120" t="str">
        <f>IF(OR(D1229&lt;Capa!$A$5,D1229&gt;Capa!$A$7,E1229&lt;Capa!$A$5,E1229&gt;Capa!$A$7,D1229&gt;E1229),"Erro","")</f>
        <v/>
      </c>
    </row>
    <row r="1230" spans="1:9" ht="22.5">
      <c r="A1230" s="345">
        <v>1227</v>
      </c>
      <c r="B1230" s="346" t="s">
        <v>302</v>
      </c>
      <c r="C1230" s="347">
        <v>200</v>
      </c>
      <c r="D1230" s="348">
        <v>45261</v>
      </c>
      <c r="E1230" s="348">
        <v>45627</v>
      </c>
      <c r="F1230" s="346" t="s">
        <v>635</v>
      </c>
      <c r="G1230" s="350" t="s">
        <v>455</v>
      </c>
      <c r="H1230" s="351">
        <f t="shared" si="21"/>
        <v>2600</v>
      </c>
      <c r="I1230" s="120" t="str">
        <f>IF(OR(D1230&lt;Capa!$A$5,D1230&gt;Capa!$A$7,E1230&lt;Capa!$A$5,E1230&gt;Capa!$A$7,D1230&gt;E1230),"Erro","")</f>
        <v/>
      </c>
    </row>
    <row r="1231" spans="1:9" ht="22.5">
      <c r="A1231" s="345">
        <v>1228</v>
      </c>
      <c r="B1231" s="346" t="s">
        <v>302</v>
      </c>
      <c r="C1231" s="347">
        <v>210</v>
      </c>
      <c r="D1231" s="348">
        <v>45658</v>
      </c>
      <c r="E1231" s="348">
        <v>45992</v>
      </c>
      <c r="F1231" s="346" t="s">
        <v>635</v>
      </c>
      <c r="G1231" s="350" t="s">
        <v>455</v>
      </c>
      <c r="H1231" s="351">
        <f t="shared" si="21"/>
        <v>2520</v>
      </c>
      <c r="I1231" s="120" t="str">
        <f>IF(OR(D1231&lt;Capa!$A$5,D1231&gt;Capa!$A$7,E1231&lt;Capa!$A$5,E1231&gt;Capa!$A$7,D1231&gt;E1231),"Erro","")</f>
        <v/>
      </c>
    </row>
    <row r="1232" spans="1:9" ht="22.5">
      <c r="A1232" s="345">
        <v>1229</v>
      </c>
      <c r="B1232" s="346" t="s">
        <v>302</v>
      </c>
      <c r="C1232" s="347">
        <v>210</v>
      </c>
      <c r="D1232" s="348">
        <v>46023</v>
      </c>
      <c r="E1232" s="348">
        <v>46357</v>
      </c>
      <c r="F1232" s="346" t="s">
        <v>635</v>
      </c>
      <c r="G1232" s="350" t="s">
        <v>455</v>
      </c>
      <c r="H1232" s="351">
        <f t="shared" si="21"/>
        <v>2520</v>
      </c>
      <c r="I1232" s="120" t="str">
        <f>IF(OR(D1232&lt;Capa!$A$5,D1232&gt;Capa!$A$7,E1232&lt;Capa!$A$5,E1232&gt;Capa!$A$7,D1232&gt;E1232),"Erro","")</f>
        <v/>
      </c>
    </row>
    <row r="1233" spans="1:9" ht="22.5">
      <c r="A1233" s="345">
        <v>1230</v>
      </c>
      <c r="B1233" s="346" t="s">
        <v>302</v>
      </c>
      <c r="C1233" s="347">
        <v>210</v>
      </c>
      <c r="D1233" s="348">
        <v>46388</v>
      </c>
      <c r="E1233" s="348">
        <v>46722</v>
      </c>
      <c r="F1233" s="346" t="s">
        <v>635</v>
      </c>
      <c r="G1233" s="350" t="s">
        <v>455</v>
      </c>
      <c r="H1233" s="351">
        <f t="shared" si="21"/>
        <v>2520</v>
      </c>
      <c r="I1233" s="120" t="str">
        <f>IF(OR(D1233&lt;Capa!$A$5,D1233&gt;Capa!$A$7,E1233&lt;Capa!$A$5,E1233&gt;Capa!$A$7,D1233&gt;E1233),"Erro","")</f>
        <v/>
      </c>
    </row>
    <row r="1234" spans="1:9" ht="22.5">
      <c r="A1234" s="345">
        <v>1231</v>
      </c>
      <c r="B1234" s="346" t="s">
        <v>302</v>
      </c>
      <c r="C1234" s="347">
        <v>210</v>
      </c>
      <c r="D1234" s="348">
        <v>46753</v>
      </c>
      <c r="E1234" s="348">
        <v>47058</v>
      </c>
      <c r="F1234" s="346" t="s">
        <v>635</v>
      </c>
      <c r="G1234" s="350" t="s">
        <v>455</v>
      </c>
      <c r="H1234" s="351">
        <f t="shared" si="21"/>
        <v>2310</v>
      </c>
      <c r="I1234" s="120" t="str">
        <f>IF(OR(D1234&lt;Capa!$A$5,D1234&gt;Capa!$A$7,E1234&lt;Capa!$A$5,E1234&gt;Capa!$A$7,D1234&gt;E1234),"Erro","")</f>
        <v/>
      </c>
    </row>
    <row r="1235" spans="1:9" ht="33.75">
      <c r="A1235" s="345">
        <v>1232</v>
      </c>
      <c r="B1235" s="346" t="s">
        <v>304</v>
      </c>
      <c r="C1235" s="347">
        <v>1800</v>
      </c>
      <c r="D1235" s="348">
        <v>45261</v>
      </c>
      <c r="E1235" s="348">
        <v>45627</v>
      </c>
      <c r="F1235" s="346" t="s">
        <v>635</v>
      </c>
      <c r="G1235" s="350" t="s">
        <v>456</v>
      </c>
      <c r="H1235" s="351">
        <f t="shared" si="21"/>
        <v>23400</v>
      </c>
      <c r="I1235" s="120" t="str">
        <f>IF(OR(D1235&lt;Capa!$A$5,D1235&gt;Capa!$A$7,E1235&lt;Capa!$A$5,E1235&gt;Capa!$A$7,D1235&gt;E1235),"Erro","")</f>
        <v/>
      </c>
    </row>
    <row r="1236" spans="1:9" ht="33.75">
      <c r="A1236" s="345">
        <v>1233</v>
      </c>
      <c r="B1236" s="346" t="s">
        <v>304</v>
      </c>
      <c r="C1236" s="347">
        <v>1905.12</v>
      </c>
      <c r="D1236" s="348">
        <v>45658</v>
      </c>
      <c r="E1236" s="348">
        <v>45992</v>
      </c>
      <c r="F1236" s="346" t="s">
        <v>635</v>
      </c>
      <c r="G1236" s="350" t="s">
        <v>456</v>
      </c>
      <c r="H1236" s="351">
        <f t="shared" si="21"/>
        <v>22861.439999999999</v>
      </c>
      <c r="I1236" s="120" t="str">
        <f>IF(OR(D1236&lt;Capa!$A$5,D1236&gt;Capa!$A$7,E1236&lt;Capa!$A$5,E1236&gt;Capa!$A$7,D1236&gt;E1236),"Erro","")</f>
        <v/>
      </c>
    </row>
    <row r="1237" spans="1:9" ht="33.75">
      <c r="A1237" s="345">
        <v>1234</v>
      </c>
      <c r="B1237" s="346" t="s">
        <v>304</v>
      </c>
      <c r="C1237" s="347">
        <v>2016.37</v>
      </c>
      <c r="D1237" s="348">
        <v>46023</v>
      </c>
      <c r="E1237" s="348">
        <v>46357</v>
      </c>
      <c r="F1237" s="346" t="s">
        <v>635</v>
      </c>
      <c r="G1237" s="350" t="s">
        <v>456</v>
      </c>
      <c r="H1237" s="351">
        <f t="shared" si="21"/>
        <v>24196.44</v>
      </c>
      <c r="I1237" s="120" t="str">
        <f>IF(OR(D1237&lt;Capa!$A$5,D1237&gt;Capa!$A$7,E1237&lt;Capa!$A$5,E1237&gt;Capa!$A$7,D1237&gt;E1237),"Erro","")</f>
        <v/>
      </c>
    </row>
    <row r="1238" spans="1:9" ht="33.75">
      <c r="A1238" s="345">
        <v>1235</v>
      </c>
      <c r="B1238" s="346" t="s">
        <v>304</v>
      </c>
      <c r="C1238" s="347">
        <v>2134.13</v>
      </c>
      <c r="D1238" s="348">
        <v>46388</v>
      </c>
      <c r="E1238" s="348">
        <v>46722</v>
      </c>
      <c r="F1238" s="346" t="s">
        <v>635</v>
      </c>
      <c r="G1238" s="350" t="s">
        <v>456</v>
      </c>
      <c r="H1238" s="351">
        <f t="shared" si="21"/>
        <v>25609.56</v>
      </c>
      <c r="I1238" s="120" t="str">
        <f>IF(OR(D1238&lt;Capa!$A$5,D1238&gt;Capa!$A$7,E1238&lt;Capa!$A$5,E1238&gt;Capa!$A$7,D1238&gt;E1238),"Erro","")</f>
        <v/>
      </c>
    </row>
    <row r="1239" spans="1:9" ht="33.75">
      <c r="A1239" s="345">
        <v>1236</v>
      </c>
      <c r="B1239" s="346" t="s">
        <v>304</v>
      </c>
      <c r="C1239" s="347">
        <v>2258.7600000000002</v>
      </c>
      <c r="D1239" s="348">
        <v>46753</v>
      </c>
      <c r="E1239" s="348">
        <v>47058</v>
      </c>
      <c r="F1239" s="346" t="s">
        <v>635</v>
      </c>
      <c r="G1239" s="350" t="s">
        <v>456</v>
      </c>
      <c r="H1239" s="351">
        <f t="shared" ref="H1239:H1310" si="22">IFERROR((DATEDIF(D1239,E1239,"M")+1)*C1239,0)</f>
        <v>24846.36</v>
      </c>
      <c r="I1239" s="120" t="str">
        <f>IF(OR(D1239&lt;Capa!$A$5,D1239&gt;Capa!$A$7,E1239&lt;Capa!$A$5,E1239&gt;Capa!$A$7,D1239&gt;E1239),"Erro","")</f>
        <v/>
      </c>
    </row>
    <row r="1240" spans="1:9" ht="33.75">
      <c r="A1240" s="345">
        <v>1237</v>
      </c>
      <c r="B1240" s="346" t="s">
        <v>312</v>
      </c>
      <c r="C1240" s="347">
        <v>280</v>
      </c>
      <c r="D1240" s="348">
        <v>45658</v>
      </c>
      <c r="E1240" s="348">
        <v>45992</v>
      </c>
      <c r="F1240" s="346" t="s">
        <v>635</v>
      </c>
      <c r="G1240" s="350" t="s">
        <v>593</v>
      </c>
      <c r="H1240" s="351">
        <f t="shared" si="22"/>
        <v>3360</v>
      </c>
      <c r="I1240" s="120" t="str">
        <f>IF(OR(D1240&lt;Capa!$A$5,D1240&gt;Capa!$A$7,E1240&lt;Capa!$A$5,E1240&gt;Capa!$A$7,D1240&gt;E1240),"Erro","")</f>
        <v/>
      </c>
    </row>
    <row r="1241" spans="1:9" ht="33.75">
      <c r="A1241" s="345">
        <v>1238</v>
      </c>
      <c r="B1241" s="346" t="s">
        <v>312</v>
      </c>
      <c r="C1241" s="347">
        <v>280</v>
      </c>
      <c r="D1241" s="348">
        <v>46023</v>
      </c>
      <c r="E1241" s="348">
        <v>46357</v>
      </c>
      <c r="F1241" s="346" t="s">
        <v>635</v>
      </c>
      <c r="G1241" s="350" t="s">
        <v>593</v>
      </c>
      <c r="H1241" s="351">
        <f t="shared" si="22"/>
        <v>3360</v>
      </c>
      <c r="I1241" s="120" t="str">
        <f>IF(OR(D1241&lt;Capa!$A$5,D1241&gt;Capa!$A$7,E1241&lt;Capa!$A$5,E1241&gt;Capa!$A$7,D1241&gt;E1241),"Erro","")</f>
        <v/>
      </c>
    </row>
    <row r="1242" spans="1:9" ht="33.75">
      <c r="A1242" s="345">
        <v>1239</v>
      </c>
      <c r="B1242" s="346" t="s">
        <v>312</v>
      </c>
      <c r="C1242" s="347">
        <v>280</v>
      </c>
      <c r="D1242" s="348">
        <v>46388</v>
      </c>
      <c r="E1242" s="348">
        <v>46722</v>
      </c>
      <c r="F1242" s="346" t="s">
        <v>635</v>
      </c>
      <c r="G1242" s="350" t="s">
        <v>593</v>
      </c>
      <c r="H1242" s="351">
        <f t="shared" si="22"/>
        <v>3360</v>
      </c>
      <c r="I1242" s="120" t="str">
        <f>IF(OR(D1242&lt;Capa!$A$5,D1242&gt;Capa!$A$7,E1242&lt;Capa!$A$5,E1242&gt;Capa!$A$7,D1242&gt;E1242),"Erro","")</f>
        <v/>
      </c>
    </row>
    <row r="1243" spans="1:9" ht="33.75">
      <c r="A1243" s="345">
        <v>1240</v>
      </c>
      <c r="B1243" s="346" t="s">
        <v>312</v>
      </c>
      <c r="C1243" s="347">
        <v>280</v>
      </c>
      <c r="D1243" s="348">
        <v>46753</v>
      </c>
      <c r="E1243" s="348">
        <v>47058</v>
      </c>
      <c r="F1243" s="346" t="s">
        <v>635</v>
      </c>
      <c r="G1243" s="350" t="s">
        <v>593</v>
      </c>
      <c r="H1243" s="351">
        <f t="shared" si="22"/>
        <v>3080</v>
      </c>
      <c r="I1243" s="120" t="str">
        <f>IF(OR(D1243&lt;Capa!$A$5,D1243&gt;Capa!$A$7,E1243&lt;Capa!$A$5,E1243&gt;Capa!$A$7,D1243&gt;E1243),"Erro","")</f>
        <v/>
      </c>
    </row>
    <row r="1244" spans="1:9" ht="67.5">
      <c r="A1244" s="345">
        <v>1241</v>
      </c>
      <c r="B1244" s="346" t="s">
        <v>316</v>
      </c>
      <c r="C1244" s="347">
        <v>1000</v>
      </c>
      <c r="D1244" s="348">
        <v>45261</v>
      </c>
      <c r="E1244" s="348">
        <v>45627</v>
      </c>
      <c r="F1244" s="346" t="s">
        <v>635</v>
      </c>
      <c r="G1244" s="350" t="s">
        <v>457</v>
      </c>
      <c r="H1244" s="351">
        <f t="shared" si="22"/>
        <v>13000</v>
      </c>
      <c r="I1244" s="120" t="str">
        <f>IF(OR(D1244&lt;Capa!$A$5,D1244&gt;Capa!$A$7,E1244&lt;Capa!$A$5,E1244&gt;Capa!$A$7,D1244&gt;E1244),"Erro","")</f>
        <v/>
      </c>
    </row>
    <row r="1245" spans="1:9" ht="67.5">
      <c r="A1245" s="345">
        <v>1242</v>
      </c>
      <c r="B1245" s="346" t="s">
        <v>316</v>
      </c>
      <c r="C1245" s="347">
        <v>1000</v>
      </c>
      <c r="D1245" s="348">
        <v>45658</v>
      </c>
      <c r="E1245" s="348">
        <v>45992</v>
      </c>
      <c r="F1245" s="346" t="s">
        <v>635</v>
      </c>
      <c r="G1245" s="350" t="s">
        <v>457</v>
      </c>
      <c r="H1245" s="351">
        <f t="shared" si="22"/>
        <v>12000</v>
      </c>
      <c r="I1245" s="120" t="str">
        <f>IF(OR(D1245&lt;Capa!$A$5,D1245&gt;Capa!$A$7,E1245&lt;Capa!$A$5,E1245&gt;Capa!$A$7,D1245&gt;E1245),"Erro","")</f>
        <v/>
      </c>
    </row>
    <row r="1246" spans="1:9" ht="67.5">
      <c r="A1246" s="345">
        <v>1243</v>
      </c>
      <c r="B1246" s="346" t="s">
        <v>316</v>
      </c>
      <c r="C1246" s="347">
        <v>1000</v>
      </c>
      <c r="D1246" s="348">
        <v>46023</v>
      </c>
      <c r="E1246" s="348">
        <v>46357</v>
      </c>
      <c r="F1246" s="346" t="s">
        <v>635</v>
      </c>
      <c r="G1246" s="350" t="s">
        <v>457</v>
      </c>
      <c r="H1246" s="351">
        <f t="shared" si="22"/>
        <v>12000</v>
      </c>
      <c r="I1246" s="120" t="str">
        <f>IF(OR(D1246&lt;Capa!$A$5,D1246&gt;Capa!$A$7,E1246&lt;Capa!$A$5,E1246&gt;Capa!$A$7,D1246&gt;E1246),"Erro","")</f>
        <v/>
      </c>
    </row>
    <row r="1247" spans="1:9" ht="67.5">
      <c r="A1247" s="345">
        <v>1244</v>
      </c>
      <c r="B1247" s="346" t="s">
        <v>316</v>
      </c>
      <c r="C1247" s="347">
        <v>1000</v>
      </c>
      <c r="D1247" s="348">
        <v>46388</v>
      </c>
      <c r="E1247" s="348">
        <v>46722</v>
      </c>
      <c r="F1247" s="346" t="s">
        <v>635</v>
      </c>
      <c r="G1247" s="350" t="s">
        <v>457</v>
      </c>
      <c r="H1247" s="351">
        <f t="shared" si="22"/>
        <v>12000</v>
      </c>
      <c r="I1247" s="120" t="str">
        <f>IF(OR(D1247&lt;Capa!$A$5,D1247&gt;Capa!$A$7,E1247&lt;Capa!$A$5,E1247&gt;Capa!$A$7,D1247&gt;E1247),"Erro","")</f>
        <v/>
      </c>
    </row>
    <row r="1248" spans="1:9" ht="67.5">
      <c r="A1248" s="345">
        <v>1245</v>
      </c>
      <c r="B1248" s="346" t="s">
        <v>316</v>
      </c>
      <c r="C1248" s="347">
        <v>1000</v>
      </c>
      <c r="D1248" s="348">
        <v>46753</v>
      </c>
      <c r="E1248" s="348">
        <v>47058</v>
      </c>
      <c r="F1248" s="346" t="s">
        <v>635</v>
      </c>
      <c r="G1248" s="350" t="s">
        <v>457</v>
      </c>
      <c r="H1248" s="351">
        <f t="shared" si="22"/>
        <v>11000</v>
      </c>
      <c r="I1248" s="120" t="str">
        <f>IF(OR(D1248&lt;Capa!$A$5,D1248&gt;Capa!$A$7,E1248&lt;Capa!$A$5,E1248&gt;Capa!$A$7,D1248&gt;E1248),"Erro","")</f>
        <v/>
      </c>
    </row>
    <row r="1249" spans="1:9" ht="56.25">
      <c r="A1249" s="345">
        <v>1246</v>
      </c>
      <c r="B1249" s="346" t="s">
        <v>318</v>
      </c>
      <c r="C1249" s="347">
        <v>1800</v>
      </c>
      <c r="D1249" s="348">
        <v>45261</v>
      </c>
      <c r="E1249" s="348">
        <v>45627</v>
      </c>
      <c r="F1249" s="346" t="s">
        <v>635</v>
      </c>
      <c r="G1249" s="350" t="s">
        <v>594</v>
      </c>
      <c r="H1249" s="351">
        <f t="shared" si="22"/>
        <v>23400</v>
      </c>
      <c r="I1249" s="120" t="str">
        <f>IF(OR(D1249&lt;Capa!$A$5,D1249&gt;Capa!$A$7,E1249&lt;Capa!$A$5,E1249&gt;Capa!$A$7,D1249&gt;E1249),"Erro","")</f>
        <v/>
      </c>
    </row>
    <row r="1250" spans="1:9" ht="56.25">
      <c r="A1250" s="345">
        <v>1247</v>
      </c>
      <c r="B1250" s="346" t="s">
        <v>318</v>
      </c>
      <c r="C1250" s="347">
        <v>1500</v>
      </c>
      <c r="D1250" s="348">
        <v>45658</v>
      </c>
      <c r="E1250" s="348">
        <v>45992</v>
      </c>
      <c r="F1250" s="346" t="s">
        <v>635</v>
      </c>
      <c r="G1250" s="350" t="s">
        <v>594</v>
      </c>
      <c r="H1250" s="351">
        <f t="shared" si="22"/>
        <v>18000</v>
      </c>
      <c r="I1250" s="120" t="str">
        <f>IF(OR(D1250&lt;Capa!$A$5,D1250&gt;Capa!$A$7,E1250&lt;Capa!$A$5,E1250&gt;Capa!$A$7,D1250&gt;E1250),"Erro","")</f>
        <v/>
      </c>
    </row>
    <row r="1251" spans="1:9" ht="56.25">
      <c r="A1251" s="345">
        <v>1248</v>
      </c>
      <c r="B1251" s="346" t="s">
        <v>318</v>
      </c>
      <c r="C1251" s="347">
        <v>1500</v>
      </c>
      <c r="D1251" s="348">
        <v>46023</v>
      </c>
      <c r="E1251" s="348">
        <v>46357</v>
      </c>
      <c r="F1251" s="346" t="s">
        <v>635</v>
      </c>
      <c r="G1251" s="350" t="s">
        <v>594</v>
      </c>
      <c r="H1251" s="351">
        <f t="shared" si="22"/>
        <v>18000</v>
      </c>
      <c r="I1251" s="120" t="str">
        <f>IF(OR(D1251&lt;Capa!$A$5,D1251&gt;Capa!$A$7,E1251&lt;Capa!$A$5,E1251&gt;Capa!$A$7,D1251&gt;E1251),"Erro","")</f>
        <v/>
      </c>
    </row>
    <row r="1252" spans="1:9" ht="56.25">
      <c r="A1252" s="345">
        <v>1249</v>
      </c>
      <c r="B1252" s="346" t="s">
        <v>318</v>
      </c>
      <c r="C1252" s="347">
        <v>1500</v>
      </c>
      <c r="D1252" s="348">
        <v>46388</v>
      </c>
      <c r="E1252" s="348">
        <v>46722</v>
      </c>
      <c r="F1252" s="346" t="s">
        <v>635</v>
      </c>
      <c r="G1252" s="350" t="s">
        <v>594</v>
      </c>
      <c r="H1252" s="351">
        <f t="shared" si="22"/>
        <v>18000</v>
      </c>
      <c r="I1252" s="120" t="str">
        <f>IF(OR(D1252&lt;Capa!$A$5,D1252&gt;Capa!$A$7,E1252&lt;Capa!$A$5,E1252&gt;Capa!$A$7,D1252&gt;E1252),"Erro","")</f>
        <v/>
      </c>
    </row>
    <row r="1253" spans="1:9" ht="56.25">
      <c r="A1253" s="345">
        <v>1250</v>
      </c>
      <c r="B1253" s="346" t="s">
        <v>318</v>
      </c>
      <c r="C1253" s="347">
        <v>1500</v>
      </c>
      <c r="D1253" s="348">
        <v>46753</v>
      </c>
      <c r="E1253" s="348">
        <v>47058</v>
      </c>
      <c r="F1253" s="346" t="s">
        <v>635</v>
      </c>
      <c r="G1253" s="350" t="s">
        <v>594</v>
      </c>
      <c r="H1253" s="351">
        <f t="shared" si="22"/>
        <v>16500</v>
      </c>
      <c r="I1253" s="120" t="str">
        <f>IF(OR(D1253&lt;Capa!$A$5,D1253&gt;Capa!$A$7,E1253&lt;Capa!$A$5,E1253&gt;Capa!$A$7,D1253&gt;E1253),"Erro","")</f>
        <v/>
      </c>
    </row>
    <row r="1254" spans="1:9" ht="67.5">
      <c r="A1254" s="345">
        <v>1251</v>
      </c>
      <c r="B1254" s="346" t="s">
        <v>318</v>
      </c>
      <c r="C1254" s="347">
        <v>1800</v>
      </c>
      <c r="D1254" s="348">
        <v>45261</v>
      </c>
      <c r="E1254" s="348">
        <v>45627</v>
      </c>
      <c r="F1254" s="346" t="s">
        <v>635</v>
      </c>
      <c r="G1254" s="350" t="s">
        <v>457</v>
      </c>
      <c r="H1254" s="351">
        <f t="shared" si="22"/>
        <v>23400</v>
      </c>
      <c r="I1254" s="120" t="str">
        <f>IF(OR(D1254&lt;Capa!$A$5,D1254&gt;Capa!$A$7,E1254&lt;Capa!$A$5,E1254&gt;Capa!$A$7,D1254&gt;E1254),"Erro","")</f>
        <v/>
      </c>
    </row>
    <row r="1255" spans="1:9" ht="67.5">
      <c r="A1255" s="345">
        <v>1252</v>
      </c>
      <c r="B1255" s="346" t="s">
        <v>318</v>
      </c>
      <c r="C1255" s="347">
        <v>1500</v>
      </c>
      <c r="D1255" s="348">
        <v>45658</v>
      </c>
      <c r="E1255" s="348">
        <v>45992</v>
      </c>
      <c r="F1255" s="346" t="s">
        <v>635</v>
      </c>
      <c r="G1255" s="350" t="s">
        <v>457</v>
      </c>
      <c r="H1255" s="351">
        <f t="shared" si="22"/>
        <v>18000</v>
      </c>
      <c r="I1255" s="120" t="str">
        <f>IF(OR(D1255&lt;Capa!$A$5,D1255&gt;Capa!$A$7,E1255&lt;Capa!$A$5,E1255&gt;Capa!$A$7,D1255&gt;E1255),"Erro","")</f>
        <v/>
      </c>
    </row>
    <row r="1256" spans="1:9" ht="67.5">
      <c r="A1256" s="345">
        <v>1253</v>
      </c>
      <c r="B1256" s="346" t="s">
        <v>318</v>
      </c>
      <c r="C1256" s="347">
        <v>1500</v>
      </c>
      <c r="D1256" s="348">
        <v>46023</v>
      </c>
      <c r="E1256" s="348">
        <v>46357</v>
      </c>
      <c r="F1256" s="346" t="s">
        <v>635</v>
      </c>
      <c r="G1256" s="350" t="s">
        <v>457</v>
      </c>
      <c r="H1256" s="351">
        <f t="shared" si="22"/>
        <v>18000</v>
      </c>
      <c r="I1256" s="120" t="str">
        <f>IF(OR(D1256&lt;Capa!$A$5,D1256&gt;Capa!$A$7,E1256&lt;Capa!$A$5,E1256&gt;Capa!$A$7,D1256&gt;E1256),"Erro","")</f>
        <v/>
      </c>
    </row>
    <row r="1257" spans="1:9" ht="67.5">
      <c r="A1257" s="345">
        <v>1254</v>
      </c>
      <c r="B1257" s="346" t="s">
        <v>318</v>
      </c>
      <c r="C1257" s="347">
        <v>1500</v>
      </c>
      <c r="D1257" s="348">
        <v>46388</v>
      </c>
      <c r="E1257" s="348">
        <v>46722</v>
      </c>
      <c r="F1257" s="346" t="s">
        <v>635</v>
      </c>
      <c r="G1257" s="350" t="s">
        <v>457</v>
      </c>
      <c r="H1257" s="351">
        <f t="shared" si="22"/>
        <v>18000</v>
      </c>
      <c r="I1257" s="120" t="str">
        <f>IF(OR(D1257&lt;Capa!$A$5,D1257&gt;Capa!$A$7,E1257&lt;Capa!$A$5,E1257&gt;Capa!$A$7,D1257&gt;E1257),"Erro","")</f>
        <v/>
      </c>
    </row>
    <row r="1258" spans="1:9" ht="67.5">
      <c r="A1258" s="345">
        <v>1255</v>
      </c>
      <c r="B1258" s="346" t="s">
        <v>318</v>
      </c>
      <c r="C1258" s="347">
        <v>1500</v>
      </c>
      <c r="D1258" s="348">
        <v>46753</v>
      </c>
      <c r="E1258" s="348">
        <v>47058</v>
      </c>
      <c r="F1258" s="346" t="s">
        <v>635</v>
      </c>
      <c r="G1258" s="350" t="s">
        <v>457</v>
      </c>
      <c r="H1258" s="351">
        <f t="shared" si="22"/>
        <v>16500</v>
      </c>
      <c r="I1258" s="120" t="str">
        <f>IF(OR(D1258&lt;Capa!$A$5,D1258&gt;Capa!$A$7,E1258&lt;Capa!$A$5,E1258&gt;Capa!$A$7,D1258&gt;E1258),"Erro","")</f>
        <v/>
      </c>
    </row>
    <row r="1259" spans="1:9" ht="22.5">
      <c r="A1259" s="345">
        <v>1256</v>
      </c>
      <c r="B1259" s="346" t="s">
        <v>298</v>
      </c>
      <c r="C1259" s="347">
        <v>2500</v>
      </c>
      <c r="D1259" s="348">
        <v>45261</v>
      </c>
      <c r="E1259" s="348">
        <v>45627</v>
      </c>
      <c r="F1259" s="346" t="s">
        <v>635</v>
      </c>
      <c r="G1259" s="350" t="s">
        <v>458</v>
      </c>
      <c r="H1259" s="351">
        <f t="shared" si="22"/>
        <v>32500</v>
      </c>
      <c r="I1259" s="120" t="str">
        <f>IF(OR(D1259&lt;Capa!$A$5,D1259&gt;Capa!$A$7,E1259&lt;Capa!$A$5,E1259&gt;Capa!$A$7,D1259&gt;E1259),"Erro","")</f>
        <v/>
      </c>
    </row>
    <row r="1260" spans="1:9" ht="22.5">
      <c r="A1260" s="345">
        <v>1257</v>
      </c>
      <c r="B1260" s="346" t="s">
        <v>298</v>
      </c>
      <c r="C1260" s="347">
        <v>2646</v>
      </c>
      <c r="D1260" s="348">
        <v>45658</v>
      </c>
      <c r="E1260" s="348">
        <v>45992</v>
      </c>
      <c r="F1260" s="346" t="s">
        <v>635</v>
      </c>
      <c r="G1260" s="350" t="s">
        <v>458</v>
      </c>
      <c r="H1260" s="351">
        <f t="shared" si="22"/>
        <v>31752</v>
      </c>
      <c r="I1260" s="120" t="str">
        <f>IF(OR(D1260&lt;Capa!$A$5,D1260&gt;Capa!$A$7,E1260&lt;Capa!$A$5,E1260&gt;Capa!$A$7,D1260&gt;E1260),"Erro","")</f>
        <v/>
      </c>
    </row>
    <row r="1261" spans="1:9" ht="22.5">
      <c r="A1261" s="345">
        <v>1258</v>
      </c>
      <c r="B1261" s="346" t="s">
        <v>298</v>
      </c>
      <c r="C1261" s="347">
        <v>2800.52</v>
      </c>
      <c r="D1261" s="348">
        <v>46023</v>
      </c>
      <c r="E1261" s="348">
        <v>46357</v>
      </c>
      <c r="F1261" s="346" t="s">
        <v>635</v>
      </c>
      <c r="G1261" s="350" t="s">
        <v>458</v>
      </c>
      <c r="H1261" s="351">
        <f t="shared" si="22"/>
        <v>33606.239999999998</v>
      </c>
      <c r="I1261" s="120" t="str">
        <f>IF(OR(D1261&lt;Capa!$A$5,D1261&gt;Capa!$A$7,E1261&lt;Capa!$A$5,E1261&gt;Capa!$A$7,D1261&gt;E1261),"Erro","")</f>
        <v/>
      </c>
    </row>
    <row r="1262" spans="1:9" ht="22.5">
      <c r="A1262" s="345">
        <v>1259</v>
      </c>
      <c r="B1262" s="346" t="s">
        <v>298</v>
      </c>
      <c r="C1262" s="347">
        <v>2964.07</v>
      </c>
      <c r="D1262" s="348">
        <v>46388</v>
      </c>
      <c r="E1262" s="348">
        <v>46722</v>
      </c>
      <c r="F1262" s="346" t="s">
        <v>635</v>
      </c>
      <c r="G1262" s="350" t="s">
        <v>458</v>
      </c>
      <c r="H1262" s="351">
        <f t="shared" si="22"/>
        <v>35568.840000000004</v>
      </c>
      <c r="I1262" s="120" t="str">
        <f>IF(OR(D1262&lt;Capa!$A$5,D1262&gt;Capa!$A$7,E1262&lt;Capa!$A$5,E1262&gt;Capa!$A$7,D1262&gt;E1262),"Erro","")</f>
        <v/>
      </c>
    </row>
    <row r="1263" spans="1:9" ht="22.5">
      <c r="A1263" s="345">
        <v>1260</v>
      </c>
      <c r="B1263" s="346" t="s">
        <v>298</v>
      </c>
      <c r="C1263" s="347">
        <v>3137.17</v>
      </c>
      <c r="D1263" s="348">
        <v>46753</v>
      </c>
      <c r="E1263" s="348">
        <v>47058</v>
      </c>
      <c r="F1263" s="346" t="s">
        <v>635</v>
      </c>
      <c r="G1263" s="350" t="s">
        <v>458</v>
      </c>
      <c r="H1263" s="351">
        <f t="shared" si="22"/>
        <v>34508.870000000003</v>
      </c>
      <c r="I1263" s="120" t="str">
        <f>IF(OR(D1263&lt;Capa!$A$5,D1263&gt;Capa!$A$7,E1263&lt;Capa!$A$5,E1263&gt;Capa!$A$7,D1263&gt;E1263),"Erro","")</f>
        <v/>
      </c>
    </row>
    <row r="1264" spans="1:9" ht="33.75">
      <c r="A1264" s="345">
        <v>1261</v>
      </c>
      <c r="B1264" s="346" t="s">
        <v>238</v>
      </c>
      <c r="C1264" s="347">
        <v>370.44</v>
      </c>
      <c r="D1264" s="348">
        <v>45658</v>
      </c>
      <c r="E1264" s="348">
        <v>45992</v>
      </c>
      <c r="F1264" s="346" t="s">
        <v>635</v>
      </c>
      <c r="G1264" s="350" t="s">
        <v>459</v>
      </c>
      <c r="H1264" s="351">
        <f t="shared" si="22"/>
        <v>4445.28</v>
      </c>
      <c r="I1264" s="120" t="str">
        <f>IF(OR(D1264&lt;Capa!$A$5,D1264&gt;Capa!$A$7,E1264&lt;Capa!$A$5,E1264&gt;Capa!$A$7,D1264&gt;E1264),"Erro","")</f>
        <v/>
      </c>
    </row>
    <row r="1265" spans="1:9" ht="33.75">
      <c r="A1265" s="345">
        <v>1262</v>
      </c>
      <c r="B1265" s="346" t="s">
        <v>238</v>
      </c>
      <c r="C1265" s="347">
        <v>392.07</v>
      </c>
      <c r="D1265" s="348">
        <v>46023</v>
      </c>
      <c r="E1265" s="348">
        <v>46357</v>
      </c>
      <c r="F1265" s="346" t="s">
        <v>635</v>
      </c>
      <c r="G1265" s="350" t="s">
        <v>459</v>
      </c>
      <c r="H1265" s="351">
        <f t="shared" si="22"/>
        <v>4704.84</v>
      </c>
      <c r="I1265" s="120" t="str">
        <f>IF(OR(D1265&lt;Capa!$A$5,D1265&gt;Capa!$A$7,E1265&lt;Capa!$A$5,E1265&gt;Capa!$A$7,D1265&gt;E1265),"Erro","")</f>
        <v/>
      </c>
    </row>
    <row r="1266" spans="1:9" ht="33.75">
      <c r="A1266" s="345">
        <v>1263</v>
      </c>
      <c r="B1266" s="346" t="s">
        <v>238</v>
      </c>
      <c r="C1266" s="347">
        <v>414.97</v>
      </c>
      <c r="D1266" s="348">
        <v>46388</v>
      </c>
      <c r="E1266" s="348">
        <v>46722</v>
      </c>
      <c r="F1266" s="346" t="s">
        <v>635</v>
      </c>
      <c r="G1266" s="350" t="s">
        <v>459</v>
      </c>
      <c r="H1266" s="351">
        <f t="shared" si="22"/>
        <v>4979.6400000000003</v>
      </c>
      <c r="I1266" s="120" t="str">
        <f>IF(OR(D1266&lt;Capa!$A$5,D1266&gt;Capa!$A$7,E1266&lt;Capa!$A$5,E1266&gt;Capa!$A$7,D1266&gt;E1266),"Erro","")</f>
        <v/>
      </c>
    </row>
    <row r="1267" spans="1:9" ht="33.75">
      <c r="A1267" s="345">
        <v>1264</v>
      </c>
      <c r="B1267" s="346" t="s">
        <v>238</v>
      </c>
      <c r="C1267" s="347">
        <v>439.21</v>
      </c>
      <c r="D1267" s="348">
        <v>46753</v>
      </c>
      <c r="E1267" s="348">
        <v>47058</v>
      </c>
      <c r="F1267" s="346" t="s">
        <v>635</v>
      </c>
      <c r="G1267" s="350" t="s">
        <v>459</v>
      </c>
      <c r="H1267" s="351">
        <f t="shared" si="22"/>
        <v>4831.3099999999995</v>
      </c>
      <c r="I1267" s="120" t="str">
        <f>IF(OR(D1267&lt;Capa!$A$5,D1267&gt;Capa!$A$7,E1267&lt;Capa!$A$5,E1267&gt;Capa!$A$7,D1267&gt;E1267),"Erro","")</f>
        <v/>
      </c>
    </row>
    <row r="1268" spans="1:9" ht="56.25">
      <c r="A1268" s="345">
        <v>1265</v>
      </c>
      <c r="B1268" s="346" t="s">
        <v>252</v>
      </c>
      <c r="C1268" s="347">
        <v>7000</v>
      </c>
      <c r="D1268" s="348">
        <v>45261</v>
      </c>
      <c r="E1268" s="348">
        <v>45627</v>
      </c>
      <c r="F1268" s="346" t="s">
        <v>635</v>
      </c>
      <c r="G1268" s="350" t="s">
        <v>460</v>
      </c>
      <c r="H1268" s="351">
        <f t="shared" si="22"/>
        <v>91000</v>
      </c>
      <c r="I1268" s="120" t="str">
        <f>IF(OR(D1268&lt;Capa!$A$5,D1268&gt;Capa!$A$7,E1268&lt;Capa!$A$5,E1268&gt;Capa!$A$7,D1268&gt;E1268),"Erro","")</f>
        <v/>
      </c>
    </row>
    <row r="1269" spans="1:9" ht="56.25">
      <c r="A1269" s="345">
        <v>1266</v>
      </c>
      <c r="B1269" s="346" t="s">
        <v>252</v>
      </c>
      <c r="C1269" s="347">
        <v>7408.8</v>
      </c>
      <c r="D1269" s="348">
        <v>45658</v>
      </c>
      <c r="E1269" s="348">
        <v>45992</v>
      </c>
      <c r="F1269" s="346" t="s">
        <v>635</v>
      </c>
      <c r="G1269" s="350" t="s">
        <v>460</v>
      </c>
      <c r="H1269" s="351">
        <f t="shared" si="22"/>
        <v>88905.600000000006</v>
      </c>
      <c r="I1269" s="120" t="str">
        <f>IF(OR(D1269&lt;Capa!$A$5,D1269&gt;Capa!$A$7,E1269&lt;Capa!$A$5,E1269&gt;Capa!$A$7,D1269&gt;E1269),"Erro","")</f>
        <v/>
      </c>
    </row>
    <row r="1270" spans="1:9" ht="56.25">
      <c r="A1270" s="345">
        <v>1267</v>
      </c>
      <c r="B1270" s="346" t="s">
        <v>252</v>
      </c>
      <c r="C1270" s="347">
        <v>7847.65</v>
      </c>
      <c r="D1270" s="348">
        <v>46023</v>
      </c>
      <c r="E1270" s="348">
        <v>46357</v>
      </c>
      <c r="F1270" s="346" t="s">
        <v>635</v>
      </c>
      <c r="G1270" s="350" t="s">
        <v>460</v>
      </c>
      <c r="H1270" s="351">
        <f t="shared" si="22"/>
        <v>94171.799999999988</v>
      </c>
      <c r="I1270" s="120" t="str">
        <f>IF(OR(D1270&lt;Capa!$A$5,D1270&gt;Capa!$A$7,E1270&lt;Capa!$A$5,E1270&gt;Capa!$A$7,D1270&gt;E1270),"Erro","")</f>
        <v/>
      </c>
    </row>
    <row r="1271" spans="1:9" ht="56.25">
      <c r="A1271" s="345">
        <v>1268</v>
      </c>
      <c r="B1271" s="346" t="s">
        <v>252</v>
      </c>
      <c r="C1271" s="347">
        <v>8305.9500000000007</v>
      </c>
      <c r="D1271" s="348">
        <v>46388</v>
      </c>
      <c r="E1271" s="348">
        <v>46722</v>
      </c>
      <c r="F1271" s="346" t="s">
        <v>635</v>
      </c>
      <c r="G1271" s="350" t="s">
        <v>460</v>
      </c>
      <c r="H1271" s="351">
        <f t="shared" si="22"/>
        <v>99671.400000000009</v>
      </c>
      <c r="I1271" s="120" t="str">
        <f>IF(OR(D1271&lt;Capa!$A$5,D1271&gt;Capa!$A$7,E1271&lt;Capa!$A$5,E1271&gt;Capa!$A$7,D1271&gt;E1271),"Erro","")</f>
        <v/>
      </c>
    </row>
    <row r="1272" spans="1:9" ht="56.25">
      <c r="A1272" s="345">
        <v>1269</v>
      </c>
      <c r="B1272" s="346" t="s">
        <v>252</v>
      </c>
      <c r="C1272" s="347">
        <v>8791.02</v>
      </c>
      <c r="D1272" s="348">
        <v>46753</v>
      </c>
      <c r="E1272" s="348">
        <v>47058</v>
      </c>
      <c r="F1272" s="346" t="s">
        <v>635</v>
      </c>
      <c r="G1272" s="350" t="s">
        <v>460</v>
      </c>
      <c r="H1272" s="351">
        <f t="shared" si="22"/>
        <v>96701.22</v>
      </c>
      <c r="I1272" s="120" t="str">
        <f>IF(OR(D1272&lt;Capa!$A$5,D1272&gt;Capa!$A$7,E1272&lt;Capa!$A$5,E1272&gt;Capa!$A$7,D1272&gt;E1272),"Erro","")</f>
        <v/>
      </c>
    </row>
    <row r="1273" spans="1:9" ht="33.75">
      <c r="A1273" s="345">
        <v>1270</v>
      </c>
      <c r="B1273" s="346" t="s">
        <v>651</v>
      </c>
      <c r="C1273" s="347">
        <v>180</v>
      </c>
      <c r="D1273" s="348">
        <v>45261</v>
      </c>
      <c r="E1273" s="348">
        <v>47058</v>
      </c>
      <c r="F1273" s="346" t="s">
        <v>635</v>
      </c>
      <c r="G1273" s="350" t="s">
        <v>710</v>
      </c>
      <c r="H1273" s="351">
        <f t="shared" si="22"/>
        <v>10800</v>
      </c>
      <c r="I1273" s="120" t="str">
        <f>IF(OR(D1273&lt;Capa!$A$5,D1273&gt;Capa!$A$7,E1273&lt;Capa!$A$5,E1273&gt;Capa!$A$7,D1273&gt;E1273),"Erro","")</f>
        <v/>
      </c>
    </row>
    <row r="1274" spans="1:9" ht="22.5">
      <c r="A1274" s="345">
        <v>1271</v>
      </c>
      <c r="B1274" s="346" t="s">
        <v>653</v>
      </c>
      <c r="C1274" s="347">
        <v>1930</v>
      </c>
      <c r="D1274" s="348">
        <v>45292</v>
      </c>
      <c r="E1274" s="348">
        <v>45627</v>
      </c>
      <c r="F1274" s="346" t="s">
        <v>635</v>
      </c>
      <c r="G1274" s="350" t="s">
        <v>712</v>
      </c>
      <c r="H1274" s="351">
        <f t="shared" si="22"/>
        <v>23160</v>
      </c>
    </row>
    <row r="1275" spans="1:9" ht="22.5">
      <c r="A1275" s="345">
        <v>1272</v>
      </c>
      <c r="B1275" s="346" t="s">
        <v>653</v>
      </c>
      <c r="C1275" s="347">
        <v>1930</v>
      </c>
      <c r="D1275" s="348">
        <v>45658</v>
      </c>
      <c r="E1275" s="348">
        <v>47058</v>
      </c>
      <c r="F1275" s="346" t="s">
        <v>635</v>
      </c>
      <c r="G1275" s="350" t="s">
        <v>712</v>
      </c>
      <c r="H1275" s="351">
        <f t="shared" si="22"/>
        <v>90710</v>
      </c>
      <c r="I1275" s="120" t="str">
        <f>IF(OR(D1275&lt;Capa!$A$5,D1275&gt;Capa!$A$7,E1275&lt;Capa!$A$5,E1275&gt;Capa!$A$7,D1275&gt;E1275),"Erro","")</f>
        <v/>
      </c>
    </row>
    <row r="1276" spans="1:9" ht="45">
      <c r="A1276" s="345">
        <v>1273</v>
      </c>
      <c r="B1276" s="346" t="s">
        <v>652</v>
      </c>
      <c r="C1276" s="347">
        <v>10000</v>
      </c>
      <c r="D1276" s="348">
        <v>45689</v>
      </c>
      <c r="E1276" s="348">
        <v>45689</v>
      </c>
      <c r="F1276" s="346" t="s">
        <v>635</v>
      </c>
      <c r="G1276" s="350" t="s">
        <v>624</v>
      </c>
      <c r="H1276" s="351">
        <f t="shared" si="22"/>
        <v>10000</v>
      </c>
      <c r="I1276" s="120" t="str">
        <f>IF(OR(D1276&lt;Capa!$A$5,D1276&gt;Capa!$A$7,E1276&lt;Capa!$A$5,E1276&gt;Capa!$A$7,D1276&gt;E1276),"Erro","")</f>
        <v/>
      </c>
    </row>
    <row r="1277" spans="1:9" ht="56.25">
      <c r="A1277" s="345">
        <v>1274</v>
      </c>
      <c r="B1277" s="346" t="s">
        <v>652</v>
      </c>
      <c r="C1277" s="347">
        <v>15000</v>
      </c>
      <c r="D1277" s="348">
        <v>46419</v>
      </c>
      <c r="E1277" s="348">
        <v>46419</v>
      </c>
      <c r="F1277" s="346" t="s">
        <v>635</v>
      </c>
      <c r="G1277" s="350" t="s">
        <v>717</v>
      </c>
      <c r="H1277" s="351">
        <f t="shared" si="22"/>
        <v>15000</v>
      </c>
      <c r="I1277" s="120" t="str">
        <f>IF(OR(D1277&lt;Capa!$A$5,D1277&gt;Capa!$A$7,E1277&lt;Capa!$A$5,E1277&gt;Capa!$A$7,D1277&gt;E1277),"Erro","")</f>
        <v/>
      </c>
    </row>
    <row r="1278" spans="1:9" ht="33.75">
      <c r="A1278" s="345">
        <v>1275</v>
      </c>
      <c r="B1278" s="346" t="s">
        <v>650</v>
      </c>
      <c r="C1278" s="347">
        <v>70</v>
      </c>
      <c r="D1278" s="348">
        <v>45261</v>
      </c>
      <c r="E1278" s="348">
        <v>47058</v>
      </c>
      <c r="F1278" s="346" t="s">
        <v>635</v>
      </c>
      <c r="G1278" s="350" t="s">
        <v>711</v>
      </c>
      <c r="H1278" s="351">
        <f t="shared" si="22"/>
        <v>4200</v>
      </c>
      <c r="I1278" s="120" t="str">
        <f>IF(OR(D1278&lt;Capa!$A$5,D1278&gt;Capa!$A$7,E1278&lt;Capa!$A$5,E1278&gt;Capa!$A$7,D1278&gt;E1278),"Erro","")</f>
        <v/>
      </c>
    </row>
    <row r="1279" spans="1:9" ht="33.75">
      <c r="A1279" s="345">
        <v>1276</v>
      </c>
      <c r="B1279" s="346" t="s">
        <v>648</v>
      </c>
      <c r="C1279" s="347">
        <v>2680</v>
      </c>
      <c r="D1279" s="348">
        <v>45323</v>
      </c>
      <c r="E1279" s="348">
        <v>45323</v>
      </c>
      <c r="F1279" s="346" t="s">
        <v>635</v>
      </c>
      <c r="G1279" s="350" t="s">
        <v>670</v>
      </c>
      <c r="H1279" s="351">
        <f t="shared" si="22"/>
        <v>2680</v>
      </c>
      <c r="I1279" s="120" t="str">
        <f>IF(OR(D1279&lt;Capa!$A$5,D1279&gt;Capa!$A$7,E1279&lt;Capa!$A$5,E1279&gt;Capa!$A$7,D1279&gt;E1279),"Erro","")</f>
        <v/>
      </c>
    </row>
    <row r="1280" spans="1:9" ht="33.75">
      <c r="A1280" s="345">
        <v>1277</v>
      </c>
      <c r="B1280" s="346" t="s">
        <v>648</v>
      </c>
      <c r="C1280" s="347">
        <v>2836.51</v>
      </c>
      <c r="D1280" s="348">
        <v>45658</v>
      </c>
      <c r="E1280" s="348">
        <v>45658</v>
      </c>
      <c r="F1280" s="346" t="s">
        <v>635</v>
      </c>
      <c r="G1280" s="350" t="s">
        <v>670</v>
      </c>
      <c r="H1280" s="351">
        <f t="shared" si="22"/>
        <v>2836.51</v>
      </c>
      <c r="I1280" s="120" t="str">
        <f>IF(OR(D1280&lt;Capa!$A$5,D1280&gt;Capa!$A$7,E1280&lt;Capa!$A$5,E1280&gt;Capa!$A$7,D1280&gt;E1280),"Erro","")</f>
        <v/>
      </c>
    </row>
    <row r="1281" spans="1:9" ht="33.75">
      <c r="A1281" s="345">
        <v>1278</v>
      </c>
      <c r="B1281" s="346" t="s">
        <v>648</v>
      </c>
      <c r="C1281" s="347">
        <v>3002.16</v>
      </c>
      <c r="D1281" s="348">
        <v>46023</v>
      </c>
      <c r="E1281" s="348">
        <v>46023</v>
      </c>
      <c r="F1281" s="346" t="s">
        <v>635</v>
      </c>
      <c r="G1281" s="350" t="s">
        <v>670</v>
      </c>
      <c r="H1281" s="351">
        <f t="shared" si="22"/>
        <v>3002.16</v>
      </c>
      <c r="I1281" s="120" t="str">
        <f>IF(OR(D1281&lt;Capa!$A$5,D1281&gt;Capa!$A$7,E1281&lt;Capa!$A$5,E1281&gt;Capa!$A$7,D1281&gt;E1281),"Erro","")</f>
        <v/>
      </c>
    </row>
    <row r="1282" spans="1:9" ht="33.75">
      <c r="A1282" s="345">
        <v>1279</v>
      </c>
      <c r="B1282" s="346" t="s">
        <v>648</v>
      </c>
      <c r="C1282" s="347">
        <v>3177.49</v>
      </c>
      <c r="D1282" s="348">
        <v>46388</v>
      </c>
      <c r="E1282" s="348">
        <v>46388</v>
      </c>
      <c r="F1282" s="346" t="s">
        <v>635</v>
      </c>
      <c r="G1282" s="350" t="s">
        <v>670</v>
      </c>
      <c r="H1282" s="351">
        <f t="shared" si="22"/>
        <v>3177.49</v>
      </c>
      <c r="I1282" s="120" t="str">
        <f>IF(OR(D1282&lt;Capa!$A$5,D1282&gt;Capa!$A$7,E1282&lt;Capa!$A$5,E1282&gt;Capa!$A$7,D1282&gt;E1282),"Erro","")</f>
        <v/>
      </c>
    </row>
    <row r="1283" spans="1:9" ht="33.75">
      <c r="A1283" s="345">
        <v>1280</v>
      </c>
      <c r="B1283" s="346" t="s">
        <v>648</v>
      </c>
      <c r="C1283" s="347">
        <v>4292.42</v>
      </c>
      <c r="D1283" s="348">
        <v>46753</v>
      </c>
      <c r="E1283" s="348">
        <v>46753</v>
      </c>
      <c r="F1283" s="346" t="s">
        <v>635</v>
      </c>
      <c r="G1283" s="350" t="s">
        <v>670</v>
      </c>
      <c r="H1283" s="351">
        <f t="shared" si="22"/>
        <v>4292.42</v>
      </c>
      <c r="I1283" s="120" t="str">
        <f>IF(OR(D1283&lt;Capa!$A$5,D1283&gt;Capa!$A$7,E1283&lt;Capa!$A$5,E1283&gt;Capa!$A$7,D1283&gt;E1283),"Erro","")</f>
        <v/>
      </c>
    </row>
    <row r="1284" spans="1:9" ht="22.5">
      <c r="A1284" s="345">
        <v>1281</v>
      </c>
      <c r="B1284" s="346" t="s">
        <v>649</v>
      </c>
      <c r="C1284" s="347">
        <v>70000</v>
      </c>
      <c r="D1284" s="348">
        <v>45748</v>
      </c>
      <c r="E1284" s="348">
        <v>45748</v>
      </c>
      <c r="F1284" s="346" t="s">
        <v>635</v>
      </c>
      <c r="G1284" s="350" t="s">
        <v>739</v>
      </c>
      <c r="H1284" s="351">
        <f t="shared" si="22"/>
        <v>70000</v>
      </c>
    </row>
    <row r="1285" spans="1:9" ht="33.75">
      <c r="A1285" s="345">
        <v>1282</v>
      </c>
      <c r="B1285" s="346" t="s">
        <v>649</v>
      </c>
      <c r="C1285" s="347">
        <v>1643</v>
      </c>
      <c r="D1285" s="348">
        <v>45292</v>
      </c>
      <c r="E1285" s="348">
        <v>47058</v>
      </c>
      <c r="F1285" s="346" t="s">
        <v>635</v>
      </c>
      <c r="G1285" s="350" t="s">
        <v>705</v>
      </c>
      <c r="H1285" s="351">
        <f t="shared" si="22"/>
        <v>96937</v>
      </c>
      <c r="I1285" s="120" t="str">
        <f>IF(OR(D1285&lt;Capa!$A$5,D1285&gt;Capa!$A$7,E1285&lt;Capa!$A$5,E1285&gt;Capa!$A$7,D1285&gt;E1285),"Erro","")</f>
        <v/>
      </c>
    </row>
    <row r="1286" spans="1:9" ht="33.75">
      <c r="A1286" s="345">
        <v>1283</v>
      </c>
      <c r="B1286" s="346" t="s">
        <v>654</v>
      </c>
      <c r="C1286" s="347">
        <v>600</v>
      </c>
      <c r="D1286" s="348">
        <v>45261</v>
      </c>
      <c r="E1286" s="348">
        <v>45627</v>
      </c>
      <c r="F1286" s="346" t="s">
        <v>635</v>
      </c>
      <c r="G1286" s="350" t="s">
        <v>706</v>
      </c>
      <c r="H1286" s="351">
        <f t="shared" si="22"/>
        <v>7800</v>
      </c>
    </row>
    <row r="1287" spans="1:9" ht="33.75">
      <c r="A1287" s="345">
        <v>1284</v>
      </c>
      <c r="B1287" s="346" t="s">
        <v>654</v>
      </c>
      <c r="C1287" s="347">
        <v>1100</v>
      </c>
      <c r="D1287" s="348">
        <v>45658</v>
      </c>
      <c r="E1287" s="348">
        <v>47058</v>
      </c>
      <c r="F1287" s="346" t="s">
        <v>635</v>
      </c>
      <c r="G1287" s="350" t="s">
        <v>706</v>
      </c>
      <c r="H1287" s="351">
        <f t="shared" si="22"/>
        <v>51700</v>
      </c>
      <c r="I1287" s="120" t="str">
        <f>IF(OR(D1287&lt;Capa!$A$5,D1287&gt;Capa!$A$7,E1287&lt;Capa!$A$5,E1287&gt;Capa!$A$7,D1287&gt;E1287),"Erro","")</f>
        <v/>
      </c>
    </row>
    <row r="1288" spans="1:9" ht="22.5">
      <c r="A1288" s="345">
        <v>1285</v>
      </c>
      <c r="B1288" s="346" t="s">
        <v>656</v>
      </c>
      <c r="C1288" s="347">
        <v>200</v>
      </c>
      <c r="D1288" s="348">
        <v>45261</v>
      </c>
      <c r="E1288" s="348">
        <v>47058</v>
      </c>
      <c r="F1288" s="346" t="s">
        <v>635</v>
      </c>
      <c r="G1288" s="350" t="s">
        <v>707</v>
      </c>
      <c r="H1288" s="351">
        <f t="shared" si="22"/>
        <v>12000</v>
      </c>
      <c r="I1288" s="120" t="str">
        <f>IF(OR(D1288&lt;Capa!$A$5,D1288&gt;Capa!$A$7,E1288&lt;Capa!$A$5,E1288&gt;Capa!$A$7,D1288&gt;E1288),"Erro","")</f>
        <v/>
      </c>
    </row>
    <row r="1289" spans="1:9" ht="22.5">
      <c r="A1289" s="345">
        <v>1286</v>
      </c>
      <c r="B1289" s="346" t="s">
        <v>658</v>
      </c>
      <c r="C1289" s="347">
        <v>50</v>
      </c>
      <c r="D1289" s="348">
        <v>45261</v>
      </c>
      <c r="E1289" s="348">
        <v>47058</v>
      </c>
      <c r="F1289" s="346" t="s">
        <v>635</v>
      </c>
      <c r="G1289" s="350" t="s">
        <v>709</v>
      </c>
      <c r="H1289" s="351">
        <f t="shared" si="22"/>
        <v>3000</v>
      </c>
      <c r="I1289" s="120" t="str">
        <f>IF(OR(D1289&lt;Capa!$A$5,D1289&gt;Capa!$A$7,E1289&lt;Capa!$A$5,E1289&gt;Capa!$A$7,D1289&gt;E1289),"Erro","")</f>
        <v/>
      </c>
    </row>
    <row r="1290" spans="1:9" ht="33.75">
      <c r="A1290" s="345">
        <v>1287</v>
      </c>
      <c r="B1290" s="346" t="s">
        <v>657</v>
      </c>
      <c r="C1290" s="347">
        <v>350</v>
      </c>
      <c r="D1290" s="348">
        <v>45658</v>
      </c>
      <c r="E1290" s="348">
        <v>47058</v>
      </c>
      <c r="F1290" s="346" t="s">
        <v>635</v>
      </c>
      <c r="G1290" s="350" t="s">
        <v>708</v>
      </c>
      <c r="H1290" s="351">
        <f t="shared" si="22"/>
        <v>16450</v>
      </c>
      <c r="I1290" s="120" t="str">
        <f>IF(OR(D1290&lt;Capa!$A$5,D1290&gt;Capa!$A$7,E1290&lt;Capa!$A$5,E1290&gt;Capa!$A$7,D1290&gt;E1290),"Erro","")</f>
        <v/>
      </c>
    </row>
    <row r="1291" spans="1:9" ht="45">
      <c r="A1291" s="345">
        <v>1288</v>
      </c>
      <c r="B1291" s="346" t="s">
        <v>320</v>
      </c>
      <c r="C1291" s="347">
        <v>4545.7737500000003</v>
      </c>
      <c r="D1291" s="348">
        <v>45778</v>
      </c>
      <c r="E1291" s="348">
        <v>45992</v>
      </c>
      <c r="F1291" s="346" t="s">
        <v>635</v>
      </c>
      <c r="G1291" s="350" t="s">
        <v>596</v>
      </c>
      <c r="H1291" s="351">
        <f t="shared" si="22"/>
        <v>36366.19</v>
      </c>
    </row>
    <row r="1292" spans="1:9" ht="45">
      <c r="A1292" s="345">
        <v>1289</v>
      </c>
      <c r="B1292" s="346" t="s">
        <v>320</v>
      </c>
      <c r="C1292" s="347">
        <v>250</v>
      </c>
      <c r="D1292" s="348">
        <v>45748</v>
      </c>
      <c r="E1292" s="348">
        <v>47058</v>
      </c>
      <c r="F1292" s="346" t="s">
        <v>635</v>
      </c>
      <c r="G1292" s="350" t="s">
        <v>596</v>
      </c>
      <c r="H1292" s="351">
        <f t="shared" si="22"/>
        <v>11000</v>
      </c>
      <c r="I1292" s="120" t="str">
        <f>IF(OR(D1292&lt;Capa!$A$5,D1292&gt;Capa!$A$7,E1292&lt;Capa!$A$5,E1292&gt;Capa!$A$7,D1292&gt;E1292),"Erro","")</f>
        <v/>
      </c>
    </row>
    <row r="1293" spans="1:9" ht="22.5">
      <c r="A1293" s="345">
        <v>1290</v>
      </c>
      <c r="B1293" s="346" t="s">
        <v>198</v>
      </c>
      <c r="C1293" s="347">
        <v>9000</v>
      </c>
      <c r="D1293" s="348">
        <v>45261</v>
      </c>
      <c r="E1293" s="348">
        <v>45627</v>
      </c>
      <c r="F1293" s="346" t="s">
        <v>636</v>
      </c>
      <c r="G1293" s="350" t="s">
        <v>438</v>
      </c>
      <c r="H1293" s="351">
        <f t="shared" si="22"/>
        <v>117000</v>
      </c>
      <c r="I1293" s="120" t="str">
        <f>IF(OR(D1293&lt;Capa!$A$5,D1293&gt;Capa!$A$7,E1293&lt;Capa!$A$5,E1293&gt;Capa!$A$7,D1293&gt;E1293),"Erro","")</f>
        <v/>
      </c>
    </row>
    <row r="1294" spans="1:9" ht="22.5">
      <c r="A1294" s="345">
        <v>1291</v>
      </c>
      <c r="B1294" s="346" t="s">
        <v>198</v>
      </c>
      <c r="C1294" s="347">
        <v>9525.6</v>
      </c>
      <c r="D1294" s="348">
        <v>45658</v>
      </c>
      <c r="E1294" s="348">
        <v>45992</v>
      </c>
      <c r="F1294" s="346" t="s">
        <v>636</v>
      </c>
      <c r="G1294" s="350" t="s">
        <v>438</v>
      </c>
      <c r="H1294" s="351">
        <f t="shared" si="22"/>
        <v>114307.20000000001</v>
      </c>
      <c r="I1294" s="120" t="str">
        <f>IF(OR(D1294&lt;Capa!$A$5,D1294&gt;Capa!$A$7,E1294&lt;Capa!$A$5,E1294&gt;Capa!$A$7,D1294&gt;E1294),"Erro","")</f>
        <v/>
      </c>
    </row>
    <row r="1295" spans="1:9" ht="22.5">
      <c r="A1295" s="345">
        <v>1292</v>
      </c>
      <c r="B1295" s="346" t="s">
        <v>198</v>
      </c>
      <c r="C1295" s="347">
        <v>10081.89</v>
      </c>
      <c r="D1295" s="348">
        <v>46023</v>
      </c>
      <c r="E1295" s="348">
        <v>46357</v>
      </c>
      <c r="F1295" s="346" t="s">
        <v>636</v>
      </c>
      <c r="G1295" s="350" t="s">
        <v>438</v>
      </c>
      <c r="H1295" s="351">
        <f t="shared" si="22"/>
        <v>120982.68</v>
      </c>
      <c r="I1295" s="120" t="str">
        <f>IF(OR(D1295&lt;Capa!$A$5,D1295&gt;Capa!$A$7,E1295&lt;Capa!$A$5,E1295&gt;Capa!$A$7,D1295&gt;E1295),"Erro","")</f>
        <v/>
      </c>
    </row>
    <row r="1296" spans="1:9" ht="22.5">
      <c r="A1296" s="345">
        <v>1293</v>
      </c>
      <c r="B1296" s="346" t="s">
        <v>198</v>
      </c>
      <c r="C1296" s="347">
        <v>10670.67</v>
      </c>
      <c r="D1296" s="348">
        <v>46388</v>
      </c>
      <c r="E1296" s="348">
        <v>46722</v>
      </c>
      <c r="F1296" s="346" t="s">
        <v>636</v>
      </c>
      <c r="G1296" s="350" t="s">
        <v>438</v>
      </c>
      <c r="H1296" s="351">
        <f t="shared" si="22"/>
        <v>128048.04000000001</v>
      </c>
      <c r="I1296" s="120" t="str">
        <f>IF(OR(D1296&lt;Capa!$A$5,D1296&gt;Capa!$A$7,E1296&lt;Capa!$A$5,E1296&gt;Capa!$A$7,D1296&gt;E1296),"Erro","")</f>
        <v/>
      </c>
    </row>
    <row r="1297" spans="1:9" ht="22.5">
      <c r="A1297" s="345">
        <v>1294</v>
      </c>
      <c r="B1297" s="346" t="s">
        <v>198</v>
      </c>
      <c r="C1297" s="347">
        <v>11293.84</v>
      </c>
      <c r="D1297" s="348">
        <v>46753</v>
      </c>
      <c r="E1297" s="348">
        <v>47058</v>
      </c>
      <c r="F1297" s="346" t="s">
        <v>636</v>
      </c>
      <c r="G1297" s="350" t="s">
        <v>438</v>
      </c>
      <c r="H1297" s="351">
        <f t="shared" si="22"/>
        <v>124232.24</v>
      </c>
      <c r="I1297" s="120" t="str">
        <f>IF(OR(D1297&lt;Capa!$A$5,D1297&gt;Capa!$A$7,E1297&lt;Capa!$A$5,E1297&gt;Capa!$A$7,D1297&gt;E1297),"Erro","")</f>
        <v/>
      </c>
    </row>
    <row r="1298" spans="1:9" ht="22.5">
      <c r="A1298" s="345">
        <v>1295</v>
      </c>
      <c r="B1298" s="346" t="s">
        <v>202</v>
      </c>
      <c r="C1298" s="347">
        <v>875</v>
      </c>
      <c r="D1298" s="348">
        <v>45292</v>
      </c>
      <c r="E1298" s="348">
        <v>45627</v>
      </c>
      <c r="F1298" s="346" t="s">
        <v>636</v>
      </c>
      <c r="G1298" s="350" t="s">
        <v>439</v>
      </c>
      <c r="H1298" s="351">
        <f t="shared" si="22"/>
        <v>10500</v>
      </c>
      <c r="I1298" s="120" t="str">
        <f>IF(OR(D1298&lt;Capa!$A$5,D1298&gt;Capa!$A$7,E1298&lt;Capa!$A$5,E1298&gt;Capa!$A$7,D1298&gt;E1298),"Erro","")</f>
        <v/>
      </c>
    </row>
    <row r="1299" spans="1:9" ht="22.5">
      <c r="A1299" s="345">
        <v>1296</v>
      </c>
      <c r="B1299" s="346" t="s">
        <v>202</v>
      </c>
      <c r="C1299" s="347">
        <v>926.1</v>
      </c>
      <c r="D1299" s="348">
        <v>45658</v>
      </c>
      <c r="E1299" s="348">
        <v>45992</v>
      </c>
      <c r="F1299" s="346" t="s">
        <v>636</v>
      </c>
      <c r="G1299" s="350" t="s">
        <v>439</v>
      </c>
      <c r="H1299" s="351">
        <f t="shared" si="22"/>
        <v>11113.2</v>
      </c>
      <c r="I1299" s="120" t="str">
        <f>IF(OR(D1299&lt;Capa!$A$5,D1299&gt;Capa!$A$7,E1299&lt;Capa!$A$5,E1299&gt;Capa!$A$7,D1299&gt;E1299),"Erro","")</f>
        <v/>
      </c>
    </row>
    <row r="1300" spans="1:9" ht="22.5">
      <c r="A1300" s="345">
        <v>1297</v>
      </c>
      <c r="B1300" s="346" t="s">
        <v>202</v>
      </c>
      <c r="C1300" s="347">
        <v>980.18</v>
      </c>
      <c r="D1300" s="348">
        <v>46023</v>
      </c>
      <c r="E1300" s="348">
        <v>46357</v>
      </c>
      <c r="F1300" s="346" t="s">
        <v>636</v>
      </c>
      <c r="G1300" s="350" t="s">
        <v>439</v>
      </c>
      <c r="H1300" s="351">
        <f t="shared" si="22"/>
        <v>11762.16</v>
      </c>
      <c r="I1300" s="120" t="str">
        <f>IF(OR(D1300&lt;Capa!$A$5,D1300&gt;Capa!$A$7,E1300&lt;Capa!$A$5,E1300&gt;Capa!$A$7,D1300&gt;E1300),"Erro","")</f>
        <v/>
      </c>
    </row>
    <row r="1301" spans="1:9" ht="22.5">
      <c r="A1301" s="345">
        <v>1298</v>
      </c>
      <c r="B1301" s="346" t="s">
        <v>202</v>
      </c>
      <c r="C1301" s="347">
        <v>1037.42</v>
      </c>
      <c r="D1301" s="348">
        <v>46388</v>
      </c>
      <c r="E1301" s="348">
        <v>46722</v>
      </c>
      <c r="F1301" s="346" t="s">
        <v>636</v>
      </c>
      <c r="G1301" s="350" t="s">
        <v>439</v>
      </c>
      <c r="H1301" s="351">
        <f t="shared" si="22"/>
        <v>12449.04</v>
      </c>
      <c r="I1301" s="120" t="str">
        <f>IF(OR(D1301&lt;Capa!$A$5,D1301&gt;Capa!$A$7,E1301&lt;Capa!$A$5,E1301&gt;Capa!$A$7,D1301&gt;E1301),"Erro","")</f>
        <v/>
      </c>
    </row>
    <row r="1302" spans="1:9" ht="22.5">
      <c r="A1302" s="345">
        <v>1299</v>
      </c>
      <c r="B1302" s="346" t="s">
        <v>202</v>
      </c>
      <c r="C1302" s="347">
        <v>1098.01</v>
      </c>
      <c r="D1302" s="348">
        <v>46753</v>
      </c>
      <c r="E1302" s="348">
        <v>47058</v>
      </c>
      <c r="F1302" s="346" t="s">
        <v>636</v>
      </c>
      <c r="G1302" s="350" t="s">
        <v>439</v>
      </c>
      <c r="H1302" s="351">
        <f t="shared" si="22"/>
        <v>12078.11</v>
      </c>
      <c r="I1302" s="120" t="str">
        <f>IF(OR(D1302&lt;Capa!$A$5,D1302&gt;Capa!$A$7,E1302&lt;Capa!$A$5,E1302&gt;Capa!$A$7,D1302&gt;E1302),"Erro","")</f>
        <v/>
      </c>
    </row>
    <row r="1303" spans="1:9" ht="22.5">
      <c r="A1303" s="345">
        <v>1300</v>
      </c>
      <c r="B1303" s="346" t="s">
        <v>204</v>
      </c>
      <c r="C1303" s="347">
        <v>2450.6999999999998</v>
      </c>
      <c r="D1303" s="348">
        <v>45292</v>
      </c>
      <c r="E1303" s="348">
        <v>45627</v>
      </c>
      <c r="F1303" s="346" t="s">
        <v>636</v>
      </c>
      <c r="G1303" s="350" t="s">
        <v>439</v>
      </c>
      <c r="H1303" s="351">
        <f t="shared" si="22"/>
        <v>29408.399999999998</v>
      </c>
      <c r="I1303" s="120" t="str">
        <f>IF(OR(D1303&lt;Capa!$A$5,D1303&gt;Capa!$A$7,E1303&lt;Capa!$A$5,E1303&gt;Capa!$A$7,D1303&gt;E1303),"Erro","")</f>
        <v/>
      </c>
    </row>
    <row r="1304" spans="1:9" ht="22.5">
      <c r="A1304" s="345">
        <v>1301</v>
      </c>
      <c r="B1304" s="346" t="s">
        <v>204</v>
      </c>
      <c r="C1304" s="347">
        <v>1960</v>
      </c>
      <c r="D1304" s="348">
        <v>45658</v>
      </c>
      <c r="E1304" s="348">
        <v>45992</v>
      </c>
      <c r="F1304" s="346" t="s">
        <v>636</v>
      </c>
      <c r="G1304" s="350" t="s">
        <v>439</v>
      </c>
      <c r="H1304" s="351">
        <f t="shared" si="22"/>
        <v>23520</v>
      </c>
      <c r="I1304" s="120" t="str">
        <f>IF(OR(D1304&lt;Capa!$A$5,D1304&gt;Capa!$A$7,E1304&lt;Capa!$A$5,E1304&gt;Capa!$A$7,D1304&gt;E1304),"Erro","")</f>
        <v/>
      </c>
    </row>
    <row r="1305" spans="1:9" ht="22.5">
      <c r="A1305" s="345">
        <v>1302</v>
      </c>
      <c r="B1305" s="346" t="s">
        <v>204</v>
      </c>
      <c r="C1305" s="347">
        <v>1960</v>
      </c>
      <c r="D1305" s="348">
        <v>46023</v>
      </c>
      <c r="E1305" s="348">
        <v>46357</v>
      </c>
      <c r="F1305" s="346" t="s">
        <v>636</v>
      </c>
      <c r="G1305" s="350" t="s">
        <v>439</v>
      </c>
      <c r="H1305" s="351">
        <f t="shared" si="22"/>
        <v>23520</v>
      </c>
      <c r="I1305" s="120" t="str">
        <f>IF(OR(D1305&lt;Capa!$A$5,D1305&gt;Capa!$A$7,E1305&lt;Capa!$A$5,E1305&gt;Capa!$A$7,D1305&gt;E1305),"Erro","")</f>
        <v/>
      </c>
    </row>
    <row r="1306" spans="1:9" ht="22.5">
      <c r="A1306" s="345">
        <v>1303</v>
      </c>
      <c r="B1306" s="346" t="s">
        <v>204</v>
      </c>
      <c r="C1306" s="347">
        <v>1960</v>
      </c>
      <c r="D1306" s="348">
        <v>46388</v>
      </c>
      <c r="E1306" s="348">
        <v>46722</v>
      </c>
      <c r="F1306" s="346" t="s">
        <v>636</v>
      </c>
      <c r="G1306" s="350" t="s">
        <v>439</v>
      </c>
      <c r="H1306" s="351">
        <f t="shared" si="22"/>
        <v>23520</v>
      </c>
      <c r="I1306" s="120" t="str">
        <f>IF(OR(D1306&lt;Capa!$A$5,D1306&gt;Capa!$A$7,E1306&lt;Capa!$A$5,E1306&gt;Capa!$A$7,D1306&gt;E1306),"Erro","")</f>
        <v/>
      </c>
    </row>
    <row r="1307" spans="1:9" ht="22.5">
      <c r="A1307" s="345">
        <v>1304</v>
      </c>
      <c r="B1307" s="346" t="s">
        <v>204</v>
      </c>
      <c r="C1307" s="347">
        <v>1960</v>
      </c>
      <c r="D1307" s="348">
        <v>46753</v>
      </c>
      <c r="E1307" s="348">
        <v>47058</v>
      </c>
      <c r="F1307" s="346" t="s">
        <v>636</v>
      </c>
      <c r="G1307" s="350" t="s">
        <v>439</v>
      </c>
      <c r="H1307" s="351">
        <f t="shared" si="22"/>
        <v>21560</v>
      </c>
      <c r="I1307" s="120" t="str">
        <f>IF(OR(D1307&lt;Capa!$A$5,D1307&gt;Capa!$A$7,E1307&lt;Capa!$A$5,E1307&gt;Capa!$A$7,D1307&gt;E1307),"Erro","")</f>
        <v/>
      </c>
    </row>
    <row r="1308" spans="1:9" ht="22.5">
      <c r="A1308" s="345">
        <v>1305</v>
      </c>
      <c r="B1308" s="346" t="s">
        <v>206</v>
      </c>
      <c r="C1308" s="347">
        <v>1441.64</v>
      </c>
      <c r="D1308" s="348">
        <v>45261</v>
      </c>
      <c r="E1308" s="348">
        <v>45627</v>
      </c>
      <c r="F1308" s="346" t="s">
        <v>636</v>
      </c>
      <c r="G1308" s="350" t="s">
        <v>440</v>
      </c>
      <c r="H1308" s="351">
        <f t="shared" si="22"/>
        <v>18741.32</v>
      </c>
      <c r="I1308" s="120" t="str">
        <f>IF(OR(D1308&lt;Capa!$A$5,D1308&gt;Capa!$A$7,E1308&lt;Capa!$A$5,E1308&gt;Capa!$A$7,D1308&gt;E1308),"Erro","")</f>
        <v/>
      </c>
    </row>
    <row r="1309" spans="1:9" ht="22.5">
      <c r="A1309" s="345">
        <v>1306</v>
      </c>
      <c r="B1309" s="346" t="s">
        <v>206</v>
      </c>
      <c r="C1309" s="347">
        <v>1525.84</v>
      </c>
      <c r="D1309" s="348">
        <v>45658</v>
      </c>
      <c r="E1309" s="348">
        <v>45992</v>
      </c>
      <c r="F1309" s="346" t="s">
        <v>636</v>
      </c>
      <c r="G1309" s="350" t="s">
        <v>440</v>
      </c>
      <c r="H1309" s="351">
        <f t="shared" si="22"/>
        <v>18310.079999999998</v>
      </c>
      <c r="I1309" s="120" t="str">
        <f>IF(OR(D1309&lt;Capa!$A$5,D1309&gt;Capa!$A$7,E1309&lt;Capa!$A$5,E1309&gt;Capa!$A$7,D1309&gt;E1309),"Erro","")</f>
        <v/>
      </c>
    </row>
    <row r="1310" spans="1:9" ht="22.5">
      <c r="A1310" s="345">
        <v>1307</v>
      </c>
      <c r="B1310" s="346" t="s">
        <v>206</v>
      </c>
      <c r="C1310" s="347">
        <v>1614.95</v>
      </c>
      <c r="D1310" s="348">
        <v>46023</v>
      </c>
      <c r="E1310" s="348">
        <v>46357</v>
      </c>
      <c r="F1310" s="346" t="s">
        <v>636</v>
      </c>
      <c r="G1310" s="350" t="s">
        <v>440</v>
      </c>
      <c r="H1310" s="351">
        <f t="shared" si="22"/>
        <v>19379.400000000001</v>
      </c>
      <c r="I1310" s="120" t="str">
        <f>IF(OR(D1310&lt;Capa!$A$5,D1310&gt;Capa!$A$7,E1310&lt;Capa!$A$5,E1310&gt;Capa!$A$7,D1310&gt;E1310),"Erro","")</f>
        <v/>
      </c>
    </row>
    <row r="1311" spans="1:9" ht="22.5">
      <c r="A1311" s="345">
        <v>1308</v>
      </c>
      <c r="B1311" s="346" t="s">
        <v>206</v>
      </c>
      <c r="C1311" s="347">
        <v>1709.26</v>
      </c>
      <c r="D1311" s="348">
        <v>46388</v>
      </c>
      <c r="E1311" s="348">
        <v>46722</v>
      </c>
      <c r="F1311" s="346" t="s">
        <v>636</v>
      </c>
      <c r="G1311" s="350" t="s">
        <v>440</v>
      </c>
      <c r="H1311" s="351">
        <f t="shared" ref="H1311:H1371" si="23">IFERROR((DATEDIF(D1311,E1311,"M")+1)*C1311,0)</f>
        <v>20511.12</v>
      </c>
      <c r="I1311" s="120" t="str">
        <f>IF(OR(D1311&lt;Capa!$A$5,D1311&gt;Capa!$A$7,E1311&lt;Capa!$A$5,E1311&gt;Capa!$A$7,D1311&gt;E1311),"Erro","")</f>
        <v/>
      </c>
    </row>
    <row r="1312" spans="1:9" ht="22.5">
      <c r="A1312" s="345">
        <v>1309</v>
      </c>
      <c r="B1312" s="346" t="s">
        <v>206</v>
      </c>
      <c r="C1312" s="347">
        <v>1809.08</v>
      </c>
      <c r="D1312" s="348">
        <v>46753</v>
      </c>
      <c r="E1312" s="348">
        <v>47058</v>
      </c>
      <c r="F1312" s="346" t="s">
        <v>636</v>
      </c>
      <c r="G1312" s="350" t="s">
        <v>440</v>
      </c>
      <c r="H1312" s="351">
        <f t="shared" si="23"/>
        <v>19899.879999999997</v>
      </c>
      <c r="I1312" s="120" t="str">
        <f>IF(OR(D1312&lt;Capa!$A$5,D1312&gt;Capa!$A$7,E1312&lt;Capa!$A$5,E1312&gt;Capa!$A$7,D1312&gt;E1312),"Erro","")</f>
        <v/>
      </c>
    </row>
    <row r="1313" spans="1:9" ht="22.5">
      <c r="A1313" s="345">
        <v>1310</v>
      </c>
      <c r="B1313" s="346" t="s">
        <v>208</v>
      </c>
      <c r="C1313" s="347">
        <v>1638</v>
      </c>
      <c r="D1313" s="348">
        <v>45261</v>
      </c>
      <c r="E1313" s="348">
        <v>45627</v>
      </c>
      <c r="F1313" s="346" t="s">
        <v>636</v>
      </c>
      <c r="G1313" s="350" t="s">
        <v>440</v>
      </c>
      <c r="H1313" s="351">
        <f t="shared" si="23"/>
        <v>21294</v>
      </c>
      <c r="I1313" s="120" t="str">
        <f>IF(OR(D1313&lt;Capa!$A$5,D1313&gt;Capa!$A$7,E1313&lt;Capa!$A$5,E1313&gt;Capa!$A$7,D1313&gt;E1313),"Erro","")</f>
        <v/>
      </c>
    </row>
    <row r="1314" spans="1:9" ht="22.5">
      <c r="A1314" s="345">
        <v>1311</v>
      </c>
      <c r="B1314" s="346" t="s">
        <v>208</v>
      </c>
      <c r="C1314" s="347">
        <v>1733.89</v>
      </c>
      <c r="D1314" s="348">
        <v>45658</v>
      </c>
      <c r="E1314" s="348">
        <v>45992</v>
      </c>
      <c r="F1314" s="346" t="s">
        <v>636</v>
      </c>
      <c r="G1314" s="350" t="s">
        <v>440</v>
      </c>
      <c r="H1314" s="351">
        <f t="shared" si="23"/>
        <v>20806.68</v>
      </c>
      <c r="I1314" s="120" t="str">
        <f>IF(OR(D1314&lt;Capa!$A$5,D1314&gt;Capa!$A$7,E1314&lt;Capa!$A$5,E1314&gt;Capa!$A$7,D1314&gt;E1314),"Erro","")</f>
        <v/>
      </c>
    </row>
    <row r="1315" spans="1:9" ht="22.5">
      <c r="A1315" s="345">
        <v>1312</v>
      </c>
      <c r="B1315" s="346" t="s">
        <v>208</v>
      </c>
      <c r="C1315" s="347">
        <v>1835.15</v>
      </c>
      <c r="D1315" s="348">
        <v>46023</v>
      </c>
      <c r="E1315" s="348">
        <v>46357</v>
      </c>
      <c r="F1315" s="346" t="s">
        <v>636</v>
      </c>
      <c r="G1315" s="350" t="s">
        <v>440</v>
      </c>
      <c r="H1315" s="351">
        <f t="shared" si="23"/>
        <v>22021.800000000003</v>
      </c>
      <c r="I1315" s="120" t="str">
        <f>IF(OR(D1315&lt;Capa!$A$5,D1315&gt;Capa!$A$7,E1315&lt;Capa!$A$5,E1315&gt;Capa!$A$7,D1315&gt;E1315),"Erro","")</f>
        <v/>
      </c>
    </row>
    <row r="1316" spans="1:9" ht="22.5">
      <c r="A1316" s="345">
        <v>1313</v>
      </c>
      <c r="B1316" s="346" t="s">
        <v>208</v>
      </c>
      <c r="C1316" s="347">
        <v>1942.32</v>
      </c>
      <c r="D1316" s="348">
        <v>46388</v>
      </c>
      <c r="E1316" s="348">
        <v>46722</v>
      </c>
      <c r="F1316" s="346" t="s">
        <v>636</v>
      </c>
      <c r="G1316" s="350" t="s">
        <v>440</v>
      </c>
      <c r="H1316" s="351">
        <f t="shared" si="23"/>
        <v>23307.84</v>
      </c>
      <c r="I1316" s="120" t="str">
        <f>IF(OR(D1316&lt;Capa!$A$5,D1316&gt;Capa!$A$7,E1316&lt;Capa!$A$5,E1316&gt;Capa!$A$7,D1316&gt;E1316),"Erro","")</f>
        <v/>
      </c>
    </row>
    <row r="1317" spans="1:9" ht="22.5">
      <c r="A1317" s="345">
        <v>1314</v>
      </c>
      <c r="B1317" s="346" t="s">
        <v>208</v>
      </c>
      <c r="C1317" s="347">
        <v>2055.75</v>
      </c>
      <c r="D1317" s="348">
        <v>46753</v>
      </c>
      <c r="E1317" s="348">
        <v>47058</v>
      </c>
      <c r="F1317" s="346" t="s">
        <v>636</v>
      </c>
      <c r="G1317" s="350" t="s">
        <v>440</v>
      </c>
      <c r="H1317" s="351">
        <f t="shared" si="23"/>
        <v>22613.25</v>
      </c>
      <c r="I1317" s="120" t="str">
        <f>IF(OR(D1317&lt;Capa!$A$5,D1317&gt;Capa!$A$7,E1317&lt;Capa!$A$5,E1317&gt;Capa!$A$7,D1317&gt;E1317),"Erro","")</f>
        <v/>
      </c>
    </row>
    <row r="1318" spans="1:9" ht="22.5">
      <c r="A1318" s="345">
        <v>1315</v>
      </c>
      <c r="B1318" s="346" t="s">
        <v>210</v>
      </c>
      <c r="C1318" s="347">
        <v>39.68</v>
      </c>
      <c r="D1318" s="348">
        <v>45261</v>
      </c>
      <c r="E1318" s="348">
        <v>45627</v>
      </c>
      <c r="F1318" s="346" t="s">
        <v>636</v>
      </c>
      <c r="G1318" s="350" t="s">
        <v>440</v>
      </c>
      <c r="H1318" s="351">
        <f t="shared" si="23"/>
        <v>515.84</v>
      </c>
      <c r="I1318" s="120" t="str">
        <f>IF(OR(D1318&lt;Capa!$A$5,D1318&gt;Capa!$A$7,E1318&lt;Capa!$A$5,E1318&gt;Capa!$A$7,D1318&gt;E1318),"Erro","")</f>
        <v/>
      </c>
    </row>
    <row r="1319" spans="1:9" ht="22.5">
      <c r="A1319" s="345">
        <v>1316</v>
      </c>
      <c r="B1319" s="346" t="s">
        <v>210</v>
      </c>
      <c r="C1319" s="347">
        <v>41.99</v>
      </c>
      <c r="D1319" s="348">
        <v>45658</v>
      </c>
      <c r="E1319" s="348">
        <v>45992</v>
      </c>
      <c r="F1319" s="346" t="s">
        <v>636</v>
      </c>
      <c r="G1319" s="350" t="s">
        <v>440</v>
      </c>
      <c r="H1319" s="351">
        <f t="shared" si="23"/>
        <v>503.88</v>
      </c>
      <c r="I1319" s="120" t="str">
        <f>IF(OR(D1319&lt;Capa!$A$5,D1319&gt;Capa!$A$7,E1319&lt;Capa!$A$5,E1319&gt;Capa!$A$7,D1319&gt;E1319),"Erro","")</f>
        <v/>
      </c>
    </row>
    <row r="1320" spans="1:9" ht="22.5">
      <c r="A1320" s="345">
        <v>1317</v>
      </c>
      <c r="B1320" s="346" t="s">
        <v>210</v>
      </c>
      <c r="C1320" s="347">
        <v>44.44</v>
      </c>
      <c r="D1320" s="348">
        <v>46023</v>
      </c>
      <c r="E1320" s="348">
        <v>46357</v>
      </c>
      <c r="F1320" s="346" t="s">
        <v>636</v>
      </c>
      <c r="G1320" s="350" t="s">
        <v>440</v>
      </c>
      <c r="H1320" s="351">
        <f t="shared" si="23"/>
        <v>533.28</v>
      </c>
      <c r="I1320" s="120" t="str">
        <f>IF(OR(D1320&lt;Capa!$A$5,D1320&gt;Capa!$A$7,E1320&lt;Capa!$A$5,E1320&gt;Capa!$A$7,D1320&gt;E1320),"Erro","")</f>
        <v/>
      </c>
    </row>
    <row r="1321" spans="1:9" ht="22.5">
      <c r="A1321" s="345">
        <v>1318</v>
      </c>
      <c r="B1321" s="346" t="s">
        <v>210</v>
      </c>
      <c r="C1321" s="347">
        <v>47.04</v>
      </c>
      <c r="D1321" s="348">
        <v>46388</v>
      </c>
      <c r="E1321" s="348">
        <v>46722</v>
      </c>
      <c r="F1321" s="346" t="s">
        <v>636</v>
      </c>
      <c r="G1321" s="350" t="s">
        <v>440</v>
      </c>
      <c r="H1321" s="351">
        <f t="shared" si="23"/>
        <v>564.48</v>
      </c>
      <c r="I1321" s="120" t="str">
        <f>IF(OR(D1321&lt;Capa!$A$5,D1321&gt;Capa!$A$7,E1321&lt;Capa!$A$5,E1321&gt;Capa!$A$7,D1321&gt;E1321),"Erro","")</f>
        <v/>
      </c>
    </row>
    <row r="1322" spans="1:9" ht="22.5">
      <c r="A1322" s="345">
        <v>1319</v>
      </c>
      <c r="B1322" s="346" t="s">
        <v>210</v>
      </c>
      <c r="C1322" s="347">
        <v>49.79</v>
      </c>
      <c r="D1322" s="348">
        <v>46753</v>
      </c>
      <c r="E1322" s="348">
        <v>47058</v>
      </c>
      <c r="F1322" s="346" t="s">
        <v>636</v>
      </c>
      <c r="G1322" s="350" t="s">
        <v>440</v>
      </c>
      <c r="H1322" s="351">
        <f t="shared" si="23"/>
        <v>547.68999999999994</v>
      </c>
      <c r="I1322" s="120" t="str">
        <f>IF(OR(D1322&lt;Capa!$A$5,D1322&gt;Capa!$A$7,E1322&lt;Capa!$A$5,E1322&gt;Capa!$A$7,D1322&gt;E1322),"Erro","")</f>
        <v/>
      </c>
    </row>
    <row r="1323" spans="1:9" ht="22.5">
      <c r="A1323" s="345">
        <v>1320</v>
      </c>
      <c r="B1323" s="346" t="s">
        <v>214</v>
      </c>
      <c r="C1323" s="347">
        <v>131.97999999999999</v>
      </c>
      <c r="D1323" s="348">
        <v>45261</v>
      </c>
      <c r="E1323" s="348">
        <v>45627</v>
      </c>
      <c r="F1323" s="346" t="s">
        <v>636</v>
      </c>
      <c r="G1323" s="350" t="s">
        <v>440</v>
      </c>
      <c r="H1323" s="351">
        <f t="shared" si="23"/>
        <v>1715.7399999999998</v>
      </c>
      <c r="I1323" s="120" t="str">
        <f>IF(OR(D1323&lt;Capa!$A$5,D1323&gt;Capa!$A$7,E1323&lt;Capa!$A$5,E1323&gt;Capa!$A$7,D1323&gt;E1323),"Erro","")</f>
        <v/>
      </c>
    </row>
    <row r="1324" spans="1:9" ht="22.5">
      <c r="A1324" s="345">
        <v>1321</v>
      </c>
      <c r="B1324" s="346" t="s">
        <v>214</v>
      </c>
      <c r="C1324" s="347">
        <v>139.68</v>
      </c>
      <c r="D1324" s="348">
        <v>45658</v>
      </c>
      <c r="E1324" s="348">
        <v>45992</v>
      </c>
      <c r="F1324" s="346" t="s">
        <v>636</v>
      </c>
      <c r="G1324" s="350" t="s">
        <v>440</v>
      </c>
      <c r="H1324" s="351">
        <f t="shared" si="23"/>
        <v>1676.16</v>
      </c>
      <c r="I1324" s="120" t="str">
        <f>IF(OR(D1324&lt;Capa!$A$5,D1324&gt;Capa!$A$7,E1324&lt;Capa!$A$5,E1324&gt;Capa!$A$7,D1324&gt;E1324),"Erro","")</f>
        <v/>
      </c>
    </row>
    <row r="1325" spans="1:9" ht="22.5">
      <c r="A1325" s="345">
        <v>1322</v>
      </c>
      <c r="B1325" s="346" t="s">
        <v>214</v>
      </c>
      <c r="C1325" s="347">
        <v>147.84</v>
      </c>
      <c r="D1325" s="348">
        <v>46023</v>
      </c>
      <c r="E1325" s="348">
        <v>46357</v>
      </c>
      <c r="F1325" s="346" t="s">
        <v>636</v>
      </c>
      <c r="G1325" s="350" t="s">
        <v>440</v>
      </c>
      <c r="H1325" s="351">
        <f t="shared" si="23"/>
        <v>1774.08</v>
      </c>
      <c r="I1325" s="120" t="str">
        <f>IF(OR(D1325&lt;Capa!$A$5,D1325&gt;Capa!$A$7,E1325&lt;Capa!$A$5,E1325&gt;Capa!$A$7,D1325&gt;E1325),"Erro","")</f>
        <v/>
      </c>
    </row>
    <row r="1326" spans="1:9" ht="22.5">
      <c r="A1326" s="345">
        <v>1323</v>
      </c>
      <c r="B1326" s="346" t="s">
        <v>214</v>
      </c>
      <c r="C1326" s="347">
        <v>156.47999999999999</v>
      </c>
      <c r="D1326" s="348">
        <v>46388</v>
      </c>
      <c r="E1326" s="348">
        <v>46722</v>
      </c>
      <c r="F1326" s="346" t="s">
        <v>636</v>
      </c>
      <c r="G1326" s="350" t="s">
        <v>440</v>
      </c>
      <c r="H1326" s="351">
        <f t="shared" si="23"/>
        <v>1877.7599999999998</v>
      </c>
      <c r="I1326" s="120" t="str">
        <f>IF(OR(D1326&lt;Capa!$A$5,D1326&gt;Capa!$A$7,E1326&lt;Capa!$A$5,E1326&gt;Capa!$A$7,D1326&gt;E1326),"Erro","")</f>
        <v/>
      </c>
    </row>
    <row r="1327" spans="1:9" ht="22.5">
      <c r="A1327" s="345">
        <v>1324</v>
      </c>
      <c r="B1327" s="346" t="s">
        <v>214</v>
      </c>
      <c r="C1327" s="347">
        <v>165.62</v>
      </c>
      <c r="D1327" s="348">
        <v>46753</v>
      </c>
      <c r="E1327" s="348">
        <v>47058</v>
      </c>
      <c r="F1327" s="346" t="s">
        <v>636</v>
      </c>
      <c r="G1327" s="350" t="s">
        <v>440</v>
      </c>
      <c r="H1327" s="351">
        <f t="shared" si="23"/>
        <v>1821.8200000000002</v>
      </c>
      <c r="I1327" s="120" t="str">
        <f>IF(OR(D1327&lt;Capa!$A$5,D1327&gt;Capa!$A$7,E1327&lt;Capa!$A$5,E1327&gt;Capa!$A$7,D1327&gt;E1327),"Erro","")</f>
        <v/>
      </c>
    </row>
    <row r="1328" spans="1:9" ht="56.25">
      <c r="A1328" s="345">
        <v>1325</v>
      </c>
      <c r="B1328" s="346" t="s">
        <v>212</v>
      </c>
      <c r="C1328" s="347">
        <v>235.74</v>
      </c>
      <c r="D1328" s="348">
        <v>45261</v>
      </c>
      <c r="E1328" s="348">
        <v>45627</v>
      </c>
      <c r="F1328" s="346" t="s">
        <v>636</v>
      </c>
      <c r="G1328" s="350" t="s">
        <v>502</v>
      </c>
      <c r="H1328" s="351">
        <f t="shared" si="23"/>
        <v>3064.62</v>
      </c>
      <c r="I1328" s="120" t="str">
        <f>IF(OR(D1328&lt;Capa!$A$5,D1328&gt;Capa!$A$7,E1328&lt;Capa!$A$5,E1328&gt;Capa!$A$7,D1328&gt;E1328),"Erro","")</f>
        <v/>
      </c>
    </row>
    <row r="1329" spans="1:9" ht="56.25">
      <c r="A1329" s="345">
        <v>1326</v>
      </c>
      <c r="B1329" s="346" t="s">
        <v>212</v>
      </c>
      <c r="C1329" s="347">
        <v>249.5</v>
      </c>
      <c r="D1329" s="348">
        <v>45658</v>
      </c>
      <c r="E1329" s="348">
        <v>45992</v>
      </c>
      <c r="F1329" s="346" t="s">
        <v>636</v>
      </c>
      <c r="G1329" s="350" t="s">
        <v>502</v>
      </c>
      <c r="H1329" s="351">
        <f t="shared" si="23"/>
        <v>2994</v>
      </c>
      <c r="I1329" s="120" t="str">
        <f>IF(OR(D1329&lt;Capa!$A$5,D1329&gt;Capa!$A$7,E1329&lt;Capa!$A$5,E1329&gt;Capa!$A$7,D1329&gt;E1329),"Erro","")</f>
        <v/>
      </c>
    </row>
    <row r="1330" spans="1:9" ht="56.25">
      <c r="A1330" s="345">
        <v>1327</v>
      </c>
      <c r="B1330" s="346" t="s">
        <v>212</v>
      </c>
      <c r="C1330" s="347">
        <v>264.07</v>
      </c>
      <c r="D1330" s="348">
        <v>46023</v>
      </c>
      <c r="E1330" s="348">
        <v>46357</v>
      </c>
      <c r="F1330" s="346" t="s">
        <v>636</v>
      </c>
      <c r="G1330" s="350" t="s">
        <v>502</v>
      </c>
      <c r="H1330" s="351">
        <f t="shared" si="23"/>
        <v>3168.84</v>
      </c>
      <c r="I1330" s="120" t="str">
        <f>IF(OR(D1330&lt;Capa!$A$5,D1330&gt;Capa!$A$7,E1330&lt;Capa!$A$5,E1330&gt;Capa!$A$7,D1330&gt;E1330),"Erro","")</f>
        <v/>
      </c>
    </row>
    <row r="1331" spans="1:9" ht="56.25">
      <c r="A1331" s="345">
        <v>1328</v>
      </c>
      <c r="B1331" s="346" t="s">
        <v>212</v>
      </c>
      <c r="C1331" s="347">
        <v>279.5</v>
      </c>
      <c r="D1331" s="348">
        <v>46388</v>
      </c>
      <c r="E1331" s="348">
        <v>46722</v>
      </c>
      <c r="F1331" s="346" t="s">
        <v>636</v>
      </c>
      <c r="G1331" s="350" t="s">
        <v>502</v>
      </c>
      <c r="H1331" s="351">
        <f t="shared" si="23"/>
        <v>3354</v>
      </c>
      <c r="I1331" s="120" t="str">
        <f>IF(OR(D1331&lt;Capa!$A$5,D1331&gt;Capa!$A$7,E1331&lt;Capa!$A$5,E1331&gt;Capa!$A$7,D1331&gt;E1331),"Erro","")</f>
        <v/>
      </c>
    </row>
    <row r="1332" spans="1:9" ht="56.25">
      <c r="A1332" s="345">
        <v>1329</v>
      </c>
      <c r="B1332" s="346" t="s">
        <v>212</v>
      </c>
      <c r="C1332" s="347">
        <v>295.82</v>
      </c>
      <c r="D1332" s="348">
        <v>46753</v>
      </c>
      <c r="E1332" s="348">
        <v>47058</v>
      </c>
      <c r="F1332" s="346" t="s">
        <v>636</v>
      </c>
      <c r="G1332" s="350" t="s">
        <v>502</v>
      </c>
      <c r="H1332" s="351">
        <f t="shared" si="23"/>
        <v>3254.02</v>
      </c>
      <c r="I1332" s="120" t="str">
        <f>IF(OR(D1332&lt;Capa!$A$5,D1332&gt;Capa!$A$7,E1332&lt;Capa!$A$5,E1332&gt;Capa!$A$7,D1332&gt;E1332),"Erro","")</f>
        <v/>
      </c>
    </row>
    <row r="1333" spans="1:9" ht="45">
      <c r="A1333" s="345">
        <v>1330</v>
      </c>
      <c r="B1333" s="346" t="s">
        <v>248</v>
      </c>
      <c r="C1333" s="347">
        <v>846</v>
      </c>
      <c r="D1333" s="348">
        <v>45261</v>
      </c>
      <c r="E1333" s="348">
        <v>45444</v>
      </c>
      <c r="F1333" s="346" t="s">
        <v>636</v>
      </c>
      <c r="G1333" s="350" t="s">
        <v>441</v>
      </c>
      <c r="H1333" s="351">
        <f t="shared" si="23"/>
        <v>5922</v>
      </c>
      <c r="I1333" s="120" t="str">
        <f>IF(OR(D1333&lt;Capa!$A$5,D1333&gt;Capa!$A$7,E1333&lt;Capa!$A$5,E1333&gt;Capa!$A$7,D1333&gt;E1333),"Erro","")</f>
        <v/>
      </c>
    </row>
    <row r="1334" spans="1:9" ht="45">
      <c r="A1334" s="345">
        <v>1331</v>
      </c>
      <c r="B1334" s="346" t="s">
        <v>248</v>
      </c>
      <c r="C1334" s="347">
        <v>846</v>
      </c>
      <c r="D1334" s="348">
        <v>45658</v>
      </c>
      <c r="E1334" s="348">
        <v>45809</v>
      </c>
      <c r="F1334" s="346" t="s">
        <v>636</v>
      </c>
      <c r="G1334" s="350" t="s">
        <v>441</v>
      </c>
      <c r="H1334" s="351">
        <f t="shared" si="23"/>
        <v>5076</v>
      </c>
      <c r="I1334" s="120" t="str">
        <f>IF(OR(D1334&lt;Capa!$A$5,D1334&gt;Capa!$A$7,E1334&lt;Capa!$A$5,E1334&gt;Capa!$A$7,D1334&gt;E1334),"Erro","")</f>
        <v/>
      </c>
    </row>
    <row r="1335" spans="1:9" ht="45">
      <c r="A1335" s="345">
        <v>1332</v>
      </c>
      <c r="B1335" s="346" t="s">
        <v>248</v>
      </c>
      <c r="C1335" s="347">
        <v>846</v>
      </c>
      <c r="D1335" s="348">
        <v>46023</v>
      </c>
      <c r="E1335" s="348">
        <v>46174</v>
      </c>
      <c r="F1335" s="346" t="s">
        <v>636</v>
      </c>
      <c r="G1335" s="350" t="s">
        <v>441</v>
      </c>
      <c r="H1335" s="351">
        <f t="shared" si="23"/>
        <v>5076</v>
      </c>
      <c r="I1335" s="120" t="str">
        <f>IF(OR(D1335&lt;Capa!$A$5,D1335&gt;Capa!$A$7,E1335&lt;Capa!$A$5,E1335&gt;Capa!$A$7,D1335&gt;E1335),"Erro","")</f>
        <v/>
      </c>
    </row>
    <row r="1336" spans="1:9" ht="45">
      <c r="A1336" s="345">
        <v>1333</v>
      </c>
      <c r="B1336" s="346" t="s">
        <v>248</v>
      </c>
      <c r="C1336" s="347">
        <v>846</v>
      </c>
      <c r="D1336" s="348">
        <v>46388</v>
      </c>
      <c r="E1336" s="348">
        <v>46539</v>
      </c>
      <c r="F1336" s="346" t="s">
        <v>636</v>
      </c>
      <c r="G1336" s="350" t="s">
        <v>441</v>
      </c>
      <c r="H1336" s="351">
        <f t="shared" si="23"/>
        <v>5076</v>
      </c>
      <c r="I1336" s="120" t="str">
        <f>IF(OR(D1336&lt;Capa!$A$5,D1336&gt;Capa!$A$7,E1336&lt;Capa!$A$5,E1336&gt;Capa!$A$7,D1336&gt;E1336),"Erro","")</f>
        <v/>
      </c>
    </row>
    <row r="1337" spans="1:9" ht="45">
      <c r="A1337" s="345">
        <v>1334</v>
      </c>
      <c r="B1337" s="346" t="s">
        <v>248</v>
      </c>
      <c r="C1337" s="347">
        <v>846</v>
      </c>
      <c r="D1337" s="348">
        <v>46753</v>
      </c>
      <c r="E1337" s="348">
        <v>46905</v>
      </c>
      <c r="F1337" s="346" t="s">
        <v>636</v>
      </c>
      <c r="G1337" s="350" t="s">
        <v>441</v>
      </c>
      <c r="H1337" s="351">
        <f t="shared" si="23"/>
        <v>5076</v>
      </c>
      <c r="I1337" s="120" t="str">
        <f>IF(OR(D1337&lt;Capa!$A$5,D1337&gt;Capa!$A$7,E1337&lt;Capa!$A$5,E1337&gt;Capa!$A$7,D1337&gt;E1337),"Erro","")</f>
        <v/>
      </c>
    </row>
    <row r="1338" spans="1:9" ht="33.75">
      <c r="A1338" s="345">
        <v>1335</v>
      </c>
      <c r="B1338" s="346" t="s">
        <v>266</v>
      </c>
      <c r="C1338" s="347">
        <v>300</v>
      </c>
      <c r="D1338" s="348">
        <v>45658</v>
      </c>
      <c r="E1338" s="348">
        <v>45992</v>
      </c>
      <c r="F1338" s="346" t="s">
        <v>636</v>
      </c>
      <c r="G1338" s="350" t="s">
        <v>442</v>
      </c>
      <c r="H1338" s="351">
        <f t="shared" si="23"/>
        <v>3600</v>
      </c>
      <c r="I1338" s="120" t="str">
        <f>IF(OR(D1338&lt;Capa!$A$5,D1338&gt;Capa!$A$7,E1338&lt;Capa!$A$5,E1338&gt;Capa!$A$7,D1338&gt;E1338),"Erro","")</f>
        <v/>
      </c>
    </row>
    <row r="1339" spans="1:9" ht="33.75">
      <c r="A1339" s="345">
        <v>1336</v>
      </c>
      <c r="B1339" s="346" t="s">
        <v>266</v>
      </c>
      <c r="C1339" s="347">
        <v>300</v>
      </c>
      <c r="D1339" s="348">
        <v>46023</v>
      </c>
      <c r="E1339" s="348">
        <v>46357</v>
      </c>
      <c r="F1339" s="346" t="s">
        <v>636</v>
      </c>
      <c r="G1339" s="350" t="s">
        <v>442</v>
      </c>
      <c r="H1339" s="351">
        <f t="shared" si="23"/>
        <v>3600</v>
      </c>
      <c r="I1339" s="120" t="str">
        <f>IF(OR(D1339&lt;Capa!$A$5,D1339&gt;Capa!$A$7,E1339&lt;Capa!$A$5,E1339&gt;Capa!$A$7,D1339&gt;E1339),"Erro","")</f>
        <v/>
      </c>
    </row>
    <row r="1340" spans="1:9" ht="33.75">
      <c r="A1340" s="345">
        <v>1337</v>
      </c>
      <c r="B1340" s="346" t="s">
        <v>266</v>
      </c>
      <c r="C1340" s="347">
        <v>300</v>
      </c>
      <c r="D1340" s="348">
        <v>46388</v>
      </c>
      <c r="E1340" s="348">
        <v>46722</v>
      </c>
      <c r="F1340" s="346" t="s">
        <v>636</v>
      </c>
      <c r="G1340" s="350" t="s">
        <v>442</v>
      </c>
      <c r="H1340" s="351">
        <f t="shared" si="23"/>
        <v>3600</v>
      </c>
      <c r="I1340" s="120" t="str">
        <f>IF(OR(D1340&lt;Capa!$A$5,D1340&gt;Capa!$A$7,E1340&lt;Capa!$A$5,E1340&gt;Capa!$A$7,D1340&gt;E1340),"Erro","")</f>
        <v/>
      </c>
    </row>
    <row r="1341" spans="1:9" ht="33.75">
      <c r="A1341" s="345">
        <v>1338</v>
      </c>
      <c r="B1341" s="346" t="s">
        <v>266</v>
      </c>
      <c r="C1341" s="347">
        <v>300</v>
      </c>
      <c r="D1341" s="348">
        <v>46753</v>
      </c>
      <c r="E1341" s="348">
        <v>47058</v>
      </c>
      <c r="F1341" s="346" t="s">
        <v>636</v>
      </c>
      <c r="G1341" s="350" t="s">
        <v>442</v>
      </c>
      <c r="H1341" s="351">
        <f t="shared" si="23"/>
        <v>3300</v>
      </c>
      <c r="I1341" s="120" t="str">
        <f>IF(OR(D1341&lt;Capa!$A$5,D1341&gt;Capa!$A$7,E1341&lt;Capa!$A$5,E1341&gt;Capa!$A$7,D1341&gt;E1341),"Erro","")</f>
        <v/>
      </c>
    </row>
    <row r="1342" spans="1:9" ht="22.5">
      <c r="A1342" s="345">
        <v>1339</v>
      </c>
      <c r="B1342" s="346" t="s">
        <v>274</v>
      </c>
      <c r="C1342" s="347">
        <v>1100</v>
      </c>
      <c r="D1342" s="348">
        <v>45261</v>
      </c>
      <c r="E1342" s="348">
        <v>45627</v>
      </c>
      <c r="F1342" s="346" t="s">
        <v>636</v>
      </c>
      <c r="G1342" s="350" t="s">
        <v>443</v>
      </c>
      <c r="H1342" s="351">
        <f t="shared" si="23"/>
        <v>14300</v>
      </c>
      <c r="I1342" s="120" t="str">
        <f>IF(OR(D1342&lt;Capa!$A$5,D1342&gt;Capa!$A$7,E1342&lt;Capa!$A$5,E1342&gt;Capa!$A$7,D1342&gt;E1342),"Erro","")</f>
        <v/>
      </c>
    </row>
    <row r="1343" spans="1:9" ht="22.5">
      <c r="A1343" s="345">
        <v>1340</v>
      </c>
      <c r="B1343" s="346" t="s">
        <v>274</v>
      </c>
      <c r="C1343" s="347">
        <v>1164.24</v>
      </c>
      <c r="D1343" s="348">
        <v>45658</v>
      </c>
      <c r="E1343" s="348">
        <v>45992</v>
      </c>
      <c r="F1343" s="346" t="s">
        <v>636</v>
      </c>
      <c r="G1343" s="350" t="s">
        <v>443</v>
      </c>
      <c r="H1343" s="351">
        <f t="shared" si="23"/>
        <v>13970.880000000001</v>
      </c>
      <c r="I1343" s="120" t="str">
        <f>IF(OR(D1343&lt;Capa!$A$5,D1343&gt;Capa!$A$7,E1343&lt;Capa!$A$5,E1343&gt;Capa!$A$7,D1343&gt;E1343),"Erro","")</f>
        <v/>
      </c>
    </row>
    <row r="1344" spans="1:9" ht="22.5">
      <c r="A1344" s="345">
        <v>1341</v>
      </c>
      <c r="B1344" s="346" t="s">
        <v>274</v>
      </c>
      <c r="C1344" s="347">
        <v>1232.23</v>
      </c>
      <c r="D1344" s="348">
        <v>46023</v>
      </c>
      <c r="E1344" s="348">
        <v>46357</v>
      </c>
      <c r="F1344" s="346" t="s">
        <v>636</v>
      </c>
      <c r="G1344" s="350" t="s">
        <v>443</v>
      </c>
      <c r="H1344" s="351">
        <f t="shared" si="23"/>
        <v>14786.76</v>
      </c>
      <c r="I1344" s="120" t="str">
        <f>IF(OR(D1344&lt;Capa!$A$5,D1344&gt;Capa!$A$7,E1344&lt;Capa!$A$5,E1344&gt;Capa!$A$7,D1344&gt;E1344),"Erro","")</f>
        <v/>
      </c>
    </row>
    <row r="1345" spans="1:9" ht="22.5">
      <c r="A1345" s="345">
        <v>1342</v>
      </c>
      <c r="B1345" s="346" t="s">
        <v>274</v>
      </c>
      <c r="C1345" s="347">
        <v>1304.19</v>
      </c>
      <c r="D1345" s="348">
        <v>46388</v>
      </c>
      <c r="E1345" s="348">
        <v>46722</v>
      </c>
      <c r="F1345" s="346" t="s">
        <v>636</v>
      </c>
      <c r="G1345" s="350" t="s">
        <v>443</v>
      </c>
      <c r="H1345" s="351">
        <f t="shared" si="23"/>
        <v>15650.28</v>
      </c>
      <c r="I1345" s="120" t="str">
        <f>IF(OR(D1345&lt;Capa!$A$5,D1345&gt;Capa!$A$7,E1345&lt;Capa!$A$5,E1345&gt;Capa!$A$7,D1345&gt;E1345),"Erro","")</f>
        <v/>
      </c>
    </row>
    <row r="1346" spans="1:9" ht="22.5">
      <c r="A1346" s="345">
        <v>1343</v>
      </c>
      <c r="B1346" s="346" t="s">
        <v>274</v>
      </c>
      <c r="C1346" s="347">
        <v>1380.35</v>
      </c>
      <c r="D1346" s="348">
        <v>46753</v>
      </c>
      <c r="E1346" s="348">
        <v>47058</v>
      </c>
      <c r="F1346" s="346" t="s">
        <v>636</v>
      </c>
      <c r="G1346" s="350" t="s">
        <v>443</v>
      </c>
      <c r="H1346" s="351">
        <f t="shared" si="23"/>
        <v>15183.849999999999</v>
      </c>
      <c r="I1346" s="120" t="str">
        <f>IF(OR(D1346&lt;Capa!$A$5,D1346&gt;Capa!$A$7,E1346&lt;Capa!$A$5,E1346&gt;Capa!$A$7,D1346&gt;E1346),"Erro","")</f>
        <v/>
      </c>
    </row>
    <row r="1347" spans="1:9" ht="56.25">
      <c r="A1347" s="345">
        <v>1344</v>
      </c>
      <c r="B1347" s="346" t="s">
        <v>236</v>
      </c>
      <c r="C1347" s="347">
        <v>690.19</v>
      </c>
      <c r="D1347" s="348">
        <v>45292</v>
      </c>
      <c r="E1347" s="348">
        <v>45627</v>
      </c>
      <c r="F1347" s="346" t="s">
        <v>636</v>
      </c>
      <c r="G1347" s="350" t="s">
        <v>444</v>
      </c>
      <c r="H1347" s="351">
        <f t="shared" si="23"/>
        <v>8282.2800000000007</v>
      </c>
      <c r="I1347" s="120" t="str">
        <f>IF(OR(D1347&lt;Capa!$A$5,D1347&gt;Capa!$A$7,E1347&lt;Capa!$A$5,E1347&gt;Capa!$A$7,D1347&gt;E1347),"Erro","")</f>
        <v/>
      </c>
    </row>
    <row r="1348" spans="1:9" ht="56.25">
      <c r="A1348" s="345">
        <v>1345</v>
      </c>
      <c r="B1348" s="346" t="s">
        <v>236</v>
      </c>
      <c r="C1348" s="347">
        <v>760.49</v>
      </c>
      <c r="D1348" s="348">
        <v>45658</v>
      </c>
      <c r="E1348" s="348">
        <v>45992</v>
      </c>
      <c r="F1348" s="346" t="s">
        <v>636</v>
      </c>
      <c r="G1348" s="350" t="s">
        <v>444</v>
      </c>
      <c r="H1348" s="351">
        <f t="shared" si="23"/>
        <v>9125.880000000001</v>
      </c>
      <c r="I1348" s="120" t="str">
        <f>IF(OR(D1348&lt;Capa!$A$5,D1348&gt;Capa!$A$7,E1348&lt;Capa!$A$5,E1348&gt;Capa!$A$7,D1348&gt;E1348),"Erro","")</f>
        <v/>
      </c>
    </row>
    <row r="1349" spans="1:9" ht="56.25">
      <c r="A1349" s="345">
        <v>1346</v>
      </c>
      <c r="B1349" s="346" t="s">
        <v>236</v>
      </c>
      <c r="C1349" s="347">
        <v>773.16</v>
      </c>
      <c r="D1349" s="348">
        <v>46023</v>
      </c>
      <c r="E1349" s="348">
        <v>46357</v>
      </c>
      <c r="F1349" s="346" t="s">
        <v>636</v>
      </c>
      <c r="G1349" s="350" t="s">
        <v>444</v>
      </c>
      <c r="H1349" s="351">
        <f t="shared" si="23"/>
        <v>9277.92</v>
      </c>
      <c r="I1349" s="120" t="str">
        <f>IF(OR(D1349&lt;Capa!$A$5,D1349&gt;Capa!$A$7,E1349&lt;Capa!$A$5,E1349&gt;Capa!$A$7,D1349&gt;E1349),"Erro","")</f>
        <v/>
      </c>
    </row>
    <row r="1350" spans="1:9" ht="56.25">
      <c r="A1350" s="345">
        <v>1347</v>
      </c>
      <c r="B1350" s="346" t="s">
        <v>236</v>
      </c>
      <c r="C1350" s="347">
        <v>818.31</v>
      </c>
      <c r="D1350" s="348">
        <v>46388</v>
      </c>
      <c r="E1350" s="348">
        <v>46722</v>
      </c>
      <c r="F1350" s="346" t="s">
        <v>636</v>
      </c>
      <c r="G1350" s="350" t="s">
        <v>444</v>
      </c>
      <c r="H1350" s="351">
        <f t="shared" si="23"/>
        <v>9819.7199999999993</v>
      </c>
      <c r="I1350" s="120" t="str">
        <f>IF(OR(D1350&lt;Capa!$A$5,D1350&gt;Capa!$A$7,E1350&lt;Capa!$A$5,E1350&gt;Capa!$A$7,D1350&gt;E1350),"Erro","")</f>
        <v/>
      </c>
    </row>
    <row r="1351" spans="1:9" ht="56.25">
      <c r="A1351" s="345">
        <v>1348</v>
      </c>
      <c r="B1351" s="346" t="s">
        <v>236</v>
      </c>
      <c r="C1351" s="347">
        <v>866.09</v>
      </c>
      <c r="D1351" s="348">
        <v>46753</v>
      </c>
      <c r="E1351" s="348">
        <v>47058</v>
      </c>
      <c r="F1351" s="346" t="s">
        <v>636</v>
      </c>
      <c r="G1351" s="350" t="s">
        <v>444</v>
      </c>
      <c r="H1351" s="351">
        <f t="shared" si="23"/>
        <v>9526.99</v>
      </c>
      <c r="I1351" s="120" t="str">
        <f>IF(OR(D1351&lt;Capa!$A$5,D1351&gt;Capa!$A$7,E1351&lt;Capa!$A$5,E1351&gt;Capa!$A$7,D1351&gt;E1351),"Erro","")</f>
        <v/>
      </c>
    </row>
    <row r="1352" spans="1:9" ht="33.75">
      <c r="A1352" s="345">
        <v>1349</v>
      </c>
      <c r="B1352" s="346" t="s">
        <v>240</v>
      </c>
      <c r="C1352" s="347">
        <v>50</v>
      </c>
      <c r="D1352" s="348">
        <v>45292</v>
      </c>
      <c r="E1352" s="348">
        <v>45627</v>
      </c>
      <c r="F1352" s="346" t="s">
        <v>636</v>
      </c>
      <c r="G1352" s="350" t="s">
        <v>445</v>
      </c>
      <c r="H1352" s="351">
        <f t="shared" si="23"/>
        <v>600</v>
      </c>
      <c r="I1352" s="120" t="str">
        <f>IF(OR(D1352&lt;Capa!$A$5,D1352&gt;Capa!$A$7,E1352&lt;Capa!$A$5,E1352&gt;Capa!$A$7,D1352&gt;E1352),"Erro","")</f>
        <v/>
      </c>
    </row>
    <row r="1353" spans="1:9" ht="33.75">
      <c r="A1353" s="345">
        <v>1350</v>
      </c>
      <c r="B1353" s="346" t="s">
        <v>240</v>
      </c>
      <c r="C1353" s="347">
        <v>50</v>
      </c>
      <c r="D1353" s="348">
        <v>45658</v>
      </c>
      <c r="E1353" s="348">
        <v>45992</v>
      </c>
      <c r="F1353" s="346" t="s">
        <v>636</v>
      </c>
      <c r="G1353" s="350" t="s">
        <v>445</v>
      </c>
      <c r="H1353" s="351">
        <f t="shared" si="23"/>
        <v>600</v>
      </c>
      <c r="I1353" s="120" t="str">
        <f>IF(OR(D1353&lt;Capa!$A$5,D1353&gt;Capa!$A$7,E1353&lt;Capa!$A$5,E1353&gt;Capa!$A$7,D1353&gt;E1353),"Erro","")</f>
        <v/>
      </c>
    </row>
    <row r="1354" spans="1:9" ht="33.75">
      <c r="A1354" s="345">
        <v>1351</v>
      </c>
      <c r="B1354" s="346" t="s">
        <v>240</v>
      </c>
      <c r="C1354" s="347">
        <v>50</v>
      </c>
      <c r="D1354" s="348">
        <v>46023</v>
      </c>
      <c r="E1354" s="348">
        <v>46357</v>
      </c>
      <c r="F1354" s="346" t="s">
        <v>636</v>
      </c>
      <c r="G1354" s="350" t="s">
        <v>445</v>
      </c>
      <c r="H1354" s="351">
        <f t="shared" si="23"/>
        <v>600</v>
      </c>
      <c r="I1354" s="120" t="str">
        <f>IF(OR(D1354&lt;Capa!$A$5,D1354&gt;Capa!$A$7,E1354&lt;Capa!$A$5,E1354&gt;Capa!$A$7,D1354&gt;E1354),"Erro","")</f>
        <v/>
      </c>
    </row>
    <row r="1355" spans="1:9" ht="33.75">
      <c r="A1355" s="345">
        <v>1352</v>
      </c>
      <c r="B1355" s="346" t="s">
        <v>240</v>
      </c>
      <c r="C1355" s="347">
        <v>50</v>
      </c>
      <c r="D1355" s="348">
        <v>46388</v>
      </c>
      <c r="E1355" s="348">
        <v>46722</v>
      </c>
      <c r="F1355" s="346" t="s">
        <v>636</v>
      </c>
      <c r="G1355" s="350" t="s">
        <v>445</v>
      </c>
      <c r="H1355" s="351">
        <f t="shared" si="23"/>
        <v>600</v>
      </c>
      <c r="I1355" s="120" t="str">
        <f>IF(OR(D1355&lt;Capa!$A$5,D1355&gt;Capa!$A$7,E1355&lt;Capa!$A$5,E1355&gt;Capa!$A$7,D1355&gt;E1355),"Erro","")</f>
        <v/>
      </c>
    </row>
    <row r="1356" spans="1:9" ht="33.75">
      <c r="A1356" s="345">
        <v>1353</v>
      </c>
      <c r="B1356" s="346" t="s">
        <v>240</v>
      </c>
      <c r="C1356" s="347">
        <v>50</v>
      </c>
      <c r="D1356" s="348">
        <v>46753</v>
      </c>
      <c r="E1356" s="348">
        <v>47058</v>
      </c>
      <c r="F1356" s="346" t="s">
        <v>636</v>
      </c>
      <c r="G1356" s="350" t="s">
        <v>445</v>
      </c>
      <c r="H1356" s="351">
        <f t="shared" si="23"/>
        <v>550</v>
      </c>
      <c r="I1356" s="120" t="str">
        <f>IF(OR(D1356&lt;Capa!$A$5,D1356&gt;Capa!$A$7,E1356&lt;Capa!$A$5,E1356&gt;Capa!$A$7,D1356&gt;E1356),"Erro","")</f>
        <v/>
      </c>
    </row>
    <row r="1357" spans="1:9" ht="45">
      <c r="A1357" s="345">
        <v>1354</v>
      </c>
      <c r="B1357" s="346" t="s">
        <v>244</v>
      </c>
      <c r="C1357" s="347">
        <v>250</v>
      </c>
      <c r="D1357" s="348">
        <v>45261</v>
      </c>
      <c r="E1357" s="348">
        <v>45627</v>
      </c>
      <c r="F1357" s="346" t="s">
        <v>636</v>
      </c>
      <c r="G1357" s="350" t="s">
        <v>446</v>
      </c>
      <c r="H1357" s="351">
        <f t="shared" si="23"/>
        <v>3250</v>
      </c>
      <c r="I1357" s="120" t="str">
        <f>IF(OR(D1357&lt;Capa!$A$5,D1357&gt;Capa!$A$7,E1357&lt;Capa!$A$5,E1357&gt;Capa!$A$7,D1357&gt;E1357),"Erro","")</f>
        <v/>
      </c>
    </row>
    <row r="1358" spans="1:9" ht="45">
      <c r="A1358" s="345">
        <v>1355</v>
      </c>
      <c r="B1358" s="346" t="s">
        <v>244</v>
      </c>
      <c r="C1358" s="347">
        <v>300</v>
      </c>
      <c r="D1358" s="348">
        <v>45658</v>
      </c>
      <c r="E1358" s="348">
        <v>45992</v>
      </c>
      <c r="F1358" s="346" t="s">
        <v>636</v>
      </c>
      <c r="G1358" s="350" t="s">
        <v>446</v>
      </c>
      <c r="H1358" s="351">
        <f t="shared" si="23"/>
        <v>3600</v>
      </c>
      <c r="I1358" s="120" t="str">
        <f>IF(OR(D1358&lt;Capa!$A$5,D1358&gt;Capa!$A$7,E1358&lt;Capa!$A$5,E1358&gt;Capa!$A$7,D1358&gt;E1358),"Erro","")</f>
        <v/>
      </c>
    </row>
    <row r="1359" spans="1:9" ht="45">
      <c r="A1359" s="345">
        <v>1356</v>
      </c>
      <c r="B1359" s="346" t="s">
        <v>244</v>
      </c>
      <c r="C1359" s="347">
        <v>300</v>
      </c>
      <c r="D1359" s="348">
        <v>46023</v>
      </c>
      <c r="E1359" s="348">
        <v>46357</v>
      </c>
      <c r="F1359" s="346" t="s">
        <v>636</v>
      </c>
      <c r="G1359" s="350" t="s">
        <v>446</v>
      </c>
      <c r="H1359" s="351">
        <f t="shared" si="23"/>
        <v>3600</v>
      </c>
      <c r="I1359" s="120" t="str">
        <f>IF(OR(D1359&lt;Capa!$A$5,D1359&gt;Capa!$A$7,E1359&lt;Capa!$A$5,E1359&gt;Capa!$A$7,D1359&gt;E1359),"Erro","")</f>
        <v/>
      </c>
    </row>
    <row r="1360" spans="1:9" ht="45">
      <c r="A1360" s="345">
        <v>1357</v>
      </c>
      <c r="B1360" s="346" t="s">
        <v>244</v>
      </c>
      <c r="C1360" s="347">
        <v>350</v>
      </c>
      <c r="D1360" s="348">
        <v>46388</v>
      </c>
      <c r="E1360" s="348">
        <v>46722</v>
      </c>
      <c r="F1360" s="346" t="s">
        <v>636</v>
      </c>
      <c r="G1360" s="350" t="s">
        <v>446</v>
      </c>
      <c r="H1360" s="351">
        <f t="shared" si="23"/>
        <v>4200</v>
      </c>
      <c r="I1360" s="120" t="str">
        <f>IF(OR(D1360&lt;Capa!$A$5,D1360&gt;Capa!$A$7,E1360&lt;Capa!$A$5,E1360&gt;Capa!$A$7,D1360&gt;E1360),"Erro","")</f>
        <v/>
      </c>
    </row>
    <row r="1361" spans="1:9" ht="45">
      <c r="A1361" s="345">
        <v>1358</v>
      </c>
      <c r="B1361" s="346" t="s">
        <v>244</v>
      </c>
      <c r="C1361" s="347">
        <v>350</v>
      </c>
      <c r="D1361" s="348">
        <v>46753</v>
      </c>
      <c r="E1361" s="348">
        <v>47058</v>
      </c>
      <c r="F1361" s="346" t="s">
        <v>636</v>
      </c>
      <c r="G1361" s="350" t="s">
        <v>446</v>
      </c>
      <c r="H1361" s="351">
        <f t="shared" si="23"/>
        <v>3850</v>
      </c>
      <c r="I1361" s="120" t="str">
        <f>IF(OR(D1361&lt;Capa!$A$5,D1361&gt;Capa!$A$7,E1361&lt;Capa!$A$5,E1361&gt;Capa!$A$7,D1361&gt;E1361),"Erro","")</f>
        <v/>
      </c>
    </row>
    <row r="1362" spans="1:9" ht="33.75">
      <c r="A1362" s="345">
        <v>1359</v>
      </c>
      <c r="B1362" s="346" t="s">
        <v>246</v>
      </c>
      <c r="C1362" s="347">
        <v>275.18</v>
      </c>
      <c r="D1362" s="348">
        <v>45658</v>
      </c>
      <c r="E1362" s="348">
        <v>45992</v>
      </c>
      <c r="F1362" s="346" t="s">
        <v>636</v>
      </c>
      <c r="G1362" s="350" t="s">
        <v>447</v>
      </c>
      <c r="H1362" s="351">
        <f t="shared" si="23"/>
        <v>3302.16</v>
      </c>
      <c r="I1362" s="120" t="str">
        <f>IF(OR(D1362&lt;Capa!$A$5,D1362&gt;Capa!$A$7,E1362&lt;Capa!$A$5,E1362&gt;Capa!$A$7,D1362&gt;E1362),"Erro","")</f>
        <v/>
      </c>
    </row>
    <row r="1363" spans="1:9" ht="33.75">
      <c r="A1363" s="345">
        <v>1360</v>
      </c>
      <c r="B1363" s="346" t="s">
        <v>246</v>
      </c>
      <c r="C1363" s="347">
        <v>291.25</v>
      </c>
      <c r="D1363" s="348">
        <v>46023</v>
      </c>
      <c r="E1363" s="348">
        <v>46357</v>
      </c>
      <c r="F1363" s="346" t="s">
        <v>636</v>
      </c>
      <c r="G1363" s="350" t="s">
        <v>447</v>
      </c>
      <c r="H1363" s="351">
        <f t="shared" si="23"/>
        <v>3495</v>
      </c>
      <c r="I1363" s="120" t="str">
        <f>IF(OR(D1363&lt;Capa!$A$5,D1363&gt;Capa!$A$7,E1363&lt;Capa!$A$5,E1363&gt;Capa!$A$7,D1363&gt;E1363),"Erro","")</f>
        <v/>
      </c>
    </row>
    <row r="1364" spans="1:9" ht="33.75">
      <c r="A1364" s="345">
        <v>1361</v>
      </c>
      <c r="B1364" s="346" t="s">
        <v>246</v>
      </c>
      <c r="C1364" s="347">
        <v>308.26</v>
      </c>
      <c r="D1364" s="348">
        <v>46388</v>
      </c>
      <c r="E1364" s="348">
        <v>46722</v>
      </c>
      <c r="F1364" s="346" t="s">
        <v>636</v>
      </c>
      <c r="G1364" s="350" t="s">
        <v>447</v>
      </c>
      <c r="H1364" s="351">
        <f t="shared" si="23"/>
        <v>3699.12</v>
      </c>
      <c r="I1364" s="120" t="str">
        <f>IF(OR(D1364&lt;Capa!$A$5,D1364&gt;Capa!$A$7,E1364&lt;Capa!$A$5,E1364&gt;Capa!$A$7,D1364&gt;E1364),"Erro","")</f>
        <v/>
      </c>
    </row>
    <row r="1365" spans="1:9" ht="33.75">
      <c r="A1365" s="345">
        <v>1362</v>
      </c>
      <c r="B1365" s="346" t="s">
        <v>246</v>
      </c>
      <c r="C1365" s="347">
        <v>326.26</v>
      </c>
      <c r="D1365" s="348">
        <v>46753</v>
      </c>
      <c r="E1365" s="348">
        <v>47058</v>
      </c>
      <c r="F1365" s="346" t="s">
        <v>636</v>
      </c>
      <c r="G1365" s="350" t="s">
        <v>447</v>
      </c>
      <c r="H1365" s="351">
        <f t="shared" si="23"/>
        <v>3588.8599999999997</v>
      </c>
      <c r="I1365" s="120" t="str">
        <f>IF(OR(D1365&lt;Capa!$A$5,D1365&gt;Capa!$A$7,E1365&lt;Capa!$A$5,E1365&gt;Capa!$A$7,D1365&gt;E1365),"Erro","")</f>
        <v/>
      </c>
    </row>
    <row r="1366" spans="1:9" ht="33.75">
      <c r="A1366" s="345">
        <v>1363</v>
      </c>
      <c r="B1366" s="346" t="s">
        <v>258</v>
      </c>
      <c r="C1366" s="347">
        <v>193.77</v>
      </c>
      <c r="D1366" s="348">
        <v>45261</v>
      </c>
      <c r="E1366" s="348">
        <v>45627</v>
      </c>
      <c r="F1366" s="346" t="s">
        <v>636</v>
      </c>
      <c r="G1366" s="350" t="s">
        <v>448</v>
      </c>
      <c r="H1366" s="351">
        <f t="shared" si="23"/>
        <v>2519.0100000000002</v>
      </c>
      <c r="I1366" s="120" t="str">
        <f>IF(OR(D1366&lt;Capa!$A$5,D1366&gt;Capa!$A$7,E1366&lt;Capa!$A$5,E1366&gt;Capa!$A$7,D1366&gt;E1366),"Erro","")</f>
        <v/>
      </c>
    </row>
    <row r="1367" spans="1:9" ht="33.75">
      <c r="A1367" s="345">
        <v>1364</v>
      </c>
      <c r="B1367" s="346" t="s">
        <v>258</v>
      </c>
      <c r="C1367" s="347">
        <v>205.08</v>
      </c>
      <c r="D1367" s="348">
        <v>45658</v>
      </c>
      <c r="E1367" s="348">
        <v>45992</v>
      </c>
      <c r="F1367" s="346" t="s">
        <v>636</v>
      </c>
      <c r="G1367" s="350" t="s">
        <v>448</v>
      </c>
      <c r="H1367" s="351">
        <f t="shared" si="23"/>
        <v>2460.96</v>
      </c>
      <c r="I1367" s="120" t="str">
        <f>IF(OR(D1367&lt;Capa!$A$5,D1367&gt;Capa!$A$7,E1367&lt;Capa!$A$5,E1367&gt;Capa!$A$7,D1367&gt;E1367),"Erro","")</f>
        <v/>
      </c>
    </row>
    <row r="1368" spans="1:9" ht="33.75">
      <c r="A1368" s="345">
        <v>1365</v>
      </c>
      <c r="B1368" s="346" t="s">
        <v>258</v>
      </c>
      <c r="C1368" s="347">
        <v>217.06</v>
      </c>
      <c r="D1368" s="348">
        <v>46023</v>
      </c>
      <c r="E1368" s="348">
        <v>46357</v>
      </c>
      <c r="F1368" s="346" t="s">
        <v>636</v>
      </c>
      <c r="G1368" s="350" t="s">
        <v>448</v>
      </c>
      <c r="H1368" s="351">
        <f t="shared" si="23"/>
        <v>2604.7200000000003</v>
      </c>
      <c r="I1368" s="120" t="str">
        <f>IF(OR(D1368&lt;Capa!$A$5,D1368&gt;Capa!$A$7,E1368&lt;Capa!$A$5,E1368&gt;Capa!$A$7,D1368&gt;E1368),"Erro","")</f>
        <v/>
      </c>
    </row>
    <row r="1369" spans="1:9" ht="33.75">
      <c r="A1369" s="345">
        <v>1366</v>
      </c>
      <c r="B1369" s="346" t="s">
        <v>258</v>
      </c>
      <c r="C1369" s="347">
        <v>229.74</v>
      </c>
      <c r="D1369" s="348">
        <v>46388</v>
      </c>
      <c r="E1369" s="348">
        <v>46722</v>
      </c>
      <c r="F1369" s="346" t="s">
        <v>636</v>
      </c>
      <c r="G1369" s="350" t="s">
        <v>448</v>
      </c>
      <c r="H1369" s="351">
        <f t="shared" si="23"/>
        <v>2756.88</v>
      </c>
      <c r="I1369" s="120" t="str">
        <f>IF(OR(D1369&lt;Capa!$A$5,D1369&gt;Capa!$A$7,E1369&lt;Capa!$A$5,E1369&gt;Capa!$A$7,D1369&gt;E1369),"Erro","")</f>
        <v/>
      </c>
    </row>
    <row r="1370" spans="1:9" ht="33.75">
      <c r="A1370" s="345">
        <v>1367</v>
      </c>
      <c r="B1370" s="346" t="s">
        <v>258</v>
      </c>
      <c r="C1370" s="347">
        <v>243.16</v>
      </c>
      <c r="D1370" s="348">
        <v>46753</v>
      </c>
      <c r="E1370" s="348">
        <v>47058</v>
      </c>
      <c r="F1370" s="346" t="s">
        <v>636</v>
      </c>
      <c r="G1370" s="350" t="s">
        <v>448</v>
      </c>
      <c r="H1370" s="351">
        <f t="shared" si="23"/>
        <v>2674.7599999999998</v>
      </c>
      <c r="I1370" s="120" t="str">
        <f>IF(OR(D1370&lt;Capa!$A$5,D1370&gt;Capa!$A$7,E1370&lt;Capa!$A$5,E1370&gt;Capa!$A$7,D1370&gt;E1370),"Erro","")</f>
        <v/>
      </c>
    </row>
    <row r="1371" spans="1:9" ht="56.25">
      <c r="A1371" s="345">
        <v>1368</v>
      </c>
      <c r="B1371" s="346" t="s">
        <v>276</v>
      </c>
      <c r="C1371" s="347">
        <v>1271.28</v>
      </c>
      <c r="D1371" s="348">
        <v>45658</v>
      </c>
      <c r="E1371" s="348">
        <v>45778</v>
      </c>
      <c r="F1371" s="346" t="s">
        <v>636</v>
      </c>
      <c r="G1371" s="350" t="s">
        <v>449</v>
      </c>
      <c r="H1371" s="351">
        <f t="shared" si="23"/>
        <v>6356.4</v>
      </c>
      <c r="I1371" s="120" t="str">
        <f>IF(OR(D1371&lt;Capa!$A$5,D1371&gt;Capa!$A$7,E1371&lt;Capa!$A$5,E1371&gt;Capa!$A$7,D1371&gt;E1371),"Erro","")</f>
        <v/>
      </c>
    </row>
    <row r="1372" spans="1:9" ht="56.25">
      <c r="A1372" s="345">
        <v>1369</v>
      </c>
      <c r="B1372" s="346" t="s">
        <v>276</v>
      </c>
      <c r="C1372" s="347">
        <v>1345.53</v>
      </c>
      <c r="D1372" s="348">
        <v>46023</v>
      </c>
      <c r="E1372" s="348">
        <v>46082</v>
      </c>
      <c r="F1372" s="346" t="s">
        <v>636</v>
      </c>
      <c r="G1372" s="350" t="s">
        <v>449</v>
      </c>
      <c r="H1372" s="351">
        <f t="shared" ref="H1372:H1425" si="24">IFERROR((DATEDIF(D1372,E1372,"M")+1)*C1372,0)</f>
        <v>4036.59</v>
      </c>
      <c r="I1372" s="120" t="str">
        <f>IF(OR(D1372&lt;Capa!$A$5,D1372&gt;Capa!$A$7,E1372&lt;Capa!$A$5,E1372&gt;Capa!$A$7,D1372&gt;E1372),"Erro","")</f>
        <v/>
      </c>
    </row>
    <row r="1373" spans="1:9" ht="56.25">
      <c r="A1373" s="345">
        <v>1370</v>
      </c>
      <c r="B1373" s="346" t="s">
        <v>276</v>
      </c>
      <c r="C1373" s="347">
        <v>1424.11</v>
      </c>
      <c r="D1373" s="348">
        <v>46388</v>
      </c>
      <c r="E1373" s="348">
        <v>46447</v>
      </c>
      <c r="F1373" s="346" t="s">
        <v>636</v>
      </c>
      <c r="G1373" s="350" t="s">
        <v>449</v>
      </c>
      <c r="H1373" s="351">
        <f t="shared" si="24"/>
        <v>4272.33</v>
      </c>
      <c r="I1373" s="120" t="str">
        <f>IF(OR(D1373&lt;Capa!$A$5,D1373&gt;Capa!$A$7,E1373&lt;Capa!$A$5,E1373&gt;Capa!$A$7,D1373&gt;E1373),"Erro","")</f>
        <v/>
      </c>
    </row>
    <row r="1374" spans="1:9" ht="56.25">
      <c r="A1374" s="345">
        <v>1371</v>
      </c>
      <c r="B1374" s="346" t="s">
        <v>276</v>
      </c>
      <c r="C1374" s="347">
        <v>1507.27</v>
      </c>
      <c r="D1374" s="348">
        <v>46753</v>
      </c>
      <c r="E1374" s="348">
        <v>46813</v>
      </c>
      <c r="F1374" s="346" t="s">
        <v>636</v>
      </c>
      <c r="G1374" s="350" t="s">
        <v>449</v>
      </c>
      <c r="H1374" s="351">
        <f t="shared" si="24"/>
        <v>4521.8099999999995</v>
      </c>
      <c r="I1374" s="120" t="str">
        <f>IF(OR(D1374&lt;Capa!$A$5,D1374&gt;Capa!$A$7,E1374&lt;Capa!$A$5,E1374&gt;Capa!$A$7,D1374&gt;E1374),"Erro","")</f>
        <v/>
      </c>
    </row>
    <row r="1375" spans="1:9" ht="45">
      <c r="A1375" s="345">
        <v>1372</v>
      </c>
      <c r="B1375" s="346" t="s">
        <v>278</v>
      </c>
      <c r="C1375" s="347">
        <v>18000</v>
      </c>
      <c r="D1375" s="348">
        <v>45261</v>
      </c>
      <c r="E1375" s="348">
        <v>45261</v>
      </c>
      <c r="F1375" s="346" t="s">
        <v>636</v>
      </c>
      <c r="G1375" s="350" t="s">
        <v>450</v>
      </c>
      <c r="H1375" s="351">
        <f t="shared" si="24"/>
        <v>18000</v>
      </c>
      <c r="I1375" s="120" t="str">
        <f>IF(OR(D1375&lt;Capa!$A$5,D1375&gt;Capa!$A$7,E1375&lt;Capa!$A$5,E1375&gt;Capa!$A$7,D1375&gt;E1375),"Erro","")</f>
        <v/>
      </c>
    </row>
    <row r="1376" spans="1:9" ht="45">
      <c r="A1376" s="345">
        <v>1373</v>
      </c>
      <c r="B1376" s="346" t="s">
        <v>278</v>
      </c>
      <c r="C1376" s="347">
        <v>34475</v>
      </c>
      <c r="D1376" s="348">
        <v>45292</v>
      </c>
      <c r="E1376" s="348">
        <v>45627</v>
      </c>
      <c r="F1376" s="346" t="s">
        <v>636</v>
      </c>
      <c r="G1376" s="350" t="s">
        <v>450</v>
      </c>
      <c r="H1376" s="351">
        <f t="shared" si="24"/>
        <v>413700</v>
      </c>
      <c r="I1376" s="120" t="str">
        <f>IF(OR(D1376&lt;Capa!$A$5,D1376&gt;Capa!$A$7,E1376&lt;Capa!$A$5,E1376&gt;Capa!$A$7,D1376&gt;E1376),"Erro","")</f>
        <v/>
      </c>
    </row>
    <row r="1377" spans="1:9" ht="45">
      <c r="A1377" s="345">
        <v>1374</v>
      </c>
      <c r="B1377" s="346" t="s">
        <v>278</v>
      </c>
      <c r="C1377" s="347">
        <v>36488</v>
      </c>
      <c r="D1377" s="348">
        <v>45658</v>
      </c>
      <c r="E1377" s="348">
        <v>45992</v>
      </c>
      <c r="F1377" s="346" t="s">
        <v>636</v>
      </c>
      <c r="G1377" s="350" t="s">
        <v>450</v>
      </c>
      <c r="H1377" s="351">
        <f t="shared" si="24"/>
        <v>437856</v>
      </c>
      <c r="I1377" s="120" t="str">
        <f>IF(OR(D1377&lt;Capa!$A$5,D1377&gt;Capa!$A$7,E1377&lt;Capa!$A$5,E1377&gt;Capa!$A$7,D1377&gt;E1377),"Erro","")</f>
        <v/>
      </c>
    </row>
    <row r="1378" spans="1:9" ht="45">
      <c r="A1378" s="345">
        <v>1375</v>
      </c>
      <c r="B1378" s="346" t="s">
        <v>278</v>
      </c>
      <c r="C1378" s="347">
        <v>38619</v>
      </c>
      <c r="D1378" s="348">
        <v>46023</v>
      </c>
      <c r="E1378" s="348">
        <v>46357</v>
      </c>
      <c r="F1378" s="346" t="s">
        <v>636</v>
      </c>
      <c r="G1378" s="350" t="s">
        <v>450</v>
      </c>
      <c r="H1378" s="351">
        <f t="shared" si="24"/>
        <v>463428</v>
      </c>
      <c r="I1378" s="120" t="str">
        <f>IF(OR(D1378&lt;Capa!$A$5,D1378&gt;Capa!$A$7,E1378&lt;Capa!$A$5,E1378&gt;Capa!$A$7,D1378&gt;E1378),"Erro","")</f>
        <v/>
      </c>
    </row>
    <row r="1379" spans="1:9" ht="45">
      <c r="A1379" s="345">
        <v>1376</v>
      </c>
      <c r="B1379" s="346" t="s">
        <v>278</v>
      </c>
      <c r="C1379" s="347">
        <v>40874.620000000003</v>
      </c>
      <c r="D1379" s="348">
        <v>46388</v>
      </c>
      <c r="E1379" s="348">
        <v>46722</v>
      </c>
      <c r="F1379" s="346" t="s">
        <v>636</v>
      </c>
      <c r="G1379" s="350" t="s">
        <v>450</v>
      </c>
      <c r="H1379" s="351">
        <f t="shared" si="24"/>
        <v>490495.44000000006</v>
      </c>
      <c r="I1379" s="120" t="str">
        <f>IF(OR(D1379&lt;Capa!$A$5,D1379&gt;Capa!$A$7,E1379&lt;Capa!$A$5,E1379&gt;Capa!$A$7,D1379&gt;E1379),"Erro","")</f>
        <v/>
      </c>
    </row>
    <row r="1380" spans="1:9" ht="45">
      <c r="A1380" s="345">
        <v>1377</v>
      </c>
      <c r="B1380" s="346" t="s">
        <v>278</v>
      </c>
      <c r="C1380" s="347">
        <v>43261</v>
      </c>
      <c r="D1380" s="348">
        <v>46753</v>
      </c>
      <c r="E1380" s="348">
        <v>47058</v>
      </c>
      <c r="F1380" s="346" t="s">
        <v>636</v>
      </c>
      <c r="G1380" s="350" t="s">
        <v>450</v>
      </c>
      <c r="H1380" s="351">
        <f t="shared" si="24"/>
        <v>475871</v>
      </c>
      <c r="I1380" s="120" t="str">
        <f>IF(OR(D1380&lt;Capa!$A$5,D1380&gt;Capa!$A$7,E1380&lt;Capa!$A$5,E1380&gt;Capa!$A$7,D1380&gt;E1380),"Erro","")</f>
        <v/>
      </c>
    </row>
    <row r="1381" spans="1:9" ht="56.25">
      <c r="A1381" s="345">
        <v>1378</v>
      </c>
      <c r="B1381" s="346" t="s">
        <v>280</v>
      </c>
      <c r="C1381" s="347">
        <v>100</v>
      </c>
      <c r="D1381" s="348">
        <v>45261</v>
      </c>
      <c r="E1381" s="348">
        <v>45627</v>
      </c>
      <c r="F1381" s="346" t="s">
        <v>636</v>
      </c>
      <c r="G1381" s="350" t="s">
        <v>451</v>
      </c>
      <c r="H1381" s="351">
        <f t="shared" si="24"/>
        <v>1300</v>
      </c>
      <c r="I1381" s="120" t="str">
        <f>IF(OR(D1381&lt;Capa!$A$5,D1381&gt;Capa!$A$7,E1381&lt;Capa!$A$5,E1381&gt;Capa!$A$7,D1381&gt;E1381),"Erro","")</f>
        <v/>
      </c>
    </row>
    <row r="1382" spans="1:9" ht="56.25">
      <c r="A1382" s="345">
        <v>1379</v>
      </c>
      <c r="B1382" s="346" t="s">
        <v>280</v>
      </c>
      <c r="C1382" s="347">
        <v>100</v>
      </c>
      <c r="D1382" s="348">
        <v>45658</v>
      </c>
      <c r="E1382" s="348">
        <v>45992</v>
      </c>
      <c r="F1382" s="346" t="s">
        <v>636</v>
      </c>
      <c r="G1382" s="350" t="s">
        <v>451</v>
      </c>
      <c r="H1382" s="351">
        <f t="shared" si="24"/>
        <v>1200</v>
      </c>
      <c r="I1382" s="120" t="str">
        <f>IF(OR(D1382&lt;Capa!$A$5,D1382&gt;Capa!$A$7,E1382&lt;Capa!$A$5,E1382&gt;Capa!$A$7,D1382&gt;E1382),"Erro","")</f>
        <v/>
      </c>
    </row>
    <row r="1383" spans="1:9" ht="56.25">
      <c r="A1383" s="345">
        <v>1380</v>
      </c>
      <c r="B1383" s="346" t="s">
        <v>280</v>
      </c>
      <c r="C1383" s="347">
        <v>100</v>
      </c>
      <c r="D1383" s="348">
        <v>46023</v>
      </c>
      <c r="E1383" s="348">
        <v>46357</v>
      </c>
      <c r="F1383" s="346" t="s">
        <v>636</v>
      </c>
      <c r="G1383" s="350" t="s">
        <v>451</v>
      </c>
      <c r="H1383" s="351">
        <f t="shared" si="24"/>
        <v>1200</v>
      </c>
      <c r="I1383" s="120" t="str">
        <f>IF(OR(D1383&lt;Capa!$A$5,D1383&gt;Capa!$A$7,E1383&lt;Capa!$A$5,E1383&gt;Capa!$A$7,D1383&gt;E1383),"Erro","")</f>
        <v/>
      </c>
    </row>
    <row r="1384" spans="1:9" ht="56.25">
      <c r="A1384" s="345">
        <v>1381</v>
      </c>
      <c r="B1384" s="346" t="s">
        <v>280</v>
      </c>
      <c r="C1384" s="347">
        <v>100</v>
      </c>
      <c r="D1384" s="348">
        <v>46388</v>
      </c>
      <c r="E1384" s="348">
        <v>46722</v>
      </c>
      <c r="F1384" s="346" t="s">
        <v>636</v>
      </c>
      <c r="G1384" s="350" t="s">
        <v>451</v>
      </c>
      <c r="H1384" s="351">
        <f t="shared" si="24"/>
        <v>1200</v>
      </c>
      <c r="I1384" s="120" t="str">
        <f>IF(OR(D1384&lt;Capa!$A$5,D1384&gt;Capa!$A$7,E1384&lt;Capa!$A$5,E1384&gt;Capa!$A$7,D1384&gt;E1384),"Erro","")</f>
        <v/>
      </c>
    </row>
    <row r="1385" spans="1:9" ht="56.25">
      <c r="A1385" s="345">
        <v>1382</v>
      </c>
      <c r="B1385" s="346" t="s">
        <v>280</v>
      </c>
      <c r="C1385" s="347">
        <v>100</v>
      </c>
      <c r="D1385" s="348">
        <v>46753</v>
      </c>
      <c r="E1385" s="348">
        <v>47058</v>
      </c>
      <c r="F1385" s="346" t="s">
        <v>636</v>
      </c>
      <c r="G1385" s="350" t="s">
        <v>451</v>
      </c>
      <c r="H1385" s="351">
        <f t="shared" si="24"/>
        <v>1100</v>
      </c>
      <c r="I1385" s="120" t="str">
        <f>IF(OR(D1385&lt;Capa!$A$5,D1385&gt;Capa!$A$7,E1385&lt;Capa!$A$5,E1385&gt;Capa!$A$7,D1385&gt;E1385),"Erro","")</f>
        <v/>
      </c>
    </row>
    <row r="1386" spans="1:9" ht="45">
      <c r="A1386" s="345">
        <v>1383</v>
      </c>
      <c r="B1386" s="346" t="s">
        <v>282</v>
      </c>
      <c r="C1386" s="347">
        <v>650</v>
      </c>
      <c r="D1386" s="348">
        <v>45261</v>
      </c>
      <c r="E1386" s="348">
        <v>45627</v>
      </c>
      <c r="F1386" s="346" t="s">
        <v>636</v>
      </c>
      <c r="G1386" s="350" t="s">
        <v>452</v>
      </c>
      <c r="H1386" s="351">
        <f t="shared" si="24"/>
        <v>8450</v>
      </c>
      <c r="I1386" s="120" t="str">
        <f>IF(OR(D1386&lt;Capa!$A$5,D1386&gt;Capa!$A$7,E1386&lt;Capa!$A$5,E1386&gt;Capa!$A$7,D1386&gt;E1386),"Erro","")</f>
        <v/>
      </c>
    </row>
    <row r="1387" spans="1:9" ht="45">
      <c r="A1387" s="345">
        <v>1384</v>
      </c>
      <c r="B1387" s="346" t="s">
        <v>282</v>
      </c>
      <c r="C1387" s="347">
        <v>743.18</v>
      </c>
      <c r="D1387" s="348">
        <v>45658</v>
      </c>
      <c r="E1387" s="348">
        <v>45992</v>
      </c>
      <c r="F1387" s="346" t="s">
        <v>636</v>
      </c>
      <c r="G1387" s="350" t="s">
        <v>452</v>
      </c>
      <c r="H1387" s="351">
        <f t="shared" si="24"/>
        <v>8918.16</v>
      </c>
      <c r="I1387" s="120" t="str">
        <f>IF(OR(D1387&lt;Capa!$A$5,D1387&gt;Capa!$A$7,E1387&lt;Capa!$A$5,E1387&gt;Capa!$A$7,D1387&gt;E1387),"Erro","")</f>
        <v/>
      </c>
    </row>
    <row r="1388" spans="1:9" ht="45">
      <c r="A1388" s="345">
        <v>1385</v>
      </c>
      <c r="B1388" s="346" t="s">
        <v>282</v>
      </c>
      <c r="C1388" s="347">
        <v>786.59</v>
      </c>
      <c r="D1388" s="348">
        <v>46023</v>
      </c>
      <c r="E1388" s="348">
        <v>46357</v>
      </c>
      <c r="F1388" s="346" t="s">
        <v>636</v>
      </c>
      <c r="G1388" s="350" t="s">
        <v>452</v>
      </c>
      <c r="H1388" s="351">
        <f t="shared" si="24"/>
        <v>9439.08</v>
      </c>
      <c r="I1388" s="120" t="str">
        <f>IF(OR(D1388&lt;Capa!$A$5,D1388&gt;Capa!$A$7,E1388&lt;Capa!$A$5,E1388&gt;Capa!$A$7,D1388&gt;E1388),"Erro","")</f>
        <v/>
      </c>
    </row>
    <row r="1389" spans="1:9" ht="45">
      <c r="A1389" s="345">
        <v>1386</v>
      </c>
      <c r="B1389" s="346" t="s">
        <v>282</v>
      </c>
      <c r="C1389" s="347">
        <v>832.52</v>
      </c>
      <c r="D1389" s="348">
        <v>46388</v>
      </c>
      <c r="E1389" s="348">
        <v>46722</v>
      </c>
      <c r="F1389" s="346" t="s">
        <v>636</v>
      </c>
      <c r="G1389" s="350" t="s">
        <v>452</v>
      </c>
      <c r="H1389" s="351">
        <f t="shared" si="24"/>
        <v>9990.24</v>
      </c>
      <c r="I1389" s="120" t="str">
        <f>IF(OR(D1389&lt;Capa!$A$5,D1389&gt;Capa!$A$7,E1389&lt;Capa!$A$5,E1389&gt;Capa!$A$7,D1389&gt;E1389),"Erro","")</f>
        <v/>
      </c>
    </row>
    <row r="1390" spans="1:9" ht="45">
      <c r="A1390" s="345">
        <v>1387</v>
      </c>
      <c r="B1390" s="346" t="s">
        <v>282</v>
      </c>
      <c r="C1390" s="347">
        <v>881.14</v>
      </c>
      <c r="D1390" s="348">
        <v>46753</v>
      </c>
      <c r="E1390" s="348">
        <v>47058</v>
      </c>
      <c r="F1390" s="346" t="s">
        <v>636</v>
      </c>
      <c r="G1390" s="350" t="s">
        <v>452</v>
      </c>
      <c r="H1390" s="351">
        <f t="shared" si="24"/>
        <v>9692.5399999999991</v>
      </c>
      <c r="I1390" s="120" t="str">
        <f>IF(OR(D1390&lt;Capa!$A$5,D1390&gt;Capa!$A$7,E1390&lt;Capa!$A$5,E1390&gt;Capa!$A$7,D1390&gt;E1390),"Erro","")</f>
        <v/>
      </c>
    </row>
    <row r="1391" spans="1:9" ht="45">
      <c r="A1391" s="345">
        <v>1388</v>
      </c>
      <c r="B1391" s="346" t="s">
        <v>284</v>
      </c>
      <c r="C1391" s="347">
        <v>1013.31</v>
      </c>
      <c r="D1391" s="348">
        <v>45261</v>
      </c>
      <c r="E1391" s="348">
        <v>45627</v>
      </c>
      <c r="F1391" s="346" t="s">
        <v>636</v>
      </c>
      <c r="G1391" s="350" t="s">
        <v>452</v>
      </c>
      <c r="H1391" s="351">
        <f t="shared" si="24"/>
        <v>13173.029999999999</v>
      </c>
      <c r="I1391" s="120" t="str">
        <f>IF(OR(D1391&lt;Capa!$A$5,D1391&gt;Capa!$A$7,E1391&lt;Capa!$A$5,E1391&gt;Capa!$A$7,D1391&gt;E1391),"Erro","")</f>
        <v/>
      </c>
    </row>
    <row r="1392" spans="1:9" ht="45">
      <c r="A1392" s="345">
        <v>1389</v>
      </c>
      <c r="B1392" s="346" t="s">
        <v>284</v>
      </c>
      <c r="C1392" s="347">
        <v>1072.49</v>
      </c>
      <c r="D1392" s="348">
        <v>45658</v>
      </c>
      <c r="E1392" s="348">
        <v>45992</v>
      </c>
      <c r="F1392" s="346" t="s">
        <v>636</v>
      </c>
      <c r="G1392" s="350" t="s">
        <v>452</v>
      </c>
      <c r="H1392" s="351">
        <f t="shared" si="24"/>
        <v>12869.880000000001</v>
      </c>
      <c r="I1392" s="120" t="str">
        <f>IF(OR(D1392&lt;Capa!$A$5,D1392&gt;Capa!$A$7,E1392&lt;Capa!$A$5,E1392&gt;Capa!$A$7,D1392&gt;E1392),"Erro","")</f>
        <v/>
      </c>
    </row>
    <row r="1393" spans="1:9" ht="45">
      <c r="A1393" s="345">
        <v>1390</v>
      </c>
      <c r="B1393" s="346" t="s">
        <v>284</v>
      </c>
      <c r="C1393" s="347">
        <v>1135.1199999999999</v>
      </c>
      <c r="D1393" s="348">
        <v>46023</v>
      </c>
      <c r="E1393" s="348">
        <v>46357</v>
      </c>
      <c r="F1393" s="346" t="s">
        <v>636</v>
      </c>
      <c r="G1393" s="350" t="s">
        <v>452</v>
      </c>
      <c r="H1393" s="351">
        <f t="shared" si="24"/>
        <v>13621.439999999999</v>
      </c>
      <c r="I1393" s="120" t="str">
        <f>IF(OR(D1393&lt;Capa!$A$5,D1393&gt;Capa!$A$7,E1393&lt;Capa!$A$5,E1393&gt;Capa!$A$7,D1393&gt;E1393),"Erro","")</f>
        <v/>
      </c>
    </row>
    <row r="1394" spans="1:9" ht="45">
      <c r="A1394" s="345">
        <v>1391</v>
      </c>
      <c r="B1394" s="346" t="s">
        <v>284</v>
      </c>
      <c r="C1394" s="347">
        <v>1201.42</v>
      </c>
      <c r="D1394" s="348">
        <v>46388</v>
      </c>
      <c r="E1394" s="348">
        <v>46722</v>
      </c>
      <c r="F1394" s="346" t="s">
        <v>636</v>
      </c>
      <c r="G1394" s="350" t="s">
        <v>452</v>
      </c>
      <c r="H1394" s="351">
        <f t="shared" si="24"/>
        <v>14417.04</v>
      </c>
      <c r="I1394" s="120" t="str">
        <f>IF(OR(D1394&lt;Capa!$A$5,D1394&gt;Capa!$A$7,E1394&lt;Capa!$A$5,E1394&gt;Capa!$A$7,D1394&gt;E1394),"Erro","")</f>
        <v/>
      </c>
    </row>
    <row r="1395" spans="1:9" ht="45">
      <c r="A1395" s="345">
        <v>1392</v>
      </c>
      <c r="B1395" s="346" t="s">
        <v>284</v>
      </c>
      <c r="C1395" s="347">
        <v>1271.58</v>
      </c>
      <c r="D1395" s="348">
        <v>46753</v>
      </c>
      <c r="E1395" s="348">
        <v>47058</v>
      </c>
      <c r="F1395" s="346" t="s">
        <v>636</v>
      </c>
      <c r="G1395" s="350" t="s">
        <v>452</v>
      </c>
      <c r="H1395" s="351">
        <f t="shared" si="24"/>
        <v>13987.38</v>
      </c>
      <c r="I1395" s="120" t="str">
        <f>IF(OR(D1395&lt;Capa!$A$5,D1395&gt;Capa!$A$7,E1395&lt;Capa!$A$5,E1395&gt;Capa!$A$7,D1395&gt;E1395),"Erro","")</f>
        <v/>
      </c>
    </row>
    <row r="1396" spans="1:9" ht="45">
      <c r="A1396" s="345">
        <v>1393</v>
      </c>
      <c r="B1396" s="346" t="s">
        <v>286</v>
      </c>
      <c r="C1396" s="347">
        <v>1013.31</v>
      </c>
      <c r="D1396" s="348">
        <v>45261</v>
      </c>
      <c r="E1396" s="348">
        <v>45627</v>
      </c>
      <c r="F1396" s="346" t="s">
        <v>636</v>
      </c>
      <c r="G1396" s="350" t="s">
        <v>452</v>
      </c>
      <c r="H1396" s="351">
        <f t="shared" si="24"/>
        <v>13173.029999999999</v>
      </c>
      <c r="I1396" s="120" t="str">
        <f>IF(OR(D1396&lt;Capa!$A$5,D1396&gt;Capa!$A$7,E1396&lt;Capa!$A$5,E1396&gt;Capa!$A$7,D1396&gt;E1396),"Erro","")</f>
        <v/>
      </c>
    </row>
    <row r="1397" spans="1:9" ht="45">
      <c r="A1397" s="345">
        <v>1394</v>
      </c>
      <c r="B1397" s="346" t="s">
        <v>286</v>
      </c>
      <c r="C1397" s="347">
        <v>1072.49</v>
      </c>
      <c r="D1397" s="348">
        <v>45658</v>
      </c>
      <c r="E1397" s="348">
        <v>45992</v>
      </c>
      <c r="F1397" s="346" t="s">
        <v>636</v>
      </c>
      <c r="G1397" s="350" t="s">
        <v>452</v>
      </c>
      <c r="H1397" s="351">
        <f t="shared" si="24"/>
        <v>12869.880000000001</v>
      </c>
      <c r="I1397" s="120" t="str">
        <f>IF(OR(D1397&lt;Capa!$A$5,D1397&gt;Capa!$A$7,E1397&lt;Capa!$A$5,E1397&gt;Capa!$A$7,D1397&gt;E1397),"Erro","")</f>
        <v/>
      </c>
    </row>
    <row r="1398" spans="1:9" ht="45">
      <c r="A1398" s="345">
        <v>1395</v>
      </c>
      <c r="B1398" s="346" t="s">
        <v>286</v>
      </c>
      <c r="C1398" s="347">
        <v>1135.1199999999999</v>
      </c>
      <c r="D1398" s="348">
        <v>46023</v>
      </c>
      <c r="E1398" s="348">
        <v>46357</v>
      </c>
      <c r="F1398" s="346" t="s">
        <v>636</v>
      </c>
      <c r="G1398" s="350" t="s">
        <v>452</v>
      </c>
      <c r="H1398" s="351">
        <f t="shared" si="24"/>
        <v>13621.439999999999</v>
      </c>
      <c r="I1398" s="120" t="str">
        <f>IF(OR(D1398&lt;Capa!$A$5,D1398&gt;Capa!$A$7,E1398&lt;Capa!$A$5,E1398&gt;Capa!$A$7,D1398&gt;E1398),"Erro","")</f>
        <v/>
      </c>
    </row>
    <row r="1399" spans="1:9" ht="45">
      <c r="A1399" s="345">
        <v>1396</v>
      </c>
      <c r="B1399" s="346" t="s">
        <v>286</v>
      </c>
      <c r="C1399" s="347">
        <v>1201.4100000000001</v>
      </c>
      <c r="D1399" s="348">
        <v>46388</v>
      </c>
      <c r="E1399" s="348">
        <v>46722</v>
      </c>
      <c r="F1399" s="346" t="s">
        <v>636</v>
      </c>
      <c r="G1399" s="350" t="s">
        <v>452</v>
      </c>
      <c r="H1399" s="351">
        <f t="shared" si="24"/>
        <v>14416.920000000002</v>
      </c>
      <c r="I1399" s="120" t="str">
        <f>IF(OR(D1399&lt;Capa!$A$5,D1399&gt;Capa!$A$7,E1399&lt;Capa!$A$5,E1399&gt;Capa!$A$7,D1399&gt;E1399),"Erro","")</f>
        <v/>
      </c>
    </row>
    <row r="1400" spans="1:9" ht="45">
      <c r="A1400" s="345">
        <v>1397</v>
      </c>
      <c r="B1400" s="346" t="s">
        <v>286</v>
      </c>
      <c r="C1400" s="347">
        <v>1271.57</v>
      </c>
      <c r="D1400" s="348">
        <v>46753</v>
      </c>
      <c r="E1400" s="348">
        <v>47058</v>
      </c>
      <c r="F1400" s="346" t="s">
        <v>636</v>
      </c>
      <c r="G1400" s="350" t="s">
        <v>452</v>
      </c>
      <c r="H1400" s="351">
        <f t="shared" si="24"/>
        <v>13987.269999999999</v>
      </c>
      <c r="I1400" s="120" t="str">
        <f>IF(OR(D1400&lt;Capa!$A$5,D1400&gt;Capa!$A$7,E1400&lt;Capa!$A$5,E1400&gt;Capa!$A$7,D1400&gt;E1400),"Erro","")</f>
        <v/>
      </c>
    </row>
    <row r="1401" spans="1:9" ht="45">
      <c r="A1401" s="345">
        <v>1398</v>
      </c>
      <c r="B1401" s="346" t="s">
        <v>288</v>
      </c>
      <c r="C1401" s="347">
        <v>200</v>
      </c>
      <c r="D1401" s="348">
        <v>45261</v>
      </c>
      <c r="E1401" s="348">
        <v>45627</v>
      </c>
      <c r="F1401" s="346" t="s">
        <v>636</v>
      </c>
      <c r="G1401" s="350" t="s">
        <v>453</v>
      </c>
      <c r="H1401" s="351">
        <f t="shared" si="24"/>
        <v>2600</v>
      </c>
      <c r="I1401" s="120" t="str">
        <f>IF(OR(D1401&lt;Capa!$A$5,D1401&gt;Capa!$A$7,E1401&lt;Capa!$A$5,E1401&gt;Capa!$A$7,D1401&gt;E1401),"Erro","")</f>
        <v/>
      </c>
    </row>
    <row r="1402" spans="1:9" ht="45">
      <c r="A1402" s="345">
        <v>1399</v>
      </c>
      <c r="B1402" s="346" t="s">
        <v>288</v>
      </c>
      <c r="C1402" s="347">
        <v>200</v>
      </c>
      <c r="D1402" s="348">
        <v>45658</v>
      </c>
      <c r="E1402" s="348">
        <v>45992</v>
      </c>
      <c r="F1402" s="346" t="s">
        <v>636</v>
      </c>
      <c r="G1402" s="350" t="s">
        <v>453</v>
      </c>
      <c r="H1402" s="351">
        <f t="shared" si="24"/>
        <v>2400</v>
      </c>
      <c r="I1402" s="120" t="str">
        <f>IF(OR(D1402&lt;Capa!$A$5,D1402&gt;Capa!$A$7,E1402&lt;Capa!$A$5,E1402&gt;Capa!$A$7,D1402&gt;E1402),"Erro","")</f>
        <v/>
      </c>
    </row>
    <row r="1403" spans="1:9" ht="45">
      <c r="A1403" s="345">
        <v>1400</v>
      </c>
      <c r="B1403" s="346" t="s">
        <v>288</v>
      </c>
      <c r="C1403" s="347">
        <v>200</v>
      </c>
      <c r="D1403" s="348">
        <v>46023</v>
      </c>
      <c r="E1403" s="348">
        <v>46357</v>
      </c>
      <c r="F1403" s="346" t="s">
        <v>636</v>
      </c>
      <c r="G1403" s="350" t="s">
        <v>453</v>
      </c>
      <c r="H1403" s="351">
        <f t="shared" si="24"/>
        <v>2400</v>
      </c>
      <c r="I1403" s="120" t="str">
        <f>IF(OR(D1403&lt;Capa!$A$5,D1403&gt;Capa!$A$7,E1403&lt;Capa!$A$5,E1403&gt;Capa!$A$7,D1403&gt;E1403),"Erro","")</f>
        <v/>
      </c>
    </row>
    <row r="1404" spans="1:9" ht="45">
      <c r="A1404" s="345">
        <v>1401</v>
      </c>
      <c r="B1404" s="346" t="s">
        <v>288</v>
      </c>
      <c r="C1404" s="347">
        <v>200</v>
      </c>
      <c r="D1404" s="348">
        <v>46388</v>
      </c>
      <c r="E1404" s="348">
        <v>46722</v>
      </c>
      <c r="F1404" s="346" t="s">
        <v>636</v>
      </c>
      <c r="G1404" s="350" t="s">
        <v>453</v>
      </c>
      <c r="H1404" s="351">
        <f t="shared" si="24"/>
        <v>2400</v>
      </c>
      <c r="I1404" s="120" t="str">
        <f>IF(OR(D1404&lt;Capa!$A$5,D1404&gt;Capa!$A$7,E1404&lt;Capa!$A$5,E1404&gt;Capa!$A$7,D1404&gt;E1404),"Erro","")</f>
        <v/>
      </c>
    </row>
    <row r="1405" spans="1:9" ht="45">
      <c r="A1405" s="345">
        <v>1402</v>
      </c>
      <c r="B1405" s="346" t="s">
        <v>288</v>
      </c>
      <c r="C1405" s="347">
        <v>200</v>
      </c>
      <c r="D1405" s="348">
        <v>46753</v>
      </c>
      <c r="E1405" s="348">
        <v>47058</v>
      </c>
      <c r="F1405" s="346" t="s">
        <v>636</v>
      </c>
      <c r="G1405" s="350" t="s">
        <v>453</v>
      </c>
      <c r="H1405" s="351">
        <f t="shared" si="24"/>
        <v>2200</v>
      </c>
      <c r="I1405" s="120" t="str">
        <f>IF(OR(D1405&lt;Capa!$A$5,D1405&gt;Capa!$A$7,E1405&lt;Capa!$A$5,E1405&gt;Capa!$A$7,D1405&gt;E1405),"Erro","")</f>
        <v/>
      </c>
    </row>
    <row r="1406" spans="1:9" ht="33.75">
      <c r="A1406" s="345">
        <v>1403</v>
      </c>
      <c r="B1406" s="346" t="s">
        <v>294</v>
      </c>
      <c r="C1406" s="347">
        <v>7000</v>
      </c>
      <c r="D1406" s="348">
        <v>45261</v>
      </c>
      <c r="E1406" s="348">
        <v>45627</v>
      </c>
      <c r="F1406" s="346" t="s">
        <v>636</v>
      </c>
      <c r="G1406" s="350" t="s">
        <v>454</v>
      </c>
      <c r="H1406" s="351">
        <f t="shared" si="24"/>
        <v>91000</v>
      </c>
      <c r="I1406" s="120" t="str">
        <f>IF(OR(D1406&lt;Capa!$A$5,D1406&gt;Capa!$A$7,E1406&lt;Capa!$A$5,E1406&gt;Capa!$A$7,D1406&gt;E1406),"Erro","")</f>
        <v/>
      </c>
    </row>
    <row r="1407" spans="1:9" ht="33.75">
      <c r="A1407" s="345">
        <v>1404</v>
      </c>
      <c r="B1407" s="346" t="s">
        <v>294</v>
      </c>
      <c r="C1407" s="347">
        <v>7408.8</v>
      </c>
      <c r="D1407" s="348">
        <v>45658</v>
      </c>
      <c r="E1407" s="348">
        <v>45992</v>
      </c>
      <c r="F1407" s="346" t="s">
        <v>636</v>
      </c>
      <c r="G1407" s="350" t="s">
        <v>454</v>
      </c>
      <c r="H1407" s="351">
        <f t="shared" si="24"/>
        <v>88905.600000000006</v>
      </c>
      <c r="I1407" s="120" t="str">
        <f>IF(OR(D1407&lt;Capa!$A$5,D1407&gt;Capa!$A$7,E1407&lt;Capa!$A$5,E1407&gt;Capa!$A$7,D1407&gt;E1407),"Erro","")</f>
        <v/>
      </c>
    </row>
    <row r="1408" spans="1:9" ht="33.75">
      <c r="A1408" s="345">
        <v>1405</v>
      </c>
      <c r="B1408" s="346" t="s">
        <v>294</v>
      </c>
      <c r="C1408" s="347">
        <v>7847.65</v>
      </c>
      <c r="D1408" s="348">
        <v>46023</v>
      </c>
      <c r="E1408" s="348">
        <v>46357</v>
      </c>
      <c r="F1408" s="346" t="s">
        <v>636</v>
      </c>
      <c r="G1408" s="350" t="s">
        <v>454</v>
      </c>
      <c r="H1408" s="351">
        <f t="shared" si="24"/>
        <v>94171.799999999988</v>
      </c>
      <c r="I1408" s="120" t="str">
        <f>IF(OR(D1408&lt;Capa!$A$5,D1408&gt;Capa!$A$7,E1408&lt;Capa!$A$5,E1408&gt;Capa!$A$7,D1408&gt;E1408),"Erro","")</f>
        <v/>
      </c>
    </row>
    <row r="1409" spans="1:9" ht="33.75">
      <c r="A1409" s="345">
        <v>1406</v>
      </c>
      <c r="B1409" s="346" t="s">
        <v>294</v>
      </c>
      <c r="C1409" s="347">
        <v>8305.9500000000007</v>
      </c>
      <c r="D1409" s="348">
        <v>46388</v>
      </c>
      <c r="E1409" s="348">
        <v>46722</v>
      </c>
      <c r="F1409" s="346" t="s">
        <v>636</v>
      </c>
      <c r="G1409" s="350" t="s">
        <v>454</v>
      </c>
      <c r="H1409" s="351">
        <f t="shared" si="24"/>
        <v>99671.400000000009</v>
      </c>
      <c r="I1409" s="120" t="str">
        <f>IF(OR(D1409&lt;Capa!$A$5,D1409&gt;Capa!$A$7,E1409&lt;Capa!$A$5,E1409&gt;Capa!$A$7,D1409&gt;E1409),"Erro","")</f>
        <v/>
      </c>
    </row>
    <row r="1410" spans="1:9" ht="33.75">
      <c r="A1410" s="345">
        <v>1407</v>
      </c>
      <c r="B1410" s="346" t="s">
        <v>294</v>
      </c>
      <c r="C1410" s="347">
        <v>8791.02</v>
      </c>
      <c r="D1410" s="348">
        <v>46753</v>
      </c>
      <c r="E1410" s="348">
        <v>47058</v>
      </c>
      <c r="F1410" s="346" t="s">
        <v>636</v>
      </c>
      <c r="G1410" s="350" t="s">
        <v>454</v>
      </c>
      <c r="H1410" s="351">
        <f t="shared" si="24"/>
        <v>96701.22</v>
      </c>
      <c r="I1410" s="120" t="str">
        <f>IF(OR(D1410&lt;Capa!$A$5,D1410&gt;Capa!$A$7,E1410&lt;Capa!$A$5,E1410&gt;Capa!$A$7,D1410&gt;E1410),"Erro","")</f>
        <v/>
      </c>
    </row>
    <row r="1411" spans="1:9" ht="22.5">
      <c r="A1411" s="345">
        <v>1408</v>
      </c>
      <c r="B1411" s="346" t="s">
        <v>302</v>
      </c>
      <c r="C1411" s="347">
        <v>210</v>
      </c>
      <c r="D1411" s="348">
        <v>45261</v>
      </c>
      <c r="E1411" s="348">
        <v>45627</v>
      </c>
      <c r="F1411" s="346" t="s">
        <v>636</v>
      </c>
      <c r="G1411" s="350" t="s">
        <v>455</v>
      </c>
      <c r="H1411" s="351">
        <f t="shared" si="24"/>
        <v>2730</v>
      </c>
      <c r="I1411" s="120" t="str">
        <f>IF(OR(D1411&lt;Capa!$A$5,D1411&gt;Capa!$A$7,E1411&lt;Capa!$A$5,E1411&gt;Capa!$A$7,D1411&gt;E1411),"Erro","")</f>
        <v/>
      </c>
    </row>
    <row r="1412" spans="1:9" ht="22.5">
      <c r="A1412" s="345">
        <v>1409</v>
      </c>
      <c r="B1412" s="346" t="s">
        <v>302</v>
      </c>
      <c r="C1412" s="347">
        <v>210</v>
      </c>
      <c r="D1412" s="348">
        <v>45658</v>
      </c>
      <c r="E1412" s="348">
        <v>45992</v>
      </c>
      <c r="F1412" s="346" t="s">
        <v>636</v>
      </c>
      <c r="G1412" s="350" t="s">
        <v>455</v>
      </c>
      <c r="H1412" s="351">
        <f t="shared" si="24"/>
        <v>2520</v>
      </c>
      <c r="I1412" s="120" t="str">
        <f>IF(OR(D1412&lt;Capa!$A$5,D1412&gt;Capa!$A$7,E1412&lt;Capa!$A$5,E1412&gt;Capa!$A$7,D1412&gt;E1412),"Erro","")</f>
        <v/>
      </c>
    </row>
    <row r="1413" spans="1:9" ht="22.5">
      <c r="A1413" s="345">
        <v>1410</v>
      </c>
      <c r="B1413" s="346" t="s">
        <v>302</v>
      </c>
      <c r="C1413" s="347">
        <v>210</v>
      </c>
      <c r="D1413" s="348">
        <v>46023</v>
      </c>
      <c r="E1413" s="348">
        <v>46357</v>
      </c>
      <c r="F1413" s="346" t="s">
        <v>636</v>
      </c>
      <c r="G1413" s="350" t="s">
        <v>455</v>
      </c>
      <c r="H1413" s="351">
        <f t="shared" si="24"/>
        <v>2520</v>
      </c>
      <c r="I1413" s="120" t="str">
        <f>IF(OR(D1413&lt;Capa!$A$5,D1413&gt;Capa!$A$7,E1413&lt;Capa!$A$5,E1413&gt;Capa!$A$7,D1413&gt;E1413),"Erro","")</f>
        <v/>
      </c>
    </row>
    <row r="1414" spans="1:9" ht="22.5">
      <c r="A1414" s="345">
        <v>1411</v>
      </c>
      <c r="B1414" s="346" t="s">
        <v>302</v>
      </c>
      <c r="C1414" s="347">
        <v>210</v>
      </c>
      <c r="D1414" s="348">
        <v>46388</v>
      </c>
      <c r="E1414" s="348">
        <v>46722</v>
      </c>
      <c r="F1414" s="346" t="s">
        <v>636</v>
      </c>
      <c r="G1414" s="350" t="s">
        <v>455</v>
      </c>
      <c r="H1414" s="351">
        <f t="shared" si="24"/>
        <v>2520</v>
      </c>
      <c r="I1414" s="120" t="str">
        <f>IF(OR(D1414&lt;Capa!$A$5,D1414&gt;Capa!$A$7,E1414&lt;Capa!$A$5,E1414&gt;Capa!$A$7,D1414&gt;E1414),"Erro","")</f>
        <v/>
      </c>
    </row>
    <row r="1415" spans="1:9" ht="22.5">
      <c r="A1415" s="345">
        <v>1412</v>
      </c>
      <c r="B1415" s="346" t="s">
        <v>302</v>
      </c>
      <c r="C1415" s="347">
        <v>210</v>
      </c>
      <c r="D1415" s="348">
        <v>46753</v>
      </c>
      <c r="E1415" s="348">
        <v>47058</v>
      </c>
      <c r="F1415" s="346" t="s">
        <v>636</v>
      </c>
      <c r="G1415" s="350" t="s">
        <v>455</v>
      </c>
      <c r="H1415" s="351">
        <f t="shared" si="24"/>
        <v>2310</v>
      </c>
      <c r="I1415" s="120" t="str">
        <f>IF(OR(D1415&lt;Capa!$A$5,D1415&gt;Capa!$A$7,E1415&lt;Capa!$A$5,E1415&gt;Capa!$A$7,D1415&gt;E1415),"Erro","")</f>
        <v/>
      </c>
    </row>
    <row r="1416" spans="1:9" ht="33.75">
      <c r="A1416" s="345">
        <v>1413</v>
      </c>
      <c r="B1416" s="346" t="s">
        <v>304</v>
      </c>
      <c r="C1416" s="347">
        <v>1800</v>
      </c>
      <c r="D1416" s="348">
        <v>45261</v>
      </c>
      <c r="E1416" s="348">
        <v>45627</v>
      </c>
      <c r="F1416" s="346" t="s">
        <v>636</v>
      </c>
      <c r="G1416" s="350" t="s">
        <v>456</v>
      </c>
      <c r="H1416" s="351">
        <f t="shared" si="24"/>
        <v>23400</v>
      </c>
      <c r="I1416" s="120" t="str">
        <f>IF(OR(D1416&lt;Capa!$A$5,D1416&gt;Capa!$A$7,E1416&lt;Capa!$A$5,E1416&gt;Capa!$A$7,D1416&gt;E1416),"Erro","")</f>
        <v/>
      </c>
    </row>
    <row r="1417" spans="1:9" ht="33.75">
      <c r="A1417" s="345">
        <v>1414</v>
      </c>
      <c r="B1417" s="346" t="s">
        <v>304</v>
      </c>
      <c r="C1417" s="347">
        <v>1905.12</v>
      </c>
      <c r="D1417" s="348">
        <v>45658</v>
      </c>
      <c r="E1417" s="348">
        <v>45992</v>
      </c>
      <c r="F1417" s="346" t="s">
        <v>636</v>
      </c>
      <c r="G1417" s="350" t="s">
        <v>456</v>
      </c>
      <c r="H1417" s="351">
        <f t="shared" si="24"/>
        <v>22861.439999999999</v>
      </c>
      <c r="I1417" s="120" t="str">
        <f>IF(OR(D1417&lt;Capa!$A$5,D1417&gt;Capa!$A$7,E1417&lt;Capa!$A$5,E1417&gt;Capa!$A$7,D1417&gt;E1417),"Erro","")</f>
        <v/>
      </c>
    </row>
    <row r="1418" spans="1:9" ht="33.75">
      <c r="A1418" s="345">
        <v>1415</v>
      </c>
      <c r="B1418" s="346" t="s">
        <v>304</v>
      </c>
      <c r="C1418" s="347">
        <v>2016.37</v>
      </c>
      <c r="D1418" s="348">
        <v>46023</v>
      </c>
      <c r="E1418" s="348">
        <v>46357</v>
      </c>
      <c r="F1418" s="346" t="s">
        <v>636</v>
      </c>
      <c r="G1418" s="350" t="s">
        <v>456</v>
      </c>
      <c r="H1418" s="351">
        <f t="shared" si="24"/>
        <v>24196.44</v>
      </c>
      <c r="I1418" s="120" t="str">
        <f>IF(OR(D1418&lt;Capa!$A$5,D1418&gt;Capa!$A$7,E1418&lt;Capa!$A$5,E1418&gt;Capa!$A$7,D1418&gt;E1418),"Erro","")</f>
        <v/>
      </c>
    </row>
    <row r="1419" spans="1:9" ht="33.75">
      <c r="A1419" s="345">
        <v>1416</v>
      </c>
      <c r="B1419" s="346" t="s">
        <v>304</v>
      </c>
      <c r="C1419" s="347">
        <v>2134.13</v>
      </c>
      <c r="D1419" s="348">
        <v>46388</v>
      </c>
      <c r="E1419" s="348">
        <v>46722</v>
      </c>
      <c r="F1419" s="346" t="s">
        <v>636</v>
      </c>
      <c r="G1419" s="350" t="s">
        <v>456</v>
      </c>
      <c r="H1419" s="351">
        <f t="shared" si="24"/>
        <v>25609.56</v>
      </c>
      <c r="I1419" s="120" t="str">
        <f>IF(OR(D1419&lt;Capa!$A$5,D1419&gt;Capa!$A$7,E1419&lt;Capa!$A$5,E1419&gt;Capa!$A$7,D1419&gt;E1419),"Erro","")</f>
        <v/>
      </c>
    </row>
    <row r="1420" spans="1:9" ht="33.75">
      <c r="A1420" s="345">
        <v>1417</v>
      </c>
      <c r="B1420" s="346" t="s">
        <v>304</v>
      </c>
      <c r="C1420" s="347">
        <v>2258.7600000000002</v>
      </c>
      <c r="D1420" s="348">
        <v>46753</v>
      </c>
      <c r="E1420" s="348">
        <v>47058</v>
      </c>
      <c r="F1420" s="346" t="s">
        <v>636</v>
      </c>
      <c r="G1420" s="350" t="s">
        <v>456</v>
      </c>
      <c r="H1420" s="351">
        <f t="shared" si="24"/>
        <v>24846.36</v>
      </c>
      <c r="I1420" s="120" t="str">
        <f>IF(OR(D1420&lt;Capa!$A$5,D1420&gt;Capa!$A$7,E1420&lt;Capa!$A$5,E1420&gt;Capa!$A$7,D1420&gt;E1420),"Erro","")</f>
        <v/>
      </c>
    </row>
    <row r="1421" spans="1:9" ht="33.75">
      <c r="A1421" s="345">
        <v>1418</v>
      </c>
      <c r="B1421" s="346" t="s">
        <v>312</v>
      </c>
      <c r="C1421" s="347">
        <v>280</v>
      </c>
      <c r="D1421" s="348">
        <v>45658</v>
      </c>
      <c r="E1421" s="348">
        <v>45992</v>
      </c>
      <c r="F1421" s="346" t="s">
        <v>636</v>
      </c>
      <c r="G1421" s="350" t="s">
        <v>593</v>
      </c>
      <c r="H1421" s="351">
        <f t="shared" si="24"/>
        <v>3360</v>
      </c>
      <c r="I1421" s="120" t="str">
        <f>IF(OR(D1421&lt;Capa!$A$5,D1421&gt;Capa!$A$7,E1421&lt;Capa!$A$5,E1421&gt;Capa!$A$7,D1421&gt;E1421),"Erro","")</f>
        <v/>
      </c>
    </row>
    <row r="1422" spans="1:9" ht="33.75">
      <c r="A1422" s="345">
        <v>1419</v>
      </c>
      <c r="B1422" s="346" t="s">
        <v>312</v>
      </c>
      <c r="C1422" s="347">
        <v>280</v>
      </c>
      <c r="D1422" s="348">
        <v>46023</v>
      </c>
      <c r="E1422" s="348">
        <v>46357</v>
      </c>
      <c r="F1422" s="346" t="s">
        <v>636</v>
      </c>
      <c r="G1422" s="350" t="s">
        <v>593</v>
      </c>
      <c r="H1422" s="351">
        <f t="shared" si="24"/>
        <v>3360</v>
      </c>
      <c r="I1422" s="120" t="str">
        <f>IF(OR(D1422&lt;Capa!$A$5,D1422&gt;Capa!$A$7,E1422&lt;Capa!$A$5,E1422&gt;Capa!$A$7,D1422&gt;E1422),"Erro","")</f>
        <v/>
      </c>
    </row>
    <row r="1423" spans="1:9" ht="33.75">
      <c r="A1423" s="345">
        <v>1420</v>
      </c>
      <c r="B1423" s="346" t="s">
        <v>312</v>
      </c>
      <c r="C1423" s="347">
        <v>280</v>
      </c>
      <c r="D1423" s="348">
        <v>46388</v>
      </c>
      <c r="E1423" s="348">
        <v>46722</v>
      </c>
      <c r="F1423" s="346" t="s">
        <v>636</v>
      </c>
      <c r="G1423" s="350" t="s">
        <v>593</v>
      </c>
      <c r="H1423" s="351">
        <f t="shared" si="24"/>
        <v>3360</v>
      </c>
      <c r="I1423" s="120" t="str">
        <f>IF(OR(D1423&lt;Capa!$A$5,D1423&gt;Capa!$A$7,E1423&lt;Capa!$A$5,E1423&gt;Capa!$A$7,D1423&gt;E1423),"Erro","")</f>
        <v/>
      </c>
    </row>
    <row r="1424" spans="1:9" ht="33.75">
      <c r="A1424" s="345">
        <v>1421</v>
      </c>
      <c r="B1424" s="346" t="s">
        <v>312</v>
      </c>
      <c r="C1424" s="347">
        <v>280</v>
      </c>
      <c r="D1424" s="348">
        <v>46753</v>
      </c>
      <c r="E1424" s="348">
        <v>47058</v>
      </c>
      <c r="F1424" s="346" t="s">
        <v>636</v>
      </c>
      <c r="G1424" s="350" t="s">
        <v>593</v>
      </c>
      <c r="H1424" s="351">
        <f t="shared" si="24"/>
        <v>3080</v>
      </c>
      <c r="I1424" s="120" t="str">
        <f>IF(OR(D1424&lt;Capa!$A$5,D1424&gt;Capa!$A$7,E1424&lt;Capa!$A$5,E1424&gt;Capa!$A$7,D1424&gt;E1424),"Erro","")</f>
        <v/>
      </c>
    </row>
    <row r="1425" spans="1:9" ht="67.5">
      <c r="A1425" s="345">
        <v>1422</v>
      </c>
      <c r="B1425" s="346" t="s">
        <v>316</v>
      </c>
      <c r="C1425" s="347">
        <v>1000</v>
      </c>
      <c r="D1425" s="348">
        <v>45261</v>
      </c>
      <c r="E1425" s="348">
        <v>45627</v>
      </c>
      <c r="F1425" s="346" t="s">
        <v>636</v>
      </c>
      <c r="G1425" s="350" t="s">
        <v>457</v>
      </c>
      <c r="H1425" s="351">
        <f t="shared" si="24"/>
        <v>13000</v>
      </c>
      <c r="I1425" s="120" t="str">
        <f>IF(OR(D1425&lt;Capa!$A$5,D1425&gt;Capa!$A$7,E1425&lt;Capa!$A$5,E1425&gt;Capa!$A$7,D1425&gt;E1425),"Erro","")</f>
        <v/>
      </c>
    </row>
    <row r="1426" spans="1:9" ht="67.5">
      <c r="A1426" s="345">
        <v>1423</v>
      </c>
      <c r="B1426" s="346" t="s">
        <v>316</v>
      </c>
      <c r="C1426" s="347">
        <v>1000</v>
      </c>
      <c r="D1426" s="348">
        <v>45658</v>
      </c>
      <c r="E1426" s="348">
        <v>45992</v>
      </c>
      <c r="F1426" s="346" t="s">
        <v>636</v>
      </c>
      <c r="G1426" s="350" t="s">
        <v>457</v>
      </c>
      <c r="H1426" s="351">
        <f t="shared" ref="H1426:H1510" si="25">IFERROR((DATEDIF(D1426,E1426,"M")+1)*C1426,0)</f>
        <v>12000</v>
      </c>
      <c r="I1426" s="120" t="str">
        <f>IF(OR(D1426&lt;Capa!$A$5,D1426&gt;Capa!$A$7,E1426&lt;Capa!$A$5,E1426&gt;Capa!$A$7,D1426&gt;E1426),"Erro","")</f>
        <v/>
      </c>
    </row>
    <row r="1427" spans="1:9" ht="67.5">
      <c r="A1427" s="345">
        <v>1424</v>
      </c>
      <c r="B1427" s="346" t="s">
        <v>316</v>
      </c>
      <c r="C1427" s="347">
        <v>1000</v>
      </c>
      <c r="D1427" s="348">
        <v>46023</v>
      </c>
      <c r="E1427" s="348">
        <v>46357</v>
      </c>
      <c r="F1427" s="346" t="s">
        <v>636</v>
      </c>
      <c r="G1427" s="350" t="s">
        <v>457</v>
      </c>
      <c r="H1427" s="351">
        <f t="shared" si="25"/>
        <v>12000</v>
      </c>
      <c r="I1427" s="120" t="str">
        <f>IF(OR(D1427&lt;Capa!$A$5,D1427&gt;Capa!$A$7,E1427&lt;Capa!$A$5,E1427&gt;Capa!$A$7,D1427&gt;E1427),"Erro","")</f>
        <v/>
      </c>
    </row>
    <row r="1428" spans="1:9" ht="67.5">
      <c r="A1428" s="345">
        <v>1425</v>
      </c>
      <c r="B1428" s="346" t="s">
        <v>316</v>
      </c>
      <c r="C1428" s="347">
        <v>1000</v>
      </c>
      <c r="D1428" s="348">
        <v>46388</v>
      </c>
      <c r="E1428" s="348">
        <v>46722</v>
      </c>
      <c r="F1428" s="346" t="s">
        <v>636</v>
      </c>
      <c r="G1428" s="350" t="s">
        <v>457</v>
      </c>
      <c r="H1428" s="351">
        <f t="shared" si="25"/>
        <v>12000</v>
      </c>
      <c r="I1428" s="120" t="str">
        <f>IF(OR(D1428&lt;Capa!$A$5,D1428&gt;Capa!$A$7,E1428&lt;Capa!$A$5,E1428&gt;Capa!$A$7,D1428&gt;E1428),"Erro","")</f>
        <v/>
      </c>
    </row>
    <row r="1429" spans="1:9" ht="67.5">
      <c r="A1429" s="345">
        <v>1426</v>
      </c>
      <c r="B1429" s="346" t="s">
        <v>316</v>
      </c>
      <c r="C1429" s="347">
        <v>1000</v>
      </c>
      <c r="D1429" s="348">
        <v>46753</v>
      </c>
      <c r="E1429" s="348">
        <v>47058</v>
      </c>
      <c r="F1429" s="346" t="s">
        <v>636</v>
      </c>
      <c r="G1429" s="350" t="s">
        <v>457</v>
      </c>
      <c r="H1429" s="351">
        <f t="shared" si="25"/>
        <v>11000</v>
      </c>
      <c r="I1429" s="120" t="str">
        <f>IF(OR(D1429&lt;Capa!$A$5,D1429&gt;Capa!$A$7,E1429&lt;Capa!$A$5,E1429&gt;Capa!$A$7,D1429&gt;E1429),"Erro","")</f>
        <v/>
      </c>
    </row>
    <row r="1430" spans="1:9" ht="56.25">
      <c r="A1430" s="345">
        <v>1427</v>
      </c>
      <c r="B1430" s="346" t="s">
        <v>318</v>
      </c>
      <c r="C1430" s="347">
        <v>1800</v>
      </c>
      <c r="D1430" s="348">
        <v>45261</v>
      </c>
      <c r="E1430" s="348">
        <v>45627</v>
      </c>
      <c r="F1430" s="346" t="s">
        <v>636</v>
      </c>
      <c r="G1430" s="350" t="s">
        <v>594</v>
      </c>
      <c r="H1430" s="351">
        <f t="shared" si="25"/>
        <v>23400</v>
      </c>
      <c r="I1430" s="120" t="str">
        <f>IF(OR(D1430&lt;Capa!$A$5,D1430&gt;Capa!$A$7,E1430&lt;Capa!$A$5,E1430&gt;Capa!$A$7,D1430&gt;E1430),"Erro","")</f>
        <v/>
      </c>
    </row>
    <row r="1431" spans="1:9" ht="56.25">
      <c r="A1431" s="345">
        <v>1428</v>
      </c>
      <c r="B1431" s="346" t="s">
        <v>318</v>
      </c>
      <c r="C1431" s="347">
        <v>1500</v>
      </c>
      <c r="D1431" s="348">
        <v>45658</v>
      </c>
      <c r="E1431" s="348">
        <v>45992</v>
      </c>
      <c r="F1431" s="346" t="s">
        <v>636</v>
      </c>
      <c r="G1431" s="350" t="s">
        <v>594</v>
      </c>
      <c r="H1431" s="351">
        <f t="shared" si="25"/>
        <v>18000</v>
      </c>
      <c r="I1431" s="120" t="str">
        <f>IF(OR(D1431&lt;Capa!$A$5,D1431&gt;Capa!$A$7,E1431&lt;Capa!$A$5,E1431&gt;Capa!$A$7,D1431&gt;E1431),"Erro","")</f>
        <v/>
      </c>
    </row>
    <row r="1432" spans="1:9" ht="56.25">
      <c r="A1432" s="345">
        <v>1429</v>
      </c>
      <c r="B1432" s="346" t="s">
        <v>318</v>
      </c>
      <c r="C1432" s="347">
        <v>1500</v>
      </c>
      <c r="D1432" s="348">
        <v>46023</v>
      </c>
      <c r="E1432" s="348">
        <v>46357</v>
      </c>
      <c r="F1432" s="346" t="s">
        <v>636</v>
      </c>
      <c r="G1432" s="350" t="s">
        <v>594</v>
      </c>
      <c r="H1432" s="351">
        <f t="shared" si="25"/>
        <v>18000</v>
      </c>
      <c r="I1432" s="120" t="str">
        <f>IF(OR(D1432&lt;Capa!$A$5,D1432&gt;Capa!$A$7,E1432&lt;Capa!$A$5,E1432&gt;Capa!$A$7,D1432&gt;E1432),"Erro","")</f>
        <v/>
      </c>
    </row>
    <row r="1433" spans="1:9" ht="56.25">
      <c r="A1433" s="345">
        <v>1430</v>
      </c>
      <c r="B1433" s="346" t="s">
        <v>318</v>
      </c>
      <c r="C1433" s="347">
        <v>1500</v>
      </c>
      <c r="D1433" s="348">
        <v>46388</v>
      </c>
      <c r="E1433" s="348">
        <v>46722</v>
      </c>
      <c r="F1433" s="346" t="s">
        <v>636</v>
      </c>
      <c r="G1433" s="350" t="s">
        <v>594</v>
      </c>
      <c r="H1433" s="351">
        <f t="shared" si="25"/>
        <v>18000</v>
      </c>
      <c r="I1433" s="120" t="str">
        <f>IF(OR(D1433&lt;Capa!$A$5,D1433&gt;Capa!$A$7,E1433&lt;Capa!$A$5,E1433&gt;Capa!$A$7,D1433&gt;E1433),"Erro","")</f>
        <v/>
      </c>
    </row>
    <row r="1434" spans="1:9" ht="56.25">
      <c r="A1434" s="345">
        <v>1431</v>
      </c>
      <c r="B1434" s="346" t="s">
        <v>318</v>
      </c>
      <c r="C1434" s="347">
        <v>1500</v>
      </c>
      <c r="D1434" s="348">
        <v>46753</v>
      </c>
      <c r="E1434" s="348">
        <v>47058</v>
      </c>
      <c r="F1434" s="346" t="s">
        <v>636</v>
      </c>
      <c r="G1434" s="350" t="s">
        <v>594</v>
      </c>
      <c r="H1434" s="351">
        <f t="shared" si="25"/>
        <v>16500</v>
      </c>
      <c r="I1434" s="120" t="str">
        <f>IF(OR(D1434&lt;Capa!$A$5,D1434&gt;Capa!$A$7,E1434&lt;Capa!$A$5,E1434&gt;Capa!$A$7,D1434&gt;E1434),"Erro","")</f>
        <v/>
      </c>
    </row>
    <row r="1435" spans="1:9" ht="67.5">
      <c r="A1435" s="345">
        <v>1432</v>
      </c>
      <c r="B1435" s="346" t="s">
        <v>318</v>
      </c>
      <c r="C1435" s="347">
        <v>1800</v>
      </c>
      <c r="D1435" s="348">
        <v>45261</v>
      </c>
      <c r="E1435" s="348">
        <v>45627</v>
      </c>
      <c r="F1435" s="346" t="s">
        <v>636</v>
      </c>
      <c r="G1435" s="350" t="s">
        <v>457</v>
      </c>
      <c r="H1435" s="351">
        <f t="shared" si="25"/>
        <v>23400</v>
      </c>
      <c r="I1435" s="120" t="str">
        <f>IF(OR(D1435&lt;Capa!$A$5,D1435&gt;Capa!$A$7,E1435&lt;Capa!$A$5,E1435&gt;Capa!$A$7,D1435&gt;E1435),"Erro","")</f>
        <v/>
      </c>
    </row>
    <row r="1436" spans="1:9" ht="67.5">
      <c r="A1436" s="345">
        <v>1433</v>
      </c>
      <c r="B1436" s="346" t="s">
        <v>318</v>
      </c>
      <c r="C1436" s="347">
        <v>1500</v>
      </c>
      <c r="D1436" s="348">
        <v>45658</v>
      </c>
      <c r="E1436" s="348">
        <v>45992</v>
      </c>
      <c r="F1436" s="346" t="s">
        <v>636</v>
      </c>
      <c r="G1436" s="350" t="s">
        <v>457</v>
      </c>
      <c r="H1436" s="351">
        <f t="shared" si="25"/>
        <v>18000</v>
      </c>
      <c r="I1436" s="120" t="str">
        <f>IF(OR(D1436&lt;Capa!$A$5,D1436&gt;Capa!$A$7,E1436&lt;Capa!$A$5,E1436&gt;Capa!$A$7,D1436&gt;E1436),"Erro","")</f>
        <v/>
      </c>
    </row>
    <row r="1437" spans="1:9" ht="67.5">
      <c r="A1437" s="345">
        <v>1434</v>
      </c>
      <c r="B1437" s="346" t="s">
        <v>318</v>
      </c>
      <c r="C1437" s="347">
        <v>1500</v>
      </c>
      <c r="D1437" s="348">
        <v>46023</v>
      </c>
      <c r="E1437" s="348">
        <v>46357</v>
      </c>
      <c r="F1437" s="346" t="s">
        <v>636</v>
      </c>
      <c r="G1437" s="350" t="s">
        <v>457</v>
      </c>
      <c r="H1437" s="351">
        <f t="shared" si="25"/>
        <v>18000</v>
      </c>
      <c r="I1437" s="120" t="str">
        <f>IF(OR(D1437&lt;Capa!$A$5,D1437&gt;Capa!$A$7,E1437&lt;Capa!$A$5,E1437&gt;Capa!$A$7,D1437&gt;E1437),"Erro","")</f>
        <v/>
      </c>
    </row>
    <row r="1438" spans="1:9" ht="67.5">
      <c r="A1438" s="345">
        <v>1435</v>
      </c>
      <c r="B1438" s="346" t="s">
        <v>318</v>
      </c>
      <c r="C1438" s="347">
        <v>1500</v>
      </c>
      <c r="D1438" s="348">
        <v>46388</v>
      </c>
      <c r="E1438" s="348">
        <v>46722</v>
      </c>
      <c r="F1438" s="346" t="s">
        <v>636</v>
      </c>
      <c r="G1438" s="350" t="s">
        <v>457</v>
      </c>
      <c r="H1438" s="351">
        <f t="shared" si="25"/>
        <v>18000</v>
      </c>
      <c r="I1438" s="120" t="str">
        <f>IF(OR(D1438&lt;Capa!$A$5,D1438&gt;Capa!$A$7,E1438&lt;Capa!$A$5,E1438&gt;Capa!$A$7,D1438&gt;E1438),"Erro","")</f>
        <v/>
      </c>
    </row>
    <row r="1439" spans="1:9" ht="67.5">
      <c r="A1439" s="345">
        <v>1436</v>
      </c>
      <c r="B1439" s="346" t="s">
        <v>318</v>
      </c>
      <c r="C1439" s="347">
        <v>1500</v>
      </c>
      <c r="D1439" s="348">
        <v>46753</v>
      </c>
      <c r="E1439" s="348">
        <v>47058</v>
      </c>
      <c r="F1439" s="346" t="s">
        <v>636</v>
      </c>
      <c r="G1439" s="350" t="s">
        <v>457</v>
      </c>
      <c r="H1439" s="351">
        <f t="shared" si="25"/>
        <v>16500</v>
      </c>
      <c r="I1439" s="120" t="str">
        <f>IF(OR(D1439&lt;Capa!$A$5,D1439&gt;Capa!$A$7,E1439&lt;Capa!$A$5,E1439&gt;Capa!$A$7,D1439&gt;E1439),"Erro","")</f>
        <v/>
      </c>
    </row>
    <row r="1440" spans="1:9" ht="22.5">
      <c r="A1440" s="345">
        <v>1437</v>
      </c>
      <c r="B1440" s="346" t="s">
        <v>298</v>
      </c>
      <c r="C1440" s="347">
        <v>2500</v>
      </c>
      <c r="D1440" s="348">
        <v>45261</v>
      </c>
      <c r="E1440" s="348">
        <v>45627</v>
      </c>
      <c r="F1440" s="346" t="s">
        <v>636</v>
      </c>
      <c r="G1440" s="350" t="s">
        <v>458</v>
      </c>
      <c r="H1440" s="351">
        <f t="shared" si="25"/>
        <v>32500</v>
      </c>
      <c r="I1440" s="120" t="str">
        <f>IF(OR(D1440&lt;Capa!$A$5,D1440&gt;Capa!$A$7,E1440&lt;Capa!$A$5,E1440&gt;Capa!$A$7,D1440&gt;E1440),"Erro","")</f>
        <v/>
      </c>
    </row>
    <row r="1441" spans="1:9" ht="22.5">
      <c r="A1441" s="345">
        <v>1438</v>
      </c>
      <c r="B1441" s="346" t="s">
        <v>298</v>
      </c>
      <c r="C1441" s="347">
        <v>2646</v>
      </c>
      <c r="D1441" s="348">
        <v>45658</v>
      </c>
      <c r="E1441" s="348">
        <v>45992</v>
      </c>
      <c r="F1441" s="346" t="s">
        <v>636</v>
      </c>
      <c r="G1441" s="350" t="s">
        <v>458</v>
      </c>
      <c r="H1441" s="351">
        <f t="shared" si="25"/>
        <v>31752</v>
      </c>
      <c r="I1441" s="120" t="str">
        <f>IF(OR(D1441&lt;Capa!$A$5,D1441&gt;Capa!$A$7,E1441&lt;Capa!$A$5,E1441&gt;Capa!$A$7,D1441&gt;E1441),"Erro","")</f>
        <v/>
      </c>
    </row>
    <row r="1442" spans="1:9" ht="22.5">
      <c r="A1442" s="345">
        <v>1439</v>
      </c>
      <c r="B1442" s="346" t="s">
        <v>298</v>
      </c>
      <c r="C1442" s="347">
        <v>2800.52</v>
      </c>
      <c r="D1442" s="348">
        <v>46023</v>
      </c>
      <c r="E1442" s="348">
        <v>46357</v>
      </c>
      <c r="F1442" s="346" t="s">
        <v>636</v>
      </c>
      <c r="G1442" s="350" t="s">
        <v>458</v>
      </c>
      <c r="H1442" s="351">
        <f t="shared" si="25"/>
        <v>33606.239999999998</v>
      </c>
      <c r="I1442" s="120" t="str">
        <f>IF(OR(D1442&lt;Capa!$A$5,D1442&gt;Capa!$A$7,E1442&lt;Capa!$A$5,E1442&gt;Capa!$A$7,D1442&gt;E1442),"Erro","")</f>
        <v/>
      </c>
    </row>
    <row r="1443" spans="1:9" ht="22.5">
      <c r="A1443" s="345">
        <v>1440</v>
      </c>
      <c r="B1443" s="346" t="s">
        <v>298</v>
      </c>
      <c r="C1443" s="347">
        <v>2964.07</v>
      </c>
      <c r="D1443" s="348">
        <v>46388</v>
      </c>
      <c r="E1443" s="348">
        <v>46722</v>
      </c>
      <c r="F1443" s="346" t="s">
        <v>636</v>
      </c>
      <c r="G1443" s="350" t="s">
        <v>458</v>
      </c>
      <c r="H1443" s="351">
        <f t="shared" si="25"/>
        <v>35568.840000000004</v>
      </c>
      <c r="I1443" s="120" t="str">
        <f>IF(OR(D1443&lt;Capa!$A$5,D1443&gt;Capa!$A$7,E1443&lt;Capa!$A$5,E1443&gt;Capa!$A$7,D1443&gt;E1443),"Erro","")</f>
        <v/>
      </c>
    </row>
    <row r="1444" spans="1:9" ht="22.5">
      <c r="A1444" s="345">
        <v>1441</v>
      </c>
      <c r="B1444" s="346" t="s">
        <v>298</v>
      </c>
      <c r="C1444" s="347">
        <v>3137.17</v>
      </c>
      <c r="D1444" s="348">
        <v>46753</v>
      </c>
      <c r="E1444" s="348">
        <v>47058</v>
      </c>
      <c r="F1444" s="346" t="s">
        <v>636</v>
      </c>
      <c r="G1444" s="350" t="s">
        <v>458</v>
      </c>
      <c r="H1444" s="351">
        <f t="shared" si="25"/>
        <v>34508.870000000003</v>
      </c>
      <c r="I1444" s="120" t="str">
        <f>IF(OR(D1444&lt;Capa!$A$5,D1444&gt;Capa!$A$7,E1444&lt;Capa!$A$5,E1444&gt;Capa!$A$7,D1444&gt;E1444),"Erro","")</f>
        <v/>
      </c>
    </row>
    <row r="1445" spans="1:9" ht="33.75">
      <c r="A1445" s="345">
        <v>1442</v>
      </c>
      <c r="B1445" s="346" t="s">
        <v>238</v>
      </c>
      <c r="C1445" s="347">
        <v>370.44</v>
      </c>
      <c r="D1445" s="348">
        <v>45658</v>
      </c>
      <c r="E1445" s="348">
        <v>45992</v>
      </c>
      <c r="F1445" s="346" t="s">
        <v>636</v>
      </c>
      <c r="G1445" s="350" t="s">
        <v>459</v>
      </c>
      <c r="H1445" s="351">
        <f t="shared" si="25"/>
        <v>4445.28</v>
      </c>
      <c r="I1445" s="120" t="str">
        <f>IF(OR(D1445&lt;Capa!$A$5,D1445&gt;Capa!$A$7,E1445&lt;Capa!$A$5,E1445&gt;Capa!$A$7,D1445&gt;E1445),"Erro","")</f>
        <v/>
      </c>
    </row>
    <row r="1446" spans="1:9" ht="33.75">
      <c r="A1446" s="345">
        <v>1443</v>
      </c>
      <c r="B1446" s="346" t="s">
        <v>238</v>
      </c>
      <c r="C1446" s="347">
        <v>392.07</v>
      </c>
      <c r="D1446" s="348">
        <v>46023</v>
      </c>
      <c r="E1446" s="348">
        <v>46357</v>
      </c>
      <c r="F1446" s="346" t="s">
        <v>636</v>
      </c>
      <c r="G1446" s="350" t="s">
        <v>459</v>
      </c>
      <c r="H1446" s="351">
        <f t="shared" si="25"/>
        <v>4704.84</v>
      </c>
      <c r="I1446" s="120" t="str">
        <f>IF(OR(D1446&lt;Capa!$A$5,D1446&gt;Capa!$A$7,E1446&lt;Capa!$A$5,E1446&gt;Capa!$A$7,D1446&gt;E1446),"Erro","")</f>
        <v/>
      </c>
    </row>
    <row r="1447" spans="1:9" ht="33.75">
      <c r="A1447" s="345">
        <v>1444</v>
      </c>
      <c r="B1447" s="346" t="s">
        <v>238</v>
      </c>
      <c r="C1447" s="347">
        <v>414.97</v>
      </c>
      <c r="D1447" s="348">
        <v>46388</v>
      </c>
      <c r="E1447" s="348">
        <v>46722</v>
      </c>
      <c r="F1447" s="346" t="s">
        <v>636</v>
      </c>
      <c r="G1447" s="350" t="s">
        <v>459</v>
      </c>
      <c r="H1447" s="351">
        <f t="shared" si="25"/>
        <v>4979.6400000000003</v>
      </c>
      <c r="I1447" s="120" t="str">
        <f>IF(OR(D1447&lt;Capa!$A$5,D1447&gt;Capa!$A$7,E1447&lt;Capa!$A$5,E1447&gt;Capa!$A$7,D1447&gt;E1447),"Erro","")</f>
        <v/>
      </c>
    </row>
    <row r="1448" spans="1:9" ht="33.75">
      <c r="A1448" s="345">
        <v>1445</v>
      </c>
      <c r="B1448" s="346" t="s">
        <v>238</v>
      </c>
      <c r="C1448" s="347">
        <v>439.21</v>
      </c>
      <c r="D1448" s="348">
        <v>46753</v>
      </c>
      <c r="E1448" s="348">
        <v>47058</v>
      </c>
      <c r="F1448" s="346" t="s">
        <v>636</v>
      </c>
      <c r="G1448" s="350" t="s">
        <v>459</v>
      </c>
      <c r="H1448" s="351">
        <f t="shared" si="25"/>
        <v>4831.3099999999995</v>
      </c>
      <c r="I1448" s="120" t="str">
        <f>IF(OR(D1448&lt;Capa!$A$5,D1448&gt;Capa!$A$7,E1448&lt;Capa!$A$5,E1448&gt;Capa!$A$7,D1448&gt;E1448),"Erro","")</f>
        <v/>
      </c>
    </row>
    <row r="1449" spans="1:9" ht="56.25">
      <c r="A1449" s="345">
        <v>1446</v>
      </c>
      <c r="B1449" s="346" t="s">
        <v>252</v>
      </c>
      <c r="C1449" s="347">
        <v>7000</v>
      </c>
      <c r="D1449" s="348">
        <v>45261</v>
      </c>
      <c r="E1449" s="348">
        <v>45627</v>
      </c>
      <c r="F1449" s="346" t="s">
        <v>636</v>
      </c>
      <c r="G1449" s="350" t="s">
        <v>460</v>
      </c>
      <c r="H1449" s="351">
        <f t="shared" si="25"/>
        <v>91000</v>
      </c>
      <c r="I1449" s="120" t="str">
        <f>IF(OR(D1449&lt;Capa!$A$5,D1449&gt;Capa!$A$7,E1449&lt;Capa!$A$5,E1449&gt;Capa!$A$7,D1449&gt;E1449),"Erro","")</f>
        <v/>
      </c>
    </row>
    <row r="1450" spans="1:9" ht="56.25">
      <c r="A1450" s="345">
        <v>1447</v>
      </c>
      <c r="B1450" s="346" t="s">
        <v>252</v>
      </c>
      <c r="C1450" s="347">
        <v>7408.8</v>
      </c>
      <c r="D1450" s="348">
        <v>45658</v>
      </c>
      <c r="E1450" s="348">
        <v>45992</v>
      </c>
      <c r="F1450" s="346" t="s">
        <v>636</v>
      </c>
      <c r="G1450" s="350" t="s">
        <v>460</v>
      </c>
      <c r="H1450" s="351">
        <f t="shared" si="25"/>
        <v>88905.600000000006</v>
      </c>
      <c r="I1450" s="120" t="str">
        <f>IF(OR(D1450&lt;Capa!$A$5,D1450&gt;Capa!$A$7,E1450&lt;Capa!$A$5,E1450&gt;Capa!$A$7,D1450&gt;E1450),"Erro","")</f>
        <v/>
      </c>
    </row>
    <row r="1451" spans="1:9" ht="56.25">
      <c r="A1451" s="345">
        <v>1448</v>
      </c>
      <c r="B1451" s="346" t="s">
        <v>252</v>
      </c>
      <c r="C1451" s="347">
        <v>7847.65</v>
      </c>
      <c r="D1451" s="348">
        <v>46023</v>
      </c>
      <c r="E1451" s="348">
        <v>46357</v>
      </c>
      <c r="F1451" s="346" t="s">
        <v>636</v>
      </c>
      <c r="G1451" s="350" t="s">
        <v>460</v>
      </c>
      <c r="H1451" s="351">
        <f t="shared" si="25"/>
        <v>94171.799999999988</v>
      </c>
      <c r="I1451" s="120" t="str">
        <f>IF(OR(D1451&lt;Capa!$A$5,D1451&gt;Capa!$A$7,E1451&lt;Capa!$A$5,E1451&gt;Capa!$A$7,D1451&gt;E1451),"Erro","")</f>
        <v/>
      </c>
    </row>
    <row r="1452" spans="1:9" ht="56.25">
      <c r="A1452" s="345">
        <v>1449</v>
      </c>
      <c r="B1452" s="346" t="s">
        <v>252</v>
      </c>
      <c r="C1452" s="347">
        <v>8305.9500000000007</v>
      </c>
      <c r="D1452" s="348">
        <v>46388</v>
      </c>
      <c r="E1452" s="348">
        <v>46722</v>
      </c>
      <c r="F1452" s="346" t="s">
        <v>636</v>
      </c>
      <c r="G1452" s="350" t="s">
        <v>460</v>
      </c>
      <c r="H1452" s="351">
        <f t="shared" si="25"/>
        <v>99671.400000000009</v>
      </c>
      <c r="I1452" s="120" t="str">
        <f>IF(OR(D1452&lt;Capa!$A$5,D1452&gt;Capa!$A$7,E1452&lt;Capa!$A$5,E1452&gt;Capa!$A$7,D1452&gt;E1452),"Erro","")</f>
        <v/>
      </c>
    </row>
    <row r="1453" spans="1:9" ht="56.25">
      <c r="A1453" s="345">
        <v>1450</v>
      </c>
      <c r="B1453" s="346" t="s">
        <v>252</v>
      </c>
      <c r="C1453" s="347">
        <v>8791.02</v>
      </c>
      <c r="D1453" s="348">
        <v>46753</v>
      </c>
      <c r="E1453" s="348">
        <v>47058</v>
      </c>
      <c r="F1453" s="346" t="s">
        <v>636</v>
      </c>
      <c r="G1453" s="350" t="s">
        <v>460</v>
      </c>
      <c r="H1453" s="351">
        <f t="shared" si="25"/>
        <v>96701.22</v>
      </c>
      <c r="I1453" s="120" t="str">
        <f>IF(OR(D1453&lt;Capa!$A$5,D1453&gt;Capa!$A$7,E1453&lt;Capa!$A$5,E1453&gt;Capa!$A$7,D1453&gt;E1453),"Erro","")</f>
        <v/>
      </c>
    </row>
    <row r="1454" spans="1:9" ht="33.75">
      <c r="A1454" s="345">
        <v>1451</v>
      </c>
      <c r="B1454" s="346" t="s">
        <v>651</v>
      </c>
      <c r="C1454" s="347">
        <v>180</v>
      </c>
      <c r="D1454" s="348">
        <v>45261</v>
      </c>
      <c r="E1454" s="348">
        <v>47058</v>
      </c>
      <c r="F1454" s="346" t="s">
        <v>636</v>
      </c>
      <c r="G1454" s="350" t="s">
        <v>710</v>
      </c>
      <c r="H1454" s="351">
        <f t="shared" si="25"/>
        <v>10800</v>
      </c>
      <c r="I1454" s="120" t="str">
        <f>IF(OR(D1454&lt;Capa!$A$5,D1454&gt;Capa!$A$7,E1454&lt;Capa!$A$5,E1454&gt;Capa!$A$7,D1454&gt;E1454),"Erro","")</f>
        <v/>
      </c>
    </row>
    <row r="1455" spans="1:9" ht="22.5">
      <c r="A1455" s="345">
        <v>1452</v>
      </c>
      <c r="B1455" s="346" t="s">
        <v>653</v>
      </c>
      <c r="C1455" s="347">
        <v>1930</v>
      </c>
      <c r="D1455" s="348">
        <v>45292</v>
      </c>
      <c r="E1455" s="348">
        <v>45627</v>
      </c>
      <c r="F1455" s="346" t="s">
        <v>636</v>
      </c>
      <c r="G1455" s="350" t="s">
        <v>712</v>
      </c>
      <c r="H1455" s="351">
        <f t="shared" si="25"/>
        <v>23160</v>
      </c>
    </row>
    <row r="1456" spans="1:9" ht="22.5">
      <c r="A1456" s="345">
        <v>1453</v>
      </c>
      <c r="B1456" s="346" t="s">
        <v>653</v>
      </c>
      <c r="C1456" s="347">
        <v>1930</v>
      </c>
      <c r="D1456" s="348">
        <v>45658</v>
      </c>
      <c r="E1456" s="348">
        <v>47058</v>
      </c>
      <c r="F1456" s="346" t="s">
        <v>636</v>
      </c>
      <c r="G1456" s="350" t="s">
        <v>712</v>
      </c>
      <c r="H1456" s="351">
        <f t="shared" si="25"/>
        <v>90710</v>
      </c>
      <c r="I1456" s="120" t="str">
        <f>IF(OR(D1456&lt;Capa!$A$5,D1456&gt;Capa!$A$7,E1456&lt;Capa!$A$5,E1456&gt;Capa!$A$7,D1456&gt;E1456),"Erro","")</f>
        <v/>
      </c>
    </row>
    <row r="1457" spans="1:9" ht="45">
      <c r="A1457" s="345">
        <v>1454</v>
      </c>
      <c r="B1457" s="346" t="s">
        <v>652</v>
      </c>
      <c r="C1457" s="347">
        <v>15000</v>
      </c>
      <c r="D1457" s="348">
        <v>45323</v>
      </c>
      <c r="E1457" s="348">
        <v>45323</v>
      </c>
      <c r="F1457" s="346" t="s">
        <v>636</v>
      </c>
      <c r="G1457" s="350" t="s">
        <v>624</v>
      </c>
      <c r="H1457" s="351">
        <f t="shared" si="25"/>
        <v>15000</v>
      </c>
      <c r="I1457" s="120" t="str">
        <f>IF(OR(D1457&lt;Capa!$A$5,D1457&gt;Capa!$A$7,E1457&lt;Capa!$A$5,E1457&gt;Capa!$A$7,D1457&gt;E1457),"Erro","")</f>
        <v/>
      </c>
    </row>
    <row r="1458" spans="1:9" ht="45">
      <c r="A1458" s="345">
        <v>1455</v>
      </c>
      <c r="B1458" s="346" t="s">
        <v>652</v>
      </c>
      <c r="C1458" s="347">
        <v>10000</v>
      </c>
      <c r="D1458" s="348">
        <v>46419</v>
      </c>
      <c r="E1458" s="348">
        <v>46419</v>
      </c>
      <c r="F1458" s="346" t="s">
        <v>636</v>
      </c>
      <c r="G1458" s="350" t="s">
        <v>624</v>
      </c>
      <c r="H1458" s="351">
        <f t="shared" si="25"/>
        <v>10000</v>
      </c>
      <c r="I1458" s="120" t="str">
        <f>IF(OR(D1458&lt;Capa!$A$5,D1458&gt;Capa!$A$7,E1458&lt;Capa!$A$5,E1458&gt;Capa!$A$7,D1458&gt;E1458),"Erro","")</f>
        <v/>
      </c>
    </row>
    <row r="1459" spans="1:9" ht="33.75">
      <c r="A1459" s="345">
        <v>1456</v>
      </c>
      <c r="B1459" s="346" t="s">
        <v>650</v>
      </c>
      <c r="C1459" s="347">
        <v>70</v>
      </c>
      <c r="D1459" s="348">
        <v>45261</v>
      </c>
      <c r="E1459" s="348">
        <v>47058</v>
      </c>
      <c r="F1459" s="346" t="s">
        <v>636</v>
      </c>
      <c r="G1459" s="350" t="s">
        <v>711</v>
      </c>
      <c r="H1459" s="351">
        <f t="shared" si="25"/>
        <v>4200</v>
      </c>
      <c r="I1459" s="120" t="str">
        <f>IF(OR(D1459&lt;Capa!$A$5,D1459&gt;Capa!$A$7,E1459&lt;Capa!$A$5,E1459&gt;Capa!$A$7,D1459&gt;E1459),"Erro","")</f>
        <v/>
      </c>
    </row>
    <row r="1460" spans="1:9" ht="45">
      <c r="A1460" s="345">
        <v>1457</v>
      </c>
      <c r="B1460" s="346" t="s">
        <v>320</v>
      </c>
      <c r="C1460" s="347">
        <v>15000</v>
      </c>
      <c r="D1460" s="348">
        <v>45323</v>
      </c>
      <c r="E1460" s="348">
        <v>45323</v>
      </c>
      <c r="F1460" s="346" t="s">
        <v>636</v>
      </c>
      <c r="G1460" s="350" t="s">
        <v>732</v>
      </c>
      <c r="H1460" s="351">
        <f t="shared" si="25"/>
        <v>15000</v>
      </c>
      <c r="I1460" s="120" t="str">
        <f>IF(OR(D1460&lt;Capa!$A$5,D1460&gt;Capa!$A$7,E1460&lt;Capa!$A$5,E1460&gt;Capa!$A$7,D1460&gt;E1460),"Erro","")</f>
        <v/>
      </c>
    </row>
    <row r="1461" spans="1:9" ht="45">
      <c r="A1461" s="345">
        <v>1458</v>
      </c>
      <c r="B1461" s="346" t="s">
        <v>320</v>
      </c>
      <c r="C1461" s="347">
        <v>4545.7737500000003</v>
      </c>
      <c r="D1461" s="348">
        <v>45778</v>
      </c>
      <c r="E1461" s="348">
        <v>45992</v>
      </c>
      <c r="F1461" s="346" t="s">
        <v>636</v>
      </c>
      <c r="G1461" s="350" t="s">
        <v>596</v>
      </c>
      <c r="H1461" s="351">
        <f t="shared" si="25"/>
        <v>36366.19</v>
      </c>
    </row>
    <row r="1462" spans="1:9" ht="45">
      <c r="A1462" s="345">
        <v>1459</v>
      </c>
      <c r="B1462" s="346" t="s">
        <v>320</v>
      </c>
      <c r="C1462" s="347">
        <v>250</v>
      </c>
      <c r="D1462" s="348">
        <v>45748</v>
      </c>
      <c r="E1462" s="348">
        <v>47058</v>
      </c>
      <c r="F1462" s="346" t="s">
        <v>636</v>
      </c>
      <c r="G1462" s="350" t="s">
        <v>596</v>
      </c>
      <c r="H1462" s="351">
        <f t="shared" si="25"/>
        <v>11000</v>
      </c>
      <c r="I1462" s="120" t="str">
        <f>IF(OR(D1462&lt;Capa!$A$5,D1462&gt;Capa!$A$7,E1462&lt;Capa!$A$5,E1462&gt;Capa!$A$7,D1462&gt;E1462),"Erro","")</f>
        <v/>
      </c>
    </row>
    <row r="1463" spans="1:9" ht="33.75">
      <c r="A1463" s="345">
        <v>1460</v>
      </c>
      <c r="B1463" s="346" t="s">
        <v>648</v>
      </c>
      <c r="C1463" s="347">
        <v>3400</v>
      </c>
      <c r="D1463" s="348">
        <v>45292</v>
      </c>
      <c r="E1463" s="348">
        <v>45292</v>
      </c>
      <c r="F1463" s="346" t="s">
        <v>636</v>
      </c>
      <c r="G1463" s="350" t="s">
        <v>670</v>
      </c>
      <c r="H1463" s="351">
        <f t="shared" si="25"/>
        <v>3400</v>
      </c>
      <c r="I1463" s="120" t="str">
        <f>IF(OR(D1463&lt;Capa!$A$5,D1463&gt;Capa!$A$7,E1463&lt;Capa!$A$5,E1463&gt;Capa!$A$7,D1463&gt;E1463),"Erro","")</f>
        <v/>
      </c>
    </row>
    <row r="1464" spans="1:9" ht="33.75">
      <c r="A1464" s="345">
        <v>1461</v>
      </c>
      <c r="B1464" s="346" t="s">
        <v>648</v>
      </c>
      <c r="C1464" s="347">
        <v>3604</v>
      </c>
      <c r="D1464" s="348">
        <v>45658</v>
      </c>
      <c r="E1464" s="348">
        <v>45658</v>
      </c>
      <c r="F1464" s="346" t="s">
        <v>636</v>
      </c>
      <c r="G1464" s="350" t="s">
        <v>670</v>
      </c>
      <c r="H1464" s="351">
        <f t="shared" si="25"/>
        <v>3604</v>
      </c>
      <c r="I1464" s="120" t="str">
        <f>IF(OR(D1464&lt;Capa!$A$5,D1464&gt;Capa!$A$7,E1464&lt;Capa!$A$5,E1464&gt;Capa!$A$7,D1464&gt;E1464),"Erro","")</f>
        <v/>
      </c>
    </row>
    <row r="1465" spans="1:9" ht="33.75">
      <c r="A1465" s="345">
        <v>1462</v>
      </c>
      <c r="B1465" s="346" t="s">
        <v>648</v>
      </c>
      <c r="C1465" s="347">
        <v>3820.24</v>
      </c>
      <c r="D1465" s="348">
        <v>46023</v>
      </c>
      <c r="E1465" s="348">
        <v>46023</v>
      </c>
      <c r="F1465" s="346" t="s">
        <v>636</v>
      </c>
      <c r="G1465" s="350" t="s">
        <v>670</v>
      </c>
      <c r="H1465" s="351">
        <f t="shared" si="25"/>
        <v>3820.24</v>
      </c>
      <c r="I1465" s="120" t="str">
        <f>IF(OR(D1465&lt;Capa!$A$5,D1465&gt;Capa!$A$7,E1465&lt;Capa!$A$5,E1465&gt;Capa!$A$7,D1465&gt;E1465),"Erro","")</f>
        <v/>
      </c>
    </row>
    <row r="1466" spans="1:9" ht="33.75">
      <c r="A1466" s="345">
        <v>1463</v>
      </c>
      <c r="B1466" s="346" t="s">
        <v>648</v>
      </c>
      <c r="C1466" s="347">
        <v>4049.45</v>
      </c>
      <c r="D1466" s="348">
        <v>46388</v>
      </c>
      <c r="E1466" s="348">
        <v>46388</v>
      </c>
      <c r="F1466" s="346" t="s">
        <v>636</v>
      </c>
      <c r="G1466" s="350" t="s">
        <v>670</v>
      </c>
      <c r="H1466" s="351">
        <f t="shared" si="25"/>
        <v>4049.45</v>
      </c>
      <c r="I1466" s="120" t="str">
        <f>IF(OR(D1466&lt;Capa!$A$5,D1466&gt;Capa!$A$7,E1466&lt;Capa!$A$5,E1466&gt;Capa!$A$7,D1466&gt;E1466),"Erro","")</f>
        <v/>
      </c>
    </row>
    <row r="1467" spans="1:9" ht="33.75">
      <c r="A1467" s="345">
        <v>1464</v>
      </c>
      <c r="B1467" s="346" t="s">
        <v>648</v>
      </c>
      <c r="C1467" s="347">
        <v>4292.42</v>
      </c>
      <c r="D1467" s="348">
        <v>46753</v>
      </c>
      <c r="E1467" s="348">
        <v>46753</v>
      </c>
      <c r="F1467" s="346" t="s">
        <v>636</v>
      </c>
      <c r="G1467" s="350" t="s">
        <v>670</v>
      </c>
      <c r="H1467" s="351">
        <f t="shared" si="25"/>
        <v>4292.42</v>
      </c>
      <c r="I1467" s="120" t="str">
        <f>IF(OR(D1467&lt;Capa!$A$5,D1467&gt;Capa!$A$7,E1467&lt;Capa!$A$5,E1467&gt;Capa!$A$7,D1467&gt;E1467),"Erro","")</f>
        <v/>
      </c>
    </row>
    <row r="1468" spans="1:9" ht="22.5">
      <c r="A1468" s="345">
        <v>1465</v>
      </c>
      <c r="B1468" s="346" t="s">
        <v>649</v>
      </c>
      <c r="C1468" s="347">
        <v>70000</v>
      </c>
      <c r="D1468" s="348">
        <v>45748</v>
      </c>
      <c r="E1468" s="348">
        <v>45748</v>
      </c>
      <c r="F1468" s="346" t="s">
        <v>636</v>
      </c>
      <c r="G1468" s="350" t="s">
        <v>739</v>
      </c>
      <c r="H1468" s="351">
        <f t="shared" si="25"/>
        <v>70000</v>
      </c>
    </row>
    <row r="1469" spans="1:9" ht="22.5">
      <c r="A1469" s="345">
        <v>1466</v>
      </c>
      <c r="B1469" s="346" t="s">
        <v>649</v>
      </c>
      <c r="C1469" s="347">
        <v>100000</v>
      </c>
      <c r="D1469" s="348">
        <v>45292</v>
      </c>
      <c r="E1469" s="348">
        <v>45292</v>
      </c>
      <c r="F1469" s="346" t="s">
        <v>636</v>
      </c>
      <c r="G1469" s="350" t="s">
        <v>731</v>
      </c>
      <c r="H1469" s="351">
        <f t="shared" si="25"/>
        <v>100000</v>
      </c>
      <c r="I1469" s="120" t="str">
        <f>IF(OR(D1469&lt;Capa!$A$5,D1469&gt;Capa!$A$7,E1469&lt;Capa!$A$5,E1469&gt;Capa!$A$7,D1469&gt;E1469),"Erro","")</f>
        <v/>
      </c>
    </row>
    <row r="1470" spans="1:9" ht="33.75">
      <c r="A1470" s="345">
        <v>1467</v>
      </c>
      <c r="B1470" s="346" t="s">
        <v>649</v>
      </c>
      <c r="C1470" s="347">
        <v>1643</v>
      </c>
      <c r="D1470" s="348">
        <v>45292</v>
      </c>
      <c r="E1470" s="348">
        <v>47058</v>
      </c>
      <c r="F1470" s="346" t="s">
        <v>636</v>
      </c>
      <c r="G1470" s="350" t="s">
        <v>705</v>
      </c>
      <c r="H1470" s="351">
        <f t="shared" si="25"/>
        <v>96937</v>
      </c>
      <c r="I1470" s="120" t="str">
        <f>IF(OR(D1470&lt;Capa!$A$5,D1470&gt;Capa!$A$7,E1470&lt;Capa!$A$5,E1470&gt;Capa!$A$7,D1470&gt;E1470),"Erro","")</f>
        <v/>
      </c>
    </row>
    <row r="1471" spans="1:9" ht="33.75">
      <c r="A1471" s="345">
        <v>1468</v>
      </c>
      <c r="B1471" s="346" t="s">
        <v>654</v>
      </c>
      <c r="C1471" s="347">
        <v>600</v>
      </c>
      <c r="D1471" s="348">
        <v>45261</v>
      </c>
      <c r="E1471" s="348">
        <v>45627</v>
      </c>
      <c r="F1471" s="346" t="s">
        <v>636</v>
      </c>
      <c r="G1471" s="350" t="s">
        <v>706</v>
      </c>
      <c r="H1471" s="351">
        <f t="shared" si="25"/>
        <v>7800</v>
      </c>
    </row>
    <row r="1472" spans="1:9" ht="33.75">
      <c r="A1472" s="345">
        <v>1469</v>
      </c>
      <c r="B1472" s="346" t="s">
        <v>654</v>
      </c>
      <c r="C1472" s="347">
        <v>1100</v>
      </c>
      <c r="D1472" s="348">
        <v>45658</v>
      </c>
      <c r="E1472" s="348">
        <v>47058</v>
      </c>
      <c r="F1472" s="346" t="s">
        <v>636</v>
      </c>
      <c r="G1472" s="350" t="s">
        <v>706</v>
      </c>
      <c r="H1472" s="351">
        <f t="shared" si="25"/>
        <v>51700</v>
      </c>
      <c r="I1472" s="120" t="str">
        <f>IF(OR(D1472&lt;Capa!$A$5,D1472&gt;Capa!$A$7,E1472&lt;Capa!$A$5,E1472&gt;Capa!$A$7,D1472&gt;E1472),"Erro","")</f>
        <v/>
      </c>
    </row>
    <row r="1473" spans="1:9" ht="22.5">
      <c r="A1473" s="345">
        <v>1470</v>
      </c>
      <c r="B1473" s="346" t="s">
        <v>656</v>
      </c>
      <c r="C1473" s="347">
        <v>200</v>
      </c>
      <c r="D1473" s="348">
        <v>45261</v>
      </c>
      <c r="E1473" s="348">
        <v>47058</v>
      </c>
      <c r="F1473" s="346" t="s">
        <v>636</v>
      </c>
      <c r="G1473" s="350" t="s">
        <v>707</v>
      </c>
      <c r="H1473" s="351">
        <f t="shared" si="25"/>
        <v>12000</v>
      </c>
      <c r="I1473" s="120" t="str">
        <f>IF(OR(D1473&lt;Capa!$A$5,D1473&gt;Capa!$A$7,E1473&lt;Capa!$A$5,E1473&gt;Capa!$A$7,D1473&gt;E1473),"Erro","")</f>
        <v/>
      </c>
    </row>
    <row r="1474" spans="1:9" ht="22.5">
      <c r="A1474" s="345">
        <v>1471</v>
      </c>
      <c r="B1474" s="346" t="s">
        <v>658</v>
      </c>
      <c r="C1474" s="347">
        <v>50</v>
      </c>
      <c r="D1474" s="348">
        <v>45261</v>
      </c>
      <c r="E1474" s="348">
        <v>47058</v>
      </c>
      <c r="F1474" s="346" t="s">
        <v>636</v>
      </c>
      <c r="G1474" s="350" t="s">
        <v>709</v>
      </c>
      <c r="H1474" s="351">
        <f t="shared" si="25"/>
        <v>3000</v>
      </c>
      <c r="I1474" s="120" t="str">
        <f>IF(OR(D1474&lt;Capa!$A$5,D1474&gt;Capa!$A$7,E1474&lt;Capa!$A$5,E1474&gt;Capa!$A$7,D1474&gt;E1474),"Erro","")</f>
        <v/>
      </c>
    </row>
    <row r="1475" spans="1:9" ht="33.75">
      <c r="A1475" s="345">
        <v>1472</v>
      </c>
      <c r="B1475" s="346" t="s">
        <v>657</v>
      </c>
      <c r="C1475" s="347">
        <v>350</v>
      </c>
      <c r="D1475" s="348">
        <v>45658</v>
      </c>
      <c r="E1475" s="348">
        <v>47058</v>
      </c>
      <c r="F1475" s="346" t="s">
        <v>636</v>
      </c>
      <c r="G1475" s="350" t="s">
        <v>708</v>
      </c>
      <c r="H1475" s="351">
        <f t="shared" si="25"/>
        <v>16450</v>
      </c>
      <c r="I1475" s="120" t="str">
        <f>IF(OR(D1475&lt;Capa!$A$5,D1475&gt;Capa!$A$7,E1475&lt;Capa!$A$5,E1475&gt;Capa!$A$7,D1475&gt;E1475),"Erro","")</f>
        <v/>
      </c>
    </row>
    <row r="1476" spans="1:9" ht="22.5">
      <c r="A1476" s="345">
        <v>1473</v>
      </c>
      <c r="B1476" s="346" t="s">
        <v>198</v>
      </c>
      <c r="C1476" s="347">
        <v>8500</v>
      </c>
      <c r="D1476" s="348">
        <v>45261</v>
      </c>
      <c r="E1476" s="348">
        <v>45627</v>
      </c>
      <c r="F1476" s="346" t="s">
        <v>637</v>
      </c>
      <c r="G1476" s="350" t="s">
        <v>438</v>
      </c>
      <c r="H1476" s="351">
        <f t="shared" si="25"/>
        <v>110500</v>
      </c>
      <c r="I1476" s="120" t="str">
        <f>IF(OR(D1476&lt;Capa!$A$5,D1476&gt;Capa!$A$7,E1476&lt;Capa!$A$5,E1476&gt;Capa!$A$7,D1476&gt;E1476),"Erro","")</f>
        <v/>
      </c>
    </row>
    <row r="1477" spans="1:9" ht="22.5">
      <c r="A1477" s="345">
        <v>1474</v>
      </c>
      <c r="B1477" s="346" t="s">
        <v>198</v>
      </c>
      <c r="C1477" s="347">
        <v>8996.4</v>
      </c>
      <c r="D1477" s="348">
        <v>45658</v>
      </c>
      <c r="E1477" s="348">
        <v>45992</v>
      </c>
      <c r="F1477" s="346" t="s">
        <v>637</v>
      </c>
      <c r="G1477" s="350" t="s">
        <v>438</v>
      </c>
      <c r="H1477" s="351">
        <f t="shared" si="25"/>
        <v>107956.79999999999</v>
      </c>
      <c r="I1477" s="120" t="str">
        <f>IF(OR(D1477&lt;Capa!$A$5,D1477&gt;Capa!$A$7,E1477&lt;Capa!$A$5,E1477&gt;Capa!$A$7,D1477&gt;E1477),"Erro","")</f>
        <v/>
      </c>
    </row>
    <row r="1478" spans="1:9" ht="22.5">
      <c r="A1478" s="345">
        <v>1475</v>
      </c>
      <c r="B1478" s="346" t="s">
        <v>198</v>
      </c>
      <c r="C1478" s="347">
        <v>9521.7900000000009</v>
      </c>
      <c r="D1478" s="348">
        <v>46023</v>
      </c>
      <c r="E1478" s="348">
        <v>46357</v>
      </c>
      <c r="F1478" s="346" t="s">
        <v>637</v>
      </c>
      <c r="G1478" s="350" t="s">
        <v>438</v>
      </c>
      <c r="H1478" s="351">
        <f t="shared" si="25"/>
        <v>114261.48000000001</v>
      </c>
      <c r="I1478" s="120" t="str">
        <f>IF(OR(D1478&lt;Capa!$A$5,D1478&gt;Capa!$A$7,E1478&lt;Capa!$A$5,E1478&gt;Capa!$A$7,D1478&gt;E1478),"Erro","")</f>
        <v/>
      </c>
    </row>
    <row r="1479" spans="1:9" ht="22.5">
      <c r="A1479" s="345">
        <v>1476</v>
      </c>
      <c r="B1479" s="346" t="s">
        <v>198</v>
      </c>
      <c r="C1479" s="347">
        <v>10077.86</v>
      </c>
      <c r="D1479" s="348">
        <v>46388</v>
      </c>
      <c r="E1479" s="348">
        <v>46722</v>
      </c>
      <c r="F1479" s="346" t="s">
        <v>637</v>
      </c>
      <c r="G1479" s="350" t="s">
        <v>438</v>
      </c>
      <c r="H1479" s="351">
        <f t="shared" si="25"/>
        <v>120934.32</v>
      </c>
      <c r="I1479" s="120" t="str">
        <f>IF(OR(D1479&lt;Capa!$A$5,D1479&gt;Capa!$A$7,E1479&lt;Capa!$A$5,E1479&gt;Capa!$A$7,D1479&gt;E1479),"Erro","")</f>
        <v/>
      </c>
    </row>
    <row r="1480" spans="1:9" ht="22.5">
      <c r="A1480" s="345">
        <v>1477</v>
      </c>
      <c r="B1480" s="346" t="s">
        <v>198</v>
      </c>
      <c r="C1480" s="347">
        <v>10666.41</v>
      </c>
      <c r="D1480" s="348">
        <v>46753</v>
      </c>
      <c r="E1480" s="348">
        <v>47058</v>
      </c>
      <c r="F1480" s="346" t="s">
        <v>637</v>
      </c>
      <c r="G1480" s="350" t="s">
        <v>438</v>
      </c>
      <c r="H1480" s="351">
        <f t="shared" si="25"/>
        <v>117330.51</v>
      </c>
      <c r="I1480" s="120" t="str">
        <f>IF(OR(D1480&lt;Capa!$A$5,D1480&gt;Capa!$A$7,E1480&lt;Capa!$A$5,E1480&gt;Capa!$A$7,D1480&gt;E1480),"Erro","")</f>
        <v/>
      </c>
    </row>
    <row r="1481" spans="1:9" ht="22.5">
      <c r="A1481" s="345">
        <v>1478</v>
      </c>
      <c r="B1481" s="346" t="s">
        <v>202</v>
      </c>
      <c r="C1481" s="347">
        <v>364.21</v>
      </c>
      <c r="D1481" s="348">
        <v>45261</v>
      </c>
      <c r="E1481" s="348">
        <v>45627</v>
      </c>
      <c r="F1481" s="346" t="s">
        <v>637</v>
      </c>
      <c r="G1481" s="350" t="s">
        <v>439</v>
      </c>
      <c r="H1481" s="351">
        <f t="shared" si="25"/>
        <v>4734.7299999999996</v>
      </c>
      <c r="I1481" s="120" t="str">
        <f>IF(OR(D1481&lt;Capa!$A$5,D1481&gt;Capa!$A$7,E1481&lt;Capa!$A$5,E1481&gt;Capa!$A$7,D1481&gt;E1481),"Erro","")</f>
        <v/>
      </c>
    </row>
    <row r="1482" spans="1:9" ht="22.5">
      <c r="A1482" s="345">
        <v>1479</v>
      </c>
      <c r="B1482" s="346" t="s">
        <v>202</v>
      </c>
      <c r="C1482" s="347">
        <v>385.47</v>
      </c>
      <c r="D1482" s="348">
        <v>45658</v>
      </c>
      <c r="E1482" s="348">
        <v>45992</v>
      </c>
      <c r="F1482" s="346" t="s">
        <v>637</v>
      </c>
      <c r="G1482" s="350" t="s">
        <v>439</v>
      </c>
      <c r="H1482" s="351">
        <f t="shared" si="25"/>
        <v>4625.6400000000003</v>
      </c>
      <c r="I1482" s="120" t="str">
        <f>IF(OR(D1482&lt;Capa!$A$5,D1482&gt;Capa!$A$7,E1482&lt;Capa!$A$5,E1482&gt;Capa!$A$7,D1482&gt;E1482),"Erro","")</f>
        <v/>
      </c>
    </row>
    <row r="1483" spans="1:9" ht="22.5">
      <c r="A1483" s="345">
        <v>1480</v>
      </c>
      <c r="B1483" s="346" t="s">
        <v>202</v>
      </c>
      <c r="C1483" s="347">
        <v>407.99</v>
      </c>
      <c r="D1483" s="348">
        <v>46023</v>
      </c>
      <c r="E1483" s="348">
        <v>46357</v>
      </c>
      <c r="F1483" s="346" t="s">
        <v>637</v>
      </c>
      <c r="G1483" s="350" t="s">
        <v>439</v>
      </c>
      <c r="H1483" s="351">
        <f t="shared" si="25"/>
        <v>4895.88</v>
      </c>
      <c r="I1483" s="120" t="str">
        <f>IF(OR(D1483&lt;Capa!$A$5,D1483&gt;Capa!$A$7,E1483&lt;Capa!$A$5,E1483&gt;Capa!$A$7,D1483&gt;E1483),"Erro","")</f>
        <v/>
      </c>
    </row>
    <row r="1484" spans="1:9" ht="22.5">
      <c r="A1484" s="345">
        <v>1481</v>
      </c>
      <c r="B1484" s="346" t="s">
        <v>202</v>
      </c>
      <c r="C1484" s="347">
        <v>431.81</v>
      </c>
      <c r="D1484" s="348">
        <v>46388</v>
      </c>
      <c r="E1484" s="348">
        <v>46722</v>
      </c>
      <c r="F1484" s="346" t="s">
        <v>637</v>
      </c>
      <c r="G1484" s="350" t="s">
        <v>439</v>
      </c>
      <c r="H1484" s="351">
        <f t="shared" si="25"/>
        <v>5181.72</v>
      </c>
      <c r="I1484" s="120" t="str">
        <f>IF(OR(D1484&lt;Capa!$A$5,D1484&gt;Capa!$A$7,E1484&lt;Capa!$A$5,E1484&gt;Capa!$A$7,D1484&gt;E1484),"Erro","")</f>
        <v/>
      </c>
    </row>
    <row r="1485" spans="1:9" ht="22.5">
      <c r="A1485" s="345">
        <v>1482</v>
      </c>
      <c r="B1485" s="346" t="s">
        <v>202</v>
      </c>
      <c r="C1485" s="347">
        <v>457.03</v>
      </c>
      <c r="D1485" s="348">
        <v>46753</v>
      </c>
      <c r="E1485" s="348">
        <v>47058</v>
      </c>
      <c r="F1485" s="346" t="s">
        <v>637</v>
      </c>
      <c r="G1485" s="350" t="s">
        <v>439</v>
      </c>
      <c r="H1485" s="351">
        <f t="shared" si="25"/>
        <v>5027.33</v>
      </c>
      <c r="I1485" s="120" t="str">
        <f>IF(OR(D1485&lt;Capa!$A$5,D1485&gt;Capa!$A$7,E1485&lt;Capa!$A$5,E1485&gt;Capa!$A$7,D1485&gt;E1485),"Erro","")</f>
        <v/>
      </c>
    </row>
    <row r="1486" spans="1:9" ht="22.5">
      <c r="A1486" s="345">
        <v>1483</v>
      </c>
      <c r="B1486" s="346" t="s">
        <v>204</v>
      </c>
      <c r="C1486" s="347">
        <v>1423.28</v>
      </c>
      <c r="D1486" s="348">
        <v>45292</v>
      </c>
      <c r="E1486" s="348">
        <v>45627</v>
      </c>
      <c r="F1486" s="346" t="s">
        <v>637</v>
      </c>
      <c r="G1486" s="350" t="s">
        <v>439</v>
      </c>
      <c r="H1486" s="351">
        <f t="shared" si="25"/>
        <v>17079.36</v>
      </c>
      <c r="I1486" s="120" t="str">
        <f>IF(OR(D1486&lt;Capa!$A$5,D1486&gt;Capa!$A$7,E1486&lt;Capa!$A$5,E1486&gt;Capa!$A$7,D1486&gt;E1486),"Erro","")</f>
        <v/>
      </c>
    </row>
    <row r="1487" spans="1:9" ht="22.5">
      <c r="A1487" s="345">
        <v>1484</v>
      </c>
      <c r="B1487" s="346" t="s">
        <v>204</v>
      </c>
      <c r="C1487" s="347">
        <v>1506.4</v>
      </c>
      <c r="D1487" s="348">
        <v>45658</v>
      </c>
      <c r="E1487" s="348">
        <v>45992</v>
      </c>
      <c r="F1487" s="346" t="s">
        <v>637</v>
      </c>
      <c r="G1487" s="350" t="s">
        <v>439</v>
      </c>
      <c r="H1487" s="351">
        <f t="shared" si="25"/>
        <v>18076.800000000003</v>
      </c>
      <c r="I1487" s="120" t="str">
        <f>IF(OR(D1487&lt;Capa!$A$5,D1487&gt;Capa!$A$7,E1487&lt;Capa!$A$5,E1487&gt;Capa!$A$7,D1487&gt;E1487),"Erro","")</f>
        <v/>
      </c>
    </row>
    <row r="1488" spans="1:9" ht="22.5">
      <c r="A1488" s="345">
        <v>1485</v>
      </c>
      <c r="B1488" s="346" t="s">
        <v>204</v>
      </c>
      <c r="C1488" s="347">
        <v>1594.37</v>
      </c>
      <c r="D1488" s="348">
        <v>46023</v>
      </c>
      <c r="E1488" s="348">
        <v>46357</v>
      </c>
      <c r="F1488" s="346" t="s">
        <v>637</v>
      </c>
      <c r="G1488" s="350" t="s">
        <v>439</v>
      </c>
      <c r="H1488" s="351">
        <f t="shared" si="25"/>
        <v>19132.439999999999</v>
      </c>
      <c r="I1488" s="120" t="str">
        <f>IF(OR(D1488&lt;Capa!$A$5,D1488&gt;Capa!$A$7,E1488&lt;Capa!$A$5,E1488&gt;Capa!$A$7,D1488&gt;E1488),"Erro","")</f>
        <v/>
      </c>
    </row>
    <row r="1489" spans="1:9" ht="22.5">
      <c r="A1489" s="345">
        <v>1486</v>
      </c>
      <c r="B1489" s="346" t="s">
        <v>204</v>
      </c>
      <c r="C1489" s="347">
        <v>1687.48</v>
      </c>
      <c r="D1489" s="348">
        <v>46388</v>
      </c>
      <c r="E1489" s="348">
        <v>46722</v>
      </c>
      <c r="F1489" s="346" t="s">
        <v>637</v>
      </c>
      <c r="G1489" s="350" t="s">
        <v>439</v>
      </c>
      <c r="H1489" s="351">
        <f t="shared" si="25"/>
        <v>20249.760000000002</v>
      </c>
      <c r="I1489" s="120" t="str">
        <f>IF(OR(D1489&lt;Capa!$A$5,D1489&gt;Capa!$A$7,E1489&lt;Capa!$A$5,E1489&gt;Capa!$A$7,D1489&gt;E1489),"Erro","")</f>
        <v/>
      </c>
    </row>
    <row r="1490" spans="1:9" ht="22.5">
      <c r="A1490" s="345">
        <v>1487</v>
      </c>
      <c r="B1490" s="346" t="s">
        <v>204</v>
      </c>
      <c r="C1490" s="347">
        <v>1786.03</v>
      </c>
      <c r="D1490" s="348">
        <v>46753</v>
      </c>
      <c r="E1490" s="348">
        <v>47027</v>
      </c>
      <c r="F1490" s="346" t="s">
        <v>637</v>
      </c>
      <c r="G1490" s="350" t="s">
        <v>439</v>
      </c>
      <c r="H1490" s="351">
        <f t="shared" si="25"/>
        <v>17860.3</v>
      </c>
      <c r="I1490" s="120" t="str">
        <f>IF(OR(D1490&lt;Capa!$A$5,D1490&gt;Capa!$A$7,E1490&lt;Capa!$A$5,E1490&gt;Capa!$A$7,D1490&gt;E1490),"Erro","")</f>
        <v/>
      </c>
    </row>
    <row r="1491" spans="1:9" ht="22.5">
      <c r="A1491" s="345">
        <v>1488</v>
      </c>
      <c r="B1491" s="346" t="s">
        <v>206</v>
      </c>
      <c r="C1491" s="347">
        <v>1441.64</v>
      </c>
      <c r="D1491" s="348">
        <v>45261</v>
      </c>
      <c r="E1491" s="348">
        <v>45627</v>
      </c>
      <c r="F1491" s="346" t="s">
        <v>637</v>
      </c>
      <c r="G1491" s="350" t="s">
        <v>440</v>
      </c>
      <c r="H1491" s="351">
        <f t="shared" si="25"/>
        <v>18741.32</v>
      </c>
      <c r="I1491" s="120" t="str">
        <f>IF(OR(D1491&lt;Capa!$A$5,D1491&gt;Capa!$A$7,E1491&lt;Capa!$A$5,E1491&gt;Capa!$A$7,D1491&gt;E1491),"Erro","")</f>
        <v/>
      </c>
    </row>
    <row r="1492" spans="1:9" ht="22.5">
      <c r="A1492" s="345">
        <v>1489</v>
      </c>
      <c r="B1492" s="346" t="s">
        <v>206</v>
      </c>
      <c r="C1492" s="347">
        <v>1525.84</v>
      </c>
      <c r="D1492" s="348">
        <v>45658</v>
      </c>
      <c r="E1492" s="348">
        <v>45992</v>
      </c>
      <c r="F1492" s="346" t="s">
        <v>637</v>
      </c>
      <c r="G1492" s="350" t="s">
        <v>440</v>
      </c>
      <c r="H1492" s="351">
        <f t="shared" si="25"/>
        <v>18310.079999999998</v>
      </c>
      <c r="I1492" s="120" t="str">
        <f>IF(OR(D1492&lt;Capa!$A$5,D1492&gt;Capa!$A$7,E1492&lt;Capa!$A$5,E1492&gt;Capa!$A$7,D1492&gt;E1492),"Erro","")</f>
        <v/>
      </c>
    </row>
    <row r="1493" spans="1:9" ht="22.5">
      <c r="A1493" s="345">
        <v>1490</v>
      </c>
      <c r="B1493" s="346" t="s">
        <v>206</v>
      </c>
      <c r="C1493" s="347">
        <v>1614.95</v>
      </c>
      <c r="D1493" s="348">
        <v>46023</v>
      </c>
      <c r="E1493" s="348">
        <v>46357</v>
      </c>
      <c r="F1493" s="346" t="s">
        <v>637</v>
      </c>
      <c r="G1493" s="350" t="s">
        <v>440</v>
      </c>
      <c r="H1493" s="351">
        <f t="shared" si="25"/>
        <v>19379.400000000001</v>
      </c>
      <c r="I1493" s="120" t="str">
        <f>IF(OR(D1493&lt;Capa!$A$5,D1493&gt;Capa!$A$7,E1493&lt;Capa!$A$5,E1493&gt;Capa!$A$7,D1493&gt;E1493),"Erro","")</f>
        <v/>
      </c>
    </row>
    <row r="1494" spans="1:9" ht="22.5">
      <c r="A1494" s="345">
        <v>1491</v>
      </c>
      <c r="B1494" s="346" t="s">
        <v>206</v>
      </c>
      <c r="C1494" s="347">
        <v>1709.26</v>
      </c>
      <c r="D1494" s="348">
        <v>46388</v>
      </c>
      <c r="E1494" s="348">
        <v>46722</v>
      </c>
      <c r="F1494" s="346" t="s">
        <v>637</v>
      </c>
      <c r="G1494" s="350" t="s">
        <v>440</v>
      </c>
      <c r="H1494" s="351">
        <f t="shared" si="25"/>
        <v>20511.12</v>
      </c>
      <c r="I1494" s="120" t="str">
        <f>IF(OR(D1494&lt;Capa!$A$5,D1494&gt;Capa!$A$7,E1494&lt;Capa!$A$5,E1494&gt;Capa!$A$7,D1494&gt;E1494),"Erro","")</f>
        <v/>
      </c>
    </row>
    <row r="1495" spans="1:9" ht="22.5">
      <c r="A1495" s="345">
        <v>1492</v>
      </c>
      <c r="B1495" s="346" t="s">
        <v>206</v>
      </c>
      <c r="C1495" s="347">
        <v>1809.08</v>
      </c>
      <c r="D1495" s="348">
        <v>46753</v>
      </c>
      <c r="E1495" s="348">
        <v>47058</v>
      </c>
      <c r="F1495" s="346" t="s">
        <v>637</v>
      </c>
      <c r="G1495" s="350" t="s">
        <v>440</v>
      </c>
      <c r="H1495" s="351">
        <f t="shared" si="25"/>
        <v>19899.879999999997</v>
      </c>
      <c r="I1495" s="120" t="str">
        <f>IF(OR(D1495&lt;Capa!$A$5,D1495&gt;Capa!$A$7,E1495&lt;Capa!$A$5,E1495&gt;Capa!$A$7,D1495&gt;E1495),"Erro","")</f>
        <v/>
      </c>
    </row>
    <row r="1496" spans="1:9" ht="22.5">
      <c r="A1496" s="345">
        <v>1493</v>
      </c>
      <c r="B1496" s="346" t="s">
        <v>208</v>
      </c>
      <c r="C1496" s="347">
        <v>850</v>
      </c>
      <c r="D1496" s="348">
        <v>45261</v>
      </c>
      <c r="E1496" s="348">
        <v>45627</v>
      </c>
      <c r="F1496" s="346" t="s">
        <v>637</v>
      </c>
      <c r="G1496" s="350" t="s">
        <v>440</v>
      </c>
      <c r="H1496" s="351">
        <f t="shared" si="25"/>
        <v>11050</v>
      </c>
      <c r="I1496" s="120" t="str">
        <f>IF(OR(D1496&lt;Capa!$A$5,D1496&gt;Capa!$A$7,E1496&lt;Capa!$A$5,E1496&gt;Capa!$A$7,D1496&gt;E1496),"Erro","")</f>
        <v/>
      </c>
    </row>
    <row r="1497" spans="1:9" ht="22.5">
      <c r="A1497" s="345">
        <v>1494</v>
      </c>
      <c r="B1497" s="346" t="s">
        <v>208</v>
      </c>
      <c r="C1497" s="347">
        <v>899.64</v>
      </c>
      <c r="D1497" s="348">
        <v>45658</v>
      </c>
      <c r="E1497" s="348">
        <v>45992</v>
      </c>
      <c r="F1497" s="346" t="s">
        <v>637</v>
      </c>
      <c r="G1497" s="350" t="s">
        <v>440</v>
      </c>
      <c r="H1497" s="351">
        <f t="shared" si="25"/>
        <v>10795.68</v>
      </c>
      <c r="I1497" s="120" t="str">
        <f>IF(OR(D1497&lt;Capa!$A$5,D1497&gt;Capa!$A$7,E1497&lt;Capa!$A$5,E1497&gt;Capa!$A$7,D1497&gt;E1497),"Erro","")</f>
        <v/>
      </c>
    </row>
    <row r="1498" spans="1:9" ht="22.5">
      <c r="A1498" s="345">
        <v>1495</v>
      </c>
      <c r="B1498" s="346" t="s">
        <v>208</v>
      </c>
      <c r="C1498" s="347">
        <v>952.17</v>
      </c>
      <c r="D1498" s="348">
        <v>46023</v>
      </c>
      <c r="E1498" s="348">
        <v>46357</v>
      </c>
      <c r="F1498" s="346" t="s">
        <v>637</v>
      </c>
      <c r="G1498" s="350" t="s">
        <v>440</v>
      </c>
      <c r="H1498" s="351">
        <f t="shared" si="25"/>
        <v>11426.039999999999</v>
      </c>
      <c r="I1498" s="120" t="str">
        <f>IF(OR(D1498&lt;Capa!$A$5,D1498&gt;Capa!$A$7,E1498&lt;Capa!$A$5,E1498&gt;Capa!$A$7,D1498&gt;E1498),"Erro","")</f>
        <v/>
      </c>
    </row>
    <row r="1499" spans="1:9" ht="22.5">
      <c r="A1499" s="345">
        <v>1496</v>
      </c>
      <c r="B1499" s="346" t="s">
        <v>208</v>
      </c>
      <c r="C1499" s="347">
        <v>1007.78</v>
      </c>
      <c r="D1499" s="348">
        <v>46388</v>
      </c>
      <c r="E1499" s="348">
        <v>46722</v>
      </c>
      <c r="F1499" s="346" t="s">
        <v>637</v>
      </c>
      <c r="G1499" s="350" t="s">
        <v>440</v>
      </c>
      <c r="H1499" s="351">
        <f t="shared" si="25"/>
        <v>12093.36</v>
      </c>
      <c r="I1499" s="120" t="str">
        <f>IF(OR(D1499&lt;Capa!$A$5,D1499&gt;Capa!$A$7,E1499&lt;Capa!$A$5,E1499&gt;Capa!$A$7,D1499&gt;E1499),"Erro","")</f>
        <v/>
      </c>
    </row>
    <row r="1500" spans="1:9" ht="22.5">
      <c r="A1500" s="345">
        <v>1497</v>
      </c>
      <c r="B1500" s="346" t="s">
        <v>208</v>
      </c>
      <c r="C1500" s="347">
        <v>1066.6400000000001</v>
      </c>
      <c r="D1500" s="348">
        <v>46753</v>
      </c>
      <c r="E1500" s="348">
        <v>47058</v>
      </c>
      <c r="F1500" s="346" t="s">
        <v>637</v>
      </c>
      <c r="G1500" s="350" t="s">
        <v>440</v>
      </c>
      <c r="H1500" s="351">
        <f t="shared" si="25"/>
        <v>11733.04</v>
      </c>
      <c r="I1500" s="120" t="str">
        <f>IF(OR(D1500&lt;Capa!$A$5,D1500&gt;Capa!$A$7,E1500&lt;Capa!$A$5,E1500&gt;Capa!$A$7,D1500&gt;E1500),"Erro","")</f>
        <v/>
      </c>
    </row>
    <row r="1501" spans="1:9" ht="22.5">
      <c r="A1501" s="345">
        <v>1498</v>
      </c>
      <c r="B1501" s="346" t="s">
        <v>210</v>
      </c>
      <c r="C1501" s="347">
        <v>39.68</v>
      </c>
      <c r="D1501" s="348">
        <v>45261</v>
      </c>
      <c r="E1501" s="348">
        <v>45627</v>
      </c>
      <c r="F1501" s="346" t="s">
        <v>637</v>
      </c>
      <c r="G1501" s="350" t="s">
        <v>440</v>
      </c>
      <c r="H1501" s="351">
        <f t="shared" si="25"/>
        <v>515.84</v>
      </c>
      <c r="I1501" s="120" t="str">
        <f>IF(OR(D1501&lt;Capa!$A$5,D1501&gt;Capa!$A$7,E1501&lt;Capa!$A$5,E1501&gt;Capa!$A$7,D1501&gt;E1501),"Erro","")</f>
        <v/>
      </c>
    </row>
    <row r="1502" spans="1:9" ht="22.5">
      <c r="A1502" s="345">
        <v>1499</v>
      </c>
      <c r="B1502" s="346" t="s">
        <v>210</v>
      </c>
      <c r="C1502" s="347">
        <v>41.99</v>
      </c>
      <c r="D1502" s="348">
        <v>45658</v>
      </c>
      <c r="E1502" s="348">
        <v>45992</v>
      </c>
      <c r="F1502" s="346" t="s">
        <v>637</v>
      </c>
      <c r="G1502" s="350" t="s">
        <v>440</v>
      </c>
      <c r="H1502" s="351">
        <f t="shared" si="25"/>
        <v>503.88</v>
      </c>
      <c r="I1502" s="120" t="str">
        <f>IF(OR(D1502&lt;Capa!$A$5,D1502&gt;Capa!$A$7,E1502&lt;Capa!$A$5,E1502&gt;Capa!$A$7,D1502&gt;E1502),"Erro","")</f>
        <v/>
      </c>
    </row>
    <row r="1503" spans="1:9" ht="22.5">
      <c r="A1503" s="345">
        <v>1500</v>
      </c>
      <c r="B1503" s="346" t="s">
        <v>210</v>
      </c>
      <c r="C1503" s="347">
        <v>44.44</v>
      </c>
      <c r="D1503" s="348">
        <v>46023</v>
      </c>
      <c r="E1503" s="348">
        <v>46357</v>
      </c>
      <c r="F1503" s="346" t="s">
        <v>637</v>
      </c>
      <c r="G1503" s="350" t="s">
        <v>440</v>
      </c>
      <c r="H1503" s="351">
        <f t="shared" si="25"/>
        <v>533.28</v>
      </c>
      <c r="I1503" s="120" t="str">
        <f>IF(OR(D1503&lt;Capa!$A$5,D1503&gt;Capa!$A$7,E1503&lt;Capa!$A$5,E1503&gt;Capa!$A$7,D1503&gt;E1503),"Erro","")</f>
        <v/>
      </c>
    </row>
    <row r="1504" spans="1:9" ht="22.5">
      <c r="A1504" s="345">
        <v>1501</v>
      </c>
      <c r="B1504" s="346" t="s">
        <v>210</v>
      </c>
      <c r="C1504" s="347">
        <v>47.04</v>
      </c>
      <c r="D1504" s="348">
        <v>46388</v>
      </c>
      <c r="E1504" s="348">
        <v>46722</v>
      </c>
      <c r="F1504" s="346" t="s">
        <v>637</v>
      </c>
      <c r="G1504" s="350" t="s">
        <v>440</v>
      </c>
      <c r="H1504" s="351">
        <f t="shared" si="25"/>
        <v>564.48</v>
      </c>
      <c r="I1504" s="120" t="str">
        <f>IF(OR(D1504&lt;Capa!$A$5,D1504&gt;Capa!$A$7,E1504&lt;Capa!$A$5,E1504&gt;Capa!$A$7,D1504&gt;E1504),"Erro","")</f>
        <v/>
      </c>
    </row>
    <row r="1505" spans="1:9" ht="22.5">
      <c r="A1505" s="345">
        <v>1502</v>
      </c>
      <c r="B1505" s="346" t="s">
        <v>210</v>
      </c>
      <c r="C1505" s="347">
        <v>49.79</v>
      </c>
      <c r="D1505" s="348">
        <v>46753</v>
      </c>
      <c r="E1505" s="348">
        <v>47058</v>
      </c>
      <c r="F1505" s="346" t="s">
        <v>637</v>
      </c>
      <c r="G1505" s="350" t="s">
        <v>440</v>
      </c>
      <c r="H1505" s="351">
        <f t="shared" si="25"/>
        <v>547.68999999999994</v>
      </c>
      <c r="I1505" s="120" t="str">
        <f>IF(OR(D1505&lt;Capa!$A$5,D1505&gt;Capa!$A$7,E1505&lt;Capa!$A$5,E1505&gt;Capa!$A$7,D1505&gt;E1505),"Erro","")</f>
        <v/>
      </c>
    </row>
    <row r="1506" spans="1:9" ht="22.5">
      <c r="A1506" s="345">
        <v>1503</v>
      </c>
      <c r="B1506" s="346" t="s">
        <v>214</v>
      </c>
      <c r="C1506" s="347">
        <v>131.97999999999999</v>
      </c>
      <c r="D1506" s="348">
        <v>45261</v>
      </c>
      <c r="E1506" s="348">
        <v>45627</v>
      </c>
      <c r="F1506" s="346" t="s">
        <v>637</v>
      </c>
      <c r="G1506" s="350" t="s">
        <v>440</v>
      </c>
      <c r="H1506" s="351">
        <f t="shared" si="25"/>
        <v>1715.7399999999998</v>
      </c>
      <c r="I1506" s="120" t="str">
        <f>IF(OR(D1506&lt;Capa!$A$5,D1506&gt;Capa!$A$7,E1506&lt;Capa!$A$5,E1506&gt;Capa!$A$7,D1506&gt;E1506),"Erro","")</f>
        <v/>
      </c>
    </row>
    <row r="1507" spans="1:9" ht="22.5">
      <c r="A1507" s="345">
        <v>1504</v>
      </c>
      <c r="B1507" s="346" t="s">
        <v>214</v>
      </c>
      <c r="C1507" s="347">
        <v>139.68</v>
      </c>
      <c r="D1507" s="348">
        <v>45658</v>
      </c>
      <c r="E1507" s="348">
        <v>45992</v>
      </c>
      <c r="F1507" s="346" t="s">
        <v>637</v>
      </c>
      <c r="G1507" s="350" t="s">
        <v>440</v>
      </c>
      <c r="H1507" s="351">
        <f t="shared" si="25"/>
        <v>1676.16</v>
      </c>
      <c r="I1507" s="120" t="str">
        <f>IF(OR(D1507&lt;Capa!$A$5,D1507&gt;Capa!$A$7,E1507&lt;Capa!$A$5,E1507&gt;Capa!$A$7,D1507&gt;E1507),"Erro","")</f>
        <v/>
      </c>
    </row>
    <row r="1508" spans="1:9" ht="22.5">
      <c r="A1508" s="345">
        <v>1505</v>
      </c>
      <c r="B1508" s="346" t="s">
        <v>214</v>
      </c>
      <c r="C1508" s="347">
        <v>147.84</v>
      </c>
      <c r="D1508" s="348">
        <v>46023</v>
      </c>
      <c r="E1508" s="348">
        <v>46357</v>
      </c>
      <c r="F1508" s="346" t="s">
        <v>637</v>
      </c>
      <c r="G1508" s="350" t="s">
        <v>440</v>
      </c>
      <c r="H1508" s="351">
        <f t="shared" si="25"/>
        <v>1774.08</v>
      </c>
      <c r="I1508" s="120" t="str">
        <f>IF(OR(D1508&lt;Capa!$A$5,D1508&gt;Capa!$A$7,E1508&lt;Capa!$A$5,E1508&gt;Capa!$A$7,D1508&gt;E1508),"Erro","")</f>
        <v/>
      </c>
    </row>
    <row r="1509" spans="1:9" ht="22.5">
      <c r="A1509" s="345">
        <v>1506</v>
      </c>
      <c r="B1509" s="346" t="s">
        <v>214</v>
      </c>
      <c r="C1509" s="347">
        <v>156.47999999999999</v>
      </c>
      <c r="D1509" s="348">
        <v>46388</v>
      </c>
      <c r="E1509" s="348">
        <v>46722</v>
      </c>
      <c r="F1509" s="346" t="s">
        <v>637</v>
      </c>
      <c r="G1509" s="350" t="s">
        <v>440</v>
      </c>
      <c r="H1509" s="351">
        <f t="shared" si="25"/>
        <v>1877.7599999999998</v>
      </c>
      <c r="I1509" s="120" t="str">
        <f>IF(OR(D1509&lt;Capa!$A$5,D1509&gt;Capa!$A$7,E1509&lt;Capa!$A$5,E1509&gt;Capa!$A$7,D1509&gt;E1509),"Erro","")</f>
        <v/>
      </c>
    </row>
    <row r="1510" spans="1:9" ht="22.5">
      <c r="A1510" s="345">
        <v>1507</v>
      </c>
      <c r="B1510" s="346" t="s">
        <v>214</v>
      </c>
      <c r="C1510" s="347">
        <v>165.62</v>
      </c>
      <c r="D1510" s="348">
        <v>46753</v>
      </c>
      <c r="E1510" s="348">
        <v>47058</v>
      </c>
      <c r="F1510" s="346" t="s">
        <v>637</v>
      </c>
      <c r="G1510" s="350" t="s">
        <v>440</v>
      </c>
      <c r="H1510" s="351">
        <f t="shared" si="25"/>
        <v>1821.8200000000002</v>
      </c>
      <c r="I1510" s="120" t="str">
        <f>IF(OR(D1510&lt;Capa!$A$5,D1510&gt;Capa!$A$7,E1510&lt;Capa!$A$5,E1510&gt;Capa!$A$7,D1510&gt;E1510),"Erro","")</f>
        <v/>
      </c>
    </row>
    <row r="1511" spans="1:9" ht="56.25">
      <c r="A1511" s="345">
        <v>1508</v>
      </c>
      <c r="B1511" s="346" t="s">
        <v>212</v>
      </c>
      <c r="C1511" s="347">
        <v>235.74</v>
      </c>
      <c r="D1511" s="348">
        <v>45261</v>
      </c>
      <c r="E1511" s="348">
        <v>45627</v>
      </c>
      <c r="F1511" s="346" t="s">
        <v>637</v>
      </c>
      <c r="G1511" s="350" t="s">
        <v>502</v>
      </c>
      <c r="H1511" s="351">
        <f t="shared" ref="H1511:H1568" si="26">IFERROR((DATEDIF(D1511,E1511,"M")+1)*C1511,0)</f>
        <v>3064.62</v>
      </c>
      <c r="I1511" s="120" t="str">
        <f>IF(OR(D1511&lt;Capa!$A$5,D1511&gt;Capa!$A$7,E1511&lt;Capa!$A$5,E1511&gt;Capa!$A$7,D1511&gt;E1511),"Erro","")</f>
        <v/>
      </c>
    </row>
    <row r="1512" spans="1:9" ht="56.25">
      <c r="A1512" s="345">
        <v>1509</v>
      </c>
      <c r="B1512" s="346" t="s">
        <v>212</v>
      </c>
      <c r="C1512" s="347">
        <v>249.5</v>
      </c>
      <c r="D1512" s="348">
        <v>45658</v>
      </c>
      <c r="E1512" s="348">
        <v>45992</v>
      </c>
      <c r="F1512" s="346" t="s">
        <v>637</v>
      </c>
      <c r="G1512" s="350" t="s">
        <v>502</v>
      </c>
      <c r="H1512" s="351">
        <f t="shared" si="26"/>
        <v>2994</v>
      </c>
      <c r="I1512" s="120" t="str">
        <f>IF(OR(D1512&lt;Capa!$A$5,D1512&gt;Capa!$A$7,E1512&lt;Capa!$A$5,E1512&gt;Capa!$A$7,D1512&gt;E1512),"Erro","")</f>
        <v/>
      </c>
    </row>
    <row r="1513" spans="1:9" ht="56.25">
      <c r="A1513" s="345">
        <v>1510</v>
      </c>
      <c r="B1513" s="346" t="s">
        <v>212</v>
      </c>
      <c r="C1513" s="347">
        <v>264.07</v>
      </c>
      <c r="D1513" s="348">
        <v>46023</v>
      </c>
      <c r="E1513" s="348">
        <v>46357</v>
      </c>
      <c r="F1513" s="346" t="s">
        <v>637</v>
      </c>
      <c r="G1513" s="350" t="s">
        <v>502</v>
      </c>
      <c r="H1513" s="351">
        <f t="shared" si="26"/>
        <v>3168.84</v>
      </c>
      <c r="I1513" s="120" t="str">
        <f>IF(OR(D1513&lt;Capa!$A$5,D1513&gt;Capa!$A$7,E1513&lt;Capa!$A$5,E1513&gt;Capa!$A$7,D1513&gt;E1513),"Erro","")</f>
        <v/>
      </c>
    </row>
    <row r="1514" spans="1:9" ht="56.25">
      <c r="A1514" s="345">
        <v>1511</v>
      </c>
      <c r="B1514" s="346" t="s">
        <v>212</v>
      </c>
      <c r="C1514" s="347">
        <v>279.5</v>
      </c>
      <c r="D1514" s="348">
        <v>46388</v>
      </c>
      <c r="E1514" s="348">
        <v>46722</v>
      </c>
      <c r="F1514" s="346" t="s">
        <v>637</v>
      </c>
      <c r="G1514" s="350" t="s">
        <v>502</v>
      </c>
      <c r="H1514" s="351">
        <f t="shared" si="26"/>
        <v>3354</v>
      </c>
      <c r="I1514" s="120" t="str">
        <f>IF(OR(D1514&lt;Capa!$A$5,D1514&gt;Capa!$A$7,E1514&lt;Capa!$A$5,E1514&gt;Capa!$A$7,D1514&gt;E1514),"Erro","")</f>
        <v/>
      </c>
    </row>
    <row r="1515" spans="1:9" ht="56.25">
      <c r="A1515" s="345">
        <v>1512</v>
      </c>
      <c r="B1515" s="346" t="s">
        <v>212</v>
      </c>
      <c r="C1515" s="347">
        <v>295.82</v>
      </c>
      <c r="D1515" s="348">
        <v>46753</v>
      </c>
      <c r="E1515" s="348">
        <v>47058</v>
      </c>
      <c r="F1515" s="346" t="s">
        <v>637</v>
      </c>
      <c r="G1515" s="350" t="s">
        <v>502</v>
      </c>
      <c r="H1515" s="351">
        <f t="shared" si="26"/>
        <v>3254.02</v>
      </c>
      <c r="I1515" s="120" t="str">
        <f>IF(OR(D1515&lt;Capa!$A$5,D1515&gt;Capa!$A$7,E1515&lt;Capa!$A$5,E1515&gt;Capa!$A$7,D1515&gt;E1515),"Erro","")</f>
        <v/>
      </c>
    </row>
    <row r="1516" spans="1:9" ht="45">
      <c r="A1516" s="345">
        <v>1513</v>
      </c>
      <c r="B1516" s="346" t="s">
        <v>248</v>
      </c>
      <c r="C1516" s="347">
        <v>846</v>
      </c>
      <c r="D1516" s="348">
        <v>45323</v>
      </c>
      <c r="E1516" s="348">
        <v>45444</v>
      </c>
      <c r="F1516" s="346" t="s">
        <v>637</v>
      </c>
      <c r="G1516" s="350" t="s">
        <v>441</v>
      </c>
      <c r="H1516" s="351">
        <f t="shared" si="26"/>
        <v>4230</v>
      </c>
      <c r="I1516" s="120" t="str">
        <f>IF(OR(D1516&lt;Capa!$A$5,D1516&gt;Capa!$A$7,E1516&lt;Capa!$A$5,E1516&gt;Capa!$A$7,D1516&gt;E1516),"Erro","")</f>
        <v/>
      </c>
    </row>
    <row r="1517" spans="1:9" ht="45">
      <c r="A1517" s="345">
        <v>1514</v>
      </c>
      <c r="B1517" s="346" t="s">
        <v>248</v>
      </c>
      <c r="C1517" s="347">
        <v>846</v>
      </c>
      <c r="D1517" s="348">
        <v>45689</v>
      </c>
      <c r="E1517" s="348">
        <v>45809</v>
      </c>
      <c r="F1517" s="346" t="s">
        <v>637</v>
      </c>
      <c r="G1517" s="350" t="s">
        <v>441</v>
      </c>
      <c r="H1517" s="351">
        <f t="shared" si="26"/>
        <v>4230</v>
      </c>
      <c r="I1517" s="120" t="str">
        <f>IF(OR(D1517&lt;Capa!$A$5,D1517&gt;Capa!$A$7,E1517&lt;Capa!$A$5,E1517&gt;Capa!$A$7,D1517&gt;E1517),"Erro","")</f>
        <v/>
      </c>
    </row>
    <row r="1518" spans="1:9" ht="45">
      <c r="A1518" s="345">
        <v>1515</v>
      </c>
      <c r="B1518" s="346" t="s">
        <v>248</v>
      </c>
      <c r="C1518" s="347">
        <v>846</v>
      </c>
      <c r="D1518" s="348">
        <v>46054</v>
      </c>
      <c r="E1518" s="348">
        <v>46174</v>
      </c>
      <c r="F1518" s="346" t="s">
        <v>637</v>
      </c>
      <c r="G1518" s="350" t="s">
        <v>441</v>
      </c>
      <c r="H1518" s="351">
        <f t="shared" si="26"/>
        <v>4230</v>
      </c>
      <c r="I1518" s="120" t="str">
        <f>IF(OR(D1518&lt;Capa!$A$5,D1518&gt;Capa!$A$7,E1518&lt;Capa!$A$5,E1518&gt;Capa!$A$7,D1518&gt;E1518),"Erro","")</f>
        <v/>
      </c>
    </row>
    <row r="1519" spans="1:9" ht="45">
      <c r="A1519" s="345">
        <v>1516</v>
      </c>
      <c r="B1519" s="346" t="s">
        <v>248</v>
      </c>
      <c r="C1519" s="347">
        <v>846</v>
      </c>
      <c r="D1519" s="348">
        <v>46419</v>
      </c>
      <c r="E1519" s="348">
        <v>46539</v>
      </c>
      <c r="F1519" s="346" t="s">
        <v>637</v>
      </c>
      <c r="G1519" s="350" t="s">
        <v>441</v>
      </c>
      <c r="H1519" s="351">
        <f t="shared" si="26"/>
        <v>4230</v>
      </c>
      <c r="I1519" s="120" t="str">
        <f>IF(OR(D1519&lt;Capa!$A$5,D1519&gt;Capa!$A$7,E1519&lt;Capa!$A$5,E1519&gt;Capa!$A$7,D1519&gt;E1519),"Erro","")</f>
        <v/>
      </c>
    </row>
    <row r="1520" spans="1:9" ht="45">
      <c r="A1520" s="345">
        <v>1517</v>
      </c>
      <c r="B1520" s="346" t="s">
        <v>248</v>
      </c>
      <c r="C1520" s="347">
        <v>846</v>
      </c>
      <c r="D1520" s="348">
        <v>46784</v>
      </c>
      <c r="E1520" s="348">
        <v>46905</v>
      </c>
      <c r="F1520" s="346" t="s">
        <v>637</v>
      </c>
      <c r="G1520" s="350" t="s">
        <v>441</v>
      </c>
      <c r="H1520" s="351">
        <f t="shared" si="26"/>
        <v>4230</v>
      </c>
      <c r="I1520" s="120" t="str">
        <f>IF(OR(D1520&lt;Capa!$A$5,D1520&gt;Capa!$A$7,E1520&lt;Capa!$A$5,E1520&gt;Capa!$A$7,D1520&gt;E1520),"Erro","")</f>
        <v/>
      </c>
    </row>
    <row r="1521" spans="1:9" ht="33.75">
      <c r="A1521" s="345">
        <v>1518</v>
      </c>
      <c r="B1521" s="346" t="s">
        <v>266</v>
      </c>
      <c r="C1521" s="347">
        <v>300</v>
      </c>
      <c r="D1521" s="348">
        <v>45658</v>
      </c>
      <c r="E1521" s="348">
        <v>45992</v>
      </c>
      <c r="F1521" s="346" t="s">
        <v>637</v>
      </c>
      <c r="G1521" s="350" t="s">
        <v>442</v>
      </c>
      <c r="H1521" s="351">
        <f t="shared" si="26"/>
        <v>3600</v>
      </c>
      <c r="I1521" s="120" t="str">
        <f>IF(OR(D1521&lt;Capa!$A$5,D1521&gt;Capa!$A$7,E1521&lt;Capa!$A$5,E1521&gt;Capa!$A$7,D1521&gt;E1521),"Erro","")</f>
        <v/>
      </c>
    </row>
    <row r="1522" spans="1:9" ht="33.75">
      <c r="A1522" s="345">
        <v>1519</v>
      </c>
      <c r="B1522" s="346" t="s">
        <v>266</v>
      </c>
      <c r="C1522" s="347">
        <v>300</v>
      </c>
      <c r="D1522" s="348">
        <v>46023</v>
      </c>
      <c r="E1522" s="348">
        <v>46357</v>
      </c>
      <c r="F1522" s="346" t="s">
        <v>637</v>
      </c>
      <c r="G1522" s="350" t="s">
        <v>442</v>
      </c>
      <c r="H1522" s="351">
        <f t="shared" si="26"/>
        <v>3600</v>
      </c>
      <c r="I1522" s="120" t="str">
        <f>IF(OR(D1522&lt;Capa!$A$5,D1522&gt;Capa!$A$7,E1522&lt;Capa!$A$5,E1522&gt;Capa!$A$7,D1522&gt;E1522),"Erro","")</f>
        <v/>
      </c>
    </row>
    <row r="1523" spans="1:9" ht="33.75">
      <c r="A1523" s="345">
        <v>1520</v>
      </c>
      <c r="B1523" s="346" t="s">
        <v>266</v>
      </c>
      <c r="C1523" s="347">
        <v>300</v>
      </c>
      <c r="D1523" s="348">
        <v>46388</v>
      </c>
      <c r="E1523" s="348">
        <v>46722</v>
      </c>
      <c r="F1523" s="346" t="s">
        <v>637</v>
      </c>
      <c r="G1523" s="350" t="s">
        <v>442</v>
      </c>
      <c r="H1523" s="351">
        <f t="shared" si="26"/>
        <v>3600</v>
      </c>
      <c r="I1523" s="120" t="str">
        <f>IF(OR(D1523&lt;Capa!$A$5,D1523&gt;Capa!$A$7,E1523&lt;Capa!$A$5,E1523&gt;Capa!$A$7,D1523&gt;E1523),"Erro","")</f>
        <v/>
      </c>
    </row>
    <row r="1524" spans="1:9" ht="33.75">
      <c r="A1524" s="345">
        <v>1521</v>
      </c>
      <c r="B1524" s="346" t="s">
        <v>266</v>
      </c>
      <c r="C1524" s="347">
        <v>300</v>
      </c>
      <c r="D1524" s="348">
        <v>46753</v>
      </c>
      <c r="E1524" s="348">
        <v>47058</v>
      </c>
      <c r="F1524" s="346" t="s">
        <v>637</v>
      </c>
      <c r="G1524" s="350" t="s">
        <v>442</v>
      </c>
      <c r="H1524" s="351">
        <f t="shared" si="26"/>
        <v>3300</v>
      </c>
      <c r="I1524" s="120" t="str">
        <f>IF(OR(D1524&lt;Capa!$A$5,D1524&gt;Capa!$A$7,E1524&lt;Capa!$A$5,E1524&gt;Capa!$A$7,D1524&gt;E1524),"Erro","")</f>
        <v/>
      </c>
    </row>
    <row r="1525" spans="1:9" ht="22.5">
      <c r="A1525" s="345">
        <v>1522</v>
      </c>
      <c r="B1525" s="346" t="s">
        <v>274</v>
      </c>
      <c r="C1525" s="347">
        <v>1100</v>
      </c>
      <c r="D1525" s="348">
        <v>45261</v>
      </c>
      <c r="E1525" s="348">
        <v>45627</v>
      </c>
      <c r="F1525" s="346" t="s">
        <v>637</v>
      </c>
      <c r="G1525" s="350" t="s">
        <v>443</v>
      </c>
      <c r="H1525" s="351">
        <f t="shared" si="26"/>
        <v>14300</v>
      </c>
      <c r="I1525" s="120" t="str">
        <f>IF(OR(D1525&lt;Capa!$A$5,D1525&gt;Capa!$A$7,E1525&lt;Capa!$A$5,E1525&gt;Capa!$A$7,D1525&gt;E1525),"Erro","")</f>
        <v/>
      </c>
    </row>
    <row r="1526" spans="1:9" ht="22.5">
      <c r="A1526" s="345">
        <v>1523</v>
      </c>
      <c r="B1526" s="346" t="s">
        <v>274</v>
      </c>
      <c r="C1526" s="347">
        <v>1164.24</v>
      </c>
      <c r="D1526" s="348">
        <v>45658</v>
      </c>
      <c r="E1526" s="348">
        <v>45992</v>
      </c>
      <c r="F1526" s="346" t="s">
        <v>637</v>
      </c>
      <c r="G1526" s="350" t="s">
        <v>443</v>
      </c>
      <c r="H1526" s="351">
        <f t="shared" si="26"/>
        <v>13970.880000000001</v>
      </c>
      <c r="I1526" s="120" t="str">
        <f>IF(OR(D1526&lt;Capa!$A$5,D1526&gt;Capa!$A$7,E1526&lt;Capa!$A$5,E1526&gt;Capa!$A$7,D1526&gt;E1526),"Erro","")</f>
        <v/>
      </c>
    </row>
    <row r="1527" spans="1:9" ht="22.5">
      <c r="A1527" s="345">
        <v>1524</v>
      </c>
      <c r="B1527" s="346" t="s">
        <v>274</v>
      </c>
      <c r="C1527" s="347">
        <v>1232.23</v>
      </c>
      <c r="D1527" s="348">
        <v>46023</v>
      </c>
      <c r="E1527" s="348">
        <v>46357</v>
      </c>
      <c r="F1527" s="346" t="s">
        <v>637</v>
      </c>
      <c r="G1527" s="350" t="s">
        <v>443</v>
      </c>
      <c r="H1527" s="351">
        <f t="shared" si="26"/>
        <v>14786.76</v>
      </c>
      <c r="I1527" s="120" t="str">
        <f>IF(OR(D1527&lt;Capa!$A$5,D1527&gt;Capa!$A$7,E1527&lt;Capa!$A$5,E1527&gt;Capa!$A$7,D1527&gt;E1527),"Erro","")</f>
        <v/>
      </c>
    </row>
    <row r="1528" spans="1:9" ht="22.5">
      <c r="A1528" s="345">
        <v>1525</v>
      </c>
      <c r="B1528" s="346" t="s">
        <v>274</v>
      </c>
      <c r="C1528" s="347">
        <v>1304.19</v>
      </c>
      <c r="D1528" s="348">
        <v>46388</v>
      </c>
      <c r="E1528" s="348">
        <v>46722</v>
      </c>
      <c r="F1528" s="346" t="s">
        <v>637</v>
      </c>
      <c r="G1528" s="350" t="s">
        <v>443</v>
      </c>
      <c r="H1528" s="351">
        <f t="shared" si="26"/>
        <v>15650.28</v>
      </c>
      <c r="I1528" s="120" t="str">
        <f>IF(OR(D1528&lt;Capa!$A$5,D1528&gt;Capa!$A$7,E1528&lt;Capa!$A$5,E1528&gt;Capa!$A$7,D1528&gt;E1528),"Erro","")</f>
        <v/>
      </c>
    </row>
    <row r="1529" spans="1:9" ht="22.5">
      <c r="A1529" s="345">
        <v>1526</v>
      </c>
      <c r="B1529" s="346" t="s">
        <v>274</v>
      </c>
      <c r="C1529" s="347">
        <v>1380.35</v>
      </c>
      <c r="D1529" s="348">
        <v>46753</v>
      </c>
      <c r="E1529" s="348">
        <v>47058</v>
      </c>
      <c r="F1529" s="346" t="s">
        <v>637</v>
      </c>
      <c r="G1529" s="350" t="s">
        <v>443</v>
      </c>
      <c r="H1529" s="351">
        <f t="shared" si="26"/>
        <v>15183.849999999999</v>
      </c>
      <c r="I1529" s="120" t="str">
        <f>IF(OR(D1529&lt;Capa!$A$5,D1529&gt;Capa!$A$7,E1529&lt;Capa!$A$5,E1529&gt;Capa!$A$7,D1529&gt;E1529),"Erro","")</f>
        <v/>
      </c>
    </row>
    <row r="1530" spans="1:9" ht="56.25">
      <c r="A1530" s="345">
        <v>1527</v>
      </c>
      <c r="B1530" s="346" t="s">
        <v>236</v>
      </c>
      <c r="C1530" s="347">
        <v>690.19</v>
      </c>
      <c r="D1530" s="348">
        <v>45292</v>
      </c>
      <c r="E1530" s="348">
        <v>45627</v>
      </c>
      <c r="F1530" s="346" t="s">
        <v>637</v>
      </c>
      <c r="G1530" s="350" t="s">
        <v>444</v>
      </c>
      <c r="H1530" s="351">
        <f t="shared" si="26"/>
        <v>8282.2800000000007</v>
      </c>
      <c r="I1530" s="120" t="str">
        <f>IF(OR(D1530&lt;Capa!$A$5,D1530&gt;Capa!$A$7,E1530&lt;Capa!$A$5,E1530&gt;Capa!$A$7,D1530&gt;E1530),"Erro","")</f>
        <v/>
      </c>
    </row>
    <row r="1531" spans="1:9" ht="56.25">
      <c r="A1531" s="345">
        <v>1528</v>
      </c>
      <c r="B1531" s="346" t="s">
        <v>236</v>
      </c>
      <c r="C1531" s="347">
        <v>760.49</v>
      </c>
      <c r="D1531" s="348">
        <v>45658</v>
      </c>
      <c r="E1531" s="348">
        <v>45992</v>
      </c>
      <c r="F1531" s="346" t="s">
        <v>637</v>
      </c>
      <c r="G1531" s="350" t="s">
        <v>444</v>
      </c>
      <c r="H1531" s="351">
        <f t="shared" si="26"/>
        <v>9125.880000000001</v>
      </c>
      <c r="I1531" s="120" t="str">
        <f>IF(OR(D1531&lt;Capa!$A$5,D1531&gt;Capa!$A$7,E1531&lt;Capa!$A$5,E1531&gt;Capa!$A$7,D1531&gt;E1531),"Erro","")</f>
        <v/>
      </c>
    </row>
    <row r="1532" spans="1:9" ht="56.25">
      <c r="A1532" s="345">
        <v>1529</v>
      </c>
      <c r="B1532" s="346" t="s">
        <v>236</v>
      </c>
      <c r="C1532" s="347">
        <v>773.16</v>
      </c>
      <c r="D1532" s="348">
        <v>46023</v>
      </c>
      <c r="E1532" s="348">
        <v>46357</v>
      </c>
      <c r="F1532" s="346" t="s">
        <v>637</v>
      </c>
      <c r="G1532" s="350" t="s">
        <v>444</v>
      </c>
      <c r="H1532" s="351">
        <f t="shared" si="26"/>
        <v>9277.92</v>
      </c>
      <c r="I1532" s="120" t="str">
        <f>IF(OR(D1532&lt;Capa!$A$5,D1532&gt;Capa!$A$7,E1532&lt;Capa!$A$5,E1532&gt;Capa!$A$7,D1532&gt;E1532),"Erro","")</f>
        <v/>
      </c>
    </row>
    <row r="1533" spans="1:9" ht="56.25">
      <c r="A1533" s="345">
        <v>1530</v>
      </c>
      <c r="B1533" s="346" t="s">
        <v>236</v>
      </c>
      <c r="C1533" s="347">
        <v>818.31</v>
      </c>
      <c r="D1533" s="348">
        <v>46388</v>
      </c>
      <c r="E1533" s="348">
        <v>46722</v>
      </c>
      <c r="F1533" s="346" t="s">
        <v>637</v>
      </c>
      <c r="G1533" s="350" t="s">
        <v>444</v>
      </c>
      <c r="H1533" s="351">
        <f t="shared" si="26"/>
        <v>9819.7199999999993</v>
      </c>
      <c r="I1533" s="120" t="str">
        <f>IF(OR(D1533&lt;Capa!$A$5,D1533&gt;Capa!$A$7,E1533&lt;Capa!$A$5,E1533&gt;Capa!$A$7,D1533&gt;E1533),"Erro","")</f>
        <v/>
      </c>
    </row>
    <row r="1534" spans="1:9" ht="56.25">
      <c r="A1534" s="345">
        <v>1531</v>
      </c>
      <c r="B1534" s="346" t="s">
        <v>236</v>
      </c>
      <c r="C1534" s="347">
        <v>866.09</v>
      </c>
      <c r="D1534" s="348">
        <v>46753</v>
      </c>
      <c r="E1534" s="348">
        <v>47058</v>
      </c>
      <c r="F1534" s="346" t="s">
        <v>637</v>
      </c>
      <c r="G1534" s="350" t="s">
        <v>444</v>
      </c>
      <c r="H1534" s="351">
        <f t="shared" si="26"/>
        <v>9526.99</v>
      </c>
      <c r="I1534" s="120" t="str">
        <f>IF(OR(D1534&lt;Capa!$A$5,D1534&gt;Capa!$A$7,E1534&lt;Capa!$A$5,E1534&gt;Capa!$A$7,D1534&gt;E1534),"Erro","")</f>
        <v/>
      </c>
    </row>
    <row r="1535" spans="1:9" ht="33.75">
      <c r="A1535" s="345">
        <v>1532</v>
      </c>
      <c r="B1535" s="346" t="s">
        <v>240</v>
      </c>
      <c r="C1535" s="347">
        <v>50</v>
      </c>
      <c r="D1535" s="348">
        <v>45292</v>
      </c>
      <c r="E1535" s="348">
        <v>45627</v>
      </c>
      <c r="F1535" s="346" t="s">
        <v>637</v>
      </c>
      <c r="G1535" s="350" t="s">
        <v>445</v>
      </c>
      <c r="H1535" s="351">
        <f t="shared" si="26"/>
        <v>600</v>
      </c>
      <c r="I1535" s="120" t="str">
        <f>IF(OR(D1535&lt;Capa!$A$5,D1535&gt;Capa!$A$7,E1535&lt;Capa!$A$5,E1535&gt;Capa!$A$7,D1535&gt;E1535),"Erro","")</f>
        <v/>
      </c>
    </row>
    <row r="1536" spans="1:9" ht="33.75">
      <c r="A1536" s="345">
        <v>1533</v>
      </c>
      <c r="B1536" s="346" t="s">
        <v>240</v>
      </c>
      <c r="C1536" s="347">
        <v>50</v>
      </c>
      <c r="D1536" s="348">
        <v>45658</v>
      </c>
      <c r="E1536" s="348">
        <v>45992</v>
      </c>
      <c r="F1536" s="346" t="s">
        <v>637</v>
      </c>
      <c r="G1536" s="350" t="s">
        <v>445</v>
      </c>
      <c r="H1536" s="351">
        <f t="shared" si="26"/>
        <v>600</v>
      </c>
      <c r="I1536" s="120" t="str">
        <f>IF(OR(D1536&lt;Capa!$A$5,D1536&gt;Capa!$A$7,E1536&lt;Capa!$A$5,E1536&gt;Capa!$A$7,D1536&gt;E1536),"Erro","")</f>
        <v/>
      </c>
    </row>
    <row r="1537" spans="1:9" ht="33.75">
      <c r="A1537" s="345">
        <v>1534</v>
      </c>
      <c r="B1537" s="346" t="s">
        <v>240</v>
      </c>
      <c r="C1537" s="347">
        <v>50</v>
      </c>
      <c r="D1537" s="348">
        <v>46023</v>
      </c>
      <c r="E1537" s="348">
        <v>46357</v>
      </c>
      <c r="F1537" s="346" t="s">
        <v>637</v>
      </c>
      <c r="G1537" s="350" t="s">
        <v>445</v>
      </c>
      <c r="H1537" s="351">
        <f t="shared" si="26"/>
        <v>600</v>
      </c>
      <c r="I1537" s="120" t="str">
        <f>IF(OR(D1537&lt;Capa!$A$5,D1537&gt;Capa!$A$7,E1537&lt;Capa!$A$5,E1537&gt;Capa!$A$7,D1537&gt;E1537),"Erro","")</f>
        <v/>
      </c>
    </row>
    <row r="1538" spans="1:9" ht="33.75">
      <c r="A1538" s="345">
        <v>1535</v>
      </c>
      <c r="B1538" s="346" t="s">
        <v>240</v>
      </c>
      <c r="C1538" s="347">
        <v>50</v>
      </c>
      <c r="D1538" s="348">
        <v>46388</v>
      </c>
      <c r="E1538" s="348">
        <v>46722</v>
      </c>
      <c r="F1538" s="346" t="s">
        <v>637</v>
      </c>
      <c r="G1538" s="350" t="s">
        <v>445</v>
      </c>
      <c r="H1538" s="351">
        <f t="shared" si="26"/>
        <v>600</v>
      </c>
      <c r="I1538" s="120" t="str">
        <f>IF(OR(D1538&lt;Capa!$A$5,D1538&gt;Capa!$A$7,E1538&lt;Capa!$A$5,E1538&gt;Capa!$A$7,D1538&gt;E1538),"Erro","")</f>
        <v/>
      </c>
    </row>
    <row r="1539" spans="1:9" ht="33.75">
      <c r="A1539" s="345">
        <v>1536</v>
      </c>
      <c r="B1539" s="346" t="s">
        <v>240</v>
      </c>
      <c r="C1539" s="347">
        <v>50</v>
      </c>
      <c r="D1539" s="348">
        <v>46753</v>
      </c>
      <c r="E1539" s="348">
        <v>47058</v>
      </c>
      <c r="F1539" s="346" t="s">
        <v>637</v>
      </c>
      <c r="G1539" s="350" t="s">
        <v>445</v>
      </c>
      <c r="H1539" s="351">
        <f t="shared" si="26"/>
        <v>550</v>
      </c>
      <c r="I1539" s="120" t="str">
        <f>IF(OR(D1539&lt;Capa!$A$5,D1539&gt;Capa!$A$7,E1539&lt;Capa!$A$5,E1539&gt;Capa!$A$7,D1539&gt;E1539),"Erro","")</f>
        <v/>
      </c>
    </row>
    <row r="1540" spans="1:9" ht="45">
      <c r="A1540" s="345">
        <v>1537</v>
      </c>
      <c r="B1540" s="346" t="s">
        <v>244</v>
      </c>
      <c r="C1540" s="347">
        <v>250</v>
      </c>
      <c r="D1540" s="348">
        <v>45261</v>
      </c>
      <c r="E1540" s="348">
        <v>45627</v>
      </c>
      <c r="F1540" s="346" t="s">
        <v>637</v>
      </c>
      <c r="G1540" s="350" t="s">
        <v>446</v>
      </c>
      <c r="H1540" s="351">
        <f t="shared" si="26"/>
        <v>3250</v>
      </c>
      <c r="I1540" s="120" t="str">
        <f>IF(OR(D1540&lt;Capa!$A$5,D1540&gt;Capa!$A$7,E1540&lt;Capa!$A$5,E1540&gt;Capa!$A$7,D1540&gt;E1540),"Erro","")</f>
        <v/>
      </c>
    </row>
    <row r="1541" spans="1:9" ht="45">
      <c r="A1541" s="345">
        <v>1538</v>
      </c>
      <c r="B1541" s="346" t="s">
        <v>244</v>
      </c>
      <c r="C1541" s="347">
        <v>300</v>
      </c>
      <c r="D1541" s="348">
        <v>45658</v>
      </c>
      <c r="E1541" s="348">
        <v>45992</v>
      </c>
      <c r="F1541" s="346" t="s">
        <v>637</v>
      </c>
      <c r="G1541" s="350" t="s">
        <v>446</v>
      </c>
      <c r="H1541" s="351">
        <f t="shared" si="26"/>
        <v>3600</v>
      </c>
      <c r="I1541" s="120" t="str">
        <f>IF(OR(D1541&lt;Capa!$A$5,D1541&gt;Capa!$A$7,E1541&lt;Capa!$A$5,E1541&gt;Capa!$A$7,D1541&gt;E1541),"Erro","")</f>
        <v/>
      </c>
    </row>
    <row r="1542" spans="1:9" ht="45">
      <c r="A1542" s="345">
        <v>1539</v>
      </c>
      <c r="B1542" s="346" t="s">
        <v>244</v>
      </c>
      <c r="C1542" s="347">
        <v>300</v>
      </c>
      <c r="D1542" s="348">
        <v>46023</v>
      </c>
      <c r="E1542" s="348">
        <v>46357</v>
      </c>
      <c r="F1542" s="346" t="s">
        <v>637</v>
      </c>
      <c r="G1542" s="350" t="s">
        <v>446</v>
      </c>
      <c r="H1542" s="351">
        <f t="shared" si="26"/>
        <v>3600</v>
      </c>
      <c r="I1542" s="120" t="str">
        <f>IF(OR(D1542&lt;Capa!$A$5,D1542&gt;Capa!$A$7,E1542&lt;Capa!$A$5,E1542&gt;Capa!$A$7,D1542&gt;E1542),"Erro","")</f>
        <v/>
      </c>
    </row>
    <row r="1543" spans="1:9" ht="45">
      <c r="A1543" s="345">
        <v>1540</v>
      </c>
      <c r="B1543" s="346" t="s">
        <v>244</v>
      </c>
      <c r="C1543" s="347">
        <v>350</v>
      </c>
      <c r="D1543" s="348">
        <v>46388</v>
      </c>
      <c r="E1543" s="348">
        <v>46722</v>
      </c>
      <c r="F1543" s="346" t="s">
        <v>637</v>
      </c>
      <c r="G1543" s="350" t="s">
        <v>446</v>
      </c>
      <c r="H1543" s="351">
        <f t="shared" si="26"/>
        <v>4200</v>
      </c>
      <c r="I1543" s="120" t="str">
        <f>IF(OR(D1543&lt;Capa!$A$5,D1543&gt;Capa!$A$7,E1543&lt;Capa!$A$5,E1543&gt;Capa!$A$7,D1543&gt;E1543),"Erro","")</f>
        <v/>
      </c>
    </row>
    <row r="1544" spans="1:9" ht="45">
      <c r="A1544" s="345">
        <v>1541</v>
      </c>
      <c r="B1544" s="346" t="s">
        <v>244</v>
      </c>
      <c r="C1544" s="347">
        <v>350</v>
      </c>
      <c r="D1544" s="348">
        <v>46753</v>
      </c>
      <c r="E1544" s="348">
        <v>47058</v>
      </c>
      <c r="F1544" s="346" t="s">
        <v>637</v>
      </c>
      <c r="G1544" s="350" t="s">
        <v>446</v>
      </c>
      <c r="H1544" s="351">
        <f t="shared" si="26"/>
        <v>3850</v>
      </c>
      <c r="I1544" s="120" t="str">
        <f>IF(OR(D1544&lt;Capa!$A$5,D1544&gt;Capa!$A$7,E1544&lt;Capa!$A$5,E1544&gt;Capa!$A$7,D1544&gt;E1544),"Erro","")</f>
        <v/>
      </c>
    </row>
    <row r="1545" spans="1:9" ht="33.75">
      <c r="A1545" s="345">
        <v>1542</v>
      </c>
      <c r="B1545" s="346" t="s">
        <v>246</v>
      </c>
      <c r="C1545" s="347">
        <v>275.18</v>
      </c>
      <c r="D1545" s="348">
        <v>45658</v>
      </c>
      <c r="E1545" s="348">
        <v>45992</v>
      </c>
      <c r="F1545" s="346" t="s">
        <v>637</v>
      </c>
      <c r="G1545" s="350" t="s">
        <v>447</v>
      </c>
      <c r="H1545" s="351">
        <f t="shared" si="26"/>
        <v>3302.16</v>
      </c>
      <c r="I1545" s="120" t="str">
        <f>IF(OR(D1545&lt;Capa!$A$5,D1545&gt;Capa!$A$7,E1545&lt;Capa!$A$5,E1545&gt;Capa!$A$7,D1545&gt;E1545),"Erro","")</f>
        <v/>
      </c>
    </row>
    <row r="1546" spans="1:9" ht="33.75">
      <c r="A1546" s="345">
        <v>1543</v>
      </c>
      <c r="B1546" s="346" t="s">
        <v>246</v>
      </c>
      <c r="C1546" s="347">
        <v>291.25</v>
      </c>
      <c r="D1546" s="348">
        <v>46023</v>
      </c>
      <c r="E1546" s="348">
        <v>46357</v>
      </c>
      <c r="F1546" s="346" t="s">
        <v>637</v>
      </c>
      <c r="G1546" s="350" t="s">
        <v>447</v>
      </c>
      <c r="H1546" s="351">
        <f t="shared" si="26"/>
        <v>3495</v>
      </c>
      <c r="I1546" s="120" t="str">
        <f>IF(OR(D1546&lt;Capa!$A$5,D1546&gt;Capa!$A$7,E1546&lt;Capa!$A$5,E1546&gt;Capa!$A$7,D1546&gt;E1546),"Erro","")</f>
        <v/>
      </c>
    </row>
    <row r="1547" spans="1:9" ht="33.75">
      <c r="A1547" s="345">
        <v>1544</v>
      </c>
      <c r="B1547" s="346" t="s">
        <v>246</v>
      </c>
      <c r="C1547" s="347">
        <v>308.26</v>
      </c>
      <c r="D1547" s="348">
        <v>46388</v>
      </c>
      <c r="E1547" s="348">
        <v>46722</v>
      </c>
      <c r="F1547" s="346" t="s">
        <v>637</v>
      </c>
      <c r="G1547" s="350" t="s">
        <v>447</v>
      </c>
      <c r="H1547" s="351">
        <f t="shared" si="26"/>
        <v>3699.12</v>
      </c>
      <c r="I1547" s="120" t="str">
        <f>IF(OR(D1547&lt;Capa!$A$5,D1547&gt;Capa!$A$7,E1547&lt;Capa!$A$5,E1547&gt;Capa!$A$7,D1547&gt;E1547),"Erro","")</f>
        <v/>
      </c>
    </row>
    <row r="1548" spans="1:9" ht="33.75">
      <c r="A1548" s="345">
        <v>1545</v>
      </c>
      <c r="B1548" s="346" t="s">
        <v>246</v>
      </c>
      <c r="C1548" s="347">
        <v>326.26</v>
      </c>
      <c r="D1548" s="348">
        <v>46753</v>
      </c>
      <c r="E1548" s="348">
        <v>47058</v>
      </c>
      <c r="F1548" s="346" t="s">
        <v>637</v>
      </c>
      <c r="G1548" s="350" t="s">
        <v>447</v>
      </c>
      <c r="H1548" s="351">
        <f t="shared" si="26"/>
        <v>3588.8599999999997</v>
      </c>
      <c r="I1548" s="120" t="str">
        <f>IF(OR(D1548&lt;Capa!$A$5,D1548&gt;Capa!$A$7,E1548&lt;Capa!$A$5,E1548&gt;Capa!$A$7,D1548&gt;E1548),"Erro","")</f>
        <v/>
      </c>
    </row>
    <row r="1549" spans="1:9" ht="33.75">
      <c r="A1549" s="345">
        <v>1546</v>
      </c>
      <c r="B1549" s="346" t="s">
        <v>258</v>
      </c>
      <c r="C1549" s="347">
        <v>193.77</v>
      </c>
      <c r="D1549" s="348">
        <v>45261</v>
      </c>
      <c r="E1549" s="348">
        <v>45627</v>
      </c>
      <c r="F1549" s="346" t="s">
        <v>637</v>
      </c>
      <c r="G1549" s="350" t="s">
        <v>448</v>
      </c>
      <c r="H1549" s="351">
        <f t="shared" si="26"/>
        <v>2519.0100000000002</v>
      </c>
      <c r="I1549" s="120" t="str">
        <f>IF(OR(D1549&lt;Capa!$A$5,D1549&gt;Capa!$A$7,E1549&lt;Capa!$A$5,E1549&gt;Capa!$A$7,D1549&gt;E1549),"Erro","")</f>
        <v/>
      </c>
    </row>
    <row r="1550" spans="1:9" ht="33.75">
      <c r="A1550" s="345">
        <v>1547</v>
      </c>
      <c r="B1550" s="346" t="s">
        <v>258</v>
      </c>
      <c r="C1550" s="347">
        <v>205.08</v>
      </c>
      <c r="D1550" s="348">
        <v>45658</v>
      </c>
      <c r="E1550" s="348">
        <v>45992</v>
      </c>
      <c r="F1550" s="346" t="s">
        <v>637</v>
      </c>
      <c r="G1550" s="350" t="s">
        <v>448</v>
      </c>
      <c r="H1550" s="351">
        <f t="shared" si="26"/>
        <v>2460.96</v>
      </c>
      <c r="I1550" s="120" t="str">
        <f>IF(OR(D1550&lt;Capa!$A$5,D1550&gt;Capa!$A$7,E1550&lt;Capa!$A$5,E1550&gt;Capa!$A$7,D1550&gt;E1550),"Erro","")</f>
        <v/>
      </c>
    </row>
    <row r="1551" spans="1:9" ht="33.75">
      <c r="A1551" s="345">
        <v>1548</v>
      </c>
      <c r="B1551" s="346" t="s">
        <v>258</v>
      </c>
      <c r="C1551" s="347">
        <v>217.06</v>
      </c>
      <c r="D1551" s="348">
        <v>46023</v>
      </c>
      <c r="E1551" s="348">
        <v>46357</v>
      </c>
      <c r="F1551" s="346" t="s">
        <v>637</v>
      </c>
      <c r="G1551" s="350" t="s">
        <v>448</v>
      </c>
      <c r="H1551" s="351">
        <f t="shared" si="26"/>
        <v>2604.7200000000003</v>
      </c>
      <c r="I1551" s="120" t="str">
        <f>IF(OR(D1551&lt;Capa!$A$5,D1551&gt;Capa!$A$7,E1551&lt;Capa!$A$5,E1551&gt;Capa!$A$7,D1551&gt;E1551),"Erro","")</f>
        <v/>
      </c>
    </row>
    <row r="1552" spans="1:9" ht="33.75">
      <c r="A1552" s="345">
        <v>1549</v>
      </c>
      <c r="B1552" s="346" t="s">
        <v>258</v>
      </c>
      <c r="C1552" s="347">
        <v>229.74</v>
      </c>
      <c r="D1552" s="348">
        <v>46388</v>
      </c>
      <c r="E1552" s="348">
        <v>46722</v>
      </c>
      <c r="F1552" s="346" t="s">
        <v>637</v>
      </c>
      <c r="G1552" s="350" t="s">
        <v>448</v>
      </c>
      <c r="H1552" s="351">
        <f t="shared" si="26"/>
        <v>2756.88</v>
      </c>
      <c r="I1552" s="120" t="str">
        <f>IF(OR(D1552&lt;Capa!$A$5,D1552&gt;Capa!$A$7,E1552&lt;Capa!$A$5,E1552&gt;Capa!$A$7,D1552&gt;E1552),"Erro","")</f>
        <v/>
      </c>
    </row>
    <row r="1553" spans="1:9" ht="33.75">
      <c r="A1553" s="345">
        <v>1550</v>
      </c>
      <c r="B1553" s="346" t="s">
        <v>258</v>
      </c>
      <c r="C1553" s="347">
        <v>243.16</v>
      </c>
      <c r="D1553" s="348">
        <v>46753</v>
      </c>
      <c r="E1553" s="348">
        <v>47058</v>
      </c>
      <c r="F1553" s="346" t="s">
        <v>637</v>
      </c>
      <c r="G1553" s="350" t="s">
        <v>448</v>
      </c>
      <c r="H1553" s="351">
        <f t="shared" si="26"/>
        <v>2674.7599999999998</v>
      </c>
      <c r="I1553" s="120" t="str">
        <f>IF(OR(D1553&lt;Capa!$A$5,D1553&gt;Capa!$A$7,E1553&lt;Capa!$A$5,E1553&gt;Capa!$A$7,D1553&gt;E1553),"Erro","")</f>
        <v/>
      </c>
    </row>
    <row r="1554" spans="1:9" ht="56.25">
      <c r="A1554" s="345">
        <v>1551</v>
      </c>
      <c r="B1554" s="346" t="s">
        <v>276</v>
      </c>
      <c r="C1554" s="347">
        <v>670</v>
      </c>
      <c r="D1554" s="348">
        <v>45658</v>
      </c>
      <c r="E1554" s="348">
        <v>45992</v>
      </c>
      <c r="F1554" s="346" t="s">
        <v>637</v>
      </c>
      <c r="G1554" s="350" t="s">
        <v>449</v>
      </c>
      <c r="H1554" s="351">
        <f t="shared" si="26"/>
        <v>8040</v>
      </c>
      <c r="I1554" s="120" t="str">
        <f>IF(OR(D1554&lt;Capa!$A$5,D1554&gt;Capa!$A$7,E1554&lt;Capa!$A$5,E1554&gt;Capa!$A$7,D1554&gt;E1554),"Erro","")</f>
        <v/>
      </c>
    </row>
    <row r="1555" spans="1:9" ht="56.25">
      <c r="A1555" s="345">
        <v>1552</v>
      </c>
      <c r="B1555" s="346" t="s">
        <v>276</v>
      </c>
      <c r="C1555" s="347">
        <v>670</v>
      </c>
      <c r="D1555" s="348">
        <v>46023</v>
      </c>
      <c r="E1555" s="348">
        <v>46357</v>
      </c>
      <c r="F1555" s="346" t="s">
        <v>637</v>
      </c>
      <c r="G1555" s="350" t="s">
        <v>449</v>
      </c>
      <c r="H1555" s="351">
        <f t="shared" si="26"/>
        <v>8040</v>
      </c>
      <c r="I1555" s="120" t="str">
        <f>IF(OR(D1555&lt;Capa!$A$5,D1555&gt;Capa!$A$7,E1555&lt;Capa!$A$5,E1555&gt;Capa!$A$7,D1555&gt;E1555),"Erro","")</f>
        <v/>
      </c>
    </row>
    <row r="1556" spans="1:9" ht="56.25">
      <c r="A1556" s="345">
        <v>1553</v>
      </c>
      <c r="B1556" s="346" t="s">
        <v>276</v>
      </c>
      <c r="C1556" s="347">
        <v>670</v>
      </c>
      <c r="D1556" s="348">
        <v>46388</v>
      </c>
      <c r="E1556" s="348">
        <v>46722</v>
      </c>
      <c r="F1556" s="346" t="s">
        <v>637</v>
      </c>
      <c r="G1556" s="350" t="s">
        <v>449</v>
      </c>
      <c r="H1556" s="351">
        <f t="shared" si="26"/>
        <v>8040</v>
      </c>
      <c r="I1556" s="120" t="str">
        <f>IF(OR(D1556&lt;Capa!$A$5,D1556&gt;Capa!$A$7,E1556&lt;Capa!$A$5,E1556&gt;Capa!$A$7,D1556&gt;E1556),"Erro","")</f>
        <v/>
      </c>
    </row>
    <row r="1557" spans="1:9" ht="56.25">
      <c r="A1557" s="345">
        <v>1554</v>
      </c>
      <c r="B1557" s="346" t="s">
        <v>276</v>
      </c>
      <c r="C1557" s="347">
        <v>670</v>
      </c>
      <c r="D1557" s="348">
        <v>46753</v>
      </c>
      <c r="E1557" s="348">
        <v>47058</v>
      </c>
      <c r="F1557" s="346" t="s">
        <v>637</v>
      </c>
      <c r="G1557" s="350" t="s">
        <v>449</v>
      </c>
      <c r="H1557" s="351">
        <f t="shared" si="26"/>
        <v>7370</v>
      </c>
      <c r="I1557" s="120" t="str">
        <f>IF(OR(D1557&lt;Capa!$A$5,D1557&gt;Capa!$A$7,E1557&lt;Capa!$A$5,E1557&gt;Capa!$A$7,D1557&gt;E1557),"Erro","")</f>
        <v/>
      </c>
    </row>
    <row r="1558" spans="1:9" ht="45">
      <c r="A1558" s="345">
        <v>1555</v>
      </c>
      <c r="B1558" s="346" t="s">
        <v>278</v>
      </c>
      <c r="C1558" s="347">
        <v>18000</v>
      </c>
      <c r="D1558" s="348">
        <v>45261</v>
      </c>
      <c r="E1558" s="348">
        <v>45261</v>
      </c>
      <c r="F1558" s="346" t="s">
        <v>637</v>
      </c>
      <c r="G1558" s="350" t="s">
        <v>450</v>
      </c>
      <c r="H1558" s="351">
        <f t="shared" si="26"/>
        <v>18000</v>
      </c>
      <c r="I1558" s="120" t="str">
        <f>IF(OR(D1558&lt;Capa!$A$5,D1558&gt;Capa!$A$7,E1558&lt;Capa!$A$5,E1558&gt;Capa!$A$7,D1558&gt;E1558),"Erro","")</f>
        <v/>
      </c>
    </row>
    <row r="1559" spans="1:9" ht="45">
      <c r="A1559" s="345">
        <v>1556</v>
      </c>
      <c r="B1559" s="346" t="s">
        <v>278</v>
      </c>
      <c r="C1559" s="347">
        <v>41370</v>
      </c>
      <c r="D1559" s="348">
        <v>45292</v>
      </c>
      <c r="E1559" s="348">
        <v>45627</v>
      </c>
      <c r="F1559" s="346" t="s">
        <v>637</v>
      </c>
      <c r="G1559" s="350" t="s">
        <v>450</v>
      </c>
      <c r="H1559" s="351">
        <f t="shared" si="26"/>
        <v>496440</v>
      </c>
      <c r="I1559" s="120" t="str">
        <f>IF(OR(D1559&lt;Capa!$A$5,D1559&gt;Capa!$A$7,E1559&lt;Capa!$A$5,E1559&gt;Capa!$A$7,D1559&gt;E1559),"Erro","")</f>
        <v/>
      </c>
    </row>
    <row r="1560" spans="1:9" ht="45">
      <c r="A1560" s="345">
        <v>1557</v>
      </c>
      <c r="B1560" s="346" t="s">
        <v>278</v>
      </c>
      <c r="C1560" s="347">
        <v>43786</v>
      </c>
      <c r="D1560" s="348">
        <v>45658</v>
      </c>
      <c r="E1560" s="348">
        <v>45992</v>
      </c>
      <c r="F1560" s="346" t="s">
        <v>637</v>
      </c>
      <c r="G1560" s="350" t="s">
        <v>450</v>
      </c>
      <c r="H1560" s="351">
        <f t="shared" si="26"/>
        <v>525432</v>
      </c>
      <c r="I1560" s="120" t="str">
        <f>IF(OR(D1560&lt;Capa!$A$5,D1560&gt;Capa!$A$7,E1560&lt;Capa!$A$5,E1560&gt;Capa!$A$7,D1560&gt;E1560),"Erro","")</f>
        <v/>
      </c>
    </row>
    <row r="1561" spans="1:9" ht="45">
      <c r="A1561" s="345">
        <v>1558</v>
      </c>
      <c r="B1561" s="346" t="s">
        <v>278</v>
      </c>
      <c r="C1561" s="347">
        <v>45562</v>
      </c>
      <c r="D1561" s="348">
        <v>46023</v>
      </c>
      <c r="E1561" s="348">
        <v>46357</v>
      </c>
      <c r="F1561" s="346" t="s">
        <v>637</v>
      </c>
      <c r="G1561" s="350" t="s">
        <v>450</v>
      </c>
      <c r="H1561" s="351">
        <f t="shared" si="26"/>
        <v>546744</v>
      </c>
      <c r="I1561" s="120" t="str">
        <f>IF(OR(D1561&lt;Capa!$A$5,D1561&gt;Capa!$A$7,E1561&lt;Capa!$A$5,E1561&gt;Capa!$A$7,D1561&gt;E1561),"Erro","")</f>
        <v/>
      </c>
    </row>
    <row r="1562" spans="1:9" ht="45">
      <c r="A1562" s="345">
        <v>1559</v>
      </c>
      <c r="B1562" s="346" t="s">
        <v>278</v>
      </c>
      <c r="C1562" s="347">
        <v>48222.82</v>
      </c>
      <c r="D1562" s="348">
        <v>46388</v>
      </c>
      <c r="E1562" s="348">
        <v>46722</v>
      </c>
      <c r="F1562" s="346" t="s">
        <v>637</v>
      </c>
      <c r="G1562" s="350" t="s">
        <v>450</v>
      </c>
      <c r="H1562" s="351">
        <f t="shared" si="26"/>
        <v>578673.84</v>
      </c>
      <c r="I1562" s="120" t="str">
        <f>IF(OR(D1562&lt;Capa!$A$5,D1562&gt;Capa!$A$7,E1562&lt;Capa!$A$5,E1562&gt;Capa!$A$7,D1562&gt;E1562),"Erro","")</f>
        <v/>
      </c>
    </row>
    <row r="1563" spans="1:9" ht="45">
      <c r="A1563" s="345">
        <v>1560</v>
      </c>
      <c r="B1563" s="346" t="s">
        <v>278</v>
      </c>
      <c r="C1563" s="347">
        <v>51039.03</v>
      </c>
      <c r="D1563" s="348">
        <v>46753</v>
      </c>
      <c r="E1563" s="348">
        <v>47058</v>
      </c>
      <c r="F1563" s="346" t="s">
        <v>637</v>
      </c>
      <c r="G1563" s="350" t="s">
        <v>450</v>
      </c>
      <c r="H1563" s="351">
        <f t="shared" si="26"/>
        <v>561429.32999999996</v>
      </c>
      <c r="I1563" s="120" t="str">
        <f>IF(OR(D1563&lt;Capa!$A$5,D1563&gt;Capa!$A$7,E1563&lt;Capa!$A$5,E1563&gt;Capa!$A$7,D1563&gt;E1563),"Erro","")</f>
        <v/>
      </c>
    </row>
    <row r="1564" spans="1:9" ht="56.25">
      <c r="A1564" s="345">
        <v>1561</v>
      </c>
      <c r="B1564" s="346" t="s">
        <v>280</v>
      </c>
      <c r="C1564" s="347">
        <v>100</v>
      </c>
      <c r="D1564" s="348">
        <v>45261</v>
      </c>
      <c r="E1564" s="348">
        <v>47058</v>
      </c>
      <c r="F1564" s="346" t="s">
        <v>637</v>
      </c>
      <c r="G1564" s="350" t="s">
        <v>451</v>
      </c>
      <c r="H1564" s="351">
        <f t="shared" si="26"/>
        <v>6000</v>
      </c>
      <c r="I1564" s="120" t="str">
        <f>IF(OR(D1564&lt;Capa!$A$5,D1564&gt;Capa!$A$7,E1564&lt;Capa!$A$5,E1564&gt;Capa!$A$7,D1564&gt;E1564),"Erro","")</f>
        <v/>
      </c>
    </row>
    <row r="1565" spans="1:9" ht="45">
      <c r="A1565" s="345">
        <v>1562</v>
      </c>
      <c r="B1565" s="346" t="s">
        <v>282</v>
      </c>
      <c r="C1565" s="347">
        <v>702.18</v>
      </c>
      <c r="D1565" s="348">
        <v>45261</v>
      </c>
      <c r="E1565" s="348">
        <v>45627</v>
      </c>
      <c r="F1565" s="346" t="s">
        <v>637</v>
      </c>
      <c r="G1565" s="350" t="s">
        <v>452</v>
      </c>
      <c r="H1565" s="351">
        <f t="shared" si="26"/>
        <v>9128.34</v>
      </c>
      <c r="I1565" s="120" t="str">
        <f>IF(OR(D1565&lt;Capa!$A$5,D1565&gt;Capa!$A$7,E1565&lt;Capa!$A$5,E1565&gt;Capa!$A$7,D1565&gt;E1565),"Erro","")</f>
        <v/>
      </c>
    </row>
    <row r="1566" spans="1:9" ht="45">
      <c r="A1566" s="345">
        <v>1563</v>
      </c>
      <c r="B1566" s="346" t="s">
        <v>282</v>
      </c>
      <c r="C1566" s="347">
        <v>743.18</v>
      </c>
      <c r="D1566" s="348">
        <v>45658</v>
      </c>
      <c r="E1566" s="348">
        <v>45992</v>
      </c>
      <c r="F1566" s="346" t="s">
        <v>637</v>
      </c>
      <c r="G1566" s="350" t="s">
        <v>452</v>
      </c>
      <c r="H1566" s="351">
        <f t="shared" si="26"/>
        <v>8918.16</v>
      </c>
      <c r="I1566" s="120" t="str">
        <f>IF(OR(D1566&lt;Capa!$A$5,D1566&gt;Capa!$A$7,E1566&lt;Capa!$A$5,E1566&gt;Capa!$A$7,D1566&gt;E1566),"Erro","")</f>
        <v/>
      </c>
    </row>
    <row r="1567" spans="1:9" ht="45">
      <c r="A1567" s="345">
        <v>1564</v>
      </c>
      <c r="B1567" s="346" t="s">
        <v>282</v>
      </c>
      <c r="C1567" s="347">
        <v>786.59</v>
      </c>
      <c r="D1567" s="348">
        <v>46023</v>
      </c>
      <c r="E1567" s="348">
        <v>46357</v>
      </c>
      <c r="F1567" s="346" t="s">
        <v>637</v>
      </c>
      <c r="G1567" s="350" t="s">
        <v>452</v>
      </c>
      <c r="H1567" s="351">
        <f t="shared" si="26"/>
        <v>9439.08</v>
      </c>
      <c r="I1567" s="120" t="str">
        <f>IF(OR(D1567&lt;Capa!$A$5,D1567&gt;Capa!$A$7,E1567&lt;Capa!$A$5,E1567&gt;Capa!$A$7,D1567&gt;E1567),"Erro","")</f>
        <v/>
      </c>
    </row>
    <row r="1568" spans="1:9" ht="45">
      <c r="A1568" s="345">
        <v>1565</v>
      </c>
      <c r="B1568" s="346" t="s">
        <v>282</v>
      </c>
      <c r="C1568" s="347">
        <v>832.52</v>
      </c>
      <c r="D1568" s="348">
        <v>46388</v>
      </c>
      <c r="E1568" s="348">
        <v>46722</v>
      </c>
      <c r="F1568" s="346" t="s">
        <v>637</v>
      </c>
      <c r="G1568" s="350" t="s">
        <v>452</v>
      </c>
      <c r="H1568" s="351">
        <f t="shared" si="26"/>
        <v>9990.24</v>
      </c>
      <c r="I1568" s="120" t="str">
        <f>IF(OR(D1568&lt;Capa!$A$5,D1568&gt;Capa!$A$7,E1568&lt;Capa!$A$5,E1568&gt;Capa!$A$7,D1568&gt;E1568),"Erro","")</f>
        <v/>
      </c>
    </row>
    <row r="1569" spans="1:9" ht="45">
      <c r="A1569" s="345">
        <v>1566</v>
      </c>
      <c r="B1569" s="346" t="s">
        <v>282</v>
      </c>
      <c r="C1569" s="347">
        <v>881.14</v>
      </c>
      <c r="D1569" s="348">
        <v>46753</v>
      </c>
      <c r="E1569" s="348">
        <v>47058</v>
      </c>
      <c r="F1569" s="346" t="s">
        <v>637</v>
      </c>
      <c r="G1569" s="350" t="s">
        <v>452</v>
      </c>
      <c r="H1569" s="351">
        <f t="shared" ref="H1569:H1625" si="27">IFERROR((DATEDIF(D1569,E1569,"M")+1)*C1569,0)</f>
        <v>9692.5399999999991</v>
      </c>
      <c r="I1569" s="120" t="str">
        <f>IF(OR(D1569&lt;Capa!$A$5,D1569&gt;Capa!$A$7,E1569&lt;Capa!$A$5,E1569&gt;Capa!$A$7,D1569&gt;E1569),"Erro","")</f>
        <v/>
      </c>
    </row>
    <row r="1570" spans="1:9" ht="45">
      <c r="A1570" s="345">
        <v>1567</v>
      </c>
      <c r="B1570" s="346" t="s">
        <v>284</v>
      </c>
      <c r="C1570" s="347">
        <v>1013.31</v>
      </c>
      <c r="D1570" s="348">
        <v>45261</v>
      </c>
      <c r="E1570" s="348">
        <v>45627</v>
      </c>
      <c r="F1570" s="346" t="s">
        <v>637</v>
      </c>
      <c r="G1570" s="350" t="s">
        <v>452</v>
      </c>
      <c r="H1570" s="351">
        <f t="shared" si="27"/>
        <v>13173.029999999999</v>
      </c>
      <c r="I1570" s="120" t="str">
        <f>IF(OR(D1570&lt;Capa!$A$5,D1570&gt;Capa!$A$7,E1570&lt;Capa!$A$5,E1570&gt;Capa!$A$7,D1570&gt;E1570),"Erro","")</f>
        <v/>
      </c>
    </row>
    <row r="1571" spans="1:9" ht="45">
      <c r="A1571" s="345">
        <v>1568</v>
      </c>
      <c r="B1571" s="346" t="s">
        <v>284</v>
      </c>
      <c r="C1571" s="347">
        <v>1072.49</v>
      </c>
      <c r="D1571" s="348">
        <v>45658</v>
      </c>
      <c r="E1571" s="348">
        <v>45992</v>
      </c>
      <c r="F1571" s="346" t="s">
        <v>637</v>
      </c>
      <c r="G1571" s="350" t="s">
        <v>452</v>
      </c>
      <c r="H1571" s="351">
        <f t="shared" si="27"/>
        <v>12869.880000000001</v>
      </c>
      <c r="I1571" s="120" t="str">
        <f>IF(OR(D1571&lt;Capa!$A$5,D1571&gt;Capa!$A$7,E1571&lt;Capa!$A$5,E1571&gt;Capa!$A$7,D1571&gt;E1571),"Erro","")</f>
        <v/>
      </c>
    </row>
    <row r="1572" spans="1:9" ht="45">
      <c r="A1572" s="345">
        <v>1569</v>
      </c>
      <c r="B1572" s="346" t="s">
        <v>284</v>
      </c>
      <c r="C1572" s="347">
        <v>1135.1199999999999</v>
      </c>
      <c r="D1572" s="348">
        <v>46023</v>
      </c>
      <c r="E1572" s="348">
        <v>46357</v>
      </c>
      <c r="F1572" s="346" t="s">
        <v>637</v>
      </c>
      <c r="G1572" s="350" t="s">
        <v>452</v>
      </c>
      <c r="H1572" s="351">
        <f t="shared" si="27"/>
        <v>13621.439999999999</v>
      </c>
      <c r="I1572" s="120" t="str">
        <f>IF(OR(D1572&lt;Capa!$A$5,D1572&gt;Capa!$A$7,E1572&lt;Capa!$A$5,E1572&gt;Capa!$A$7,D1572&gt;E1572),"Erro","")</f>
        <v/>
      </c>
    </row>
    <row r="1573" spans="1:9" ht="45">
      <c r="A1573" s="345">
        <v>1570</v>
      </c>
      <c r="B1573" s="346" t="s">
        <v>284</v>
      </c>
      <c r="C1573" s="347">
        <v>1201.42</v>
      </c>
      <c r="D1573" s="348">
        <v>46388</v>
      </c>
      <c r="E1573" s="348">
        <v>46722</v>
      </c>
      <c r="F1573" s="346" t="s">
        <v>637</v>
      </c>
      <c r="G1573" s="350" t="s">
        <v>452</v>
      </c>
      <c r="H1573" s="351">
        <f t="shared" si="27"/>
        <v>14417.04</v>
      </c>
      <c r="I1573" s="120" t="str">
        <f>IF(OR(D1573&lt;Capa!$A$5,D1573&gt;Capa!$A$7,E1573&lt;Capa!$A$5,E1573&gt;Capa!$A$7,D1573&gt;E1573),"Erro","")</f>
        <v/>
      </c>
    </row>
    <row r="1574" spans="1:9" ht="45">
      <c r="A1574" s="345">
        <v>1571</v>
      </c>
      <c r="B1574" s="346" t="s">
        <v>284</v>
      </c>
      <c r="C1574" s="347">
        <v>1271.58</v>
      </c>
      <c r="D1574" s="348">
        <v>46753</v>
      </c>
      <c r="E1574" s="348">
        <v>47058</v>
      </c>
      <c r="F1574" s="346" t="s">
        <v>637</v>
      </c>
      <c r="G1574" s="350" t="s">
        <v>452</v>
      </c>
      <c r="H1574" s="351">
        <f t="shared" si="27"/>
        <v>13987.38</v>
      </c>
      <c r="I1574" s="120" t="str">
        <f>IF(OR(D1574&lt;Capa!$A$5,D1574&gt;Capa!$A$7,E1574&lt;Capa!$A$5,E1574&gt;Capa!$A$7,D1574&gt;E1574),"Erro","")</f>
        <v/>
      </c>
    </row>
    <row r="1575" spans="1:9" ht="45">
      <c r="A1575" s="345">
        <v>1572</v>
      </c>
      <c r="B1575" s="346" t="s">
        <v>286</v>
      </c>
      <c r="C1575" s="347">
        <v>1013.31</v>
      </c>
      <c r="D1575" s="348">
        <v>45261</v>
      </c>
      <c r="E1575" s="348">
        <v>45627</v>
      </c>
      <c r="F1575" s="346" t="s">
        <v>637</v>
      </c>
      <c r="G1575" s="350" t="s">
        <v>452</v>
      </c>
      <c r="H1575" s="351">
        <f t="shared" si="27"/>
        <v>13173.029999999999</v>
      </c>
      <c r="I1575" s="120" t="str">
        <f>IF(OR(D1575&lt;Capa!$A$5,D1575&gt;Capa!$A$7,E1575&lt;Capa!$A$5,E1575&gt;Capa!$A$7,D1575&gt;E1575),"Erro","")</f>
        <v/>
      </c>
    </row>
    <row r="1576" spans="1:9" ht="45">
      <c r="A1576" s="345">
        <v>1573</v>
      </c>
      <c r="B1576" s="346" t="s">
        <v>286</v>
      </c>
      <c r="C1576" s="347">
        <v>1072.49</v>
      </c>
      <c r="D1576" s="348">
        <v>45658</v>
      </c>
      <c r="E1576" s="348">
        <v>45992</v>
      </c>
      <c r="F1576" s="346" t="s">
        <v>637</v>
      </c>
      <c r="G1576" s="350" t="s">
        <v>452</v>
      </c>
      <c r="H1576" s="351">
        <f t="shared" si="27"/>
        <v>12869.880000000001</v>
      </c>
      <c r="I1576" s="120" t="str">
        <f>IF(OR(D1576&lt;Capa!$A$5,D1576&gt;Capa!$A$7,E1576&lt;Capa!$A$5,E1576&gt;Capa!$A$7,D1576&gt;E1576),"Erro","")</f>
        <v/>
      </c>
    </row>
    <row r="1577" spans="1:9" ht="45">
      <c r="A1577" s="345">
        <v>1574</v>
      </c>
      <c r="B1577" s="346" t="s">
        <v>286</v>
      </c>
      <c r="C1577" s="347">
        <v>1135.1199999999999</v>
      </c>
      <c r="D1577" s="348">
        <v>46023</v>
      </c>
      <c r="E1577" s="348">
        <v>46357</v>
      </c>
      <c r="F1577" s="346" t="s">
        <v>637</v>
      </c>
      <c r="G1577" s="350" t="s">
        <v>452</v>
      </c>
      <c r="H1577" s="351">
        <f t="shared" si="27"/>
        <v>13621.439999999999</v>
      </c>
      <c r="I1577" s="120" t="str">
        <f>IF(OR(D1577&lt;Capa!$A$5,D1577&gt;Capa!$A$7,E1577&lt;Capa!$A$5,E1577&gt;Capa!$A$7,D1577&gt;E1577),"Erro","")</f>
        <v/>
      </c>
    </row>
    <row r="1578" spans="1:9" ht="45">
      <c r="A1578" s="345">
        <v>1575</v>
      </c>
      <c r="B1578" s="346" t="s">
        <v>286</v>
      </c>
      <c r="C1578" s="347">
        <v>1201.4100000000001</v>
      </c>
      <c r="D1578" s="348">
        <v>46388</v>
      </c>
      <c r="E1578" s="348">
        <v>46722</v>
      </c>
      <c r="F1578" s="346" t="s">
        <v>637</v>
      </c>
      <c r="G1578" s="350" t="s">
        <v>452</v>
      </c>
      <c r="H1578" s="351">
        <f t="shared" si="27"/>
        <v>14416.920000000002</v>
      </c>
      <c r="I1578" s="120" t="str">
        <f>IF(OR(D1578&lt;Capa!$A$5,D1578&gt;Capa!$A$7,E1578&lt;Capa!$A$5,E1578&gt;Capa!$A$7,D1578&gt;E1578),"Erro","")</f>
        <v/>
      </c>
    </row>
    <row r="1579" spans="1:9" ht="45">
      <c r="A1579" s="345">
        <v>1576</v>
      </c>
      <c r="B1579" s="346" t="s">
        <v>286</v>
      </c>
      <c r="C1579" s="347">
        <v>1271.57</v>
      </c>
      <c r="D1579" s="348">
        <v>46753</v>
      </c>
      <c r="E1579" s="348">
        <v>47058</v>
      </c>
      <c r="F1579" s="346" t="s">
        <v>637</v>
      </c>
      <c r="G1579" s="350" t="s">
        <v>452</v>
      </c>
      <c r="H1579" s="351">
        <f t="shared" si="27"/>
        <v>13987.269999999999</v>
      </c>
      <c r="I1579" s="120" t="str">
        <f>IF(OR(D1579&lt;Capa!$A$5,D1579&gt;Capa!$A$7,E1579&lt;Capa!$A$5,E1579&gt;Capa!$A$7,D1579&gt;E1579),"Erro","")</f>
        <v/>
      </c>
    </row>
    <row r="1580" spans="1:9" ht="45">
      <c r="A1580" s="345">
        <v>1577</v>
      </c>
      <c r="B1580" s="346" t="s">
        <v>288</v>
      </c>
      <c r="C1580" s="347">
        <v>200</v>
      </c>
      <c r="D1580" s="348">
        <v>45261</v>
      </c>
      <c r="E1580" s="348">
        <v>45627</v>
      </c>
      <c r="F1580" s="346" t="s">
        <v>637</v>
      </c>
      <c r="G1580" s="350" t="s">
        <v>453</v>
      </c>
      <c r="H1580" s="351">
        <f t="shared" si="27"/>
        <v>2600</v>
      </c>
      <c r="I1580" s="120" t="str">
        <f>IF(OR(D1580&lt;Capa!$A$5,D1580&gt;Capa!$A$7,E1580&lt;Capa!$A$5,E1580&gt;Capa!$A$7,D1580&gt;E1580),"Erro","")</f>
        <v/>
      </c>
    </row>
    <row r="1581" spans="1:9" ht="45">
      <c r="A1581" s="345">
        <v>1578</v>
      </c>
      <c r="B1581" s="346" t="s">
        <v>288</v>
      </c>
      <c r="C1581" s="347">
        <v>200</v>
      </c>
      <c r="D1581" s="348">
        <v>45658</v>
      </c>
      <c r="E1581" s="348">
        <v>45992</v>
      </c>
      <c r="F1581" s="346" t="s">
        <v>637</v>
      </c>
      <c r="G1581" s="350" t="s">
        <v>453</v>
      </c>
      <c r="H1581" s="351">
        <f t="shared" si="27"/>
        <v>2400</v>
      </c>
      <c r="I1581" s="120" t="str">
        <f>IF(OR(D1581&lt;Capa!$A$5,D1581&gt;Capa!$A$7,E1581&lt;Capa!$A$5,E1581&gt;Capa!$A$7,D1581&gt;E1581),"Erro","")</f>
        <v/>
      </c>
    </row>
    <row r="1582" spans="1:9" ht="45">
      <c r="A1582" s="345">
        <v>1579</v>
      </c>
      <c r="B1582" s="346" t="s">
        <v>288</v>
      </c>
      <c r="C1582" s="347">
        <v>200</v>
      </c>
      <c r="D1582" s="348">
        <v>46023</v>
      </c>
      <c r="E1582" s="348">
        <v>46357</v>
      </c>
      <c r="F1582" s="346" t="s">
        <v>637</v>
      </c>
      <c r="G1582" s="350" t="s">
        <v>453</v>
      </c>
      <c r="H1582" s="351">
        <f t="shared" si="27"/>
        <v>2400</v>
      </c>
      <c r="I1582" s="120" t="str">
        <f>IF(OR(D1582&lt;Capa!$A$5,D1582&gt;Capa!$A$7,E1582&lt;Capa!$A$5,E1582&gt;Capa!$A$7,D1582&gt;E1582),"Erro","")</f>
        <v/>
      </c>
    </row>
    <row r="1583" spans="1:9" ht="45">
      <c r="A1583" s="345">
        <v>1580</v>
      </c>
      <c r="B1583" s="346" t="s">
        <v>288</v>
      </c>
      <c r="C1583" s="347">
        <v>200</v>
      </c>
      <c r="D1583" s="348">
        <v>46388</v>
      </c>
      <c r="E1583" s="348">
        <v>46722</v>
      </c>
      <c r="F1583" s="346" t="s">
        <v>637</v>
      </c>
      <c r="G1583" s="350" t="s">
        <v>453</v>
      </c>
      <c r="H1583" s="351">
        <f t="shared" si="27"/>
        <v>2400</v>
      </c>
      <c r="I1583" s="120" t="str">
        <f>IF(OR(D1583&lt;Capa!$A$5,D1583&gt;Capa!$A$7,E1583&lt;Capa!$A$5,E1583&gt;Capa!$A$7,D1583&gt;E1583),"Erro","")</f>
        <v/>
      </c>
    </row>
    <row r="1584" spans="1:9" ht="45">
      <c r="A1584" s="345">
        <v>1581</v>
      </c>
      <c r="B1584" s="346" t="s">
        <v>288</v>
      </c>
      <c r="C1584" s="347">
        <v>200</v>
      </c>
      <c r="D1584" s="348">
        <v>46753</v>
      </c>
      <c r="E1584" s="348">
        <v>47058</v>
      </c>
      <c r="F1584" s="346" t="s">
        <v>637</v>
      </c>
      <c r="G1584" s="350" t="s">
        <v>453</v>
      </c>
      <c r="H1584" s="351">
        <f t="shared" si="27"/>
        <v>2200</v>
      </c>
      <c r="I1584" s="120" t="str">
        <f>IF(OR(D1584&lt;Capa!$A$5,D1584&gt;Capa!$A$7,E1584&lt;Capa!$A$5,E1584&gt;Capa!$A$7,D1584&gt;E1584),"Erro","")</f>
        <v/>
      </c>
    </row>
    <row r="1585" spans="1:9" ht="33.75">
      <c r="A1585" s="345">
        <v>1582</v>
      </c>
      <c r="B1585" s="346" t="s">
        <v>294</v>
      </c>
      <c r="C1585" s="347">
        <v>7000</v>
      </c>
      <c r="D1585" s="348">
        <v>45261</v>
      </c>
      <c r="E1585" s="348">
        <v>45627</v>
      </c>
      <c r="F1585" s="346" t="s">
        <v>637</v>
      </c>
      <c r="G1585" s="350" t="s">
        <v>454</v>
      </c>
      <c r="H1585" s="351">
        <f t="shared" si="27"/>
        <v>91000</v>
      </c>
      <c r="I1585" s="120" t="str">
        <f>IF(OR(D1585&lt;Capa!$A$5,D1585&gt;Capa!$A$7,E1585&lt;Capa!$A$5,E1585&gt;Capa!$A$7,D1585&gt;E1585),"Erro","")</f>
        <v/>
      </c>
    </row>
    <row r="1586" spans="1:9" ht="33.75">
      <c r="A1586" s="345">
        <v>1583</v>
      </c>
      <c r="B1586" s="346" t="s">
        <v>294</v>
      </c>
      <c r="C1586" s="347">
        <v>7408.8</v>
      </c>
      <c r="D1586" s="348">
        <v>45658</v>
      </c>
      <c r="E1586" s="348">
        <v>45992</v>
      </c>
      <c r="F1586" s="346" t="s">
        <v>637</v>
      </c>
      <c r="G1586" s="350" t="s">
        <v>454</v>
      </c>
      <c r="H1586" s="351">
        <f t="shared" si="27"/>
        <v>88905.600000000006</v>
      </c>
      <c r="I1586" s="120" t="str">
        <f>IF(OR(D1586&lt;Capa!$A$5,D1586&gt;Capa!$A$7,E1586&lt;Capa!$A$5,E1586&gt;Capa!$A$7,D1586&gt;E1586),"Erro","")</f>
        <v/>
      </c>
    </row>
    <row r="1587" spans="1:9" ht="33.75">
      <c r="A1587" s="345">
        <v>1584</v>
      </c>
      <c r="B1587" s="346" t="s">
        <v>294</v>
      </c>
      <c r="C1587" s="347">
        <v>7847.65</v>
      </c>
      <c r="D1587" s="348">
        <v>46023</v>
      </c>
      <c r="E1587" s="348">
        <v>46357</v>
      </c>
      <c r="F1587" s="346" t="s">
        <v>637</v>
      </c>
      <c r="G1587" s="350" t="s">
        <v>454</v>
      </c>
      <c r="H1587" s="351">
        <f t="shared" si="27"/>
        <v>94171.799999999988</v>
      </c>
      <c r="I1587" s="120" t="str">
        <f>IF(OR(D1587&lt;Capa!$A$5,D1587&gt;Capa!$A$7,E1587&lt;Capa!$A$5,E1587&gt;Capa!$A$7,D1587&gt;E1587),"Erro","")</f>
        <v/>
      </c>
    </row>
    <row r="1588" spans="1:9" ht="33.75">
      <c r="A1588" s="345">
        <v>1585</v>
      </c>
      <c r="B1588" s="346" t="s">
        <v>294</v>
      </c>
      <c r="C1588" s="347">
        <v>8305.9500000000007</v>
      </c>
      <c r="D1588" s="348">
        <v>46388</v>
      </c>
      <c r="E1588" s="348">
        <v>46722</v>
      </c>
      <c r="F1588" s="346" t="s">
        <v>637</v>
      </c>
      <c r="G1588" s="350" t="s">
        <v>454</v>
      </c>
      <c r="H1588" s="351">
        <f t="shared" si="27"/>
        <v>99671.400000000009</v>
      </c>
      <c r="I1588" s="120" t="str">
        <f>IF(OR(D1588&lt;Capa!$A$5,D1588&gt;Capa!$A$7,E1588&lt;Capa!$A$5,E1588&gt;Capa!$A$7,D1588&gt;E1588),"Erro","")</f>
        <v/>
      </c>
    </row>
    <row r="1589" spans="1:9" ht="33.75">
      <c r="A1589" s="345">
        <v>1586</v>
      </c>
      <c r="B1589" s="346" t="s">
        <v>294</v>
      </c>
      <c r="C1589" s="347">
        <v>8791.02</v>
      </c>
      <c r="D1589" s="348">
        <v>46753</v>
      </c>
      <c r="E1589" s="348">
        <v>47058</v>
      </c>
      <c r="F1589" s="346" t="s">
        <v>637</v>
      </c>
      <c r="G1589" s="350" t="s">
        <v>454</v>
      </c>
      <c r="H1589" s="351">
        <f t="shared" si="27"/>
        <v>96701.22</v>
      </c>
      <c r="I1589" s="120" t="str">
        <f>IF(OR(D1589&lt;Capa!$A$5,D1589&gt;Capa!$A$7,E1589&lt;Capa!$A$5,E1589&gt;Capa!$A$7,D1589&gt;E1589),"Erro","")</f>
        <v/>
      </c>
    </row>
    <row r="1590" spans="1:9" ht="22.5">
      <c r="A1590" s="345">
        <v>1587</v>
      </c>
      <c r="B1590" s="346" t="s">
        <v>302</v>
      </c>
      <c r="C1590" s="347">
        <v>250</v>
      </c>
      <c r="D1590" s="348">
        <v>45261</v>
      </c>
      <c r="E1590" s="348">
        <v>45627</v>
      </c>
      <c r="F1590" s="346" t="s">
        <v>637</v>
      </c>
      <c r="G1590" s="350" t="s">
        <v>455</v>
      </c>
      <c r="H1590" s="351">
        <f t="shared" si="27"/>
        <v>3250</v>
      </c>
      <c r="I1590" s="120" t="str">
        <f>IF(OR(D1590&lt;Capa!$A$5,D1590&gt;Capa!$A$7,E1590&lt;Capa!$A$5,E1590&gt;Capa!$A$7,D1590&gt;E1590),"Erro","")</f>
        <v/>
      </c>
    </row>
    <row r="1591" spans="1:9" ht="22.5">
      <c r="A1591" s="345">
        <v>1588</v>
      </c>
      <c r="B1591" s="346" t="s">
        <v>302</v>
      </c>
      <c r="C1591" s="347">
        <v>210</v>
      </c>
      <c r="D1591" s="348">
        <v>45658</v>
      </c>
      <c r="E1591" s="348">
        <v>45992</v>
      </c>
      <c r="F1591" s="346" t="s">
        <v>637</v>
      </c>
      <c r="G1591" s="350" t="s">
        <v>455</v>
      </c>
      <c r="H1591" s="351">
        <f t="shared" si="27"/>
        <v>2520</v>
      </c>
      <c r="I1591" s="120" t="str">
        <f>IF(OR(D1591&lt;Capa!$A$5,D1591&gt;Capa!$A$7,E1591&lt;Capa!$A$5,E1591&gt;Capa!$A$7,D1591&gt;E1591),"Erro","")</f>
        <v/>
      </c>
    </row>
    <row r="1592" spans="1:9" ht="22.5">
      <c r="A1592" s="345">
        <v>1589</v>
      </c>
      <c r="B1592" s="346" t="s">
        <v>302</v>
      </c>
      <c r="C1592" s="347">
        <v>210</v>
      </c>
      <c r="D1592" s="348">
        <v>46023</v>
      </c>
      <c r="E1592" s="348">
        <v>46357</v>
      </c>
      <c r="F1592" s="346" t="s">
        <v>637</v>
      </c>
      <c r="G1592" s="350" t="s">
        <v>455</v>
      </c>
      <c r="H1592" s="351">
        <f t="shared" si="27"/>
        <v>2520</v>
      </c>
      <c r="I1592" s="120" t="str">
        <f>IF(OR(D1592&lt;Capa!$A$5,D1592&gt;Capa!$A$7,E1592&lt;Capa!$A$5,E1592&gt;Capa!$A$7,D1592&gt;E1592),"Erro","")</f>
        <v/>
      </c>
    </row>
    <row r="1593" spans="1:9" ht="22.5">
      <c r="A1593" s="345">
        <v>1590</v>
      </c>
      <c r="B1593" s="346" t="s">
        <v>302</v>
      </c>
      <c r="C1593" s="347">
        <v>210</v>
      </c>
      <c r="D1593" s="348">
        <v>46388</v>
      </c>
      <c r="E1593" s="348">
        <v>46722</v>
      </c>
      <c r="F1593" s="346" t="s">
        <v>637</v>
      </c>
      <c r="G1593" s="350" t="s">
        <v>455</v>
      </c>
      <c r="H1593" s="351">
        <f t="shared" si="27"/>
        <v>2520</v>
      </c>
      <c r="I1593" s="120" t="str">
        <f>IF(OR(D1593&lt;Capa!$A$5,D1593&gt;Capa!$A$7,E1593&lt;Capa!$A$5,E1593&gt;Capa!$A$7,D1593&gt;E1593),"Erro","")</f>
        <v/>
      </c>
    </row>
    <row r="1594" spans="1:9" ht="22.5">
      <c r="A1594" s="345">
        <v>1591</v>
      </c>
      <c r="B1594" s="346" t="s">
        <v>302</v>
      </c>
      <c r="C1594" s="347">
        <v>210</v>
      </c>
      <c r="D1594" s="348">
        <v>46753</v>
      </c>
      <c r="E1594" s="348">
        <v>47058</v>
      </c>
      <c r="F1594" s="346" t="s">
        <v>637</v>
      </c>
      <c r="G1594" s="350" t="s">
        <v>455</v>
      </c>
      <c r="H1594" s="351">
        <f t="shared" si="27"/>
        <v>2310</v>
      </c>
      <c r="I1594" s="120" t="str">
        <f>IF(OR(D1594&lt;Capa!$A$5,D1594&gt;Capa!$A$7,E1594&lt;Capa!$A$5,E1594&gt;Capa!$A$7,D1594&gt;E1594),"Erro","")</f>
        <v/>
      </c>
    </row>
    <row r="1595" spans="1:9" ht="33.75">
      <c r="A1595" s="345">
        <v>1592</v>
      </c>
      <c r="B1595" s="346" t="s">
        <v>304</v>
      </c>
      <c r="C1595" s="347">
        <v>1800</v>
      </c>
      <c r="D1595" s="348">
        <v>45261</v>
      </c>
      <c r="E1595" s="348">
        <v>45627</v>
      </c>
      <c r="F1595" s="346" t="s">
        <v>637</v>
      </c>
      <c r="G1595" s="350" t="s">
        <v>456</v>
      </c>
      <c r="H1595" s="351">
        <f t="shared" si="27"/>
        <v>23400</v>
      </c>
      <c r="I1595" s="120" t="str">
        <f>IF(OR(D1595&lt;Capa!$A$5,D1595&gt;Capa!$A$7,E1595&lt;Capa!$A$5,E1595&gt;Capa!$A$7,D1595&gt;E1595),"Erro","")</f>
        <v/>
      </c>
    </row>
    <row r="1596" spans="1:9" ht="33.75">
      <c r="A1596" s="345">
        <v>1593</v>
      </c>
      <c r="B1596" s="346" t="s">
        <v>304</v>
      </c>
      <c r="C1596" s="347">
        <v>1905.12</v>
      </c>
      <c r="D1596" s="348">
        <v>45658</v>
      </c>
      <c r="E1596" s="348">
        <v>45992</v>
      </c>
      <c r="F1596" s="346" t="s">
        <v>637</v>
      </c>
      <c r="G1596" s="350" t="s">
        <v>456</v>
      </c>
      <c r="H1596" s="351">
        <f t="shared" si="27"/>
        <v>22861.439999999999</v>
      </c>
      <c r="I1596" s="120" t="str">
        <f>IF(OR(D1596&lt;Capa!$A$5,D1596&gt;Capa!$A$7,E1596&lt;Capa!$A$5,E1596&gt;Capa!$A$7,D1596&gt;E1596),"Erro","")</f>
        <v/>
      </c>
    </row>
    <row r="1597" spans="1:9" ht="33.75">
      <c r="A1597" s="345">
        <v>1594</v>
      </c>
      <c r="B1597" s="346" t="s">
        <v>304</v>
      </c>
      <c r="C1597" s="347">
        <v>2016.37</v>
      </c>
      <c r="D1597" s="348">
        <v>46023</v>
      </c>
      <c r="E1597" s="348">
        <v>46357</v>
      </c>
      <c r="F1597" s="346" t="s">
        <v>637</v>
      </c>
      <c r="G1597" s="350" t="s">
        <v>456</v>
      </c>
      <c r="H1597" s="351">
        <f t="shared" si="27"/>
        <v>24196.44</v>
      </c>
      <c r="I1597" s="120" t="str">
        <f>IF(OR(D1597&lt;Capa!$A$5,D1597&gt;Capa!$A$7,E1597&lt;Capa!$A$5,E1597&gt;Capa!$A$7,D1597&gt;E1597),"Erro","")</f>
        <v/>
      </c>
    </row>
    <row r="1598" spans="1:9" ht="33.75">
      <c r="A1598" s="345">
        <v>1595</v>
      </c>
      <c r="B1598" s="346" t="s">
        <v>304</v>
      </c>
      <c r="C1598" s="347">
        <v>2134.13</v>
      </c>
      <c r="D1598" s="348">
        <v>46388</v>
      </c>
      <c r="E1598" s="348">
        <v>46722</v>
      </c>
      <c r="F1598" s="346" t="s">
        <v>637</v>
      </c>
      <c r="G1598" s="350" t="s">
        <v>456</v>
      </c>
      <c r="H1598" s="351">
        <f t="shared" si="27"/>
        <v>25609.56</v>
      </c>
      <c r="I1598" s="120" t="str">
        <f>IF(OR(D1598&lt;Capa!$A$5,D1598&gt;Capa!$A$7,E1598&lt;Capa!$A$5,E1598&gt;Capa!$A$7,D1598&gt;E1598),"Erro","")</f>
        <v/>
      </c>
    </row>
    <row r="1599" spans="1:9" ht="33.75">
      <c r="A1599" s="345">
        <v>1596</v>
      </c>
      <c r="B1599" s="346" t="s">
        <v>304</v>
      </c>
      <c r="C1599" s="347">
        <v>2258.7600000000002</v>
      </c>
      <c r="D1599" s="348">
        <v>46753</v>
      </c>
      <c r="E1599" s="348">
        <v>47058</v>
      </c>
      <c r="F1599" s="346" t="s">
        <v>637</v>
      </c>
      <c r="G1599" s="350" t="s">
        <v>456</v>
      </c>
      <c r="H1599" s="351">
        <f t="shared" si="27"/>
        <v>24846.36</v>
      </c>
      <c r="I1599" s="120" t="str">
        <f>IF(OR(D1599&lt;Capa!$A$5,D1599&gt;Capa!$A$7,E1599&lt;Capa!$A$5,E1599&gt;Capa!$A$7,D1599&gt;E1599),"Erro","")</f>
        <v/>
      </c>
    </row>
    <row r="1600" spans="1:9" ht="33.75">
      <c r="A1600" s="345">
        <v>1597</v>
      </c>
      <c r="B1600" s="346" t="s">
        <v>312</v>
      </c>
      <c r="C1600" s="347">
        <v>280</v>
      </c>
      <c r="D1600" s="348">
        <v>45658</v>
      </c>
      <c r="E1600" s="348">
        <v>45992</v>
      </c>
      <c r="F1600" s="346" t="s">
        <v>637</v>
      </c>
      <c r="G1600" s="350" t="s">
        <v>593</v>
      </c>
      <c r="H1600" s="351">
        <f t="shared" si="27"/>
        <v>3360</v>
      </c>
      <c r="I1600" s="120" t="str">
        <f>IF(OR(D1600&lt;Capa!$A$5,D1600&gt;Capa!$A$7,E1600&lt;Capa!$A$5,E1600&gt;Capa!$A$7,D1600&gt;E1600),"Erro","")</f>
        <v/>
      </c>
    </row>
    <row r="1601" spans="1:9" ht="33.75">
      <c r="A1601" s="345">
        <v>1598</v>
      </c>
      <c r="B1601" s="346" t="s">
        <v>312</v>
      </c>
      <c r="C1601" s="347">
        <v>280</v>
      </c>
      <c r="D1601" s="348">
        <v>46023</v>
      </c>
      <c r="E1601" s="348">
        <v>46357</v>
      </c>
      <c r="F1601" s="346" t="s">
        <v>637</v>
      </c>
      <c r="G1601" s="350" t="s">
        <v>593</v>
      </c>
      <c r="H1601" s="351">
        <f t="shared" si="27"/>
        <v>3360</v>
      </c>
      <c r="I1601" s="120" t="str">
        <f>IF(OR(D1601&lt;Capa!$A$5,D1601&gt;Capa!$A$7,E1601&lt;Capa!$A$5,E1601&gt;Capa!$A$7,D1601&gt;E1601),"Erro","")</f>
        <v/>
      </c>
    </row>
    <row r="1602" spans="1:9" ht="33.75">
      <c r="A1602" s="345">
        <v>1599</v>
      </c>
      <c r="B1602" s="346" t="s">
        <v>312</v>
      </c>
      <c r="C1602" s="347">
        <v>280</v>
      </c>
      <c r="D1602" s="348">
        <v>46388</v>
      </c>
      <c r="E1602" s="348">
        <v>46722</v>
      </c>
      <c r="F1602" s="346" t="s">
        <v>637</v>
      </c>
      <c r="G1602" s="350" t="s">
        <v>593</v>
      </c>
      <c r="H1602" s="351">
        <f t="shared" si="27"/>
        <v>3360</v>
      </c>
      <c r="I1602" s="120" t="str">
        <f>IF(OR(D1602&lt;Capa!$A$5,D1602&gt;Capa!$A$7,E1602&lt;Capa!$A$5,E1602&gt;Capa!$A$7,D1602&gt;E1602),"Erro","")</f>
        <v/>
      </c>
    </row>
    <row r="1603" spans="1:9" ht="33.75">
      <c r="A1603" s="345">
        <v>1600</v>
      </c>
      <c r="B1603" s="346" t="s">
        <v>312</v>
      </c>
      <c r="C1603" s="347">
        <v>280</v>
      </c>
      <c r="D1603" s="348">
        <v>46753</v>
      </c>
      <c r="E1603" s="348">
        <v>47058</v>
      </c>
      <c r="F1603" s="346" t="s">
        <v>637</v>
      </c>
      <c r="G1603" s="350" t="s">
        <v>593</v>
      </c>
      <c r="H1603" s="351">
        <f t="shared" si="27"/>
        <v>3080</v>
      </c>
      <c r="I1603" s="120" t="str">
        <f>IF(OR(D1603&lt;Capa!$A$5,D1603&gt;Capa!$A$7,E1603&lt;Capa!$A$5,E1603&gt;Capa!$A$7,D1603&gt;E1603),"Erro","")</f>
        <v/>
      </c>
    </row>
    <row r="1604" spans="1:9" ht="67.5">
      <c r="A1604" s="345">
        <v>1601</v>
      </c>
      <c r="B1604" s="346" t="s">
        <v>316</v>
      </c>
      <c r="C1604" s="347">
        <v>1000</v>
      </c>
      <c r="D1604" s="348">
        <v>45261</v>
      </c>
      <c r="E1604" s="348">
        <v>45627</v>
      </c>
      <c r="F1604" s="346" t="s">
        <v>637</v>
      </c>
      <c r="G1604" s="350" t="s">
        <v>457</v>
      </c>
      <c r="H1604" s="351">
        <f t="shared" si="27"/>
        <v>13000</v>
      </c>
      <c r="I1604" s="120" t="str">
        <f>IF(OR(D1604&lt;Capa!$A$5,D1604&gt;Capa!$A$7,E1604&lt;Capa!$A$5,E1604&gt;Capa!$A$7,D1604&gt;E1604),"Erro","")</f>
        <v/>
      </c>
    </row>
    <row r="1605" spans="1:9" ht="67.5">
      <c r="A1605" s="345">
        <v>1602</v>
      </c>
      <c r="B1605" s="346" t="s">
        <v>316</v>
      </c>
      <c r="C1605" s="347">
        <v>1000</v>
      </c>
      <c r="D1605" s="348">
        <v>45658</v>
      </c>
      <c r="E1605" s="348">
        <v>45992</v>
      </c>
      <c r="F1605" s="346" t="s">
        <v>637</v>
      </c>
      <c r="G1605" s="350" t="s">
        <v>457</v>
      </c>
      <c r="H1605" s="351">
        <f t="shared" si="27"/>
        <v>12000</v>
      </c>
      <c r="I1605" s="120" t="str">
        <f>IF(OR(D1605&lt;Capa!$A$5,D1605&gt;Capa!$A$7,E1605&lt;Capa!$A$5,E1605&gt;Capa!$A$7,D1605&gt;E1605),"Erro","")</f>
        <v/>
      </c>
    </row>
    <row r="1606" spans="1:9" ht="67.5">
      <c r="A1606" s="345">
        <v>1603</v>
      </c>
      <c r="B1606" s="346" t="s">
        <v>316</v>
      </c>
      <c r="C1606" s="347">
        <v>1000</v>
      </c>
      <c r="D1606" s="348">
        <v>46023</v>
      </c>
      <c r="E1606" s="348">
        <v>46357</v>
      </c>
      <c r="F1606" s="346" t="s">
        <v>637</v>
      </c>
      <c r="G1606" s="350" t="s">
        <v>457</v>
      </c>
      <c r="H1606" s="351">
        <f t="shared" si="27"/>
        <v>12000</v>
      </c>
      <c r="I1606" s="120" t="str">
        <f>IF(OR(D1606&lt;Capa!$A$5,D1606&gt;Capa!$A$7,E1606&lt;Capa!$A$5,E1606&gt;Capa!$A$7,D1606&gt;E1606),"Erro","")</f>
        <v/>
      </c>
    </row>
    <row r="1607" spans="1:9" ht="67.5">
      <c r="A1607" s="345">
        <v>1604</v>
      </c>
      <c r="B1607" s="346" t="s">
        <v>316</v>
      </c>
      <c r="C1607" s="347">
        <v>1000</v>
      </c>
      <c r="D1607" s="348">
        <v>46388</v>
      </c>
      <c r="E1607" s="348">
        <v>46722</v>
      </c>
      <c r="F1607" s="346" t="s">
        <v>637</v>
      </c>
      <c r="G1607" s="350" t="s">
        <v>457</v>
      </c>
      <c r="H1607" s="351">
        <f t="shared" si="27"/>
        <v>12000</v>
      </c>
      <c r="I1607" s="120" t="str">
        <f>IF(OR(D1607&lt;Capa!$A$5,D1607&gt;Capa!$A$7,E1607&lt;Capa!$A$5,E1607&gt;Capa!$A$7,D1607&gt;E1607),"Erro","")</f>
        <v/>
      </c>
    </row>
    <row r="1608" spans="1:9" ht="67.5">
      <c r="A1608" s="345">
        <v>1605</v>
      </c>
      <c r="B1608" s="346" t="s">
        <v>316</v>
      </c>
      <c r="C1608" s="347">
        <v>1000</v>
      </c>
      <c r="D1608" s="348">
        <v>46753</v>
      </c>
      <c r="E1608" s="348">
        <v>47058</v>
      </c>
      <c r="F1608" s="346" t="s">
        <v>637</v>
      </c>
      <c r="G1608" s="350" t="s">
        <v>457</v>
      </c>
      <c r="H1608" s="351">
        <f t="shared" si="27"/>
        <v>11000</v>
      </c>
      <c r="I1608" s="120" t="str">
        <f>IF(OR(D1608&lt;Capa!$A$5,D1608&gt;Capa!$A$7,E1608&lt;Capa!$A$5,E1608&gt;Capa!$A$7,D1608&gt;E1608),"Erro","")</f>
        <v/>
      </c>
    </row>
    <row r="1609" spans="1:9" ht="56.25">
      <c r="A1609" s="345">
        <v>1606</v>
      </c>
      <c r="B1609" s="346" t="s">
        <v>318</v>
      </c>
      <c r="C1609" s="347">
        <v>1800</v>
      </c>
      <c r="D1609" s="348">
        <v>45261</v>
      </c>
      <c r="E1609" s="348">
        <v>45627</v>
      </c>
      <c r="F1609" s="346" t="s">
        <v>637</v>
      </c>
      <c r="G1609" s="350" t="s">
        <v>594</v>
      </c>
      <c r="H1609" s="351">
        <f t="shared" si="27"/>
        <v>23400</v>
      </c>
      <c r="I1609" s="120" t="str">
        <f>IF(OR(D1609&lt;Capa!$A$5,D1609&gt;Capa!$A$7,E1609&lt;Capa!$A$5,E1609&gt;Capa!$A$7,D1609&gt;E1609),"Erro","")</f>
        <v/>
      </c>
    </row>
    <row r="1610" spans="1:9" ht="56.25">
      <c r="A1610" s="345">
        <v>1607</v>
      </c>
      <c r="B1610" s="346" t="s">
        <v>318</v>
      </c>
      <c r="C1610" s="347">
        <v>1500</v>
      </c>
      <c r="D1610" s="348">
        <v>45658</v>
      </c>
      <c r="E1610" s="348">
        <v>45992</v>
      </c>
      <c r="F1610" s="346" t="s">
        <v>637</v>
      </c>
      <c r="G1610" s="350" t="s">
        <v>594</v>
      </c>
      <c r="H1610" s="351">
        <f t="shared" si="27"/>
        <v>18000</v>
      </c>
      <c r="I1610" s="120" t="str">
        <f>IF(OR(D1610&lt;Capa!$A$5,D1610&gt;Capa!$A$7,E1610&lt;Capa!$A$5,E1610&gt;Capa!$A$7,D1610&gt;E1610),"Erro","")</f>
        <v/>
      </c>
    </row>
    <row r="1611" spans="1:9" ht="56.25">
      <c r="A1611" s="345">
        <v>1608</v>
      </c>
      <c r="B1611" s="346" t="s">
        <v>318</v>
      </c>
      <c r="C1611" s="347">
        <v>1500</v>
      </c>
      <c r="D1611" s="348">
        <v>46023</v>
      </c>
      <c r="E1611" s="348">
        <v>46357</v>
      </c>
      <c r="F1611" s="346" t="s">
        <v>637</v>
      </c>
      <c r="G1611" s="350" t="s">
        <v>594</v>
      </c>
      <c r="H1611" s="351">
        <f t="shared" si="27"/>
        <v>18000</v>
      </c>
      <c r="I1611" s="120" t="str">
        <f>IF(OR(D1611&lt;Capa!$A$5,D1611&gt;Capa!$A$7,E1611&lt;Capa!$A$5,E1611&gt;Capa!$A$7,D1611&gt;E1611),"Erro","")</f>
        <v/>
      </c>
    </row>
    <row r="1612" spans="1:9" ht="56.25">
      <c r="A1612" s="345">
        <v>1609</v>
      </c>
      <c r="B1612" s="346" t="s">
        <v>318</v>
      </c>
      <c r="C1612" s="347">
        <v>1500</v>
      </c>
      <c r="D1612" s="348">
        <v>46388</v>
      </c>
      <c r="E1612" s="348">
        <v>46722</v>
      </c>
      <c r="F1612" s="346" t="s">
        <v>637</v>
      </c>
      <c r="G1612" s="350" t="s">
        <v>594</v>
      </c>
      <c r="H1612" s="351">
        <f t="shared" si="27"/>
        <v>18000</v>
      </c>
      <c r="I1612" s="120" t="str">
        <f>IF(OR(D1612&lt;Capa!$A$5,D1612&gt;Capa!$A$7,E1612&lt;Capa!$A$5,E1612&gt;Capa!$A$7,D1612&gt;E1612),"Erro","")</f>
        <v/>
      </c>
    </row>
    <row r="1613" spans="1:9" ht="56.25">
      <c r="A1613" s="345">
        <v>1610</v>
      </c>
      <c r="B1613" s="346" t="s">
        <v>318</v>
      </c>
      <c r="C1613" s="347">
        <v>1500</v>
      </c>
      <c r="D1613" s="348">
        <v>46753</v>
      </c>
      <c r="E1613" s="348">
        <v>47058</v>
      </c>
      <c r="F1613" s="346" t="s">
        <v>637</v>
      </c>
      <c r="G1613" s="350" t="s">
        <v>594</v>
      </c>
      <c r="H1613" s="351">
        <f t="shared" si="27"/>
        <v>16500</v>
      </c>
      <c r="I1613" s="120" t="str">
        <f>IF(OR(D1613&lt;Capa!$A$5,D1613&gt;Capa!$A$7,E1613&lt;Capa!$A$5,E1613&gt;Capa!$A$7,D1613&gt;E1613),"Erro","")</f>
        <v/>
      </c>
    </row>
    <row r="1614" spans="1:9" ht="67.5">
      <c r="A1614" s="345">
        <v>1611</v>
      </c>
      <c r="B1614" s="346" t="s">
        <v>318</v>
      </c>
      <c r="C1614" s="347">
        <v>1800</v>
      </c>
      <c r="D1614" s="348">
        <v>45261</v>
      </c>
      <c r="E1614" s="348">
        <v>45627</v>
      </c>
      <c r="F1614" s="346" t="s">
        <v>637</v>
      </c>
      <c r="G1614" s="350" t="s">
        <v>457</v>
      </c>
      <c r="H1614" s="351">
        <f t="shared" si="27"/>
        <v>23400</v>
      </c>
      <c r="I1614" s="120" t="str">
        <f>IF(OR(D1614&lt;Capa!$A$5,D1614&gt;Capa!$A$7,E1614&lt;Capa!$A$5,E1614&gt;Capa!$A$7,D1614&gt;E1614),"Erro","")</f>
        <v/>
      </c>
    </row>
    <row r="1615" spans="1:9" ht="67.5">
      <c r="A1615" s="345">
        <v>1612</v>
      </c>
      <c r="B1615" s="346" t="s">
        <v>318</v>
      </c>
      <c r="C1615" s="347">
        <v>1500</v>
      </c>
      <c r="D1615" s="348">
        <v>45658</v>
      </c>
      <c r="E1615" s="348">
        <v>45992</v>
      </c>
      <c r="F1615" s="346" t="s">
        <v>637</v>
      </c>
      <c r="G1615" s="350" t="s">
        <v>457</v>
      </c>
      <c r="H1615" s="351">
        <f t="shared" si="27"/>
        <v>18000</v>
      </c>
      <c r="I1615" s="120" t="str">
        <f>IF(OR(D1615&lt;Capa!$A$5,D1615&gt;Capa!$A$7,E1615&lt;Capa!$A$5,E1615&gt;Capa!$A$7,D1615&gt;E1615),"Erro","")</f>
        <v/>
      </c>
    </row>
    <row r="1616" spans="1:9" ht="67.5">
      <c r="A1616" s="345">
        <v>1613</v>
      </c>
      <c r="B1616" s="346" t="s">
        <v>318</v>
      </c>
      <c r="C1616" s="347">
        <v>1500</v>
      </c>
      <c r="D1616" s="348">
        <v>46023</v>
      </c>
      <c r="E1616" s="348">
        <v>46357</v>
      </c>
      <c r="F1616" s="346" t="s">
        <v>637</v>
      </c>
      <c r="G1616" s="350" t="s">
        <v>457</v>
      </c>
      <c r="H1616" s="351">
        <f t="shared" si="27"/>
        <v>18000</v>
      </c>
      <c r="I1616" s="120" t="str">
        <f>IF(OR(D1616&lt;Capa!$A$5,D1616&gt;Capa!$A$7,E1616&lt;Capa!$A$5,E1616&gt;Capa!$A$7,D1616&gt;E1616),"Erro","")</f>
        <v/>
      </c>
    </row>
    <row r="1617" spans="1:9" ht="67.5">
      <c r="A1617" s="345">
        <v>1614</v>
      </c>
      <c r="B1617" s="346" t="s">
        <v>318</v>
      </c>
      <c r="C1617" s="347">
        <v>1500</v>
      </c>
      <c r="D1617" s="348">
        <v>46388</v>
      </c>
      <c r="E1617" s="348">
        <v>46722</v>
      </c>
      <c r="F1617" s="346" t="s">
        <v>637</v>
      </c>
      <c r="G1617" s="350" t="s">
        <v>457</v>
      </c>
      <c r="H1617" s="351">
        <f t="shared" si="27"/>
        <v>18000</v>
      </c>
      <c r="I1617" s="120" t="str">
        <f>IF(OR(D1617&lt;Capa!$A$5,D1617&gt;Capa!$A$7,E1617&lt;Capa!$A$5,E1617&gt;Capa!$A$7,D1617&gt;E1617),"Erro","")</f>
        <v/>
      </c>
    </row>
    <row r="1618" spans="1:9" ht="67.5">
      <c r="A1618" s="345">
        <v>1615</v>
      </c>
      <c r="B1618" s="346" t="s">
        <v>318</v>
      </c>
      <c r="C1618" s="347">
        <v>1500</v>
      </c>
      <c r="D1618" s="348">
        <v>46753</v>
      </c>
      <c r="E1618" s="348">
        <v>47058</v>
      </c>
      <c r="F1618" s="346" t="s">
        <v>637</v>
      </c>
      <c r="G1618" s="350" t="s">
        <v>457</v>
      </c>
      <c r="H1618" s="351">
        <f t="shared" si="27"/>
        <v>16500</v>
      </c>
      <c r="I1618" s="120" t="str">
        <f>IF(OR(D1618&lt;Capa!$A$5,D1618&gt;Capa!$A$7,E1618&lt;Capa!$A$5,E1618&gt;Capa!$A$7,D1618&gt;E1618),"Erro","")</f>
        <v/>
      </c>
    </row>
    <row r="1619" spans="1:9" ht="22.5">
      <c r="A1619" s="345">
        <v>1616</v>
      </c>
      <c r="B1619" s="346" t="s">
        <v>298</v>
      </c>
      <c r="C1619" s="347">
        <v>2500</v>
      </c>
      <c r="D1619" s="348">
        <v>45261</v>
      </c>
      <c r="E1619" s="348">
        <v>45627</v>
      </c>
      <c r="F1619" s="346" t="s">
        <v>637</v>
      </c>
      <c r="G1619" s="350" t="s">
        <v>458</v>
      </c>
      <c r="H1619" s="351">
        <f t="shared" si="27"/>
        <v>32500</v>
      </c>
      <c r="I1619" s="120" t="str">
        <f>IF(OR(D1619&lt;Capa!$A$5,D1619&gt;Capa!$A$7,E1619&lt;Capa!$A$5,E1619&gt;Capa!$A$7,D1619&gt;E1619),"Erro","")</f>
        <v/>
      </c>
    </row>
    <row r="1620" spans="1:9" ht="22.5">
      <c r="A1620" s="345">
        <v>1617</v>
      </c>
      <c r="B1620" s="346" t="s">
        <v>298</v>
      </c>
      <c r="C1620" s="347">
        <v>2646</v>
      </c>
      <c r="D1620" s="348">
        <v>45658</v>
      </c>
      <c r="E1620" s="348">
        <v>45992</v>
      </c>
      <c r="F1620" s="346" t="s">
        <v>637</v>
      </c>
      <c r="G1620" s="350" t="s">
        <v>458</v>
      </c>
      <c r="H1620" s="351">
        <f t="shared" si="27"/>
        <v>31752</v>
      </c>
      <c r="I1620" s="120" t="str">
        <f>IF(OR(D1620&lt;Capa!$A$5,D1620&gt;Capa!$A$7,E1620&lt;Capa!$A$5,E1620&gt;Capa!$A$7,D1620&gt;E1620),"Erro","")</f>
        <v/>
      </c>
    </row>
    <row r="1621" spans="1:9" ht="22.5">
      <c r="A1621" s="345">
        <v>1618</v>
      </c>
      <c r="B1621" s="346" t="s">
        <v>298</v>
      </c>
      <c r="C1621" s="347">
        <v>2800.52</v>
      </c>
      <c r="D1621" s="348">
        <v>46023</v>
      </c>
      <c r="E1621" s="348">
        <v>46357</v>
      </c>
      <c r="F1621" s="346" t="s">
        <v>637</v>
      </c>
      <c r="G1621" s="350" t="s">
        <v>458</v>
      </c>
      <c r="H1621" s="351">
        <f t="shared" si="27"/>
        <v>33606.239999999998</v>
      </c>
      <c r="I1621" s="120" t="str">
        <f>IF(OR(D1621&lt;Capa!$A$5,D1621&gt;Capa!$A$7,E1621&lt;Capa!$A$5,E1621&gt;Capa!$A$7,D1621&gt;E1621),"Erro","")</f>
        <v/>
      </c>
    </row>
    <row r="1622" spans="1:9" ht="22.5">
      <c r="A1622" s="345">
        <v>1619</v>
      </c>
      <c r="B1622" s="346" t="s">
        <v>298</v>
      </c>
      <c r="C1622" s="347">
        <v>2964.07</v>
      </c>
      <c r="D1622" s="348">
        <v>46388</v>
      </c>
      <c r="E1622" s="348">
        <v>46722</v>
      </c>
      <c r="F1622" s="346" t="s">
        <v>637</v>
      </c>
      <c r="G1622" s="350" t="s">
        <v>458</v>
      </c>
      <c r="H1622" s="351">
        <f t="shared" si="27"/>
        <v>35568.840000000004</v>
      </c>
      <c r="I1622" s="120" t="str">
        <f>IF(OR(D1622&lt;Capa!$A$5,D1622&gt;Capa!$A$7,E1622&lt;Capa!$A$5,E1622&gt;Capa!$A$7,D1622&gt;E1622),"Erro","")</f>
        <v/>
      </c>
    </row>
    <row r="1623" spans="1:9" ht="22.5">
      <c r="A1623" s="345">
        <v>1620</v>
      </c>
      <c r="B1623" s="346" t="s">
        <v>298</v>
      </c>
      <c r="C1623" s="347">
        <v>3137.17</v>
      </c>
      <c r="D1623" s="348">
        <v>46753</v>
      </c>
      <c r="E1623" s="348">
        <v>47058</v>
      </c>
      <c r="F1623" s="346" t="s">
        <v>637</v>
      </c>
      <c r="G1623" s="350" t="s">
        <v>458</v>
      </c>
      <c r="H1623" s="351">
        <f t="shared" si="27"/>
        <v>34508.870000000003</v>
      </c>
      <c r="I1623" s="120" t="str">
        <f>IF(OR(D1623&lt;Capa!$A$5,D1623&gt;Capa!$A$7,E1623&lt;Capa!$A$5,E1623&gt;Capa!$A$7,D1623&gt;E1623),"Erro","")</f>
        <v/>
      </c>
    </row>
    <row r="1624" spans="1:9" ht="33.75">
      <c r="A1624" s="345">
        <v>1621</v>
      </c>
      <c r="B1624" s="346" t="s">
        <v>238</v>
      </c>
      <c r="C1624" s="347">
        <v>370.44</v>
      </c>
      <c r="D1624" s="348">
        <v>45658</v>
      </c>
      <c r="E1624" s="348">
        <v>45992</v>
      </c>
      <c r="F1624" s="346" t="s">
        <v>637</v>
      </c>
      <c r="G1624" s="350" t="s">
        <v>459</v>
      </c>
      <c r="H1624" s="351">
        <f t="shared" si="27"/>
        <v>4445.28</v>
      </c>
      <c r="I1624" s="120" t="str">
        <f>IF(OR(D1624&lt;Capa!$A$5,D1624&gt;Capa!$A$7,E1624&lt;Capa!$A$5,E1624&gt;Capa!$A$7,D1624&gt;E1624),"Erro","")</f>
        <v/>
      </c>
    </row>
    <row r="1625" spans="1:9" ht="33.75">
      <c r="A1625" s="345">
        <v>1622</v>
      </c>
      <c r="B1625" s="346" t="s">
        <v>238</v>
      </c>
      <c r="C1625" s="347">
        <v>392.07</v>
      </c>
      <c r="D1625" s="348">
        <v>46023</v>
      </c>
      <c r="E1625" s="348">
        <v>46357</v>
      </c>
      <c r="F1625" s="346" t="s">
        <v>637</v>
      </c>
      <c r="G1625" s="350" t="s">
        <v>459</v>
      </c>
      <c r="H1625" s="351">
        <f t="shared" si="27"/>
        <v>4704.84</v>
      </c>
      <c r="I1625" s="120" t="str">
        <f>IF(OR(D1625&lt;Capa!$A$5,D1625&gt;Capa!$A$7,E1625&lt;Capa!$A$5,E1625&gt;Capa!$A$7,D1625&gt;E1625),"Erro","")</f>
        <v/>
      </c>
    </row>
    <row r="1626" spans="1:9" ht="33.75">
      <c r="A1626" s="345">
        <v>1623</v>
      </c>
      <c r="B1626" s="346" t="s">
        <v>238</v>
      </c>
      <c r="C1626" s="347">
        <v>414.97</v>
      </c>
      <c r="D1626" s="348">
        <v>46388</v>
      </c>
      <c r="E1626" s="348">
        <v>46722</v>
      </c>
      <c r="F1626" s="346" t="s">
        <v>637</v>
      </c>
      <c r="G1626" s="350" t="s">
        <v>459</v>
      </c>
      <c r="H1626" s="351">
        <f t="shared" ref="H1626:H1703" si="28">IFERROR((DATEDIF(D1626,E1626,"M")+1)*C1626,0)</f>
        <v>4979.6400000000003</v>
      </c>
      <c r="I1626" s="120" t="str">
        <f>IF(OR(D1626&lt;Capa!$A$5,D1626&gt;Capa!$A$7,E1626&lt;Capa!$A$5,E1626&gt;Capa!$A$7,D1626&gt;E1626),"Erro","")</f>
        <v/>
      </c>
    </row>
    <row r="1627" spans="1:9" ht="33.75">
      <c r="A1627" s="345">
        <v>1624</v>
      </c>
      <c r="B1627" s="346" t="s">
        <v>238</v>
      </c>
      <c r="C1627" s="347">
        <v>439.21</v>
      </c>
      <c r="D1627" s="348">
        <v>46753</v>
      </c>
      <c r="E1627" s="348">
        <v>47058</v>
      </c>
      <c r="F1627" s="346" t="s">
        <v>637</v>
      </c>
      <c r="G1627" s="350" t="s">
        <v>459</v>
      </c>
      <c r="H1627" s="351">
        <f t="shared" si="28"/>
        <v>4831.3099999999995</v>
      </c>
      <c r="I1627" s="120" t="str">
        <f>IF(OR(D1627&lt;Capa!$A$5,D1627&gt;Capa!$A$7,E1627&lt;Capa!$A$5,E1627&gt;Capa!$A$7,D1627&gt;E1627),"Erro","")</f>
        <v/>
      </c>
    </row>
    <row r="1628" spans="1:9" ht="56.25">
      <c r="A1628" s="345">
        <v>1625</v>
      </c>
      <c r="B1628" s="346" t="s">
        <v>252</v>
      </c>
      <c r="C1628" s="347">
        <v>7000</v>
      </c>
      <c r="D1628" s="348">
        <v>45261</v>
      </c>
      <c r="E1628" s="348">
        <v>45627</v>
      </c>
      <c r="F1628" s="346" t="s">
        <v>637</v>
      </c>
      <c r="G1628" s="350" t="s">
        <v>460</v>
      </c>
      <c r="H1628" s="351">
        <f t="shared" si="28"/>
        <v>91000</v>
      </c>
      <c r="I1628" s="120" t="str">
        <f>IF(OR(D1628&lt;Capa!$A$5,D1628&gt;Capa!$A$7,E1628&lt;Capa!$A$5,E1628&gt;Capa!$A$7,D1628&gt;E1628),"Erro","")</f>
        <v/>
      </c>
    </row>
    <row r="1629" spans="1:9" ht="56.25">
      <c r="A1629" s="345">
        <v>1626</v>
      </c>
      <c r="B1629" s="346" t="s">
        <v>252</v>
      </c>
      <c r="C1629" s="347">
        <v>7408.8</v>
      </c>
      <c r="D1629" s="348">
        <v>45658</v>
      </c>
      <c r="E1629" s="348">
        <v>45992</v>
      </c>
      <c r="F1629" s="346" t="s">
        <v>637</v>
      </c>
      <c r="G1629" s="350" t="s">
        <v>460</v>
      </c>
      <c r="H1629" s="351">
        <f t="shared" si="28"/>
        <v>88905.600000000006</v>
      </c>
      <c r="I1629" s="120" t="str">
        <f>IF(OR(D1629&lt;Capa!$A$5,D1629&gt;Capa!$A$7,E1629&lt;Capa!$A$5,E1629&gt;Capa!$A$7,D1629&gt;E1629),"Erro","")</f>
        <v/>
      </c>
    </row>
    <row r="1630" spans="1:9" ht="56.25">
      <c r="A1630" s="345">
        <v>1627</v>
      </c>
      <c r="B1630" s="346" t="s">
        <v>252</v>
      </c>
      <c r="C1630" s="347">
        <v>7847.65</v>
      </c>
      <c r="D1630" s="348">
        <v>46023</v>
      </c>
      <c r="E1630" s="348">
        <v>46357</v>
      </c>
      <c r="F1630" s="346" t="s">
        <v>637</v>
      </c>
      <c r="G1630" s="350" t="s">
        <v>460</v>
      </c>
      <c r="H1630" s="351">
        <f t="shared" si="28"/>
        <v>94171.799999999988</v>
      </c>
      <c r="I1630" s="120" t="str">
        <f>IF(OR(D1630&lt;Capa!$A$5,D1630&gt;Capa!$A$7,E1630&lt;Capa!$A$5,E1630&gt;Capa!$A$7,D1630&gt;E1630),"Erro","")</f>
        <v/>
      </c>
    </row>
    <row r="1631" spans="1:9" ht="56.25">
      <c r="A1631" s="345">
        <v>1628</v>
      </c>
      <c r="B1631" s="346" t="s">
        <v>252</v>
      </c>
      <c r="C1631" s="347">
        <v>8305.9500000000007</v>
      </c>
      <c r="D1631" s="348">
        <v>46388</v>
      </c>
      <c r="E1631" s="348">
        <v>46722</v>
      </c>
      <c r="F1631" s="346" t="s">
        <v>637</v>
      </c>
      <c r="G1631" s="350" t="s">
        <v>460</v>
      </c>
      <c r="H1631" s="351">
        <f t="shared" si="28"/>
        <v>99671.400000000009</v>
      </c>
      <c r="I1631" s="120" t="str">
        <f>IF(OR(D1631&lt;Capa!$A$5,D1631&gt;Capa!$A$7,E1631&lt;Capa!$A$5,E1631&gt;Capa!$A$7,D1631&gt;E1631),"Erro","")</f>
        <v/>
      </c>
    </row>
    <row r="1632" spans="1:9" ht="56.25">
      <c r="A1632" s="345">
        <v>1629</v>
      </c>
      <c r="B1632" s="346" t="s">
        <v>252</v>
      </c>
      <c r="C1632" s="347">
        <v>8791.02</v>
      </c>
      <c r="D1632" s="348">
        <v>46753</v>
      </c>
      <c r="E1632" s="348">
        <v>47058</v>
      </c>
      <c r="F1632" s="346" t="s">
        <v>637</v>
      </c>
      <c r="G1632" s="350" t="s">
        <v>460</v>
      </c>
      <c r="H1632" s="351">
        <f t="shared" si="28"/>
        <v>96701.22</v>
      </c>
      <c r="I1632" s="120" t="str">
        <f>IF(OR(D1632&lt;Capa!$A$5,D1632&gt;Capa!$A$7,E1632&lt;Capa!$A$5,E1632&gt;Capa!$A$7,D1632&gt;E1632),"Erro","")</f>
        <v/>
      </c>
    </row>
    <row r="1633" spans="1:9" ht="33.75">
      <c r="A1633" s="345">
        <v>1630</v>
      </c>
      <c r="B1633" s="346" t="s">
        <v>651</v>
      </c>
      <c r="C1633" s="347">
        <v>180</v>
      </c>
      <c r="D1633" s="348">
        <v>45261</v>
      </c>
      <c r="E1633" s="348">
        <v>47058</v>
      </c>
      <c r="F1633" s="346" t="s">
        <v>637</v>
      </c>
      <c r="G1633" s="350" t="s">
        <v>710</v>
      </c>
      <c r="H1633" s="351">
        <f t="shared" si="28"/>
        <v>10800</v>
      </c>
      <c r="I1633" s="120" t="str">
        <f>IF(OR(D1633&lt;Capa!$A$5,D1633&gt;Capa!$A$7,E1633&lt;Capa!$A$5,E1633&gt;Capa!$A$7,D1633&gt;E1633),"Erro","")</f>
        <v/>
      </c>
    </row>
    <row r="1634" spans="1:9" ht="22.5">
      <c r="A1634" s="345">
        <v>1631</v>
      </c>
      <c r="B1634" s="346" t="s">
        <v>653</v>
      </c>
      <c r="C1634" s="347">
        <v>1930</v>
      </c>
      <c r="D1634" s="348">
        <v>45292</v>
      </c>
      <c r="E1634" s="348">
        <v>45627</v>
      </c>
      <c r="F1634" s="346" t="s">
        <v>637</v>
      </c>
      <c r="G1634" s="350" t="s">
        <v>712</v>
      </c>
      <c r="H1634" s="351">
        <f t="shared" si="28"/>
        <v>23160</v>
      </c>
    </row>
    <row r="1635" spans="1:9" ht="22.5">
      <c r="A1635" s="345">
        <v>1632</v>
      </c>
      <c r="B1635" s="346" t="s">
        <v>653</v>
      </c>
      <c r="C1635" s="347">
        <v>1930</v>
      </c>
      <c r="D1635" s="348">
        <v>45658</v>
      </c>
      <c r="E1635" s="348">
        <v>47058</v>
      </c>
      <c r="F1635" s="346" t="s">
        <v>637</v>
      </c>
      <c r="G1635" s="350" t="s">
        <v>712</v>
      </c>
      <c r="H1635" s="351">
        <f t="shared" si="28"/>
        <v>90710</v>
      </c>
      <c r="I1635" s="120" t="str">
        <f>IF(OR(D1635&lt;Capa!$A$5,D1635&gt;Capa!$A$7,E1635&lt;Capa!$A$5,E1635&gt;Capa!$A$7,D1635&gt;E1635),"Erro","")</f>
        <v/>
      </c>
    </row>
    <row r="1636" spans="1:9" ht="45">
      <c r="A1636" s="345">
        <v>1633</v>
      </c>
      <c r="B1636" s="346" t="s">
        <v>652</v>
      </c>
      <c r="C1636" s="347">
        <v>15000</v>
      </c>
      <c r="D1636" s="348">
        <v>45689</v>
      </c>
      <c r="E1636" s="348">
        <v>45689</v>
      </c>
      <c r="F1636" s="346" t="s">
        <v>637</v>
      </c>
      <c r="G1636" s="350" t="s">
        <v>624</v>
      </c>
      <c r="H1636" s="351">
        <f t="shared" si="28"/>
        <v>15000</v>
      </c>
      <c r="I1636" s="120" t="str">
        <f>IF(OR(D1636&lt;Capa!$A$5,D1636&gt;Capa!$A$7,E1636&lt;Capa!$A$5,E1636&gt;Capa!$A$7,D1636&gt;E1636),"Erro","")</f>
        <v/>
      </c>
    </row>
    <row r="1637" spans="1:9" ht="45">
      <c r="A1637" s="345">
        <v>1634</v>
      </c>
      <c r="B1637" s="346" t="s">
        <v>652</v>
      </c>
      <c r="C1637" s="347">
        <v>10000</v>
      </c>
      <c r="D1637" s="348">
        <v>46419</v>
      </c>
      <c r="E1637" s="348">
        <v>46419</v>
      </c>
      <c r="F1637" s="346" t="s">
        <v>637</v>
      </c>
      <c r="G1637" s="350" t="s">
        <v>624</v>
      </c>
      <c r="H1637" s="351">
        <f t="shared" si="28"/>
        <v>10000</v>
      </c>
      <c r="I1637" s="120" t="str">
        <f>IF(OR(D1637&lt;Capa!$A$5,D1637&gt;Capa!$A$7,E1637&lt;Capa!$A$5,E1637&gt;Capa!$A$7,D1637&gt;E1637),"Erro","")</f>
        <v/>
      </c>
    </row>
    <row r="1638" spans="1:9" ht="33.75">
      <c r="A1638" s="345">
        <v>1635</v>
      </c>
      <c r="B1638" s="346" t="s">
        <v>650</v>
      </c>
      <c r="C1638" s="347">
        <v>70</v>
      </c>
      <c r="D1638" s="348">
        <v>45261</v>
      </c>
      <c r="E1638" s="348">
        <v>47058</v>
      </c>
      <c r="F1638" s="346" t="s">
        <v>637</v>
      </c>
      <c r="G1638" s="350" t="s">
        <v>711</v>
      </c>
      <c r="H1638" s="351">
        <f t="shared" si="28"/>
        <v>4200</v>
      </c>
      <c r="I1638" s="120" t="str">
        <f>IF(OR(D1638&lt;Capa!$A$5,D1638&gt;Capa!$A$7,E1638&lt;Capa!$A$5,E1638&gt;Capa!$A$7,D1638&gt;E1638),"Erro","")</f>
        <v/>
      </c>
    </row>
    <row r="1639" spans="1:9" ht="33.75">
      <c r="A1639" s="345">
        <v>1636</v>
      </c>
      <c r="B1639" s="346" t="s">
        <v>648</v>
      </c>
      <c r="C1639" s="347">
        <v>3400</v>
      </c>
      <c r="D1639" s="348">
        <v>45323</v>
      </c>
      <c r="E1639" s="348">
        <v>45323</v>
      </c>
      <c r="F1639" s="346" t="s">
        <v>637</v>
      </c>
      <c r="G1639" s="350" t="s">
        <v>670</v>
      </c>
      <c r="H1639" s="351">
        <f t="shared" si="28"/>
        <v>3400</v>
      </c>
      <c r="I1639" s="120" t="str">
        <f>IF(OR(D1639&lt;Capa!$A$5,D1639&gt;Capa!$A$7,E1639&lt;Capa!$A$5,E1639&gt;Capa!$A$7,D1639&gt;E1639),"Erro","")</f>
        <v/>
      </c>
    </row>
    <row r="1640" spans="1:9" ht="33.75">
      <c r="A1640" s="345">
        <v>1637</v>
      </c>
      <c r="B1640" s="346" t="s">
        <v>648</v>
      </c>
      <c r="C1640" s="347">
        <v>3604</v>
      </c>
      <c r="D1640" s="348">
        <v>45658</v>
      </c>
      <c r="E1640" s="348">
        <v>45658</v>
      </c>
      <c r="F1640" s="346" t="s">
        <v>637</v>
      </c>
      <c r="G1640" s="350" t="s">
        <v>670</v>
      </c>
      <c r="H1640" s="351">
        <f t="shared" si="28"/>
        <v>3604</v>
      </c>
      <c r="I1640" s="120" t="str">
        <f>IF(OR(D1640&lt;Capa!$A$5,D1640&gt;Capa!$A$7,E1640&lt;Capa!$A$5,E1640&gt;Capa!$A$7,D1640&gt;E1640),"Erro","")</f>
        <v/>
      </c>
    </row>
    <row r="1641" spans="1:9" ht="33.75">
      <c r="A1641" s="345">
        <v>1638</v>
      </c>
      <c r="B1641" s="346" t="s">
        <v>648</v>
      </c>
      <c r="C1641" s="347">
        <v>3820.24</v>
      </c>
      <c r="D1641" s="348">
        <v>46023</v>
      </c>
      <c r="E1641" s="348">
        <v>46023</v>
      </c>
      <c r="F1641" s="346" t="s">
        <v>637</v>
      </c>
      <c r="G1641" s="350" t="s">
        <v>670</v>
      </c>
      <c r="H1641" s="351">
        <f t="shared" si="28"/>
        <v>3820.24</v>
      </c>
      <c r="I1641" s="120" t="str">
        <f>IF(OR(D1641&lt;Capa!$A$5,D1641&gt;Capa!$A$7,E1641&lt;Capa!$A$5,E1641&gt;Capa!$A$7,D1641&gt;E1641),"Erro","")</f>
        <v/>
      </c>
    </row>
    <row r="1642" spans="1:9" ht="33.75">
      <c r="A1642" s="345">
        <v>1639</v>
      </c>
      <c r="B1642" s="346" t="s">
        <v>648</v>
      </c>
      <c r="C1642" s="347">
        <v>4049.45</v>
      </c>
      <c r="D1642" s="348">
        <v>46388</v>
      </c>
      <c r="E1642" s="348">
        <v>46388</v>
      </c>
      <c r="F1642" s="346" t="s">
        <v>637</v>
      </c>
      <c r="G1642" s="350" t="s">
        <v>670</v>
      </c>
      <c r="H1642" s="351">
        <f t="shared" si="28"/>
        <v>4049.45</v>
      </c>
      <c r="I1642" s="120" t="str">
        <f>IF(OR(D1642&lt;Capa!$A$5,D1642&gt;Capa!$A$7,E1642&lt;Capa!$A$5,E1642&gt;Capa!$A$7,D1642&gt;E1642),"Erro","")</f>
        <v/>
      </c>
    </row>
    <row r="1643" spans="1:9" ht="33.75">
      <c r="A1643" s="345">
        <v>1640</v>
      </c>
      <c r="B1643" s="346" t="s">
        <v>648</v>
      </c>
      <c r="C1643" s="347">
        <v>4292.42</v>
      </c>
      <c r="D1643" s="348">
        <v>46753</v>
      </c>
      <c r="E1643" s="348">
        <v>46753</v>
      </c>
      <c r="F1643" s="346" t="s">
        <v>637</v>
      </c>
      <c r="G1643" s="350" t="s">
        <v>670</v>
      </c>
      <c r="H1643" s="351">
        <f t="shared" si="28"/>
        <v>4292.42</v>
      </c>
      <c r="I1643" s="120" t="str">
        <f>IF(OR(D1643&lt;Capa!$A$5,D1643&gt;Capa!$A$7,E1643&lt;Capa!$A$5,E1643&gt;Capa!$A$7,D1643&gt;E1643),"Erro","")</f>
        <v/>
      </c>
    </row>
    <row r="1644" spans="1:9" ht="22.5">
      <c r="A1644" s="345">
        <v>1641</v>
      </c>
      <c r="B1644" s="346" t="s">
        <v>649</v>
      </c>
      <c r="C1644" s="347">
        <v>70000</v>
      </c>
      <c r="D1644" s="348">
        <v>45748</v>
      </c>
      <c r="E1644" s="348">
        <v>45748</v>
      </c>
      <c r="F1644" s="346" t="s">
        <v>637</v>
      </c>
      <c r="G1644" s="350" t="s">
        <v>739</v>
      </c>
      <c r="H1644" s="351">
        <f t="shared" si="28"/>
        <v>70000</v>
      </c>
    </row>
    <row r="1645" spans="1:9" ht="33.75">
      <c r="A1645" s="345">
        <v>1642</v>
      </c>
      <c r="B1645" s="346" t="s">
        <v>649</v>
      </c>
      <c r="C1645" s="347">
        <v>1643</v>
      </c>
      <c r="D1645" s="348">
        <v>45292</v>
      </c>
      <c r="E1645" s="348">
        <v>47058</v>
      </c>
      <c r="F1645" s="346" t="s">
        <v>637</v>
      </c>
      <c r="G1645" s="350" t="s">
        <v>705</v>
      </c>
      <c r="H1645" s="351">
        <f t="shared" si="28"/>
        <v>96937</v>
      </c>
      <c r="I1645" s="120" t="str">
        <f>IF(OR(D1645&lt;Capa!$A$5,D1645&gt;Capa!$A$7,E1645&lt;Capa!$A$5,E1645&gt;Capa!$A$7,D1645&gt;E1645),"Erro","")</f>
        <v/>
      </c>
    </row>
    <row r="1646" spans="1:9" ht="33.75">
      <c r="A1646" s="345">
        <v>1643</v>
      </c>
      <c r="B1646" s="346" t="s">
        <v>654</v>
      </c>
      <c r="C1646" s="347">
        <v>600</v>
      </c>
      <c r="D1646" s="348">
        <v>45261</v>
      </c>
      <c r="E1646" s="348">
        <v>45627</v>
      </c>
      <c r="F1646" s="346" t="s">
        <v>637</v>
      </c>
      <c r="G1646" s="350" t="s">
        <v>706</v>
      </c>
      <c r="H1646" s="351">
        <f t="shared" si="28"/>
        <v>7800</v>
      </c>
    </row>
    <row r="1647" spans="1:9" ht="33.75">
      <c r="A1647" s="345">
        <v>1644</v>
      </c>
      <c r="B1647" s="346" t="s">
        <v>654</v>
      </c>
      <c r="C1647" s="347">
        <v>1100</v>
      </c>
      <c r="D1647" s="348">
        <v>45658</v>
      </c>
      <c r="E1647" s="348">
        <v>47058</v>
      </c>
      <c r="F1647" s="346" t="s">
        <v>637</v>
      </c>
      <c r="G1647" s="350" t="s">
        <v>706</v>
      </c>
      <c r="H1647" s="351">
        <f t="shared" si="28"/>
        <v>51700</v>
      </c>
      <c r="I1647" s="120" t="str">
        <f>IF(OR(D1647&lt;Capa!$A$5,D1647&gt;Capa!$A$7,E1647&lt;Capa!$A$5,E1647&gt;Capa!$A$7,D1647&gt;E1647),"Erro","")</f>
        <v/>
      </c>
    </row>
    <row r="1648" spans="1:9" ht="22.5">
      <c r="A1648" s="345">
        <v>1645</v>
      </c>
      <c r="B1648" s="346" t="s">
        <v>656</v>
      </c>
      <c r="C1648" s="347">
        <v>200</v>
      </c>
      <c r="D1648" s="348">
        <v>45261</v>
      </c>
      <c r="E1648" s="348">
        <v>47058</v>
      </c>
      <c r="F1648" s="346" t="s">
        <v>637</v>
      </c>
      <c r="G1648" s="350" t="s">
        <v>707</v>
      </c>
      <c r="H1648" s="351">
        <f t="shared" si="28"/>
        <v>12000</v>
      </c>
      <c r="I1648" s="120" t="str">
        <f>IF(OR(D1648&lt;Capa!$A$5,D1648&gt;Capa!$A$7,E1648&lt;Capa!$A$5,E1648&gt;Capa!$A$7,D1648&gt;E1648),"Erro","")</f>
        <v/>
      </c>
    </row>
    <row r="1649" spans="1:9" ht="22.5">
      <c r="A1649" s="345">
        <v>1646</v>
      </c>
      <c r="B1649" s="346" t="s">
        <v>658</v>
      </c>
      <c r="C1649" s="347">
        <v>50</v>
      </c>
      <c r="D1649" s="348">
        <v>45261</v>
      </c>
      <c r="E1649" s="348">
        <v>47058</v>
      </c>
      <c r="F1649" s="346" t="s">
        <v>637</v>
      </c>
      <c r="G1649" s="350" t="s">
        <v>709</v>
      </c>
      <c r="H1649" s="351">
        <f t="shared" si="28"/>
        <v>3000</v>
      </c>
      <c r="I1649" s="120" t="str">
        <f>IF(OR(D1649&lt;Capa!$A$5,D1649&gt;Capa!$A$7,E1649&lt;Capa!$A$5,E1649&gt;Capa!$A$7,D1649&gt;E1649),"Erro","")</f>
        <v/>
      </c>
    </row>
    <row r="1650" spans="1:9" ht="33.75">
      <c r="A1650" s="345">
        <v>1647</v>
      </c>
      <c r="B1650" s="346" t="s">
        <v>657</v>
      </c>
      <c r="C1650" s="347">
        <v>350</v>
      </c>
      <c r="D1650" s="348">
        <v>45658</v>
      </c>
      <c r="E1650" s="348">
        <v>47058</v>
      </c>
      <c r="F1650" s="346" t="s">
        <v>637</v>
      </c>
      <c r="G1650" s="350" t="s">
        <v>708</v>
      </c>
      <c r="H1650" s="351">
        <f t="shared" si="28"/>
        <v>16450</v>
      </c>
      <c r="I1650" s="120" t="str">
        <f>IF(OR(D1650&lt;Capa!$A$5,D1650&gt;Capa!$A$7,E1650&lt;Capa!$A$5,E1650&gt;Capa!$A$7,D1650&gt;E1650),"Erro","")</f>
        <v/>
      </c>
    </row>
    <row r="1651" spans="1:9" ht="45">
      <c r="A1651" s="345">
        <v>1648</v>
      </c>
      <c r="B1651" s="346" t="s">
        <v>320</v>
      </c>
      <c r="C1651" s="347">
        <v>4545.7737500000003</v>
      </c>
      <c r="D1651" s="348">
        <v>45778</v>
      </c>
      <c r="E1651" s="348">
        <v>45992</v>
      </c>
      <c r="F1651" s="346" t="s">
        <v>637</v>
      </c>
      <c r="G1651" s="350" t="s">
        <v>596</v>
      </c>
      <c r="H1651" s="351">
        <f t="shared" si="28"/>
        <v>36366.19</v>
      </c>
    </row>
    <row r="1652" spans="1:9" ht="45">
      <c r="A1652" s="345">
        <v>1649</v>
      </c>
      <c r="B1652" s="346" t="s">
        <v>320</v>
      </c>
      <c r="C1652" s="347">
        <v>250</v>
      </c>
      <c r="D1652" s="348">
        <v>45748</v>
      </c>
      <c r="E1652" s="348">
        <v>47058</v>
      </c>
      <c r="F1652" s="346" t="s">
        <v>637</v>
      </c>
      <c r="G1652" s="350" t="s">
        <v>596</v>
      </c>
      <c r="H1652" s="351">
        <f t="shared" si="28"/>
        <v>11000</v>
      </c>
      <c r="I1652" s="120" t="str">
        <f>IF(OR(D1652&lt;Capa!$A$5,D1652&gt;Capa!$A$7,E1652&lt;Capa!$A$5,E1652&gt;Capa!$A$7,D1652&gt;E1652),"Erro","")</f>
        <v/>
      </c>
    </row>
    <row r="1653" spans="1:9" ht="22.5">
      <c r="A1653" s="345">
        <v>1650</v>
      </c>
      <c r="B1653" s="346" t="s">
        <v>198</v>
      </c>
      <c r="C1653" s="347">
        <v>10000</v>
      </c>
      <c r="D1653" s="348">
        <v>45261</v>
      </c>
      <c r="E1653" s="348">
        <v>45627</v>
      </c>
      <c r="F1653" s="346" t="s">
        <v>638</v>
      </c>
      <c r="G1653" s="350" t="s">
        <v>438</v>
      </c>
      <c r="H1653" s="351">
        <f t="shared" si="28"/>
        <v>130000</v>
      </c>
      <c r="I1653" s="120" t="str">
        <f>IF(OR(D1653&lt;Capa!$A$5,D1653&gt;Capa!$A$7,E1653&lt;Capa!$A$5,E1653&gt;Capa!$A$7,D1653&gt;E1653),"Erro","")</f>
        <v/>
      </c>
    </row>
    <row r="1654" spans="1:9" ht="22.5">
      <c r="A1654" s="345">
        <v>1651</v>
      </c>
      <c r="B1654" s="346" t="s">
        <v>198</v>
      </c>
      <c r="C1654" s="347">
        <v>11642.4</v>
      </c>
      <c r="D1654" s="348">
        <v>45658</v>
      </c>
      <c r="E1654" s="348">
        <v>45992</v>
      </c>
      <c r="F1654" s="346" t="s">
        <v>638</v>
      </c>
      <c r="G1654" s="350" t="s">
        <v>438</v>
      </c>
      <c r="H1654" s="351">
        <f t="shared" si="28"/>
        <v>139708.79999999999</v>
      </c>
      <c r="I1654" s="120" t="str">
        <f>IF(OR(D1654&lt;Capa!$A$5,D1654&gt;Capa!$A$7,E1654&lt;Capa!$A$5,E1654&gt;Capa!$A$7,D1654&gt;E1654),"Erro","")</f>
        <v/>
      </c>
    </row>
    <row r="1655" spans="1:9" ht="22.5">
      <c r="A1655" s="345">
        <v>1652</v>
      </c>
      <c r="B1655" s="346" t="s">
        <v>198</v>
      </c>
      <c r="C1655" s="347">
        <v>12322.16</v>
      </c>
      <c r="D1655" s="348">
        <v>46023</v>
      </c>
      <c r="E1655" s="348">
        <v>46357</v>
      </c>
      <c r="F1655" s="346" t="s">
        <v>638</v>
      </c>
      <c r="G1655" s="350" t="s">
        <v>438</v>
      </c>
      <c r="H1655" s="351">
        <f t="shared" si="28"/>
        <v>147865.91999999998</v>
      </c>
      <c r="I1655" s="120" t="str">
        <f>IF(OR(D1655&lt;Capa!$A$5,D1655&gt;Capa!$A$7,E1655&lt;Capa!$A$5,E1655&gt;Capa!$A$7,D1655&gt;E1655),"Erro","")</f>
        <v/>
      </c>
    </row>
    <row r="1656" spans="1:9" ht="22.5">
      <c r="A1656" s="345">
        <v>1653</v>
      </c>
      <c r="B1656" s="346" t="s">
        <v>198</v>
      </c>
      <c r="C1656" s="347">
        <v>13041.93</v>
      </c>
      <c r="D1656" s="348">
        <v>46388</v>
      </c>
      <c r="E1656" s="348">
        <v>46722</v>
      </c>
      <c r="F1656" s="346" t="s">
        <v>638</v>
      </c>
      <c r="G1656" s="350" t="s">
        <v>438</v>
      </c>
      <c r="H1656" s="351">
        <f t="shared" si="28"/>
        <v>156503.16</v>
      </c>
      <c r="I1656" s="120" t="str">
        <f>IF(OR(D1656&lt;Capa!$A$5,D1656&gt;Capa!$A$7,E1656&lt;Capa!$A$5,E1656&gt;Capa!$A$7,D1656&gt;E1656),"Erro","")</f>
        <v/>
      </c>
    </row>
    <row r="1657" spans="1:9" ht="22.5">
      <c r="A1657" s="345">
        <v>1654</v>
      </c>
      <c r="B1657" s="346" t="s">
        <v>198</v>
      </c>
      <c r="C1657" s="347">
        <v>13803.58</v>
      </c>
      <c r="D1657" s="348">
        <v>46753</v>
      </c>
      <c r="E1657" s="348">
        <v>47058</v>
      </c>
      <c r="F1657" s="346" t="s">
        <v>638</v>
      </c>
      <c r="G1657" s="350" t="s">
        <v>438</v>
      </c>
      <c r="H1657" s="351">
        <f t="shared" si="28"/>
        <v>151839.38</v>
      </c>
      <c r="I1657" s="120" t="str">
        <f>IF(OR(D1657&lt;Capa!$A$5,D1657&gt;Capa!$A$7,E1657&lt;Capa!$A$5,E1657&gt;Capa!$A$7,D1657&gt;E1657),"Erro","")</f>
        <v/>
      </c>
    </row>
    <row r="1658" spans="1:9" ht="22.5">
      <c r="A1658" s="345">
        <v>1655</v>
      </c>
      <c r="B1658" s="346" t="s">
        <v>202</v>
      </c>
      <c r="C1658" s="347">
        <v>875</v>
      </c>
      <c r="D1658" s="348">
        <v>45292</v>
      </c>
      <c r="E1658" s="348">
        <v>45627</v>
      </c>
      <c r="F1658" s="346" t="s">
        <v>638</v>
      </c>
      <c r="G1658" s="350" t="s">
        <v>439</v>
      </c>
      <c r="H1658" s="351">
        <f t="shared" si="28"/>
        <v>10500</v>
      </c>
      <c r="I1658" s="120" t="str">
        <f>IF(OR(D1658&lt;Capa!$A$5,D1658&gt;Capa!$A$7,E1658&lt;Capa!$A$5,E1658&gt;Capa!$A$7,D1658&gt;E1658),"Erro","")</f>
        <v/>
      </c>
    </row>
    <row r="1659" spans="1:9" ht="22.5">
      <c r="A1659" s="345">
        <v>1656</v>
      </c>
      <c r="B1659" s="346" t="s">
        <v>202</v>
      </c>
      <c r="C1659" s="347">
        <v>926.1</v>
      </c>
      <c r="D1659" s="348">
        <v>45658</v>
      </c>
      <c r="E1659" s="348">
        <v>45992</v>
      </c>
      <c r="F1659" s="346" t="s">
        <v>638</v>
      </c>
      <c r="G1659" s="350" t="s">
        <v>439</v>
      </c>
      <c r="H1659" s="351">
        <f t="shared" si="28"/>
        <v>11113.2</v>
      </c>
      <c r="I1659" s="120" t="str">
        <f>IF(OR(D1659&lt;Capa!$A$5,D1659&gt;Capa!$A$7,E1659&lt;Capa!$A$5,E1659&gt;Capa!$A$7,D1659&gt;E1659),"Erro","")</f>
        <v/>
      </c>
    </row>
    <row r="1660" spans="1:9" ht="22.5">
      <c r="A1660" s="345">
        <v>1657</v>
      </c>
      <c r="B1660" s="346" t="s">
        <v>202</v>
      </c>
      <c r="C1660" s="347">
        <v>980.18</v>
      </c>
      <c r="D1660" s="348">
        <v>46023</v>
      </c>
      <c r="E1660" s="348">
        <v>46357</v>
      </c>
      <c r="F1660" s="346" t="s">
        <v>638</v>
      </c>
      <c r="G1660" s="350" t="s">
        <v>439</v>
      </c>
      <c r="H1660" s="351">
        <f t="shared" si="28"/>
        <v>11762.16</v>
      </c>
      <c r="I1660" s="120" t="str">
        <f>IF(OR(D1660&lt;Capa!$A$5,D1660&gt;Capa!$A$7,E1660&lt;Capa!$A$5,E1660&gt;Capa!$A$7,D1660&gt;E1660),"Erro","")</f>
        <v/>
      </c>
    </row>
    <row r="1661" spans="1:9" ht="22.5">
      <c r="A1661" s="345">
        <v>1658</v>
      </c>
      <c r="B1661" s="346" t="s">
        <v>202</v>
      </c>
      <c r="C1661" s="347">
        <v>1037.42</v>
      </c>
      <c r="D1661" s="348">
        <v>46388</v>
      </c>
      <c r="E1661" s="348">
        <v>46722</v>
      </c>
      <c r="F1661" s="346" t="s">
        <v>638</v>
      </c>
      <c r="G1661" s="350" t="s">
        <v>439</v>
      </c>
      <c r="H1661" s="351">
        <f t="shared" si="28"/>
        <v>12449.04</v>
      </c>
      <c r="I1661" s="120" t="str">
        <f>IF(OR(D1661&lt;Capa!$A$5,D1661&gt;Capa!$A$7,E1661&lt;Capa!$A$5,E1661&gt;Capa!$A$7,D1661&gt;E1661),"Erro","")</f>
        <v/>
      </c>
    </row>
    <row r="1662" spans="1:9" ht="22.5">
      <c r="A1662" s="345">
        <v>1659</v>
      </c>
      <c r="B1662" s="346" t="s">
        <v>202</v>
      </c>
      <c r="C1662" s="347">
        <v>1098.01</v>
      </c>
      <c r="D1662" s="348">
        <v>46753</v>
      </c>
      <c r="E1662" s="348">
        <v>47058</v>
      </c>
      <c r="F1662" s="346" t="s">
        <v>638</v>
      </c>
      <c r="G1662" s="350" t="s">
        <v>439</v>
      </c>
      <c r="H1662" s="351">
        <f t="shared" si="28"/>
        <v>12078.11</v>
      </c>
      <c r="I1662" s="120" t="str">
        <f>IF(OR(D1662&lt;Capa!$A$5,D1662&gt;Capa!$A$7,E1662&lt;Capa!$A$5,E1662&gt;Capa!$A$7,D1662&gt;E1662),"Erro","")</f>
        <v/>
      </c>
    </row>
    <row r="1663" spans="1:9" ht="22.5">
      <c r="A1663" s="345">
        <v>1660</v>
      </c>
      <c r="B1663" s="346" t="s">
        <v>204</v>
      </c>
      <c r="C1663" s="347">
        <v>2505.17</v>
      </c>
      <c r="D1663" s="348">
        <v>45292</v>
      </c>
      <c r="E1663" s="348">
        <v>45474</v>
      </c>
      <c r="F1663" s="346" t="s">
        <v>638</v>
      </c>
      <c r="G1663" s="350" t="s">
        <v>439</v>
      </c>
      <c r="H1663" s="351">
        <f t="shared" si="28"/>
        <v>17536.190000000002</v>
      </c>
      <c r="I1663" s="120" t="str">
        <f>IF(OR(D1663&lt;Capa!$A$5,D1663&gt;Capa!$A$7,E1663&lt;Capa!$A$5,E1663&gt;Capa!$A$7,D1663&gt;E1663),"Erro","")</f>
        <v/>
      </c>
    </row>
    <row r="1664" spans="1:9" ht="22.5">
      <c r="A1664" s="345">
        <v>1661</v>
      </c>
      <c r="B1664" s="346" t="s">
        <v>204</v>
      </c>
      <c r="C1664" s="347">
        <v>2651.48</v>
      </c>
      <c r="D1664" s="348">
        <v>45658</v>
      </c>
      <c r="E1664" s="348">
        <v>45839</v>
      </c>
      <c r="F1664" s="346" t="s">
        <v>638</v>
      </c>
      <c r="G1664" s="350" t="s">
        <v>439</v>
      </c>
      <c r="H1664" s="351">
        <f t="shared" si="28"/>
        <v>18560.36</v>
      </c>
      <c r="I1664" s="120" t="str">
        <f>IF(OR(D1664&lt;Capa!$A$5,D1664&gt;Capa!$A$7,E1664&lt;Capa!$A$5,E1664&gt;Capa!$A$7,D1664&gt;E1664),"Erro","")</f>
        <v/>
      </c>
    </row>
    <row r="1665" spans="1:9" ht="22.5">
      <c r="A1665" s="345">
        <v>1662</v>
      </c>
      <c r="B1665" s="346" t="s">
        <v>204</v>
      </c>
      <c r="C1665" s="347">
        <v>2806.32</v>
      </c>
      <c r="D1665" s="348">
        <v>46023</v>
      </c>
      <c r="E1665" s="348">
        <v>46204</v>
      </c>
      <c r="F1665" s="346" t="s">
        <v>638</v>
      </c>
      <c r="G1665" s="350" t="s">
        <v>439</v>
      </c>
      <c r="H1665" s="351">
        <f t="shared" si="28"/>
        <v>19644.240000000002</v>
      </c>
      <c r="I1665" s="120" t="str">
        <f>IF(OR(D1665&lt;Capa!$A$5,D1665&gt;Capa!$A$7,E1665&lt;Capa!$A$5,E1665&gt;Capa!$A$7,D1665&gt;E1665),"Erro","")</f>
        <v/>
      </c>
    </row>
    <row r="1666" spans="1:9" ht="22.5">
      <c r="A1666" s="345">
        <v>1663</v>
      </c>
      <c r="B1666" s="346" t="s">
        <v>204</v>
      </c>
      <c r="C1666" s="347">
        <v>2970.21</v>
      </c>
      <c r="D1666" s="348">
        <v>46388</v>
      </c>
      <c r="E1666" s="348">
        <v>46569</v>
      </c>
      <c r="F1666" s="346" t="s">
        <v>638</v>
      </c>
      <c r="G1666" s="350" t="s">
        <v>439</v>
      </c>
      <c r="H1666" s="351">
        <f t="shared" si="28"/>
        <v>20791.47</v>
      </c>
      <c r="I1666" s="120" t="str">
        <f>IF(OR(D1666&lt;Capa!$A$5,D1666&gt;Capa!$A$7,E1666&lt;Capa!$A$5,E1666&gt;Capa!$A$7,D1666&gt;E1666),"Erro","")</f>
        <v/>
      </c>
    </row>
    <row r="1667" spans="1:9" ht="22.5">
      <c r="A1667" s="345">
        <v>1664</v>
      </c>
      <c r="B1667" s="346" t="s">
        <v>204</v>
      </c>
      <c r="C1667" s="347">
        <v>3143.68</v>
      </c>
      <c r="D1667" s="348">
        <v>46753</v>
      </c>
      <c r="E1667" s="348">
        <v>46935</v>
      </c>
      <c r="F1667" s="346" t="s">
        <v>638</v>
      </c>
      <c r="G1667" s="350" t="s">
        <v>439</v>
      </c>
      <c r="H1667" s="351">
        <f t="shared" si="28"/>
        <v>22005.759999999998</v>
      </c>
      <c r="I1667" s="120" t="str">
        <f>IF(OR(D1667&lt;Capa!$A$5,D1667&gt;Capa!$A$7,E1667&lt;Capa!$A$5,E1667&gt;Capa!$A$7,D1667&gt;E1667),"Erro","")</f>
        <v/>
      </c>
    </row>
    <row r="1668" spans="1:9" ht="22.5">
      <c r="A1668" s="345">
        <v>1665</v>
      </c>
      <c r="B1668" s="346" t="s">
        <v>206</v>
      </c>
      <c r="C1668" s="347">
        <v>1441.64</v>
      </c>
      <c r="D1668" s="348">
        <v>45261</v>
      </c>
      <c r="E1668" s="348">
        <v>45627</v>
      </c>
      <c r="F1668" s="346" t="s">
        <v>638</v>
      </c>
      <c r="G1668" s="350" t="s">
        <v>440</v>
      </c>
      <c r="H1668" s="351">
        <f t="shared" si="28"/>
        <v>18741.32</v>
      </c>
      <c r="I1668" s="120" t="str">
        <f>IF(OR(D1668&lt;Capa!$A$5,D1668&gt;Capa!$A$7,E1668&lt;Capa!$A$5,E1668&gt;Capa!$A$7,D1668&gt;E1668),"Erro","")</f>
        <v/>
      </c>
    </row>
    <row r="1669" spans="1:9" ht="22.5">
      <c r="A1669" s="345">
        <v>1666</v>
      </c>
      <c r="B1669" s="346" t="s">
        <v>206</v>
      </c>
      <c r="C1669" s="347">
        <v>1525.84</v>
      </c>
      <c r="D1669" s="348">
        <v>45658</v>
      </c>
      <c r="E1669" s="348">
        <v>45992</v>
      </c>
      <c r="F1669" s="346" t="s">
        <v>638</v>
      </c>
      <c r="G1669" s="350" t="s">
        <v>440</v>
      </c>
      <c r="H1669" s="351">
        <f t="shared" si="28"/>
        <v>18310.079999999998</v>
      </c>
      <c r="I1669" s="120" t="str">
        <f>IF(OR(D1669&lt;Capa!$A$5,D1669&gt;Capa!$A$7,E1669&lt;Capa!$A$5,E1669&gt;Capa!$A$7,D1669&gt;E1669),"Erro","")</f>
        <v/>
      </c>
    </row>
    <row r="1670" spans="1:9" ht="22.5">
      <c r="A1670" s="345">
        <v>1667</v>
      </c>
      <c r="B1670" s="346" t="s">
        <v>206</v>
      </c>
      <c r="C1670" s="347">
        <v>1614.95</v>
      </c>
      <c r="D1670" s="348">
        <v>46023</v>
      </c>
      <c r="E1670" s="348">
        <v>46357</v>
      </c>
      <c r="F1670" s="346" t="s">
        <v>638</v>
      </c>
      <c r="G1670" s="350" t="s">
        <v>440</v>
      </c>
      <c r="H1670" s="351">
        <f t="shared" si="28"/>
        <v>19379.400000000001</v>
      </c>
      <c r="I1670" s="120" t="str">
        <f>IF(OR(D1670&lt;Capa!$A$5,D1670&gt;Capa!$A$7,E1670&lt;Capa!$A$5,E1670&gt;Capa!$A$7,D1670&gt;E1670),"Erro","")</f>
        <v/>
      </c>
    </row>
    <row r="1671" spans="1:9" ht="22.5">
      <c r="A1671" s="345">
        <v>1668</v>
      </c>
      <c r="B1671" s="346" t="s">
        <v>206</v>
      </c>
      <c r="C1671" s="347">
        <v>1709.26</v>
      </c>
      <c r="D1671" s="348">
        <v>46388</v>
      </c>
      <c r="E1671" s="348">
        <v>46722</v>
      </c>
      <c r="F1671" s="346" t="s">
        <v>638</v>
      </c>
      <c r="G1671" s="350" t="s">
        <v>440</v>
      </c>
      <c r="H1671" s="351">
        <f t="shared" si="28"/>
        <v>20511.12</v>
      </c>
      <c r="I1671" s="120" t="str">
        <f>IF(OR(D1671&lt;Capa!$A$5,D1671&gt;Capa!$A$7,E1671&lt;Capa!$A$5,E1671&gt;Capa!$A$7,D1671&gt;E1671),"Erro","")</f>
        <v/>
      </c>
    </row>
    <row r="1672" spans="1:9" ht="22.5">
      <c r="A1672" s="345">
        <v>1669</v>
      </c>
      <c r="B1672" s="346" t="s">
        <v>206</v>
      </c>
      <c r="C1672" s="347">
        <v>1809.08</v>
      </c>
      <c r="D1672" s="348">
        <v>46753</v>
      </c>
      <c r="E1672" s="348">
        <v>47058</v>
      </c>
      <c r="F1672" s="346" t="s">
        <v>638</v>
      </c>
      <c r="G1672" s="350" t="s">
        <v>440</v>
      </c>
      <c r="H1672" s="351">
        <f t="shared" si="28"/>
        <v>19899.879999999997</v>
      </c>
      <c r="I1672" s="120" t="str">
        <f>IF(OR(D1672&lt;Capa!$A$5,D1672&gt;Capa!$A$7,E1672&lt;Capa!$A$5,E1672&gt;Capa!$A$7,D1672&gt;E1672),"Erro","")</f>
        <v/>
      </c>
    </row>
    <row r="1673" spans="1:9" ht="22.5">
      <c r="A1673" s="345">
        <v>1670</v>
      </c>
      <c r="B1673" s="346" t="s">
        <v>208</v>
      </c>
      <c r="C1673" s="347">
        <v>1638</v>
      </c>
      <c r="D1673" s="348">
        <v>45261</v>
      </c>
      <c r="E1673" s="348">
        <v>45627</v>
      </c>
      <c r="F1673" s="346" t="s">
        <v>638</v>
      </c>
      <c r="G1673" s="350" t="s">
        <v>440</v>
      </c>
      <c r="H1673" s="351">
        <f t="shared" si="28"/>
        <v>21294</v>
      </c>
      <c r="I1673" s="120" t="str">
        <f>IF(OR(D1673&lt;Capa!$A$5,D1673&gt;Capa!$A$7,E1673&lt;Capa!$A$5,E1673&gt;Capa!$A$7,D1673&gt;E1673),"Erro","")</f>
        <v/>
      </c>
    </row>
    <row r="1674" spans="1:9" ht="22.5">
      <c r="A1674" s="345">
        <v>1671</v>
      </c>
      <c r="B1674" s="346" t="s">
        <v>208</v>
      </c>
      <c r="C1674" s="347">
        <v>1733.89</v>
      </c>
      <c r="D1674" s="348">
        <v>45658</v>
      </c>
      <c r="E1674" s="348">
        <v>45992</v>
      </c>
      <c r="F1674" s="346" t="s">
        <v>638</v>
      </c>
      <c r="G1674" s="350" t="s">
        <v>440</v>
      </c>
      <c r="H1674" s="351">
        <f t="shared" si="28"/>
        <v>20806.68</v>
      </c>
      <c r="I1674" s="120" t="str">
        <f>IF(OR(D1674&lt;Capa!$A$5,D1674&gt;Capa!$A$7,E1674&lt;Capa!$A$5,E1674&gt;Capa!$A$7,D1674&gt;E1674),"Erro","")</f>
        <v/>
      </c>
    </row>
    <row r="1675" spans="1:9" ht="22.5">
      <c r="A1675" s="345">
        <v>1672</v>
      </c>
      <c r="B1675" s="346" t="s">
        <v>208</v>
      </c>
      <c r="C1675" s="347">
        <v>1835.15</v>
      </c>
      <c r="D1675" s="348">
        <v>46023</v>
      </c>
      <c r="E1675" s="348">
        <v>46357</v>
      </c>
      <c r="F1675" s="346" t="s">
        <v>638</v>
      </c>
      <c r="G1675" s="350" t="s">
        <v>440</v>
      </c>
      <c r="H1675" s="351">
        <f t="shared" si="28"/>
        <v>22021.800000000003</v>
      </c>
      <c r="I1675" s="120" t="str">
        <f>IF(OR(D1675&lt;Capa!$A$5,D1675&gt;Capa!$A$7,E1675&lt;Capa!$A$5,E1675&gt;Capa!$A$7,D1675&gt;E1675),"Erro","")</f>
        <v/>
      </c>
    </row>
    <row r="1676" spans="1:9" ht="22.5">
      <c r="A1676" s="345">
        <v>1673</v>
      </c>
      <c r="B1676" s="346" t="s">
        <v>208</v>
      </c>
      <c r="C1676" s="347">
        <v>1942.32</v>
      </c>
      <c r="D1676" s="348">
        <v>46388</v>
      </c>
      <c r="E1676" s="348">
        <v>46722</v>
      </c>
      <c r="F1676" s="346" t="s">
        <v>638</v>
      </c>
      <c r="G1676" s="350" t="s">
        <v>440</v>
      </c>
      <c r="H1676" s="351">
        <f t="shared" si="28"/>
        <v>23307.84</v>
      </c>
      <c r="I1676" s="120" t="str">
        <f>IF(OR(D1676&lt;Capa!$A$5,D1676&gt;Capa!$A$7,E1676&lt;Capa!$A$5,E1676&gt;Capa!$A$7,D1676&gt;E1676),"Erro","")</f>
        <v/>
      </c>
    </row>
    <row r="1677" spans="1:9" ht="22.5">
      <c r="A1677" s="345">
        <v>1674</v>
      </c>
      <c r="B1677" s="346" t="s">
        <v>208</v>
      </c>
      <c r="C1677" s="347">
        <v>2055.75</v>
      </c>
      <c r="D1677" s="348">
        <v>46753</v>
      </c>
      <c r="E1677" s="348">
        <v>47058</v>
      </c>
      <c r="F1677" s="346" t="s">
        <v>638</v>
      </c>
      <c r="G1677" s="350" t="s">
        <v>440</v>
      </c>
      <c r="H1677" s="351">
        <f t="shared" si="28"/>
        <v>22613.25</v>
      </c>
      <c r="I1677" s="120" t="str">
        <f>IF(OR(D1677&lt;Capa!$A$5,D1677&gt;Capa!$A$7,E1677&lt;Capa!$A$5,E1677&gt;Capa!$A$7,D1677&gt;E1677),"Erro","")</f>
        <v/>
      </c>
    </row>
    <row r="1678" spans="1:9" ht="22.5">
      <c r="A1678" s="345">
        <v>1675</v>
      </c>
      <c r="B1678" s="346" t="s">
        <v>210</v>
      </c>
      <c r="C1678" s="347">
        <v>39.68</v>
      </c>
      <c r="D1678" s="348">
        <v>45261</v>
      </c>
      <c r="E1678" s="348">
        <v>45627</v>
      </c>
      <c r="F1678" s="346" t="s">
        <v>638</v>
      </c>
      <c r="G1678" s="350" t="s">
        <v>440</v>
      </c>
      <c r="H1678" s="351">
        <f t="shared" si="28"/>
        <v>515.84</v>
      </c>
      <c r="I1678" s="120" t="str">
        <f>IF(OR(D1678&lt;Capa!$A$5,D1678&gt;Capa!$A$7,E1678&lt;Capa!$A$5,E1678&gt;Capa!$A$7,D1678&gt;E1678),"Erro","")</f>
        <v/>
      </c>
    </row>
    <row r="1679" spans="1:9" ht="22.5">
      <c r="A1679" s="345">
        <v>1676</v>
      </c>
      <c r="B1679" s="346" t="s">
        <v>210</v>
      </c>
      <c r="C1679" s="347">
        <v>41.99</v>
      </c>
      <c r="D1679" s="348">
        <v>45658</v>
      </c>
      <c r="E1679" s="348">
        <v>45992</v>
      </c>
      <c r="F1679" s="346" t="s">
        <v>638</v>
      </c>
      <c r="G1679" s="350" t="s">
        <v>440</v>
      </c>
      <c r="H1679" s="351">
        <f t="shared" si="28"/>
        <v>503.88</v>
      </c>
      <c r="I1679" s="120" t="str">
        <f>IF(OR(D1679&lt;Capa!$A$5,D1679&gt;Capa!$A$7,E1679&lt;Capa!$A$5,E1679&gt;Capa!$A$7,D1679&gt;E1679),"Erro","")</f>
        <v/>
      </c>
    </row>
    <row r="1680" spans="1:9" ht="22.5">
      <c r="A1680" s="345">
        <v>1677</v>
      </c>
      <c r="B1680" s="346" t="s">
        <v>210</v>
      </c>
      <c r="C1680" s="347">
        <v>44.44</v>
      </c>
      <c r="D1680" s="348">
        <v>46023</v>
      </c>
      <c r="E1680" s="348">
        <v>46357</v>
      </c>
      <c r="F1680" s="346" t="s">
        <v>638</v>
      </c>
      <c r="G1680" s="350" t="s">
        <v>440</v>
      </c>
      <c r="H1680" s="351">
        <f t="shared" si="28"/>
        <v>533.28</v>
      </c>
      <c r="I1680" s="120" t="str">
        <f>IF(OR(D1680&lt;Capa!$A$5,D1680&gt;Capa!$A$7,E1680&lt;Capa!$A$5,E1680&gt;Capa!$A$7,D1680&gt;E1680),"Erro","")</f>
        <v/>
      </c>
    </row>
    <row r="1681" spans="1:9" ht="22.5">
      <c r="A1681" s="345">
        <v>1678</v>
      </c>
      <c r="B1681" s="346" t="s">
        <v>210</v>
      </c>
      <c r="C1681" s="347">
        <v>47.04</v>
      </c>
      <c r="D1681" s="348">
        <v>46388</v>
      </c>
      <c r="E1681" s="348">
        <v>46722</v>
      </c>
      <c r="F1681" s="346" t="s">
        <v>638</v>
      </c>
      <c r="G1681" s="350" t="s">
        <v>440</v>
      </c>
      <c r="H1681" s="351">
        <f t="shared" si="28"/>
        <v>564.48</v>
      </c>
      <c r="I1681" s="120" t="str">
        <f>IF(OR(D1681&lt;Capa!$A$5,D1681&gt;Capa!$A$7,E1681&lt;Capa!$A$5,E1681&gt;Capa!$A$7,D1681&gt;E1681),"Erro","")</f>
        <v/>
      </c>
    </row>
    <row r="1682" spans="1:9" ht="22.5">
      <c r="A1682" s="345">
        <v>1679</v>
      </c>
      <c r="B1682" s="346" t="s">
        <v>210</v>
      </c>
      <c r="C1682" s="347">
        <v>49.79</v>
      </c>
      <c r="D1682" s="348">
        <v>46753</v>
      </c>
      <c r="E1682" s="348">
        <v>47058</v>
      </c>
      <c r="F1682" s="346" t="s">
        <v>638</v>
      </c>
      <c r="G1682" s="350" t="s">
        <v>440</v>
      </c>
      <c r="H1682" s="351">
        <f t="shared" si="28"/>
        <v>547.68999999999994</v>
      </c>
      <c r="I1682" s="120" t="str">
        <f>IF(OR(D1682&lt;Capa!$A$5,D1682&gt;Capa!$A$7,E1682&lt;Capa!$A$5,E1682&gt;Capa!$A$7,D1682&gt;E1682),"Erro","")</f>
        <v/>
      </c>
    </row>
    <row r="1683" spans="1:9" ht="22.5">
      <c r="A1683" s="345">
        <v>1680</v>
      </c>
      <c r="B1683" s="346" t="s">
        <v>214</v>
      </c>
      <c r="C1683" s="347">
        <v>131.97999999999999</v>
      </c>
      <c r="D1683" s="348">
        <v>45261</v>
      </c>
      <c r="E1683" s="348">
        <v>45627</v>
      </c>
      <c r="F1683" s="346" t="s">
        <v>638</v>
      </c>
      <c r="G1683" s="350" t="s">
        <v>440</v>
      </c>
      <c r="H1683" s="351">
        <f t="shared" si="28"/>
        <v>1715.7399999999998</v>
      </c>
      <c r="I1683" s="120" t="str">
        <f>IF(OR(D1683&lt;Capa!$A$5,D1683&gt;Capa!$A$7,E1683&lt;Capa!$A$5,E1683&gt;Capa!$A$7,D1683&gt;E1683),"Erro","")</f>
        <v/>
      </c>
    </row>
    <row r="1684" spans="1:9" ht="22.5">
      <c r="A1684" s="345">
        <v>1681</v>
      </c>
      <c r="B1684" s="346" t="s">
        <v>214</v>
      </c>
      <c r="C1684" s="347">
        <v>139.68</v>
      </c>
      <c r="D1684" s="348">
        <v>45658</v>
      </c>
      <c r="E1684" s="348">
        <v>45992</v>
      </c>
      <c r="F1684" s="346" t="s">
        <v>638</v>
      </c>
      <c r="G1684" s="350" t="s">
        <v>440</v>
      </c>
      <c r="H1684" s="351">
        <f t="shared" si="28"/>
        <v>1676.16</v>
      </c>
      <c r="I1684" s="120" t="str">
        <f>IF(OR(D1684&lt;Capa!$A$5,D1684&gt;Capa!$A$7,E1684&lt;Capa!$A$5,E1684&gt;Capa!$A$7,D1684&gt;E1684),"Erro","")</f>
        <v/>
      </c>
    </row>
    <row r="1685" spans="1:9" ht="22.5">
      <c r="A1685" s="345">
        <v>1682</v>
      </c>
      <c r="B1685" s="346" t="s">
        <v>214</v>
      </c>
      <c r="C1685" s="347">
        <v>147.84</v>
      </c>
      <c r="D1685" s="348">
        <v>46023</v>
      </c>
      <c r="E1685" s="348">
        <v>46357</v>
      </c>
      <c r="F1685" s="346" t="s">
        <v>638</v>
      </c>
      <c r="G1685" s="350" t="s">
        <v>440</v>
      </c>
      <c r="H1685" s="351">
        <f t="shared" si="28"/>
        <v>1774.08</v>
      </c>
      <c r="I1685" s="120" t="str">
        <f>IF(OR(D1685&lt;Capa!$A$5,D1685&gt;Capa!$A$7,E1685&lt;Capa!$A$5,E1685&gt;Capa!$A$7,D1685&gt;E1685),"Erro","")</f>
        <v/>
      </c>
    </row>
    <row r="1686" spans="1:9" ht="22.5">
      <c r="A1686" s="345">
        <v>1683</v>
      </c>
      <c r="B1686" s="346" t="s">
        <v>214</v>
      </c>
      <c r="C1686" s="347">
        <v>156.47999999999999</v>
      </c>
      <c r="D1686" s="348">
        <v>46388</v>
      </c>
      <c r="E1686" s="348">
        <v>46722</v>
      </c>
      <c r="F1686" s="346" t="s">
        <v>638</v>
      </c>
      <c r="G1686" s="350" t="s">
        <v>440</v>
      </c>
      <c r="H1686" s="351">
        <f t="shared" si="28"/>
        <v>1877.7599999999998</v>
      </c>
      <c r="I1686" s="120" t="str">
        <f>IF(OR(D1686&lt;Capa!$A$5,D1686&gt;Capa!$A$7,E1686&lt;Capa!$A$5,E1686&gt;Capa!$A$7,D1686&gt;E1686),"Erro","")</f>
        <v/>
      </c>
    </row>
    <row r="1687" spans="1:9" ht="22.5">
      <c r="A1687" s="345">
        <v>1684</v>
      </c>
      <c r="B1687" s="346" t="s">
        <v>214</v>
      </c>
      <c r="C1687" s="347">
        <v>165.62</v>
      </c>
      <c r="D1687" s="348">
        <v>46753</v>
      </c>
      <c r="E1687" s="348">
        <v>47058</v>
      </c>
      <c r="F1687" s="346" t="s">
        <v>638</v>
      </c>
      <c r="G1687" s="350" t="s">
        <v>440</v>
      </c>
      <c r="H1687" s="351">
        <f t="shared" si="28"/>
        <v>1821.8200000000002</v>
      </c>
      <c r="I1687" s="120" t="str">
        <f>IF(OR(D1687&lt;Capa!$A$5,D1687&gt;Capa!$A$7,E1687&lt;Capa!$A$5,E1687&gt;Capa!$A$7,D1687&gt;E1687),"Erro","")</f>
        <v/>
      </c>
    </row>
    <row r="1688" spans="1:9" ht="56.25">
      <c r="A1688" s="345">
        <v>1685</v>
      </c>
      <c r="B1688" s="346" t="s">
        <v>212</v>
      </c>
      <c r="C1688" s="347">
        <v>235.74</v>
      </c>
      <c r="D1688" s="348">
        <v>45261</v>
      </c>
      <c r="E1688" s="348">
        <v>45627</v>
      </c>
      <c r="F1688" s="346" t="s">
        <v>638</v>
      </c>
      <c r="G1688" s="350" t="s">
        <v>502</v>
      </c>
      <c r="H1688" s="351">
        <f t="shared" si="28"/>
        <v>3064.62</v>
      </c>
      <c r="I1688" s="120" t="str">
        <f>IF(OR(D1688&lt;Capa!$A$5,D1688&gt;Capa!$A$7,E1688&lt;Capa!$A$5,E1688&gt;Capa!$A$7,D1688&gt;E1688),"Erro","")</f>
        <v/>
      </c>
    </row>
    <row r="1689" spans="1:9" ht="56.25">
      <c r="A1689" s="345">
        <v>1686</v>
      </c>
      <c r="B1689" s="346" t="s">
        <v>212</v>
      </c>
      <c r="C1689" s="347">
        <v>249.5</v>
      </c>
      <c r="D1689" s="348">
        <v>45658</v>
      </c>
      <c r="E1689" s="348">
        <v>45992</v>
      </c>
      <c r="F1689" s="346" t="s">
        <v>638</v>
      </c>
      <c r="G1689" s="350" t="s">
        <v>502</v>
      </c>
      <c r="H1689" s="351">
        <f t="shared" si="28"/>
        <v>2994</v>
      </c>
      <c r="I1689" s="120" t="str">
        <f>IF(OR(D1689&lt;Capa!$A$5,D1689&gt;Capa!$A$7,E1689&lt;Capa!$A$5,E1689&gt;Capa!$A$7,D1689&gt;E1689),"Erro","")</f>
        <v/>
      </c>
    </row>
    <row r="1690" spans="1:9" ht="56.25">
      <c r="A1690" s="345">
        <v>1687</v>
      </c>
      <c r="B1690" s="346" t="s">
        <v>212</v>
      </c>
      <c r="C1690" s="347">
        <v>264.07</v>
      </c>
      <c r="D1690" s="348">
        <v>46023</v>
      </c>
      <c r="E1690" s="348">
        <v>46357</v>
      </c>
      <c r="F1690" s="346" t="s">
        <v>638</v>
      </c>
      <c r="G1690" s="350" t="s">
        <v>502</v>
      </c>
      <c r="H1690" s="351">
        <f t="shared" si="28"/>
        <v>3168.84</v>
      </c>
      <c r="I1690" s="120" t="str">
        <f>IF(OR(D1690&lt;Capa!$A$5,D1690&gt;Capa!$A$7,E1690&lt;Capa!$A$5,E1690&gt;Capa!$A$7,D1690&gt;E1690),"Erro","")</f>
        <v/>
      </c>
    </row>
    <row r="1691" spans="1:9" ht="56.25">
      <c r="A1691" s="345">
        <v>1688</v>
      </c>
      <c r="B1691" s="346" t="s">
        <v>212</v>
      </c>
      <c r="C1691" s="347">
        <v>279.5</v>
      </c>
      <c r="D1691" s="348">
        <v>46388</v>
      </c>
      <c r="E1691" s="348">
        <v>46722</v>
      </c>
      <c r="F1691" s="346" t="s">
        <v>638</v>
      </c>
      <c r="G1691" s="350" t="s">
        <v>502</v>
      </c>
      <c r="H1691" s="351">
        <f t="shared" si="28"/>
        <v>3354</v>
      </c>
      <c r="I1691" s="120" t="str">
        <f>IF(OR(D1691&lt;Capa!$A$5,D1691&gt;Capa!$A$7,E1691&lt;Capa!$A$5,E1691&gt;Capa!$A$7,D1691&gt;E1691),"Erro","")</f>
        <v/>
      </c>
    </row>
    <row r="1692" spans="1:9" ht="56.25">
      <c r="A1692" s="345">
        <v>1689</v>
      </c>
      <c r="B1692" s="346" t="s">
        <v>212</v>
      </c>
      <c r="C1692" s="347">
        <v>295.82</v>
      </c>
      <c r="D1692" s="348">
        <v>46753</v>
      </c>
      <c r="E1692" s="348">
        <v>47058</v>
      </c>
      <c r="F1692" s="346" t="s">
        <v>638</v>
      </c>
      <c r="G1692" s="350" t="s">
        <v>502</v>
      </c>
      <c r="H1692" s="351">
        <f t="shared" si="28"/>
        <v>3254.02</v>
      </c>
      <c r="I1692" s="120" t="str">
        <f>IF(OR(D1692&lt;Capa!$A$5,D1692&gt;Capa!$A$7,E1692&lt;Capa!$A$5,E1692&gt;Capa!$A$7,D1692&gt;E1692),"Erro","")</f>
        <v/>
      </c>
    </row>
    <row r="1693" spans="1:9" ht="45">
      <c r="A1693" s="345">
        <v>1690</v>
      </c>
      <c r="B1693" s="346" t="s">
        <v>248</v>
      </c>
      <c r="C1693" s="347">
        <v>846</v>
      </c>
      <c r="D1693" s="348">
        <v>45261</v>
      </c>
      <c r="E1693" s="348">
        <v>45444</v>
      </c>
      <c r="F1693" s="346" t="s">
        <v>638</v>
      </c>
      <c r="G1693" s="350" t="s">
        <v>441</v>
      </c>
      <c r="H1693" s="351">
        <f t="shared" si="28"/>
        <v>5922</v>
      </c>
      <c r="I1693" s="120" t="str">
        <f>IF(OR(D1693&lt;Capa!$A$5,D1693&gt;Capa!$A$7,E1693&lt;Capa!$A$5,E1693&gt;Capa!$A$7,D1693&gt;E1693),"Erro","")</f>
        <v/>
      </c>
    </row>
    <row r="1694" spans="1:9" ht="45">
      <c r="A1694" s="345">
        <v>1691</v>
      </c>
      <c r="B1694" s="346" t="s">
        <v>248</v>
      </c>
      <c r="C1694" s="347">
        <v>846</v>
      </c>
      <c r="D1694" s="348">
        <v>45658</v>
      </c>
      <c r="E1694" s="348">
        <v>45809</v>
      </c>
      <c r="F1694" s="346" t="s">
        <v>638</v>
      </c>
      <c r="G1694" s="350" t="s">
        <v>441</v>
      </c>
      <c r="H1694" s="351">
        <f t="shared" si="28"/>
        <v>5076</v>
      </c>
      <c r="I1694" s="120" t="str">
        <f>IF(OR(D1694&lt;Capa!$A$5,D1694&gt;Capa!$A$7,E1694&lt;Capa!$A$5,E1694&gt;Capa!$A$7,D1694&gt;E1694),"Erro","")</f>
        <v/>
      </c>
    </row>
    <row r="1695" spans="1:9" ht="45">
      <c r="A1695" s="345">
        <v>1692</v>
      </c>
      <c r="B1695" s="346" t="s">
        <v>248</v>
      </c>
      <c r="C1695" s="347">
        <v>846</v>
      </c>
      <c r="D1695" s="348">
        <v>46023</v>
      </c>
      <c r="E1695" s="348">
        <v>46174</v>
      </c>
      <c r="F1695" s="346" t="s">
        <v>638</v>
      </c>
      <c r="G1695" s="350" t="s">
        <v>441</v>
      </c>
      <c r="H1695" s="351">
        <f t="shared" si="28"/>
        <v>5076</v>
      </c>
      <c r="I1695" s="120" t="str">
        <f>IF(OR(D1695&lt;Capa!$A$5,D1695&gt;Capa!$A$7,E1695&lt;Capa!$A$5,E1695&gt;Capa!$A$7,D1695&gt;E1695),"Erro","")</f>
        <v/>
      </c>
    </row>
    <row r="1696" spans="1:9" ht="45">
      <c r="A1696" s="345">
        <v>1693</v>
      </c>
      <c r="B1696" s="346" t="s">
        <v>248</v>
      </c>
      <c r="C1696" s="347">
        <v>846</v>
      </c>
      <c r="D1696" s="348">
        <v>46388</v>
      </c>
      <c r="E1696" s="348">
        <v>46539</v>
      </c>
      <c r="F1696" s="346" t="s">
        <v>638</v>
      </c>
      <c r="G1696" s="350" t="s">
        <v>441</v>
      </c>
      <c r="H1696" s="351">
        <f t="shared" si="28"/>
        <v>5076</v>
      </c>
      <c r="I1696" s="120" t="str">
        <f>IF(OR(D1696&lt;Capa!$A$5,D1696&gt;Capa!$A$7,E1696&lt;Capa!$A$5,E1696&gt;Capa!$A$7,D1696&gt;E1696),"Erro","")</f>
        <v/>
      </c>
    </row>
    <row r="1697" spans="1:9" ht="45">
      <c r="A1697" s="345">
        <v>1694</v>
      </c>
      <c r="B1697" s="346" t="s">
        <v>248</v>
      </c>
      <c r="C1697" s="347">
        <v>846</v>
      </c>
      <c r="D1697" s="348">
        <v>46753</v>
      </c>
      <c r="E1697" s="348">
        <v>46905</v>
      </c>
      <c r="F1697" s="346" t="s">
        <v>638</v>
      </c>
      <c r="G1697" s="350" t="s">
        <v>441</v>
      </c>
      <c r="H1697" s="351">
        <f t="shared" si="28"/>
        <v>5076</v>
      </c>
      <c r="I1697" s="120" t="str">
        <f>IF(OR(D1697&lt;Capa!$A$5,D1697&gt;Capa!$A$7,E1697&lt;Capa!$A$5,E1697&gt;Capa!$A$7,D1697&gt;E1697),"Erro","")</f>
        <v/>
      </c>
    </row>
    <row r="1698" spans="1:9" ht="33.75">
      <c r="A1698" s="345">
        <v>1695</v>
      </c>
      <c r="B1698" s="346" t="s">
        <v>266</v>
      </c>
      <c r="C1698" s="347">
        <v>600</v>
      </c>
      <c r="D1698" s="348">
        <v>45658</v>
      </c>
      <c r="E1698" s="348">
        <v>45717</v>
      </c>
      <c r="F1698" s="346" t="s">
        <v>638</v>
      </c>
      <c r="G1698" s="350" t="s">
        <v>442</v>
      </c>
      <c r="H1698" s="351">
        <f t="shared" si="28"/>
        <v>1800</v>
      </c>
      <c r="I1698" s="120" t="str">
        <f>IF(OR(D1698&lt;Capa!$A$5,D1698&gt;Capa!$A$7,E1698&lt;Capa!$A$5,E1698&gt;Capa!$A$7,D1698&gt;E1698),"Erro","")</f>
        <v/>
      </c>
    </row>
    <row r="1699" spans="1:9" ht="33.75">
      <c r="A1699" s="345">
        <v>1696</v>
      </c>
      <c r="B1699" s="346" t="s">
        <v>266</v>
      </c>
      <c r="C1699" s="347">
        <v>600</v>
      </c>
      <c r="D1699" s="348">
        <v>46023</v>
      </c>
      <c r="E1699" s="348">
        <v>46082</v>
      </c>
      <c r="F1699" s="346" t="s">
        <v>638</v>
      </c>
      <c r="G1699" s="350" t="s">
        <v>442</v>
      </c>
      <c r="H1699" s="351">
        <f t="shared" si="28"/>
        <v>1800</v>
      </c>
      <c r="I1699" s="120" t="str">
        <f>IF(OR(D1699&lt;Capa!$A$5,D1699&gt;Capa!$A$7,E1699&lt;Capa!$A$5,E1699&gt;Capa!$A$7,D1699&gt;E1699),"Erro","")</f>
        <v/>
      </c>
    </row>
    <row r="1700" spans="1:9" ht="33.75">
      <c r="A1700" s="345">
        <v>1697</v>
      </c>
      <c r="B1700" s="346" t="s">
        <v>266</v>
      </c>
      <c r="C1700" s="347">
        <v>600</v>
      </c>
      <c r="D1700" s="348">
        <v>46388</v>
      </c>
      <c r="E1700" s="348">
        <v>46447</v>
      </c>
      <c r="F1700" s="346" t="s">
        <v>638</v>
      </c>
      <c r="G1700" s="350" t="s">
        <v>442</v>
      </c>
      <c r="H1700" s="351">
        <f t="shared" si="28"/>
        <v>1800</v>
      </c>
      <c r="I1700" s="120" t="str">
        <f>IF(OR(D1700&lt;Capa!$A$5,D1700&gt;Capa!$A$7,E1700&lt;Capa!$A$5,E1700&gt;Capa!$A$7,D1700&gt;E1700),"Erro","")</f>
        <v/>
      </c>
    </row>
    <row r="1701" spans="1:9" ht="33.75">
      <c r="A1701" s="345">
        <v>1698</v>
      </c>
      <c r="B1701" s="346" t="s">
        <v>266</v>
      </c>
      <c r="C1701" s="347">
        <v>600</v>
      </c>
      <c r="D1701" s="348">
        <v>46753</v>
      </c>
      <c r="E1701" s="348">
        <v>46813</v>
      </c>
      <c r="F1701" s="346" t="s">
        <v>638</v>
      </c>
      <c r="G1701" s="350" t="s">
        <v>442</v>
      </c>
      <c r="H1701" s="351">
        <f t="shared" si="28"/>
        <v>1800</v>
      </c>
      <c r="I1701" s="120" t="str">
        <f>IF(OR(D1701&lt;Capa!$A$5,D1701&gt;Capa!$A$7,E1701&lt;Capa!$A$5,E1701&gt;Capa!$A$7,D1701&gt;E1701),"Erro","")</f>
        <v/>
      </c>
    </row>
    <row r="1702" spans="1:9" ht="22.5">
      <c r="A1702" s="345">
        <v>1699</v>
      </c>
      <c r="B1702" s="346" t="s">
        <v>274</v>
      </c>
      <c r="C1702" s="347">
        <v>1100</v>
      </c>
      <c r="D1702" s="348">
        <v>45261</v>
      </c>
      <c r="E1702" s="348">
        <v>45627</v>
      </c>
      <c r="F1702" s="346" t="s">
        <v>638</v>
      </c>
      <c r="G1702" s="350" t="s">
        <v>443</v>
      </c>
      <c r="H1702" s="351">
        <f t="shared" si="28"/>
        <v>14300</v>
      </c>
      <c r="I1702" s="120" t="str">
        <f>IF(OR(D1702&lt;Capa!$A$5,D1702&gt;Capa!$A$7,E1702&lt;Capa!$A$5,E1702&gt;Capa!$A$7,D1702&gt;E1702),"Erro","")</f>
        <v/>
      </c>
    </row>
    <row r="1703" spans="1:9" ht="22.5">
      <c r="A1703" s="345">
        <v>1700</v>
      </c>
      <c r="B1703" s="346" t="s">
        <v>274</v>
      </c>
      <c r="C1703" s="347">
        <v>1100</v>
      </c>
      <c r="D1703" s="348">
        <v>45658</v>
      </c>
      <c r="E1703" s="348">
        <v>45992</v>
      </c>
      <c r="F1703" s="346" t="s">
        <v>638</v>
      </c>
      <c r="G1703" s="350" t="s">
        <v>443</v>
      </c>
      <c r="H1703" s="351">
        <f t="shared" si="28"/>
        <v>13200</v>
      </c>
      <c r="I1703" s="120" t="str">
        <f>IF(OR(D1703&lt;Capa!$A$5,D1703&gt;Capa!$A$7,E1703&lt;Capa!$A$5,E1703&gt;Capa!$A$7,D1703&gt;E1703),"Erro","")</f>
        <v/>
      </c>
    </row>
    <row r="1704" spans="1:9" ht="22.5">
      <c r="A1704" s="345">
        <v>1701</v>
      </c>
      <c r="B1704" s="346" t="s">
        <v>274</v>
      </c>
      <c r="C1704" s="347">
        <v>2000</v>
      </c>
      <c r="D1704" s="348">
        <v>46023</v>
      </c>
      <c r="E1704" s="348">
        <v>46357</v>
      </c>
      <c r="F1704" s="346" t="s">
        <v>638</v>
      </c>
      <c r="G1704" s="350" t="s">
        <v>443</v>
      </c>
      <c r="H1704" s="351">
        <f t="shared" ref="H1704:H1766" si="29">IFERROR((DATEDIF(D1704,E1704,"M")+1)*C1704,0)</f>
        <v>24000</v>
      </c>
      <c r="I1704" s="120" t="str">
        <f>IF(OR(D1704&lt;Capa!$A$5,D1704&gt;Capa!$A$7,E1704&lt;Capa!$A$5,E1704&gt;Capa!$A$7,D1704&gt;E1704),"Erro","")</f>
        <v/>
      </c>
    </row>
    <row r="1705" spans="1:9" ht="22.5">
      <c r="A1705" s="345">
        <v>1702</v>
      </c>
      <c r="B1705" s="346" t="s">
        <v>274</v>
      </c>
      <c r="C1705" s="347">
        <v>2000</v>
      </c>
      <c r="D1705" s="348">
        <v>46388</v>
      </c>
      <c r="E1705" s="348">
        <v>46722</v>
      </c>
      <c r="F1705" s="346" t="s">
        <v>638</v>
      </c>
      <c r="G1705" s="350" t="s">
        <v>443</v>
      </c>
      <c r="H1705" s="351">
        <f t="shared" si="29"/>
        <v>24000</v>
      </c>
      <c r="I1705" s="120" t="str">
        <f>IF(OR(D1705&lt;Capa!$A$5,D1705&gt;Capa!$A$7,E1705&lt;Capa!$A$5,E1705&gt;Capa!$A$7,D1705&gt;E1705),"Erro","")</f>
        <v/>
      </c>
    </row>
    <row r="1706" spans="1:9" ht="22.5">
      <c r="A1706" s="345">
        <v>1703</v>
      </c>
      <c r="B1706" s="346" t="s">
        <v>274</v>
      </c>
      <c r="C1706" s="347">
        <v>2000</v>
      </c>
      <c r="D1706" s="348">
        <v>46753</v>
      </c>
      <c r="E1706" s="348">
        <v>47058</v>
      </c>
      <c r="F1706" s="346" t="s">
        <v>638</v>
      </c>
      <c r="G1706" s="350" t="s">
        <v>443</v>
      </c>
      <c r="H1706" s="351">
        <f t="shared" si="29"/>
        <v>22000</v>
      </c>
      <c r="I1706" s="120" t="str">
        <f>IF(OR(D1706&lt;Capa!$A$5,D1706&gt;Capa!$A$7,E1706&lt;Capa!$A$5,E1706&gt;Capa!$A$7,D1706&gt;E1706),"Erro","")</f>
        <v/>
      </c>
    </row>
    <row r="1707" spans="1:9" ht="56.25">
      <c r="A1707" s="345">
        <v>1704</v>
      </c>
      <c r="B1707" s="346" t="s">
        <v>236</v>
      </c>
      <c r="C1707" s="347">
        <v>690.19</v>
      </c>
      <c r="D1707" s="348">
        <v>45292</v>
      </c>
      <c r="E1707" s="348">
        <v>45627</v>
      </c>
      <c r="F1707" s="346" t="s">
        <v>638</v>
      </c>
      <c r="G1707" s="350" t="s">
        <v>444</v>
      </c>
      <c r="H1707" s="351">
        <f t="shared" si="29"/>
        <v>8282.2800000000007</v>
      </c>
      <c r="I1707" s="120" t="str">
        <f>IF(OR(D1707&lt;Capa!$A$5,D1707&gt;Capa!$A$7,E1707&lt;Capa!$A$5,E1707&gt;Capa!$A$7,D1707&gt;E1707),"Erro","")</f>
        <v/>
      </c>
    </row>
    <row r="1708" spans="1:9" ht="56.25">
      <c r="A1708" s="345">
        <v>1705</v>
      </c>
      <c r="B1708" s="346" t="s">
        <v>236</v>
      </c>
      <c r="C1708" s="347">
        <v>760.49</v>
      </c>
      <c r="D1708" s="348">
        <v>45658</v>
      </c>
      <c r="E1708" s="348">
        <v>45992</v>
      </c>
      <c r="F1708" s="346" t="s">
        <v>638</v>
      </c>
      <c r="G1708" s="350" t="s">
        <v>444</v>
      </c>
      <c r="H1708" s="351">
        <f t="shared" si="29"/>
        <v>9125.880000000001</v>
      </c>
      <c r="I1708" s="120" t="str">
        <f>IF(OR(D1708&lt;Capa!$A$5,D1708&gt;Capa!$A$7,E1708&lt;Capa!$A$5,E1708&gt;Capa!$A$7,D1708&gt;E1708),"Erro","")</f>
        <v/>
      </c>
    </row>
    <row r="1709" spans="1:9" ht="56.25">
      <c r="A1709" s="345">
        <v>1706</v>
      </c>
      <c r="B1709" s="346" t="s">
        <v>236</v>
      </c>
      <c r="C1709" s="347">
        <v>773.16</v>
      </c>
      <c r="D1709" s="348">
        <v>46023</v>
      </c>
      <c r="E1709" s="348">
        <v>46357</v>
      </c>
      <c r="F1709" s="346" t="s">
        <v>638</v>
      </c>
      <c r="G1709" s="350" t="s">
        <v>444</v>
      </c>
      <c r="H1709" s="351">
        <f t="shared" si="29"/>
        <v>9277.92</v>
      </c>
      <c r="I1709" s="120" t="str">
        <f>IF(OR(D1709&lt;Capa!$A$5,D1709&gt;Capa!$A$7,E1709&lt;Capa!$A$5,E1709&gt;Capa!$A$7,D1709&gt;E1709),"Erro","")</f>
        <v/>
      </c>
    </row>
    <row r="1710" spans="1:9" ht="56.25">
      <c r="A1710" s="345">
        <v>1707</v>
      </c>
      <c r="B1710" s="346" t="s">
        <v>236</v>
      </c>
      <c r="C1710" s="347">
        <v>818.31</v>
      </c>
      <c r="D1710" s="348">
        <v>46388</v>
      </c>
      <c r="E1710" s="348">
        <v>46722</v>
      </c>
      <c r="F1710" s="346" t="s">
        <v>638</v>
      </c>
      <c r="G1710" s="350" t="s">
        <v>444</v>
      </c>
      <c r="H1710" s="351">
        <f t="shared" si="29"/>
        <v>9819.7199999999993</v>
      </c>
      <c r="I1710" s="120" t="str">
        <f>IF(OR(D1710&lt;Capa!$A$5,D1710&gt;Capa!$A$7,E1710&lt;Capa!$A$5,E1710&gt;Capa!$A$7,D1710&gt;E1710),"Erro","")</f>
        <v/>
      </c>
    </row>
    <row r="1711" spans="1:9" ht="56.25">
      <c r="A1711" s="345">
        <v>1708</v>
      </c>
      <c r="B1711" s="346" t="s">
        <v>236</v>
      </c>
      <c r="C1711" s="347">
        <v>866.09</v>
      </c>
      <c r="D1711" s="348">
        <v>46753</v>
      </c>
      <c r="E1711" s="348">
        <v>47058</v>
      </c>
      <c r="F1711" s="346" t="s">
        <v>638</v>
      </c>
      <c r="G1711" s="350" t="s">
        <v>444</v>
      </c>
      <c r="H1711" s="351">
        <f t="shared" si="29"/>
        <v>9526.99</v>
      </c>
      <c r="I1711" s="120" t="str">
        <f>IF(OR(D1711&lt;Capa!$A$5,D1711&gt;Capa!$A$7,E1711&lt;Capa!$A$5,E1711&gt;Capa!$A$7,D1711&gt;E1711),"Erro","")</f>
        <v/>
      </c>
    </row>
    <row r="1712" spans="1:9" ht="33.75">
      <c r="A1712" s="345">
        <v>1709</v>
      </c>
      <c r="B1712" s="346" t="s">
        <v>240</v>
      </c>
      <c r="C1712" s="347">
        <v>50</v>
      </c>
      <c r="D1712" s="348">
        <v>45292</v>
      </c>
      <c r="E1712" s="348">
        <v>45627</v>
      </c>
      <c r="F1712" s="346" t="s">
        <v>638</v>
      </c>
      <c r="G1712" s="350" t="s">
        <v>445</v>
      </c>
      <c r="H1712" s="351">
        <f t="shared" si="29"/>
        <v>600</v>
      </c>
      <c r="I1712" s="120" t="str">
        <f>IF(OR(D1712&lt;Capa!$A$5,D1712&gt;Capa!$A$7,E1712&lt;Capa!$A$5,E1712&gt;Capa!$A$7,D1712&gt;E1712),"Erro","")</f>
        <v/>
      </c>
    </row>
    <row r="1713" spans="1:9" ht="33.75">
      <c r="A1713" s="345">
        <v>1710</v>
      </c>
      <c r="B1713" s="346" t="s">
        <v>240</v>
      </c>
      <c r="C1713" s="347">
        <v>50</v>
      </c>
      <c r="D1713" s="348">
        <v>45658</v>
      </c>
      <c r="E1713" s="348">
        <v>45992</v>
      </c>
      <c r="F1713" s="346" t="s">
        <v>638</v>
      </c>
      <c r="G1713" s="350" t="s">
        <v>445</v>
      </c>
      <c r="H1713" s="351">
        <f t="shared" si="29"/>
        <v>600</v>
      </c>
      <c r="I1713" s="120" t="str">
        <f>IF(OR(D1713&lt;Capa!$A$5,D1713&gt;Capa!$A$7,E1713&lt;Capa!$A$5,E1713&gt;Capa!$A$7,D1713&gt;E1713),"Erro","")</f>
        <v/>
      </c>
    </row>
    <row r="1714" spans="1:9" ht="33.75">
      <c r="A1714" s="345">
        <v>1711</v>
      </c>
      <c r="B1714" s="346" t="s">
        <v>240</v>
      </c>
      <c r="C1714" s="347">
        <v>50</v>
      </c>
      <c r="D1714" s="348">
        <v>46023</v>
      </c>
      <c r="E1714" s="348">
        <v>46357</v>
      </c>
      <c r="F1714" s="346" t="s">
        <v>638</v>
      </c>
      <c r="G1714" s="350" t="s">
        <v>445</v>
      </c>
      <c r="H1714" s="351">
        <f t="shared" si="29"/>
        <v>600</v>
      </c>
      <c r="I1714" s="120" t="str">
        <f>IF(OR(D1714&lt;Capa!$A$5,D1714&gt;Capa!$A$7,E1714&lt;Capa!$A$5,E1714&gt;Capa!$A$7,D1714&gt;E1714),"Erro","")</f>
        <v/>
      </c>
    </row>
    <row r="1715" spans="1:9" ht="33.75">
      <c r="A1715" s="345">
        <v>1712</v>
      </c>
      <c r="B1715" s="346" t="s">
        <v>240</v>
      </c>
      <c r="C1715" s="347">
        <v>50</v>
      </c>
      <c r="D1715" s="348">
        <v>46388</v>
      </c>
      <c r="E1715" s="348">
        <v>46722</v>
      </c>
      <c r="F1715" s="346" t="s">
        <v>638</v>
      </c>
      <c r="G1715" s="350" t="s">
        <v>445</v>
      </c>
      <c r="H1715" s="351">
        <f t="shared" si="29"/>
        <v>600</v>
      </c>
      <c r="I1715" s="120" t="str">
        <f>IF(OR(D1715&lt;Capa!$A$5,D1715&gt;Capa!$A$7,E1715&lt;Capa!$A$5,E1715&gt;Capa!$A$7,D1715&gt;E1715),"Erro","")</f>
        <v/>
      </c>
    </row>
    <row r="1716" spans="1:9" ht="33.75">
      <c r="A1716" s="345">
        <v>1713</v>
      </c>
      <c r="B1716" s="346" t="s">
        <v>240</v>
      </c>
      <c r="C1716" s="347">
        <v>50</v>
      </c>
      <c r="D1716" s="348">
        <v>46753</v>
      </c>
      <c r="E1716" s="348">
        <v>47058</v>
      </c>
      <c r="F1716" s="346" t="s">
        <v>638</v>
      </c>
      <c r="G1716" s="350" t="s">
        <v>445</v>
      </c>
      <c r="H1716" s="351">
        <f t="shared" si="29"/>
        <v>550</v>
      </c>
      <c r="I1716" s="120" t="str">
        <f>IF(OR(D1716&lt;Capa!$A$5,D1716&gt;Capa!$A$7,E1716&lt;Capa!$A$5,E1716&gt;Capa!$A$7,D1716&gt;E1716),"Erro","")</f>
        <v/>
      </c>
    </row>
    <row r="1717" spans="1:9" ht="45">
      <c r="A1717" s="345">
        <v>1714</v>
      </c>
      <c r="B1717" s="346" t="s">
        <v>244</v>
      </c>
      <c r="C1717" s="347">
        <v>250</v>
      </c>
      <c r="D1717" s="348">
        <v>45261</v>
      </c>
      <c r="E1717" s="348">
        <v>45627</v>
      </c>
      <c r="F1717" s="346" t="s">
        <v>638</v>
      </c>
      <c r="G1717" s="350" t="s">
        <v>446</v>
      </c>
      <c r="H1717" s="351">
        <f t="shared" si="29"/>
        <v>3250</v>
      </c>
      <c r="I1717" s="120" t="str">
        <f>IF(OR(D1717&lt;Capa!$A$5,D1717&gt;Capa!$A$7,E1717&lt;Capa!$A$5,E1717&gt;Capa!$A$7,D1717&gt;E1717),"Erro","")</f>
        <v/>
      </c>
    </row>
    <row r="1718" spans="1:9" ht="45">
      <c r="A1718" s="345">
        <v>1715</v>
      </c>
      <c r="B1718" s="346" t="s">
        <v>244</v>
      </c>
      <c r="C1718" s="347">
        <v>300</v>
      </c>
      <c r="D1718" s="348">
        <v>45658</v>
      </c>
      <c r="E1718" s="348">
        <v>45992</v>
      </c>
      <c r="F1718" s="346" t="s">
        <v>638</v>
      </c>
      <c r="G1718" s="350" t="s">
        <v>446</v>
      </c>
      <c r="H1718" s="351">
        <f t="shared" si="29"/>
        <v>3600</v>
      </c>
      <c r="I1718" s="120" t="str">
        <f>IF(OR(D1718&lt;Capa!$A$5,D1718&gt;Capa!$A$7,E1718&lt;Capa!$A$5,E1718&gt;Capa!$A$7,D1718&gt;E1718),"Erro","")</f>
        <v/>
      </c>
    </row>
    <row r="1719" spans="1:9" ht="45">
      <c r="A1719" s="345">
        <v>1716</v>
      </c>
      <c r="B1719" s="346" t="s">
        <v>244</v>
      </c>
      <c r="C1719" s="347">
        <v>350</v>
      </c>
      <c r="D1719" s="348">
        <v>46023</v>
      </c>
      <c r="E1719" s="348">
        <v>46357</v>
      </c>
      <c r="F1719" s="346" t="s">
        <v>638</v>
      </c>
      <c r="G1719" s="350" t="s">
        <v>446</v>
      </c>
      <c r="H1719" s="351">
        <f t="shared" si="29"/>
        <v>4200</v>
      </c>
      <c r="I1719" s="120" t="str">
        <f>IF(OR(D1719&lt;Capa!$A$5,D1719&gt;Capa!$A$7,E1719&lt;Capa!$A$5,E1719&gt;Capa!$A$7,D1719&gt;E1719),"Erro","")</f>
        <v/>
      </c>
    </row>
    <row r="1720" spans="1:9" ht="45">
      <c r="A1720" s="345">
        <v>1717</v>
      </c>
      <c r="B1720" s="346" t="s">
        <v>244</v>
      </c>
      <c r="C1720" s="347">
        <v>350</v>
      </c>
      <c r="D1720" s="348">
        <v>46388</v>
      </c>
      <c r="E1720" s="348">
        <v>46722</v>
      </c>
      <c r="F1720" s="346" t="s">
        <v>638</v>
      </c>
      <c r="G1720" s="350" t="s">
        <v>446</v>
      </c>
      <c r="H1720" s="351">
        <f t="shared" si="29"/>
        <v>4200</v>
      </c>
      <c r="I1720" s="120" t="str">
        <f>IF(OR(D1720&lt;Capa!$A$5,D1720&gt;Capa!$A$7,E1720&lt;Capa!$A$5,E1720&gt;Capa!$A$7,D1720&gt;E1720),"Erro","")</f>
        <v/>
      </c>
    </row>
    <row r="1721" spans="1:9" ht="45">
      <c r="A1721" s="345">
        <v>1718</v>
      </c>
      <c r="B1721" s="346" t="s">
        <v>244</v>
      </c>
      <c r="C1721" s="347">
        <v>380</v>
      </c>
      <c r="D1721" s="348">
        <v>46753</v>
      </c>
      <c r="E1721" s="348">
        <v>47058</v>
      </c>
      <c r="F1721" s="346" t="s">
        <v>638</v>
      </c>
      <c r="G1721" s="350" t="s">
        <v>446</v>
      </c>
      <c r="H1721" s="351">
        <f t="shared" si="29"/>
        <v>4180</v>
      </c>
      <c r="I1721" s="120" t="str">
        <f>IF(OR(D1721&lt;Capa!$A$5,D1721&gt;Capa!$A$7,E1721&lt;Capa!$A$5,E1721&gt;Capa!$A$7,D1721&gt;E1721),"Erro","")</f>
        <v/>
      </c>
    </row>
    <row r="1722" spans="1:9" ht="33.75">
      <c r="A1722" s="345">
        <v>1719</v>
      </c>
      <c r="B1722" s="346" t="s">
        <v>246</v>
      </c>
      <c r="C1722" s="347">
        <v>275.18</v>
      </c>
      <c r="D1722" s="348">
        <v>45658</v>
      </c>
      <c r="E1722" s="348">
        <v>45992</v>
      </c>
      <c r="F1722" s="346" t="s">
        <v>638</v>
      </c>
      <c r="G1722" s="350" t="s">
        <v>447</v>
      </c>
      <c r="H1722" s="351">
        <f t="shared" si="29"/>
        <v>3302.16</v>
      </c>
      <c r="I1722" s="120" t="str">
        <f>IF(OR(D1722&lt;Capa!$A$5,D1722&gt;Capa!$A$7,E1722&lt;Capa!$A$5,E1722&gt;Capa!$A$7,D1722&gt;E1722),"Erro","")</f>
        <v/>
      </c>
    </row>
    <row r="1723" spans="1:9" ht="33.75">
      <c r="A1723" s="345">
        <v>1720</v>
      </c>
      <c r="B1723" s="346" t="s">
        <v>246</v>
      </c>
      <c r="C1723" s="347">
        <v>291.25</v>
      </c>
      <c r="D1723" s="348">
        <v>46023</v>
      </c>
      <c r="E1723" s="348">
        <v>46357</v>
      </c>
      <c r="F1723" s="346" t="s">
        <v>638</v>
      </c>
      <c r="G1723" s="350" t="s">
        <v>447</v>
      </c>
      <c r="H1723" s="351">
        <f t="shared" si="29"/>
        <v>3495</v>
      </c>
      <c r="I1723" s="120" t="str">
        <f>IF(OR(D1723&lt;Capa!$A$5,D1723&gt;Capa!$A$7,E1723&lt;Capa!$A$5,E1723&gt;Capa!$A$7,D1723&gt;E1723),"Erro","")</f>
        <v/>
      </c>
    </row>
    <row r="1724" spans="1:9" ht="33.75">
      <c r="A1724" s="345">
        <v>1721</v>
      </c>
      <c r="B1724" s="346" t="s">
        <v>246</v>
      </c>
      <c r="C1724" s="347">
        <v>308.26</v>
      </c>
      <c r="D1724" s="348">
        <v>46388</v>
      </c>
      <c r="E1724" s="348">
        <v>46722</v>
      </c>
      <c r="F1724" s="346" t="s">
        <v>638</v>
      </c>
      <c r="G1724" s="350" t="s">
        <v>447</v>
      </c>
      <c r="H1724" s="351">
        <f t="shared" si="29"/>
        <v>3699.12</v>
      </c>
      <c r="I1724" s="120" t="str">
        <f>IF(OR(D1724&lt;Capa!$A$5,D1724&gt;Capa!$A$7,E1724&lt;Capa!$A$5,E1724&gt;Capa!$A$7,D1724&gt;E1724),"Erro","")</f>
        <v/>
      </c>
    </row>
    <row r="1725" spans="1:9" ht="33.75">
      <c r="A1725" s="345">
        <v>1722</v>
      </c>
      <c r="B1725" s="346" t="s">
        <v>246</v>
      </c>
      <c r="C1725" s="347">
        <v>326.26</v>
      </c>
      <c r="D1725" s="348">
        <v>46753</v>
      </c>
      <c r="E1725" s="348">
        <v>47058</v>
      </c>
      <c r="F1725" s="346" t="s">
        <v>638</v>
      </c>
      <c r="G1725" s="350" t="s">
        <v>447</v>
      </c>
      <c r="H1725" s="351">
        <f t="shared" si="29"/>
        <v>3588.8599999999997</v>
      </c>
      <c r="I1725" s="120" t="str">
        <f>IF(OR(D1725&lt;Capa!$A$5,D1725&gt;Capa!$A$7,E1725&lt;Capa!$A$5,E1725&gt;Capa!$A$7,D1725&gt;E1725),"Erro","")</f>
        <v/>
      </c>
    </row>
    <row r="1726" spans="1:9" ht="33.75">
      <c r="A1726" s="345">
        <v>1723</v>
      </c>
      <c r="B1726" s="346" t="s">
        <v>258</v>
      </c>
      <c r="C1726" s="347">
        <v>193.77</v>
      </c>
      <c r="D1726" s="348">
        <v>45261</v>
      </c>
      <c r="E1726" s="348">
        <v>45627</v>
      </c>
      <c r="F1726" s="346" t="s">
        <v>638</v>
      </c>
      <c r="G1726" s="350" t="s">
        <v>448</v>
      </c>
      <c r="H1726" s="351">
        <f t="shared" si="29"/>
        <v>2519.0100000000002</v>
      </c>
      <c r="I1726" s="120" t="str">
        <f>IF(OR(D1726&lt;Capa!$A$5,D1726&gt;Capa!$A$7,E1726&lt;Capa!$A$5,E1726&gt;Capa!$A$7,D1726&gt;E1726),"Erro","")</f>
        <v/>
      </c>
    </row>
    <row r="1727" spans="1:9" ht="33.75">
      <c r="A1727" s="345">
        <v>1724</v>
      </c>
      <c r="B1727" s="346" t="s">
        <v>258</v>
      </c>
      <c r="C1727" s="347">
        <v>205.08</v>
      </c>
      <c r="D1727" s="348">
        <v>45658</v>
      </c>
      <c r="E1727" s="348">
        <v>45992</v>
      </c>
      <c r="F1727" s="346" t="s">
        <v>638</v>
      </c>
      <c r="G1727" s="350" t="s">
        <v>448</v>
      </c>
      <c r="H1727" s="351">
        <f t="shared" si="29"/>
        <v>2460.96</v>
      </c>
      <c r="I1727" s="120" t="str">
        <f>IF(OR(D1727&lt;Capa!$A$5,D1727&gt;Capa!$A$7,E1727&lt;Capa!$A$5,E1727&gt;Capa!$A$7,D1727&gt;E1727),"Erro","")</f>
        <v/>
      </c>
    </row>
    <row r="1728" spans="1:9" ht="33.75">
      <c r="A1728" s="345">
        <v>1725</v>
      </c>
      <c r="B1728" s="346" t="s">
        <v>258</v>
      </c>
      <c r="C1728" s="347">
        <v>217.06</v>
      </c>
      <c r="D1728" s="348">
        <v>46023</v>
      </c>
      <c r="E1728" s="348">
        <v>46357</v>
      </c>
      <c r="F1728" s="346" t="s">
        <v>638</v>
      </c>
      <c r="G1728" s="350" t="s">
        <v>448</v>
      </c>
      <c r="H1728" s="351">
        <f t="shared" si="29"/>
        <v>2604.7200000000003</v>
      </c>
      <c r="I1728" s="120" t="str">
        <f>IF(OR(D1728&lt;Capa!$A$5,D1728&gt;Capa!$A$7,E1728&lt;Capa!$A$5,E1728&gt;Capa!$A$7,D1728&gt;E1728),"Erro","")</f>
        <v/>
      </c>
    </row>
    <row r="1729" spans="1:9" ht="33.75">
      <c r="A1729" s="345">
        <v>1726</v>
      </c>
      <c r="B1729" s="346" t="s">
        <v>258</v>
      </c>
      <c r="C1729" s="347">
        <v>229.74</v>
      </c>
      <c r="D1729" s="348">
        <v>46388</v>
      </c>
      <c r="E1729" s="348">
        <v>46722</v>
      </c>
      <c r="F1729" s="346" t="s">
        <v>638</v>
      </c>
      <c r="G1729" s="350" t="s">
        <v>448</v>
      </c>
      <c r="H1729" s="351">
        <f t="shared" si="29"/>
        <v>2756.88</v>
      </c>
      <c r="I1729" s="120" t="str">
        <f>IF(OR(D1729&lt;Capa!$A$5,D1729&gt;Capa!$A$7,E1729&lt;Capa!$A$5,E1729&gt;Capa!$A$7,D1729&gt;E1729),"Erro","")</f>
        <v/>
      </c>
    </row>
    <row r="1730" spans="1:9" ht="33.75">
      <c r="A1730" s="345">
        <v>1727</v>
      </c>
      <c r="B1730" s="346" t="s">
        <v>258</v>
      </c>
      <c r="C1730" s="347">
        <v>243.16</v>
      </c>
      <c r="D1730" s="348">
        <v>46753</v>
      </c>
      <c r="E1730" s="348">
        <v>47058</v>
      </c>
      <c r="F1730" s="346" t="s">
        <v>638</v>
      </c>
      <c r="G1730" s="350" t="s">
        <v>448</v>
      </c>
      <c r="H1730" s="351">
        <f t="shared" si="29"/>
        <v>2674.7599999999998</v>
      </c>
      <c r="I1730" s="120" t="str">
        <f>IF(OR(D1730&lt;Capa!$A$5,D1730&gt;Capa!$A$7,E1730&lt;Capa!$A$5,E1730&gt;Capa!$A$7,D1730&gt;E1730),"Erro","")</f>
        <v/>
      </c>
    </row>
    <row r="1731" spans="1:9" ht="56.25">
      <c r="A1731" s="345">
        <v>1728</v>
      </c>
      <c r="B1731" s="346" t="s">
        <v>276</v>
      </c>
      <c r="C1731" s="347">
        <v>670</v>
      </c>
      <c r="D1731" s="348">
        <v>45658</v>
      </c>
      <c r="E1731" s="348">
        <v>45992</v>
      </c>
      <c r="F1731" s="346" t="s">
        <v>638</v>
      </c>
      <c r="G1731" s="350" t="s">
        <v>449</v>
      </c>
      <c r="H1731" s="351">
        <f t="shared" si="29"/>
        <v>8040</v>
      </c>
      <c r="I1731" s="120" t="str">
        <f>IF(OR(D1731&lt;Capa!$A$5,D1731&gt;Capa!$A$7,E1731&lt;Capa!$A$5,E1731&gt;Capa!$A$7,D1731&gt;E1731),"Erro","")</f>
        <v/>
      </c>
    </row>
    <row r="1732" spans="1:9" ht="56.25">
      <c r="A1732" s="345">
        <v>1729</v>
      </c>
      <c r="B1732" s="346" t="s">
        <v>276</v>
      </c>
      <c r="C1732" s="347">
        <v>670</v>
      </c>
      <c r="D1732" s="348">
        <v>46023</v>
      </c>
      <c r="E1732" s="348">
        <v>46357</v>
      </c>
      <c r="F1732" s="346" t="s">
        <v>638</v>
      </c>
      <c r="G1732" s="350" t="s">
        <v>449</v>
      </c>
      <c r="H1732" s="351">
        <f t="shared" si="29"/>
        <v>8040</v>
      </c>
      <c r="I1732" s="120" t="str">
        <f>IF(OR(D1732&lt;Capa!$A$5,D1732&gt;Capa!$A$7,E1732&lt;Capa!$A$5,E1732&gt;Capa!$A$7,D1732&gt;E1732),"Erro","")</f>
        <v/>
      </c>
    </row>
    <row r="1733" spans="1:9" ht="56.25">
      <c r="A1733" s="345">
        <v>1730</v>
      </c>
      <c r="B1733" s="346" t="s">
        <v>276</v>
      </c>
      <c r="C1733" s="347">
        <v>670</v>
      </c>
      <c r="D1733" s="348">
        <v>46388</v>
      </c>
      <c r="E1733" s="348">
        <v>46722</v>
      </c>
      <c r="F1733" s="346" t="s">
        <v>638</v>
      </c>
      <c r="G1733" s="350" t="s">
        <v>449</v>
      </c>
      <c r="H1733" s="351">
        <f t="shared" si="29"/>
        <v>8040</v>
      </c>
      <c r="I1733" s="120" t="str">
        <f>IF(OR(D1733&lt;Capa!$A$5,D1733&gt;Capa!$A$7,E1733&lt;Capa!$A$5,E1733&gt;Capa!$A$7,D1733&gt;E1733),"Erro","")</f>
        <v/>
      </c>
    </row>
    <row r="1734" spans="1:9" ht="56.25">
      <c r="A1734" s="345">
        <v>1731</v>
      </c>
      <c r="B1734" s="346" t="s">
        <v>276</v>
      </c>
      <c r="C1734" s="347">
        <v>670</v>
      </c>
      <c r="D1734" s="348">
        <v>46753</v>
      </c>
      <c r="E1734" s="348">
        <v>47058</v>
      </c>
      <c r="F1734" s="346" t="s">
        <v>638</v>
      </c>
      <c r="G1734" s="350" t="s">
        <v>449</v>
      </c>
      <c r="H1734" s="351">
        <f t="shared" si="29"/>
        <v>7370</v>
      </c>
      <c r="I1734" s="120" t="str">
        <f>IF(OR(D1734&lt;Capa!$A$5,D1734&gt;Capa!$A$7,E1734&lt;Capa!$A$5,E1734&gt;Capa!$A$7,D1734&gt;E1734),"Erro","")</f>
        <v/>
      </c>
    </row>
    <row r="1735" spans="1:9" ht="45">
      <c r="A1735" s="345">
        <v>1732</v>
      </c>
      <c r="B1735" s="346" t="s">
        <v>278</v>
      </c>
      <c r="C1735" s="347">
        <v>18000</v>
      </c>
      <c r="D1735" s="348">
        <v>45261</v>
      </c>
      <c r="E1735" s="348">
        <v>45261</v>
      </c>
      <c r="F1735" s="346" t="s">
        <v>638</v>
      </c>
      <c r="G1735" s="350" t="s">
        <v>450</v>
      </c>
      <c r="H1735" s="351">
        <f t="shared" si="29"/>
        <v>18000</v>
      </c>
      <c r="I1735" s="120" t="str">
        <f>IF(OR(D1735&lt;Capa!$A$5,D1735&gt;Capa!$A$7,E1735&lt;Capa!$A$5,E1735&gt;Capa!$A$7,D1735&gt;E1735),"Erro","")</f>
        <v/>
      </c>
    </row>
    <row r="1736" spans="1:9" ht="45">
      <c r="A1736" s="345">
        <v>1733</v>
      </c>
      <c r="B1736" s="346" t="s">
        <v>278</v>
      </c>
      <c r="C1736" s="347">
        <v>41370</v>
      </c>
      <c r="D1736" s="348">
        <v>45292</v>
      </c>
      <c r="E1736" s="348">
        <v>45627</v>
      </c>
      <c r="F1736" s="346" t="s">
        <v>638</v>
      </c>
      <c r="G1736" s="350" t="s">
        <v>450</v>
      </c>
      <c r="H1736" s="351">
        <f t="shared" si="29"/>
        <v>496440</v>
      </c>
      <c r="I1736" s="120" t="str">
        <f>IF(OR(D1736&lt;Capa!$A$5,D1736&gt;Capa!$A$7,E1736&lt;Capa!$A$5,E1736&gt;Capa!$A$7,D1736&gt;E1736),"Erro","")</f>
        <v/>
      </c>
    </row>
    <row r="1737" spans="1:9" ht="45">
      <c r="A1737" s="345">
        <v>1734</v>
      </c>
      <c r="B1737" s="346" t="s">
        <v>278</v>
      </c>
      <c r="C1737" s="347">
        <v>43786</v>
      </c>
      <c r="D1737" s="348">
        <v>45658</v>
      </c>
      <c r="E1737" s="348">
        <v>45992</v>
      </c>
      <c r="F1737" s="346" t="s">
        <v>638</v>
      </c>
      <c r="G1737" s="350" t="s">
        <v>450</v>
      </c>
      <c r="H1737" s="351">
        <f t="shared" si="29"/>
        <v>525432</v>
      </c>
      <c r="I1737" s="120" t="str">
        <f>IF(OR(D1737&lt;Capa!$A$5,D1737&gt;Capa!$A$7,E1737&lt;Capa!$A$5,E1737&gt;Capa!$A$7,D1737&gt;E1737),"Erro","")</f>
        <v/>
      </c>
    </row>
    <row r="1738" spans="1:9" ht="45">
      <c r="A1738" s="345">
        <v>1735</v>
      </c>
      <c r="B1738" s="346" t="s">
        <v>278</v>
      </c>
      <c r="C1738" s="347">
        <v>45562</v>
      </c>
      <c r="D1738" s="348">
        <v>46023</v>
      </c>
      <c r="E1738" s="348">
        <v>46357</v>
      </c>
      <c r="F1738" s="346" t="s">
        <v>638</v>
      </c>
      <c r="G1738" s="350" t="s">
        <v>450</v>
      </c>
      <c r="H1738" s="351">
        <f t="shared" si="29"/>
        <v>546744</v>
      </c>
      <c r="I1738" s="120" t="str">
        <f>IF(OR(D1738&lt;Capa!$A$5,D1738&gt;Capa!$A$7,E1738&lt;Capa!$A$5,E1738&gt;Capa!$A$7,D1738&gt;E1738),"Erro","")</f>
        <v/>
      </c>
    </row>
    <row r="1739" spans="1:9" ht="45">
      <c r="A1739" s="345">
        <v>1736</v>
      </c>
      <c r="B1739" s="346" t="s">
        <v>278</v>
      </c>
      <c r="C1739" s="347">
        <v>48222.82</v>
      </c>
      <c r="D1739" s="348">
        <v>46388</v>
      </c>
      <c r="E1739" s="348">
        <v>46722</v>
      </c>
      <c r="F1739" s="346" t="s">
        <v>638</v>
      </c>
      <c r="G1739" s="350" t="s">
        <v>450</v>
      </c>
      <c r="H1739" s="351">
        <f t="shared" si="29"/>
        <v>578673.84</v>
      </c>
      <c r="I1739" s="120" t="str">
        <f>IF(OR(D1739&lt;Capa!$A$5,D1739&gt;Capa!$A$7,E1739&lt;Capa!$A$5,E1739&gt;Capa!$A$7,D1739&gt;E1739),"Erro","")</f>
        <v/>
      </c>
    </row>
    <row r="1740" spans="1:9" ht="45">
      <c r="A1740" s="345">
        <v>1737</v>
      </c>
      <c r="B1740" s="346" t="s">
        <v>278</v>
      </c>
      <c r="C1740" s="347">
        <v>51039.03</v>
      </c>
      <c r="D1740" s="348">
        <v>46753</v>
      </c>
      <c r="E1740" s="348">
        <v>47058</v>
      </c>
      <c r="F1740" s="346" t="s">
        <v>638</v>
      </c>
      <c r="G1740" s="350" t="s">
        <v>450</v>
      </c>
      <c r="H1740" s="351">
        <f t="shared" si="29"/>
        <v>561429.32999999996</v>
      </c>
      <c r="I1740" s="120" t="str">
        <f>IF(OR(D1740&lt;Capa!$A$5,D1740&gt;Capa!$A$7,E1740&lt;Capa!$A$5,E1740&gt;Capa!$A$7,D1740&gt;E1740),"Erro","")</f>
        <v/>
      </c>
    </row>
    <row r="1741" spans="1:9" ht="56.25">
      <c r="A1741" s="345">
        <v>1738</v>
      </c>
      <c r="B1741" s="346" t="s">
        <v>280</v>
      </c>
      <c r="C1741" s="347">
        <v>100</v>
      </c>
      <c r="D1741" s="348">
        <v>45292</v>
      </c>
      <c r="E1741" s="348">
        <v>45627</v>
      </c>
      <c r="F1741" s="346" t="s">
        <v>638</v>
      </c>
      <c r="G1741" s="350" t="s">
        <v>451</v>
      </c>
      <c r="H1741" s="351">
        <f t="shared" si="29"/>
        <v>1200</v>
      </c>
      <c r="I1741" s="120" t="str">
        <f>IF(OR(D1741&lt;Capa!$A$5,D1741&gt;Capa!$A$7,E1741&lt;Capa!$A$5,E1741&gt;Capa!$A$7,D1741&gt;E1741),"Erro","")</f>
        <v/>
      </c>
    </row>
    <row r="1742" spans="1:9" ht="56.25">
      <c r="A1742" s="345">
        <v>1739</v>
      </c>
      <c r="B1742" s="346" t="s">
        <v>280</v>
      </c>
      <c r="C1742" s="347">
        <v>100</v>
      </c>
      <c r="D1742" s="348">
        <v>45658</v>
      </c>
      <c r="E1742" s="348">
        <v>45992</v>
      </c>
      <c r="F1742" s="346" t="s">
        <v>638</v>
      </c>
      <c r="G1742" s="350" t="s">
        <v>451</v>
      </c>
      <c r="H1742" s="351">
        <f t="shared" si="29"/>
        <v>1200</v>
      </c>
      <c r="I1742" s="120" t="str">
        <f>IF(OR(D1742&lt;Capa!$A$5,D1742&gt;Capa!$A$7,E1742&lt;Capa!$A$5,E1742&gt;Capa!$A$7,D1742&gt;E1742),"Erro","")</f>
        <v/>
      </c>
    </row>
    <row r="1743" spans="1:9" ht="56.25">
      <c r="A1743" s="345">
        <v>1740</v>
      </c>
      <c r="B1743" s="346" t="s">
        <v>280</v>
      </c>
      <c r="C1743" s="347">
        <v>100</v>
      </c>
      <c r="D1743" s="348">
        <v>46023</v>
      </c>
      <c r="E1743" s="348">
        <v>46357</v>
      </c>
      <c r="F1743" s="346" t="s">
        <v>638</v>
      </c>
      <c r="G1743" s="350" t="s">
        <v>451</v>
      </c>
      <c r="H1743" s="351">
        <f t="shared" si="29"/>
        <v>1200</v>
      </c>
      <c r="I1743" s="120" t="str">
        <f>IF(OR(D1743&lt;Capa!$A$5,D1743&gt;Capa!$A$7,E1743&lt;Capa!$A$5,E1743&gt;Capa!$A$7,D1743&gt;E1743),"Erro","")</f>
        <v/>
      </c>
    </row>
    <row r="1744" spans="1:9" ht="56.25">
      <c r="A1744" s="345">
        <v>1741</v>
      </c>
      <c r="B1744" s="346" t="s">
        <v>280</v>
      </c>
      <c r="C1744" s="347">
        <v>100</v>
      </c>
      <c r="D1744" s="348">
        <v>46388</v>
      </c>
      <c r="E1744" s="348">
        <v>46722</v>
      </c>
      <c r="F1744" s="346" t="s">
        <v>638</v>
      </c>
      <c r="G1744" s="350" t="s">
        <v>451</v>
      </c>
      <c r="H1744" s="351">
        <f t="shared" si="29"/>
        <v>1200</v>
      </c>
      <c r="I1744" s="120" t="str">
        <f>IF(OR(D1744&lt;Capa!$A$5,D1744&gt;Capa!$A$7,E1744&lt;Capa!$A$5,E1744&gt;Capa!$A$7,D1744&gt;E1744),"Erro","")</f>
        <v/>
      </c>
    </row>
    <row r="1745" spans="1:9" ht="56.25">
      <c r="A1745" s="345">
        <v>1742</v>
      </c>
      <c r="B1745" s="346" t="s">
        <v>280</v>
      </c>
      <c r="C1745" s="347">
        <v>100</v>
      </c>
      <c r="D1745" s="348">
        <v>46753</v>
      </c>
      <c r="E1745" s="348">
        <v>47058</v>
      </c>
      <c r="F1745" s="346" t="s">
        <v>638</v>
      </c>
      <c r="G1745" s="350" t="s">
        <v>451</v>
      </c>
      <c r="H1745" s="351">
        <f t="shared" si="29"/>
        <v>1100</v>
      </c>
      <c r="I1745" s="120" t="str">
        <f>IF(OR(D1745&lt;Capa!$A$5,D1745&gt;Capa!$A$7,E1745&lt;Capa!$A$5,E1745&gt;Capa!$A$7,D1745&gt;E1745),"Erro","")</f>
        <v/>
      </c>
    </row>
    <row r="1746" spans="1:9" ht="45">
      <c r="A1746" s="345">
        <v>1743</v>
      </c>
      <c r="B1746" s="346" t="s">
        <v>282</v>
      </c>
      <c r="C1746" s="347">
        <v>702.18</v>
      </c>
      <c r="D1746" s="348">
        <v>45261</v>
      </c>
      <c r="E1746" s="348">
        <v>45627</v>
      </c>
      <c r="F1746" s="346" t="s">
        <v>638</v>
      </c>
      <c r="G1746" s="350" t="s">
        <v>452</v>
      </c>
      <c r="H1746" s="351">
        <f t="shared" si="29"/>
        <v>9128.34</v>
      </c>
      <c r="I1746" s="120" t="str">
        <f>IF(OR(D1746&lt;Capa!$A$5,D1746&gt;Capa!$A$7,E1746&lt;Capa!$A$5,E1746&gt;Capa!$A$7,D1746&gt;E1746),"Erro","")</f>
        <v/>
      </c>
    </row>
    <row r="1747" spans="1:9" ht="45">
      <c r="A1747" s="345">
        <v>1744</v>
      </c>
      <c r="B1747" s="346" t="s">
        <v>282</v>
      </c>
      <c r="C1747" s="347">
        <v>743.18</v>
      </c>
      <c r="D1747" s="348">
        <v>45658</v>
      </c>
      <c r="E1747" s="348">
        <v>45992</v>
      </c>
      <c r="F1747" s="346" t="s">
        <v>638</v>
      </c>
      <c r="G1747" s="350" t="s">
        <v>452</v>
      </c>
      <c r="H1747" s="351">
        <f t="shared" si="29"/>
        <v>8918.16</v>
      </c>
      <c r="I1747" s="120" t="str">
        <f>IF(OR(D1747&lt;Capa!$A$5,D1747&gt;Capa!$A$7,E1747&lt;Capa!$A$5,E1747&gt;Capa!$A$7,D1747&gt;E1747),"Erro","")</f>
        <v/>
      </c>
    </row>
    <row r="1748" spans="1:9" ht="45">
      <c r="A1748" s="345">
        <v>1745</v>
      </c>
      <c r="B1748" s="346" t="s">
        <v>282</v>
      </c>
      <c r="C1748" s="347">
        <v>786.59</v>
      </c>
      <c r="D1748" s="348">
        <v>46023</v>
      </c>
      <c r="E1748" s="348">
        <v>46357</v>
      </c>
      <c r="F1748" s="346" t="s">
        <v>638</v>
      </c>
      <c r="G1748" s="350" t="s">
        <v>452</v>
      </c>
      <c r="H1748" s="351">
        <f t="shared" si="29"/>
        <v>9439.08</v>
      </c>
      <c r="I1748" s="120" t="str">
        <f>IF(OR(D1748&lt;Capa!$A$5,D1748&gt;Capa!$A$7,E1748&lt;Capa!$A$5,E1748&gt;Capa!$A$7,D1748&gt;E1748),"Erro","")</f>
        <v/>
      </c>
    </row>
    <row r="1749" spans="1:9" ht="45">
      <c r="A1749" s="345">
        <v>1746</v>
      </c>
      <c r="B1749" s="346" t="s">
        <v>282</v>
      </c>
      <c r="C1749" s="347">
        <v>832.52</v>
      </c>
      <c r="D1749" s="348">
        <v>46388</v>
      </c>
      <c r="E1749" s="348">
        <v>46722</v>
      </c>
      <c r="F1749" s="346" t="s">
        <v>638</v>
      </c>
      <c r="G1749" s="350" t="s">
        <v>452</v>
      </c>
      <c r="H1749" s="351">
        <f t="shared" si="29"/>
        <v>9990.24</v>
      </c>
      <c r="I1749" s="120" t="str">
        <f>IF(OR(D1749&lt;Capa!$A$5,D1749&gt;Capa!$A$7,E1749&lt;Capa!$A$5,E1749&gt;Capa!$A$7,D1749&gt;E1749),"Erro","")</f>
        <v/>
      </c>
    </row>
    <row r="1750" spans="1:9" ht="45">
      <c r="A1750" s="345">
        <v>1747</v>
      </c>
      <c r="B1750" s="346" t="s">
        <v>282</v>
      </c>
      <c r="C1750" s="347">
        <v>881.14</v>
      </c>
      <c r="D1750" s="348">
        <v>46753</v>
      </c>
      <c r="E1750" s="348">
        <v>47058</v>
      </c>
      <c r="F1750" s="346" t="s">
        <v>638</v>
      </c>
      <c r="G1750" s="350" t="s">
        <v>452</v>
      </c>
      <c r="H1750" s="351">
        <f t="shared" si="29"/>
        <v>9692.5399999999991</v>
      </c>
      <c r="I1750" s="120" t="str">
        <f>IF(OR(D1750&lt;Capa!$A$5,D1750&gt;Capa!$A$7,E1750&lt;Capa!$A$5,E1750&gt;Capa!$A$7,D1750&gt;E1750),"Erro","")</f>
        <v/>
      </c>
    </row>
    <row r="1751" spans="1:9" ht="45">
      <c r="A1751" s="345">
        <v>1748</v>
      </c>
      <c r="B1751" s="346" t="s">
        <v>284</v>
      </c>
      <c r="C1751" s="347">
        <v>1013.31</v>
      </c>
      <c r="D1751" s="348">
        <v>45261</v>
      </c>
      <c r="E1751" s="348">
        <v>45627</v>
      </c>
      <c r="F1751" s="346" t="s">
        <v>638</v>
      </c>
      <c r="G1751" s="350" t="s">
        <v>452</v>
      </c>
      <c r="H1751" s="351">
        <f t="shared" si="29"/>
        <v>13173.029999999999</v>
      </c>
      <c r="I1751" s="120" t="str">
        <f>IF(OR(D1751&lt;Capa!$A$5,D1751&gt;Capa!$A$7,E1751&lt;Capa!$A$5,E1751&gt;Capa!$A$7,D1751&gt;E1751),"Erro","")</f>
        <v/>
      </c>
    </row>
    <row r="1752" spans="1:9" ht="45">
      <c r="A1752" s="345">
        <v>1749</v>
      </c>
      <c r="B1752" s="346" t="s">
        <v>284</v>
      </c>
      <c r="C1752" s="347">
        <v>1072.49</v>
      </c>
      <c r="D1752" s="348">
        <v>45658</v>
      </c>
      <c r="E1752" s="348">
        <v>45992</v>
      </c>
      <c r="F1752" s="346" t="s">
        <v>638</v>
      </c>
      <c r="G1752" s="350" t="s">
        <v>452</v>
      </c>
      <c r="H1752" s="351">
        <f t="shared" si="29"/>
        <v>12869.880000000001</v>
      </c>
      <c r="I1752" s="120" t="str">
        <f>IF(OR(D1752&lt;Capa!$A$5,D1752&gt;Capa!$A$7,E1752&lt;Capa!$A$5,E1752&gt;Capa!$A$7,D1752&gt;E1752),"Erro","")</f>
        <v/>
      </c>
    </row>
    <row r="1753" spans="1:9" ht="45">
      <c r="A1753" s="345">
        <v>1750</v>
      </c>
      <c r="B1753" s="346" t="s">
        <v>284</v>
      </c>
      <c r="C1753" s="347">
        <v>1135.1199999999999</v>
      </c>
      <c r="D1753" s="348">
        <v>46023</v>
      </c>
      <c r="E1753" s="348">
        <v>46357</v>
      </c>
      <c r="F1753" s="346" t="s">
        <v>638</v>
      </c>
      <c r="G1753" s="350" t="s">
        <v>452</v>
      </c>
      <c r="H1753" s="351">
        <f t="shared" si="29"/>
        <v>13621.439999999999</v>
      </c>
      <c r="I1753" s="120" t="str">
        <f>IF(OR(D1753&lt;Capa!$A$5,D1753&gt;Capa!$A$7,E1753&lt;Capa!$A$5,E1753&gt;Capa!$A$7,D1753&gt;E1753),"Erro","")</f>
        <v/>
      </c>
    </row>
    <row r="1754" spans="1:9" ht="45">
      <c r="A1754" s="345">
        <v>1751</v>
      </c>
      <c r="B1754" s="346" t="s">
        <v>284</v>
      </c>
      <c r="C1754" s="347">
        <v>1201.42</v>
      </c>
      <c r="D1754" s="348">
        <v>46388</v>
      </c>
      <c r="E1754" s="348">
        <v>46722</v>
      </c>
      <c r="F1754" s="346" t="s">
        <v>638</v>
      </c>
      <c r="G1754" s="350" t="s">
        <v>452</v>
      </c>
      <c r="H1754" s="351">
        <f t="shared" si="29"/>
        <v>14417.04</v>
      </c>
      <c r="I1754" s="120" t="str">
        <f>IF(OR(D1754&lt;Capa!$A$5,D1754&gt;Capa!$A$7,E1754&lt;Capa!$A$5,E1754&gt;Capa!$A$7,D1754&gt;E1754),"Erro","")</f>
        <v/>
      </c>
    </row>
    <row r="1755" spans="1:9" ht="45">
      <c r="A1755" s="345">
        <v>1752</v>
      </c>
      <c r="B1755" s="346" t="s">
        <v>284</v>
      </c>
      <c r="C1755" s="347">
        <v>1271.58</v>
      </c>
      <c r="D1755" s="348">
        <v>46753</v>
      </c>
      <c r="E1755" s="348">
        <v>47058</v>
      </c>
      <c r="F1755" s="346" t="s">
        <v>638</v>
      </c>
      <c r="G1755" s="350" t="s">
        <v>452</v>
      </c>
      <c r="H1755" s="351">
        <f t="shared" si="29"/>
        <v>13987.38</v>
      </c>
      <c r="I1755" s="120" t="str">
        <f>IF(OR(D1755&lt;Capa!$A$5,D1755&gt;Capa!$A$7,E1755&lt;Capa!$A$5,E1755&gt;Capa!$A$7,D1755&gt;E1755),"Erro","")</f>
        <v/>
      </c>
    </row>
    <row r="1756" spans="1:9" ht="45">
      <c r="A1756" s="345">
        <v>1753</v>
      </c>
      <c r="B1756" s="346" t="s">
        <v>286</v>
      </c>
      <c r="C1756" s="347">
        <v>1013.31</v>
      </c>
      <c r="D1756" s="348">
        <v>45261</v>
      </c>
      <c r="E1756" s="348">
        <v>45627</v>
      </c>
      <c r="F1756" s="346" t="s">
        <v>638</v>
      </c>
      <c r="G1756" s="350" t="s">
        <v>452</v>
      </c>
      <c r="H1756" s="351">
        <f t="shared" si="29"/>
        <v>13173.029999999999</v>
      </c>
      <c r="I1756" s="120" t="str">
        <f>IF(OR(D1756&lt;Capa!$A$5,D1756&gt;Capa!$A$7,E1756&lt;Capa!$A$5,E1756&gt;Capa!$A$7,D1756&gt;E1756),"Erro","")</f>
        <v/>
      </c>
    </row>
    <row r="1757" spans="1:9" ht="45">
      <c r="A1757" s="345">
        <v>1754</v>
      </c>
      <c r="B1757" s="346" t="s">
        <v>286</v>
      </c>
      <c r="C1757" s="347">
        <v>1072.49</v>
      </c>
      <c r="D1757" s="348">
        <v>45658</v>
      </c>
      <c r="E1757" s="348">
        <v>45992</v>
      </c>
      <c r="F1757" s="346" t="s">
        <v>638</v>
      </c>
      <c r="G1757" s="350" t="s">
        <v>452</v>
      </c>
      <c r="H1757" s="351">
        <f t="shared" si="29"/>
        <v>12869.880000000001</v>
      </c>
      <c r="I1757" s="120" t="str">
        <f>IF(OR(D1757&lt;Capa!$A$5,D1757&gt;Capa!$A$7,E1757&lt;Capa!$A$5,E1757&gt;Capa!$A$7,D1757&gt;E1757),"Erro","")</f>
        <v/>
      </c>
    </row>
    <row r="1758" spans="1:9" ht="45">
      <c r="A1758" s="345">
        <v>1755</v>
      </c>
      <c r="B1758" s="346" t="s">
        <v>286</v>
      </c>
      <c r="C1758" s="347">
        <v>1135.1199999999999</v>
      </c>
      <c r="D1758" s="348">
        <v>46023</v>
      </c>
      <c r="E1758" s="348">
        <v>46357</v>
      </c>
      <c r="F1758" s="346" t="s">
        <v>638</v>
      </c>
      <c r="G1758" s="350" t="s">
        <v>452</v>
      </c>
      <c r="H1758" s="351">
        <f t="shared" si="29"/>
        <v>13621.439999999999</v>
      </c>
      <c r="I1758" s="120" t="str">
        <f>IF(OR(D1758&lt;Capa!$A$5,D1758&gt;Capa!$A$7,E1758&lt;Capa!$A$5,E1758&gt;Capa!$A$7,D1758&gt;E1758),"Erro","")</f>
        <v/>
      </c>
    </row>
    <row r="1759" spans="1:9" ht="45">
      <c r="A1759" s="345">
        <v>1756</v>
      </c>
      <c r="B1759" s="346" t="s">
        <v>286</v>
      </c>
      <c r="C1759" s="347">
        <v>1201.4100000000001</v>
      </c>
      <c r="D1759" s="348">
        <v>46388</v>
      </c>
      <c r="E1759" s="348">
        <v>46722</v>
      </c>
      <c r="F1759" s="346" t="s">
        <v>638</v>
      </c>
      <c r="G1759" s="350" t="s">
        <v>452</v>
      </c>
      <c r="H1759" s="351">
        <f t="shared" si="29"/>
        <v>14416.920000000002</v>
      </c>
      <c r="I1759" s="120" t="str">
        <f>IF(OR(D1759&lt;Capa!$A$5,D1759&gt;Capa!$A$7,E1759&lt;Capa!$A$5,E1759&gt;Capa!$A$7,D1759&gt;E1759),"Erro","")</f>
        <v/>
      </c>
    </row>
    <row r="1760" spans="1:9" ht="45">
      <c r="A1760" s="345">
        <v>1757</v>
      </c>
      <c r="B1760" s="346" t="s">
        <v>286</v>
      </c>
      <c r="C1760" s="347">
        <v>1271.57</v>
      </c>
      <c r="D1760" s="348">
        <v>46753</v>
      </c>
      <c r="E1760" s="348">
        <v>47058</v>
      </c>
      <c r="F1760" s="346" t="s">
        <v>638</v>
      </c>
      <c r="G1760" s="350" t="s">
        <v>452</v>
      </c>
      <c r="H1760" s="351">
        <f t="shared" si="29"/>
        <v>13987.269999999999</v>
      </c>
      <c r="I1760" s="120" t="str">
        <f>IF(OR(D1760&lt;Capa!$A$5,D1760&gt;Capa!$A$7,E1760&lt;Capa!$A$5,E1760&gt;Capa!$A$7,D1760&gt;E1760),"Erro","")</f>
        <v/>
      </c>
    </row>
    <row r="1761" spans="1:9" ht="45">
      <c r="A1761" s="345">
        <v>1758</v>
      </c>
      <c r="B1761" s="346" t="s">
        <v>288</v>
      </c>
      <c r="C1761" s="347">
        <v>200</v>
      </c>
      <c r="D1761" s="348">
        <v>45261</v>
      </c>
      <c r="E1761" s="348">
        <v>45627</v>
      </c>
      <c r="F1761" s="346" t="s">
        <v>638</v>
      </c>
      <c r="G1761" s="350" t="s">
        <v>453</v>
      </c>
      <c r="H1761" s="351">
        <f t="shared" si="29"/>
        <v>2600</v>
      </c>
      <c r="I1761" s="120" t="str">
        <f>IF(OR(D1761&lt;Capa!$A$5,D1761&gt;Capa!$A$7,E1761&lt;Capa!$A$5,E1761&gt;Capa!$A$7,D1761&gt;E1761),"Erro","")</f>
        <v/>
      </c>
    </row>
    <row r="1762" spans="1:9" ht="45">
      <c r="A1762" s="345">
        <v>1759</v>
      </c>
      <c r="B1762" s="346" t="s">
        <v>288</v>
      </c>
      <c r="C1762" s="347">
        <v>200</v>
      </c>
      <c r="D1762" s="348">
        <v>45658</v>
      </c>
      <c r="E1762" s="348">
        <v>45992</v>
      </c>
      <c r="F1762" s="346" t="s">
        <v>638</v>
      </c>
      <c r="G1762" s="350" t="s">
        <v>453</v>
      </c>
      <c r="H1762" s="351">
        <f t="shared" si="29"/>
        <v>2400</v>
      </c>
      <c r="I1762" s="120" t="str">
        <f>IF(OR(D1762&lt;Capa!$A$5,D1762&gt;Capa!$A$7,E1762&lt;Capa!$A$5,E1762&gt;Capa!$A$7,D1762&gt;E1762),"Erro","")</f>
        <v/>
      </c>
    </row>
    <row r="1763" spans="1:9" ht="45">
      <c r="A1763" s="345">
        <v>1760</v>
      </c>
      <c r="B1763" s="346" t="s">
        <v>288</v>
      </c>
      <c r="C1763" s="347">
        <v>200</v>
      </c>
      <c r="D1763" s="348">
        <v>46023</v>
      </c>
      <c r="E1763" s="348">
        <v>46357</v>
      </c>
      <c r="F1763" s="346" t="s">
        <v>638</v>
      </c>
      <c r="G1763" s="350" t="s">
        <v>453</v>
      </c>
      <c r="H1763" s="351">
        <f t="shared" si="29"/>
        <v>2400</v>
      </c>
      <c r="I1763" s="120" t="str">
        <f>IF(OR(D1763&lt;Capa!$A$5,D1763&gt;Capa!$A$7,E1763&lt;Capa!$A$5,E1763&gt;Capa!$A$7,D1763&gt;E1763),"Erro","")</f>
        <v/>
      </c>
    </row>
    <row r="1764" spans="1:9" ht="45">
      <c r="A1764" s="345">
        <v>1761</v>
      </c>
      <c r="B1764" s="346" t="s">
        <v>288</v>
      </c>
      <c r="C1764" s="347">
        <v>200</v>
      </c>
      <c r="D1764" s="348">
        <v>46388</v>
      </c>
      <c r="E1764" s="348">
        <v>46722</v>
      </c>
      <c r="F1764" s="346" t="s">
        <v>638</v>
      </c>
      <c r="G1764" s="350" t="s">
        <v>453</v>
      </c>
      <c r="H1764" s="351">
        <f t="shared" si="29"/>
        <v>2400</v>
      </c>
      <c r="I1764" s="120" t="str">
        <f>IF(OR(D1764&lt;Capa!$A$5,D1764&gt;Capa!$A$7,E1764&lt;Capa!$A$5,E1764&gt;Capa!$A$7,D1764&gt;E1764),"Erro","")</f>
        <v/>
      </c>
    </row>
    <row r="1765" spans="1:9" ht="45">
      <c r="A1765" s="345">
        <v>1762</v>
      </c>
      <c r="B1765" s="346" t="s">
        <v>288</v>
      </c>
      <c r="C1765" s="347">
        <v>200</v>
      </c>
      <c r="D1765" s="348">
        <v>46753</v>
      </c>
      <c r="E1765" s="348">
        <v>47058</v>
      </c>
      <c r="F1765" s="346" t="s">
        <v>638</v>
      </c>
      <c r="G1765" s="350" t="s">
        <v>453</v>
      </c>
      <c r="H1765" s="351">
        <f t="shared" si="29"/>
        <v>2200</v>
      </c>
      <c r="I1765" s="120" t="str">
        <f>IF(OR(D1765&lt;Capa!$A$5,D1765&gt;Capa!$A$7,E1765&lt;Capa!$A$5,E1765&gt;Capa!$A$7,D1765&gt;E1765),"Erro","")</f>
        <v/>
      </c>
    </row>
    <row r="1766" spans="1:9" ht="33.75">
      <c r="A1766" s="345">
        <v>1763</v>
      </c>
      <c r="B1766" s="346" t="s">
        <v>294</v>
      </c>
      <c r="C1766" s="347">
        <v>7000</v>
      </c>
      <c r="D1766" s="348">
        <v>45261</v>
      </c>
      <c r="E1766" s="348">
        <v>45627</v>
      </c>
      <c r="F1766" s="346" t="s">
        <v>638</v>
      </c>
      <c r="G1766" s="350" t="s">
        <v>454</v>
      </c>
      <c r="H1766" s="351">
        <f t="shared" si="29"/>
        <v>91000</v>
      </c>
      <c r="I1766" s="120" t="str">
        <f>IF(OR(D1766&lt;Capa!$A$5,D1766&gt;Capa!$A$7,E1766&lt;Capa!$A$5,E1766&gt;Capa!$A$7,D1766&gt;E1766),"Erro","")</f>
        <v/>
      </c>
    </row>
    <row r="1767" spans="1:9" ht="33.75">
      <c r="A1767" s="345">
        <v>1764</v>
      </c>
      <c r="B1767" s="346" t="s">
        <v>294</v>
      </c>
      <c r="C1767" s="347">
        <v>7408.8</v>
      </c>
      <c r="D1767" s="348">
        <v>45658</v>
      </c>
      <c r="E1767" s="348">
        <v>45992</v>
      </c>
      <c r="F1767" s="346" t="s">
        <v>638</v>
      </c>
      <c r="G1767" s="350" t="s">
        <v>454</v>
      </c>
      <c r="H1767" s="351">
        <f t="shared" ref="H1767:H1838" si="30">IFERROR((DATEDIF(D1767,E1767,"M")+1)*C1767,0)</f>
        <v>88905.600000000006</v>
      </c>
      <c r="I1767" s="120" t="str">
        <f>IF(OR(D1767&lt;Capa!$A$5,D1767&gt;Capa!$A$7,E1767&lt;Capa!$A$5,E1767&gt;Capa!$A$7,D1767&gt;E1767),"Erro","")</f>
        <v/>
      </c>
    </row>
    <row r="1768" spans="1:9" ht="33.75">
      <c r="A1768" s="345">
        <v>1765</v>
      </c>
      <c r="B1768" s="346" t="s">
        <v>294</v>
      </c>
      <c r="C1768" s="347">
        <v>7847.65</v>
      </c>
      <c r="D1768" s="348">
        <v>46023</v>
      </c>
      <c r="E1768" s="348">
        <v>46357</v>
      </c>
      <c r="F1768" s="346" t="s">
        <v>638</v>
      </c>
      <c r="G1768" s="350" t="s">
        <v>454</v>
      </c>
      <c r="H1768" s="351">
        <f t="shared" si="30"/>
        <v>94171.799999999988</v>
      </c>
      <c r="I1768" s="120" t="str">
        <f>IF(OR(D1768&lt;Capa!$A$5,D1768&gt;Capa!$A$7,E1768&lt;Capa!$A$5,E1768&gt;Capa!$A$7,D1768&gt;E1768),"Erro","")</f>
        <v/>
      </c>
    </row>
    <row r="1769" spans="1:9" ht="33.75">
      <c r="A1769" s="345">
        <v>1766</v>
      </c>
      <c r="B1769" s="346" t="s">
        <v>294</v>
      </c>
      <c r="C1769" s="347">
        <v>8305.9500000000007</v>
      </c>
      <c r="D1769" s="348">
        <v>46388</v>
      </c>
      <c r="E1769" s="348">
        <v>46722</v>
      </c>
      <c r="F1769" s="346" t="s">
        <v>638</v>
      </c>
      <c r="G1769" s="350" t="s">
        <v>454</v>
      </c>
      <c r="H1769" s="351">
        <f t="shared" si="30"/>
        <v>99671.400000000009</v>
      </c>
      <c r="I1769" s="120" t="str">
        <f>IF(OR(D1769&lt;Capa!$A$5,D1769&gt;Capa!$A$7,E1769&lt;Capa!$A$5,E1769&gt;Capa!$A$7,D1769&gt;E1769),"Erro","")</f>
        <v/>
      </c>
    </row>
    <row r="1770" spans="1:9" ht="33.75">
      <c r="A1770" s="345">
        <v>1767</v>
      </c>
      <c r="B1770" s="346" t="s">
        <v>294</v>
      </c>
      <c r="C1770" s="347">
        <v>8791.02</v>
      </c>
      <c r="D1770" s="348">
        <v>46753</v>
      </c>
      <c r="E1770" s="348">
        <v>47058</v>
      </c>
      <c r="F1770" s="346" t="s">
        <v>638</v>
      </c>
      <c r="G1770" s="350" t="s">
        <v>454</v>
      </c>
      <c r="H1770" s="351">
        <f t="shared" si="30"/>
        <v>96701.22</v>
      </c>
      <c r="I1770" s="120" t="str">
        <f>IF(OR(D1770&lt;Capa!$A$5,D1770&gt;Capa!$A$7,E1770&lt;Capa!$A$5,E1770&gt;Capa!$A$7,D1770&gt;E1770),"Erro","")</f>
        <v/>
      </c>
    </row>
    <row r="1771" spans="1:9" ht="33.75">
      <c r="A1771" s="345">
        <v>1768</v>
      </c>
      <c r="B1771" s="346" t="s">
        <v>302</v>
      </c>
      <c r="C1771" s="347">
        <v>250</v>
      </c>
      <c r="D1771" s="348">
        <v>45261</v>
      </c>
      <c r="E1771" s="348">
        <v>45627</v>
      </c>
      <c r="F1771" s="346" t="s">
        <v>638</v>
      </c>
      <c r="G1771" s="350" t="s">
        <v>602</v>
      </c>
      <c r="H1771" s="351">
        <f t="shared" si="30"/>
        <v>3250</v>
      </c>
      <c r="I1771" s="120" t="str">
        <f>IF(OR(D1771&lt;Capa!$A$5,D1771&gt;Capa!$A$7,E1771&lt;Capa!$A$5,E1771&gt;Capa!$A$7,D1771&gt;E1771),"Erro","")</f>
        <v/>
      </c>
    </row>
    <row r="1772" spans="1:9" ht="22.5">
      <c r="A1772" s="345">
        <v>1769</v>
      </c>
      <c r="B1772" s="346" t="s">
        <v>302</v>
      </c>
      <c r="C1772" s="347">
        <v>210</v>
      </c>
      <c r="D1772" s="348">
        <v>45658</v>
      </c>
      <c r="E1772" s="348">
        <v>45992</v>
      </c>
      <c r="F1772" s="346" t="s">
        <v>638</v>
      </c>
      <c r="G1772" s="350" t="s">
        <v>455</v>
      </c>
      <c r="H1772" s="351">
        <f t="shared" si="30"/>
        <v>2520</v>
      </c>
      <c r="I1772" s="120" t="str">
        <f>IF(OR(D1772&lt;Capa!$A$5,D1772&gt;Capa!$A$7,E1772&lt;Capa!$A$5,E1772&gt;Capa!$A$7,D1772&gt;E1772),"Erro","")</f>
        <v/>
      </c>
    </row>
    <row r="1773" spans="1:9" ht="22.5">
      <c r="A1773" s="345">
        <v>1770</v>
      </c>
      <c r="B1773" s="346" t="s">
        <v>302</v>
      </c>
      <c r="C1773" s="347">
        <v>210</v>
      </c>
      <c r="D1773" s="348">
        <v>46023</v>
      </c>
      <c r="E1773" s="348">
        <v>46357</v>
      </c>
      <c r="F1773" s="346" t="s">
        <v>638</v>
      </c>
      <c r="G1773" s="350" t="s">
        <v>455</v>
      </c>
      <c r="H1773" s="351">
        <f t="shared" si="30"/>
        <v>2520</v>
      </c>
      <c r="I1773" s="120" t="str">
        <f>IF(OR(D1773&lt;Capa!$A$5,D1773&gt;Capa!$A$7,E1773&lt;Capa!$A$5,E1773&gt;Capa!$A$7,D1773&gt;E1773),"Erro","")</f>
        <v/>
      </c>
    </row>
    <row r="1774" spans="1:9" ht="22.5">
      <c r="A1774" s="345">
        <v>1771</v>
      </c>
      <c r="B1774" s="346" t="s">
        <v>302</v>
      </c>
      <c r="C1774" s="347">
        <v>210</v>
      </c>
      <c r="D1774" s="348">
        <v>46388</v>
      </c>
      <c r="E1774" s="348">
        <v>46722</v>
      </c>
      <c r="F1774" s="346" t="s">
        <v>638</v>
      </c>
      <c r="G1774" s="350" t="s">
        <v>455</v>
      </c>
      <c r="H1774" s="351">
        <f t="shared" si="30"/>
        <v>2520</v>
      </c>
      <c r="I1774" s="120" t="str">
        <f>IF(OR(D1774&lt;Capa!$A$5,D1774&gt;Capa!$A$7,E1774&lt;Capa!$A$5,E1774&gt;Capa!$A$7,D1774&gt;E1774),"Erro","")</f>
        <v/>
      </c>
    </row>
    <row r="1775" spans="1:9" ht="22.5">
      <c r="A1775" s="345">
        <v>1772</v>
      </c>
      <c r="B1775" s="346" t="s">
        <v>302</v>
      </c>
      <c r="C1775" s="347">
        <v>210</v>
      </c>
      <c r="D1775" s="348">
        <v>46753</v>
      </c>
      <c r="E1775" s="348">
        <v>47058</v>
      </c>
      <c r="F1775" s="346" t="s">
        <v>638</v>
      </c>
      <c r="G1775" s="350" t="s">
        <v>455</v>
      </c>
      <c r="H1775" s="351">
        <f t="shared" si="30"/>
        <v>2310</v>
      </c>
      <c r="I1775" s="120" t="str">
        <f>IF(OR(D1775&lt;Capa!$A$5,D1775&gt;Capa!$A$7,E1775&lt;Capa!$A$5,E1775&gt;Capa!$A$7,D1775&gt;E1775),"Erro","")</f>
        <v/>
      </c>
    </row>
    <row r="1776" spans="1:9" ht="33.75">
      <c r="A1776" s="345">
        <v>1773</v>
      </c>
      <c r="B1776" s="346" t="s">
        <v>304</v>
      </c>
      <c r="C1776" s="347">
        <v>1800</v>
      </c>
      <c r="D1776" s="348">
        <v>45261</v>
      </c>
      <c r="E1776" s="348">
        <v>45627</v>
      </c>
      <c r="F1776" s="346" t="s">
        <v>638</v>
      </c>
      <c r="G1776" s="350" t="s">
        <v>456</v>
      </c>
      <c r="H1776" s="351">
        <f t="shared" si="30"/>
        <v>23400</v>
      </c>
      <c r="I1776" s="120" t="str">
        <f>IF(OR(D1776&lt;Capa!$A$5,D1776&gt;Capa!$A$7,E1776&lt;Capa!$A$5,E1776&gt;Capa!$A$7,D1776&gt;E1776),"Erro","")</f>
        <v/>
      </c>
    </row>
    <row r="1777" spans="1:9" ht="33.75">
      <c r="A1777" s="345">
        <v>1774</v>
      </c>
      <c r="B1777" s="346" t="s">
        <v>304</v>
      </c>
      <c r="C1777" s="347">
        <v>1905.12</v>
      </c>
      <c r="D1777" s="348">
        <v>45658</v>
      </c>
      <c r="E1777" s="348">
        <v>45992</v>
      </c>
      <c r="F1777" s="346" t="s">
        <v>638</v>
      </c>
      <c r="G1777" s="350" t="s">
        <v>456</v>
      </c>
      <c r="H1777" s="351">
        <f t="shared" si="30"/>
        <v>22861.439999999999</v>
      </c>
      <c r="I1777" s="120" t="str">
        <f>IF(OR(D1777&lt;Capa!$A$5,D1777&gt;Capa!$A$7,E1777&lt;Capa!$A$5,E1777&gt;Capa!$A$7,D1777&gt;E1777),"Erro","")</f>
        <v/>
      </c>
    </row>
    <row r="1778" spans="1:9" ht="33.75">
      <c r="A1778" s="345">
        <v>1775</v>
      </c>
      <c r="B1778" s="346" t="s">
        <v>304</v>
      </c>
      <c r="C1778" s="347">
        <v>2016.37</v>
      </c>
      <c r="D1778" s="348">
        <v>46023</v>
      </c>
      <c r="E1778" s="348">
        <v>46357</v>
      </c>
      <c r="F1778" s="346" t="s">
        <v>638</v>
      </c>
      <c r="G1778" s="350" t="s">
        <v>456</v>
      </c>
      <c r="H1778" s="351">
        <f t="shared" si="30"/>
        <v>24196.44</v>
      </c>
      <c r="I1778" s="120" t="str">
        <f>IF(OR(D1778&lt;Capa!$A$5,D1778&gt;Capa!$A$7,E1778&lt;Capa!$A$5,E1778&gt;Capa!$A$7,D1778&gt;E1778),"Erro","")</f>
        <v/>
      </c>
    </row>
    <row r="1779" spans="1:9" ht="33.75">
      <c r="A1779" s="345">
        <v>1776</v>
      </c>
      <c r="B1779" s="346" t="s">
        <v>304</v>
      </c>
      <c r="C1779" s="347">
        <v>2134.13</v>
      </c>
      <c r="D1779" s="348">
        <v>46388</v>
      </c>
      <c r="E1779" s="348">
        <v>46722</v>
      </c>
      <c r="F1779" s="346" t="s">
        <v>638</v>
      </c>
      <c r="G1779" s="350" t="s">
        <v>456</v>
      </c>
      <c r="H1779" s="351">
        <f t="shared" si="30"/>
        <v>25609.56</v>
      </c>
      <c r="I1779" s="120" t="str">
        <f>IF(OR(D1779&lt;Capa!$A$5,D1779&gt;Capa!$A$7,E1779&lt;Capa!$A$5,E1779&gt;Capa!$A$7,D1779&gt;E1779),"Erro","")</f>
        <v/>
      </c>
    </row>
    <row r="1780" spans="1:9" ht="33.75">
      <c r="A1780" s="345">
        <v>1777</v>
      </c>
      <c r="B1780" s="346" t="s">
        <v>304</v>
      </c>
      <c r="C1780" s="347">
        <v>2258.7600000000002</v>
      </c>
      <c r="D1780" s="348">
        <v>46753</v>
      </c>
      <c r="E1780" s="348">
        <v>47058</v>
      </c>
      <c r="F1780" s="346" t="s">
        <v>638</v>
      </c>
      <c r="G1780" s="350" t="s">
        <v>456</v>
      </c>
      <c r="H1780" s="351">
        <f t="shared" si="30"/>
        <v>24846.36</v>
      </c>
      <c r="I1780" s="120" t="str">
        <f>IF(OR(D1780&lt;Capa!$A$5,D1780&gt;Capa!$A$7,E1780&lt;Capa!$A$5,E1780&gt;Capa!$A$7,D1780&gt;E1780),"Erro","")</f>
        <v/>
      </c>
    </row>
    <row r="1781" spans="1:9" ht="33.75">
      <c r="A1781" s="345">
        <v>1778</v>
      </c>
      <c r="B1781" s="346" t="s">
        <v>312</v>
      </c>
      <c r="C1781" s="347">
        <v>280</v>
      </c>
      <c r="D1781" s="348">
        <v>45658</v>
      </c>
      <c r="E1781" s="348">
        <v>45992</v>
      </c>
      <c r="F1781" s="346" t="s">
        <v>638</v>
      </c>
      <c r="G1781" s="350" t="s">
        <v>593</v>
      </c>
      <c r="H1781" s="351">
        <f t="shared" si="30"/>
        <v>3360</v>
      </c>
      <c r="I1781" s="120" t="str">
        <f>IF(OR(D1781&lt;Capa!$A$5,D1781&gt;Capa!$A$7,E1781&lt;Capa!$A$5,E1781&gt;Capa!$A$7,D1781&gt;E1781),"Erro","")</f>
        <v/>
      </c>
    </row>
    <row r="1782" spans="1:9" ht="33.75">
      <c r="A1782" s="345">
        <v>1779</v>
      </c>
      <c r="B1782" s="346" t="s">
        <v>312</v>
      </c>
      <c r="C1782" s="347">
        <v>280</v>
      </c>
      <c r="D1782" s="348">
        <v>46023</v>
      </c>
      <c r="E1782" s="348">
        <v>46357</v>
      </c>
      <c r="F1782" s="346" t="s">
        <v>638</v>
      </c>
      <c r="G1782" s="350" t="s">
        <v>593</v>
      </c>
      <c r="H1782" s="351">
        <f t="shared" si="30"/>
        <v>3360</v>
      </c>
      <c r="I1782" s="120" t="str">
        <f>IF(OR(D1782&lt;Capa!$A$5,D1782&gt;Capa!$A$7,E1782&lt;Capa!$A$5,E1782&gt;Capa!$A$7,D1782&gt;E1782),"Erro","")</f>
        <v/>
      </c>
    </row>
    <row r="1783" spans="1:9" ht="33.75">
      <c r="A1783" s="345">
        <v>1780</v>
      </c>
      <c r="B1783" s="346" t="s">
        <v>312</v>
      </c>
      <c r="C1783" s="347">
        <v>280</v>
      </c>
      <c r="D1783" s="348">
        <v>46388</v>
      </c>
      <c r="E1783" s="348">
        <v>46722</v>
      </c>
      <c r="F1783" s="346" t="s">
        <v>638</v>
      </c>
      <c r="G1783" s="350" t="s">
        <v>593</v>
      </c>
      <c r="H1783" s="351">
        <f t="shared" si="30"/>
        <v>3360</v>
      </c>
      <c r="I1783" s="120" t="str">
        <f>IF(OR(D1783&lt;Capa!$A$5,D1783&gt;Capa!$A$7,E1783&lt;Capa!$A$5,E1783&gt;Capa!$A$7,D1783&gt;E1783),"Erro","")</f>
        <v/>
      </c>
    </row>
    <row r="1784" spans="1:9" ht="33.75">
      <c r="A1784" s="345">
        <v>1781</v>
      </c>
      <c r="B1784" s="346" t="s">
        <v>312</v>
      </c>
      <c r="C1784" s="347">
        <v>280</v>
      </c>
      <c r="D1784" s="348">
        <v>46753</v>
      </c>
      <c r="E1784" s="348">
        <v>47058</v>
      </c>
      <c r="F1784" s="346" t="s">
        <v>638</v>
      </c>
      <c r="G1784" s="350" t="s">
        <v>593</v>
      </c>
      <c r="H1784" s="351">
        <f t="shared" si="30"/>
        <v>3080</v>
      </c>
      <c r="I1784" s="120" t="str">
        <f>IF(OR(D1784&lt;Capa!$A$5,D1784&gt;Capa!$A$7,E1784&lt;Capa!$A$5,E1784&gt;Capa!$A$7,D1784&gt;E1784),"Erro","")</f>
        <v/>
      </c>
    </row>
    <row r="1785" spans="1:9" ht="67.5">
      <c r="A1785" s="345">
        <v>1782</v>
      </c>
      <c r="B1785" s="346" t="s">
        <v>316</v>
      </c>
      <c r="C1785" s="347">
        <v>1000</v>
      </c>
      <c r="D1785" s="348">
        <v>45261</v>
      </c>
      <c r="E1785" s="348">
        <v>45627</v>
      </c>
      <c r="F1785" s="346" t="s">
        <v>638</v>
      </c>
      <c r="G1785" s="350" t="s">
        <v>457</v>
      </c>
      <c r="H1785" s="351">
        <f t="shared" si="30"/>
        <v>13000</v>
      </c>
      <c r="I1785" s="120" t="str">
        <f>IF(OR(D1785&lt;Capa!$A$5,D1785&gt;Capa!$A$7,E1785&lt;Capa!$A$5,E1785&gt;Capa!$A$7,D1785&gt;E1785),"Erro","")</f>
        <v/>
      </c>
    </row>
    <row r="1786" spans="1:9" ht="67.5">
      <c r="A1786" s="345">
        <v>1783</v>
      </c>
      <c r="B1786" s="346" t="s">
        <v>316</v>
      </c>
      <c r="C1786" s="347">
        <v>1000</v>
      </c>
      <c r="D1786" s="348">
        <v>45658</v>
      </c>
      <c r="E1786" s="348">
        <v>45992</v>
      </c>
      <c r="F1786" s="346" t="s">
        <v>638</v>
      </c>
      <c r="G1786" s="350" t="s">
        <v>457</v>
      </c>
      <c r="H1786" s="351">
        <f t="shared" si="30"/>
        <v>12000</v>
      </c>
      <c r="I1786" s="120" t="str">
        <f>IF(OR(D1786&lt;Capa!$A$5,D1786&gt;Capa!$A$7,E1786&lt;Capa!$A$5,E1786&gt;Capa!$A$7,D1786&gt;E1786),"Erro","")</f>
        <v/>
      </c>
    </row>
    <row r="1787" spans="1:9" ht="67.5">
      <c r="A1787" s="345">
        <v>1784</v>
      </c>
      <c r="B1787" s="346" t="s">
        <v>316</v>
      </c>
      <c r="C1787" s="347">
        <v>1000</v>
      </c>
      <c r="D1787" s="348">
        <v>46023</v>
      </c>
      <c r="E1787" s="348">
        <v>46357</v>
      </c>
      <c r="F1787" s="346" t="s">
        <v>638</v>
      </c>
      <c r="G1787" s="350" t="s">
        <v>457</v>
      </c>
      <c r="H1787" s="351">
        <f t="shared" si="30"/>
        <v>12000</v>
      </c>
      <c r="I1787" s="120" t="str">
        <f>IF(OR(D1787&lt;Capa!$A$5,D1787&gt;Capa!$A$7,E1787&lt;Capa!$A$5,E1787&gt;Capa!$A$7,D1787&gt;E1787),"Erro","")</f>
        <v/>
      </c>
    </row>
    <row r="1788" spans="1:9" ht="67.5">
      <c r="A1788" s="345">
        <v>1785</v>
      </c>
      <c r="B1788" s="346" t="s">
        <v>316</v>
      </c>
      <c r="C1788" s="347">
        <v>1000</v>
      </c>
      <c r="D1788" s="348">
        <v>46388</v>
      </c>
      <c r="E1788" s="348">
        <v>46722</v>
      </c>
      <c r="F1788" s="346" t="s">
        <v>638</v>
      </c>
      <c r="G1788" s="350" t="s">
        <v>457</v>
      </c>
      <c r="H1788" s="351">
        <f t="shared" si="30"/>
        <v>12000</v>
      </c>
      <c r="I1788" s="120" t="str">
        <f>IF(OR(D1788&lt;Capa!$A$5,D1788&gt;Capa!$A$7,E1788&lt;Capa!$A$5,E1788&gt;Capa!$A$7,D1788&gt;E1788),"Erro","")</f>
        <v/>
      </c>
    </row>
    <row r="1789" spans="1:9" ht="67.5">
      <c r="A1789" s="345">
        <v>1786</v>
      </c>
      <c r="B1789" s="346" t="s">
        <v>316</v>
      </c>
      <c r="C1789" s="347">
        <v>1000</v>
      </c>
      <c r="D1789" s="348">
        <v>46753</v>
      </c>
      <c r="E1789" s="348">
        <v>47058</v>
      </c>
      <c r="F1789" s="346" t="s">
        <v>638</v>
      </c>
      <c r="G1789" s="350" t="s">
        <v>457</v>
      </c>
      <c r="H1789" s="351">
        <f t="shared" si="30"/>
        <v>11000</v>
      </c>
      <c r="I1789" s="120" t="str">
        <f>IF(OR(D1789&lt;Capa!$A$5,D1789&gt;Capa!$A$7,E1789&lt;Capa!$A$5,E1789&gt;Capa!$A$7,D1789&gt;E1789),"Erro","")</f>
        <v/>
      </c>
    </row>
    <row r="1790" spans="1:9" ht="56.25">
      <c r="A1790" s="345">
        <v>1787</v>
      </c>
      <c r="B1790" s="346" t="s">
        <v>318</v>
      </c>
      <c r="C1790" s="347">
        <v>1800</v>
      </c>
      <c r="D1790" s="348">
        <v>45261</v>
      </c>
      <c r="E1790" s="348">
        <v>45627</v>
      </c>
      <c r="F1790" s="346" t="s">
        <v>638</v>
      </c>
      <c r="G1790" s="350" t="s">
        <v>594</v>
      </c>
      <c r="H1790" s="351">
        <f t="shared" si="30"/>
        <v>23400</v>
      </c>
      <c r="I1790" s="120" t="str">
        <f>IF(OR(D1790&lt;Capa!$A$5,D1790&gt;Capa!$A$7,E1790&lt;Capa!$A$5,E1790&gt;Capa!$A$7,D1790&gt;E1790),"Erro","")</f>
        <v/>
      </c>
    </row>
    <row r="1791" spans="1:9" ht="56.25">
      <c r="A1791" s="345">
        <v>1788</v>
      </c>
      <c r="B1791" s="346" t="s">
        <v>318</v>
      </c>
      <c r="C1791" s="347">
        <v>1500</v>
      </c>
      <c r="D1791" s="348">
        <v>45658</v>
      </c>
      <c r="E1791" s="348">
        <v>45992</v>
      </c>
      <c r="F1791" s="346" t="s">
        <v>638</v>
      </c>
      <c r="G1791" s="350" t="s">
        <v>594</v>
      </c>
      <c r="H1791" s="351">
        <f t="shared" si="30"/>
        <v>18000</v>
      </c>
      <c r="I1791" s="120" t="str">
        <f>IF(OR(D1791&lt;Capa!$A$5,D1791&gt;Capa!$A$7,E1791&lt;Capa!$A$5,E1791&gt;Capa!$A$7,D1791&gt;E1791),"Erro","")</f>
        <v/>
      </c>
    </row>
    <row r="1792" spans="1:9" ht="56.25">
      <c r="A1792" s="345">
        <v>1789</v>
      </c>
      <c r="B1792" s="346" t="s">
        <v>318</v>
      </c>
      <c r="C1792" s="347">
        <v>1500</v>
      </c>
      <c r="D1792" s="348">
        <v>46023</v>
      </c>
      <c r="E1792" s="348">
        <v>46357</v>
      </c>
      <c r="F1792" s="346" t="s">
        <v>638</v>
      </c>
      <c r="G1792" s="350" t="s">
        <v>594</v>
      </c>
      <c r="H1792" s="351">
        <f t="shared" si="30"/>
        <v>18000</v>
      </c>
      <c r="I1792" s="120" t="str">
        <f>IF(OR(D1792&lt;Capa!$A$5,D1792&gt;Capa!$A$7,E1792&lt;Capa!$A$5,E1792&gt;Capa!$A$7,D1792&gt;E1792),"Erro","")</f>
        <v/>
      </c>
    </row>
    <row r="1793" spans="1:9" ht="56.25">
      <c r="A1793" s="345">
        <v>1790</v>
      </c>
      <c r="B1793" s="346" t="s">
        <v>318</v>
      </c>
      <c r="C1793" s="347">
        <v>1500</v>
      </c>
      <c r="D1793" s="348">
        <v>46388</v>
      </c>
      <c r="E1793" s="348">
        <v>46722</v>
      </c>
      <c r="F1793" s="346" t="s">
        <v>638</v>
      </c>
      <c r="G1793" s="350" t="s">
        <v>594</v>
      </c>
      <c r="H1793" s="351">
        <f t="shared" si="30"/>
        <v>18000</v>
      </c>
      <c r="I1793" s="120" t="str">
        <f>IF(OR(D1793&lt;Capa!$A$5,D1793&gt;Capa!$A$7,E1793&lt;Capa!$A$5,E1793&gt;Capa!$A$7,D1793&gt;E1793),"Erro","")</f>
        <v/>
      </c>
    </row>
    <row r="1794" spans="1:9" ht="56.25">
      <c r="A1794" s="345">
        <v>1791</v>
      </c>
      <c r="B1794" s="346" t="s">
        <v>318</v>
      </c>
      <c r="C1794" s="347">
        <v>1500</v>
      </c>
      <c r="D1794" s="348">
        <v>46753</v>
      </c>
      <c r="E1794" s="348">
        <v>47058</v>
      </c>
      <c r="F1794" s="346" t="s">
        <v>638</v>
      </c>
      <c r="G1794" s="350" t="s">
        <v>594</v>
      </c>
      <c r="H1794" s="351">
        <f t="shared" si="30"/>
        <v>16500</v>
      </c>
      <c r="I1794" s="120" t="str">
        <f>IF(OR(D1794&lt;Capa!$A$5,D1794&gt;Capa!$A$7,E1794&lt;Capa!$A$5,E1794&gt;Capa!$A$7,D1794&gt;E1794),"Erro","")</f>
        <v/>
      </c>
    </row>
    <row r="1795" spans="1:9" ht="67.5">
      <c r="A1795" s="345">
        <v>1792</v>
      </c>
      <c r="B1795" s="346" t="s">
        <v>318</v>
      </c>
      <c r="C1795" s="347">
        <v>1800</v>
      </c>
      <c r="D1795" s="348">
        <v>45261</v>
      </c>
      <c r="E1795" s="348">
        <v>45627</v>
      </c>
      <c r="F1795" s="346" t="s">
        <v>638</v>
      </c>
      <c r="G1795" s="350" t="s">
        <v>457</v>
      </c>
      <c r="H1795" s="351">
        <f t="shared" si="30"/>
        <v>23400</v>
      </c>
      <c r="I1795" s="120" t="str">
        <f>IF(OR(D1795&lt;Capa!$A$5,D1795&gt;Capa!$A$7,E1795&lt;Capa!$A$5,E1795&gt;Capa!$A$7,D1795&gt;E1795),"Erro","")</f>
        <v/>
      </c>
    </row>
    <row r="1796" spans="1:9" ht="67.5">
      <c r="A1796" s="345">
        <v>1793</v>
      </c>
      <c r="B1796" s="346" t="s">
        <v>318</v>
      </c>
      <c r="C1796" s="347">
        <v>1500</v>
      </c>
      <c r="D1796" s="348">
        <v>45658</v>
      </c>
      <c r="E1796" s="348">
        <v>45992</v>
      </c>
      <c r="F1796" s="346" t="s">
        <v>638</v>
      </c>
      <c r="G1796" s="350" t="s">
        <v>457</v>
      </c>
      <c r="H1796" s="351">
        <f t="shared" si="30"/>
        <v>18000</v>
      </c>
      <c r="I1796" s="120" t="str">
        <f>IF(OR(D1796&lt;Capa!$A$5,D1796&gt;Capa!$A$7,E1796&lt;Capa!$A$5,E1796&gt;Capa!$A$7,D1796&gt;E1796),"Erro","")</f>
        <v/>
      </c>
    </row>
    <row r="1797" spans="1:9" ht="67.5">
      <c r="A1797" s="345">
        <v>1794</v>
      </c>
      <c r="B1797" s="346" t="s">
        <v>318</v>
      </c>
      <c r="C1797" s="347">
        <v>1500</v>
      </c>
      <c r="D1797" s="348">
        <v>46023</v>
      </c>
      <c r="E1797" s="348">
        <v>46357</v>
      </c>
      <c r="F1797" s="346" t="s">
        <v>638</v>
      </c>
      <c r="G1797" s="350" t="s">
        <v>457</v>
      </c>
      <c r="H1797" s="351">
        <f t="shared" si="30"/>
        <v>18000</v>
      </c>
      <c r="I1797" s="120" t="str">
        <f>IF(OR(D1797&lt;Capa!$A$5,D1797&gt;Capa!$A$7,E1797&lt;Capa!$A$5,E1797&gt;Capa!$A$7,D1797&gt;E1797),"Erro","")</f>
        <v/>
      </c>
    </row>
    <row r="1798" spans="1:9" ht="67.5">
      <c r="A1798" s="345">
        <v>1795</v>
      </c>
      <c r="B1798" s="346" t="s">
        <v>318</v>
      </c>
      <c r="C1798" s="347">
        <v>1500</v>
      </c>
      <c r="D1798" s="348">
        <v>46388</v>
      </c>
      <c r="E1798" s="348">
        <v>46722</v>
      </c>
      <c r="F1798" s="346" t="s">
        <v>638</v>
      </c>
      <c r="G1798" s="350" t="s">
        <v>457</v>
      </c>
      <c r="H1798" s="351">
        <f t="shared" si="30"/>
        <v>18000</v>
      </c>
      <c r="I1798" s="120" t="str">
        <f>IF(OR(D1798&lt;Capa!$A$5,D1798&gt;Capa!$A$7,E1798&lt;Capa!$A$5,E1798&gt;Capa!$A$7,D1798&gt;E1798),"Erro","")</f>
        <v/>
      </c>
    </row>
    <row r="1799" spans="1:9" ht="67.5">
      <c r="A1799" s="345">
        <v>1796</v>
      </c>
      <c r="B1799" s="346" t="s">
        <v>318</v>
      </c>
      <c r="C1799" s="347">
        <v>1500</v>
      </c>
      <c r="D1799" s="348">
        <v>46753</v>
      </c>
      <c r="E1799" s="348">
        <v>47058</v>
      </c>
      <c r="F1799" s="346" t="s">
        <v>638</v>
      </c>
      <c r="G1799" s="350" t="s">
        <v>457</v>
      </c>
      <c r="H1799" s="351">
        <f t="shared" si="30"/>
        <v>16500</v>
      </c>
      <c r="I1799" s="120" t="str">
        <f>IF(OR(D1799&lt;Capa!$A$5,D1799&gt;Capa!$A$7,E1799&lt;Capa!$A$5,E1799&gt;Capa!$A$7,D1799&gt;E1799),"Erro","")</f>
        <v/>
      </c>
    </row>
    <row r="1800" spans="1:9" ht="22.5">
      <c r="A1800" s="345">
        <v>1797</v>
      </c>
      <c r="B1800" s="346" t="s">
        <v>298</v>
      </c>
      <c r="C1800" s="347">
        <v>2500</v>
      </c>
      <c r="D1800" s="348">
        <v>45261</v>
      </c>
      <c r="E1800" s="348">
        <v>45627</v>
      </c>
      <c r="F1800" s="346" t="s">
        <v>638</v>
      </c>
      <c r="G1800" s="350" t="s">
        <v>458</v>
      </c>
      <c r="H1800" s="351">
        <f t="shared" si="30"/>
        <v>32500</v>
      </c>
      <c r="I1800" s="120" t="str">
        <f>IF(OR(D1800&lt;Capa!$A$5,D1800&gt;Capa!$A$7,E1800&lt;Capa!$A$5,E1800&gt;Capa!$A$7,D1800&gt;E1800),"Erro","")</f>
        <v/>
      </c>
    </row>
    <row r="1801" spans="1:9" ht="22.5">
      <c r="A1801" s="345">
        <v>1798</v>
      </c>
      <c r="B1801" s="346" t="s">
        <v>298</v>
      </c>
      <c r="C1801" s="347">
        <v>2646</v>
      </c>
      <c r="D1801" s="348">
        <v>45658</v>
      </c>
      <c r="E1801" s="348">
        <v>45992</v>
      </c>
      <c r="F1801" s="346" t="s">
        <v>638</v>
      </c>
      <c r="G1801" s="350" t="s">
        <v>458</v>
      </c>
      <c r="H1801" s="351">
        <f t="shared" si="30"/>
        <v>31752</v>
      </c>
      <c r="I1801" s="120" t="str">
        <f>IF(OR(D1801&lt;Capa!$A$5,D1801&gt;Capa!$A$7,E1801&lt;Capa!$A$5,E1801&gt;Capa!$A$7,D1801&gt;E1801),"Erro","")</f>
        <v/>
      </c>
    </row>
    <row r="1802" spans="1:9" ht="22.5">
      <c r="A1802" s="345">
        <v>1799</v>
      </c>
      <c r="B1802" s="346" t="s">
        <v>298</v>
      </c>
      <c r="C1802" s="347">
        <v>2800.52</v>
      </c>
      <c r="D1802" s="348">
        <v>46023</v>
      </c>
      <c r="E1802" s="348">
        <v>46357</v>
      </c>
      <c r="F1802" s="346" t="s">
        <v>638</v>
      </c>
      <c r="G1802" s="350" t="s">
        <v>458</v>
      </c>
      <c r="H1802" s="351">
        <f t="shared" si="30"/>
        <v>33606.239999999998</v>
      </c>
      <c r="I1802" s="120" t="str">
        <f>IF(OR(D1802&lt;Capa!$A$5,D1802&gt;Capa!$A$7,E1802&lt;Capa!$A$5,E1802&gt;Capa!$A$7,D1802&gt;E1802),"Erro","")</f>
        <v/>
      </c>
    </row>
    <row r="1803" spans="1:9" ht="22.5">
      <c r="A1803" s="345">
        <v>1800</v>
      </c>
      <c r="B1803" s="346" t="s">
        <v>298</v>
      </c>
      <c r="C1803" s="347">
        <v>2964.07</v>
      </c>
      <c r="D1803" s="348">
        <v>46388</v>
      </c>
      <c r="E1803" s="348">
        <v>46722</v>
      </c>
      <c r="F1803" s="346" t="s">
        <v>638</v>
      </c>
      <c r="G1803" s="350" t="s">
        <v>458</v>
      </c>
      <c r="H1803" s="351">
        <f t="shared" si="30"/>
        <v>35568.840000000004</v>
      </c>
      <c r="I1803" s="120" t="str">
        <f>IF(OR(D1803&lt;Capa!$A$5,D1803&gt;Capa!$A$7,E1803&lt;Capa!$A$5,E1803&gt;Capa!$A$7,D1803&gt;E1803),"Erro","")</f>
        <v/>
      </c>
    </row>
    <row r="1804" spans="1:9" ht="22.5">
      <c r="A1804" s="345">
        <v>1801</v>
      </c>
      <c r="B1804" s="346" t="s">
        <v>298</v>
      </c>
      <c r="C1804" s="347">
        <v>3137.17</v>
      </c>
      <c r="D1804" s="348">
        <v>46753</v>
      </c>
      <c r="E1804" s="348">
        <v>47058</v>
      </c>
      <c r="F1804" s="346" t="s">
        <v>638</v>
      </c>
      <c r="G1804" s="350" t="s">
        <v>458</v>
      </c>
      <c r="H1804" s="351">
        <f t="shared" si="30"/>
        <v>34508.870000000003</v>
      </c>
      <c r="I1804" s="120" t="str">
        <f>IF(OR(D1804&lt;Capa!$A$5,D1804&gt;Capa!$A$7,E1804&lt;Capa!$A$5,E1804&gt;Capa!$A$7,D1804&gt;E1804),"Erro","")</f>
        <v/>
      </c>
    </row>
    <row r="1805" spans="1:9" ht="33.75">
      <c r="A1805" s="345">
        <v>1802</v>
      </c>
      <c r="B1805" s="346" t="s">
        <v>238</v>
      </c>
      <c r="C1805" s="347">
        <v>370.44</v>
      </c>
      <c r="D1805" s="348">
        <v>45658</v>
      </c>
      <c r="E1805" s="348">
        <v>45992</v>
      </c>
      <c r="F1805" s="346" t="s">
        <v>638</v>
      </c>
      <c r="G1805" s="350" t="s">
        <v>459</v>
      </c>
      <c r="H1805" s="351">
        <f t="shared" si="30"/>
        <v>4445.28</v>
      </c>
      <c r="I1805" s="120" t="str">
        <f>IF(OR(D1805&lt;Capa!$A$5,D1805&gt;Capa!$A$7,E1805&lt;Capa!$A$5,E1805&gt;Capa!$A$7,D1805&gt;E1805),"Erro","")</f>
        <v/>
      </c>
    </row>
    <row r="1806" spans="1:9" ht="33.75">
      <c r="A1806" s="345">
        <v>1803</v>
      </c>
      <c r="B1806" s="346" t="s">
        <v>238</v>
      </c>
      <c r="C1806" s="347">
        <v>392.07</v>
      </c>
      <c r="D1806" s="348">
        <v>46023</v>
      </c>
      <c r="E1806" s="348">
        <v>46357</v>
      </c>
      <c r="F1806" s="346" t="s">
        <v>638</v>
      </c>
      <c r="G1806" s="350" t="s">
        <v>459</v>
      </c>
      <c r="H1806" s="351">
        <f t="shared" si="30"/>
        <v>4704.84</v>
      </c>
      <c r="I1806" s="120" t="str">
        <f>IF(OR(D1806&lt;Capa!$A$5,D1806&gt;Capa!$A$7,E1806&lt;Capa!$A$5,E1806&gt;Capa!$A$7,D1806&gt;E1806),"Erro","")</f>
        <v/>
      </c>
    </row>
    <row r="1807" spans="1:9" ht="33.75">
      <c r="A1807" s="345">
        <v>1804</v>
      </c>
      <c r="B1807" s="346" t="s">
        <v>238</v>
      </c>
      <c r="C1807" s="347">
        <v>414.97</v>
      </c>
      <c r="D1807" s="348">
        <v>46388</v>
      </c>
      <c r="E1807" s="348">
        <v>46722</v>
      </c>
      <c r="F1807" s="346" t="s">
        <v>638</v>
      </c>
      <c r="G1807" s="350" t="s">
        <v>459</v>
      </c>
      <c r="H1807" s="351">
        <f t="shared" si="30"/>
        <v>4979.6400000000003</v>
      </c>
      <c r="I1807" s="120" t="str">
        <f>IF(OR(D1807&lt;Capa!$A$5,D1807&gt;Capa!$A$7,E1807&lt;Capa!$A$5,E1807&gt;Capa!$A$7,D1807&gt;E1807),"Erro","")</f>
        <v/>
      </c>
    </row>
    <row r="1808" spans="1:9" ht="33.75">
      <c r="A1808" s="345">
        <v>1805</v>
      </c>
      <c r="B1808" s="346" t="s">
        <v>238</v>
      </c>
      <c r="C1808" s="347">
        <v>439.21</v>
      </c>
      <c r="D1808" s="348">
        <v>46753</v>
      </c>
      <c r="E1808" s="348">
        <v>47058</v>
      </c>
      <c r="F1808" s="346" t="s">
        <v>638</v>
      </c>
      <c r="G1808" s="350" t="s">
        <v>459</v>
      </c>
      <c r="H1808" s="351">
        <f t="shared" si="30"/>
        <v>4831.3099999999995</v>
      </c>
      <c r="I1808" s="120" t="str">
        <f>IF(OR(D1808&lt;Capa!$A$5,D1808&gt;Capa!$A$7,E1808&lt;Capa!$A$5,E1808&gt;Capa!$A$7,D1808&gt;E1808),"Erro","")</f>
        <v/>
      </c>
    </row>
    <row r="1809" spans="1:9" ht="56.25">
      <c r="A1809" s="345">
        <v>1806</v>
      </c>
      <c r="B1809" s="346" t="s">
        <v>252</v>
      </c>
      <c r="C1809" s="347">
        <v>7000</v>
      </c>
      <c r="D1809" s="348">
        <v>45261</v>
      </c>
      <c r="E1809" s="348">
        <v>45627</v>
      </c>
      <c r="F1809" s="346" t="s">
        <v>638</v>
      </c>
      <c r="G1809" s="350" t="s">
        <v>460</v>
      </c>
      <c r="H1809" s="351">
        <f t="shared" si="30"/>
        <v>91000</v>
      </c>
      <c r="I1809" s="120" t="str">
        <f>IF(OR(D1809&lt;Capa!$A$5,D1809&gt;Capa!$A$7,E1809&lt;Capa!$A$5,E1809&gt;Capa!$A$7,D1809&gt;E1809),"Erro","")</f>
        <v/>
      </c>
    </row>
    <row r="1810" spans="1:9" ht="56.25">
      <c r="A1810" s="345">
        <v>1807</v>
      </c>
      <c r="B1810" s="346" t="s">
        <v>252</v>
      </c>
      <c r="C1810" s="347">
        <v>7408.8</v>
      </c>
      <c r="D1810" s="348">
        <v>45658</v>
      </c>
      <c r="E1810" s="348">
        <v>45992</v>
      </c>
      <c r="F1810" s="346" t="s">
        <v>638</v>
      </c>
      <c r="G1810" s="350" t="s">
        <v>460</v>
      </c>
      <c r="H1810" s="351">
        <f t="shared" si="30"/>
        <v>88905.600000000006</v>
      </c>
      <c r="I1810" s="120" t="str">
        <f>IF(OR(D1810&lt;Capa!$A$5,D1810&gt;Capa!$A$7,E1810&lt;Capa!$A$5,E1810&gt;Capa!$A$7,D1810&gt;E1810),"Erro","")</f>
        <v/>
      </c>
    </row>
    <row r="1811" spans="1:9" ht="56.25">
      <c r="A1811" s="345">
        <v>1808</v>
      </c>
      <c r="B1811" s="346" t="s">
        <v>252</v>
      </c>
      <c r="C1811" s="347">
        <v>7847.65</v>
      </c>
      <c r="D1811" s="348">
        <v>46023</v>
      </c>
      <c r="E1811" s="348">
        <v>46357</v>
      </c>
      <c r="F1811" s="346" t="s">
        <v>638</v>
      </c>
      <c r="G1811" s="350" t="s">
        <v>460</v>
      </c>
      <c r="H1811" s="351">
        <f t="shared" si="30"/>
        <v>94171.799999999988</v>
      </c>
      <c r="I1811" s="120" t="str">
        <f>IF(OR(D1811&lt;Capa!$A$5,D1811&gt;Capa!$A$7,E1811&lt;Capa!$A$5,E1811&gt;Capa!$A$7,D1811&gt;E1811),"Erro","")</f>
        <v/>
      </c>
    </row>
    <row r="1812" spans="1:9" ht="56.25">
      <c r="A1812" s="345">
        <v>1809</v>
      </c>
      <c r="B1812" s="346" t="s">
        <v>252</v>
      </c>
      <c r="C1812" s="347">
        <v>8305.9500000000007</v>
      </c>
      <c r="D1812" s="348">
        <v>46388</v>
      </c>
      <c r="E1812" s="348">
        <v>46722</v>
      </c>
      <c r="F1812" s="346" t="s">
        <v>638</v>
      </c>
      <c r="G1812" s="350" t="s">
        <v>460</v>
      </c>
      <c r="H1812" s="351">
        <f t="shared" si="30"/>
        <v>99671.400000000009</v>
      </c>
      <c r="I1812" s="120" t="str">
        <f>IF(OR(D1812&lt;Capa!$A$5,D1812&gt;Capa!$A$7,E1812&lt;Capa!$A$5,E1812&gt;Capa!$A$7,D1812&gt;E1812),"Erro","")</f>
        <v/>
      </c>
    </row>
    <row r="1813" spans="1:9" ht="56.25">
      <c r="A1813" s="345">
        <v>1810</v>
      </c>
      <c r="B1813" s="346" t="s">
        <v>252</v>
      </c>
      <c r="C1813" s="347">
        <v>8791.02</v>
      </c>
      <c r="D1813" s="348">
        <v>46753</v>
      </c>
      <c r="E1813" s="348">
        <v>47058</v>
      </c>
      <c r="F1813" s="346" t="s">
        <v>638</v>
      </c>
      <c r="G1813" s="350" t="s">
        <v>460</v>
      </c>
      <c r="H1813" s="351">
        <f t="shared" si="30"/>
        <v>96701.22</v>
      </c>
      <c r="I1813" s="120" t="str">
        <f>IF(OR(D1813&lt;Capa!$A$5,D1813&gt;Capa!$A$7,E1813&lt;Capa!$A$5,E1813&gt;Capa!$A$7,D1813&gt;E1813),"Erro","")</f>
        <v/>
      </c>
    </row>
    <row r="1814" spans="1:9" ht="56.25">
      <c r="A1814" s="345">
        <v>1811</v>
      </c>
      <c r="B1814" s="346" t="s">
        <v>320</v>
      </c>
      <c r="C1814" s="347">
        <v>130000</v>
      </c>
      <c r="D1814" s="348">
        <v>45292</v>
      </c>
      <c r="E1814" s="348">
        <v>45292</v>
      </c>
      <c r="F1814" s="346" t="s">
        <v>638</v>
      </c>
      <c r="G1814" s="350" t="s">
        <v>618</v>
      </c>
      <c r="H1814" s="351">
        <f t="shared" si="30"/>
        <v>130000</v>
      </c>
      <c r="I1814" s="120" t="str">
        <f>IF(OR(D1814&lt;Capa!$A$5,D1814&gt;Capa!$A$7,E1814&lt;Capa!$A$5,E1814&gt;Capa!$A$7,D1814&gt;E1814),"Erro","")</f>
        <v/>
      </c>
    </row>
    <row r="1815" spans="1:9" ht="33.75">
      <c r="A1815" s="345">
        <v>1812</v>
      </c>
      <c r="B1815" s="346" t="s">
        <v>651</v>
      </c>
      <c r="C1815" s="347">
        <v>180</v>
      </c>
      <c r="D1815" s="348">
        <v>45261</v>
      </c>
      <c r="E1815" s="348">
        <v>47058</v>
      </c>
      <c r="F1815" s="346" t="s">
        <v>638</v>
      </c>
      <c r="G1815" s="350" t="s">
        <v>710</v>
      </c>
      <c r="H1815" s="351">
        <f t="shared" si="30"/>
        <v>10800</v>
      </c>
      <c r="I1815" s="120" t="str">
        <f>IF(OR(D1815&lt;Capa!$A$5,D1815&gt;Capa!$A$7,E1815&lt;Capa!$A$5,E1815&gt;Capa!$A$7,D1815&gt;E1815),"Erro","")</f>
        <v/>
      </c>
    </row>
    <row r="1816" spans="1:9" ht="22.5">
      <c r="A1816" s="345">
        <v>1813</v>
      </c>
      <c r="B1816" s="346" t="s">
        <v>653</v>
      </c>
      <c r="C1816" s="347">
        <v>1930</v>
      </c>
      <c r="D1816" s="348">
        <v>45292</v>
      </c>
      <c r="E1816" s="348">
        <v>45627</v>
      </c>
      <c r="F1816" s="346" t="s">
        <v>638</v>
      </c>
      <c r="G1816" s="350" t="s">
        <v>712</v>
      </c>
      <c r="H1816" s="351">
        <f t="shared" si="30"/>
        <v>23160</v>
      </c>
    </row>
    <row r="1817" spans="1:9" ht="22.5">
      <c r="A1817" s="345">
        <v>1814</v>
      </c>
      <c r="B1817" s="346" t="s">
        <v>653</v>
      </c>
      <c r="C1817" s="347">
        <v>1930</v>
      </c>
      <c r="D1817" s="348">
        <v>45658</v>
      </c>
      <c r="E1817" s="348">
        <v>47058</v>
      </c>
      <c r="F1817" s="346" t="s">
        <v>638</v>
      </c>
      <c r="G1817" s="350" t="s">
        <v>712</v>
      </c>
      <c r="H1817" s="351">
        <f t="shared" si="30"/>
        <v>90710</v>
      </c>
      <c r="I1817" s="120" t="str">
        <f>IF(OR(D1817&lt;Capa!$A$5,D1817&gt;Capa!$A$7,E1817&lt;Capa!$A$5,E1817&gt;Capa!$A$7,D1817&gt;E1817),"Erro","")</f>
        <v/>
      </c>
    </row>
    <row r="1818" spans="1:9" ht="45">
      <c r="A1818" s="345">
        <v>1815</v>
      </c>
      <c r="B1818" s="346" t="s">
        <v>652</v>
      </c>
      <c r="C1818" s="347">
        <v>15000</v>
      </c>
      <c r="D1818" s="348">
        <v>45689</v>
      </c>
      <c r="E1818" s="348">
        <v>45689</v>
      </c>
      <c r="F1818" s="346" t="s">
        <v>638</v>
      </c>
      <c r="G1818" s="350" t="s">
        <v>624</v>
      </c>
      <c r="H1818" s="351">
        <f t="shared" si="30"/>
        <v>15000</v>
      </c>
      <c r="I1818" s="120" t="str">
        <f>IF(OR(D1818&lt;Capa!$A$5,D1818&gt;Capa!$A$7,E1818&lt;Capa!$A$5,E1818&gt;Capa!$A$7,D1818&gt;E1818),"Erro","")</f>
        <v/>
      </c>
    </row>
    <row r="1819" spans="1:9" ht="45">
      <c r="A1819" s="345">
        <v>1816</v>
      </c>
      <c r="B1819" s="346" t="s">
        <v>652</v>
      </c>
      <c r="C1819" s="347">
        <v>10000</v>
      </c>
      <c r="D1819" s="348">
        <v>46419</v>
      </c>
      <c r="E1819" s="348">
        <v>46419</v>
      </c>
      <c r="F1819" s="346" t="s">
        <v>638</v>
      </c>
      <c r="G1819" s="350" t="s">
        <v>624</v>
      </c>
      <c r="H1819" s="351">
        <f t="shared" si="30"/>
        <v>10000</v>
      </c>
      <c r="I1819" s="120" t="str">
        <f>IF(OR(D1819&lt;Capa!$A$5,D1819&gt;Capa!$A$7,E1819&lt;Capa!$A$5,E1819&gt;Capa!$A$7,D1819&gt;E1819),"Erro","")</f>
        <v/>
      </c>
    </row>
    <row r="1820" spans="1:9" ht="33.75">
      <c r="A1820" s="345">
        <v>1817</v>
      </c>
      <c r="B1820" s="346" t="s">
        <v>650</v>
      </c>
      <c r="C1820" s="347">
        <v>70</v>
      </c>
      <c r="D1820" s="348">
        <v>45261</v>
      </c>
      <c r="E1820" s="348">
        <v>47058</v>
      </c>
      <c r="F1820" s="346" t="s">
        <v>638</v>
      </c>
      <c r="G1820" s="350" t="s">
        <v>711</v>
      </c>
      <c r="H1820" s="351">
        <f t="shared" si="30"/>
        <v>4200</v>
      </c>
      <c r="I1820" s="120" t="str">
        <f>IF(OR(D1820&lt;Capa!$A$5,D1820&gt;Capa!$A$7,E1820&lt;Capa!$A$5,E1820&gt;Capa!$A$7,D1820&gt;E1820),"Erro","")</f>
        <v/>
      </c>
    </row>
    <row r="1821" spans="1:9" ht="33.75">
      <c r="A1821" s="345">
        <v>1818</v>
      </c>
      <c r="B1821" s="346" t="s">
        <v>648</v>
      </c>
      <c r="C1821" s="347">
        <v>3400</v>
      </c>
      <c r="D1821" s="348">
        <v>45323</v>
      </c>
      <c r="E1821" s="348">
        <v>45323</v>
      </c>
      <c r="F1821" s="346" t="s">
        <v>638</v>
      </c>
      <c r="G1821" s="350" t="s">
        <v>670</v>
      </c>
      <c r="H1821" s="351">
        <f t="shared" si="30"/>
        <v>3400</v>
      </c>
      <c r="I1821" s="120" t="str">
        <f>IF(OR(D1821&lt;Capa!$A$5,D1821&gt;Capa!$A$7,E1821&lt;Capa!$A$5,E1821&gt;Capa!$A$7,D1821&gt;E1821),"Erro","")</f>
        <v/>
      </c>
    </row>
    <row r="1822" spans="1:9" ht="33.75">
      <c r="A1822" s="345">
        <v>1819</v>
      </c>
      <c r="B1822" s="346" t="s">
        <v>648</v>
      </c>
      <c r="C1822" s="347">
        <v>3604</v>
      </c>
      <c r="D1822" s="348">
        <v>45658</v>
      </c>
      <c r="E1822" s="348">
        <v>45658</v>
      </c>
      <c r="F1822" s="346" t="s">
        <v>638</v>
      </c>
      <c r="G1822" s="350" t="s">
        <v>670</v>
      </c>
      <c r="H1822" s="351">
        <f t="shared" si="30"/>
        <v>3604</v>
      </c>
      <c r="I1822" s="120" t="str">
        <f>IF(OR(D1822&lt;Capa!$A$5,D1822&gt;Capa!$A$7,E1822&lt;Capa!$A$5,E1822&gt;Capa!$A$7,D1822&gt;E1822),"Erro","")</f>
        <v/>
      </c>
    </row>
    <row r="1823" spans="1:9" ht="33.75">
      <c r="A1823" s="345">
        <v>1820</v>
      </c>
      <c r="B1823" s="346" t="s">
        <v>648</v>
      </c>
      <c r="C1823" s="347">
        <v>3820.24</v>
      </c>
      <c r="D1823" s="348">
        <v>46023</v>
      </c>
      <c r="E1823" s="348">
        <v>46023</v>
      </c>
      <c r="F1823" s="346" t="s">
        <v>638</v>
      </c>
      <c r="G1823" s="350" t="s">
        <v>670</v>
      </c>
      <c r="H1823" s="351">
        <f t="shared" si="30"/>
        <v>3820.24</v>
      </c>
      <c r="I1823" s="120" t="str">
        <f>IF(OR(D1823&lt;Capa!$A$5,D1823&gt;Capa!$A$7,E1823&lt;Capa!$A$5,E1823&gt;Capa!$A$7,D1823&gt;E1823),"Erro","")</f>
        <v/>
      </c>
    </row>
    <row r="1824" spans="1:9" ht="33.75">
      <c r="A1824" s="345">
        <v>1821</v>
      </c>
      <c r="B1824" s="346" t="s">
        <v>648</v>
      </c>
      <c r="C1824" s="347">
        <v>4049.45</v>
      </c>
      <c r="D1824" s="348">
        <v>46388</v>
      </c>
      <c r="E1824" s="348">
        <v>46388</v>
      </c>
      <c r="F1824" s="346" t="s">
        <v>638</v>
      </c>
      <c r="G1824" s="350" t="s">
        <v>670</v>
      </c>
      <c r="H1824" s="351">
        <f t="shared" si="30"/>
        <v>4049.45</v>
      </c>
      <c r="I1824" s="120" t="str">
        <f>IF(OR(D1824&lt;Capa!$A$5,D1824&gt;Capa!$A$7,E1824&lt;Capa!$A$5,E1824&gt;Capa!$A$7,D1824&gt;E1824),"Erro","")</f>
        <v/>
      </c>
    </row>
    <row r="1825" spans="1:9" ht="33.75">
      <c r="A1825" s="345">
        <v>1822</v>
      </c>
      <c r="B1825" s="346" t="s">
        <v>648</v>
      </c>
      <c r="C1825" s="347">
        <v>4292.42</v>
      </c>
      <c r="D1825" s="348">
        <v>46753</v>
      </c>
      <c r="E1825" s="348">
        <v>46753</v>
      </c>
      <c r="F1825" s="346" t="s">
        <v>638</v>
      </c>
      <c r="G1825" s="350" t="s">
        <v>670</v>
      </c>
      <c r="H1825" s="351">
        <f t="shared" si="30"/>
        <v>4292.42</v>
      </c>
      <c r="I1825" s="120" t="str">
        <f>IF(OR(D1825&lt;Capa!$A$5,D1825&gt;Capa!$A$7,E1825&lt;Capa!$A$5,E1825&gt;Capa!$A$7,D1825&gt;E1825),"Erro","")</f>
        <v/>
      </c>
    </row>
    <row r="1826" spans="1:9" ht="33.75">
      <c r="A1826" s="345">
        <v>1823</v>
      </c>
      <c r="B1826" s="346" t="s">
        <v>649</v>
      </c>
      <c r="C1826" s="347">
        <v>1643</v>
      </c>
      <c r="D1826" s="348">
        <v>45292</v>
      </c>
      <c r="E1826" s="348">
        <v>47058</v>
      </c>
      <c r="F1826" s="346" t="s">
        <v>638</v>
      </c>
      <c r="G1826" s="350" t="s">
        <v>705</v>
      </c>
      <c r="H1826" s="351">
        <f t="shared" si="30"/>
        <v>96937</v>
      </c>
      <c r="I1826" s="120" t="str">
        <f>IF(OR(D1826&lt;Capa!$A$5,D1826&gt;Capa!$A$7,E1826&lt;Capa!$A$5,E1826&gt;Capa!$A$7,D1826&gt;E1826),"Erro","")</f>
        <v/>
      </c>
    </row>
    <row r="1827" spans="1:9" ht="33.75">
      <c r="A1827" s="345">
        <v>1824</v>
      </c>
      <c r="B1827" s="346" t="s">
        <v>654</v>
      </c>
      <c r="C1827" s="347">
        <v>600</v>
      </c>
      <c r="D1827" s="348">
        <v>45261</v>
      </c>
      <c r="E1827" s="348">
        <v>45627</v>
      </c>
      <c r="F1827" s="346" t="s">
        <v>638</v>
      </c>
      <c r="G1827" s="350" t="s">
        <v>706</v>
      </c>
      <c r="H1827" s="351">
        <f t="shared" si="30"/>
        <v>7800</v>
      </c>
    </row>
    <row r="1828" spans="1:9" ht="33.75">
      <c r="A1828" s="345">
        <v>1825</v>
      </c>
      <c r="B1828" s="346" t="s">
        <v>654</v>
      </c>
      <c r="C1828" s="347">
        <v>1100</v>
      </c>
      <c r="D1828" s="348">
        <v>45658</v>
      </c>
      <c r="E1828" s="348">
        <v>47058</v>
      </c>
      <c r="F1828" s="346" t="s">
        <v>638</v>
      </c>
      <c r="G1828" s="350" t="s">
        <v>706</v>
      </c>
      <c r="H1828" s="351">
        <f t="shared" si="30"/>
        <v>51700</v>
      </c>
      <c r="I1828" s="120" t="str">
        <f>IF(OR(D1828&lt;Capa!$A$5,D1828&gt;Capa!$A$7,E1828&lt;Capa!$A$5,E1828&gt;Capa!$A$7,D1828&gt;E1828),"Erro","")</f>
        <v/>
      </c>
    </row>
    <row r="1829" spans="1:9" ht="22.5">
      <c r="A1829" s="345">
        <v>1826</v>
      </c>
      <c r="B1829" s="346" t="s">
        <v>656</v>
      </c>
      <c r="C1829" s="347">
        <v>200</v>
      </c>
      <c r="D1829" s="348">
        <v>45261</v>
      </c>
      <c r="E1829" s="348">
        <v>47058</v>
      </c>
      <c r="F1829" s="346" t="s">
        <v>638</v>
      </c>
      <c r="G1829" s="350" t="s">
        <v>707</v>
      </c>
      <c r="H1829" s="351">
        <f t="shared" si="30"/>
        <v>12000</v>
      </c>
      <c r="I1829" s="120" t="str">
        <f>IF(OR(D1829&lt;Capa!$A$5,D1829&gt;Capa!$A$7,E1829&lt;Capa!$A$5,E1829&gt;Capa!$A$7,D1829&gt;E1829),"Erro","")</f>
        <v/>
      </c>
    </row>
    <row r="1830" spans="1:9" ht="22.5">
      <c r="A1830" s="345">
        <v>1827</v>
      </c>
      <c r="B1830" s="346" t="s">
        <v>658</v>
      </c>
      <c r="C1830" s="347">
        <v>50</v>
      </c>
      <c r="D1830" s="348">
        <v>45261</v>
      </c>
      <c r="E1830" s="348">
        <v>47058</v>
      </c>
      <c r="F1830" s="346" t="s">
        <v>638</v>
      </c>
      <c r="G1830" s="350" t="s">
        <v>709</v>
      </c>
      <c r="H1830" s="351">
        <f t="shared" si="30"/>
        <v>3000</v>
      </c>
      <c r="I1830" s="120" t="str">
        <f>IF(OR(D1830&lt;Capa!$A$5,D1830&gt;Capa!$A$7,E1830&lt;Capa!$A$5,E1830&gt;Capa!$A$7,D1830&gt;E1830),"Erro","")</f>
        <v/>
      </c>
    </row>
    <row r="1831" spans="1:9" ht="33.75">
      <c r="A1831" s="345">
        <v>1828</v>
      </c>
      <c r="B1831" s="346" t="s">
        <v>657</v>
      </c>
      <c r="C1831" s="347">
        <v>350</v>
      </c>
      <c r="D1831" s="348">
        <v>45658</v>
      </c>
      <c r="E1831" s="348">
        <v>47058</v>
      </c>
      <c r="F1831" s="346" t="s">
        <v>638</v>
      </c>
      <c r="G1831" s="350" t="s">
        <v>708</v>
      </c>
      <c r="H1831" s="351">
        <f t="shared" si="30"/>
        <v>16450</v>
      </c>
      <c r="I1831" s="120" t="str">
        <f>IF(OR(D1831&lt;Capa!$A$5,D1831&gt;Capa!$A$7,E1831&lt;Capa!$A$5,E1831&gt;Capa!$A$7,D1831&gt;E1831),"Erro","")</f>
        <v/>
      </c>
    </row>
    <row r="1832" spans="1:9" ht="45">
      <c r="A1832" s="345">
        <v>1829</v>
      </c>
      <c r="B1832" s="346" t="s">
        <v>320</v>
      </c>
      <c r="C1832" s="347">
        <v>4545.7737500000003</v>
      </c>
      <c r="D1832" s="348">
        <v>45778</v>
      </c>
      <c r="E1832" s="348">
        <v>45992</v>
      </c>
      <c r="F1832" s="346" t="s">
        <v>638</v>
      </c>
      <c r="G1832" s="350" t="s">
        <v>596</v>
      </c>
      <c r="H1832" s="351">
        <f t="shared" si="30"/>
        <v>36366.19</v>
      </c>
    </row>
    <row r="1833" spans="1:9" ht="45">
      <c r="A1833" s="345">
        <v>1830</v>
      </c>
      <c r="B1833" s="346" t="s">
        <v>320</v>
      </c>
      <c r="C1833" s="347">
        <v>250</v>
      </c>
      <c r="D1833" s="348">
        <v>45748</v>
      </c>
      <c r="E1833" s="348">
        <v>47058</v>
      </c>
      <c r="F1833" s="346" t="s">
        <v>638</v>
      </c>
      <c r="G1833" s="350" t="s">
        <v>596</v>
      </c>
      <c r="H1833" s="351">
        <f t="shared" si="30"/>
        <v>11000</v>
      </c>
      <c r="I1833" s="120" t="str">
        <f>IF(OR(D1833&lt;Capa!$A$5,D1833&gt;Capa!$A$7,E1833&lt;Capa!$A$5,E1833&gt;Capa!$A$7,D1833&gt;E1833),"Erro","")</f>
        <v/>
      </c>
    </row>
    <row r="1834" spans="1:9" ht="22.5">
      <c r="A1834" s="345">
        <v>1831</v>
      </c>
      <c r="B1834" s="346" t="s">
        <v>198</v>
      </c>
      <c r="C1834" s="347">
        <v>7500</v>
      </c>
      <c r="D1834" s="348">
        <v>45261</v>
      </c>
      <c r="E1834" s="348">
        <v>45627</v>
      </c>
      <c r="F1834" s="346" t="s">
        <v>639</v>
      </c>
      <c r="G1834" s="350" t="s">
        <v>438</v>
      </c>
      <c r="H1834" s="351">
        <f t="shared" si="30"/>
        <v>97500</v>
      </c>
      <c r="I1834" s="120" t="str">
        <f>IF(OR(D1834&lt;Capa!$A$5,D1834&gt;Capa!$A$7,E1834&lt;Capa!$A$5,E1834&gt;Capa!$A$7,D1834&gt;E1834),"Erro","")</f>
        <v/>
      </c>
    </row>
    <row r="1835" spans="1:9" ht="22.5">
      <c r="A1835" s="345">
        <v>1832</v>
      </c>
      <c r="B1835" s="346" t="s">
        <v>198</v>
      </c>
      <c r="C1835" s="347">
        <v>7938</v>
      </c>
      <c r="D1835" s="348">
        <v>45658</v>
      </c>
      <c r="E1835" s="348">
        <v>45992</v>
      </c>
      <c r="F1835" s="346" t="s">
        <v>639</v>
      </c>
      <c r="G1835" s="350" t="s">
        <v>438</v>
      </c>
      <c r="H1835" s="351">
        <f t="shared" si="30"/>
        <v>95256</v>
      </c>
      <c r="I1835" s="120" t="str">
        <f>IF(OR(D1835&lt;Capa!$A$5,D1835&gt;Capa!$A$7,E1835&lt;Capa!$A$5,E1835&gt;Capa!$A$7,D1835&gt;E1835),"Erro","")</f>
        <v/>
      </c>
    </row>
    <row r="1836" spans="1:9" ht="22.5">
      <c r="A1836" s="345">
        <v>1833</v>
      </c>
      <c r="B1836" s="346" t="s">
        <v>198</v>
      </c>
      <c r="C1836" s="347">
        <v>8401.58</v>
      </c>
      <c r="D1836" s="348">
        <v>46023</v>
      </c>
      <c r="E1836" s="348">
        <v>46357</v>
      </c>
      <c r="F1836" s="346" t="s">
        <v>639</v>
      </c>
      <c r="G1836" s="350" t="s">
        <v>438</v>
      </c>
      <c r="H1836" s="351">
        <f t="shared" si="30"/>
        <v>100818.95999999999</v>
      </c>
      <c r="I1836" s="120" t="str">
        <f>IF(OR(D1836&lt;Capa!$A$5,D1836&gt;Capa!$A$7,E1836&lt;Capa!$A$5,E1836&gt;Capa!$A$7,D1836&gt;E1836),"Erro","")</f>
        <v/>
      </c>
    </row>
    <row r="1837" spans="1:9" ht="22.5">
      <c r="A1837" s="345">
        <v>1834</v>
      </c>
      <c r="B1837" s="346" t="s">
        <v>198</v>
      </c>
      <c r="C1837" s="347">
        <v>8892.23</v>
      </c>
      <c r="D1837" s="348">
        <v>46388</v>
      </c>
      <c r="E1837" s="348">
        <v>46722</v>
      </c>
      <c r="F1837" s="346" t="s">
        <v>639</v>
      </c>
      <c r="G1837" s="350" t="s">
        <v>438</v>
      </c>
      <c r="H1837" s="351">
        <f t="shared" si="30"/>
        <v>106706.76</v>
      </c>
      <c r="I1837" s="120" t="str">
        <f>IF(OR(D1837&lt;Capa!$A$5,D1837&gt;Capa!$A$7,E1837&lt;Capa!$A$5,E1837&gt;Capa!$A$7,D1837&gt;E1837),"Erro","")</f>
        <v/>
      </c>
    </row>
    <row r="1838" spans="1:9" ht="22.5">
      <c r="A1838" s="345">
        <v>1835</v>
      </c>
      <c r="B1838" s="346" t="s">
        <v>198</v>
      </c>
      <c r="C1838" s="347">
        <v>9411.5400000000009</v>
      </c>
      <c r="D1838" s="348">
        <v>46753</v>
      </c>
      <c r="E1838" s="348">
        <v>47058</v>
      </c>
      <c r="F1838" s="346" t="s">
        <v>639</v>
      </c>
      <c r="G1838" s="350" t="s">
        <v>438</v>
      </c>
      <c r="H1838" s="351">
        <f t="shared" si="30"/>
        <v>103526.94</v>
      </c>
      <c r="I1838" s="120" t="str">
        <f>IF(OR(D1838&lt;Capa!$A$5,D1838&gt;Capa!$A$7,E1838&lt;Capa!$A$5,E1838&gt;Capa!$A$7,D1838&gt;E1838),"Erro","")</f>
        <v/>
      </c>
    </row>
    <row r="1839" spans="1:9" ht="22.5">
      <c r="A1839" s="345">
        <v>1836</v>
      </c>
      <c r="B1839" s="346" t="s">
        <v>202</v>
      </c>
      <c r="C1839" s="347">
        <v>663.5</v>
      </c>
      <c r="D1839" s="348">
        <v>45292</v>
      </c>
      <c r="E1839" s="348">
        <v>45383</v>
      </c>
      <c r="F1839" s="346" t="s">
        <v>639</v>
      </c>
      <c r="G1839" s="350" t="s">
        <v>439</v>
      </c>
      <c r="H1839" s="351">
        <f t="shared" ref="H1839:H1901" si="31">IFERROR((DATEDIF(D1839,E1839,"M")+1)*C1839,0)</f>
        <v>2654</v>
      </c>
      <c r="I1839" s="120" t="str">
        <f>IF(OR(D1839&lt;Capa!$A$5,D1839&gt;Capa!$A$7,E1839&lt;Capa!$A$5,E1839&gt;Capa!$A$7,D1839&gt;E1839),"Erro","")</f>
        <v/>
      </c>
    </row>
    <row r="1840" spans="1:9" ht="22.5">
      <c r="A1840" s="345">
        <v>1837</v>
      </c>
      <c r="B1840" s="346" t="s">
        <v>202</v>
      </c>
      <c r="C1840" s="347">
        <v>702.24</v>
      </c>
      <c r="D1840" s="348">
        <v>45658</v>
      </c>
      <c r="E1840" s="348">
        <v>45748</v>
      </c>
      <c r="F1840" s="346" t="s">
        <v>639</v>
      </c>
      <c r="G1840" s="350" t="s">
        <v>439</v>
      </c>
      <c r="H1840" s="351">
        <f t="shared" si="31"/>
        <v>2808.96</v>
      </c>
      <c r="I1840" s="120" t="str">
        <f>IF(OR(D1840&lt;Capa!$A$5,D1840&gt;Capa!$A$7,E1840&lt;Capa!$A$5,E1840&gt;Capa!$A$7,D1840&gt;E1840),"Erro","")</f>
        <v/>
      </c>
    </row>
    <row r="1841" spans="1:9" ht="22.5">
      <c r="A1841" s="345">
        <v>1838</v>
      </c>
      <c r="B1841" s="346" t="s">
        <v>202</v>
      </c>
      <c r="C1841" s="347">
        <v>743.25</v>
      </c>
      <c r="D1841" s="348">
        <v>46023</v>
      </c>
      <c r="E1841" s="348">
        <v>46113</v>
      </c>
      <c r="F1841" s="346" t="s">
        <v>639</v>
      </c>
      <c r="G1841" s="350" t="s">
        <v>439</v>
      </c>
      <c r="H1841" s="351">
        <f t="shared" si="31"/>
        <v>2973</v>
      </c>
      <c r="I1841" s="120" t="str">
        <f>IF(OR(D1841&lt;Capa!$A$5,D1841&gt;Capa!$A$7,E1841&lt;Capa!$A$5,E1841&gt;Capa!$A$7,D1841&gt;E1841),"Erro","")</f>
        <v/>
      </c>
    </row>
    <row r="1842" spans="1:9" ht="22.5">
      <c r="A1842" s="345">
        <v>1839</v>
      </c>
      <c r="B1842" s="346" t="s">
        <v>202</v>
      </c>
      <c r="C1842" s="347">
        <v>786.66</v>
      </c>
      <c r="D1842" s="348">
        <v>46388</v>
      </c>
      <c r="E1842" s="348">
        <v>46478</v>
      </c>
      <c r="F1842" s="346" t="s">
        <v>639</v>
      </c>
      <c r="G1842" s="350" t="s">
        <v>439</v>
      </c>
      <c r="H1842" s="351">
        <f t="shared" si="31"/>
        <v>3146.64</v>
      </c>
      <c r="I1842" s="120" t="str">
        <f>IF(OR(D1842&lt;Capa!$A$5,D1842&gt;Capa!$A$7,E1842&lt;Capa!$A$5,E1842&gt;Capa!$A$7,D1842&gt;E1842),"Erro","")</f>
        <v/>
      </c>
    </row>
    <row r="1843" spans="1:9" ht="22.5">
      <c r="A1843" s="345">
        <v>1840</v>
      </c>
      <c r="B1843" s="346" t="s">
        <v>202</v>
      </c>
      <c r="C1843" s="347">
        <v>832.6</v>
      </c>
      <c r="D1843" s="348">
        <v>46753</v>
      </c>
      <c r="E1843" s="348">
        <v>46844</v>
      </c>
      <c r="F1843" s="346" t="s">
        <v>639</v>
      </c>
      <c r="G1843" s="350" t="s">
        <v>439</v>
      </c>
      <c r="H1843" s="351">
        <f t="shared" si="31"/>
        <v>3330.4</v>
      </c>
      <c r="I1843" s="120" t="str">
        <f>IF(OR(D1843&lt;Capa!$A$5,D1843&gt;Capa!$A$7,E1843&lt;Capa!$A$5,E1843&gt;Capa!$A$7,D1843&gt;E1843),"Erro","")</f>
        <v/>
      </c>
    </row>
    <row r="1844" spans="1:9" ht="22.5">
      <c r="A1844" s="345">
        <v>1841</v>
      </c>
      <c r="B1844" s="346" t="s">
        <v>204</v>
      </c>
      <c r="C1844" s="347">
        <v>1316</v>
      </c>
      <c r="D1844" s="348">
        <v>45292</v>
      </c>
      <c r="E1844" s="348">
        <v>45627</v>
      </c>
      <c r="F1844" s="346" t="s">
        <v>639</v>
      </c>
      <c r="G1844" s="350" t="s">
        <v>439</v>
      </c>
      <c r="H1844" s="351">
        <f t="shared" si="31"/>
        <v>15792</v>
      </c>
      <c r="I1844" s="120" t="str">
        <f>IF(OR(D1844&lt;Capa!$A$5,D1844&gt;Capa!$A$7,E1844&lt;Capa!$A$5,E1844&gt;Capa!$A$7,D1844&gt;E1844),"Erro","")</f>
        <v/>
      </c>
    </row>
    <row r="1845" spans="1:9" ht="22.5">
      <c r="A1845" s="345">
        <v>1842</v>
      </c>
      <c r="B1845" s="346" t="s">
        <v>204</v>
      </c>
      <c r="C1845" s="347">
        <v>1393</v>
      </c>
      <c r="D1845" s="348">
        <v>45658</v>
      </c>
      <c r="E1845" s="348">
        <v>45992</v>
      </c>
      <c r="F1845" s="346" t="s">
        <v>639</v>
      </c>
      <c r="G1845" s="350" t="s">
        <v>439</v>
      </c>
      <c r="H1845" s="351">
        <f t="shared" si="31"/>
        <v>16716</v>
      </c>
      <c r="I1845" s="120" t="str">
        <f>IF(OR(D1845&lt;Capa!$A$5,D1845&gt;Capa!$A$7,E1845&lt;Capa!$A$5,E1845&gt;Capa!$A$7,D1845&gt;E1845),"Erro","")</f>
        <v/>
      </c>
    </row>
    <row r="1846" spans="1:9" ht="22.5">
      <c r="A1846" s="345">
        <v>1843</v>
      </c>
      <c r="B1846" s="346" t="s">
        <v>204</v>
      </c>
      <c r="C1846" s="347">
        <v>1474</v>
      </c>
      <c r="D1846" s="348">
        <v>46023</v>
      </c>
      <c r="E1846" s="348">
        <v>46357</v>
      </c>
      <c r="F1846" s="346" t="s">
        <v>639</v>
      </c>
      <c r="G1846" s="350" t="s">
        <v>439</v>
      </c>
      <c r="H1846" s="351">
        <f t="shared" si="31"/>
        <v>17688</v>
      </c>
      <c r="I1846" s="120" t="str">
        <f>IF(OR(D1846&lt;Capa!$A$5,D1846&gt;Capa!$A$7,E1846&lt;Capa!$A$5,E1846&gt;Capa!$A$7,D1846&gt;E1846),"Erro","")</f>
        <v/>
      </c>
    </row>
    <row r="1847" spans="1:9" ht="22.5">
      <c r="A1847" s="345">
        <v>1844</v>
      </c>
      <c r="B1847" s="346" t="s">
        <v>204</v>
      </c>
      <c r="C1847" s="347">
        <v>1561</v>
      </c>
      <c r="D1847" s="348">
        <v>46388</v>
      </c>
      <c r="E1847" s="348">
        <v>46722</v>
      </c>
      <c r="F1847" s="346" t="s">
        <v>639</v>
      </c>
      <c r="G1847" s="350" t="s">
        <v>439</v>
      </c>
      <c r="H1847" s="351">
        <f t="shared" si="31"/>
        <v>18732</v>
      </c>
      <c r="I1847" s="120" t="str">
        <f>IF(OR(D1847&lt;Capa!$A$5,D1847&gt;Capa!$A$7,E1847&lt;Capa!$A$5,E1847&gt;Capa!$A$7,D1847&gt;E1847),"Erro","")</f>
        <v/>
      </c>
    </row>
    <row r="1848" spans="1:9" ht="22.5">
      <c r="A1848" s="345">
        <v>1845</v>
      </c>
      <c r="B1848" s="346" t="s">
        <v>204</v>
      </c>
      <c r="C1848" s="347">
        <v>1652</v>
      </c>
      <c r="D1848" s="348">
        <v>46753</v>
      </c>
      <c r="E1848" s="348">
        <v>47058</v>
      </c>
      <c r="F1848" s="346" t="s">
        <v>639</v>
      </c>
      <c r="G1848" s="350" t="s">
        <v>439</v>
      </c>
      <c r="H1848" s="351">
        <f t="shared" si="31"/>
        <v>18172</v>
      </c>
      <c r="I1848" s="120" t="str">
        <f>IF(OR(D1848&lt;Capa!$A$5,D1848&gt;Capa!$A$7,E1848&lt;Capa!$A$5,E1848&gt;Capa!$A$7,D1848&gt;E1848),"Erro","")</f>
        <v/>
      </c>
    </row>
    <row r="1849" spans="1:9" ht="22.5">
      <c r="A1849" s="345">
        <v>1846</v>
      </c>
      <c r="B1849" s="346" t="s">
        <v>206</v>
      </c>
      <c r="C1849" s="347">
        <v>1441.64</v>
      </c>
      <c r="D1849" s="348">
        <v>45261</v>
      </c>
      <c r="E1849" s="348">
        <v>45627</v>
      </c>
      <c r="F1849" s="346" t="s">
        <v>639</v>
      </c>
      <c r="G1849" s="350" t="s">
        <v>440</v>
      </c>
      <c r="H1849" s="351">
        <f t="shared" si="31"/>
        <v>18741.32</v>
      </c>
      <c r="I1849" s="120" t="str">
        <f>IF(OR(D1849&lt;Capa!$A$5,D1849&gt;Capa!$A$7,E1849&lt;Capa!$A$5,E1849&gt;Capa!$A$7,D1849&gt;E1849),"Erro","")</f>
        <v/>
      </c>
    </row>
    <row r="1850" spans="1:9" ht="22.5">
      <c r="A1850" s="345">
        <v>1847</v>
      </c>
      <c r="B1850" s="346" t="s">
        <v>206</v>
      </c>
      <c r="C1850" s="347">
        <v>1525.84</v>
      </c>
      <c r="D1850" s="348">
        <v>45658</v>
      </c>
      <c r="E1850" s="348">
        <v>45992</v>
      </c>
      <c r="F1850" s="346" t="s">
        <v>639</v>
      </c>
      <c r="G1850" s="350" t="s">
        <v>440</v>
      </c>
      <c r="H1850" s="351">
        <f t="shared" si="31"/>
        <v>18310.079999999998</v>
      </c>
      <c r="I1850" s="120" t="str">
        <f>IF(OR(D1850&lt;Capa!$A$5,D1850&gt;Capa!$A$7,E1850&lt;Capa!$A$5,E1850&gt;Capa!$A$7,D1850&gt;E1850),"Erro","")</f>
        <v/>
      </c>
    </row>
    <row r="1851" spans="1:9" ht="22.5">
      <c r="A1851" s="345">
        <v>1848</v>
      </c>
      <c r="B1851" s="346" t="s">
        <v>206</v>
      </c>
      <c r="C1851" s="347">
        <v>1614.95</v>
      </c>
      <c r="D1851" s="348">
        <v>46023</v>
      </c>
      <c r="E1851" s="348">
        <v>46357</v>
      </c>
      <c r="F1851" s="346" t="s">
        <v>639</v>
      </c>
      <c r="G1851" s="350" t="s">
        <v>440</v>
      </c>
      <c r="H1851" s="351">
        <f t="shared" si="31"/>
        <v>19379.400000000001</v>
      </c>
      <c r="I1851" s="120" t="str">
        <f>IF(OR(D1851&lt;Capa!$A$5,D1851&gt;Capa!$A$7,E1851&lt;Capa!$A$5,E1851&gt;Capa!$A$7,D1851&gt;E1851),"Erro","")</f>
        <v/>
      </c>
    </row>
    <row r="1852" spans="1:9" ht="22.5">
      <c r="A1852" s="345">
        <v>1849</v>
      </c>
      <c r="B1852" s="346" t="s">
        <v>206</v>
      </c>
      <c r="C1852" s="347">
        <v>1709.26</v>
      </c>
      <c r="D1852" s="348">
        <v>46388</v>
      </c>
      <c r="E1852" s="348">
        <v>46722</v>
      </c>
      <c r="F1852" s="346" t="s">
        <v>639</v>
      </c>
      <c r="G1852" s="350" t="s">
        <v>440</v>
      </c>
      <c r="H1852" s="351">
        <f t="shared" si="31"/>
        <v>20511.12</v>
      </c>
      <c r="I1852" s="120" t="str">
        <f>IF(OR(D1852&lt;Capa!$A$5,D1852&gt;Capa!$A$7,E1852&lt;Capa!$A$5,E1852&gt;Capa!$A$7,D1852&gt;E1852),"Erro","")</f>
        <v/>
      </c>
    </row>
    <row r="1853" spans="1:9" ht="22.5">
      <c r="A1853" s="345">
        <v>1850</v>
      </c>
      <c r="B1853" s="346" t="s">
        <v>206</v>
      </c>
      <c r="C1853" s="347">
        <v>1809.08</v>
      </c>
      <c r="D1853" s="348">
        <v>46753</v>
      </c>
      <c r="E1853" s="348">
        <v>47058</v>
      </c>
      <c r="F1853" s="346" t="s">
        <v>639</v>
      </c>
      <c r="G1853" s="350" t="s">
        <v>440</v>
      </c>
      <c r="H1853" s="351">
        <f t="shared" si="31"/>
        <v>19899.879999999997</v>
      </c>
      <c r="I1853" s="120" t="str">
        <f>IF(OR(D1853&lt;Capa!$A$5,D1853&gt;Capa!$A$7,E1853&lt;Capa!$A$5,E1853&gt;Capa!$A$7,D1853&gt;E1853),"Erro","")</f>
        <v/>
      </c>
    </row>
    <row r="1854" spans="1:9" ht="22.5">
      <c r="A1854" s="345">
        <v>1851</v>
      </c>
      <c r="B1854" s="346" t="s">
        <v>208</v>
      </c>
      <c r="C1854" s="347">
        <v>1638</v>
      </c>
      <c r="D1854" s="348">
        <v>45261</v>
      </c>
      <c r="E1854" s="348">
        <v>45627</v>
      </c>
      <c r="F1854" s="346" t="s">
        <v>639</v>
      </c>
      <c r="G1854" s="350" t="s">
        <v>440</v>
      </c>
      <c r="H1854" s="351">
        <f t="shared" si="31"/>
        <v>21294</v>
      </c>
      <c r="I1854" s="120" t="str">
        <f>IF(OR(D1854&lt;Capa!$A$5,D1854&gt;Capa!$A$7,E1854&lt;Capa!$A$5,E1854&gt;Capa!$A$7,D1854&gt;E1854),"Erro","")</f>
        <v/>
      </c>
    </row>
    <row r="1855" spans="1:9" ht="22.5">
      <c r="A1855" s="345">
        <v>1852</v>
      </c>
      <c r="B1855" s="346" t="s">
        <v>208</v>
      </c>
      <c r="C1855" s="347">
        <v>1733.89</v>
      </c>
      <c r="D1855" s="348">
        <v>45658</v>
      </c>
      <c r="E1855" s="348">
        <v>45992</v>
      </c>
      <c r="F1855" s="346" t="s">
        <v>639</v>
      </c>
      <c r="G1855" s="350" t="s">
        <v>440</v>
      </c>
      <c r="H1855" s="351">
        <f t="shared" si="31"/>
        <v>20806.68</v>
      </c>
      <c r="I1855" s="120" t="str">
        <f>IF(OR(D1855&lt;Capa!$A$5,D1855&gt;Capa!$A$7,E1855&lt;Capa!$A$5,E1855&gt;Capa!$A$7,D1855&gt;E1855),"Erro","")</f>
        <v/>
      </c>
    </row>
    <row r="1856" spans="1:9" ht="22.5">
      <c r="A1856" s="345">
        <v>1853</v>
      </c>
      <c r="B1856" s="346" t="s">
        <v>208</v>
      </c>
      <c r="C1856" s="347">
        <v>1835.15</v>
      </c>
      <c r="D1856" s="348">
        <v>46023</v>
      </c>
      <c r="E1856" s="348">
        <v>46357</v>
      </c>
      <c r="F1856" s="346" t="s">
        <v>639</v>
      </c>
      <c r="G1856" s="350" t="s">
        <v>440</v>
      </c>
      <c r="H1856" s="351">
        <f t="shared" si="31"/>
        <v>22021.800000000003</v>
      </c>
      <c r="I1856" s="120" t="str">
        <f>IF(OR(D1856&lt;Capa!$A$5,D1856&gt;Capa!$A$7,E1856&lt;Capa!$A$5,E1856&gt;Capa!$A$7,D1856&gt;E1856),"Erro","")</f>
        <v/>
      </c>
    </row>
    <row r="1857" spans="1:9" ht="22.5">
      <c r="A1857" s="345">
        <v>1854</v>
      </c>
      <c r="B1857" s="346" t="s">
        <v>208</v>
      </c>
      <c r="C1857" s="347">
        <v>1942.32</v>
      </c>
      <c r="D1857" s="348">
        <v>46388</v>
      </c>
      <c r="E1857" s="348">
        <v>46722</v>
      </c>
      <c r="F1857" s="346" t="s">
        <v>639</v>
      </c>
      <c r="G1857" s="350" t="s">
        <v>440</v>
      </c>
      <c r="H1857" s="351">
        <f t="shared" si="31"/>
        <v>23307.84</v>
      </c>
      <c r="I1857" s="120" t="str">
        <f>IF(OR(D1857&lt;Capa!$A$5,D1857&gt;Capa!$A$7,E1857&lt;Capa!$A$5,E1857&gt;Capa!$A$7,D1857&gt;E1857),"Erro","")</f>
        <v/>
      </c>
    </row>
    <row r="1858" spans="1:9" ht="22.5">
      <c r="A1858" s="345">
        <v>1855</v>
      </c>
      <c r="B1858" s="346" t="s">
        <v>208</v>
      </c>
      <c r="C1858" s="347">
        <v>2055.75</v>
      </c>
      <c r="D1858" s="348">
        <v>46753</v>
      </c>
      <c r="E1858" s="348">
        <v>47058</v>
      </c>
      <c r="F1858" s="346" t="s">
        <v>639</v>
      </c>
      <c r="G1858" s="350" t="s">
        <v>440</v>
      </c>
      <c r="H1858" s="351">
        <f t="shared" si="31"/>
        <v>22613.25</v>
      </c>
      <c r="I1858" s="120" t="str">
        <f>IF(OR(D1858&lt;Capa!$A$5,D1858&gt;Capa!$A$7,E1858&lt;Capa!$A$5,E1858&gt;Capa!$A$7,D1858&gt;E1858),"Erro","")</f>
        <v/>
      </c>
    </row>
    <row r="1859" spans="1:9" ht="22.5">
      <c r="A1859" s="345">
        <v>1856</v>
      </c>
      <c r="B1859" s="346" t="s">
        <v>210</v>
      </c>
      <c r="C1859" s="347">
        <v>39.68</v>
      </c>
      <c r="D1859" s="348">
        <v>45261</v>
      </c>
      <c r="E1859" s="348">
        <v>45627</v>
      </c>
      <c r="F1859" s="346" t="s">
        <v>639</v>
      </c>
      <c r="G1859" s="350" t="s">
        <v>440</v>
      </c>
      <c r="H1859" s="351">
        <f t="shared" si="31"/>
        <v>515.84</v>
      </c>
      <c r="I1859" s="120" t="str">
        <f>IF(OR(D1859&lt;Capa!$A$5,D1859&gt;Capa!$A$7,E1859&lt;Capa!$A$5,E1859&gt;Capa!$A$7,D1859&gt;E1859),"Erro","")</f>
        <v/>
      </c>
    </row>
    <row r="1860" spans="1:9" ht="22.5">
      <c r="A1860" s="345">
        <v>1857</v>
      </c>
      <c r="B1860" s="346" t="s">
        <v>210</v>
      </c>
      <c r="C1860" s="347">
        <v>41.99</v>
      </c>
      <c r="D1860" s="348">
        <v>45658</v>
      </c>
      <c r="E1860" s="348">
        <v>45992</v>
      </c>
      <c r="F1860" s="346" t="s">
        <v>639</v>
      </c>
      <c r="G1860" s="350" t="s">
        <v>440</v>
      </c>
      <c r="H1860" s="351">
        <f t="shared" si="31"/>
        <v>503.88</v>
      </c>
      <c r="I1860" s="120" t="str">
        <f>IF(OR(D1860&lt;Capa!$A$5,D1860&gt;Capa!$A$7,E1860&lt;Capa!$A$5,E1860&gt;Capa!$A$7,D1860&gt;E1860),"Erro","")</f>
        <v/>
      </c>
    </row>
    <row r="1861" spans="1:9" ht="22.5">
      <c r="A1861" s="345">
        <v>1858</v>
      </c>
      <c r="B1861" s="346" t="s">
        <v>210</v>
      </c>
      <c r="C1861" s="347">
        <v>44.44</v>
      </c>
      <c r="D1861" s="348">
        <v>46023</v>
      </c>
      <c r="E1861" s="348">
        <v>46357</v>
      </c>
      <c r="F1861" s="346" t="s">
        <v>639</v>
      </c>
      <c r="G1861" s="350" t="s">
        <v>440</v>
      </c>
      <c r="H1861" s="351">
        <f t="shared" si="31"/>
        <v>533.28</v>
      </c>
      <c r="I1861" s="120" t="str">
        <f>IF(OR(D1861&lt;Capa!$A$5,D1861&gt;Capa!$A$7,E1861&lt;Capa!$A$5,E1861&gt;Capa!$A$7,D1861&gt;E1861),"Erro","")</f>
        <v/>
      </c>
    </row>
    <row r="1862" spans="1:9" ht="22.5">
      <c r="A1862" s="345">
        <v>1859</v>
      </c>
      <c r="B1862" s="346" t="s">
        <v>210</v>
      </c>
      <c r="C1862" s="347">
        <v>47.04</v>
      </c>
      <c r="D1862" s="348">
        <v>46388</v>
      </c>
      <c r="E1862" s="348">
        <v>46722</v>
      </c>
      <c r="F1862" s="346" t="s">
        <v>639</v>
      </c>
      <c r="G1862" s="350" t="s">
        <v>440</v>
      </c>
      <c r="H1862" s="351">
        <f t="shared" si="31"/>
        <v>564.48</v>
      </c>
      <c r="I1862" s="120" t="str">
        <f>IF(OR(D1862&lt;Capa!$A$5,D1862&gt;Capa!$A$7,E1862&lt;Capa!$A$5,E1862&gt;Capa!$A$7,D1862&gt;E1862),"Erro","")</f>
        <v/>
      </c>
    </row>
    <row r="1863" spans="1:9" ht="22.5">
      <c r="A1863" s="345">
        <v>1860</v>
      </c>
      <c r="B1863" s="346" t="s">
        <v>210</v>
      </c>
      <c r="C1863" s="347">
        <v>49.79</v>
      </c>
      <c r="D1863" s="348">
        <v>46753</v>
      </c>
      <c r="E1863" s="348">
        <v>47058</v>
      </c>
      <c r="F1863" s="346" t="s">
        <v>639</v>
      </c>
      <c r="G1863" s="350" t="s">
        <v>440</v>
      </c>
      <c r="H1863" s="351">
        <f t="shared" si="31"/>
        <v>547.68999999999994</v>
      </c>
      <c r="I1863" s="120" t="str">
        <f>IF(OR(D1863&lt;Capa!$A$5,D1863&gt;Capa!$A$7,E1863&lt;Capa!$A$5,E1863&gt;Capa!$A$7,D1863&gt;E1863),"Erro","")</f>
        <v/>
      </c>
    </row>
    <row r="1864" spans="1:9" ht="22.5">
      <c r="A1864" s="345">
        <v>1861</v>
      </c>
      <c r="B1864" s="346" t="s">
        <v>214</v>
      </c>
      <c r="C1864" s="347">
        <v>131.97999999999999</v>
      </c>
      <c r="D1864" s="348">
        <v>45261</v>
      </c>
      <c r="E1864" s="348">
        <v>45627</v>
      </c>
      <c r="F1864" s="346" t="s">
        <v>639</v>
      </c>
      <c r="G1864" s="350" t="s">
        <v>440</v>
      </c>
      <c r="H1864" s="351">
        <f t="shared" si="31"/>
        <v>1715.7399999999998</v>
      </c>
      <c r="I1864" s="120" t="str">
        <f>IF(OR(D1864&lt;Capa!$A$5,D1864&gt;Capa!$A$7,E1864&lt;Capa!$A$5,E1864&gt;Capa!$A$7,D1864&gt;E1864),"Erro","")</f>
        <v/>
      </c>
    </row>
    <row r="1865" spans="1:9" ht="22.5">
      <c r="A1865" s="345">
        <v>1862</v>
      </c>
      <c r="B1865" s="346" t="s">
        <v>214</v>
      </c>
      <c r="C1865" s="347">
        <v>139.68</v>
      </c>
      <c r="D1865" s="348">
        <v>45658</v>
      </c>
      <c r="E1865" s="348">
        <v>45992</v>
      </c>
      <c r="F1865" s="346" t="s">
        <v>639</v>
      </c>
      <c r="G1865" s="350" t="s">
        <v>440</v>
      </c>
      <c r="H1865" s="351">
        <f t="shared" si="31"/>
        <v>1676.16</v>
      </c>
      <c r="I1865" s="120" t="str">
        <f>IF(OR(D1865&lt;Capa!$A$5,D1865&gt;Capa!$A$7,E1865&lt;Capa!$A$5,E1865&gt;Capa!$A$7,D1865&gt;E1865),"Erro","")</f>
        <v/>
      </c>
    </row>
    <row r="1866" spans="1:9" ht="22.5">
      <c r="A1866" s="345">
        <v>1863</v>
      </c>
      <c r="B1866" s="346" t="s">
        <v>214</v>
      </c>
      <c r="C1866" s="347">
        <v>147.84</v>
      </c>
      <c r="D1866" s="348">
        <v>46023</v>
      </c>
      <c r="E1866" s="348">
        <v>46357</v>
      </c>
      <c r="F1866" s="346" t="s">
        <v>639</v>
      </c>
      <c r="G1866" s="350" t="s">
        <v>440</v>
      </c>
      <c r="H1866" s="351">
        <f t="shared" si="31"/>
        <v>1774.08</v>
      </c>
      <c r="I1866" s="120" t="str">
        <f>IF(OR(D1866&lt;Capa!$A$5,D1866&gt;Capa!$A$7,E1866&lt;Capa!$A$5,E1866&gt;Capa!$A$7,D1866&gt;E1866),"Erro","")</f>
        <v/>
      </c>
    </row>
    <row r="1867" spans="1:9" ht="22.5">
      <c r="A1867" s="345">
        <v>1864</v>
      </c>
      <c r="B1867" s="346" t="s">
        <v>214</v>
      </c>
      <c r="C1867" s="347">
        <v>156.47999999999999</v>
      </c>
      <c r="D1867" s="348">
        <v>46388</v>
      </c>
      <c r="E1867" s="348">
        <v>46722</v>
      </c>
      <c r="F1867" s="346" t="s">
        <v>639</v>
      </c>
      <c r="G1867" s="350" t="s">
        <v>440</v>
      </c>
      <c r="H1867" s="351">
        <f t="shared" si="31"/>
        <v>1877.7599999999998</v>
      </c>
      <c r="I1867" s="120" t="str">
        <f>IF(OR(D1867&lt;Capa!$A$5,D1867&gt;Capa!$A$7,E1867&lt;Capa!$A$5,E1867&gt;Capa!$A$7,D1867&gt;E1867),"Erro","")</f>
        <v/>
      </c>
    </row>
    <row r="1868" spans="1:9" ht="22.5">
      <c r="A1868" s="345">
        <v>1865</v>
      </c>
      <c r="B1868" s="346" t="s">
        <v>214</v>
      </c>
      <c r="C1868" s="347">
        <v>165.62</v>
      </c>
      <c r="D1868" s="348">
        <v>46753</v>
      </c>
      <c r="E1868" s="348">
        <v>47058</v>
      </c>
      <c r="F1868" s="346" t="s">
        <v>639</v>
      </c>
      <c r="G1868" s="350" t="s">
        <v>440</v>
      </c>
      <c r="H1868" s="351">
        <f t="shared" si="31"/>
        <v>1821.8200000000002</v>
      </c>
      <c r="I1868" s="120" t="str">
        <f>IF(OR(D1868&lt;Capa!$A$5,D1868&gt;Capa!$A$7,E1868&lt;Capa!$A$5,E1868&gt;Capa!$A$7,D1868&gt;E1868),"Erro","")</f>
        <v/>
      </c>
    </row>
    <row r="1869" spans="1:9" ht="56.25">
      <c r="A1869" s="345">
        <v>1866</v>
      </c>
      <c r="B1869" s="346" t="s">
        <v>212</v>
      </c>
      <c r="C1869" s="347">
        <v>235.74</v>
      </c>
      <c r="D1869" s="348">
        <v>45261</v>
      </c>
      <c r="E1869" s="348">
        <v>45627</v>
      </c>
      <c r="F1869" s="346" t="s">
        <v>639</v>
      </c>
      <c r="G1869" s="350" t="s">
        <v>502</v>
      </c>
      <c r="H1869" s="351">
        <f t="shared" si="31"/>
        <v>3064.62</v>
      </c>
      <c r="I1869" s="120" t="str">
        <f>IF(OR(D1869&lt;Capa!$A$5,D1869&gt;Capa!$A$7,E1869&lt;Capa!$A$5,E1869&gt;Capa!$A$7,D1869&gt;E1869),"Erro","")</f>
        <v/>
      </c>
    </row>
    <row r="1870" spans="1:9" ht="56.25">
      <c r="A1870" s="345">
        <v>1867</v>
      </c>
      <c r="B1870" s="346" t="s">
        <v>212</v>
      </c>
      <c r="C1870" s="347">
        <v>249.5</v>
      </c>
      <c r="D1870" s="348">
        <v>45658</v>
      </c>
      <c r="E1870" s="348">
        <v>45992</v>
      </c>
      <c r="F1870" s="346" t="s">
        <v>639</v>
      </c>
      <c r="G1870" s="350" t="s">
        <v>502</v>
      </c>
      <c r="H1870" s="351">
        <f t="shared" si="31"/>
        <v>2994</v>
      </c>
      <c r="I1870" s="120" t="str">
        <f>IF(OR(D1870&lt;Capa!$A$5,D1870&gt;Capa!$A$7,E1870&lt;Capa!$A$5,E1870&gt;Capa!$A$7,D1870&gt;E1870),"Erro","")</f>
        <v/>
      </c>
    </row>
    <row r="1871" spans="1:9" ht="56.25">
      <c r="A1871" s="345">
        <v>1868</v>
      </c>
      <c r="B1871" s="346" t="s">
        <v>212</v>
      </c>
      <c r="C1871" s="347">
        <v>264.07</v>
      </c>
      <c r="D1871" s="348">
        <v>46023</v>
      </c>
      <c r="E1871" s="348">
        <v>46357</v>
      </c>
      <c r="F1871" s="346" t="s">
        <v>639</v>
      </c>
      <c r="G1871" s="350" t="s">
        <v>502</v>
      </c>
      <c r="H1871" s="351">
        <f t="shared" si="31"/>
        <v>3168.84</v>
      </c>
      <c r="I1871" s="120" t="str">
        <f>IF(OR(D1871&lt;Capa!$A$5,D1871&gt;Capa!$A$7,E1871&lt;Capa!$A$5,E1871&gt;Capa!$A$7,D1871&gt;E1871),"Erro","")</f>
        <v/>
      </c>
    </row>
    <row r="1872" spans="1:9" ht="56.25">
      <c r="A1872" s="345">
        <v>1869</v>
      </c>
      <c r="B1872" s="346" t="s">
        <v>212</v>
      </c>
      <c r="C1872" s="347">
        <v>279.5</v>
      </c>
      <c r="D1872" s="348">
        <v>46388</v>
      </c>
      <c r="E1872" s="348">
        <v>46722</v>
      </c>
      <c r="F1872" s="346" t="s">
        <v>639</v>
      </c>
      <c r="G1872" s="350" t="s">
        <v>502</v>
      </c>
      <c r="H1872" s="351">
        <f t="shared" si="31"/>
        <v>3354</v>
      </c>
      <c r="I1872" s="120" t="str">
        <f>IF(OR(D1872&lt;Capa!$A$5,D1872&gt;Capa!$A$7,E1872&lt;Capa!$A$5,E1872&gt;Capa!$A$7,D1872&gt;E1872),"Erro","")</f>
        <v/>
      </c>
    </row>
    <row r="1873" spans="1:9" ht="56.25">
      <c r="A1873" s="345">
        <v>1870</v>
      </c>
      <c r="B1873" s="346" t="s">
        <v>212</v>
      </c>
      <c r="C1873" s="347">
        <v>295.82</v>
      </c>
      <c r="D1873" s="348">
        <v>46753</v>
      </c>
      <c r="E1873" s="348">
        <v>47058</v>
      </c>
      <c r="F1873" s="346" t="s">
        <v>639</v>
      </c>
      <c r="G1873" s="350" t="s">
        <v>502</v>
      </c>
      <c r="H1873" s="351">
        <f t="shared" si="31"/>
        <v>3254.02</v>
      </c>
      <c r="I1873" s="120" t="str">
        <f>IF(OR(D1873&lt;Capa!$A$5,D1873&gt;Capa!$A$7,E1873&lt;Capa!$A$5,E1873&gt;Capa!$A$7,D1873&gt;E1873),"Erro","")</f>
        <v/>
      </c>
    </row>
    <row r="1874" spans="1:9" ht="45">
      <c r="A1874" s="345">
        <v>1871</v>
      </c>
      <c r="B1874" s="346" t="s">
        <v>248</v>
      </c>
      <c r="C1874" s="347">
        <v>846</v>
      </c>
      <c r="D1874" s="348">
        <v>45261</v>
      </c>
      <c r="E1874" s="348">
        <v>45444</v>
      </c>
      <c r="F1874" s="346" t="s">
        <v>639</v>
      </c>
      <c r="G1874" s="350" t="s">
        <v>441</v>
      </c>
      <c r="H1874" s="351">
        <f t="shared" si="31"/>
        <v>5922</v>
      </c>
      <c r="I1874" s="120" t="str">
        <f>IF(OR(D1874&lt;Capa!$A$5,D1874&gt;Capa!$A$7,E1874&lt;Capa!$A$5,E1874&gt;Capa!$A$7,D1874&gt;E1874),"Erro","")</f>
        <v/>
      </c>
    </row>
    <row r="1875" spans="1:9" ht="45">
      <c r="A1875" s="345">
        <v>1872</v>
      </c>
      <c r="B1875" s="346" t="s">
        <v>248</v>
      </c>
      <c r="C1875" s="347">
        <v>846</v>
      </c>
      <c r="D1875" s="348">
        <v>45658</v>
      </c>
      <c r="E1875" s="348">
        <v>45809</v>
      </c>
      <c r="F1875" s="346" t="s">
        <v>639</v>
      </c>
      <c r="G1875" s="350" t="s">
        <v>441</v>
      </c>
      <c r="H1875" s="351">
        <f t="shared" si="31"/>
        <v>5076</v>
      </c>
      <c r="I1875" s="120" t="str">
        <f>IF(OR(D1875&lt;Capa!$A$5,D1875&gt;Capa!$A$7,E1875&lt;Capa!$A$5,E1875&gt;Capa!$A$7,D1875&gt;E1875),"Erro","")</f>
        <v/>
      </c>
    </row>
    <row r="1876" spans="1:9" ht="45">
      <c r="A1876" s="345">
        <v>1873</v>
      </c>
      <c r="B1876" s="346" t="s">
        <v>248</v>
      </c>
      <c r="C1876" s="347">
        <v>846</v>
      </c>
      <c r="D1876" s="348">
        <v>46023</v>
      </c>
      <c r="E1876" s="348">
        <v>46174</v>
      </c>
      <c r="F1876" s="346" t="s">
        <v>639</v>
      </c>
      <c r="G1876" s="350" t="s">
        <v>441</v>
      </c>
      <c r="H1876" s="351">
        <f t="shared" si="31"/>
        <v>5076</v>
      </c>
      <c r="I1876" s="120" t="str">
        <f>IF(OR(D1876&lt;Capa!$A$5,D1876&gt;Capa!$A$7,E1876&lt;Capa!$A$5,E1876&gt;Capa!$A$7,D1876&gt;E1876),"Erro","")</f>
        <v/>
      </c>
    </row>
    <row r="1877" spans="1:9" ht="45">
      <c r="A1877" s="345">
        <v>1874</v>
      </c>
      <c r="B1877" s="346" t="s">
        <v>248</v>
      </c>
      <c r="C1877" s="347">
        <v>846</v>
      </c>
      <c r="D1877" s="348">
        <v>46388</v>
      </c>
      <c r="E1877" s="348">
        <v>46539</v>
      </c>
      <c r="F1877" s="346" t="s">
        <v>639</v>
      </c>
      <c r="G1877" s="350" t="s">
        <v>441</v>
      </c>
      <c r="H1877" s="351">
        <f t="shared" si="31"/>
        <v>5076</v>
      </c>
      <c r="I1877" s="120" t="str">
        <f>IF(OR(D1877&lt;Capa!$A$5,D1877&gt;Capa!$A$7,E1877&lt;Capa!$A$5,E1877&gt;Capa!$A$7,D1877&gt;E1877),"Erro","")</f>
        <v/>
      </c>
    </row>
    <row r="1878" spans="1:9" ht="45">
      <c r="A1878" s="345">
        <v>1875</v>
      </c>
      <c r="B1878" s="346" t="s">
        <v>248</v>
      </c>
      <c r="C1878" s="347">
        <v>846</v>
      </c>
      <c r="D1878" s="348">
        <v>46753</v>
      </c>
      <c r="E1878" s="348">
        <v>46905</v>
      </c>
      <c r="F1878" s="346" t="s">
        <v>639</v>
      </c>
      <c r="G1878" s="350" t="s">
        <v>441</v>
      </c>
      <c r="H1878" s="351">
        <f t="shared" si="31"/>
        <v>5076</v>
      </c>
      <c r="I1878" s="120" t="str">
        <f>IF(OR(D1878&lt;Capa!$A$5,D1878&gt;Capa!$A$7,E1878&lt;Capa!$A$5,E1878&gt;Capa!$A$7,D1878&gt;E1878),"Erro","")</f>
        <v/>
      </c>
    </row>
    <row r="1879" spans="1:9" ht="33.75">
      <c r="A1879" s="345">
        <v>1876</v>
      </c>
      <c r="B1879" s="346" t="s">
        <v>266</v>
      </c>
      <c r="C1879" s="347">
        <v>2103.7600000000002</v>
      </c>
      <c r="D1879" s="348">
        <v>45658</v>
      </c>
      <c r="E1879" s="348">
        <v>45658</v>
      </c>
      <c r="F1879" s="346" t="s">
        <v>639</v>
      </c>
      <c r="G1879" s="350" t="s">
        <v>442</v>
      </c>
      <c r="H1879" s="351">
        <f t="shared" si="31"/>
        <v>2103.7600000000002</v>
      </c>
      <c r="I1879" s="120" t="str">
        <f>IF(OR(D1879&lt;Capa!$A$5,D1879&gt;Capa!$A$7,E1879&lt;Capa!$A$5,E1879&gt;Capa!$A$7,D1879&gt;E1879),"Erro","")</f>
        <v/>
      </c>
    </row>
    <row r="1880" spans="1:9" ht="33.75">
      <c r="A1880" s="345">
        <v>1877</v>
      </c>
      <c r="B1880" s="346" t="s">
        <v>266</v>
      </c>
      <c r="C1880" s="347">
        <v>2226.62</v>
      </c>
      <c r="D1880" s="348">
        <v>46023</v>
      </c>
      <c r="E1880" s="348">
        <v>46023</v>
      </c>
      <c r="F1880" s="346" t="s">
        <v>639</v>
      </c>
      <c r="G1880" s="350" t="s">
        <v>442</v>
      </c>
      <c r="H1880" s="351">
        <f t="shared" si="31"/>
        <v>2226.62</v>
      </c>
      <c r="I1880" s="120" t="str">
        <f>IF(OR(D1880&lt;Capa!$A$5,D1880&gt;Capa!$A$7,E1880&lt;Capa!$A$5,E1880&gt;Capa!$A$7,D1880&gt;E1880),"Erro","")</f>
        <v/>
      </c>
    </row>
    <row r="1881" spans="1:9" ht="33.75">
      <c r="A1881" s="345">
        <v>1878</v>
      </c>
      <c r="B1881" s="346" t="s">
        <v>266</v>
      </c>
      <c r="C1881" s="347">
        <v>2356.65</v>
      </c>
      <c r="D1881" s="348">
        <v>46388</v>
      </c>
      <c r="E1881" s="348">
        <v>46388</v>
      </c>
      <c r="F1881" s="346" t="s">
        <v>639</v>
      </c>
      <c r="G1881" s="350" t="s">
        <v>442</v>
      </c>
      <c r="H1881" s="351">
        <f t="shared" si="31"/>
        <v>2356.65</v>
      </c>
      <c r="I1881" s="120" t="str">
        <f>IF(OR(D1881&lt;Capa!$A$5,D1881&gt;Capa!$A$7,E1881&lt;Capa!$A$5,E1881&gt;Capa!$A$7,D1881&gt;E1881),"Erro","")</f>
        <v/>
      </c>
    </row>
    <row r="1882" spans="1:9" ht="33.75">
      <c r="A1882" s="345">
        <v>1879</v>
      </c>
      <c r="B1882" s="346" t="s">
        <v>266</v>
      </c>
      <c r="C1882" s="347">
        <v>2494.2800000000002</v>
      </c>
      <c r="D1882" s="348">
        <v>46753</v>
      </c>
      <c r="E1882" s="348">
        <v>46753</v>
      </c>
      <c r="F1882" s="346" t="s">
        <v>639</v>
      </c>
      <c r="G1882" s="350" t="s">
        <v>442</v>
      </c>
      <c r="H1882" s="351">
        <f t="shared" si="31"/>
        <v>2494.2800000000002</v>
      </c>
      <c r="I1882" s="120" t="str">
        <f>IF(OR(D1882&lt;Capa!$A$5,D1882&gt;Capa!$A$7,E1882&lt;Capa!$A$5,E1882&gt;Capa!$A$7,D1882&gt;E1882),"Erro","")</f>
        <v/>
      </c>
    </row>
    <row r="1883" spans="1:9" ht="22.5">
      <c r="A1883" s="345">
        <v>1880</v>
      </c>
      <c r="B1883" s="346" t="s">
        <v>274</v>
      </c>
      <c r="C1883" s="347">
        <v>1100</v>
      </c>
      <c r="D1883" s="348">
        <v>45261</v>
      </c>
      <c r="E1883" s="348">
        <v>45627</v>
      </c>
      <c r="F1883" s="346" t="s">
        <v>639</v>
      </c>
      <c r="G1883" s="350" t="s">
        <v>443</v>
      </c>
      <c r="H1883" s="351">
        <f t="shared" si="31"/>
        <v>14300</v>
      </c>
      <c r="I1883" s="120" t="str">
        <f>IF(OR(D1883&lt;Capa!$A$5,D1883&gt;Capa!$A$7,E1883&lt;Capa!$A$5,E1883&gt;Capa!$A$7,D1883&gt;E1883),"Erro","")</f>
        <v/>
      </c>
    </row>
    <row r="1884" spans="1:9" ht="22.5">
      <c r="A1884" s="345">
        <v>1881</v>
      </c>
      <c r="B1884" s="346" t="s">
        <v>274</v>
      </c>
      <c r="C1884" s="347">
        <v>1164.24</v>
      </c>
      <c r="D1884" s="348">
        <v>45658</v>
      </c>
      <c r="E1884" s="348">
        <v>45992</v>
      </c>
      <c r="F1884" s="346" t="s">
        <v>639</v>
      </c>
      <c r="G1884" s="350" t="s">
        <v>443</v>
      </c>
      <c r="H1884" s="351">
        <f t="shared" si="31"/>
        <v>13970.880000000001</v>
      </c>
      <c r="I1884" s="120" t="str">
        <f>IF(OR(D1884&lt;Capa!$A$5,D1884&gt;Capa!$A$7,E1884&lt;Capa!$A$5,E1884&gt;Capa!$A$7,D1884&gt;E1884),"Erro","")</f>
        <v/>
      </c>
    </row>
    <row r="1885" spans="1:9" ht="22.5">
      <c r="A1885" s="345">
        <v>1882</v>
      </c>
      <c r="B1885" s="346" t="s">
        <v>274</v>
      </c>
      <c r="C1885" s="347">
        <v>1232.23</v>
      </c>
      <c r="D1885" s="348">
        <v>46023</v>
      </c>
      <c r="E1885" s="348">
        <v>46357</v>
      </c>
      <c r="F1885" s="346" t="s">
        <v>639</v>
      </c>
      <c r="G1885" s="350" t="s">
        <v>443</v>
      </c>
      <c r="H1885" s="351">
        <f t="shared" si="31"/>
        <v>14786.76</v>
      </c>
      <c r="I1885" s="120" t="str">
        <f>IF(OR(D1885&lt;Capa!$A$5,D1885&gt;Capa!$A$7,E1885&lt;Capa!$A$5,E1885&gt;Capa!$A$7,D1885&gt;E1885),"Erro","")</f>
        <v/>
      </c>
    </row>
    <row r="1886" spans="1:9" ht="22.5">
      <c r="A1886" s="345">
        <v>1883</v>
      </c>
      <c r="B1886" s="346" t="s">
        <v>274</v>
      </c>
      <c r="C1886" s="347">
        <v>1304.19</v>
      </c>
      <c r="D1886" s="348">
        <v>46388</v>
      </c>
      <c r="E1886" s="348">
        <v>46722</v>
      </c>
      <c r="F1886" s="346" t="s">
        <v>639</v>
      </c>
      <c r="G1886" s="350" t="s">
        <v>443</v>
      </c>
      <c r="H1886" s="351">
        <f t="shared" si="31"/>
        <v>15650.28</v>
      </c>
      <c r="I1886" s="120" t="str">
        <f>IF(OR(D1886&lt;Capa!$A$5,D1886&gt;Capa!$A$7,E1886&lt;Capa!$A$5,E1886&gt;Capa!$A$7,D1886&gt;E1886),"Erro","")</f>
        <v/>
      </c>
    </row>
    <row r="1887" spans="1:9" ht="22.5">
      <c r="A1887" s="345">
        <v>1884</v>
      </c>
      <c r="B1887" s="346" t="s">
        <v>274</v>
      </c>
      <c r="C1887" s="347">
        <v>1380.35</v>
      </c>
      <c r="D1887" s="348">
        <v>46753</v>
      </c>
      <c r="E1887" s="348">
        <v>47058</v>
      </c>
      <c r="F1887" s="346" t="s">
        <v>639</v>
      </c>
      <c r="G1887" s="350" t="s">
        <v>443</v>
      </c>
      <c r="H1887" s="351">
        <f t="shared" si="31"/>
        <v>15183.849999999999</v>
      </c>
      <c r="I1887" s="120" t="str">
        <f>IF(OR(D1887&lt;Capa!$A$5,D1887&gt;Capa!$A$7,E1887&lt;Capa!$A$5,E1887&gt;Capa!$A$7,D1887&gt;E1887),"Erro","")</f>
        <v/>
      </c>
    </row>
    <row r="1888" spans="1:9" ht="56.25">
      <c r="A1888" s="345">
        <v>1885</v>
      </c>
      <c r="B1888" s="346" t="s">
        <v>236</v>
      </c>
      <c r="C1888" s="347">
        <v>690.19</v>
      </c>
      <c r="D1888" s="348">
        <v>45292</v>
      </c>
      <c r="E1888" s="348">
        <v>45627</v>
      </c>
      <c r="F1888" s="346" t="s">
        <v>639</v>
      </c>
      <c r="G1888" s="350" t="s">
        <v>444</v>
      </c>
      <c r="H1888" s="351">
        <f t="shared" si="31"/>
        <v>8282.2800000000007</v>
      </c>
      <c r="I1888" s="120" t="str">
        <f>IF(OR(D1888&lt;Capa!$A$5,D1888&gt;Capa!$A$7,E1888&lt;Capa!$A$5,E1888&gt;Capa!$A$7,D1888&gt;E1888),"Erro","")</f>
        <v/>
      </c>
    </row>
    <row r="1889" spans="1:9" ht="56.25">
      <c r="A1889" s="345">
        <v>1886</v>
      </c>
      <c r="B1889" s="346" t="s">
        <v>236</v>
      </c>
      <c r="C1889" s="347">
        <v>760.49</v>
      </c>
      <c r="D1889" s="348">
        <v>45658</v>
      </c>
      <c r="E1889" s="348">
        <v>45992</v>
      </c>
      <c r="F1889" s="346" t="s">
        <v>639</v>
      </c>
      <c r="G1889" s="350" t="s">
        <v>444</v>
      </c>
      <c r="H1889" s="351">
        <f t="shared" si="31"/>
        <v>9125.880000000001</v>
      </c>
      <c r="I1889" s="120" t="str">
        <f>IF(OR(D1889&lt;Capa!$A$5,D1889&gt;Capa!$A$7,E1889&lt;Capa!$A$5,E1889&gt;Capa!$A$7,D1889&gt;E1889),"Erro","")</f>
        <v/>
      </c>
    </row>
    <row r="1890" spans="1:9" ht="56.25">
      <c r="A1890" s="345">
        <v>1887</v>
      </c>
      <c r="B1890" s="346" t="s">
        <v>236</v>
      </c>
      <c r="C1890" s="347">
        <v>773.16</v>
      </c>
      <c r="D1890" s="348">
        <v>46023</v>
      </c>
      <c r="E1890" s="348">
        <v>46357</v>
      </c>
      <c r="F1890" s="346" t="s">
        <v>639</v>
      </c>
      <c r="G1890" s="350" t="s">
        <v>444</v>
      </c>
      <c r="H1890" s="351">
        <f t="shared" si="31"/>
        <v>9277.92</v>
      </c>
      <c r="I1890" s="120" t="str">
        <f>IF(OR(D1890&lt;Capa!$A$5,D1890&gt;Capa!$A$7,E1890&lt;Capa!$A$5,E1890&gt;Capa!$A$7,D1890&gt;E1890),"Erro","")</f>
        <v/>
      </c>
    </row>
    <row r="1891" spans="1:9" ht="56.25">
      <c r="A1891" s="345">
        <v>1888</v>
      </c>
      <c r="B1891" s="346" t="s">
        <v>236</v>
      </c>
      <c r="C1891" s="347">
        <v>818.31</v>
      </c>
      <c r="D1891" s="348">
        <v>46388</v>
      </c>
      <c r="E1891" s="348">
        <v>46722</v>
      </c>
      <c r="F1891" s="346" t="s">
        <v>639</v>
      </c>
      <c r="G1891" s="350" t="s">
        <v>444</v>
      </c>
      <c r="H1891" s="351">
        <f t="shared" si="31"/>
        <v>9819.7199999999993</v>
      </c>
      <c r="I1891" s="120" t="str">
        <f>IF(OR(D1891&lt;Capa!$A$5,D1891&gt;Capa!$A$7,E1891&lt;Capa!$A$5,E1891&gt;Capa!$A$7,D1891&gt;E1891),"Erro","")</f>
        <v/>
      </c>
    </row>
    <row r="1892" spans="1:9" ht="56.25">
      <c r="A1892" s="345">
        <v>1889</v>
      </c>
      <c r="B1892" s="346" t="s">
        <v>236</v>
      </c>
      <c r="C1892" s="347">
        <v>866.09</v>
      </c>
      <c r="D1892" s="348">
        <v>46753</v>
      </c>
      <c r="E1892" s="348">
        <v>47058</v>
      </c>
      <c r="F1892" s="346" t="s">
        <v>639</v>
      </c>
      <c r="G1892" s="350" t="s">
        <v>444</v>
      </c>
      <c r="H1892" s="351">
        <f t="shared" si="31"/>
        <v>9526.99</v>
      </c>
      <c r="I1892" s="120" t="str">
        <f>IF(OR(D1892&lt;Capa!$A$5,D1892&gt;Capa!$A$7,E1892&lt;Capa!$A$5,E1892&gt;Capa!$A$7,D1892&gt;E1892),"Erro","")</f>
        <v/>
      </c>
    </row>
    <row r="1893" spans="1:9" ht="33.75">
      <c r="A1893" s="345">
        <v>1890</v>
      </c>
      <c r="B1893" s="346" t="s">
        <v>240</v>
      </c>
      <c r="C1893" s="347">
        <v>50</v>
      </c>
      <c r="D1893" s="348">
        <v>45292</v>
      </c>
      <c r="E1893" s="348">
        <v>45627</v>
      </c>
      <c r="F1893" s="346" t="s">
        <v>639</v>
      </c>
      <c r="G1893" s="350" t="s">
        <v>445</v>
      </c>
      <c r="H1893" s="351">
        <f t="shared" si="31"/>
        <v>600</v>
      </c>
      <c r="I1893" s="120" t="str">
        <f>IF(OR(D1893&lt;Capa!$A$5,D1893&gt;Capa!$A$7,E1893&lt;Capa!$A$5,E1893&gt;Capa!$A$7,D1893&gt;E1893),"Erro","")</f>
        <v/>
      </c>
    </row>
    <row r="1894" spans="1:9" ht="33.75">
      <c r="A1894" s="345">
        <v>1891</v>
      </c>
      <c r="B1894" s="346" t="s">
        <v>240</v>
      </c>
      <c r="C1894" s="347">
        <v>50</v>
      </c>
      <c r="D1894" s="348">
        <v>45658</v>
      </c>
      <c r="E1894" s="348">
        <v>45992</v>
      </c>
      <c r="F1894" s="346" t="s">
        <v>639</v>
      </c>
      <c r="G1894" s="350" t="s">
        <v>445</v>
      </c>
      <c r="H1894" s="351">
        <f t="shared" si="31"/>
        <v>600</v>
      </c>
      <c r="I1894" s="120" t="str">
        <f>IF(OR(D1894&lt;Capa!$A$5,D1894&gt;Capa!$A$7,E1894&lt;Capa!$A$5,E1894&gt;Capa!$A$7,D1894&gt;E1894),"Erro","")</f>
        <v/>
      </c>
    </row>
    <row r="1895" spans="1:9" ht="33.75">
      <c r="A1895" s="345">
        <v>1892</v>
      </c>
      <c r="B1895" s="346" t="s">
        <v>240</v>
      </c>
      <c r="C1895" s="347">
        <v>50</v>
      </c>
      <c r="D1895" s="348">
        <v>46023</v>
      </c>
      <c r="E1895" s="348">
        <v>46357</v>
      </c>
      <c r="F1895" s="346" t="s">
        <v>639</v>
      </c>
      <c r="G1895" s="350" t="s">
        <v>445</v>
      </c>
      <c r="H1895" s="351">
        <f t="shared" si="31"/>
        <v>600</v>
      </c>
      <c r="I1895" s="120" t="str">
        <f>IF(OR(D1895&lt;Capa!$A$5,D1895&gt;Capa!$A$7,E1895&lt;Capa!$A$5,E1895&gt;Capa!$A$7,D1895&gt;E1895),"Erro","")</f>
        <v/>
      </c>
    </row>
    <row r="1896" spans="1:9" ht="33.75">
      <c r="A1896" s="345">
        <v>1893</v>
      </c>
      <c r="B1896" s="346" t="s">
        <v>240</v>
      </c>
      <c r="C1896" s="347">
        <v>50</v>
      </c>
      <c r="D1896" s="348">
        <v>46388</v>
      </c>
      <c r="E1896" s="348">
        <v>46722</v>
      </c>
      <c r="F1896" s="346" t="s">
        <v>639</v>
      </c>
      <c r="G1896" s="350" t="s">
        <v>445</v>
      </c>
      <c r="H1896" s="351">
        <f t="shared" si="31"/>
        <v>600</v>
      </c>
      <c r="I1896" s="120" t="str">
        <f>IF(OR(D1896&lt;Capa!$A$5,D1896&gt;Capa!$A$7,E1896&lt;Capa!$A$5,E1896&gt;Capa!$A$7,D1896&gt;E1896),"Erro","")</f>
        <v/>
      </c>
    </row>
    <row r="1897" spans="1:9" ht="33.75">
      <c r="A1897" s="345">
        <v>1894</v>
      </c>
      <c r="B1897" s="346" t="s">
        <v>240</v>
      </c>
      <c r="C1897" s="347">
        <v>50</v>
      </c>
      <c r="D1897" s="348">
        <v>46753</v>
      </c>
      <c r="E1897" s="348">
        <v>47058</v>
      </c>
      <c r="F1897" s="346" t="s">
        <v>639</v>
      </c>
      <c r="G1897" s="350" t="s">
        <v>445</v>
      </c>
      <c r="H1897" s="351">
        <f t="shared" si="31"/>
        <v>550</v>
      </c>
      <c r="I1897" s="120" t="str">
        <f>IF(OR(D1897&lt;Capa!$A$5,D1897&gt;Capa!$A$7,E1897&lt;Capa!$A$5,E1897&gt;Capa!$A$7,D1897&gt;E1897),"Erro","")</f>
        <v/>
      </c>
    </row>
    <row r="1898" spans="1:9" ht="45">
      <c r="A1898" s="345">
        <v>1895</v>
      </c>
      <c r="B1898" s="346" t="s">
        <v>244</v>
      </c>
      <c r="C1898" s="347">
        <v>250</v>
      </c>
      <c r="D1898" s="348">
        <v>45261</v>
      </c>
      <c r="E1898" s="348">
        <v>45627</v>
      </c>
      <c r="F1898" s="346" t="s">
        <v>639</v>
      </c>
      <c r="G1898" s="350" t="s">
        <v>446</v>
      </c>
      <c r="H1898" s="351">
        <f t="shared" si="31"/>
        <v>3250</v>
      </c>
      <c r="I1898" s="120" t="str">
        <f>IF(OR(D1898&lt;Capa!$A$5,D1898&gt;Capa!$A$7,E1898&lt;Capa!$A$5,E1898&gt;Capa!$A$7,D1898&gt;E1898),"Erro","")</f>
        <v/>
      </c>
    </row>
    <row r="1899" spans="1:9" ht="45">
      <c r="A1899" s="345">
        <v>1896</v>
      </c>
      <c r="B1899" s="346" t="s">
        <v>244</v>
      </c>
      <c r="C1899" s="347">
        <v>300</v>
      </c>
      <c r="D1899" s="348">
        <v>45658</v>
      </c>
      <c r="E1899" s="348">
        <v>45992</v>
      </c>
      <c r="F1899" s="346" t="s">
        <v>639</v>
      </c>
      <c r="G1899" s="350" t="s">
        <v>446</v>
      </c>
      <c r="H1899" s="351">
        <f t="shared" si="31"/>
        <v>3600</v>
      </c>
      <c r="I1899" s="120" t="str">
        <f>IF(OR(D1899&lt;Capa!$A$5,D1899&gt;Capa!$A$7,E1899&lt;Capa!$A$5,E1899&gt;Capa!$A$7,D1899&gt;E1899),"Erro","")</f>
        <v/>
      </c>
    </row>
    <row r="1900" spans="1:9" ht="45">
      <c r="A1900" s="345">
        <v>1897</v>
      </c>
      <c r="B1900" s="346" t="s">
        <v>244</v>
      </c>
      <c r="C1900" s="347">
        <v>300</v>
      </c>
      <c r="D1900" s="348">
        <v>46023</v>
      </c>
      <c r="E1900" s="348">
        <v>46357</v>
      </c>
      <c r="F1900" s="346" t="s">
        <v>639</v>
      </c>
      <c r="G1900" s="350" t="s">
        <v>446</v>
      </c>
      <c r="H1900" s="351">
        <f t="shared" si="31"/>
        <v>3600</v>
      </c>
      <c r="I1900" s="120" t="str">
        <f>IF(OR(D1900&lt;Capa!$A$5,D1900&gt;Capa!$A$7,E1900&lt;Capa!$A$5,E1900&gt;Capa!$A$7,D1900&gt;E1900),"Erro","")</f>
        <v/>
      </c>
    </row>
    <row r="1901" spans="1:9" ht="45">
      <c r="A1901" s="345">
        <v>1898</v>
      </c>
      <c r="B1901" s="346" t="s">
        <v>244</v>
      </c>
      <c r="C1901" s="347">
        <v>350</v>
      </c>
      <c r="D1901" s="348">
        <v>46388</v>
      </c>
      <c r="E1901" s="348">
        <v>46722</v>
      </c>
      <c r="F1901" s="346" t="s">
        <v>639</v>
      </c>
      <c r="G1901" s="350" t="s">
        <v>446</v>
      </c>
      <c r="H1901" s="351">
        <f t="shared" si="31"/>
        <v>4200</v>
      </c>
      <c r="I1901" s="120" t="str">
        <f>IF(OR(D1901&lt;Capa!$A$5,D1901&gt;Capa!$A$7,E1901&lt;Capa!$A$5,E1901&gt;Capa!$A$7,D1901&gt;E1901),"Erro","")</f>
        <v/>
      </c>
    </row>
    <row r="1902" spans="1:9" ht="45">
      <c r="A1902" s="345">
        <v>1899</v>
      </c>
      <c r="B1902" s="346" t="s">
        <v>244</v>
      </c>
      <c r="C1902" s="347">
        <v>350</v>
      </c>
      <c r="D1902" s="348">
        <v>46753</v>
      </c>
      <c r="E1902" s="348">
        <v>47058</v>
      </c>
      <c r="F1902" s="346" t="s">
        <v>639</v>
      </c>
      <c r="G1902" s="350" t="s">
        <v>446</v>
      </c>
      <c r="H1902" s="351">
        <f t="shared" ref="H1902:H1961" si="32">IFERROR((DATEDIF(D1902,E1902,"M")+1)*C1902,0)</f>
        <v>3850</v>
      </c>
      <c r="I1902" s="120" t="str">
        <f>IF(OR(D1902&lt;Capa!$A$5,D1902&gt;Capa!$A$7,E1902&lt;Capa!$A$5,E1902&gt;Capa!$A$7,D1902&gt;E1902),"Erro","")</f>
        <v/>
      </c>
    </row>
    <row r="1903" spans="1:9" ht="33.75">
      <c r="A1903" s="345">
        <v>1900</v>
      </c>
      <c r="B1903" s="346" t="s">
        <v>246</v>
      </c>
      <c r="C1903" s="347">
        <v>275.18</v>
      </c>
      <c r="D1903" s="348">
        <v>45658</v>
      </c>
      <c r="E1903" s="348">
        <v>45992</v>
      </c>
      <c r="F1903" s="346" t="s">
        <v>639</v>
      </c>
      <c r="G1903" s="350" t="s">
        <v>447</v>
      </c>
      <c r="H1903" s="351">
        <f t="shared" si="32"/>
        <v>3302.16</v>
      </c>
      <c r="I1903" s="120" t="str">
        <f>IF(OR(D1903&lt;Capa!$A$5,D1903&gt;Capa!$A$7,E1903&lt;Capa!$A$5,E1903&gt;Capa!$A$7,D1903&gt;E1903),"Erro","")</f>
        <v/>
      </c>
    </row>
    <row r="1904" spans="1:9" ht="33.75">
      <c r="A1904" s="345">
        <v>1901</v>
      </c>
      <c r="B1904" s="346" t="s">
        <v>246</v>
      </c>
      <c r="C1904" s="347">
        <v>291.25</v>
      </c>
      <c r="D1904" s="348">
        <v>46023</v>
      </c>
      <c r="E1904" s="348">
        <v>46357</v>
      </c>
      <c r="F1904" s="346" t="s">
        <v>639</v>
      </c>
      <c r="G1904" s="350" t="s">
        <v>447</v>
      </c>
      <c r="H1904" s="351">
        <f t="shared" si="32"/>
        <v>3495</v>
      </c>
      <c r="I1904" s="120" t="str">
        <f>IF(OR(D1904&lt;Capa!$A$5,D1904&gt;Capa!$A$7,E1904&lt;Capa!$A$5,E1904&gt;Capa!$A$7,D1904&gt;E1904),"Erro","")</f>
        <v/>
      </c>
    </row>
    <row r="1905" spans="1:9" ht="33.75">
      <c r="A1905" s="345">
        <v>1902</v>
      </c>
      <c r="B1905" s="346" t="s">
        <v>246</v>
      </c>
      <c r="C1905" s="347">
        <v>308.26</v>
      </c>
      <c r="D1905" s="348">
        <v>46388</v>
      </c>
      <c r="E1905" s="348">
        <v>46722</v>
      </c>
      <c r="F1905" s="346" t="s">
        <v>639</v>
      </c>
      <c r="G1905" s="350" t="s">
        <v>447</v>
      </c>
      <c r="H1905" s="351">
        <f t="shared" si="32"/>
        <v>3699.12</v>
      </c>
      <c r="I1905" s="120" t="str">
        <f>IF(OR(D1905&lt;Capa!$A$5,D1905&gt;Capa!$A$7,E1905&lt;Capa!$A$5,E1905&gt;Capa!$A$7,D1905&gt;E1905),"Erro","")</f>
        <v/>
      </c>
    </row>
    <row r="1906" spans="1:9" ht="33.75">
      <c r="A1906" s="345">
        <v>1903</v>
      </c>
      <c r="B1906" s="346" t="s">
        <v>246</v>
      </c>
      <c r="C1906" s="347">
        <v>326.26</v>
      </c>
      <c r="D1906" s="348">
        <v>46753</v>
      </c>
      <c r="E1906" s="348">
        <v>47058</v>
      </c>
      <c r="F1906" s="346" t="s">
        <v>639</v>
      </c>
      <c r="G1906" s="350" t="s">
        <v>447</v>
      </c>
      <c r="H1906" s="351">
        <f t="shared" si="32"/>
        <v>3588.8599999999997</v>
      </c>
      <c r="I1906" s="120" t="str">
        <f>IF(OR(D1906&lt;Capa!$A$5,D1906&gt;Capa!$A$7,E1906&lt;Capa!$A$5,E1906&gt;Capa!$A$7,D1906&gt;E1906),"Erro","")</f>
        <v/>
      </c>
    </row>
    <row r="1907" spans="1:9" ht="33.75">
      <c r="A1907" s="345">
        <v>1904</v>
      </c>
      <c r="B1907" s="346" t="s">
        <v>258</v>
      </c>
      <c r="C1907" s="347">
        <v>193.77</v>
      </c>
      <c r="D1907" s="348">
        <v>45261</v>
      </c>
      <c r="E1907" s="348">
        <v>45627</v>
      </c>
      <c r="F1907" s="346" t="s">
        <v>639</v>
      </c>
      <c r="G1907" s="350" t="s">
        <v>448</v>
      </c>
      <c r="H1907" s="351">
        <f t="shared" si="32"/>
        <v>2519.0100000000002</v>
      </c>
      <c r="I1907" s="120" t="str">
        <f>IF(OR(D1907&lt;Capa!$A$5,D1907&gt;Capa!$A$7,E1907&lt;Capa!$A$5,E1907&gt;Capa!$A$7,D1907&gt;E1907),"Erro","")</f>
        <v/>
      </c>
    </row>
    <row r="1908" spans="1:9" ht="33.75">
      <c r="A1908" s="345">
        <v>1905</v>
      </c>
      <c r="B1908" s="346" t="s">
        <v>258</v>
      </c>
      <c r="C1908" s="347">
        <v>205.08</v>
      </c>
      <c r="D1908" s="348">
        <v>45658</v>
      </c>
      <c r="E1908" s="348">
        <v>45992</v>
      </c>
      <c r="F1908" s="346" t="s">
        <v>639</v>
      </c>
      <c r="G1908" s="350" t="s">
        <v>448</v>
      </c>
      <c r="H1908" s="351">
        <f t="shared" si="32"/>
        <v>2460.96</v>
      </c>
      <c r="I1908" s="120" t="str">
        <f>IF(OR(D1908&lt;Capa!$A$5,D1908&gt;Capa!$A$7,E1908&lt;Capa!$A$5,E1908&gt;Capa!$A$7,D1908&gt;E1908),"Erro","")</f>
        <v/>
      </c>
    </row>
    <row r="1909" spans="1:9" ht="33.75">
      <c r="A1909" s="345">
        <v>1906</v>
      </c>
      <c r="B1909" s="346" t="s">
        <v>258</v>
      </c>
      <c r="C1909" s="347">
        <v>217.06</v>
      </c>
      <c r="D1909" s="348">
        <v>46023</v>
      </c>
      <c r="E1909" s="348">
        <v>46357</v>
      </c>
      <c r="F1909" s="346" t="s">
        <v>639</v>
      </c>
      <c r="G1909" s="350" t="s">
        <v>448</v>
      </c>
      <c r="H1909" s="351">
        <f t="shared" si="32"/>
        <v>2604.7200000000003</v>
      </c>
      <c r="I1909" s="120" t="str">
        <f>IF(OR(D1909&lt;Capa!$A$5,D1909&gt;Capa!$A$7,E1909&lt;Capa!$A$5,E1909&gt;Capa!$A$7,D1909&gt;E1909),"Erro","")</f>
        <v/>
      </c>
    </row>
    <row r="1910" spans="1:9" ht="33.75">
      <c r="A1910" s="345">
        <v>1907</v>
      </c>
      <c r="B1910" s="346" t="s">
        <v>258</v>
      </c>
      <c r="C1910" s="347">
        <v>229.74</v>
      </c>
      <c r="D1910" s="348">
        <v>46388</v>
      </c>
      <c r="E1910" s="348">
        <v>46722</v>
      </c>
      <c r="F1910" s="346" t="s">
        <v>639</v>
      </c>
      <c r="G1910" s="350" t="s">
        <v>448</v>
      </c>
      <c r="H1910" s="351">
        <f t="shared" si="32"/>
        <v>2756.88</v>
      </c>
      <c r="I1910" s="120" t="str">
        <f>IF(OR(D1910&lt;Capa!$A$5,D1910&gt;Capa!$A$7,E1910&lt;Capa!$A$5,E1910&gt;Capa!$A$7,D1910&gt;E1910),"Erro","")</f>
        <v/>
      </c>
    </row>
    <row r="1911" spans="1:9" ht="33.75">
      <c r="A1911" s="345">
        <v>1908</v>
      </c>
      <c r="B1911" s="346" t="s">
        <v>258</v>
      </c>
      <c r="C1911" s="347">
        <v>243.16</v>
      </c>
      <c r="D1911" s="348">
        <v>46753</v>
      </c>
      <c r="E1911" s="348">
        <v>47058</v>
      </c>
      <c r="F1911" s="346" t="s">
        <v>639</v>
      </c>
      <c r="G1911" s="350" t="s">
        <v>448</v>
      </c>
      <c r="H1911" s="351">
        <f t="shared" si="32"/>
        <v>2674.7599999999998</v>
      </c>
      <c r="I1911" s="120" t="str">
        <f>IF(OR(D1911&lt;Capa!$A$5,D1911&gt;Capa!$A$7,E1911&lt;Capa!$A$5,E1911&gt;Capa!$A$7,D1911&gt;E1911),"Erro","")</f>
        <v/>
      </c>
    </row>
    <row r="1912" spans="1:9" ht="56.25">
      <c r="A1912" s="345">
        <v>1909</v>
      </c>
      <c r="B1912" s="346" t="s">
        <v>276</v>
      </c>
      <c r="C1912" s="347">
        <v>670</v>
      </c>
      <c r="D1912" s="348">
        <v>45658</v>
      </c>
      <c r="E1912" s="348">
        <v>45992</v>
      </c>
      <c r="F1912" s="346" t="s">
        <v>639</v>
      </c>
      <c r="G1912" s="350" t="s">
        <v>449</v>
      </c>
      <c r="H1912" s="351">
        <f t="shared" si="32"/>
        <v>8040</v>
      </c>
      <c r="I1912" s="120" t="str">
        <f>IF(OR(D1912&lt;Capa!$A$5,D1912&gt;Capa!$A$7,E1912&lt;Capa!$A$5,E1912&gt;Capa!$A$7,D1912&gt;E1912),"Erro","")</f>
        <v/>
      </c>
    </row>
    <row r="1913" spans="1:9" ht="56.25">
      <c r="A1913" s="345">
        <v>1910</v>
      </c>
      <c r="B1913" s="346" t="s">
        <v>276</v>
      </c>
      <c r="C1913" s="347">
        <v>670</v>
      </c>
      <c r="D1913" s="348">
        <v>46023</v>
      </c>
      <c r="E1913" s="348">
        <v>46357</v>
      </c>
      <c r="F1913" s="346" t="s">
        <v>639</v>
      </c>
      <c r="G1913" s="350" t="s">
        <v>449</v>
      </c>
      <c r="H1913" s="351">
        <f t="shared" si="32"/>
        <v>8040</v>
      </c>
      <c r="I1913" s="120" t="str">
        <f>IF(OR(D1913&lt;Capa!$A$5,D1913&gt;Capa!$A$7,E1913&lt;Capa!$A$5,E1913&gt;Capa!$A$7,D1913&gt;E1913),"Erro","")</f>
        <v/>
      </c>
    </row>
    <row r="1914" spans="1:9" ht="56.25">
      <c r="A1914" s="345">
        <v>1911</v>
      </c>
      <c r="B1914" s="346" t="s">
        <v>276</v>
      </c>
      <c r="C1914" s="347">
        <v>670</v>
      </c>
      <c r="D1914" s="348">
        <v>46388</v>
      </c>
      <c r="E1914" s="348">
        <v>46722</v>
      </c>
      <c r="F1914" s="346" t="s">
        <v>639</v>
      </c>
      <c r="G1914" s="350" t="s">
        <v>449</v>
      </c>
      <c r="H1914" s="351">
        <f t="shared" si="32"/>
        <v>8040</v>
      </c>
      <c r="I1914" s="120" t="str">
        <f>IF(OR(D1914&lt;Capa!$A$5,D1914&gt;Capa!$A$7,E1914&lt;Capa!$A$5,E1914&gt;Capa!$A$7,D1914&gt;E1914),"Erro","")</f>
        <v/>
      </c>
    </row>
    <row r="1915" spans="1:9" ht="56.25">
      <c r="A1915" s="345">
        <v>1912</v>
      </c>
      <c r="B1915" s="346" t="s">
        <v>276</v>
      </c>
      <c r="C1915" s="347">
        <v>670</v>
      </c>
      <c r="D1915" s="348">
        <v>46753</v>
      </c>
      <c r="E1915" s="348">
        <v>47058</v>
      </c>
      <c r="F1915" s="346" t="s">
        <v>639</v>
      </c>
      <c r="G1915" s="350" t="s">
        <v>449</v>
      </c>
      <c r="H1915" s="351">
        <f t="shared" si="32"/>
        <v>7370</v>
      </c>
      <c r="I1915" s="120" t="str">
        <f>IF(OR(D1915&lt;Capa!$A$5,D1915&gt;Capa!$A$7,E1915&lt;Capa!$A$5,E1915&gt;Capa!$A$7,D1915&gt;E1915),"Erro","")</f>
        <v/>
      </c>
    </row>
    <row r="1916" spans="1:9" ht="45">
      <c r="A1916" s="345">
        <v>1913</v>
      </c>
      <c r="B1916" s="346" t="s">
        <v>278</v>
      </c>
      <c r="C1916" s="347">
        <v>18000</v>
      </c>
      <c r="D1916" s="348">
        <v>45261</v>
      </c>
      <c r="E1916" s="348">
        <v>45261</v>
      </c>
      <c r="F1916" s="346" t="s">
        <v>639</v>
      </c>
      <c r="G1916" s="350" t="s">
        <v>450</v>
      </c>
      <c r="H1916" s="351">
        <f t="shared" si="32"/>
        <v>18000</v>
      </c>
      <c r="I1916" s="120" t="str">
        <f>IF(OR(D1916&lt;Capa!$A$5,D1916&gt;Capa!$A$7,E1916&lt;Capa!$A$5,E1916&gt;Capa!$A$7,D1916&gt;E1916),"Erro","")</f>
        <v/>
      </c>
    </row>
    <row r="1917" spans="1:9" ht="45">
      <c r="A1917" s="345">
        <v>1914</v>
      </c>
      <c r="B1917" s="346" t="s">
        <v>278</v>
      </c>
      <c r="C1917" s="347">
        <v>41370</v>
      </c>
      <c r="D1917" s="348">
        <v>45292</v>
      </c>
      <c r="E1917" s="348">
        <v>45627</v>
      </c>
      <c r="F1917" s="346" t="s">
        <v>639</v>
      </c>
      <c r="G1917" s="350" t="s">
        <v>450</v>
      </c>
      <c r="H1917" s="351">
        <f t="shared" si="32"/>
        <v>496440</v>
      </c>
      <c r="I1917" s="120" t="str">
        <f>IF(OR(D1917&lt;Capa!$A$5,D1917&gt;Capa!$A$7,E1917&lt;Capa!$A$5,E1917&gt;Capa!$A$7,D1917&gt;E1917),"Erro","")</f>
        <v/>
      </c>
    </row>
    <row r="1918" spans="1:9" ht="45">
      <c r="A1918" s="345">
        <v>1915</v>
      </c>
      <c r="B1918" s="346" t="s">
        <v>278</v>
      </c>
      <c r="C1918" s="347">
        <v>43786</v>
      </c>
      <c r="D1918" s="348">
        <v>45658</v>
      </c>
      <c r="E1918" s="348">
        <v>45992</v>
      </c>
      <c r="F1918" s="346" t="s">
        <v>639</v>
      </c>
      <c r="G1918" s="350" t="s">
        <v>450</v>
      </c>
      <c r="H1918" s="351">
        <f t="shared" si="32"/>
        <v>525432</v>
      </c>
      <c r="I1918" s="120" t="str">
        <f>IF(OR(D1918&lt;Capa!$A$5,D1918&gt;Capa!$A$7,E1918&lt;Capa!$A$5,E1918&gt;Capa!$A$7,D1918&gt;E1918),"Erro","")</f>
        <v/>
      </c>
    </row>
    <row r="1919" spans="1:9" ht="45">
      <c r="A1919" s="345">
        <v>1916</v>
      </c>
      <c r="B1919" s="346" t="s">
        <v>278</v>
      </c>
      <c r="C1919" s="347">
        <v>45562</v>
      </c>
      <c r="D1919" s="348">
        <v>46023</v>
      </c>
      <c r="E1919" s="348">
        <v>46357</v>
      </c>
      <c r="F1919" s="346" t="s">
        <v>639</v>
      </c>
      <c r="G1919" s="350" t="s">
        <v>450</v>
      </c>
      <c r="H1919" s="351">
        <f t="shared" si="32"/>
        <v>546744</v>
      </c>
      <c r="I1919" s="120" t="str">
        <f>IF(OR(D1919&lt;Capa!$A$5,D1919&gt;Capa!$A$7,E1919&lt;Capa!$A$5,E1919&gt;Capa!$A$7,D1919&gt;E1919),"Erro","")</f>
        <v/>
      </c>
    </row>
    <row r="1920" spans="1:9" ht="45">
      <c r="A1920" s="345">
        <v>1917</v>
      </c>
      <c r="B1920" s="346" t="s">
        <v>278</v>
      </c>
      <c r="C1920" s="347">
        <v>48222.82</v>
      </c>
      <c r="D1920" s="348">
        <v>46388</v>
      </c>
      <c r="E1920" s="348">
        <v>46722</v>
      </c>
      <c r="F1920" s="346" t="s">
        <v>639</v>
      </c>
      <c r="G1920" s="350" t="s">
        <v>450</v>
      </c>
      <c r="H1920" s="351">
        <f t="shared" si="32"/>
        <v>578673.84</v>
      </c>
      <c r="I1920" s="120" t="str">
        <f>IF(OR(D1920&lt;Capa!$A$5,D1920&gt;Capa!$A$7,E1920&lt;Capa!$A$5,E1920&gt;Capa!$A$7,D1920&gt;E1920),"Erro","")</f>
        <v/>
      </c>
    </row>
    <row r="1921" spans="1:9" ht="45">
      <c r="A1921" s="345">
        <v>1918</v>
      </c>
      <c r="B1921" s="346" t="s">
        <v>278</v>
      </c>
      <c r="C1921" s="347">
        <v>51039.03</v>
      </c>
      <c r="D1921" s="348">
        <v>46753</v>
      </c>
      <c r="E1921" s="348">
        <v>47058</v>
      </c>
      <c r="F1921" s="346" t="s">
        <v>639</v>
      </c>
      <c r="G1921" s="350" t="s">
        <v>450</v>
      </c>
      <c r="H1921" s="351">
        <f t="shared" si="32"/>
        <v>561429.32999999996</v>
      </c>
      <c r="I1921" s="120" t="str">
        <f>IF(OR(D1921&lt;Capa!$A$5,D1921&gt;Capa!$A$7,E1921&lt;Capa!$A$5,E1921&gt;Capa!$A$7,D1921&gt;E1921),"Erro","")</f>
        <v/>
      </c>
    </row>
    <row r="1922" spans="1:9" ht="56.25">
      <c r="A1922" s="345">
        <v>1919</v>
      </c>
      <c r="B1922" s="346" t="s">
        <v>280</v>
      </c>
      <c r="C1922" s="347">
        <v>100</v>
      </c>
      <c r="D1922" s="348">
        <v>45292</v>
      </c>
      <c r="E1922" s="348">
        <v>45627</v>
      </c>
      <c r="F1922" s="346" t="s">
        <v>639</v>
      </c>
      <c r="G1922" s="350" t="s">
        <v>451</v>
      </c>
      <c r="H1922" s="351">
        <f t="shared" si="32"/>
        <v>1200</v>
      </c>
      <c r="I1922" s="120" t="str">
        <f>IF(OR(D1922&lt;Capa!$A$5,D1922&gt;Capa!$A$7,E1922&lt;Capa!$A$5,E1922&gt;Capa!$A$7,D1922&gt;E1922),"Erro","")</f>
        <v/>
      </c>
    </row>
    <row r="1923" spans="1:9" ht="56.25">
      <c r="A1923" s="345">
        <v>1920</v>
      </c>
      <c r="B1923" s="346" t="s">
        <v>280</v>
      </c>
      <c r="C1923" s="347">
        <v>100</v>
      </c>
      <c r="D1923" s="348">
        <v>45658</v>
      </c>
      <c r="E1923" s="348">
        <v>45992</v>
      </c>
      <c r="F1923" s="346" t="s">
        <v>639</v>
      </c>
      <c r="G1923" s="350" t="s">
        <v>451</v>
      </c>
      <c r="H1923" s="351">
        <f t="shared" si="32"/>
        <v>1200</v>
      </c>
      <c r="I1923" s="120" t="str">
        <f>IF(OR(D1923&lt;Capa!$A$5,D1923&gt;Capa!$A$7,E1923&lt;Capa!$A$5,E1923&gt;Capa!$A$7,D1923&gt;E1923),"Erro","")</f>
        <v/>
      </c>
    </row>
    <row r="1924" spans="1:9" ht="56.25">
      <c r="A1924" s="345">
        <v>1921</v>
      </c>
      <c r="B1924" s="346" t="s">
        <v>280</v>
      </c>
      <c r="C1924" s="347">
        <v>100</v>
      </c>
      <c r="D1924" s="348">
        <v>46023</v>
      </c>
      <c r="E1924" s="348">
        <v>46357</v>
      </c>
      <c r="F1924" s="346" t="s">
        <v>639</v>
      </c>
      <c r="G1924" s="350" t="s">
        <v>451</v>
      </c>
      <c r="H1924" s="351">
        <f t="shared" si="32"/>
        <v>1200</v>
      </c>
      <c r="I1924" s="120" t="str">
        <f>IF(OR(D1924&lt;Capa!$A$5,D1924&gt;Capa!$A$7,E1924&lt;Capa!$A$5,E1924&gt;Capa!$A$7,D1924&gt;E1924),"Erro","")</f>
        <v/>
      </c>
    </row>
    <row r="1925" spans="1:9" ht="56.25">
      <c r="A1925" s="345">
        <v>1922</v>
      </c>
      <c r="B1925" s="346" t="s">
        <v>280</v>
      </c>
      <c r="C1925" s="347">
        <v>100</v>
      </c>
      <c r="D1925" s="348">
        <v>46388</v>
      </c>
      <c r="E1925" s="348">
        <v>46722</v>
      </c>
      <c r="F1925" s="346" t="s">
        <v>639</v>
      </c>
      <c r="G1925" s="350" t="s">
        <v>451</v>
      </c>
      <c r="H1925" s="351">
        <f t="shared" si="32"/>
        <v>1200</v>
      </c>
      <c r="I1925" s="120" t="str">
        <f>IF(OR(D1925&lt;Capa!$A$5,D1925&gt;Capa!$A$7,E1925&lt;Capa!$A$5,E1925&gt;Capa!$A$7,D1925&gt;E1925),"Erro","")</f>
        <v/>
      </c>
    </row>
    <row r="1926" spans="1:9" ht="56.25">
      <c r="A1926" s="345">
        <v>1923</v>
      </c>
      <c r="B1926" s="346" t="s">
        <v>280</v>
      </c>
      <c r="C1926" s="347">
        <v>100</v>
      </c>
      <c r="D1926" s="348">
        <v>46753</v>
      </c>
      <c r="E1926" s="348">
        <v>47058</v>
      </c>
      <c r="F1926" s="346" t="s">
        <v>639</v>
      </c>
      <c r="G1926" s="350" t="s">
        <v>451</v>
      </c>
      <c r="H1926" s="351">
        <f t="shared" si="32"/>
        <v>1100</v>
      </c>
      <c r="I1926" s="120" t="str">
        <f>IF(OR(D1926&lt;Capa!$A$5,D1926&gt;Capa!$A$7,E1926&lt;Capa!$A$5,E1926&gt;Capa!$A$7,D1926&gt;E1926),"Erro","")</f>
        <v/>
      </c>
    </row>
    <row r="1927" spans="1:9" ht="45">
      <c r="A1927" s="345">
        <v>1924</v>
      </c>
      <c r="B1927" s="346" t="s">
        <v>282</v>
      </c>
      <c r="C1927" s="347">
        <v>702.18</v>
      </c>
      <c r="D1927" s="348">
        <v>45261</v>
      </c>
      <c r="E1927" s="348">
        <v>45627</v>
      </c>
      <c r="F1927" s="346" t="s">
        <v>639</v>
      </c>
      <c r="G1927" s="350" t="s">
        <v>452</v>
      </c>
      <c r="H1927" s="351">
        <f t="shared" si="32"/>
        <v>9128.34</v>
      </c>
      <c r="I1927" s="120" t="str">
        <f>IF(OR(D1927&lt;Capa!$A$5,D1927&gt;Capa!$A$7,E1927&lt;Capa!$A$5,E1927&gt;Capa!$A$7,D1927&gt;E1927),"Erro","")</f>
        <v/>
      </c>
    </row>
    <row r="1928" spans="1:9" ht="45">
      <c r="A1928" s="345">
        <v>1925</v>
      </c>
      <c r="B1928" s="346" t="s">
        <v>282</v>
      </c>
      <c r="C1928" s="347">
        <v>743.18</v>
      </c>
      <c r="D1928" s="348">
        <v>45658</v>
      </c>
      <c r="E1928" s="348">
        <v>45992</v>
      </c>
      <c r="F1928" s="346" t="s">
        <v>639</v>
      </c>
      <c r="G1928" s="350" t="s">
        <v>452</v>
      </c>
      <c r="H1928" s="351">
        <f t="shared" si="32"/>
        <v>8918.16</v>
      </c>
      <c r="I1928" s="120" t="str">
        <f>IF(OR(D1928&lt;Capa!$A$5,D1928&gt;Capa!$A$7,E1928&lt;Capa!$A$5,E1928&gt;Capa!$A$7,D1928&gt;E1928),"Erro","")</f>
        <v/>
      </c>
    </row>
    <row r="1929" spans="1:9" ht="45">
      <c r="A1929" s="345">
        <v>1926</v>
      </c>
      <c r="B1929" s="346" t="s">
        <v>282</v>
      </c>
      <c r="C1929" s="347">
        <v>786.59</v>
      </c>
      <c r="D1929" s="348">
        <v>46023</v>
      </c>
      <c r="E1929" s="348">
        <v>46357</v>
      </c>
      <c r="F1929" s="346" t="s">
        <v>639</v>
      </c>
      <c r="G1929" s="350" t="s">
        <v>452</v>
      </c>
      <c r="H1929" s="351">
        <f t="shared" si="32"/>
        <v>9439.08</v>
      </c>
      <c r="I1929" s="120" t="str">
        <f>IF(OR(D1929&lt;Capa!$A$5,D1929&gt;Capa!$A$7,E1929&lt;Capa!$A$5,E1929&gt;Capa!$A$7,D1929&gt;E1929),"Erro","")</f>
        <v/>
      </c>
    </row>
    <row r="1930" spans="1:9" ht="45">
      <c r="A1930" s="345">
        <v>1927</v>
      </c>
      <c r="B1930" s="346" t="s">
        <v>282</v>
      </c>
      <c r="C1930" s="347">
        <v>832.52</v>
      </c>
      <c r="D1930" s="348">
        <v>46388</v>
      </c>
      <c r="E1930" s="348">
        <v>46722</v>
      </c>
      <c r="F1930" s="346" t="s">
        <v>639</v>
      </c>
      <c r="G1930" s="350" t="s">
        <v>452</v>
      </c>
      <c r="H1930" s="351">
        <f t="shared" si="32"/>
        <v>9990.24</v>
      </c>
      <c r="I1930" s="120" t="str">
        <f>IF(OR(D1930&lt;Capa!$A$5,D1930&gt;Capa!$A$7,E1930&lt;Capa!$A$5,E1930&gt;Capa!$A$7,D1930&gt;E1930),"Erro","")</f>
        <v/>
      </c>
    </row>
    <row r="1931" spans="1:9" ht="45">
      <c r="A1931" s="345">
        <v>1928</v>
      </c>
      <c r="B1931" s="346" t="s">
        <v>282</v>
      </c>
      <c r="C1931" s="347">
        <v>881.14</v>
      </c>
      <c r="D1931" s="348">
        <v>46753</v>
      </c>
      <c r="E1931" s="348">
        <v>47058</v>
      </c>
      <c r="F1931" s="346" t="s">
        <v>639</v>
      </c>
      <c r="G1931" s="350" t="s">
        <v>452</v>
      </c>
      <c r="H1931" s="351">
        <f t="shared" si="32"/>
        <v>9692.5399999999991</v>
      </c>
      <c r="I1931" s="120" t="str">
        <f>IF(OR(D1931&lt;Capa!$A$5,D1931&gt;Capa!$A$7,E1931&lt;Capa!$A$5,E1931&gt;Capa!$A$7,D1931&gt;E1931),"Erro","")</f>
        <v/>
      </c>
    </row>
    <row r="1932" spans="1:9" ht="45">
      <c r="A1932" s="345">
        <v>1929</v>
      </c>
      <c r="B1932" s="346" t="s">
        <v>284</v>
      </c>
      <c r="C1932" s="347">
        <v>1013.31</v>
      </c>
      <c r="D1932" s="348">
        <v>45261</v>
      </c>
      <c r="E1932" s="348">
        <v>45627</v>
      </c>
      <c r="F1932" s="346" t="s">
        <v>639</v>
      </c>
      <c r="G1932" s="350" t="s">
        <v>452</v>
      </c>
      <c r="H1932" s="351">
        <f t="shared" si="32"/>
        <v>13173.029999999999</v>
      </c>
      <c r="I1932" s="120" t="str">
        <f>IF(OR(D1932&lt;Capa!$A$5,D1932&gt;Capa!$A$7,E1932&lt;Capa!$A$5,E1932&gt;Capa!$A$7,D1932&gt;E1932),"Erro","")</f>
        <v/>
      </c>
    </row>
    <row r="1933" spans="1:9" ht="45">
      <c r="A1933" s="345">
        <v>1930</v>
      </c>
      <c r="B1933" s="346" t="s">
        <v>284</v>
      </c>
      <c r="C1933" s="347">
        <v>1072.49</v>
      </c>
      <c r="D1933" s="348">
        <v>45658</v>
      </c>
      <c r="E1933" s="348">
        <v>45992</v>
      </c>
      <c r="F1933" s="346" t="s">
        <v>639</v>
      </c>
      <c r="G1933" s="350" t="s">
        <v>452</v>
      </c>
      <c r="H1933" s="351">
        <f t="shared" si="32"/>
        <v>12869.880000000001</v>
      </c>
      <c r="I1933" s="120" t="str">
        <f>IF(OR(D1933&lt;Capa!$A$5,D1933&gt;Capa!$A$7,E1933&lt;Capa!$A$5,E1933&gt;Capa!$A$7,D1933&gt;E1933),"Erro","")</f>
        <v/>
      </c>
    </row>
    <row r="1934" spans="1:9" ht="45">
      <c r="A1934" s="345">
        <v>1931</v>
      </c>
      <c r="B1934" s="346" t="s">
        <v>284</v>
      </c>
      <c r="C1934" s="347">
        <v>1135.1199999999999</v>
      </c>
      <c r="D1934" s="348">
        <v>46023</v>
      </c>
      <c r="E1934" s="348">
        <v>46357</v>
      </c>
      <c r="F1934" s="346" t="s">
        <v>639</v>
      </c>
      <c r="G1934" s="350" t="s">
        <v>452</v>
      </c>
      <c r="H1934" s="351">
        <f t="shared" si="32"/>
        <v>13621.439999999999</v>
      </c>
      <c r="I1934" s="120" t="str">
        <f>IF(OR(D1934&lt;Capa!$A$5,D1934&gt;Capa!$A$7,E1934&lt;Capa!$A$5,E1934&gt;Capa!$A$7,D1934&gt;E1934),"Erro","")</f>
        <v/>
      </c>
    </row>
    <row r="1935" spans="1:9" ht="45">
      <c r="A1935" s="345">
        <v>1932</v>
      </c>
      <c r="B1935" s="346" t="s">
        <v>284</v>
      </c>
      <c r="C1935" s="347">
        <v>1201.42</v>
      </c>
      <c r="D1935" s="348">
        <v>46388</v>
      </c>
      <c r="E1935" s="348">
        <v>46722</v>
      </c>
      <c r="F1935" s="346" t="s">
        <v>639</v>
      </c>
      <c r="G1935" s="350" t="s">
        <v>452</v>
      </c>
      <c r="H1935" s="351">
        <f t="shared" si="32"/>
        <v>14417.04</v>
      </c>
      <c r="I1935" s="120" t="str">
        <f>IF(OR(D1935&lt;Capa!$A$5,D1935&gt;Capa!$A$7,E1935&lt;Capa!$A$5,E1935&gt;Capa!$A$7,D1935&gt;E1935),"Erro","")</f>
        <v/>
      </c>
    </row>
    <row r="1936" spans="1:9" ht="45">
      <c r="A1936" s="345">
        <v>1933</v>
      </c>
      <c r="B1936" s="346" t="s">
        <v>284</v>
      </c>
      <c r="C1936" s="347">
        <v>1271.58</v>
      </c>
      <c r="D1936" s="348">
        <v>46753</v>
      </c>
      <c r="E1936" s="348">
        <v>47058</v>
      </c>
      <c r="F1936" s="346" t="s">
        <v>639</v>
      </c>
      <c r="G1936" s="350" t="s">
        <v>452</v>
      </c>
      <c r="H1936" s="351">
        <f t="shared" si="32"/>
        <v>13987.38</v>
      </c>
      <c r="I1936" s="120" t="str">
        <f>IF(OR(D1936&lt;Capa!$A$5,D1936&gt;Capa!$A$7,E1936&lt;Capa!$A$5,E1936&gt;Capa!$A$7,D1936&gt;E1936),"Erro","")</f>
        <v/>
      </c>
    </row>
    <row r="1937" spans="1:9" ht="45">
      <c r="A1937" s="345">
        <v>1934</v>
      </c>
      <c r="B1937" s="346" t="s">
        <v>286</v>
      </c>
      <c r="C1937" s="347">
        <v>1013.31</v>
      </c>
      <c r="D1937" s="348">
        <v>45261</v>
      </c>
      <c r="E1937" s="348">
        <v>45627</v>
      </c>
      <c r="F1937" s="346" t="s">
        <v>639</v>
      </c>
      <c r="G1937" s="350" t="s">
        <v>452</v>
      </c>
      <c r="H1937" s="351">
        <f t="shared" si="32"/>
        <v>13173.029999999999</v>
      </c>
      <c r="I1937" s="120" t="str">
        <f>IF(OR(D1937&lt;Capa!$A$5,D1937&gt;Capa!$A$7,E1937&lt;Capa!$A$5,E1937&gt;Capa!$A$7,D1937&gt;E1937),"Erro","")</f>
        <v/>
      </c>
    </row>
    <row r="1938" spans="1:9" ht="45">
      <c r="A1938" s="345">
        <v>1935</v>
      </c>
      <c r="B1938" s="346" t="s">
        <v>286</v>
      </c>
      <c r="C1938" s="347">
        <v>1072.49</v>
      </c>
      <c r="D1938" s="348">
        <v>45658</v>
      </c>
      <c r="E1938" s="348">
        <v>45992</v>
      </c>
      <c r="F1938" s="346" t="s">
        <v>639</v>
      </c>
      <c r="G1938" s="350" t="s">
        <v>452</v>
      </c>
      <c r="H1938" s="351">
        <f t="shared" si="32"/>
        <v>12869.880000000001</v>
      </c>
      <c r="I1938" s="120" t="str">
        <f>IF(OR(D1938&lt;Capa!$A$5,D1938&gt;Capa!$A$7,E1938&lt;Capa!$A$5,E1938&gt;Capa!$A$7,D1938&gt;E1938),"Erro","")</f>
        <v/>
      </c>
    </row>
    <row r="1939" spans="1:9" ht="45">
      <c r="A1939" s="345">
        <v>1936</v>
      </c>
      <c r="B1939" s="346" t="s">
        <v>286</v>
      </c>
      <c r="C1939" s="347">
        <v>1201.4100000000001</v>
      </c>
      <c r="D1939" s="348">
        <v>46023</v>
      </c>
      <c r="E1939" s="348">
        <v>46357</v>
      </c>
      <c r="F1939" s="346" t="s">
        <v>639</v>
      </c>
      <c r="G1939" s="350" t="s">
        <v>452</v>
      </c>
      <c r="H1939" s="351">
        <f t="shared" si="32"/>
        <v>14416.920000000002</v>
      </c>
      <c r="I1939" s="120" t="str">
        <f>IF(OR(D1939&lt;Capa!$A$5,D1939&gt;Capa!$A$7,E1939&lt;Capa!$A$5,E1939&gt;Capa!$A$7,D1939&gt;E1939),"Erro","")</f>
        <v/>
      </c>
    </row>
    <row r="1940" spans="1:9" ht="45">
      <c r="A1940" s="345">
        <v>1937</v>
      </c>
      <c r="B1940" s="346" t="s">
        <v>286</v>
      </c>
      <c r="C1940" s="347">
        <v>1271.57</v>
      </c>
      <c r="D1940" s="348">
        <v>46388</v>
      </c>
      <c r="E1940" s="348">
        <v>46722</v>
      </c>
      <c r="F1940" s="346" t="s">
        <v>639</v>
      </c>
      <c r="G1940" s="350" t="s">
        <v>452</v>
      </c>
      <c r="H1940" s="351">
        <f t="shared" si="32"/>
        <v>15258.84</v>
      </c>
      <c r="I1940" s="120" t="str">
        <f>IF(OR(D1940&lt;Capa!$A$5,D1940&gt;Capa!$A$7,E1940&lt;Capa!$A$5,E1940&gt;Capa!$A$7,D1940&gt;E1940),"Erro","")</f>
        <v/>
      </c>
    </row>
    <row r="1941" spans="1:9" ht="45">
      <c r="A1941" s="345">
        <v>1938</v>
      </c>
      <c r="B1941" s="346" t="s">
        <v>286</v>
      </c>
      <c r="C1941" s="347">
        <v>1345.83</v>
      </c>
      <c r="D1941" s="348">
        <v>46753</v>
      </c>
      <c r="E1941" s="348">
        <v>47058</v>
      </c>
      <c r="F1941" s="346" t="s">
        <v>639</v>
      </c>
      <c r="G1941" s="350" t="s">
        <v>452</v>
      </c>
      <c r="H1941" s="351">
        <f t="shared" si="32"/>
        <v>14804.13</v>
      </c>
      <c r="I1941" s="120" t="str">
        <f>IF(OR(D1941&lt;Capa!$A$5,D1941&gt;Capa!$A$7,E1941&lt;Capa!$A$5,E1941&gt;Capa!$A$7,D1941&gt;E1941),"Erro","")</f>
        <v/>
      </c>
    </row>
    <row r="1942" spans="1:9" ht="45">
      <c r="A1942" s="345">
        <v>1939</v>
      </c>
      <c r="B1942" s="346" t="s">
        <v>288</v>
      </c>
      <c r="C1942" s="347">
        <v>200</v>
      </c>
      <c r="D1942" s="348">
        <v>45261</v>
      </c>
      <c r="E1942" s="348">
        <v>45627</v>
      </c>
      <c r="F1942" s="346" t="s">
        <v>639</v>
      </c>
      <c r="G1942" s="350" t="s">
        <v>453</v>
      </c>
      <c r="H1942" s="351">
        <f t="shared" si="32"/>
        <v>2600</v>
      </c>
      <c r="I1942" s="120" t="str">
        <f>IF(OR(D1942&lt;Capa!$A$5,D1942&gt;Capa!$A$7,E1942&lt;Capa!$A$5,E1942&gt;Capa!$A$7,D1942&gt;E1942),"Erro","")</f>
        <v/>
      </c>
    </row>
    <row r="1943" spans="1:9" ht="45">
      <c r="A1943" s="345">
        <v>1940</v>
      </c>
      <c r="B1943" s="346" t="s">
        <v>288</v>
      </c>
      <c r="C1943" s="347">
        <v>200</v>
      </c>
      <c r="D1943" s="348">
        <v>45658</v>
      </c>
      <c r="E1943" s="348">
        <v>45992</v>
      </c>
      <c r="F1943" s="346" t="s">
        <v>639</v>
      </c>
      <c r="G1943" s="350" t="s">
        <v>453</v>
      </c>
      <c r="H1943" s="351">
        <f t="shared" si="32"/>
        <v>2400</v>
      </c>
      <c r="I1943" s="120" t="str">
        <f>IF(OR(D1943&lt;Capa!$A$5,D1943&gt;Capa!$A$7,E1943&lt;Capa!$A$5,E1943&gt;Capa!$A$7,D1943&gt;E1943),"Erro","")</f>
        <v/>
      </c>
    </row>
    <row r="1944" spans="1:9" ht="45">
      <c r="A1944" s="345">
        <v>1941</v>
      </c>
      <c r="B1944" s="346" t="s">
        <v>288</v>
      </c>
      <c r="C1944" s="347">
        <v>200</v>
      </c>
      <c r="D1944" s="348">
        <v>46023</v>
      </c>
      <c r="E1944" s="348">
        <v>46357</v>
      </c>
      <c r="F1944" s="346" t="s">
        <v>639</v>
      </c>
      <c r="G1944" s="350" t="s">
        <v>453</v>
      </c>
      <c r="H1944" s="351">
        <f t="shared" si="32"/>
        <v>2400</v>
      </c>
      <c r="I1944" s="120" t="str">
        <f>IF(OR(D1944&lt;Capa!$A$5,D1944&gt;Capa!$A$7,E1944&lt;Capa!$A$5,E1944&gt;Capa!$A$7,D1944&gt;E1944),"Erro","")</f>
        <v/>
      </c>
    </row>
    <row r="1945" spans="1:9" ht="45">
      <c r="A1945" s="345">
        <v>1942</v>
      </c>
      <c r="B1945" s="346" t="s">
        <v>288</v>
      </c>
      <c r="C1945" s="347">
        <v>200</v>
      </c>
      <c r="D1945" s="348">
        <v>46388</v>
      </c>
      <c r="E1945" s="348">
        <v>46722</v>
      </c>
      <c r="F1945" s="346" t="s">
        <v>639</v>
      </c>
      <c r="G1945" s="350" t="s">
        <v>453</v>
      </c>
      <c r="H1945" s="351">
        <f t="shared" si="32"/>
        <v>2400</v>
      </c>
      <c r="I1945" s="120" t="str">
        <f>IF(OR(D1945&lt;Capa!$A$5,D1945&gt;Capa!$A$7,E1945&lt;Capa!$A$5,E1945&gt;Capa!$A$7,D1945&gt;E1945),"Erro","")</f>
        <v/>
      </c>
    </row>
    <row r="1946" spans="1:9" ht="45">
      <c r="A1946" s="345">
        <v>1943</v>
      </c>
      <c r="B1946" s="346" t="s">
        <v>288</v>
      </c>
      <c r="C1946" s="347">
        <v>200</v>
      </c>
      <c r="D1946" s="348">
        <v>46753</v>
      </c>
      <c r="E1946" s="348">
        <v>47058</v>
      </c>
      <c r="F1946" s="346" t="s">
        <v>639</v>
      </c>
      <c r="G1946" s="350" t="s">
        <v>453</v>
      </c>
      <c r="H1946" s="351">
        <f t="shared" si="32"/>
        <v>2200</v>
      </c>
      <c r="I1946" s="120" t="str">
        <f>IF(OR(D1946&lt;Capa!$A$5,D1946&gt;Capa!$A$7,E1946&lt;Capa!$A$5,E1946&gt;Capa!$A$7,D1946&gt;E1946),"Erro","")</f>
        <v/>
      </c>
    </row>
    <row r="1947" spans="1:9" ht="33.75">
      <c r="A1947" s="345">
        <v>1944</v>
      </c>
      <c r="B1947" s="346" t="s">
        <v>294</v>
      </c>
      <c r="C1947" s="347">
        <v>7000</v>
      </c>
      <c r="D1947" s="348">
        <v>45261</v>
      </c>
      <c r="E1947" s="348">
        <v>45627</v>
      </c>
      <c r="F1947" s="346" t="s">
        <v>639</v>
      </c>
      <c r="G1947" s="350" t="s">
        <v>454</v>
      </c>
      <c r="H1947" s="351">
        <f t="shared" si="32"/>
        <v>91000</v>
      </c>
      <c r="I1947" s="120" t="str">
        <f>IF(OR(D1947&lt;Capa!$A$5,D1947&gt;Capa!$A$7,E1947&lt;Capa!$A$5,E1947&gt;Capa!$A$7,D1947&gt;E1947),"Erro","")</f>
        <v/>
      </c>
    </row>
    <row r="1948" spans="1:9" ht="33.75">
      <c r="A1948" s="345">
        <v>1945</v>
      </c>
      <c r="B1948" s="346" t="s">
        <v>294</v>
      </c>
      <c r="C1948" s="347">
        <v>7408.8</v>
      </c>
      <c r="D1948" s="348">
        <v>45658</v>
      </c>
      <c r="E1948" s="348">
        <v>45992</v>
      </c>
      <c r="F1948" s="346" t="s">
        <v>639</v>
      </c>
      <c r="G1948" s="350" t="s">
        <v>454</v>
      </c>
      <c r="H1948" s="351">
        <f t="shared" si="32"/>
        <v>88905.600000000006</v>
      </c>
      <c r="I1948" s="120" t="str">
        <f>IF(OR(D1948&lt;Capa!$A$5,D1948&gt;Capa!$A$7,E1948&lt;Capa!$A$5,E1948&gt;Capa!$A$7,D1948&gt;E1948),"Erro","")</f>
        <v/>
      </c>
    </row>
    <row r="1949" spans="1:9" ht="33.75">
      <c r="A1949" s="345">
        <v>1946</v>
      </c>
      <c r="B1949" s="346" t="s">
        <v>294</v>
      </c>
      <c r="C1949" s="347">
        <v>7847.65</v>
      </c>
      <c r="D1949" s="348">
        <v>46023</v>
      </c>
      <c r="E1949" s="348">
        <v>46357</v>
      </c>
      <c r="F1949" s="346" t="s">
        <v>639</v>
      </c>
      <c r="G1949" s="350" t="s">
        <v>454</v>
      </c>
      <c r="H1949" s="351">
        <f t="shared" si="32"/>
        <v>94171.799999999988</v>
      </c>
      <c r="I1949" s="120" t="str">
        <f>IF(OR(D1949&lt;Capa!$A$5,D1949&gt;Capa!$A$7,E1949&lt;Capa!$A$5,E1949&gt;Capa!$A$7,D1949&gt;E1949),"Erro","")</f>
        <v/>
      </c>
    </row>
    <row r="1950" spans="1:9" ht="33.75">
      <c r="A1950" s="345">
        <v>1947</v>
      </c>
      <c r="B1950" s="346" t="s">
        <v>294</v>
      </c>
      <c r="C1950" s="347">
        <v>8305.9500000000007</v>
      </c>
      <c r="D1950" s="348">
        <v>46388</v>
      </c>
      <c r="E1950" s="348">
        <v>46722</v>
      </c>
      <c r="F1950" s="346" t="s">
        <v>639</v>
      </c>
      <c r="G1950" s="350" t="s">
        <v>454</v>
      </c>
      <c r="H1950" s="351">
        <f t="shared" si="32"/>
        <v>99671.400000000009</v>
      </c>
      <c r="I1950" s="120" t="str">
        <f>IF(OR(D1950&lt;Capa!$A$5,D1950&gt;Capa!$A$7,E1950&lt;Capa!$A$5,E1950&gt;Capa!$A$7,D1950&gt;E1950),"Erro","")</f>
        <v/>
      </c>
    </row>
    <row r="1951" spans="1:9" ht="33.75">
      <c r="A1951" s="345">
        <v>1948</v>
      </c>
      <c r="B1951" s="346" t="s">
        <v>294</v>
      </c>
      <c r="C1951" s="347">
        <v>8791.02</v>
      </c>
      <c r="D1951" s="348">
        <v>46753</v>
      </c>
      <c r="E1951" s="348">
        <v>47058</v>
      </c>
      <c r="F1951" s="346" t="s">
        <v>639</v>
      </c>
      <c r="G1951" s="350" t="s">
        <v>454</v>
      </c>
      <c r="H1951" s="351">
        <f t="shared" si="32"/>
        <v>96701.22</v>
      </c>
      <c r="I1951" s="120" t="str">
        <f>IF(OR(D1951&lt;Capa!$A$5,D1951&gt;Capa!$A$7,E1951&lt;Capa!$A$5,E1951&gt;Capa!$A$7,D1951&gt;E1951),"Erro","")</f>
        <v/>
      </c>
    </row>
    <row r="1952" spans="1:9" ht="33.75">
      <c r="A1952" s="345">
        <v>1949</v>
      </c>
      <c r="B1952" s="346" t="s">
        <v>302</v>
      </c>
      <c r="C1952" s="347">
        <v>300</v>
      </c>
      <c r="D1952" s="348">
        <v>45261</v>
      </c>
      <c r="E1952" s="348">
        <v>45627</v>
      </c>
      <c r="F1952" s="346" t="s">
        <v>639</v>
      </c>
      <c r="G1952" s="350" t="s">
        <v>602</v>
      </c>
      <c r="H1952" s="351">
        <f t="shared" si="32"/>
        <v>3900</v>
      </c>
      <c r="I1952" s="120" t="str">
        <f>IF(OR(D1952&lt;Capa!$A$5,D1952&gt;Capa!$A$7,E1952&lt;Capa!$A$5,E1952&gt;Capa!$A$7,D1952&gt;E1952),"Erro","")</f>
        <v/>
      </c>
    </row>
    <row r="1953" spans="1:9" ht="22.5">
      <c r="A1953" s="345">
        <v>1950</v>
      </c>
      <c r="B1953" s="346" t="s">
        <v>302</v>
      </c>
      <c r="C1953" s="347">
        <v>210</v>
      </c>
      <c r="D1953" s="348">
        <v>45658</v>
      </c>
      <c r="E1953" s="348">
        <v>45992</v>
      </c>
      <c r="F1953" s="346" t="s">
        <v>639</v>
      </c>
      <c r="G1953" s="350" t="s">
        <v>455</v>
      </c>
      <c r="H1953" s="351">
        <f t="shared" si="32"/>
        <v>2520</v>
      </c>
      <c r="I1953" s="120" t="str">
        <f>IF(OR(D1953&lt;Capa!$A$5,D1953&gt;Capa!$A$7,E1953&lt;Capa!$A$5,E1953&gt;Capa!$A$7,D1953&gt;E1953),"Erro","")</f>
        <v/>
      </c>
    </row>
    <row r="1954" spans="1:9" ht="22.5">
      <c r="A1954" s="345">
        <v>1951</v>
      </c>
      <c r="B1954" s="346" t="s">
        <v>302</v>
      </c>
      <c r="C1954" s="347">
        <v>210</v>
      </c>
      <c r="D1954" s="348">
        <v>46023</v>
      </c>
      <c r="E1954" s="348">
        <v>46357</v>
      </c>
      <c r="F1954" s="346" t="s">
        <v>639</v>
      </c>
      <c r="G1954" s="350" t="s">
        <v>455</v>
      </c>
      <c r="H1954" s="351">
        <f t="shared" si="32"/>
        <v>2520</v>
      </c>
      <c r="I1954" s="120" t="str">
        <f>IF(OR(D1954&lt;Capa!$A$5,D1954&gt;Capa!$A$7,E1954&lt;Capa!$A$5,E1954&gt;Capa!$A$7,D1954&gt;E1954),"Erro","")</f>
        <v/>
      </c>
    </row>
    <row r="1955" spans="1:9" ht="22.5">
      <c r="A1955" s="345">
        <v>1952</v>
      </c>
      <c r="B1955" s="346" t="s">
        <v>302</v>
      </c>
      <c r="C1955" s="347">
        <v>210</v>
      </c>
      <c r="D1955" s="348">
        <v>46388</v>
      </c>
      <c r="E1955" s="348">
        <v>46722</v>
      </c>
      <c r="F1955" s="346" t="s">
        <v>639</v>
      </c>
      <c r="G1955" s="350" t="s">
        <v>455</v>
      </c>
      <c r="H1955" s="351">
        <f t="shared" si="32"/>
        <v>2520</v>
      </c>
      <c r="I1955" s="120" t="str">
        <f>IF(OR(D1955&lt;Capa!$A$5,D1955&gt;Capa!$A$7,E1955&lt;Capa!$A$5,E1955&gt;Capa!$A$7,D1955&gt;E1955),"Erro","")</f>
        <v/>
      </c>
    </row>
    <row r="1956" spans="1:9" ht="22.5">
      <c r="A1956" s="345">
        <v>1953</v>
      </c>
      <c r="B1956" s="346" t="s">
        <v>302</v>
      </c>
      <c r="C1956" s="347">
        <v>210</v>
      </c>
      <c r="D1956" s="348">
        <v>46753</v>
      </c>
      <c r="E1956" s="348">
        <v>47058</v>
      </c>
      <c r="F1956" s="346" t="s">
        <v>639</v>
      </c>
      <c r="G1956" s="350" t="s">
        <v>455</v>
      </c>
      <c r="H1956" s="351">
        <f t="shared" si="32"/>
        <v>2310</v>
      </c>
      <c r="I1956" s="120" t="str">
        <f>IF(OR(D1956&lt;Capa!$A$5,D1956&gt;Capa!$A$7,E1956&lt;Capa!$A$5,E1956&gt;Capa!$A$7,D1956&gt;E1956),"Erro","")</f>
        <v/>
      </c>
    </row>
    <row r="1957" spans="1:9" ht="33.75">
      <c r="A1957" s="345">
        <v>1954</v>
      </c>
      <c r="B1957" s="346" t="s">
        <v>304</v>
      </c>
      <c r="C1957" s="347">
        <v>1800</v>
      </c>
      <c r="D1957" s="348">
        <v>45261</v>
      </c>
      <c r="E1957" s="348">
        <v>45627</v>
      </c>
      <c r="F1957" s="346" t="s">
        <v>639</v>
      </c>
      <c r="G1957" s="350" t="s">
        <v>456</v>
      </c>
      <c r="H1957" s="351">
        <f t="shared" si="32"/>
        <v>23400</v>
      </c>
      <c r="I1957" s="120" t="str">
        <f>IF(OR(D1957&lt;Capa!$A$5,D1957&gt;Capa!$A$7,E1957&lt;Capa!$A$5,E1957&gt;Capa!$A$7,D1957&gt;E1957),"Erro","")</f>
        <v/>
      </c>
    </row>
    <row r="1958" spans="1:9" ht="33.75">
      <c r="A1958" s="345">
        <v>1955</v>
      </c>
      <c r="B1958" s="346" t="s">
        <v>304</v>
      </c>
      <c r="C1958" s="347">
        <v>1905.12</v>
      </c>
      <c r="D1958" s="348">
        <v>45658</v>
      </c>
      <c r="E1958" s="348">
        <v>45992</v>
      </c>
      <c r="F1958" s="346" t="s">
        <v>639</v>
      </c>
      <c r="G1958" s="350" t="s">
        <v>456</v>
      </c>
      <c r="H1958" s="351">
        <f t="shared" si="32"/>
        <v>22861.439999999999</v>
      </c>
      <c r="I1958" s="120" t="str">
        <f>IF(OR(D1958&lt;Capa!$A$5,D1958&gt;Capa!$A$7,E1958&lt;Capa!$A$5,E1958&gt;Capa!$A$7,D1958&gt;E1958),"Erro","")</f>
        <v/>
      </c>
    </row>
    <row r="1959" spans="1:9" ht="33.75">
      <c r="A1959" s="345">
        <v>1956</v>
      </c>
      <c r="B1959" s="346" t="s">
        <v>304</v>
      </c>
      <c r="C1959" s="347">
        <v>2016.37</v>
      </c>
      <c r="D1959" s="348">
        <v>46023</v>
      </c>
      <c r="E1959" s="348">
        <v>46357</v>
      </c>
      <c r="F1959" s="346" t="s">
        <v>639</v>
      </c>
      <c r="G1959" s="350" t="s">
        <v>456</v>
      </c>
      <c r="H1959" s="351">
        <f t="shared" si="32"/>
        <v>24196.44</v>
      </c>
      <c r="I1959" s="120" t="str">
        <f>IF(OR(D1959&lt;Capa!$A$5,D1959&gt;Capa!$A$7,E1959&lt;Capa!$A$5,E1959&gt;Capa!$A$7,D1959&gt;E1959),"Erro","")</f>
        <v/>
      </c>
    </row>
    <row r="1960" spans="1:9" ht="33.75">
      <c r="A1960" s="345">
        <v>1957</v>
      </c>
      <c r="B1960" s="346" t="s">
        <v>304</v>
      </c>
      <c r="C1960" s="347">
        <v>2134.13</v>
      </c>
      <c r="D1960" s="348">
        <v>46388</v>
      </c>
      <c r="E1960" s="348">
        <v>46722</v>
      </c>
      <c r="F1960" s="346" t="s">
        <v>639</v>
      </c>
      <c r="G1960" s="350" t="s">
        <v>456</v>
      </c>
      <c r="H1960" s="351">
        <f t="shared" si="32"/>
        <v>25609.56</v>
      </c>
      <c r="I1960" s="120" t="str">
        <f>IF(OR(D1960&lt;Capa!$A$5,D1960&gt;Capa!$A$7,E1960&lt;Capa!$A$5,E1960&gt;Capa!$A$7,D1960&gt;E1960),"Erro","")</f>
        <v/>
      </c>
    </row>
    <row r="1961" spans="1:9" ht="33.75">
      <c r="A1961" s="345">
        <v>1958</v>
      </c>
      <c r="B1961" s="346" t="s">
        <v>304</v>
      </c>
      <c r="C1961" s="347">
        <v>2258.7600000000002</v>
      </c>
      <c r="D1961" s="348">
        <v>46753</v>
      </c>
      <c r="E1961" s="348">
        <v>47058</v>
      </c>
      <c r="F1961" s="346" t="s">
        <v>639</v>
      </c>
      <c r="G1961" s="350" t="s">
        <v>456</v>
      </c>
      <c r="H1961" s="351">
        <f t="shared" si="32"/>
        <v>24846.36</v>
      </c>
      <c r="I1961" s="120" t="str">
        <f>IF(OR(D1961&lt;Capa!$A$5,D1961&gt;Capa!$A$7,E1961&lt;Capa!$A$5,E1961&gt;Capa!$A$7,D1961&gt;E1961),"Erro","")</f>
        <v/>
      </c>
    </row>
    <row r="1962" spans="1:9" ht="33.75">
      <c r="A1962" s="345">
        <v>1959</v>
      </c>
      <c r="B1962" s="346" t="s">
        <v>312</v>
      </c>
      <c r="C1962" s="347">
        <v>280</v>
      </c>
      <c r="D1962" s="348">
        <v>45658</v>
      </c>
      <c r="E1962" s="348">
        <v>45992</v>
      </c>
      <c r="F1962" s="346" t="s">
        <v>639</v>
      </c>
      <c r="G1962" s="350" t="s">
        <v>593</v>
      </c>
      <c r="H1962" s="351">
        <f t="shared" ref="H1962:H2037" si="33">IFERROR((DATEDIF(D1962,E1962,"M")+1)*C1962,0)</f>
        <v>3360</v>
      </c>
      <c r="I1962" s="120" t="str">
        <f>IF(OR(D1962&lt;Capa!$A$5,D1962&gt;Capa!$A$7,E1962&lt;Capa!$A$5,E1962&gt;Capa!$A$7,D1962&gt;E1962),"Erro","")</f>
        <v/>
      </c>
    </row>
    <row r="1963" spans="1:9" ht="33.75">
      <c r="A1963" s="345">
        <v>1960</v>
      </c>
      <c r="B1963" s="346" t="s">
        <v>312</v>
      </c>
      <c r="C1963" s="347">
        <v>280</v>
      </c>
      <c r="D1963" s="348">
        <v>46023</v>
      </c>
      <c r="E1963" s="348">
        <v>46357</v>
      </c>
      <c r="F1963" s="346" t="s">
        <v>639</v>
      </c>
      <c r="G1963" s="350" t="s">
        <v>593</v>
      </c>
      <c r="H1963" s="351">
        <f t="shared" si="33"/>
        <v>3360</v>
      </c>
      <c r="I1963" s="120" t="str">
        <f>IF(OR(D1963&lt;Capa!$A$5,D1963&gt;Capa!$A$7,E1963&lt;Capa!$A$5,E1963&gt;Capa!$A$7,D1963&gt;E1963),"Erro","")</f>
        <v/>
      </c>
    </row>
    <row r="1964" spans="1:9" ht="33.75">
      <c r="A1964" s="345">
        <v>1961</v>
      </c>
      <c r="B1964" s="346" t="s">
        <v>312</v>
      </c>
      <c r="C1964" s="347">
        <v>280</v>
      </c>
      <c r="D1964" s="348">
        <v>46388</v>
      </c>
      <c r="E1964" s="348">
        <v>46722</v>
      </c>
      <c r="F1964" s="346" t="s">
        <v>639</v>
      </c>
      <c r="G1964" s="350" t="s">
        <v>593</v>
      </c>
      <c r="H1964" s="351">
        <f t="shared" si="33"/>
        <v>3360</v>
      </c>
      <c r="I1964" s="120" t="str">
        <f>IF(OR(D1964&lt;Capa!$A$5,D1964&gt;Capa!$A$7,E1964&lt;Capa!$A$5,E1964&gt;Capa!$A$7,D1964&gt;E1964),"Erro","")</f>
        <v/>
      </c>
    </row>
    <row r="1965" spans="1:9" ht="33.75">
      <c r="A1965" s="345">
        <v>1962</v>
      </c>
      <c r="B1965" s="346" t="s">
        <v>312</v>
      </c>
      <c r="C1965" s="347">
        <v>280</v>
      </c>
      <c r="D1965" s="348">
        <v>46753</v>
      </c>
      <c r="E1965" s="348">
        <v>47058</v>
      </c>
      <c r="F1965" s="346" t="s">
        <v>639</v>
      </c>
      <c r="G1965" s="350" t="s">
        <v>593</v>
      </c>
      <c r="H1965" s="351">
        <f t="shared" si="33"/>
        <v>3080</v>
      </c>
      <c r="I1965" s="120" t="str">
        <f>IF(OR(D1965&lt;Capa!$A$5,D1965&gt;Capa!$A$7,E1965&lt;Capa!$A$5,E1965&gt;Capa!$A$7,D1965&gt;E1965),"Erro","")</f>
        <v/>
      </c>
    </row>
    <row r="1966" spans="1:9" ht="67.5">
      <c r="A1966" s="345">
        <v>1963</v>
      </c>
      <c r="B1966" s="346" t="s">
        <v>316</v>
      </c>
      <c r="C1966" s="347">
        <v>1000</v>
      </c>
      <c r="D1966" s="348">
        <v>45261</v>
      </c>
      <c r="E1966" s="348">
        <v>45627</v>
      </c>
      <c r="F1966" s="346" t="s">
        <v>639</v>
      </c>
      <c r="G1966" s="350" t="s">
        <v>457</v>
      </c>
      <c r="H1966" s="351">
        <f t="shared" si="33"/>
        <v>13000</v>
      </c>
      <c r="I1966" s="120" t="str">
        <f>IF(OR(D1966&lt;Capa!$A$5,D1966&gt;Capa!$A$7,E1966&lt;Capa!$A$5,E1966&gt;Capa!$A$7,D1966&gt;E1966),"Erro","")</f>
        <v/>
      </c>
    </row>
    <row r="1967" spans="1:9" ht="67.5">
      <c r="A1967" s="345">
        <v>1964</v>
      </c>
      <c r="B1967" s="346" t="s">
        <v>316</v>
      </c>
      <c r="C1967" s="347">
        <v>1000</v>
      </c>
      <c r="D1967" s="348">
        <v>45658</v>
      </c>
      <c r="E1967" s="348">
        <v>45992</v>
      </c>
      <c r="F1967" s="346" t="s">
        <v>639</v>
      </c>
      <c r="G1967" s="350" t="s">
        <v>457</v>
      </c>
      <c r="H1967" s="351">
        <f t="shared" si="33"/>
        <v>12000</v>
      </c>
      <c r="I1967" s="120" t="str">
        <f>IF(OR(D1967&lt;Capa!$A$5,D1967&gt;Capa!$A$7,E1967&lt;Capa!$A$5,E1967&gt;Capa!$A$7,D1967&gt;E1967),"Erro","")</f>
        <v/>
      </c>
    </row>
    <row r="1968" spans="1:9" ht="67.5">
      <c r="A1968" s="345">
        <v>1965</v>
      </c>
      <c r="B1968" s="346" t="s">
        <v>316</v>
      </c>
      <c r="C1968" s="347">
        <v>1000</v>
      </c>
      <c r="D1968" s="348">
        <v>46023</v>
      </c>
      <c r="E1968" s="348">
        <v>46357</v>
      </c>
      <c r="F1968" s="346" t="s">
        <v>639</v>
      </c>
      <c r="G1968" s="350" t="s">
        <v>457</v>
      </c>
      <c r="H1968" s="351">
        <f t="shared" si="33"/>
        <v>12000</v>
      </c>
      <c r="I1968" s="120" t="str">
        <f>IF(OR(D1968&lt;Capa!$A$5,D1968&gt;Capa!$A$7,E1968&lt;Capa!$A$5,E1968&gt;Capa!$A$7,D1968&gt;E1968),"Erro","")</f>
        <v/>
      </c>
    </row>
    <row r="1969" spans="1:9" ht="67.5">
      <c r="A1969" s="345">
        <v>1966</v>
      </c>
      <c r="B1969" s="346" t="s">
        <v>316</v>
      </c>
      <c r="C1969" s="347">
        <v>1000</v>
      </c>
      <c r="D1969" s="348">
        <v>46388</v>
      </c>
      <c r="E1969" s="348">
        <v>46722</v>
      </c>
      <c r="F1969" s="346" t="s">
        <v>639</v>
      </c>
      <c r="G1969" s="350" t="s">
        <v>457</v>
      </c>
      <c r="H1969" s="351">
        <f t="shared" si="33"/>
        <v>12000</v>
      </c>
      <c r="I1969" s="120" t="str">
        <f>IF(OR(D1969&lt;Capa!$A$5,D1969&gt;Capa!$A$7,E1969&lt;Capa!$A$5,E1969&gt;Capa!$A$7,D1969&gt;E1969),"Erro","")</f>
        <v/>
      </c>
    </row>
    <row r="1970" spans="1:9" ht="67.5">
      <c r="A1970" s="345">
        <v>1967</v>
      </c>
      <c r="B1970" s="346" t="s">
        <v>316</v>
      </c>
      <c r="C1970" s="347">
        <v>1000</v>
      </c>
      <c r="D1970" s="348">
        <v>46753</v>
      </c>
      <c r="E1970" s="348">
        <v>47058</v>
      </c>
      <c r="F1970" s="346" t="s">
        <v>639</v>
      </c>
      <c r="G1970" s="350" t="s">
        <v>457</v>
      </c>
      <c r="H1970" s="351">
        <f t="shared" si="33"/>
        <v>11000</v>
      </c>
      <c r="I1970" s="120" t="str">
        <f>IF(OR(D1970&lt;Capa!$A$5,D1970&gt;Capa!$A$7,E1970&lt;Capa!$A$5,E1970&gt;Capa!$A$7,D1970&gt;E1970),"Erro","")</f>
        <v/>
      </c>
    </row>
    <row r="1971" spans="1:9" ht="56.25">
      <c r="A1971" s="345">
        <v>1968</v>
      </c>
      <c r="B1971" s="346" t="s">
        <v>318</v>
      </c>
      <c r="C1971" s="347">
        <v>1800</v>
      </c>
      <c r="D1971" s="348">
        <v>45261</v>
      </c>
      <c r="E1971" s="348">
        <v>45627</v>
      </c>
      <c r="F1971" s="346" t="s">
        <v>639</v>
      </c>
      <c r="G1971" s="350" t="s">
        <v>594</v>
      </c>
      <c r="H1971" s="351">
        <f t="shared" si="33"/>
        <v>23400</v>
      </c>
      <c r="I1971" s="120" t="str">
        <f>IF(OR(D1971&lt;Capa!$A$5,D1971&gt;Capa!$A$7,E1971&lt;Capa!$A$5,E1971&gt;Capa!$A$7,D1971&gt;E1971),"Erro","")</f>
        <v/>
      </c>
    </row>
    <row r="1972" spans="1:9" ht="56.25">
      <c r="A1972" s="345">
        <v>1969</v>
      </c>
      <c r="B1972" s="346" t="s">
        <v>318</v>
      </c>
      <c r="C1972" s="347">
        <v>1500</v>
      </c>
      <c r="D1972" s="348">
        <v>45658</v>
      </c>
      <c r="E1972" s="348">
        <v>45992</v>
      </c>
      <c r="F1972" s="346" t="s">
        <v>639</v>
      </c>
      <c r="G1972" s="350" t="s">
        <v>594</v>
      </c>
      <c r="H1972" s="351">
        <f t="shared" si="33"/>
        <v>18000</v>
      </c>
      <c r="I1972" s="120" t="str">
        <f>IF(OR(D1972&lt;Capa!$A$5,D1972&gt;Capa!$A$7,E1972&lt;Capa!$A$5,E1972&gt;Capa!$A$7,D1972&gt;E1972),"Erro","")</f>
        <v/>
      </c>
    </row>
    <row r="1973" spans="1:9" ht="56.25">
      <c r="A1973" s="345">
        <v>1970</v>
      </c>
      <c r="B1973" s="346" t="s">
        <v>318</v>
      </c>
      <c r="C1973" s="347">
        <v>1500</v>
      </c>
      <c r="D1973" s="348">
        <v>46023</v>
      </c>
      <c r="E1973" s="348">
        <v>46357</v>
      </c>
      <c r="F1973" s="346" t="s">
        <v>639</v>
      </c>
      <c r="G1973" s="350" t="s">
        <v>594</v>
      </c>
      <c r="H1973" s="351">
        <f t="shared" si="33"/>
        <v>18000</v>
      </c>
      <c r="I1973" s="120" t="str">
        <f>IF(OR(D1973&lt;Capa!$A$5,D1973&gt;Capa!$A$7,E1973&lt;Capa!$A$5,E1973&gt;Capa!$A$7,D1973&gt;E1973),"Erro","")</f>
        <v/>
      </c>
    </row>
    <row r="1974" spans="1:9" ht="56.25">
      <c r="A1974" s="345">
        <v>1971</v>
      </c>
      <c r="B1974" s="346" t="s">
        <v>318</v>
      </c>
      <c r="C1974" s="347">
        <v>1500</v>
      </c>
      <c r="D1974" s="348">
        <v>46388</v>
      </c>
      <c r="E1974" s="348">
        <v>46722</v>
      </c>
      <c r="F1974" s="346" t="s">
        <v>639</v>
      </c>
      <c r="G1974" s="350" t="s">
        <v>594</v>
      </c>
      <c r="H1974" s="351">
        <f t="shared" si="33"/>
        <v>18000</v>
      </c>
      <c r="I1974" s="120" t="str">
        <f>IF(OR(D1974&lt;Capa!$A$5,D1974&gt;Capa!$A$7,E1974&lt;Capa!$A$5,E1974&gt;Capa!$A$7,D1974&gt;E1974),"Erro","")</f>
        <v/>
      </c>
    </row>
    <row r="1975" spans="1:9" ht="56.25">
      <c r="A1975" s="345">
        <v>1972</v>
      </c>
      <c r="B1975" s="346" t="s">
        <v>318</v>
      </c>
      <c r="C1975" s="347">
        <v>1500</v>
      </c>
      <c r="D1975" s="348">
        <v>46753</v>
      </c>
      <c r="E1975" s="348">
        <v>47058</v>
      </c>
      <c r="F1975" s="346" t="s">
        <v>639</v>
      </c>
      <c r="G1975" s="350" t="s">
        <v>594</v>
      </c>
      <c r="H1975" s="351">
        <f t="shared" si="33"/>
        <v>16500</v>
      </c>
      <c r="I1975" s="120" t="str">
        <f>IF(OR(D1975&lt;Capa!$A$5,D1975&gt;Capa!$A$7,E1975&lt;Capa!$A$5,E1975&gt;Capa!$A$7,D1975&gt;E1975),"Erro","")</f>
        <v/>
      </c>
    </row>
    <row r="1976" spans="1:9" ht="67.5">
      <c r="A1976" s="345">
        <v>1973</v>
      </c>
      <c r="B1976" s="346" t="s">
        <v>318</v>
      </c>
      <c r="C1976" s="347">
        <v>1800</v>
      </c>
      <c r="D1976" s="348">
        <v>45261</v>
      </c>
      <c r="E1976" s="348">
        <v>45627</v>
      </c>
      <c r="F1976" s="346" t="s">
        <v>639</v>
      </c>
      <c r="G1976" s="350" t="s">
        <v>457</v>
      </c>
      <c r="H1976" s="351">
        <f t="shared" si="33"/>
        <v>23400</v>
      </c>
      <c r="I1976" s="120" t="str">
        <f>IF(OR(D1976&lt;Capa!$A$5,D1976&gt;Capa!$A$7,E1976&lt;Capa!$A$5,E1976&gt;Capa!$A$7,D1976&gt;E1976),"Erro","")</f>
        <v/>
      </c>
    </row>
    <row r="1977" spans="1:9" ht="67.5">
      <c r="A1977" s="345">
        <v>1974</v>
      </c>
      <c r="B1977" s="346" t="s">
        <v>318</v>
      </c>
      <c r="C1977" s="347">
        <v>1500</v>
      </c>
      <c r="D1977" s="348">
        <v>45658</v>
      </c>
      <c r="E1977" s="348">
        <v>45992</v>
      </c>
      <c r="F1977" s="346" t="s">
        <v>639</v>
      </c>
      <c r="G1977" s="350" t="s">
        <v>457</v>
      </c>
      <c r="H1977" s="351">
        <f t="shared" si="33"/>
        <v>18000</v>
      </c>
      <c r="I1977" s="120" t="str">
        <f>IF(OR(D1977&lt;Capa!$A$5,D1977&gt;Capa!$A$7,E1977&lt;Capa!$A$5,E1977&gt;Capa!$A$7,D1977&gt;E1977),"Erro","")</f>
        <v/>
      </c>
    </row>
    <row r="1978" spans="1:9" ht="67.5">
      <c r="A1978" s="345">
        <v>1975</v>
      </c>
      <c r="B1978" s="346" t="s">
        <v>318</v>
      </c>
      <c r="C1978" s="347">
        <v>1500</v>
      </c>
      <c r="D1978" s="348">
        <v>46023</v>
      </c>
      <c r="E1978" s="348">
        <v>46357</v>
      </c>
      <c r="F1978" s="346" t="s">
        <v>639</v>
      </c>
      <c r="G1978" s="350" t="s">
        <v>457</v>
      </c>
      <c r="H1978" s="351">
        <f t="shared" si="33"/>
        <v>18000</v>
      </c>
      <c r="I1978" s="120" t="str">
        <f>IF(OR(D1978&lt;Capa!$A$5,D1978&gt;Capa!$A$7,E1978&lt;Capa!$A$5,E1978&gt;Capa!$A$7,D1978&gt;E1978),"Erro","")</f>
        <v/>
      </c>
    </row>
    <row r="1979" spans="1:9" ht="67.5">
      <c r="A1979" s="345">
        <v>1976</v>
      </c>
      <c r="B1979" s="346" t="s">
        <v>318</v>
      </c>
      <c r="C1979" s="347">
        <v>1500</v>
      </c>
      <c r="D1979" s="348">
        <v>46388</v>
      </c>
      <c r="E1979" s="348">
        <v>46722</v>
      </c>
      <c r="F1979" s="346" t="s">
        <v>639</v>
      </c>
      <c r="G1979" s="350" t="s">
        <v>457</v>
      </c>
      <c r="H1979" s="351">
        <f t="shared" si="33"/>
        <v>18000</v>
      </c>
      <c r="I1979" s="120" t="str">
        <f>IF(OR(D1979&lt;Capa!$A$5,D1979&gt;Capa!$A$7,E1979&lt;Capa!$A$5,E1979&gt;Capa!$A$7,D1979&gt;E1979),"Erro","")</f>
        <v/>
      </c>
    </row>
    <row r="1980" spans="1:9" ht="67.5">
      <c r="A1980" s="345">
        <v>1977</v>
      </c>
      <c r="B1980" s="346" t="s">
        <v>318</v>
      </c>
      <c r="C1980" s="347">
        <v>1500</v>
      </c>
      <c r="D1980" s="348">
        <v>46753</v>
      </c>
      <c r="E1980" s="348">
        <v>47058</v>
      </c>
      <c r="F1980" s="346" t="s">
        <v>639</v>
      </c>
      <c r="G1980" s="350" t="s">
        <v>457</v>
      </c>
      <c r="H1980" s="351">
        <f t="shared" si="33"/>
        <v>16500</v>
      </c>
      <c r="I1980" s="120" t="str">
        <f>IF(OR(D1980&lt;Capa!$A$5,D1980&gt;Capa!$A$7,E1980&lt;Capa!$A$5,E1980&gt;Capa!$A$7,D1980&gt;E1980),"Erro","")</f>
        <v/>
      </c>
    </row>
    <row r="1981" spans="1:9" ht="22.5">
      <c r="A1981" s="345">
        <v>1978</v>
      </c>
      <c r="B1981" s="346" t="s">
        <v>298</v>
      </c>
      <c r="C1981" s="347">
        <v>2500</v>
      </c>
      <c r="D1981" s="348">
        <v>45261</v>
      </c>
      <c r="E1981" s="348">
        <v>45627</v>
      </c>
      <c r="F1981" s="346" t="s">
        <v>639</v>
      </c>
      <c r="G1981" s="350" t="s">
        <v>458</v>
      </c>
      <c r="H1981" s="351">
        <f t="shared" si="33"/>
        <v>32500</v>
      </c>
      <c r="I1981" s="120" t="str">
        <f>IF(OR(D1981&lt;Capa!$A$5,D1981&gt;Capa!$A$7,E1981&lt;Capa!$A$5,E1981&gt;Capa!$A$7,D1981&gt;E1981),"Erro","")</f>
        <v/>
      </c>
    </row>
    <row r="1982" spans="1:9" ht="22.5">
      <c r="A1982" s="345">
        <v>1979</v>
      </c>
      <c r="B1982" s="346" t="s">
        <v>298</v>
      </c>
      <c r="C1982" s="347">
        <v>2646</v>
      </c>
      <c r="D1982" s="348">
        <v>45658</v>
      </c>
      <c r="E1982" s="348">
        <v>45992</v>
      </c>
      <c r="F1982" s="346" t="s">
        <v>639</v>
      </c>
      <c r="G1982" s="350" t="s">
        <v>458</v>
      </c>
      <c r="H1982" s="351">
        <f t="shared" si="33"/>
        <v>31752</v>
      </c>
      <c r="I1982" s="120" t="str">
        <f>IF(OR(D1982&lt;Capa!$A$5,D1982&gt;Capa!$A$7,E1982&lt;Capa!$A$5,E1982&gt;Capa!$A$7,D1982&gt;E1982),"Erro","")</f>
        <v/>
      </c>
    </row>
    <row r="1983" spans="1:9" ht="22.5">
      <c r="A1983" s="345">
        <v>1980</v>
      </c>
      <c r="B1983" s="346" t="s">
        <v>298</v>
      </c>
      <c r="C1983" s="347">
        <v>2800.52</v>
      </c>
      <c r="D1983" s="348">
        <v>46023</v>
      </c>
      <c r="E1983" s="348">
        <v>46357</v>
      </c>
      <c r="F1983" s="346" t="s">
        <v>639</v>
      </c>
      <c r="G1983" s="350" t="s">
        <v>458</v>
      </c>
      <c r="H1983" s="351">
        <f t="shared" si="33"/>
        <v>33606.239999999998</v>
      </c>
      <c r="I1983" s="120" t="str">
        <f>IF(OR(D1983&lt;Capa!$A$5,D1983&gt;Capa!$A$7,E1983&lt;Capa!$A$5,E1983&gt;Capa!$A$7,D1983&gt;E1983),"Erro","")</f>
        <v/>
      </c>
    </row>
    <row r="1984" spans="1:9" ht="22.5">
      <c r="A1984" s="345">
        <v>1981</v>
      </c>
      <c r="B1984" s="346" t="s">
        <v>298</v>
      </c>
      <c r="C1984" s="347">
        <v>2964.07</v>
      </c>
      <c r="D1984" s="348">
        <v>46388</v>
      </c>
      <c r="E1984" s="348">
        <v>46722</v>
      </c>
      <c r="F1984" s="346" t="s">
        <v>639</v>
      </c>
      <c r="G1984" s="350" t="s">
        <v>458</v>
      </c>
      <c r="H1984" s="351">
        <f t="shared" si="33"/>
        <v>35568.840000000004</v>
      </c>
      <c r="I1984" s="120" t="str">
        <f>IF(OR(D1984&lt;Capa!$A$5,D1984&gt;Capa!$A$7,E1984&lt;Capa!$A$5,E1984&gt;Capa!$A$7,D1984&gt;E1984),"Erro","")</f>
        <v/>
      </c>
    </row>
    <row r="1985" spans="1:9" ht="22.5">
      <c r="A1985" s="345">
        <v>1982</v>
      </c>
      <c r="B1985" s="346" t="s">
        <v>298</v>
      </c>
      <c r="C1985" s="347">
        <v>3137.17</v>
      </c>
      <c r="D1985" s="348">
        <v>46753</v>
      </c>
      <c r="E1985" s="348">
        <v>47058</v>
      </c>
      <c r="F1985" s="346" t="s">
        <v>639</v>
      </c>
      <c r="G1985" s="350" t="s">
        <v>458</v>
      </c>
      <c r="H1985" s="351">
        <f t="shared" si="33"/>
        <v>34508.870000000003</v>
      </c>
      <c r="I1985" s="120" t="str">
        <f>IF(OR(D1985&lt;Capa!$A$5,D1985&gt;Capa!$A$7,E1985&lt;Capa!$A$5,E1985&gt;Capa!$A$7,D1985&gt;E1985),"Erro","")</f>
        <v/>
      </c>
    </row>
    <row r="1986" spans="1:9" ht="33.75">
      <c r="A1986" s="345">
        <v>1983</v>
      </c>
      <c r="B1986" s="346" t="s">
        <v>238</v>
      </c>
      <c r="C1986" s="347">
        <v>370.44</v>
      </c>
      <c r="D1986" s="348">
        <v>45658</v>
      </c>
      <c r="E1986" s="348">
        <v>45992</v>
      </c>
      <c r="F1986" s="346" t="s">
        <v>639</v>
      </c>
      <c r="G1986" s="350" t="s">
        <v>459</v>
      </c>
      <c r="H1986" s="351">
        <f t="shared" si="33"/>
        <v>4445.28</v>
      </c>
      <c r="I1986" s="120" t="str">
        <f>IF(OR(D1986&lt;Capa!$A$5,D1986&gt;Capa!$A$7,E1986&lt;Capa!$A$5,E1986&gt;Capa!$A$7,D1986&gt;E1986),"Erro","")</f>
        <v/>
      </c>
    </row>
    <row r="1987" spans="1:9" ht="33.75">
      <c r="A1987" s="345">
        <v>1984</v>
      </c>
      <c r="B1987" s="346" t="s">
        <v>238</v>
      </c>
      <c r="C1987" s="347">
        <v>392.07</v>
      </c>
      <c r="D1987" s="348">
        <v>46023</v>
      </c>
      <c r="E1987" s="348">
        <v>46357</v>
      </c>
      <c r="F1987" s="346" t="s">
        <v>639</v>
      </c>
      <c r="G1987" s="350" t="s">
        <v>459</v>
      </c>
      <c r="H1987" s="351">
        <f t="shared" si="33"/>
        <v>4704.84</v>
      </c>
      <c r="I1987" s="120" t="str">
        <f>IF(OR(D1987&lt;Capa!$A$5,D1987&gt;Capa!$A$7,E1987&lt;Capa!$A$5,E1987&gt;Capa!$A$7,D1987&gt;E1987),"Erro","")</f>
        <v/>
      </c>
    </row>
    <row r="1988" spans="1:9" ht="33.75">
      <c r="A1988" s="345">
        <v>1985</v>
      </c>
      <c r="B1988" s="346" t="s">
        <v>238</v>
      </c>
      <c r="C1988" s="347">
        <v>414.97</v>
      </c>
      <c r="D1988" s="348">
        <v>46388</v>
      </c>
      <c r="E1988" s="348">
        <v>46722</v>
      </c>
      <c r="F1988" s="346" t="s">
        <v>639</v>
      </c>
      <c r="G1988" s="350" t="s">
        <v>459</v>
      </c>
      <c r="H1988" s="351">
        <f t="shared" si="33"/>
        <v>4979.6400000000003</v>
      </c>
      <c r="I1988" s="120" t="str">
        <f>IF(OR(D1988&lt;Capa!$A$5,D1988&gt;Capa!$A$7,E1988&lt;Capa!$A$5,E1988&gt;Capa!$A$7,D1988&gt;E1988),"Erro","")</f>
        <v/>
      </c>
    </row>
    <row r="1989" spans="1:9" ht="33.75">
      <c r="A1989" s="345">
        <v>1986</v>
      </c>
      <c r="B1989" s="346" t="s">
        <v>238</v>
      </c>
      <c r="C1989" s="347">
        <v>439.21</v>
      </c>
      <c r="D1989" s="348">
        <v>46753</v>
      </c>
      <c r="E1989" s="348">
        <v>47058</v>
      </c>
      <c r="F1989" s="346" t="s">
        <v>639</v>
      </c>
      <c r="G1989" s="350" t="s">
        <v>459</v>
      </c>
      <c r="H1989" s="351">
        <f t="shared" si="33"/>
        <v>4831.3099999999995</v>
      </c>
      <c r="I1989" s="120" t="str">
        <f>IF(OR(D1989&lt;Capa!$A$5,D1989&gt;Capa!$A$7,E1989&lt;Capa!$A$5,E1989&gt;Capa!$A$7,D1989&gt;E1989),"Erro","")</f>
        <v/>
      </c>
    </row>
    <row r="1990" spans="1:9" ht="56.25">
      <c r="A1990" s="345">
        <v>1987</v>
      </c>
      <c r="B1990" s="346" t="s">
        <v>252</v>
      </c>
      <c r="C1990" s="347">
        <v>7000</v>
      </c>
      <c r="D1990" s="348">
        <v>45261</v>
      </c>
      <c r="E1990" s="348">
        <v>45627</v>
      </c>
      <c r="F1990" s="346" t="s">
        <v>639</v>
      </c>
      <c r="G1990" s="350" t="s">
        <v>460</v>
      </c>
      <c r="H1990" s="351">
        <f t="shared" si="33"/>
        <v>91000</v>
      </c>
      <c r="I1990" s="120" t="str">
        <f>IF(OR(D1990&lt;Capa!$A$5,D1990&gt;Capa!$A$7,E1990&lt;Capa!$A$5,E1990&gt;Capa!$A$7,D1990&gt;E1990),"Erro","")</f>
        <v/>
      </c>
    </row>
    <row r="1991" spans="1:9" ht="56.25">
      <c r="A1991" s="345">
        <v>1988</v>
      </c>
      <c r="B1991" s="346" t="s">
        <v>252</v>
      </c>
      <c r="C1991" s="347">
        <v>7408.8</v>
      </c>
      <c r="D1991" s="348">
        <v>45658</v>
      </c>
      <c r="E1991" s="348">
        <v>45992</v>
      </c>
      <c r="F1991" s="346" t="s">
        <v>639</v>
      </c>
      <c r="G1991" s="350" t="s">
        <v>460</v>
      </c>
      <c r="H1991" s="351">
        <f t="shared" si="33"/>
        <v>88905.600000000006</v>
      </c>
      <c r="I1991" s="120" t="str">
        <f>IF(OR(D1991&lt;Capa!$A$5,D1991&gt;Capa!$A$7,E1991&lt;Capa!$A$5,E1991&gt;Capa!$A$7,D1991&gt;E1991),"Erro","")</f>
        <v/>
      </c>
    </row>
    <row r="1992" spans="1:9" ht="56.25">
      <c r="A1992" s="345">
        <v>1989</v>
      </c>
      <c r="B1992" s="346" t="s">
        <v>252</v>
      </c>
      <c r="C1992" s="347">
        <v>7847.65</v>
      </c>
      <c r="D1992" s="348">
        <v>46023</v>
      </c>
      <c r="E1992" s="348">
        <v>46357</v>
      </c>
      <c r="F1992" s="346" t="s">
        <v>639</v>
      </c>
      <c r="G1992" s="350" t="s">
        <v>460</v>
      </c>
      <c r="H1992" s="351">
        <f t="shared" si="33"/>
        <v>94171.799999999988</v>
      </c>
      <c r="I1992" s="120" t="str">
        <f>IF(OR(D1992&lt;Capa!$A$5,D1992&gt;Capa!$A$7,E1992&lt;Capa!$A$5,E1992&gt;Capa!$A$7,D1992&gt;E1992),"Erro","")</f>
        <v/>
      </c>
    </row>
    <row r="1993" spans="1:9" ht="56.25">
      <c r="A1993" s="345">
        <v>1990</v>
      </c>
      <c r="B1993" s="346" t="s">
        <v>252</v>
      </c>
      <c r="C1993" s="347">
        <v>8305.9500000000007</v>
      </c>
      <c r="D1993" s="348">
        <v>46388</v>
      </c>
      <c r="E1993" s="348">
        <v>46722</v>
      </c>
      <c r="F1993" s="346" t="s">
        <v>639</v>
      </c>
      <c r="G1993" s="350" t="s">
        <v>460</v>
      </c>
      <c r="H1993" s="351">
        <f t="shared" si="33"/>
        <v>99671.400000000009</v>
      </c>
      <c r="I1993" s="120" t="str">
        <f>IF(OR(D1993&lt;Capa!$A$5,D1993&gt;Capa!$A$7,E1993&lt;Capa!$A$5,E1993&gt;Capa!$A$7,D1993&gt;E1993),"Erro","")</f>
        <v/>
      </c>
    </row>
    <row r="1994" spans="1:9" ht="56.25">
      <c r="A1994" s="345">
        <v>1991</v>
      </c>
      <c r="B1994" s="346" t="s">
        <v>252</v>
      </c>
      <c r="C1994" s="347">
        <v>8791.02</v>
      </c>
      <c r="D1994" s="348">
        <v>46753</v>
      </c>
      <c r="E1994" s="348">
        <v>47058</v>
      </c>
      <c r="F1994" s="346" t="s">
        <v>639</v>
      </c>
      <c r="G1994" s="350" t="s">
        <v>460</v>
      </c>
      <c r="H1994" s="351">
        <f t="shared" si="33"/>
        <v>96701.22</v>
      </c>
      <c r="I1994" s="120" t="str">
        <f>IF(OR(D1994&lt;Capa!$A$5,D1994&gt;Capa!$A$7,E1994&lt;Capa!$A$5,E1994&gt;Capa!$A$7,D1994&gt;E1994),"Erro","")</f>
        <v/>
      </c>
    </row>
    <row r="1995" spans="1:9" ht="45">
      <c r="A1995" s="345">
        <v>1992</v>
      </c>
      <c r="B1995" s="346" t="s">
        <v>320</v>
      </c>
      <c r="C1995" s="347">
        <v>4545.7737500000003</v>
      </c>
      <c r="D1995" s="348">
        <v>45778</v>
      </c>
      <c r="E1995" s="348">
        <v>45992</v>
      </c>
      <c r="F1995" s="346" t="s">
        <v>639</v>
      </c>
      <c r="G1995" s="350" t="s">
        <v>596</v>
      </c>
      <c r="H1995" s="351">
        <f t="shared" si="33"/>
        <v>36366.19</v>
      </c>
    </row>
    <row r="1996" spans="1:9" ht="45">
      <c r="A1996" s="345">
        <v>1993</v>
      </c>
      <c r="B1996" s="346" t="s">
        <v>320</v>
      </c>
      <c r="C1996" s="347">
        <v>250</v>
      </c>
      <c r="D1996" s="348">
        <v>45748</v>
      </c>
      <c r="E1996" s="348">
        <v>47058</v>
      </c>
      <c r="F1996" s="346" t="s">
        <v>639</v>
      </c>
      <c r="G1996" s="350" t="s">
        <v>596</v>
      </c>
      <c r="H1996" s="351">
        <f t="shared" si="33"/>
        <v>11000</v>
      </c>
      <c r="I1996" s="120" t="str">
        <f>IF(OR(D1996&lt;Capa!$A$5,D1996&gt;Capa!$A$7,E1996&lt;Capa!$A$5,E1996&gt;Capa!$A$7,D1996&gt;E1996),"Erro","")</f>
        <v/>
      </c>
    </row>
    <row r="1997" spans="1:9" ht="56.25">
      <c r="A1997" s="345">
        <v>1994</v>
      </c>
      <c r="B1997" s="346" t="s">
        <v>320</v>
      </c>
      <c r="C1997" s="347">
        <v>230000</v>
      </c>
      <c r="D1997" s="348">
        <v>45352</v>
      </c>
      <c r="E1997" s="348">
        <v>45352</v>
      </c>
      <c r="F1997" s="346" t="s">
        <v>639</v>
      </c>
      <c r="G1997" s="350" t="s">
        <v>618</v>
      </c>
      <c r="H1997" s="351">
        <f t="shared" si="33"/>
        <v>230000</v>
      </c>
      <c r="I1997" s="120" t="str">
        <f>IF(OR(D1997&lt;Capa!$A$5,D1997&gt;Capa!$A$7,E1997&lt;Capa!$A$5,E1997&gt;Capa!$A$7,D1997&gt;E1997),"Erro","")</f>
        <v/>
      </c>
    </row>
    <row r="1998" spans="1:9" ht="33.75">
      <c r="A1998" s="345">
        <v>1995</v>
      </c>
      <c r="B1998" s="346" t="s">
        <v>651</v>
      </c>
      <c r="C1998" s="347">
        <v>180</v>
      </c>
      <c r="D1998" s="348">
        <v>45261</v>
      </c>
      <c r="E1998" s="348">
        <v>47058</v>
      </c>
      <c r="F1998" s="346" t="s">
        <v>639</v>
      </c>
      <c r="G1998" s="350" t="s">
        <v>710</v>
      </c>
      <c r="H1998" s="351">
        <f t="shared" si="33"/>
        <v>10800</v>
      </c>
      <c r="I1998" s="120" t="str">
        <f>IF(OR(D1998&lt;Capa!$A$5,D1998&gt;Capa!$A$7,E1998&lt;Capa!$A$5,E1998&gt;Capa!$A$7,D1998&gt;E1998),"Erro","")</f>
        <v/>
      </c>
    </row>
    <row r="1999" spans="1:9" ht="22.5">
      <c r="A1999" s="345">
        <v>1996</v>
      </c>
      <c r="B1999" s="346" t="s">
        <v>653</v>
      </c>
      <c r="C1999" s="347">
        <v>1930</v>
      </c>
      <c r="D1999" s="348">
        <v>45292</v>
      </c>
      <c r="E1999" s="348">
        <v>45627</v>
      </c>
      <c r="F1999" s="346" t="s">
        <v>639</v>
      </c>
      <c r="G1999" s="350" t="s">
        <v>712</v>
      </c>
      <c r="H1999" s="351">
        <f t="shared" si="33"/>
        <v>23160</v>
      </c>
    </row>
    <row r="2000" spans="1:9" ht="22.5">
      <c r="A2000" s="345">
        <v>1997</v>
      </c>
      <c r="B2000" s="346" t="s">
        <v>653</v>
      </c>
      <c r="C2000" s="347">
        <v>1930</v>
      </c>
      <c r="D2000" s="348">
        <v>45658</v>
      </c>
      <c r="E2000" s="348">
        <v>47058</v>
      </c>
      <c r="F2000" s="346" t="s">
        <v>639</v>
      </c>
      <c r="G2000" s="350" t="s">
        <v>712</v>
      </c>
      <c r="H2000" s="351">
        <f t="shared" si="33"/>
        <v>90710</v>
      </c>
      <c r="I2000" s="120" t="str">
        <f>IF(OR(D2000&lt;Capa!$A$5,D2000&gt;Capa!$A$7,E2000&lt;Capa!$A$5,E2000&gt;Capa!$A$7,D2000&gt;E2000),"Erro","")</f>
        <v/>
      </c>
    </row>
    <row r="2001" spans="1:9" ht="33.75">
      <c r="A2001" s="345">
        <v>1998</v>
      </c>
      <c r="B2001" s="346" t="s">
        <v>320</v>
      </c>
      <c r="C2001" s="347">
        <v>7000</v>
      </c>
      <c r="D2001" s="348">
        <v>45323</v>
      </c>
      <c r="E2001" s="348">
        <v>45323</v>
      </c>
      <c r="F2001" s="346" t="s">
        <v>639</v>
      </c>
      <c r="G2001" s="350" t="s">
        <v>623</v>
      </c>
      <c r="H2001" s="351">
        <f t="shared" si="33"/>
        <v>7000</v>
      </c>
      <c r="I2001" s="120" t="str">
        <f>IF(OR(D2001&lt;Capa!$A$5,D2001&gt;Capa!$A$7,E2001&lt;Capa!$A$5,E2001&gt;Capa!$A$7,D2001&gt;E2001),"Erro","")</f>
        <v/>
      </c>
    </row>
    <row r="2002" spans="1:9" ht="45">
      <c r="A2002" s="345">
        <v>1999</v>
      </c>
      <c r="B2002" s="346" t="s">
        <v>652</v>
      </c>
      <c r="C2002" s="347">
        <v>10000</v>
      </c>
      <c r="D2002" s="348">
        <v>45689</v>
      </c>
      <c r="E2002" s="348">
        <v>45689</v>
      </c>
      <c r="F2002" s="346" t="s">
        <v>639</v>
      </c>
      <c r="G2002" s="350" t="s">
        <v>624</v>
      </c>
      <c r="H2002" s="351">
        <f t="shared" si="33"/>
        <v>10000</v>
      </c>
      <c r="I2002" s="120" t="str">
        <f>IF(OR(D2002&lt;Capa!$A$5,D2002&gt;Capa!$A$7,E2002&lt;Capa!$A$5,E2002&gt;Capa!$A$7,D2002&gt;E2002),"Erro","")</f>
        <v/>
      </c>
    </row>
    <row r="2003" spans="1:9" ht="45">
      <c r="A2003" s="345">
        <v>2000</v>
      </c>
      <c r="B2003" s="346" t="s">
        <v>652</v>
      </c>
      <c r="C2003" s="347">
        <v>15000</v>
      </c>
      <c r="D2003" s="348">
        <v>46419</v>
      </c>
      <c r="E2003" s="348">
        <v>46419</v>
      </c>
      <c r="F2003" s="346" t="s">
        <v>639</v>
      </c>
      <c r="G2003" s="350" t="s">
        <v>624</v>
      </c>
      <c r="H2003" s="351">
        <f t="shared" si="33"/>
        <v>15000</v>
      </c>
      <c r="I2003" s="120" t="str">
        <f>IF(OR(D2003&lt;Capa!$A$5,D2003&gt;Capa!$A$7,E2003&lt;Capa!$A$5,E2003&gt;Capa!$A$7,D2003&gt;E2003),"Erro","")</f>
        <v/>
      </c>
    </row>
    <row r="2004" spans="1:9" ht="33.75">
      <c r="A2004" s="345">
        <v>2001</v>
      </c>
      <c r="B2004" s="346" t="s">
        <v>650</v>
      </c>
      <c r="C2004" s="347">
        <v>70</v>
      </c>
      <c r="D2004" s="348">
        <v>45261</v>
      </c>
      <c r="E2004" s="348">
        <v>47058</v>
      </c>
      <c r="F2004" s="346" t="s">
        <v>639</v>
      </c>
      <c r="G2004" s="350" t="s">
        <v>670</v>
      </c>
      <c r="H2004" s="351">
        <f t="shared" si="33"/>
        <v>4200</v>
      </c>
      <c r="I2004" s="120" t="str">
        <f>IF(OR(D2004&lt;Capa!$A$5,D2004&gt;Capa!$A$7,E2004&lt;Capa!$A$5,E2004&gt;Capa!$A$7,D2004&gt;E2004),"Erro","")</f>
        <v/>
      </c>
    </row>
    <row r="2005" spans="1:9" ht="33.75">
      <c r="A2005" s="345">
        <v>2002</v>
      </c>
      <c r="B2005" s="346" t="s">
        <v>648</v>
      </c>
      <c r="C2005" s="347">
        <v>3604</v>
      </c>
      <c r="D2005" s="348">
        <v>45292</v>
      </c>
      <c r="E2005" s="348">
        <v>45292</v>
      </c>
      <c r="F2005" s="346" t="s">
        <v>639</v>
      </c>
      <c r="G2005" s="350" t="s">
        <v>670</v>
      </c>
      <c r="H2005" s="351">
        <f t="shared" si="33"/>
        <v>3604</v>
      </c>
      <c r="I2005" s="120" t="str">
        <f>IF(OR(D2005&lt;Capa!$A$5,D2005&gt;Capa!$A$7,E2005&lt;Capa!$A$5,E2005&gt;Capa!$A$7,D2005&gt;E2005),"Erro","")</f>
        <v/>
      </c>
    </row>
    <row r="2006" spans="1:9" ht="33.75">
      <c r="A2006" s="345">
        <v>2003</v>
      </c>
      <c r="B2006" s="346" t="s">
        <v>648</v>
      </c>
      <c r="C2006" s="347">
        <v>3604</v>
      </c>
      <c r="D2006" s="348">
        <v>45658</v>
      </c>
      <c r="E2006" s="348">
        <v>45658</v>
      </c>
      <c r="F2006" s="346" t="s">
        <v>639</v>
      </c>
      <c r="G2006" s="350" t="s">
        <v>670</v>
      </c>
      <c r="H2006" s="351">
        <f t="shared" si="33"/>
        <v>3604</v>
      </c>
      <c r="I2006" s="120" t="str">
        <f>IF(OR(D2006&lt;Capa!$A$5,D2006&gt;Capa!$A$7,E2006&lt;Capa!$A$5,E2006&gt;Capa!$A$7,D2006&gt;E2006),"Erro","")</f>
        <v/>
      </c>
    </row>
    <row r="2007" spans="1:9" ht="33.75">
      <c r="A2007" s="345">
        <v>2004</v>
      </c>
      <c r="B2007" s="346" t="s">
        <v>648</v>
      </c>
      <c r="C2007" s="347">
        <v>3820.24</v>
      </c>
      <c r="D2007" s="348">
        <v>46023</v>
      </c>
      <c r="E2007" s="348">
        <v>46023</v>
      </c>
      <c r="F2007" s="346" t="s">
        <v>639</v>
      </c>
      <c r="G2007" s="350" t="s">
        <v>670</v>
      </c>
      <c r="H2007" s="351">
        <f t="shared" si="33"/>
        <v>3820.24</v>
      </c>
      <c r="I2007" s="120" t="str">
        <f>IF(OR(D2007&lt;Capa!$A$5,D2007&gt;Capa!$A$7,E2007&lt;Capa!$A$5,E2007&gt;Capa!$A$7,D2007&gt;E2007),"Erro","")</f>
        <v/>
      </c>
    </row>
    <row r="2008" spans="1:9" ht="33.75">
      <c r="A2008" s="345">
        <v>2005</v>
      </c>
      <c r="B2008" s="346" t="s">
        <v>648</v>
      </c>
      <c r="C2008" s="347">
        <v>4049.45</v>
      </c>
      <c r="D2008" s="348">
        <v>46388</v>
      </c>
      <c r="E2008" s="348">
        <v>46388</v>
      </c>
      <c r="F2008" s="346" t="s">
        <v>639</v>
      </c>
      <c r="G2008" s="350" t="s">
        <v>670</v>
      </c>
      <c r="H2008" s="351">
        <f t="shared" si="33"/>
        <v>4049.45</v>
      </c>
      <c r="I2008" s="120" t="str">
        <f>IF(OR(D2008&lt;Capa!$A$5,D2008&gt;Capa!$A$7,E2008&lt;Capa!$A$5,E2008&gt;Capa!$A$7,D2008&gt;E2008),"Erro","")</f>
        <v/>
      </c>
    </row>
    <row r="2009" spans="1:9" ht="33.75">
      <c r="A2009" s="345">
        <v>2006</v>
      </c>
      <c r="B2009" s="346" t="s">
        <v>648</v>
      </c>
      <c r="C2009" s="347">
        <v>4292.42</v>
      </c>
      <c r="D2009" s="348">
        <v>46753</v>
      </c>
      <c r="E2009" s="348">
        <v>46753</v>
      </c>
      <c r="F2009" s="346" t="s">
        <v>639</v>
      </c>
      <c r="G2009" s="350" t="s">
        <v>670</v>
      </c>
      <c r="H2009" s="351">
        <f t="shared" si="33"/>
        <v>4292.42</v>
      </c>
      <c r="I2009" s="120" t="str">
        <f>IF(OR(D2009&lt;Capa!$A$5,D2009&gt;Capa!$A$7,E2009&lt;Capa!$A$5,E2009&gt;Capa!$A$7,D2009&gt;E2009),"Erro","")</f>
        <v/>
      </c>
    </row>
    <row r="2010" spans="1:9" ht="33.75">
      <c r="A2010" s="345">
        <v>2007</v>
      </c>
      <c r="B2010" s="346" t="s">
        <v>649</v>
      </c>
      <c r="C2010" s="347">
        <v>1643</v>
      </c>
      <c r="D2010" s="348">
        <v>45292</v>
      </c>
      <c r="E2010" s="348">
        <v>47058</v>
      </c>
      <c r="F2010" s="346" t="s">
        <v>639</v>
      </c>
      <c r="G2010" s="350" t="s">
        <v>705</v>
      </c>
      <c r="H2010" s="351">
        <f t="shared" si="33"/>
        <v>96937</v>
      </c>
      <c r="I2010" s="120" t="str">
        <f>IF(OR(D2010&lt;Capa!$A$5,D2010&gt;Capa!$A$7,E2010&lt;Capa!$A$5,E2010&gt;Capa!$A$7,D2010&gt;E2010),"Erro","")</f>
        <v/>
      </c>
    </row>
    <row r="2011" spans="1:9" ht="33.75">
      <c r="A2011" s="345">
        <v>2008</v>
      </c>
      <c r="B2011" s="346" t="s">
        <v>654</v>
      </c>
      <c r="C2011" s="347">
        <v>600</v>
      </c>
      <c r="D2011" s="348">
        <v>45261</v>
      </c>
      <c r="E2011" s="348">
        <v>45627</v>
      </c>
      <c r="F2011" s="346" t="s">
        <v>639</v>
      </c>
      <c r="G2011" s="350" t="s">
        <v>706</v>
      </c>
      <c r="H2011" s="351">
        <f t="shared" si="33"/>
        <v>7800</v>
      </c>
    </row>
    <row r="2012" spans="1:9" ht="33.75">
      <c r="A2012" s="345">
        <v>2009</v>
      </c>
      <c r="B2012" s="346" t="s">
        <v>654</v>
      </c>
      <c r="C2012" s="347">
        <v>1000</v>
      </c>
      <c r="D2012" s="348">
        <v>45658</v>
      </c>
      <c r="E2012" s="348">
        <v>47058</v>
      </c>
      <c r="F2012" s="346" t="s">
        <v>639</v>
      </c>
      <c r="G2012" s="350" t="s">
        <v>706</v>
      </c>
      <c r="H2012" s="351">
        <f t="shared" si="33"/>
        <v>47000</v>
      </c>
      <c r="I2012" s="120" t="str">
        <f>IF(OR(D2012&lt;Capa!$A$5,D2012&gt;Capa!$A$7,E2012&lt;Capa!$A$5,E2012&gt;Capa!$A$7,D2012&gt;E2012),"Erro","")</f>
        <v/>
      </c>
    </row>
    <row r="2013" spans="1:9" ht="22.5">
      <c r="A2013" s="345">
        <v>2010</v>
      </c>
      <c r="B2013" s="346" t="s">
        <v>656</v>
      </c>
      <c r="C2013" s="347">
        <v>200</v>
      </c>
      <c r="D2013" s="348">
        <v>45261</v>
      </c>
      <c r="E2013" s="348">
        <v>47058</v>
      </c>
      <c r="F2013" s="346" t="s">
        <v>639</v>
      </c>
      <c r="G2013" s="350" t="s">
        <v>707</v>
      </c>
      <c r="H2013" s="351">
        <f t="shared" si="33"/>
        <v>12000</v>
      </c>
      <c r="I2013" s="120" t="str">
        <f>IF(OR(D2013&lt;Capa!$A$5,D2013&gt;Capa!$A$7,E2013&lt;Capa!$A$5,E2013&gt;Capa!$A$7,D2013&gt;E2013),"Erro","")</f>
        <v/>
      </c>
    </row>
    <row r="2014" spans="1:9" ht="22.5">
      <c r="A2014" s="345">
        <v>2011</v>
      </c>
      <c r="B2014" s="346" t="s">
        <v>658</v>
      </c>
      <c r="C2014" s="347">
        <v>50</v>
      </c>
      <c r="D2014" s="348">
        <v>45261</v>
      </c>
      <c r="E2014" s="348">
        <v>47058</v>
      </c>
      <c r="F2014" s="346" t="s">
        <v>639</v>
      </c>
      <c r="G2014" s="350" t="s">
        <v>709</v>
      </c>
      <c r="H2014" s="351">
        <f t="shared" si="33"/>
        <v>3000</v>
      </c>
      <c r="I2014" s="120" t="str">
        <f>IF(OR(D2014&lt;Capa!$A$5,D2014&gt;Capa!$A$7,E2014&lt;Capa!$A$5,E2014&gt;Capa!$A$7,D2014&gt;E2014),"Erro","")</f>
        <v/>
      </c>
    </row>
    <row r="2015" spans="1:9" ht="33.75">
      <c r="A2015" s="345">
        <v>2012</v>
      </c>
      <c r="B2015" s="346" t="s">
        <v>657</v>
      </c>
      <c r="C2015" s="347">
        <v>350</v>
      </c>
      <c r="D2015" s="348">
        <v>45658</v>
      </c>
      <c r="E2015" s="348">
        <v>47058</v>
      </c>
      <c r="F2015" s="346" t="s">
        <v>639</v>
      </c>
      <c r="G2015" s="350" t="s">
        <v>708</v>
      </c>
      <c r="H2015" s="351">
        <f t="shared" si="33"/>
        <v>16450</v>
      </c>
      <c r="I2015" s="120" t="str">
        <f>IF(OR(D2015&lt;Capa!$A$5,D2015&gt;Capa!$A$7,E2015&lt;Capa!$A$5,E2015&gt;Capa!$A$7,D2015&gt;E2015),"Erro","")</f>
        <v/>
      </c>
    </row>
    <row r="2016" spans="1:9" ht="22.5">
      <c r="A2016" s="345">
        <v>2013</v>
      </c>
      <c r="B2016" s="346" t="s">
        <v>198</v>
      </c>
      <c r="C2016" s="347">
        <v>8500</v>
      </c>
      <c r="D2016" s="348">
        <v>45292</v>
      </c>
      <c r="E2016" s="348">
        <v>45627</v>
      </c>
      <c r="F2016" s="346" t="s">
        <v>640</v>
      </c>
      <c r="G2016" s="350" t="s">
        <v>438</v>
      </c>
      <c r="H2016" s="351">
        <f t="shared" si="33"/>
        <v>102000</v>
      </c>
      <c r="I2016" s="120" t="str">
        <f>IF(OR(D2016&lt;Capa!$A$5,D2016&gt;Capa!$A$7,E2016&lt;Capa!$A$5,E2016&gt;Capa!$A$7,D2016&gt;E2016),"Erro","")</f>
        <v/>
      </c>
    </row>
    <row r="2017" spans="1:9" ht="22.5">
      <c r="A2017" s="345">
        <v>2014</v>
      </c>
      <c r="B2017" s="346" t="s">
        <v>198</v>
      </c>
      <c r="C2017" s="347">
        <v>8996.4</v>
      </c>
      <c r="D2017" s="348">
        <v>45658</v>
      </c>
      <c r="E2017" s="348">
        <v>45992</v>
      </c>
      <c r="F2017" s="346" t="s">
        <v>640</v>
      </c>
      <c r="G2017" s="350" t="s">
        <v>438</v>
      </c>
      <c r="H2017" s="351">
        <f t="shared" si="33"/>
        <v>107956.79999999999</v>
      </c>
      <c r="I2017" s="120" t="str">
        <f>IF(OR(D2017&lt;Capa!$A$5,D2017&gt;Capa!$A$7,E2017&lt;Capa!$A$5,E2017&gt;Capa!$A$7,D2017&gt;E2017),"Erro","")</f>
        <v/>
      </c>
    </row>
    <row r="2018" spans="1:9" ht="22.5">
      <c r="A2018" s="345">
        <v>2015</v>
      </c>
      <c r="B2018" s="346" t="s">
        <v>198</v>
      </c>
      <c r="C2018" s="347">
        <v>9521.7900000000009</v>
      </c>
      <c r="D2018" s="348">
        <v>46023</v>
      </c>
      <c r="E2018" s="348">
        <v>46357</v>
      </c>
      <c r="F2018" s="346" t="s">
        <v>640</v>
      </c>
      <c r="G2018" s="350" t="s">
        <v>438</v>
      </c>
      <c r="H2018" s="351">
        <f t="shared" si="33"/>
        <v>114261.48000000001</v>
      </c>
      <c r="I2018" s="120" t="str">
        <f>IF(OR(D2018&lt;Capa!$A$5,D2018&gt;Capa!$A$7,E2018&lt;Capa!$A$5,E2018&gt;Capa!$A$7,D2018&gt;E2018),"Erro","")</f>
        <v/>
      </c>
    </row>
    <row r="2019" spans="1:9" ht="22.5">
      <c r="A2019" s="345">
        <v>2016</v>
      </c>
      <c r="B2019" s="346" t="s">
        <v>198</v>
      </c>
      <c r="C2019" s="347">
        <v>10077.86</v>
      </c>
      <c r="D2019" s="348">
        <v>46388</v>
      </c>
      <c r="E2019" s="348">
        <v>46722</v>
      </c>
      <c r="F2019" s="346" t="s">
        <v>640</v>
      </c>
      <c r="G2019" s="350" t="s">
        <v>438</v>
      </c>
      <c r="H2019" s="351">
        <f t="shared" si="33"/>
        <v>120934.32</v>
      </c>
      <c r="I2019" s="120" t="str">
        <f>IF(OR(D2019&lt;Capa!$A$5,D2019&gt;Capa!$A$7,E2019&lt;Capa!$A$5,E2019&gt;Capa!$A$7,D2019&gt;E2019),"Erro","")</f>
        <v/>
      </c>
    </row>
    <row r="2020" spans="1:9" ht="22.5">
      <c r="A2020" s="345">
        <v>2017</v>
      </c>
      <c r="B2020" s="346" t="s">
        <v>198</v>
      </c>
      <c r="C2020" s="347">
        <v>10666.41</v>
      </c>
      <c r="D2020" s="348">
        <v>46753</v>
      </c>
      <c r="E2020" s="348">
        <v>47058</v>
      </c>
      <c r="F2020" s="346" t="s">
        <v>640</v>
      </c>
      <c r="G2020" s="350" t="s">
        <v>438</v>
      </c>
      <c r="H2020" s="351">
        <f t="shared" si="33"/>
        <v>117330.51</v>
      </c>
      <c r="I2020" s="120" t="str">
        <f>IF(OR(D2020&lt;Capa!$A$5,D2020&gt;Capa!$A$7,E2020&lt;Capa!$A$5,E2020&gt;Capa!$A$7,D2020&gt;E2020),"Erro","")</f>
        <v/>
      </c>
    </row>
    <row r="2021" spans="1:9" ht="22.5">
      <c r="A2021" s="345">
        <v>2018</v>
      </c>
      <c r="B2021" s="346" t="s">
        <v>202</v>
      </c>
      <c r="C2021" s="347">
        <v>1544.66</v>
      </c>
      <c r="D2021" s="348">
        <v>45292</v>
      </c>
      <c r="E2021" s="348">
        <v>45627</v>
      </c>
      <c r="F2021" s="346" t="s">
        <v>640</v>
      </c>
      <c r="G2021" s="350" t="s">
        <v>439</v>
      </c>
      <c r="H2021" s="351">
        <f t="shared" si="33"/>
        <v>18535.920000000002</v>
      </c>
      <c r="I2021" s="120" t="str">
        <f>IF(OR(D2021&lt;Capa!$A$5,D2021&gt;Capa!$A$7,E2021&lt;Capa!$A$5,E2021&gt;Capa!$A$7,D2021&gt;E2021),"Erro","")</f>
        <v/>
      </c>
    </row>
    <row r="2022" spans="1:9" ht="22.5">
      <c r="A2022" s="345">
        <v>2019</v>
      </c>
      <c r="B2022" s="346" t="s">
        <v>202</v>
      </c>
      <c r="C2022" s="347">
        <v>1634.87</v>
      </c>
      <c r="D2022" s="348">
        <v>45658</v>
      </c>
      <c r="E2022" s="348">
        <v>45992</v>
      </c>
      <c r="F2022" s="346" t="s">
        <v>640</v>
      </c>
      <c r="G2022" s="350" t="s">
        <v>439</v>
      </c>
      <c r="H2022" s="351">
        <f t="shared" si="33"/>
        <v>19618.439999999999</v>
      </c>
      <c r="I2022" s="120" t="str">
        <f>IF(OR(D2022&lt;Capa!$A$5,D2022&gt;Capa!$A$7,E2022&lt;Capa!$A$5,E2022&gt;Capa!$A$7,D2022&gt;E2022),"Erro","")</f>
        <v/>
      </c>
    </row>
    <row r="2023" spans="1:9" ht="22.5">
      <c r="A2023" s="345">
        <v>2020</v>
      </c>
      <c r="B2023" s="346" t="s">
        <v>202</v>
      </c>
      <c r="C2023" s="347">
        <v>1730.34</v>
      </c>
      <c r="D2023" s="348">
        <v>46023</v>
      </c>
      <c r="E2023" s="348">
        <v>46357</v>
      </c>
      <c r="F2023" s="346" t="s">
        <v>640</v>
      </c>
      <c r="G2023" s="350" t="s">
        <v>439</v>
      </c>
      <c r="H2023" s="351">
        <f t="shared" si="33"/>
        <v>20764.079999999998</v>
      </c>
      <c r="I2023" s="120" t="str">
        <f>IF(OR(D2023&lt;Capa!$A$5,D2023&gt;Capa!$A$7,E2023&lt;Capa!$A$5,E2023&gt;Capa!$A$7,D2023&gt;E2023),"Erro","")</f>
        <v/>
      </c>
    </row>
    <row r="2024" spans="1:9" ht="22.5">
      <c r="A2024" s="345">
        <v>2021</v>
      </c>
      <c r="B2024" s="346" t="s">
        <v>202</v>
      </c>
      <c r="C2024" s="347">
        <v>1831.4</v>
      </c>
      <c r="D2024" s="348">
        <v>46388</v>
      </c>
      <c r="E2024" s="348">
        <v>46722</v>
      </c>
      <c r="F2024" s="346" t="s">
        <v>640</v>
      </c>
      <c r="G2024" s="350" t="s">
        <v>439</v>
      </c>
      <c r="H2024" s="351">
        <f t="shared" si="33"/>
        <v>21976.800000000003</v>
      </c>
      <c r="I2024" s="120" t="str">
        <f>IF(OR(D2024&lt;Capa!$A$5,D2024&gt;Capa!$A$7,E2024&lt;Capa!$A$5,E2024&gt;Capa!$A$7,D2024&gt;E2024),"Erro","")</f>
        <v/>
      </c>
    </row>
    <row r="2025" spans="1:9" ht="22.5">
      <c r="A2025" s="345">
        <v>2022</v>
      </c>
      <c r="B2025" s="346" t="s">
        <v>202</v>
      </c>
      <c r="C2025" s="347">
        <v>1938.35</v>
      </c>
      <c r="D2025" s="348">
        <v>46753</v>
      </c>
      <c r="E2025" s="348">
        <v>47058</v>
      </c>
      <c r="F2025" s="346" t="s">
        <v>640</v>
      </c>
      <c r="G2025" s="350" t="s">
        <v>439</v>
      </c>
      <c r="H2025" s="351">
        <f t="shared" si="33"/>
        <v>21321.85</v>
      </c>
      <c r="I2025" s="120" t="str">
        <f>IF(OR(D2025&lt;Capa!$A$5,D2025&gt;Capa!$A$7,E2025&lt;Capa!$A$5,E2025&gt;Capa!$A$7,D2025&gt;E2025),"Erro","")</f>
        <v/>
      </c>
    </row>
    <row r="2026" spans="1:9" ht="22.5">
      <c r="A2026" s="345">
        <v>2023</v>
      </c>
      <c r="B2026" s="346" t="s">
        <v>204</v>
      </c>
      <c r="C2026" s="347">
        <v>1735.91</v>
      </c>
      <c r="D2026" s="348">
        <v>45292</v>
      </c>
      <c r="E2026" s="348">
        <v>45383</v>
      </c>
      <c r="F2026" s="346" t="s">
        <v>640</v>
      </c>
      <c r="G2026" s="350" t="s">
        <v>439</v>
      </c>
      <c r="H2026" s="351">
        <f t="shared" si="33"/>
        <v>6943.64</v>
      </c>
      <c r="I2026" s="120" t="str">
        <f>IF(OR(D2026&lt;Capa!$A$5,D2026&gt;Capa!$A$7,E2026&lt;Capa!$A$5,E2026&gt;Capa!$A$7,D2026&gt;E2026),"Erro","")</f>
        <v/>
      </c>
    </row>
    <row r="2027" spans="1:9" ht="22.5">
      <c r="A2027" s="345">
        <v>2024</v>
      </c>
      <c r="B2027" s="346" t="s">
        <v>204</v>
      </c>
      <c r="C2027" s="347">
        <v>1837.29</v>
      </c>
      <c r="D2027" s="348">
        <v>45658</v>
      </c>
      <c r="E2027" s="348">
        <v>45717</v>
      </c>
      <c r="F2027" s="346" t="s">
        <v>640</v>
      </c>
      <c r="G2027" s="350" t="s">
        <v>439</v>
      </c>
      <c r="H2027" s="351">
        <f t="shared" si="33"/>
        <v>5511.87</v>
      </c>
      <c r="I2027" s="120" t="str">
        <f>IF(OR(D2027&lt;Capa!$A$5,D2027&gt;Capa!$A$7,E2027&lt;Capa!$A$5,E2027&gt;Capa!$A$7,D2027&gt;E2027),"Erro","")</f>
        <v/>
      </c>
    </row>
    <row r="2028" spans="1:9" ht="22.5">
      <c r="A2028" s="345">
        <v>2025</v>
      </c>
      <c r="B2028" s="346" t="s">
        <v>204</v>
      </c>
      <c r="C2028" s="347">
        <v>1944.58</v>
      </c>
      <c r="D2028" s="348">
        <v>46023</v>
      </c>
      <c r="E2028" s="348">
        <v>46082</v>
      </c>
      <c r="F2028" s="346" t="s">
        <v>640</v>
      </c>
      <c r="G2028" s="350" t="s">
        <v>439</v>
      </c>
      <c r="H2028" s="351">
        <f t="shared" si="33"/>
        <v>5833.74</v>
      </c>
      <c r="I2028" s="120" t="str">
        <f>IF(OR(D2028&lt;Capa!$A$5,D2028&gt;Capa!$A$7,E2028&lt;Capa!$A$5,E2028&gt;Capa!$A$7,D2028&gt;E2028),"Erro","")</f>
        <v/>
      </c>
    </row>
    <row r="2029" spans="1:9" ht="22.5">
      <c r="A2029" s="345">
        <v>2026</v>
      </c>
      <c r="B2029" s="346" t="s">
        <v>204</v>
      </c>
      <c r="C2029" s="347">
        <v>2058.15</v>
      </c>
      <c r="D2029" s="348">
        <v>46388</v>
      </c>
      <c r="E2029" s="348">
        <v>46447</v>
      </c>
      <c r="F2029" s="346" t="s">
        <v>640</v>
      </c>
      <c r="G2029" s="350" t="s">
        <v>439</v>
      </c>
      <c r="H2029" s="351">
        <f t="shared" si="33"/>
        <v>6174.4500000000007</v>
      </c>
      <c r="I2029" s="120" t="str">
        <f>IF(OR(D2029&lt;Capa!$A$5,D2029&gt;Capa!$A$7,E2029&lt;Capa!$A$5,E2029&gt;Capa!$A$7,D2029&gt;E2029),"Erro","")</f>
        <v/>
      </c>
    </row>
    <row r="2030" spans="1:9" ht="22.5">
      <c r="A2030" s="345">
        <v>2027</v>
      </c>
      <c r="B2030" s="346" t="s">
        <v>204</v>
      </c>
      <c r="C2030" s="347">
        <v>2178.34</v>
      </c>
      <c r="D2030" s="348">
        <v>46753</v>
      </c>
      <c r="E2030" s="348">
        <v>46813</v>
      </c>
      <c r="F2030" s="346" t="s">
        <v>640</v>
      </c>
      <c r="G2030" s="350" t="s">
        <v>439</v>
      </c>
      <c r="H2030" s="351">
        <f t="shared" si="33"/>
        <v>6535.02</v>
      </c>
      <c r="I2030" s="120" t="str">
        <f>IF(OR(D2030&lt;Capa!$A$5,D2030&gt;Capa!$A$7,E2030&lt;Capa!$A$5,E2030&gt;Capa!$A$7,D2030&gt;E2030),"Erro","")</f>
        <v/>
      </c>
    </row>
    <row r="2031" spans="1:9" ht="22.5">
      <c r="A2031" s="345">
        <v>2028</v>
      </c>
      <c r="B2031" s="346" t="s">
        <v>206</v>
      </c>
      <c r="C2031" s="347">
        <v>1441.64</v>
      </c>
      <c r="D2031" s="348">
        <v>45292</v>
      </c>
      <c r="E2031" s="348">
        <v>45627</v>
      </c>
      <c r="F2031" s="346" t="s">
        <v>640</v>
      </c>
      <c r="G2031" s="350" t="s">
        <v>440</v>
      </c>
      <c r="H2031" s="351">
        <f t="shared" si="33"/>
        <v>17299.68</v>
      </c>
      <c r="I2031" s="120" t="str">
        <f>IF(OR(D2031&lt;Capa!$A$5,D2031&gt;Capa!$A$7,E2031&lt;Capa!$A$5,E2031&gt;Capa!$A$7,D2031&gt;E2031),"Erro","")</f>
        <v/>
      </c>
    </row>
    <row r="2032" spans="1:9" ht="22.5">
      <c r="A2032" s="345">
        <v>2029</v>
      </c>
      <c r="B2032" s="346" t="s">
        <v>206</v>
      </c>
      <c r="C2032" s="347">
        <v>1525.84</v>
      </c>
      <c r="D2032" s="348">
        <v>45658</v>
      </c>
      <c r="E2032" s="348">
        <v>45992</v>
      </c>
      <c r="F2032" s="346" t="s">
        <v>640</v>
      </c>
      <c r="G2032" s="350" t="s">
        <v>440</v>
      </c>
      <c r="H2032" s="351">
        <f t="shared" si="33"/>
        <v>18310.079999999998</v>
      </c>
      <c r="I2032" s="120" t="str">
        <f>IF(OR(D2032&lt;Capa!$A$5,D2032&gt;Capa!$A$7,E2032&lt;Capa!$A$5,E2032&gt;Capa!$A$7,D2032&gt;E2032),"Erro","")</f>
        <v/>
      </c>
    </row>
    <row r="2033" spans="1:9" ht="22.5">
      <c r="A2033" s="345">
        <v>2030</v>
      </c>
      <c r="B2033" s="346" t="s">
        <v>206</v>
      </c>
      <c r="C2033" s="347">
        <v>1614.95</v>
      </c>
      <c r="D2033" s="348">
        <v>46023</v>
      </c>
      <c r="E2033" s="348">
        <v>46357</v>
      </c>
      <c r="F2033" s="346" t="s">
        <v>640</v>
      </c>
      <c r="G2033" s="350" t="s">
        <v>440</v>
      </c>
      <c r="H2033" s="351">
        <f t="shared" si="33"/>
        <v>19379.400000000001</v>
      </c>
      <c r="I2033" s="120" t="str">
        <f>IF(OR(D2033&lt;Capa!$A$5,D2033&gt;Capa!$A$7,E2033&lt;Capa!$A$5,E2033&gt;Capa!$A$7,D2033&gt;E2033),"Erro","")</f>
        <v/>
      </c>
    </row>
    <row r="2034" spans="1:9" ht="22.5">
      <c r="A2034" s="345">
        <v>2031</v>
      </c>
      <c r="B2034" s="346" t="s">
        <v>206</v>
      </c>
      <c r="C2034" s="347">
        <v>1709.26</v>
      </c>
      <c r="D2034" s="348">
        <v>46388</v>
      </c>
      <c r="E2034" s="348">
        <v>46722</v>
      </c>
      <c r="F2034" s="346" t="s">
        <v>640</v>
      </c>
      <c r="G2034" s="350" t="s">
        <v>440</v>
      </c>
      <c r="H2034" s="351">
        <f t="shared" si="33"/>
        <v>20511.12</v>
      </c>
      <c r="I2034" s="120" t="str">
        <f>IF(OR(D2034&lt;Capa!$A$5,D2034&gt;Capa!$A$7,E2034&lt;Capa!$A$5,E2034&gt;Capa!$A$7,D2034&gt;E2034),"Erro","")</f>
        <v/>
      </c>
    </row>
    <row r="2035" spans="1:9" ht="22.5">
      <c r="A2035" s="345">
        <v>2032</v>
      </c>
      <c r="B2035" s="346" t="s">
        <v>206</v>
      </c>
      <c r="C2035" s="347">
        <v>1809.08</v>
      </c>
      <c r="D2035" s="348">
        <v>46753</v>
      </c>
      <c r="E2035" s="348">
        <v>47058</v>
      </c>
      <c r="F2035" s="346" t="s">
        <v>640</v>
      </c>
      <c r="G2035" s="350" t="s">
        <v>440</v>
      </c>
      <c r="H2035" s="351">
        <f t="shared" si="33"/>
        <v>19899.879999999997</v>
      </c>
      <c r="I2035" s="120" t="str">
        <f>IF(OR(D2035&lt;Capa!$A$5,D2035&gt;Capa!$A$7,E2035&lt;Capa!$A$5,E2035&gt;Capa!$A$7,D2035&gt;E2035),"Erro","")</f>
        <v/>
      </c>
    </row>
    <row r="2036" spans="1:9" ht="22.5">
      <c r="A2036" s="345">
        <v>2033</v>
      </c>
      <c r="B2036" s="346" t="s">
        <v>208</v>
      </c>
      <c r="C2036" s="347">
        <v>1638</v>
      </c>
      <c r="D2036" s="348">
        <v>45292</v>
      </c>
      <c r="E2036" s="348">
        <v>45627</v>
      </c>
      <c r="F2036" s="346" t="s">
        <v>640</v>
      </c>
      <c r="G2036" s="350" t="s">
        <v>440</v>
      </c>
      <c r="H2036" s="351">
        <f t="shared" si="33"/>
        <v>19656</v>
      </c>
      <c r="I2036" s="120" t="str">
        <f>IF(OR(D2036&lt;Capa!$A$5,D2036&gt;Capa!$A$7,E2036&lt;Capa!$A$5,E2036&gt;Capa!$A$7,D2036&gt;E2036),"Erro","")</f>
        <v/>
      </c>
    </row>
    <row r="2037" spans="1:9" ht="22.5">
      <c r="A2037" s="345">
        <v>2034</v>
      </c>
      <c r="B2037" s="346" t="s">
        <v>208</v>
      </c>
      <c r="C2037" s="347">
        <v>1733.89</v>
      </c>
      <c r="D2037" s="348">
        <v>45658</v>
      </c>
      <c r="E2037" s="348">
        <v>45992</v>
      </c>
      <c r="F2037" s="346" t="s">
        <v>640</v>
      </c>
      <c r="G2037" s="350" t="s">
        <v>440</v>
      </c>
      <c r="H2037" s="351">
        <f t="shared" si="33"/>
        <v>20806.68</v>
      </c>
      <c r="I2037" s="120" t="str">
        <f>IF(OR(D2037&lt;Capa!$A$5,D2037&gt;Capa!$A$7,E2037&lt;Capa!$A$5,E2037&gt;Capa!$A$7,D2037&gt;E2037),"Erro","")</f>
        <v/>
      </c>
    </row>
    <row r="2038" spans="1:9" ht="22.5">
      <c r="A2038" s="345">
        <v>2035</v>
      </c>
      <c r="B2038" s="346" t="s">
        <v>208</v>
      </c>
      <c r="C2038" s="347">
        <v>1835.15</v>
      </c>
      <c r="D2038" s="348">
        <v>46023</v>
      </c>
      <c r="E2038" s="348">
        <v>46357</v>
      </c>
      <c r="F2038" s="346" t="s">
        <v>640</v>
      </c>
      <c r="G2038" s="350" t="s">
        <v>440</v>
      </c>
      <c r="H2038" s="351">
        <f t="shared" ref="H2038:H2100" si="34">IFERROR((DATEDIF(D2038,E2038,"M")+1)*C2038,0)</f>
        <v>22021.800000000003</v>
      </c>
      <c r="I2038" s="120" t="str">
        <f>IF(OR(D2038&lt;Capa!$A$5,D2038&gt;Capa!$A$7,E2038&lt;Capa!$A$5,E2038&gt;Capa!$A$7,D2038&gt;E2038),"Erro","")</f>
        <v/>
      </c>
    </row>
    <row r="2039" spans="1:9" ht="22.5">
      <c r="A2039" s="345">
        <v>2036</v>
      </c>
      <c r="B2039" s="346" t="s">
        <v>208</v>
      </c>
      <c r="C2039" s="347">
        <v>1942.32</v>
      </c>
      <c r="D2039" s="348">
        <v>46388</v>
      </c>
      <c r="E2039" s="348">
        <v>46722</v>
      </c>
      <c r="F2039" s="346" t="s">
        <v>640</v>
      </c>
      <c r="G2039" s="350" t="s">
        <v>440</v>
      </c>
      <c r="H2039" s="351">
        <f t="shared" si="34"/>
        <v>23307.84</v>
      </c>
      <c r="I2039" s="120" t="str">
        <f>IF(OR(D2039&lt;Capa!$A$5,D2039&gt;Capa!$A$7,E2039&lt;Capa!$A$5,E2039&gt;Capa!$A$7,D2039&gt;E2039),"Erro","")</f>
        <v/>
      </c>
    </row>
    <row r="2040" spans="1:9" ht="22.5">
      <c r="A2040" s="345">
        <v>2037</v>
      </c>
      <c r="B2040" s="346" t="s">
        <v>208</v>
      </c>
      <c r="C2040" s="347">
        <v>2055.75</v>
      </c>
      <c r="D2040" s="348">
        <v>46753</v>
      </c>
      <c r="E2040" s="348">
        <v>47058</v>
      </c>
      <c r="F2040" s="346" t="s">
        <v>640</v>
      </c>
      <c r="G2040" s="350" t="s">
        <v>440</v>
      </c>
      <c r="H2040" s="351">
        <f t="shared" si="34"/>
        <v>22613.25</v>
      </c>
      <c r="I2040" s="120" t="str">
        <f>IF(OR(D2040&lt;Capa!$A$5,D2040&gt;Capa!$A$7,E2040&lt;Capa!$A$5,E2040&gt;Capa!$A$7,D2040&gt;E2040),"Erro","")</f>
        <v/>
      </c>
    </row>
    <row r="2041" spans="1:9" ht="22.5">
      <c r="A2041" s="345">
        <v>2038</v>
      </c>
      <c r="B2041" s="346" t="s">
        <v>210</v>
      </c>
      <c r="C2041" s="347">
        <v>39.68</v>
      </c>
      <c r="D2041" s="348">
        <v>45292</v>
      </c>
      <c r="E2041" s="348">
        <v>45627</v>
      </c>
      <c r="F2041" s="346" t="s">
        <v>640</v>
      </c>
      <c r="G2041" s="350" t="s">
        <v>440</v>
      </c>
      <c r="H2041" s="351">
        <f t="shared" si="34"/>
        <v>476.15999999999997</v>
      </c>
      <c r="I2041" s="120" t="str">
        <f>IF(OR(D2041&lt;Capa!$A$5,D2041&gt;Capa!$A$7,E2041&lt;Capa!$A$5,E2041&gt;Capa!$A$7,D2041&gt;E2041),"Erro","")</f>
        <v/>
      </c>
    </row>
    <row r="2042" spans="1:9" ht="22.5">
      <c r="A2042" s="345">
        <v>2039</v>
      </c>
      <c r="B2042" s="346" t="s">
        <v>210</v>
      </c>
      <c r="C2042" s="347">
        <v>41.99</v>
      </c>
      <c r="D2042" s="348">
        <v>45658</v>
      </c>
      <c r="E2042" s="348">
        <v>45992</v>
      </c>
      <c r="F2042" s="346" t="s">
        <v>640</v>
      </c>
      <c r="G2042" s="350" t="s">
        <v>440</v>
      </c>
      <c r="H2042" s="351">
        <f t="shared" si="34"/>
        <v>503.88</v>
      </c>
      <c r="I2042" s="120" t="str">
        <f>IF(OR(D2042&lt;Capa!$A$5,D2042&gt;Capa!$A$7,E2042&lt;Capa!$A$5,E2042&gt;Capa!$A$7,D2042&gt;E2042),"Erro","")</f>
        <v/>
      </c>
    </row>
    <row r="2043" spans="1:9" ht="22.5">
      <c r="A2043" s="345">
        <v>2040</v>
      </c>
      <c r="B2043" s="346" t="s">
        <v>210</v>
      </c>
      <c r="C2043" s="347">
        <v>44.44</v>
      </c>
      <c r="D2043" s="348">
        <v>46023</v>
      </c>
      <c r="E2043" s="348">
        <v>46357</v>
      </c>
      <c r="F2043" s="346" t="s">
        <v>640</v>
      </c>
      <c r="G2043" s="350" t="s">
        <v>440</v>
      </c>
      <c r="H2043" s="351">
        <f t="shared" si="34"/>
        <v>533.28</v>
      </c>
      <c r="I2043" s="120" t="str">
        <f>IF(OR(D2043&lt;Capa!$A$5,D2043&gt;Capa!$A$7,E2043&lt;Capa!$A$5,E2043&gt;Capa!$A$7,D2043&gt;E2043),"Erro","")</f>
        <v/>
      </c>
    </row>
    <row r="2044" spans="1:9" ht="22.5">
      <c r="A2044" s="345">
        <v>2041</v>
      </c>
      <c r="B2044" s="346" t="s">
        <v>210</v>
      </c>
      <c r="C2044" s="347">
        <v>47.04</v>
      </c>
      <c r="D2044" s="348">
        <v>46388</v>
      </c>
      <c r="E2044" s="348">
        <v>46722</v>
      </c>
      <c r="F2044" s="346" t="s">
        <v>640</v>
      </c>
      <c r="G2044" s="350" t="s">
        <v>440</v>
      </c>
      <c r="H2044" s="351">
        <f t="shared" si="34"/>
        <v>564.48</v>
      </c>
      <c r="I2044" s="120" t="str">
        <f>IF(OR(D2044&lt;Capa!$A$5,D2044&gt;Capa!$A$7,E2044&lt;Capa!$A$5,E2044&gt;Capa!$A$7,D2044&gt;E2044),"Erro","")</f>
        <v/>
      </c>
    </row>
    <row r="2045" spans="1:9" ht="22.5">
      <c r="A2045" s="345">
        <v>2042</v>
      </c>
      <c r="B2045" s="346" t="s">
        <v>210</v>
      </c>
      <c r="C2045" s="347">
        <v>49.79</v>
      </c>
      <c r="D2045" s="348">
        <v>46753</v>
      </c>
      <c r="E2045" s="348">
        <v>47058</v>
      </c>
      <c r="F2045" s="346" t="s">
        <v>640</v>
      </c>
      <c r="G2045" s="350" t="s">
        <v>440</v>
      </c>
      <c r="H2045" s="351">
        <f t="shared" si="34"/>
        <v>547.68999999999994</v>
      </c>
      <c r="I2045" s="120" t="str">
        <f>IF(OR(D2045&lt;Capa!$A$5,D2045&gt;Capa!$A$7,E2045&lt;Capa!$A$5,E2045&gt;Capa!$A$7,D2045&gt;E2045),"Erro","")</f>
        <v/>
      </c>
    </row>
    <row r="2046" spans="1:9" ht="22.5">
      <c r="A2046" s="345">
        <v>2043</v>
      </c>
      <c r="B2046" s="346" t="s">
        <v>214</v>
      </c>
      <c r="C2046" s="347">
        <v>131.97999999999999</v>
      </c>
      <c r="D2046" s="348">
        <v>45292</v>
      </c>
      <c r="E2046" s="348">
        <v>45627</v>
      </c>
      <c r="F2046" s="346" t="s">
        <v>640</v>
      </c>
      <c r="G2046" s="350" t="s">
        <v>440</v>
      </c>
      <c r="H2046" s="351">
        <f t="shared" si="34"/>
        <v>1583.7599999999998</v>
      </c>
      <c r="I2046" s="120" t="str">
        <f>IF(OR(D2046&lt;Capa!$A$5,D2046&gt;Capa!$A$7,E2046&lt;Capa!$A$5,E2046&gt;Capa!$A$7,D2046&gt;E2046),"Erro","")</f>
        <v/>
      </c>
    </row>
    <row r="2047" spans="1:9" ht="22.5">
      <c r="A2047" s="345">
        <v>2044</v>
      </c>
      <c r="B2047" s="346" t="s">
        <v>214</v>
      </c>
      <c r="C2047" s="347">
        <v>139.68</v>
      </c>
      <c r="D2047" s="348">
        <v>45658</v>
      </c>
      <c r="E2047" s="348">
        <v>45992</v>
      </c>
      <c r="F2047" s="346" t="s">
        <v>640</v>
      </c>
      <c r="G2047" s="350" t="s">
        <v>440</v>
      </c>
      <c r="H2047" s="351">
        <f t="shared" si="34"/>
        <v>1676.16</v>
      </c>
      <c r="I2047" s="120" t="str">
        <f>IF(OR(D2047&lt;Capa!$A$5,D2047&gt;Capa!$A$7,E2047&lt;Capa!$A$5,E2047&gt;Capa!$A$7,D2047&gt;E2047),"Erro","")</f>
        <v/>
      </c>
    </row>
    <row r="2048" spans="1:9" ht="22.5">
      <c r="A2048" s="345">
        <v>2045</v>
      </c>
      <c r="B2048" s="346" t="s">
        <v>214</v>
      </c>
      <c r="C2048" s="347">
        <v>147.84</v>
      </c>
      <c r="D2048" s="348">
        <v>46023</v>
      </c>
      <c r="E2048" s="348">
        <v>46357</v>
      </c>
      <c r="F2048" s="346" t="s">
        <v>640</v>
      </c>
      <c r="G2048" s="350" t="s">
        <v>440</v>
      </c>
      <c r="H2048" s="351">
        <f t="shared" si="34"/>
        <v>1774.08</v>
      </c>
      <c r="I2048" s="120" t="str">
        <f>IF(OR(D2048&lt;Capa!$A$5,D2048&gt;Capa!$A$7,E2048&lt;Capa!$A$5,E2048&gt;Capa!$A$7,D2048&gt;E2048),"Erro","")</f>
        <v/>
      </c>
    </row>
    <row r="2049" spans="1:9" ht="22.5">
      <c r="A2049" s="345">
        <v>2046</v>
      </c>
      <c r="B2049" s="346" t="s">
        <v>214</v>
      </c>
      <c r="C2049" s="347">
        <v>156.47999999999999</v>
      </c>
      <c r="D2049" s="348">
        <v>46388</v>
      </c>
      <c r="E2049" s="348">
        <v>46722</v>
      </c>
      <c r="F2049" s="346" t="s">
        <v>640</v>
      </c>
      <c r="G2049" s="350" t="s">
        <v>440</v>
      </c>
      <c r="H2049" s="351">
        <f t="shared" si="34"/>
        <v>1877.7599999999998</v>
      </c>
      <c r="I2049" s="120" t="str">
        <f>IF(OR(D2049&lt;Capa!$A$5,D2049&gt;Capa!$A$7,E2049&lt;Capa!$A$5,E2049&gt;Capa!$A$7,D2049&gt;E2049),"Erro","")</f>
        <v/>
      </c>
    </row>
    <row r="2050" spans="1:9" ht="22.5">
      <c r="A2050" s="345">
        <v>2047</v>
      </c>
      <c r="B2050" s="346" t="s">
        <v>214</v>
      </c>
      <c r="C2050" s="347">
        <v>165.62</v>
      </c>
      <c r="D2050" s="348">
        <v>46753</v>
      </c>
      <c r="E2050" s="348">
        <v>47058</v>
      </c>
      <c r="F2050" s="346" t="s">
        <v>640</v>
      </c>
      <c r="G2050" s="350" t="s">
        <v>440</v>
      </c>
      <c r="H2050" s="351">
        <f t="shared" si="34"/>
        <v>1821.8200000000002</v>
      </c>
      <c r="I2050" s="120" t="str">
        <f>IF(OR(D2050&lt;Capa!$A$5,D2050&gt;Capa!$A$7,E2050&lt;Capa!$A$5,E2050&gt;Capa!$A$7,D2050&gt;E2050),"Erro","")</f>
        <v/>
      </c>
    </row>
    <row r="2051" spans="1:9" ht="22.5">
      <c r="A2051" s="345">
        <v>2048</v>
      </c>
      <c r="B2051" s="346" t="s">
        <v>212</v>
      </c>
      <c r="C2051" s="347">
        <v>235.74</v>
      </c>
      <c r="D2051" s="348">
        <v>45292</v>
      </c>
      <c r="E2051" s="348">
        <v>45627</v>
      </c>
      <c r="F2051" s="346" t="s">
        <v>640</v>
      </c>
      <c r="G2051" s="350" t="s">
        <v>440</v>
      </c>
      <c r="H2051" s="351">
        <f t="shared" si="34"/>
        <v>2828.88</v>
      </c>
      <c r="I2051" s="120" t="str">
        <f>IF(OR(D2051&lt;Capa!$A$5,D2051&gt;Capa!$A$7,E2051&lt;Capa!$A$5,E2051&gt;Capa!$A$7,D2051&gt;E2051),"Erro","")</f>
        <v/>
      </c>
    </row>
    <row r="2052" spans="1:9" ht="22.5">
      <c r="A2052" s="345">
        <v>2049</v>
      </c>
      <c r="B2052" s="346" t="s">
        <v>212</v>
      </c>
      <c r="C2052" s="347">
        <v>249.51</v>
      </c>
      <c r="D2052" s="348">
        <v>45658</v>
      </c>
      <c r="E2052" s="348">
        <v>45992</v>
      </c>
      <c r="F2052" s="346" t="s">
        <v>640</v>
      </c>
      <c r="G2052" s="350" t="s">
        <v>440</v>
      </c>
      <c r="H2052" s="351">
        <f t="shared" si="34"/>
        <v>2994.12</v>
      </c>
      <c r="I2052" s="120" t="str">
        <f>IF(OR(D2052&lt;Capa!$A$5,D2052&gt;Capa!$A$7,E2052&lt;Capa!$A$5,E2052&gt;Capa!$A$7,D2052&gt;E2052),"Erro","")</f>
        <v/>
      </c>
    </row>
    <row r="2053" spans="1:9" ht="22.5">
      <c r="A2053" s="345">
        <v>2050</v>
      </c>
      <c r="B2053" s="346" t="s">
        <v>212</v>
      </c>
      <c r="C2053" s="347">
        <v>264.08</v>
      </c>
      <c r="D2053" s="348">
        <v>46023</v>
      </c>
      <c r="E2053" s="348">
        <v>46357</v>
      </c>
      <c r="F2053" s="346" t="s">
        <v>640</v>
      </c>
      <c r="G2053" s="350" t="s">
        <v>440</v>
      </c>
      <c r="H2053" s="351">
        <f t="shared" si="34"/>
        <v>3168.96</v>
      </c>
      <c r="I2053" s="120" t="str">
        <f>IF(OR(D2053&lt;Capa!$A$5,D2053&gt;Capa!$A$7,E2053&lt;Capa!$A$5,E2053&gt;Capa!$A$7,D2053&gt;E2053),"Erro","")</f>
        <v/>
      </c>
    </row>
    <row r="2054" spans="1:9" ht="22.5">
      <c r="A2054" s="345">
        <v>2051</v>
      </c>
      <c r="B2054" s="346" t="s">
        <v>212</v>
      </c>
      <c r="C2054" s="347">
        <v>279.5</v>
      </c>
      <c r="D2054" s="348">
        <v>46388</v>
      </c>
      <c r="E2054" s="348">
        <v>46722</v>
      </c>
      <c r="F2054" s="346" t="s">
        <v>640</v>
      </c>
      <c r="G2054" s="350" t="s">
        <v>440</v>
      </c>
      <c r="H2054" s="351">
        <f t="shared" si="34"/>
        <v>3354</v>
      </c>
      <c r="I2054" s="120" t="str">
        <f>IF(OR(D2054&lt;Capa!$A$5,D2054&gt;Capa!$A$7,E2054&lt;Capa!$A$5,E2054&gt;Capa!$A$7,D2054&gt;E2054),"Erro","")</f>
        <v/>
      </c>
    </row>
    <row r="2055" spans="1:9" ht="22.5">
      <c r="A2055" s="345">
        <v>2052</v>
      </c>
      <c r="B2055" s="346" t="s">
        <v>212</v>
      </c>
      <c r="C2055" s="347">
        <v>295.83</v>
      </c>
      <c r="D2055" s="348">
        <v>46753</v>
      </c>
      <c r="E2055" s="348">
        <v>47058</v>
      </c>
      <c r="F2055" s="346" t="s">
        <v>640</v>
      </c>
      <c r="G2055" s="350" t="s">
        <v>440</v>
      </c>
      <c r="H2055" s="351">
        <f t="shared" si="34"/>
        <v>3254.1299999999997</v>
      </c>
      <c r="I2055" s="120" t="str">
        <f>IF(OR(D2055&lt;Capa!$A$5,D2055&gt;Capa!$A$7,E2055&lt;Capa!$A$5,E2055&gt;Capa!$A$7,D2055&gt;E2055),"Erro","")</f>
        <v/>
      </c>
    </row>
    <row r="2056" spans="1:9" ht="45">
      <c r="A2056" s="345">
        <v>2053</v>
      </c>
      <c r="B2056" s="346" t="s">
        <v>248</v>
      </c>
      <c r="C2056" s="347">
        <v>846</v>
      </c>
      <c r="D2056" s="348">
        <v>45323</v>
      </c>
      <c r="E2056" s="348">
        <v>45444</v>
      </c>
      <c r="F2056" s="346" t="s">
        <v>640</v>
      </c>
      <c r="G2056" s="350" t="s">
        <v>441</v>
      </c>
      <c r="H2056" s="351">
        <f t="shared" si="34"/>
        <v>4230</v>
      </c>
      <c r="I2056" s="120" t="str">
        <f>IF(OR(D2056&lt;Capa!$A$5,D2056&gt;Capa!$A$7,E2056&lt;Capa!$A$5,E2056&gt;Capa!$A$7,D2056&gt;E2056),"Erro","")</f>
        <v/>
      </c>
    </row>
    <row r="2057" spans="1:9" ht="45">
      <c r="A2057" s="345">
        <v>2054</v>
      </c>
      <c r="B2057" s="346" t="s">
        <v>248</v>
      </c>
      <c r="C2057" s="347">
        <v>846</v>
      </c>
      <c r="D2057" s="348">
        <v>45658</v>
      </c>
      <c r="E2057" s="348">
        <v>45809</v>
      </c>
      <c r="F2057" s="346" t="s">
        <v>640</v>
      </c>
      <c r="G2057" s="350" t="s">
        <v>441</v>
      </c>
      <c r="H2057" s="351">
        <f t="shared" si="34"/>
        <v>5076</v>
      </c>
      <c r="I2057" s="120" t="str">
        <f>IF(OR(D2057&lt;Capa!$A$5,D2057&gt;Capa!$A$7,E2057&lt;Capa!$A$5,E2057&gt;Capa!$A$7,D2057&gt;E2057),"Erro","")</f>
        <v/>
      </c>
    </row>
    <row r="2058" spans="1:9" ht="45">
      <c r="A2058" s="345">
        <v>2055</v>
      </c>
      <c r="B2058" s="346" t="s">
        <v>248</v>
      </c>
      <c r="C2058" s="347">
        <v>846</v>
      </c>
      <c r="D2058" s="348">
        <v>46023</v>
      </c>
      <c r="E2058" s="348">
        <v>46174</v>
      </c>
      <c r="F2058" s="346" t="s">
        <v>640</v>
      </c>
      <c r="G2058" s="350" t="s">
        <v>441</v>
      </c>
      <c r="H2058" s="351">
        <f t="shared" si="34"/>
        <v>5076</v>
      </c>
      <c r="I2058" s="120" t="str">
        <f>IF(OR(D2058&lt;Capa!$A$5,D2058&gt;Capa!$A$7,E2058&lt;Capa!$A$5,E2058&gt;Capa!$A$7,D2058&gt;E2058),"Erro","")</f>
        <v/>
      </c>
    </row>
    <row r="2059" spans="1:9" ht="45">
      <c r="A2059" s="345">
        <v>2056</v>
      </c>
      <c r="B2059" s="346" t="s">
        <v>248</v>
      </c>
      <c r="C2059" s="347">
        <v>846</v>
      </c>
      <c r="D2059" s="348">
        <v>46388</v>
      </c>
      <c r="E2059" s="348">
        <v>46539</v>
      </c>
      <c r="F2059" s="346" t="s">
        <v>640</v>
      </c>
      <c r="G2059" s="350" t="s">
        <v>441</v>
      </c>
      <c r="H2059" s="351">
        <f t="shared" si="34"/>
        <v>5076</v>
      </c>
      <c r="I2059" s="120" t="str">
        <f>IF(OR(D2059&lt;Capa!$A$5,D2059&gt;Capa!$A$7,E2059&lt;Capa!$A$5,E2059&gt;Capa!$A$7,D2059&gt;E2059),"Erro","")</f>
        <v/>
      </c>
    </row>
    <row r="2060" spans="1:9" ht="45">
      <c r="A2060" s="345">
        <v>2057</v>
      </c>
      <c r="B2060" s="346" t="s">
        <v>248</v>
      </c>
      <c r="C2060" s="347">
        <v>846</v>
      </c>
      <c r="D2060" s="348">
        <v>46753</v>
      </c>
      <c r="E2060" s="348">
        <v>46905</v>
      </c>
      <c r="F2060" s="346" t="s">
        <v>640</v>
      </c>
      <c r="G2060" s="350" t="s">
        <v>441</v>
      </c>
      <c r="H2060" s="351">
        <f t="shared" si="34"/>
        <v>5076</v>
      </c>
      <c r="I2060" s="120" t="str">
        <f>IF(OR(D2060&lt;Capa!$A$5,D2060&gt;Capa!$A$7,E2060&lt;Capa!$A$5,E2060&gt;Capa!$A$7,D2060&gt;E2060),"Erro","")</f>
        <v/>
      </c>
    </row>
    <row r="2061" spans="1:9" ht="33.75">
      <c r="A2061" s="345">
        <v>2058</v>
      </c>
      <c r="B2061" s="346" t="s">
        <v>266</v>
      </c>
      <c r="C2061" s="347">
        <v>600</v>
      </c>
      <c r="D2061" s="348">
        <v>45292</v>
      </c>
      <c r="E2061" s="348">
        <v>45444</v>
      </c>
      <c r="F2061" s="346" t="s">
        <v>640</v>
      </c>
      <c r="G2061" s="350" t="s">
        <v>442</v>
      </c>
      <c r="H2061" s="351">
        <f t="shared" si="34"/>
        <v>3600</v>
      </c>
      <c r="I2061" s="120" t="str">
        <f>IF(OR(D2061&lt;Capa!$A$5,D2061&gt;Capa!$A$7,E2061&lt;Capa!$A$5,E2061&gt;Capa!$A$7,D2061&gt;E2061),"Erro","")</f>
        <v/>
      </c>
    </row>
    <row r="2062" spans="1:9" ht="33.75">
      <c r="A2062" s="345">
        <v>2059</v>
      </c>
      <c r="B2062" s="346" t="s">
        <v>266</v>
      </c>
      <c r="C2062" s="347">
        <v>600</v>
      </c>
      <c r="D2062" s="348">
        <v>45658</v>
      </c>
      <c r="E2062" s="348">
        <v>45809</v>
      </c>
      <c r="F2062" s="346" t="s">
        <v>640</v>
      </c>
      <c r="G2062" s="350" t="s">
        <v>442</v>
      </c>
      <c r="H2062" s="351">
        <f t="shared" si="34"/>
        <v>3600</v>
      </c>
      <c r="I2062" s="120" t="str">
        <f>IF(OR(D2062&lt;Capa!$A$5,D2062&gt;Capa!$A$7,E2062&lt;Capa!$A$5,E2062&gt;Capa!$A$7,D2062&gt;E2062),"Erro","")</f>
        <v/>
      </c>
    </row>
    <row r="2063" spans="1:9" ht="33.75">
      <c r="A2063" s="345">
        <v>2060</v>
      </c>
      <c r="B2063" s="346" t="s">
        <v>266</v>
      </c>
      <c r="C2063" s="347">
        <v>600</v>
      </c>
      <c r="D2063" s="348">
        <v>46023</v>
      </c>
      <c r="E2063" s="348">
        <v>46174</v>
      </c>
      <c r="F2063" s="346" t="s">
        <v>640</v>
      </c>
      <c r="G2063" s="350" t="s">
        <v>442</v>
      </c>
      <c r="H2063" s="351">
        <f t="shared" si="34"/>
        <v>3600</v>
      </c>
      <c r="I2063" s="120" t="str">
        <f>IF(OR(D2063&lt;Capa!$A$5,D2063&gt;Capa!$A$7,E2063&lt;Capa!$A$5,E2063&gt;Capa!$A$7,D2063&gt;E2063),"Erro","")</f>
        <v/>
      </c>
    </row>
    <row r="2064" spans="1:9" ht="33.75">
      <c r="A2064" s="345">
        <v>2061</v>
      </c>
      <c r="B2064" s="346" t="s">
        <v>266</v>
      </c>
      <c r="C2064" s="347">
        <v>600</v>
      </c>
      <c r="D2064" s="348">
        <v>46388</v>
      </c>
      <c r="E2064" s="348">
        <v>46539</v>
      </c>
      <c r="F2064" s="346" t="s">
        <v>640</v>
      </c>
      <c r="G2064" s="350" t="s">
        <v>442</v>
      </c>
      <c r="H2064" s="351">
        <f t="shared" si="34"/>
        <v>3600</v>
      </c>
      <c r="I2064" s="120" t="str">
        <f>IF(OR(D2064&lt;Capa!$A$5,D2064&gt;Capa!$A$7,E2064&lt;Capa!$A$5,E2064&gt;Capa!$A$7,D2064&gt;E2064),"Erro","")</f>
        <v/>
      </c>
    </row>
    <row r="2065" spans="1:9" ht="33.75">
      <c r="A2065" s="345">
        <v>2062</v>
      </c>
      <c r="B2065" s="346" t="s">
        <v>266</v>
      </c>
      <c r="C2065" s="347">
        <v>600</v>
      </c>
      <c r="D2065" s="348">
        <v>46753</v>
      </c>
      <c r="E2065" s="348">
        <v>46905</v>
      </c>
      <c r="F2065" s="346" t="s">
        <v>640</v>
      </c>
      <c r="G2065" s="350" t="s">
        <v>442</v>
      </c>
      <c r="H2065" s="351">
        <f t="shared" si="34"/>
        <v>3600</v>
      </c>
      <c r="I2065" s="120" t="str">
        <f>IF(OR(D2065&lt;Capa!$A$5,D2065&gt;Capa!$A$7,E2065&lt;Capa!$A$5,E2065&gt;Capa!$A$7,D2065&gt;E2065),"Erro","")</f>
        <v/>
      </c>
    </row>
    <row r="2066" spans="1:9" ht="22.5">
      <c r="A2066" s="345">
        <v>2063</v>
      </c>
      <c r="B2066" s="346" t="s">
        <v>274</v>
      </c>
      <c r="C2066" s="347">
        <v>1100</v>
      </c>
      <c r="D2066" s="348">
        <v>45292</v>
      </c>
      <c r="E2066" s="348">
        <v>45627</v>
      </c>
      <c r="F2066" s="346" t="s">
        <v>640</v>
      </c>
      <c r="G2066" s="350" t="s">
        <v>443</v>
      </c>
      <c r="H2066" s="351">
        <f t="shared" si="34"/>
        <v>13200</v>
      </c>
      <c r="I2066" s="120" t="str">
        <f>IF(OR(D2066&lt;Capa!$A$5,D2066&gt;Capa!$A$7,E2066&lt;Capa!$A$5,E2066&gt;Capa!$A$7,D2066&gt;E2066),"Erro","")</f>
        <v/>
      </c>
    </row>
    <row r="2067" spans="1:9" ht="22.5">
      <c r="A2067" s="345">
        <v>2064</v>
      </c>
      <c r="B2067" s="346" t="s">
        <v>274</v>
      </c>
      <c r="C2067" s="347">
        <v>1164</v>
      </c>
      <c r="D2067" s="348">
        <v>45658</v>
      </c>
      <c r="E2067" s="348">
        <v>45992</v>
      </c>
      <c r="F2067" s="346" t="s">
        <v>640</v>
      </c>
      <c r="G2067" s="350" t="s">
        <v>443</v>
      </c>
      <c r="H2067" s="351">
        <f t="shared" si="34"/>
        <v>13968</v>
      </c>
      <c r="I2067" s="120" t="str">
        <f>IF(OR(D2067&lt;Capa!$A$5,D2067&gt;Capa!$A$7,E2067&lt;Capa!$A$5,E2067&gt;Capa!$A$7,D2067&gt;E2067),"Erro","")</f>
        <v/>
      </c>
    </row>
    <row r="2068" spans="1:9" ht="22.5">
      <c r="A2068" s="345">
        <v>2065</v>
      </c>
      <c r="B2068" s="346" t="s">
        <v>274</v>
      </c>
      <c r="C2068" s="347">
        <v>1232</v>
      </c>
      <c r="D2068" s="348">
        <v>46023</v>
      </c>
      <c r="E2068" s="348">
        <v>46357</v>
      </c>
      <c r="F2068" s="346" t="s">
        <v>640</v>
      </c>
      <c r="G2068" s="350" t="s">
        <v>443</v>
      </c>
      <c r="H2068" s="351">
        <f t="shared" si="34"/>
        <v>14784</v>
      </c>
      <c r="I2068" s="120" t="str">
        <f>IF(OR(D2068&lt;Capa!$A$5,D2068&gt;Capa!$A$7,E2068&lt;Capa!$A$5,E2068&gt;Capa!$A$7,D2068&gt;E2068),"Erro","")</f>
        <v/>
      </c>
    </row>
    <row r="2069" spans="1:9" ht="22.5">
      <c r="A2069" s="345">
        <v>2066</v>
      </c>
      <c r="B2069" s="346" t="s">
        <v>274</v>
      </c>
      <c r="C2069" s="347">
        <v>1304</v>
      </c>
      <c r="D2069" s="348">
        <v>46388</v>
      </c>
      <c r="E2069" s="348">
        <v>46722</v>
      </c>
      <c r="F2069" s="346" t="s">
        <v>640</v>
      </c>
      <c r="G2069" s="350" t="s">
        <v>443</v>
      </c>
      <c r="H2069" s="351">
        <f t="shared" si="34"/>
        <v>15648</v>
      </c>
      <c r="I2069" s="120" t="str">
        <f>IF(OR(D2069&lt;Capa!$A$5,D2069&gt;Capa!$A$7,E2069&lt;Capa!$A$5,E2069&gt;Capa!$A$7,D2069&gt;E2069),"Erro","")</f>
        <v/>
      </c>
    </row>
    <row r="2070" spans="1:9" ht="22.5">
      <c r="A2070" s="345">
        <v>2067</v>
      </c>
      <c r="B2070" s="346" t="s">
        <v>274</v>
      </c>
      <c r="C2070" s="347">
        <v>1380</v>
      </c>
      <c r="D2070" s="348">
        <v>46753</v>
      </c>
      <c r="E2070" s="348">
        <v>47058</v>
      </c>
      <c r="F2070" s="346" t="s">
        <v>640</v>
      </c>
      <c r="G2070" s="350" t="s">
        <v>443</v>
      </c>
      <c r="H2070" s="351">
        <f t="shared" si="34"/>
        <v>15180</v>
      </c>
      <c r="I2070" s="120" t="str">
        <f>IF(OR(D2070&lt;Capa!$A$5,D2070&gt;Capa!$A$7,E2070&lt;Capa!$A$5,E2070&gt;Capa!$A$7,D2070&gt;E2070),"Erro","")</f>
        <v/>
      </c>
    </row>
    <row r="2071" spans="1:9" ht="56.25">
      <c r="A2071" s="345">
        <v>2068</v>
      </c>
      <c r="B2071" s="346" t="s">
        <v>236</v>
      </c>
      <c r="C2071" s="347">
        <v>690.19</v>
      </c>
      <c r="D2071" s="348">
        <v>45292</v>
      </c>
      <c r="E2071" s="348">
        <v>45627</v>
      </c>
      <c r="F2071" s="346" t="s">
        <v>640</v>
      </c>
      <c r="G2071" s="350" t="s">
        <v>444</v>
      </c>
      <c r="H2071" s="351">
        <f t="shared" si="34"/>
        <v>8282.2800000000007</v>
      </c>
      <c r="I2071" s="120" t="str">
        <f>IF(OR(D2071&lt;Capa!$A$5,D2071&gt;Capa!$A$7,E2071&lt;Capa!$A$5,E2071&gt;Capa!$A$7,D2071&gt;E2071),"Erro","")</f>
        <v/>
      </c>
    </row>
    <row r="2072" spans="1:9" ht="56.25">
      <c r="A2072" s="345">
        <v>2069</v>
      </c>
      <c r="B2072" s="346" t="s">
        <v>236</v>
      </c>
      <c r="C2072" s="347">
        <v>760.49</v>
      </c>
      <c r="D2072" s="348">
        <v>45658</v>
      </c>
      <c r="E2072" s="348">
        <v>45992</v>
      </c>
      <c r="F2072" s="346" t="s">
        <v>640</v>
      </c>
      <c r="G2072" s="350" t="s">
        <v>444</v>
      </c>
      <c r="H2072" s="351">
        <f t="shared" si="34"/>
        <v>9125.880000000001</v>
      </c>
      <c r="I2072" s="120" t="str">
        <f>IF(OR(D2072&lt;Capa!$A$5,D2072&gt;Capa!$A$7,E2072&lt;Capa!$A$5,E2072&gt;Capa!$A$7,D2072&gt;E2072),"Erro","")</f>
        <v/>
      </c>
    </row>
    <row r="2073" spans="1:9" ht="56.25">
      <c r="A2073" s="345">
        <v>2070</v>
      </c>
      <c r="B2073" s="346" t="s">
        <v>236</v>
      </c>
      <c r="C2073" s="347">
        <v>773.16</v>
      </c>
      <c r="D2073" s="348">
        <v>46023</v>
      </c>
      <c r="E2073" s="348">
        <v>46357</v>
      </c>
      <c r="F2073" s="346" t="s">
        <v>640</v>
      </c>
      <c r="G2073" s="350" t="s">
        <v>444</v>
      </c>
      <c r="H2073" s="351">
        <f t="shared" si="34"/>
        <v>9277.92</v>
      </c>
      <c r="I2073" s="120" t="str">
        <f>IF(OR(D2073&lt;Capa!$A$5,D2073&gt;Capa!$A$7,E2073&lt;Capa!$A$5,E2073&gt;Capa!$A$7,D2073&gt;E2073),"Erro","")</f>
        <v/>
      </c>
    </row>
    <row r="2074" spans="1:9" ht="56.25">
      <c r="A2074" s="345">
        <v>2071</v>
      </c>
      <c r="B2074" s="346" t="s">
        <v>236</v>
      </c>
      <c r="C2074" s="347">
        <v>818.31</v>
      </c>
      <c r="D2074" s="348">
        <v>46388</v>
      </c>
      <c r="E2074" s="348">
        <v>46722</v>
      </c>
      <c r="F2074" s="346" t="s">
        <v>640</v>
      </c>
      <c r="G2074" s="350" t="s">
        <v>444</v>
      </c>
      <c r="H2074" s="351">
        <f t="shared" si="34"/>
        <v>9819.7199999999993</v>
      </c>
      <c r="I2074" s="120" t="str">
        <f>IF(OR(D2074&lt;Capa!$A$5,D2074&gt;Capa!$A$7,E2074&lt;Capa!$A$5,E2074&gt;Capa!$A$7,D2074&gt;E2074),"Erro","")</f>
        <v/>
      </c>
    </row>
    <row r="2075" spans="1:9" ht="56.25">
      <c r="A2075" s="345">
        <v>2072</v>
      </c>
      <c r="B2075" s="346" t="s">
        <v>236</v>
      </c>
      <c r="C2075" s="347">
        <v>866.09</v>
      </c>
      <c r="D2075" s="348">
        <v>46753</v>
      </c>
      <c r="E2075" s="348">
        <v>47058</v>
      </c>
      <c r="F2075" s="346" t="s">
        <v>640</v>
      </c>
      <c r="G2075" s="350" t="s">
        <v>444</v>
      </c>
      <c r="H2075" s="351">
        <f t="shared" si="34"/>
        <v>9526.99</v>
      </c>
      <c r="I2075" s="120" t="str">
        <f>IF(OR(D2075&lt;Capa!$A$5,D2075&gt;Capa!$A$7,E2075&lt;Capa!$A$5,E2075&gt;Capa!$A$7,D2075&gt;E2075),"Erro","")</f>
        <v/>
      </c>
    </row>
    <row r="2076" spans="1:9" ht="33.75">
      <c r="A2076" s="345">
        <v>2073</v>
      </c>
      <c r="B2076" s="346" t="s">
        <v>240</v>
      </c>
      <c r="C2076" s="347">
        <v>50</v>
      </c>
      <c r="D2076" s="348">
        <v>45292</v>
      </c>
      <c r="E2076" s="348">
        <v>45627</v>
      </c>
      <c r="F2076" s="346" t="s">
        <v>640</v>
      </c>
      <c r="G2076" s="350" t="s">
        <v>445</v>
      </c>
      <c r="H2076" s="351">
        <f t="shared" si="34"/>
        <v>600</v>
      </c>
      <c r="I2076" s="120" t="str">
        <f>IF(OR(D2076&lt;Capa!$A$5,D2076&gt;Capa!$A$7,E2076&lt;Capa!$A$5,E2076&gt;Capa!$A$7,D2076&gt;E2076),"Erro","")</f>
        <v/>
      </c>
    </row>
    <row r="2077" spans="1:9" ht="33.75">
      <c r="A2077" s="345">
        <v>2074</v>
      </c>
      <c r="B2077" s="346" t="s">
        <v>240</v>
      </c>
      <c r="C2077" s="347">
        <v>50</v>
      </c>
      <c r="D2077" s="348">
        <v>45658</v>
      </c>
      <c r="E2077" s="348">
        <v>45992</v>
      </c>
      <c r="F2077" s="346" t="s">
        <v>640</v>
      </c>
      <c r="G2077" s="350" t="s">
        <v>445</v>
      </c>
      <c r="H2077" s="351">
        <f t="shared" si="34"/>
        <v>600</v>
      </c>
      <c r="I2077" s="120" t="str">
        <f>IF(OR(D2077&lt;Capa!$A$5,D2077&gt;Capa!$A$7,E2077&lt;Capa!$A$5,E2077&gt;Capa!$A$7,D2077&gt;E2077),"Erro","")</f>
        <v/>
      </c>
    </row>
    <row r="2078" spans="1:9" ht="33.75">
      <c r="A2078" s="345">
        <v>2075</v>
      </c>
      <c r="B2078" s="346" t="s">
        <v>240</v>
      </c>
      <c r="C2078" s="347">
        <v>50</v>
      </c>
      <c r="D2078" s="348">
        <v>46023</v>
      </c>
      <c r="E2078" s="348">
        <v>46357</v>
      </c>
      <c r="F2078" s="346" t="s">
        <v>640</v>
      </c>
      <c r="G2078" s="350" t="s">
        <v>445</v>
      </c>
      <c r="H2078" s="351">
        <f t="shared" si="34"/>
        <v>600</v>
      </c>
      <c r="I2078" s="120" t="str">
        <f>IF(OR(D2078&lt;Capa!$A$5,D2078&gt;Capa!$A$7,E2078&lt;Capa!$A$5,E2078&gt;Capa!$A$7,D2078&gt;E2078),"Erro","")</f>
        <v/>
      </c>
    </row>
    <row r="2079" spans="1:9" ht="33.75">
      <c r="A2079" s="345">
        <v>2076</v>
      </c>
      <c r="B2079" s="346" t="s">
        <v>240</v>
      </c>
      <c r="C2079" s="347">
        <v>50</v>
      </c>
      <c r="D2079" s="348">
        <v>46388</v>
      </c>
      <c r="E2079" s="348">
        <v>46722</v>
      </c>
      <c r="F2079" s="346" t="s">
        <v>640</v>
      </c>
      <c r="G2079" s="350" t="s">
        <v>445</v>
      </c>
      <c r="H2079" s="351">
        <f t="shared" si="34"/>
        <v>600</v>
      </c>
      <c r="I2079" s="120" t="str">
        <f>IF(OR(D2079&lt;Capa!$A$5,D2079&gt;Capa!$A$7,E2079&lt;Capa!$A$5,E2079&gt;Capa!$A$7,D2079&gt;E2079),"Erro","")</f>
        <v/>
      </c>
    </row>
    <row r="2080" spans="1:9" ht="33.75">
      <c r="A2080" s="345">
        <v>2077</v>
      </c>
      <c r="B2080" s="346" t="s">
        <v>240</v>
      </c>
      <c r="C2080" s="347">
        <v>50</v>
      </c>
      <c r="D2080" s="348">
        <v>46753</v>
      </c>
      <c r="E2080" s="348">
        <v>47058</v>
      </c>
      <c r="F2080" s="346" t="s">
        <v>640</v>
      </c>
      <c r="G2080" s="350" t="s">
        <v>445</v>
      </c>
      <c r="H2080" s="351">
        <f t="shared" si="34"/>
        <v>550</v>
      </c>
      <c r="I2080" s="120" t="str">
        <f>IF(OR(D2080&lt;Capa!$A$5,D2080&gt;Capa!$A$7,E2080&lt;Capa!$A$5,E2080&gt;Capa!$A$7,D2080&gt;E2080),"Erro","")</f>
        <v/>
      </c>
    </row>
    <row r="2081" spans="1:9" ht="45">
      <c r="A2081" s="345">
        <v>2078</v>
      </c>
      <c r="B2081" s="346" t="s">
        <v>244</v>
      </c>
      <c r="C2081" s="347">
        <v>250</v>
      </c>
      <c r="D2081" s="348">
        <v>45292</v>
      </c>
      <c r="E2081" s="348">
        <v>45627</v>
      </c>
      <c r="F2081" s="346" t="s">
        <v>640</v>
      </c>
      <c r="G2081" s="350" t="s">
        <v>446</v>
      </c>
      <c r="H2081" s="351">
        <f t="shared" si="34"/>
        <v>3000</v>
      </c>
      <c r="I2081" s="120" t="str">
        <f>IF(OR(D2081&lt;Capa!$A$5,D2081&gt;Capa!$A$7,E2081&lt;Capa!$A$5,E2081&gt;Capa!$A$7,D2081&gt;E2081),"Erro","")</f>
        <v/>
      </c>
    </row>
    <row r="2082" spans="1:9" ht="45">
      <c r="A2082" s="345">
        <v>2079</v>
      </c>
      <c r="B2082" s="346" t="s">
        <v>244</v>
      </c>
      <c r="C2082" s="347">
        <v>300</v>
      </c>
      <c r="D2082" s="348">
        <v>45658</v>
      </c>
      <c r="E2082" s="348">
        <v>45992</v>
      </c>
      <c r="F2082" s="346" t="s">
        <v>640</v>
      </c>
      <c r="G2082" s="350" t="s">
        <v>446</v>
      </c>
      <c r="H2082" s="351">
        <f t="shared" si="34"/>
        <v>3600</v>
      </c>
      <c r="I2082" s="120" t="str">
        <f>IF(OR(D2082&lt;Capa!$A$5,D2082&gt;Capa!$A$7,E2082&lt;Capa!$A$5,E2082&gt;Capa!$A$7,D2082&gt;E2082),"Erro","")</f>
        <v/>
      </c>
    </row>
    <row r="2083" spans="1:9" ht="45">
      <c r="A2083" s="345">
        <v>2080</v>
      </c>
      <c r="B2083" s="346" t="s">
        <v>244</v>
      </c>
      <c r="C2083" s="347">
        <v>300</v>
      </c>
      <c r="D2083" s="348">
        <v>46023</v>
      </c>
      <c r="E2083" s="348">
        <v>46357</v>
      </c>
      <c r="F2083" s="346" t="s">
        <v>640</v>
      </c>
      <c r="G2083" s="350" t="s">
        <v>446</v>
      </c>
      <c r="H2083" s="351">
        <f t="shared" si="34"/>
        <v>3600</v>
      </c>
      <c r="I2083" s="120" t="str">
        <f>IF(OR(D2083&lt;Capa!$A$5,D2083&gt;Capa!$A$7,E2083&lt;Capa!$A$5,E2083&gt;Capa!$A$7,D2083&gt;E2083),"Erro","")</f>
        <v/>
      </c>
    </row>
    <row r="2084" spans="1:9" ht="45">
      <c r="A2084" s="345">
        <v>2081</v>
      </c>
      <c r="B2084" s="346" t="s">
        <v>244</v>
      </c>
      <c r="C2084" s="347">
        <v>350</v>
      </c>
      <c r="D2084" s="348">
        <v>46388</v>
      </c>
      <c r="E2084" s="348">
        <v>46722</v>
      </c>
      <c r="F2084" s="346" t="s">
        <v>640</v>
      </c>
      <c r="G2084" s="350" t="s">
        <v>446</v>
      </c>
      <c r="H2084" s="351">
        <f t="shared" si="34"/>
        <v>4200</v>
      </c>
      <c r="I2084" s="120" t="str">
        <f>IF(OR(D2084&lt;Capa!$A$5,D2084&gt;Capa!$A$7,E2084&lt;Capa!$A$5,E2084&gt;Capa!$A$7,D2084&gt;E2084),"Erro","")</f>
        <v/>
      </c>
    </row>
    <row r="2085" spans="1:9" ht="45">
      <c r="A2085" s="345">
        <v>2082</v>
      </c>
      <c r="B2085" s="346" t="s">
        <v>244</v>
      </c>
      <c r="C2085" s="347">
        <v>350</v>
      </c>
      <c r="D2085" s="348">
        <v>46753</v>
      </c>
      <c r="E2085" s="348">
        <v>47027</v>
      </c>
      <c r="F2085" s="346" t="s">
        <v>640</v>
      </c>
      <c r="G2085" s="350" t="s">
        <v>446</v>
      </c>
      <c r="H2085" s="351">
        <f t="shared" si="34"/>
        <v>3500</v>
      </c>
      <c r="I2085" s="120" t="str">
        <f>IF(OR(D2085&lt;Capa!$A$5,D2085&gt;Capa!$A$7,E2085&lt;Capa!$A$5,E2085&gt;Capa!$A$7,D2085&gt;E2085),"Erro","")</f>
        <v/>
      </c>
    </row>
    <row r="2086" spans="1:9" ht="33.75">
      <c r="A2086" s="345">
        <v>2083</v>
      </c>
      <c r="B2086" s="346" t="s">
        <v>246</v>
      </c>
      <c r="C2086" s="347">
        <v>275.18</v>
      </c>
      <c r="D2086" s="348">
        <v>45658</v>
      </c>
      <c r="E2086" s="348">
        <v>45992</v>
      </c>
      <c r="F2086" s="346" t="s">
        <v>640</v>
      </c>
      <c r="G2086" s="350" t="s">
        <v>447</v>
      </c>
      <c r="H2086" s="351">
        <f t="shared" si="34"/>
        <v>3302.16</v>
      </c>
      <c r="I2086" s="120" t="str">
        <f>IF(OR(D2086&lt;Capa!$A$5,D2086&gt;Capa!$A$7,E2086&lt;Capa!$A$5,E2086&gt;Capa!$A$7,D2086&gt;E2086),"Erro","")</f>
        <v/>
      </c>
    </row>
    <row r="2087" spans="1:9" ht="33.75">
      <c r="A2087" s="345">
        <v>2084</v>
      </c>
      <c r="B2087" s="346" t="s">
        <v>246</v>
      </c>
      <c r="C2087" s="347">
        <v>291.25</v>
      </c>
      <c r="D2087" s="348">
        <v>46023</v>
      </c>
      <c r="E2087" s="348">
        <v>46357</v>
      </c>
      <c r="F2087" s="346" t="s">
        <v>640</v>
      </c>
      <c r="G2087" s="350" t="s">
        <v>447</v>
      </c>
      <c r="H2087" s="351">
        <f t="shared" si="34"/>
        <v>3495</v>
      </c>
      <c r="I2087" s="120" t="str">
        <f>IF(OR(D2087&lt;Capa!$A$5,D2087&gt;Capa!$A$7,E2087&lt;Capa!$A$5,E2087&gt;Capa!$A$7,D2087&gt;E2087),"Erro","")</f>
        <v/>
      </c>
    </row>
    <row r="2088" spans="1:9" ht="33.75">
      <c r="A2088" s="345">
        <v>2085</v>
      </c>
      <c r="B2088" s="346" t="s">
        <v>246</v>
      </c>
      <c r="C2088" s="347">
        <v>308.26</v>
      </c>
      <c r="D2088" s="348">
        <v>46388</v>
      </c>
      <c r="E2088" s="348">
        <v>46722</v>
      </c>
      <c r="F2088" s="346" t="s">
        <v>640</v>
      </c>
      <c r="G2088" s="350" t="s">
        <v>447</v>
      </c>
      <c r="H2088" s="351">
        <f t="shared" si="34"/>
        <v>3699.12</v>
      </c>
      <c r="I2088" s="120" t="str">
        <f>IF(OR(D2088&lt;Capa!$A$5,D2088&gt;Capa!$A$7,E2088&lt;Capa!$A$5,E2088&gt;Capa!$A$7,D2088&gt;E2088),"Erro","")</f>
        <v/>
      </c>
    </row>
    <row r="2089" spans="1:9" ht="33.75">
      <c r="A2089" s="345">
        <v>2086</v>
      </c>
      <c r="B2089" s="346" t="s">
        <v>246</v>
      </c>
      <c r="C2089" s="347">
        <v>326.26</v>
      </c>
      <c r="D2089" s="348">
        <v>46753</v>
      </c>
      <c r="E2089" s="348">
        <v>47027</v>
      </c>
      <c r="F2089" s="346" t="s">
        <v>640</v>
      </c>
      <c r="G2089" s="350" t="s">
        <v>447</v>
      </c>
      <c r="H2089" s="351">
        <f t="shared" si="34"/>
        <v>3262.6</v>
      </c>
      <c r="I2089" s="120" t="str">
        <f>IF(OR(D2089&lt;Capa!$A$5,D2089&gt;Capa!$A$7,E2089&lt;Capa!$A$5,E2089&gt;Capa!$A$7,D2089&gt;E2089),"Erro","")</f>
        <v/>
      </c>
    </row>
    <row r="2090" spans="1:9" ht="33.75">
      <c r="A2090" s="345">
        <v>2087</v>
      </c>
      <c r="B2090" s="346" t="s">
        <v>258</v>
      </c>
      <c r="C2090" s="347">
        <v>193.77</v>
      </c>
      <c r="D2090" s="348">
        <v>45323</v>
      </c>
      <c r="E2090" s="348">
        <v>45627</v>
      </c>
      <c r="F2090" s="346" t="s">
        <v>640</v>
      </c>
      <c r="G2090" s="350" t="s">
        <v>448</v>
      </c>
      <c r="H2090" s="351">
        <f t="shared" si="34"/>
        <v>2131.4700000000003</v>
      </c>
      <c r="I2090" s="120" t="str">
        <f>IF(OR(D2090&lt;Capa!$A$5,D2090&gt;Capa!$A$7,E2090&lt;Capa!$A$5,E2090&gt;Capa!$A$7,D2090&gt;E2090),"Erro","")</f>
        <v/>
      </c>
    </row>
    <row r="2091" spans="1:9" ht="33.75">
      <c r="A2091" s="345">
        <v>2088</v>
      </c>
      <c r="B2091" s="346" t="s">
        <v>258</v>
      </c>
      <c r="C2091" s="347">
        <v>205.08</v>
      </c>
      <c r="D2091" s="348">
        <v>45658</v>
      </c>
      <c r="E2091" s="348">
        <v>45992</v>
      </c>
      <c r="F2091" s="346" t="s">
        <v>640</v>
      </c>
      <c r="G2091" s="350" t="s">
        <v>448</v>
      </c>
      <c r="H2091" s="351">
        <f t="shared" si="34"/>
        <v>2460.96</v>
      </c>
      <c r="I2091" s="120" t="str">
        <f>IF(OR(D2091&lt;Capa!$A$5,D2091&gt;Capa!$A$7,E2091&lt;Capa!$A$5,E2091&gt;Capa!$A$7,D2091&gt;E2091),"Erro","")</f>
        <v/>
      </c>
    </row>
    <row r="2092" spans="1:9" ht="33.75">
      <c r="A2092" s="345">
        <v>2089</v>
      </c>
      <c r="B2092" s="346" t="s">
        <v>258</v>
      </c>
      <c r="C2092" s="347">
        <v>217.06</v>
      </c>
      <c r="D2092" s="348">
        <v>46023</v>
      </c>
      <c r="E2092" s="348">
        <v>46357</v>
      </c>
      <c r="F2092" s="346" t="s">
        <v>640</v>
      </c>
      <c r="G2092" s="350" t="s">
        <v>448</v>
      </c>
      <c r="H2092" s="351">
        <f t="shared" si="34"/>
        <v>2604.7200000000003</v>
      </c>
      <c r="I2092" s="120" t="str">
        <f>IF(OR(D2092&lt;Capa!$A$5,D2092&gt;Capa!$A$7,E2092&lt;Capa!$A$5,E2092&gt;Capa!$A$7,D2092&gt;E2092),"Erro","")</f>
        <v/>
      </c>
    </row>
    <row r="2093" spans="1:9" ht="33.75">
      <c r="A2093" s="345">
        <v>2090</v>
      </c>
      <c r="B2093" s="346" t="s">
        <v>258</v>
      </c>
      <c r="C2093" s="347">
        <v>229.74</v>
      </c>
      <c r="D2093" s="348">
        <v>46388</v>
      </c>
      <c r="E2093" s="348">
        <v>46722</v>
      </c>
      <c r="F2093" s="346" t="s">
        <v>640</v>
      </c>
      <c r="G2093" s="350" t="s">
        <v>448</v>
      </c>
      <c r="H2093" s="351">
        <f t="shared" si="34"/>
        <v>2756.88</v>
      </c>
      <c r="I2093" s="120" t="str">
        <f>IF(OR(D2093&lt;Capa!$A$5,D2093&gt;Capa!$A$7,E2093&lt;Capa!$A$5,E2093&gt;Capa!$A$7,D2093&gt;E2093),"Erro","")</f>
        <v/>
      </c>
    </row>
    <row r="2094" spans="1:9" ht="33.75">
      <c r="A2094" s="345">
        <v>2091</v>
      </c>
      <c r="B2094" s="346" t="s">
        <v>258</v>
      </c>
      <c r="C2094" s="347">
        <v>243.16</v>
      </c>
      <c r="D2094" s="348">
        <v>46753</v>
      </c>
      <c r="E2094" s="348">
        <v>47027</v>
      </c>
      <c r="F2094" s="346" t="s">
        <v>640</v>
      </c>
      <c r="G2094" s="350" t="s">
        <v>448</v>
      </c>
      <c r="H2094" s="351">
        <f t="shared" si="34"/>
        <v>2431.6</v>
      </c>
      <c r="I2094" s="120" t="str">
        <f>IF(OR(D2094&lt;Capa!$A$5,D2094&gt;Capa!$A$7,E2094&lt;Capa!$A$5,E2094&gt;Capa!$A$7,D2094&gt;E2094),"Erro","")</f>
        <v/>
      </c>
    </row>
    <row r="2095" spans="1:9" ht="56.25">
      <c r="A2095" s="345">
        <v>2092</v>
      </c>
      <c r="B2095" s="346" t="s">
        <v>276</v>
      </c>
      <c r="C2095" s="347">
        <v>1100</v>
      </c>
      <c r="D2095" s="348">
        <v>45292</v>
      </c>
      <c r="E2095" s="348">
        <v>45627</v>
      </c>
      <c r="F2095" s="346" t="s">
        <v>640</v>
      </c>
      <c r="G2095" s="350" t="s">
        <v>449</v>
      </c>
      <c r="H2095" s="351">
        <f t="shared" si="34"/>
        <v>13200</v>
      </c>
      <c r="I2095" s="120" t="str">
        <f>IF(OR(D2095&lt;Capa!$A$5,D2095&gt;Capa!$A$7,E2095&lt;Capa!$A$5,E2095&gt;Capa!$A$7,D2095&gt;E2095),"Erro","")</f>
        <v/>
      </c>
    </row>
    <row r="2096" spans="1:9" ht="56.25">
      <c r="A2096" s="345">
        <v>2093</v>
      </c>
      <c r="B2096" s="346" t="s">
        <v>276</v>
      </c>
      <c r="C2096" s="347">
        <v>670</v>
      </c>
      <c r="D2096" s="348">
        <v>45658</v>
      </c>
      <c r="E2096" s="348">
        <v>45992</v>
      </c>
      <c r="F2096" s="346" t="s">
        <v>640</v>
      </c>
      <c r="G2096" s="350" t="s">
        <v>449</v>
      </c>
      <c r="H2096" s="351">
        <f t="shared" si="34"/>
        <v>8040</v>
      </c>
      <c r="I2096" s="120" t="str">
        <f>IF(OR(D2096&lt;Capa!$A$5,D2096&gt;Capa!$A$7,E2096&lt;Capa!$A$5,E2096&gt;Capa!$A$7,D2096&gt;E2096),"Erro","")</f>
        <v/>
      </c>
    </row>
    <row r="2097" spans="1:9" ht="56.25">
      <c r="A2097" s="345">
        <v>2094</v>
      </c>
      <c r="B2097" s="346" t="s">
        <v>276</v>
      </c>
      <c r="C2097" s="347">
        <v>670</v>
      </c>
      <c r="D2097" s="348">
        <v>46023</v>
      </c>
      <c r="E2097" s="348">
        <v>46357</v>
      </c>
      <c r="F2097" s="346" t="s">
        <v>640</v>
      </c>
      <c r="G2097" s="350" t="s">
        <v>449</v>
      </c>
      <c r="H2097" s="351">
        <f t="shared" si="34"/>
        <v>8040</v>
      </c>
      <c r="I2097" s="120" t="str">
        <f>IF(OR(D2097&lt;Capa!$A$5,D2097&gt;Capa!$A$7,E2097&lt;Capa!$A$5,E2097&gt;Capa!$A$7,D2097&gt;E2097),"Erro","")</f>
        <v/>
      </c>
    </row>
    <row r="2098" spans="1:9" ht="56.25">
      <c r="A2098" s="345">
        <v>2095</v>
      </c>
      <c r="B2098" s="346" t="s">
        <v>276</v>
      </c>
      <c r="C2098" s="347">
        <v>670</v>
      </c>
      <c r="D2098" s="348">
        <v>46388</v>
      </c>
      <c r="E2098" s="348">
        <v>46722</v>
      </c>
      <c r="F2098" s="346" t="s">
        <v>640</v>
      </c>
      <c r="G2098" s="350" t="s">
        <v>449</v>
      </c>
      <c r="H2098" s="351">
        <f t="shared" si="34"/>
        <v>8040</v>
      </c>
      <c r="I2098" s="120" t="str">
        <f>IF(OR(D2098&lt;Capa!$A$5,D2098&gt;Capa!$A$7,E2098&lt;Capa!$A$5,E2098&gt;Capa!$A$7,D2098&gt;E2098),"Erro","")</f>
        <v/>
      </c>
    </row>
    <row r="2099" spans="1:9" ht="56.25">
      <c r="A2099" s="345">
        <v>2096</v>
      </c>
      <c r="B2099" s="346" t="s">
        <v>276</v>
      </c>
      <c r="C2099" s="347">
        <v>670</v>
      </c>
      <c r="D2099" s="348">
        <v>46753</v>
      </c>
      <c r="E2099" s="348">
        <v>47058</v>
      </c>
      <c r="F2099" s="346" t="s">
        <v>640</v>
      </c>
      <c r="G2099" s="350" t="s">
        <v>449</v>
      </c>
      <c r="H2099" s="351">
        <f t="shared" si="34"/>
        <v>7370</v>
      </c>
      <c r="I2099" s="120" t="str">
        <f>IF(OR(D2099&lt;Capa!$A$5,D2099&gt;Capa!$A$7,E2099&lt;Capa!$A$5,E2099&gt;Capa!$A$7,D2099&gt;E2099),"Erro","")</f>
        <v/>
      </c>
    </row>
    <row r="2100" spans="1:9" ht="45">
      <c r="A2100" s="345">
        <v>2097</v>
      </c>
      <c r="B2100" s="346" t="s">
        <v>278</v>
      </c>
      <c r="C2100" s="347">
        <v>41000</v>
      </c>
      <c r="D2100" s="348">
        <v>45323</v>
      </c>
      <c r="E2100" s="348">
        <v>45627</v>
      </c>
      <c r="F2100" s="346" t="s">
        <v>640</v>
      </c>
      <c r="G2100" s="350" t="s">
        <v>450</v>
      </c>
      <c r="H2100" s="351">
        <f t="shared" si="34"/>
        <v>451000</v>
      </c>
      <c r="I2100" s="120" t="str">
        <f>IF(OR(D2100&lt;Capa!$A$5,D2100&gt;Capa!$A$7,E2100&lt;Capa!$A$5,E2100&gt;Capa!$A$7,D2100&gt;E2100),"Erro","")</f>
        <v/>
      </c>
    </row>
    <row r="2101" spans="1:9" ht="45">
      <c r="A2101" s="345">
        <v>2098</v>
      </c>
      <c r="B2101" s="346" t="s">
        <v>278</v>
      </c>
      <c r="C2101" s="347">
        <v>43786</v>
      </c>
      <c r="D2101" s="348">
        <v>45658</v>
      </c>
      <c r="E2101" s="348">
        <v>45992</v>
      </c>
      <c r="F2101" s="346" t="s">
        <v>640</v>
      </c>
      <c r="G2101" s="350" t="s">
        <v>450</v>
      </c>
      <c r="H2101" s="351">
        <f t="shared" ref="H2101:H2158" si="35">IFERROR((DATEDIF(D2101,E2101,"M")+1)*C2101,0)</f>
        <v>525432</v>
      </c>
      <c r="I2101" s="120" t="str">
        <f>IF(OR(D2101&lt;Capa!$A$5,D2101&gt;Capa!$A$7,E2101&lt;Capa!$A$5,E2101&gt;Capa!$A$7,D2101&gt;E2101),"Erro","")</f>
        <v/>
      </c>
    </row>
    <row r="2102" spans="1:9" ht="45">
      <c r="A2102" s="345">
        <v>2099</v>
      </c>
      <c r="B2102" s="346" t="s">
        <v>278</v>
      </c>
      <c r="C2102" s="347">
        <v>45562</v>
      </c>
      <c r="D2102" s="348">
        <v>46023</v>
      </c>
      <c r="E2102" s="348">
        <v>46357</v>
      </c>
      <c r="F2102" s="346" t="s">
        <v>640</v>
      </c>
      <c r="G2102" s="350" t="s">
        <v>450</v>
      </c>
      <c r="H2102" s="351">
        <f t="shared" si="35"/>
        <v>546744</v>
      </c>
      <c r="I2102" s="120" t="str">
        <f>IF(OR(D2102&lt;Capa!$A$5,D2102&gt;Capa!$A$7,E2102&lt;Capa!$A$5,E2102&gt;Capa!$A$7,D2102&gt;E2102),"Erro","")</f>
        <v/>
      </c>
    </row>
    <row r="2103" spans="1:9" ht="45">
      <c r="A2103" s="345">
        <v>2100</v>
      </c>
      <c r="B2103" s="346" t="s">
        <v>278</v>
      </c>
      <c r="C2103" s="347">
        <v>48222.82</v>
      </c>
      <c r="D2103" s="348">
        <v>46388</v>
      </c>
      <c r="E2103" s="348">
        <v>46722</v>
      </c>
      <c r="F2103" s="346" t="s">
        <v>640</v>
      </c>
      <c r="G2103" s="350" t="s">
        <v>450</v>
      </c>
      <c r="H2103" s="351">
        <f t="shared" si="35"/>
        <v>578673.84</v>
      </c>
      <c r="I2103" s="120" t="str">
        <f>IF(OR(D2103&lt;Capa!$A$5,D2103&gt;Capa!$A$7,E2103&lt;Capa!$A$5,E2103&gt;Capa!$A$7,D2103&gt;E2103),"Erro","")</f>
        <v/>
      </c>
    </row>
    <row r="2104" spans="1:9" ht="45">
      <c r="A2104" s="345">
        <v>2101</v>
      </c>
      <c r="B2104" s="346" t="s">
        <v>278</v>
      </c>
      <c r="C2104" s="347">
        <v>51039.03</v>
      </c>
      <c r="D2104" s="348">
        <v>46753</v>
      </c>
      <c r="E2104" s="348">
        <v>47058</v>
      </c>
      <c r="F2104" s="346" t="s">
        <v>640</v>
      </c>
      <c r="G2104" s="350" t="s">
        <v>450</v>
      </c>
      <c r="H2104" s="351">
        <f t="shared" si="35"/>
        <v>561429.32999999996</v>
      </c>
      <c r="I2104" s="120" t="str">
        <f>IF(OR(D2104&lt;Capa!$A$5,D2104&gt;Capa!$A$7,E2104&lt;Capa!$A$5,E2104&gt;Capa!$A$7,D2104&gt;E2104),"Erro","")</f>
        <v/>
      </c>
    </row>
    <row r="2105" spans="1:9" ht="56.25">
      <c r="A2105" s="345">
        <v>2102</v>
      </c>
      <c r="B2105" s="346" t="s">
        <v>280</v>
      </c>
      <c r="C2105" s="347">
        <v>100</v>
      </c>
      <c r="D2105" s="348">
        <v>45323</v>
      </c>
      <c r="E2105" s="348">
        <v>45627</v>
      </c>
      <c r="F2105" s="346" t="s">
        <v>640</v>
      </c>
      <c r="G2105" s="350" t="s">
        <v>451</v>
      </c>
      <c r="H2105" s="351">
        <f t="shared" si="35"/>
        <v>1100</v>
      </c>
      <c r="I2105" s="120" t="str">
        <f>IF(OR(D2105&lt;Capa!$A$5,D2105&gt;Capa!$A$7,E2105&lt;Capa!$A$5,E2105&gt;Capa!$A$7,D2105&gt;E2105),"Erro","")</f>
        <v/>
      </c>
    </row>
    <row r="2106" spans="1:9" ht="56.25">
      <c r="A2106" s="345">
        <v>2103</v>
      </c>
      <c r="B2106" s="346" t="s">
        <v>280</v>
      </c>
      <c r="C2106" s="347">
        <v>100</v>
      </c>
      <c r="D2106" s="348">
        <v>45658</v>
      </c>
      <c r="E2106" s="348">
        <v>45992</v>
      </c>
      <c r="F2106" s="346" t="s">
        <v>640</v>
      </c>
      <c r="G2106" s="350" t="s">
        <v>451</v>
      </c>
      <c r="H2106" s="351">
        <f t="shared" si="35"/>
        <v>1200</v>
      </c>
      <c r="I2106" s="120" t="str">
        <f>IF(OR(D2106&lt;Capa!$A$5,D2106&gt;Capa!$A$7,E2106&lt;Capa!$A$5,E2106&gt;Capa!$A$7,D2106&gt;E2106),"Erro","")</f>
        <v/>
      </c>
    </row>
    <row r="2107" spans="1:9" ht="56.25">
      <c r="A2107" s="345">
        <v>2104</v>
      </c>
      <c r="B2107" s="346" t="s">
        <v>280</v>
      </c>
      <c r="C2107" s="347">
        <v>100</v>
      </c>
      <c r="D2107" s="348">
        <v>46023</v>
      </c>
      <c r="E2107" s="348">
        <v>46357</v>
      </c>
      <c r="F2107" s="346" t="s">
        <v>640</v>
      </c>
      <c r="G2107" s="350" t="s">
        <v>451</v>
      </c>
      <c r="H2107" s="351">
        <f t="shared" si="35"/>
        <v>1200</v>
      </c>
      <c r="I2107" s="120" t="str">
        <f>IF(OR(D2107&lt;Capa!$A$5,D2107&gt;Capa!$A$7,E2107&lt;Capa!$A$5,E2107&gt;Capa!$A$7,D2107&gt;E2107),"Erro","")</f>
        <v/>
      </c>
    </row>
    <row r="2108" spans="1:9" ht="56.25">
      <c r="A2108" s="345">
        <v>2105</v>
      </c>
      <c r="B2108" s="346" t="s">
        <v>280</v>
      </c>
      <c r="C2108" s="347">
        <v>100</v>
      </c>
      <c r="D2108" s="348">
        <v>46388</v>
      </c>
      <c r="E2108" s="348">
        <v>46722</v>
      </c>
      <c r="F2108" s="346" t="s">
        <v>640</v>
      </c>
      <c r="G2108" s="350" t="s">
        <v>451</v>
      </c>
      <c r="H2108" s="351">
        <f t="shared" si="35"/>
        <v>1200</v>
      </c>
      <c r="I2108" s="120" t="str">
        <f>IF(OR(D2108&lt;Capa!$A$5,D2108&gt;Capa!$A$7,E2108&lt;Capa!$A$5,E2108&gt;Capa!$A$7,D2108&gt;E2108),"Erro","")</f>
        <v/>
      </c>
    </row>
    <row r="2109" spans="1:9" ht="56.25">
      <c r="A2109" s="345">
        <v>2106</v>
      </c>
      <c r="B2109" s="346" t="s">
        <v>280</v>
      </c>
      <c r="C2109" s="347">
        <v>100</v>
      </c>
      <c r="D2109" s="348">
        <v>46753</v>
      </c>
      <c r="E2109" s="348">
        <v>47058</v>
      </c>
      <c r="F2109" s="346" t="s">
        <v>640</v>
      </c>
      <c r="G2109" s="350" t="s">
        <v>451</v>
      </c>
      <c r="H2109" s="351">
        <f t="shared" si="35"/>
        <v>1100</v>
      </c>
      <c r="I2109" s="120" t="str">
        <f>IF(OR(D2109&lt;Capa!$A$5,D2109&gt;Capa!$A$7,E2109&lt;Capa!$A$5,E2109&gt;Capa!$A$7,D2109&gt;E2109),"Erro","")</f>
        <v/>
      </c>
    </row>
    <row r="2110" spans="1:9" ht="45">
      <c r="A2110" s="345">
        <v>2107</v>
      </c>
      <c r="B2110" s="346" t="s">
        <v>282</v>
      </c>
      <c r="C2110" s="347">
        <v>702.18</v>
      </c>
      <c r="D2110" s="348">
        <v>45323</v>
      </c>
      <c r="E2110" s="348">
        <v>45627</v>
      </c>
      <c r="F2110" s="346" t="s">
        <v>640</v>
      </c>
      <c r="G2110" s="350" t="s">
        <v>452</v>
      </c>
      <c r="H2110" s="351">
        <f t="shared" si="35"/>
        <v>7723.98</v>
      </c>
      <c r="I2110" s="120" t="str">
        <f>IF(OR(D2110&lt;Capa!$A$5,D2110&gt;Capa!$A$7,E2110&lt;Capa!$A$5,E2110&gt;Capa!$A$7,D2110&gt;E2110),"Erro","")</f>
        <v/>
      </c>
    </row>
    <row r="2111" spans="1:9" ht="45">
      <c r="A2111" s="345">
        <v>2108</v>
      </c>
      <c r="B2111" s="346" t="s">
        <v>282</v>
      </c>
      <c r="C2111" s="347">
        <v>743.18</v>
      </c>
      <c r="D2111" s="348">
        <v>45658</v>
      </c>
      <c r="E2111" s="348">
        <v>45992</v>
      </c>
      <c r="F2111" s="346" t="s">
        <v>640</v>
      </c>
      <c r="G2111" s="350" t="s">
        <v>452</v>
      </c>
      <c r="H2111" s="351">
        <f t="shared" si="35"/>
        <v>8918.16</v>
      </c>
      <c r="I2111" s="120" t="str">
        <f>IF(OR(D2111&lt;Capa!$A$5,D2111&gt;Capa!$A$7,E2111&lt;Capa!$A$5,E2111&gt;Capa!$A$7,D2111&gt;E2111),"Erro","")</f>
        <v/>
      </c>
    </row>
    <row r="2112" spans="1:9" ht="45">
      <c r="A2112" s="345">
        <v>2109</v>
      </c>
      <c r="B2112" s="346" t="s">
        <v>282</v>
      </c>
      <c r="C2112" s="347">
        <v>786.59</v>
      </c>
      <c r="D2112" s="348">
        <v>46023</v>
      </c>
      <c r="E2112" s="348">
        <v>46357</v>
      </c>
      <c r="F2112" s="346" t="s">
        <v>640</v>
      </c>
      <c r="G2112" s="350" t="s">
        <v>452</v>
      </c>
      <c r="H2112" s="351">
        <f t="shared" si="35"/>
        <v>9439.08</v>
      </c>
      <c r="I2112" s="120" t="str">
        <f>IF(OR(D2112&lt;Capa!$A$5,D2112&gt;Capa!$A$7,E2112&lt;Capa!$A$5,E2112&gt;Capa!$A$7,D2112&gt;E2112),"Erro","")</f>
        <v/>
      </c>
    </row>
    <row r="2113" spans="1:9" ht="45">
      <c r="A2113" s="345">
        <v>2110</v>
      </c>
      <c r="B2113" s="346" t="s">
        <v>282</v>
      </c>
      <c r="C2113" s="347">
        <v>832.52</v>
      </c>
      <c r="D2113" s="348">
        <v>46388</v>
      </c>
      <c r="E2113" s="348">
        <v>46722</v>
      </c>
      <c r="F2113" s="346" t="s">
        <v>640</v>
      </c>
      <c r="G2113" s="350" t="s">
        <v>452</v>
      </c>
      <c r="H2113" s="351">
        <f t="shared" si="35"/>
        <v>9990.24</v>
      </c>
      <c r="I2113" s="120" t="str">
        <f>IF(OR(D2113&lt;Capa!$A$5,D2113&gt;Capa!$A$7,E2113&lt;Capa!$A$5,E2113&gt;Capa!$A$7,D2113&gt;E2113),"Erro","")</f>
        <v/>
      </c>
    </row>
    <row r="2114" spans="1:9" ht="45">
      <c r="A2114" s="345">
        <v>2111</v>
      </c>
      <c r="B2114" s="346" t="s">
        <v>282</v>
      </c>
      <c r="C2114" s="347">
        <v>881.14</v>
      </c>
      <c r="D2114" s="348">
        <v>46753</v>
      </c>
      <c r="E2114" s="348">
        <v>47058</v>
      </c>
      <c r="F2114" s="346" t="s">
        <v>640</v>
      </c>
      <c r="G2114" s="350" t="s">
        <v>452</v>
      </c>
      <c r="H2114" s="351">
        <f t="shared" si="35"/>
        <v>9692.5399999999991</v>
      </c>
      <c r="I2114" s="120" t="str">
        <f>IF(OR(D2114&lt;Capa!$A$5,D2114&gt;Capa!$A$7,E2114&lt;Capa!$A$5,E2114&gt;Capa!$A$7,D2114&gt;E2114),"Erro","")</f>
        <v/>
      </c>
    </row>
    <row r="2115" spans="1:9" ht="45">
      <c r="A2115" s="345">
        <v>2112</v>
      </c>
      <c r="B2115" s="346" t="s">
        <v>284</v>
      </c>
      <c r="C2115" s="347">
        <v>1013.31</v>
      </c>
      <c r="D2115" s="348">
        <v>45323</v>
      </c>
      <c r="E2115" s="348">
        <v>45627</v>
      </c>
      <c r="F2115" s="346" t="s">
        <v>640</v>
      </c>
      <c r="G2115" s="350" t="s">
        <v>452</v>
      </c>
      <c r="H2115" s="351">
        <f t="shared" si="35"/>
        <v>11146.41</v>
      </c>
      <c r="I2115" s="120" t="str">
        <f>IF(OR(D2115&lt;Capa!$A$5,D2115&gt;Capa!$A$7,E2115&lt;Capa!$A$5,E2115&gt;Capa!$A$7,D2115&gt;E2115),"Erro","")</f>
        <v/>
      </c>
    </row>
    <row r="2116" spans="1:9" ht="45">
      <c r="A2116" s="345">
        <v>2113</v>
      </c>
      <c r="B2116" s="346" t="s">
        <v>284</v>
      </c>
      <c r="C2116" s="347">
        <v>1072.49</v>
      </c>
      <c r="D2116" s="348">
        <v>45658</v>
      </c>
      <c r="E2116" s="348">
        <v>45992</v>
      </c>
      <c r="F2116" s="346" t="s">
        <v>640</v>
      </c>
      <c r="G2116" s="350" t="s">
        <v>452</v>
      </c>
      <c r="H2116" s="351">
        <f t="shared" si="35"/>
        <v>12869.880000000001</v>
      </c>
      <c r="I2116" s="120" t="str">
        <f>IF(OR(D2116&lt;Capa!$A$5,D2116&gt;Capa!$A$7,E2116&lt;Capa!$A$5,E2116&gt;Capa!$A$7,D2116&gt;E2116),"Erro","")</f>
        <v/>
      </c>
    </row>
    <row r="2117" spans="1:9" ht="45">
      <c r="A2117" s="345">
        <v>2114</v>
      </c>
      <c r="B2117" s="346" t="s">
        <v>284</v>
      </c>
      <c r="C2117" s="347">
        <v>1135.1199999999999</v>
      </c>
      <c r="D2117" s="348">
        <v>46023</v>
      </c>
      <c r="E2117" s="348">
        <v>46357</v>
      </c>
      <c r="F2117" s="346" t="s">
        <v>640</v>
      </c>
      <c r="G2117" s="350" t="s">
        <v>452</v>
      </c>
      <c r="H2117" s="351">
        <f t="shared" si="35"/>
        <v>13621.439999999999</v>
      </c>
      <c r="I2117" s="120" t="str">
        <f>IF(OR(D2117&lt;Capa!$A$5,D2117&gt;Capa!$A$7,E2117&lt;Capa!$A$5,E2117&gt;Capa!$A$7,D2117&gt;E2117),"Erro","")</f>
        <v/>
      </c>
    </row>
    <row r="2118" spans="1:9" ht="45">
      <c r="A2118" s="345">
        <v>2115</v>
      </c>
      <c r="B2118" s="346" t="s">
        <v>284</v>
      </c>
      <c r="C2118" s="347">
        <v>1201.42</v>
      </c>
      <c r="D2118" s="348">
        <v>46388</v>
      </c>
      <c r="E2118" s="348">
        <v>46722</v>
      </c>
      <c r="F2118" s="346" t="s">
        <v>640</v>
      </c>
      <c r="G2118" s="350" t="s">
        <v>452</v>
      </c>
      <c r="H2118" s="351">
        <f t="shared" si="35"/>
        <v>14417.04</v>
      </c>
      <c r="I2118" s="120" t="str">
        <f>IF(OR(D2118&lt;Capa!$A$5,D2118&gt;Capa!$A$7,E2118&lt;Capa!$A$5,E2118&gt;Capa!$A$7,D2118&gt;E2118),"Erro","")</f>
        <v/>
      </c>
    </row>
    <row r="2119" spans="1:9" ht="45">
      <c r="A2119" s="345">
        <v>2116</v>
      </c>
      <c r="B2119" s="346" t="s">
        <v>284</v>
      </c>
      <c r="C2119" s="347">
        <v>1271.58</v>
      </c>
      <c r="D2119" s="348">
        <v>46753</v>
      </c>
      <c r="E2119" s="348">
        <v>47058</v>
      </c>
      <c r="F2119" s="346" t="s">
        <v>640</v>
      </c>
      <c r="G2119" s="350" t="s">
        <v>452</v>
      </c>
      <c r="H2119" s="351">
        <f t="shared" si="35"/>
        <v>13987.38</v>
      </c>
      <c r="I2119" s="120" t="str">
        <f>IF(OR(D2119&lt;Capa!$A$5,D2119&gt;Capa!$A$7,E2119&lt;Capa!$A$5,E2119&gt;Capa!$A$7,D2119&gt;E2119),"Erro","")</f>
        <v/>
      </c>
    </row>
    <row r="2120" spans="1:9" ht="45">
      <c r="A2120" s="345">
        <v>2117</v>
      </c>
      <c r="B2120" s="346" t="s">
        <v>286</v>
      </c>
      <c r="C2120" s="347">
        <v>1013.31</v>
      </c>
      <c r="D2120" s="348">
        <v>45323</v>
      </c>
      <c r="E2120" s="348">
        <v>45627</v>
      </c>
      <c r="F2120" s="346" t="s">
        <v>640</v>
      </c>
      <c r="G2120" s="350" t="s">
        <v>452</v>
      </c>
      <c r="H2120" s="351">
        <f t="shared" si="35"/>
        <v>11146.41</v>
      </c>
      <c r="I2120" s="120" t="str">
        <f>IF(OR(D2120&lt;Capa!$A$5,D2120&gt;Capa!$A$7,E2120&lt;Capa!$A$5,E2120&gt;Capa!$A$7,D2120&gt;E2120),"Erro","")</f>
        <v/>
      </c>
    </row>
    <row r="2121" spans="1:9" ht="45">
      <c r="A2121" s="345">
        <v>2118</v>
      </c>
      <c r="B2121" s="346" t="s">
        <v>286</v>
      </c>
      <c r="C2121" s="347">
        <v>1072.49</v>
      </c>
      <c r="D2121" s="348">
        <v>45658</v>
      </c>
      <c r="E2121" s="348">
        <v>45992</v>
      </c>
      <c r="F2121" s="346" t="s">
        <v>640</v>
      </c>
      <c r="G2121" s="350" t="s">
        <v>452</v>
      </c>
      <c r="H2121" s="351">
        <f t="shared" si="35"/>
        <v>12869.880000000001</v>
      </c>
      <c r="I2121" s="120" t="str">
        <f>IF(OR(D2121&lt;Capa!$A$5,D2121&gt;Capa!$A$7,E2121&lt;Capa!$A$5,E2121&gt;Capa!$A$7,D2121&gt;E2121),"Erro","")</f>
        <v/>
      </c>
    </row>
    <row r="2122" spans="1:9" ht="45">
      <c r="A2122" s="345">
        <v>2119</v>
      </c>
      <c r="B2122" s="346" t="s">
        <v>286</v>
      </c>
      <c r="C2122" s="347">
        <v>1134.5999999999999</v>
      </c>
      <c r="D2122" s="348">
        <v>46023</v>
      </c>
      <c r="E2122" s="348">
        <v>46357</v>
      </c>
      <c r="F2122" s="346" t="s">
        <v>640</v>
      </c>
      <c r="G2122" s="350" t="s">
        <v>452</v>
      </c>
      <c r="H2122" s="351">
        <f t="shared" si="35"/>
        <v>13615.199999999999</v>
      </c>
      <c r="I2122" s="120" t="str">
        <f>IF(OR(D2122&lt;Capa!$A$5,D2122&gt;Capa!$A$7,E2122&lt;Capa!$A$5,E2122&gt;Capa!$A$7,D2122&gt;E2122),"Erro","")</f>
        <v/>
      </c>
    </row>
    <row r="2123" spans="1:9" ht="45">
      <c r="A2123" s="345">
        <v>2120</v>
      </c>
      <c r="B2123" s="346" t="s">
        <v>286</v>
      </c>
      <c r="C2123" s="347">
        <v>1200.8599999999999</v>
      </c>
      <c r="D2123" s="348">
        <v>46388</v>
      </c>
      <c r="E2123" s="348">
        <v>46722</v>
      </c>
      <c r="F2123" s="346" t="s">
        <v>640</v>
      </c>
      <c r="G2123" s="350" t="s">
        <v>452</v>
      </c>
      <c r="H2123" s="351">
        <f t="shared" si="35"/>
        <v>14410.32</v>
      </c>
      <c r="I2123" s="120" t="str">
        <f>IF(OR(D2123&lt;Capa!$A$5,D2123&gt;Capa!$A$7,E2123&lt;Capa!$A$5,E2123&gt;Capa!$A$7,D2123&gt;E2123),"Erro","")</f>
        <v/>
      </c>
    </row>
    <row r="2124" spans="1:9" ht="45">
      <c r="A2124" s="345">
        <v>2121</v>
      </c>
      <c r="B2124" s="346" t="s">
        <v>286</v>
      </c>
      <c r="C2124" s="347">
        <v>1270.99</v>
      </c>
      <c r="D2124" s="348">
        <v>46753</v>
      </c>
      <c r="E2124" s="348">
        <v>47058</v>
      </c>
      <c r="F2124" s="346" t="s">
        <v>640</v>
      </c>
      <c r="G2124" s="350" t="s">
        <v>452</v>
      </c>
      <c r="H2124" s="351">
        <f t="shared" si="35"/>
        <v>13980.89</v>
      </c>
      <c r="I2124" s="120" t="str">
        <f>IF(OR(D2124&lt;Capa!$A$5,D2124&gt;Capa!$A$7,E2124&lt;Capa!$A$5,E2124&gt;Capa!$A$7,D2124&gt;E2124),"Erro","")</f>
        <v/>
      </c>
    </row>
    <row r="2125" spans="1:9" ht="45">
      <c r="A2125" s="345">
        <v>2122</v>
      </c>
      <c r="B2125" s="346" t="s">
        <v>288</v>
      </c>
      <c r="C2125" s="347">
        <v>200</v>
      </c>
      <c r="D2125" s="348">
        <v>45323</v>
      </c>
      <c r="E2125" s="348">
        <v>45627</v>
      </c>
      <c r="F2125" s="346" t="s">
        <v>640</v>
      </c>
      <c r="G2125" s="350" t="s">
        <v>453</v>
      </c>
      <c r="H2125" s="351">
        <f t="shared" si="35"/>
        <v>2200</v>
      </c>
      <c r="I2125" s="120" t="str">
        <f>IF(OR(D2125&lt;Capa!$A$5,D2125&gt;Capa!$A$7,E2125&lt;Capa!$A$5,E2125&gt;Capa!$A$7,D2125&gt;E2125),"Erro","")</f>
        <v/>
      </c>
    </row>
    <row r="2126" spans="1:9" ht="45">
      <c r="A2126" s="345">
        <v>2123</v>
      </c>
      <c r="B2126" s="346" t="s">
        <v>288</v>
      </c>
      <c r="C2126" s="347">
        <v>200</v>
      </c>
      <c r="D2126" s="348">
        <v>45658</v>
      </c>
      <c r="E2126" s="348">
        <v>45992</v>
      </c>
      <c r="F2126" s="346" t="s">
        <v>640</v>
      </c>
      <c r="G2126" s="350" t="s">
        <v>453</v>
      </c>
      <c r="H2126" s="351">
        <f t="shared" si="35"/>
        <v>2400</v>
      </c>
      <c r="I2126" s="120" t="str">
        <f>IF(OR(D2126&lt;Capa!$A$5,D2126&gt;Capa!$A$7,E2126&lt;Capa!$A$5,E2126&gt;Capa!$A$7,D2126&gt;E2126),"Erro","")</f>
        <v/>
      </c>
    </row>
    <row r="2127" spans="1:9" ht="45">
      <c r="A2127" s="345">
        <v>2124</v>
      </c>
      <c r="B2127" s="346" t="s">
        <v>288</v>
      </c>
      <c r="C2127" s="347">
        <v>200</v>
      </c>
      <c r="D2127" s="348">
        <v>46023</v>
      </c>
      <c r="E2127" s="348">
        <v>46357</v>
      </c>
      <c r="F2127" s="346" t="s">
        <v>640</v>
      </c>
      <c r="G2127" s="350" t="s">
        <v>453</v>
      </c>
      <c r="H2127" s="351">
        <f t="shared" si="35"/>
        <v>2400</v>
      </c>
      <c r="I2127" s="120" t="str">
        <f>IF(OR(D2127&lt;Capa!$A$5,D2127&gt;Capa!$A$7,E2127&lt;Capa!$A$5,E2127&gt;Capa!$A$7,D2127&gt;E2127),"Erro","")</f>
        <v/>
      </c>
    </row>
    <row r="2128" spans="1:9" ht="45">
      <c r="A2128" s="345">
        <v>2125</v>
      </c>
      <c r="B2128" s="346" t="s">
        <v>288</v>
      </c>
      <c r="C2128" s="347">
        <v>200</v>
      </c>
      <c r="D2128" s="348">
        <v>46388</v>
      </c>
      <c r="E2128" s="348">
        <v>46722</v>
      </c>
      <c r="F2128" s="346" t="s">
        <v>640</v>
      </c>
      <c r="G2128" s="350" t="s">
        <v>453</v>
      </c>
      <c r="H2128" s="351">
        <f t="shared" si="35"/>
        <v>2400</v>
      </c>
      <c r="I2128" s="120" t="str">
        <f>IF(OR(D2128&lt;Capa!$A$5,D2128&gt;Capa!$A$7,E2128&lt;Capa!$A$5,E2128&gt;Capa!$A$7,D2128&gt;E2128),"Erro","")</f>
        <v/>
      </c>
    </row>
    <row r="2129" spans="1:9" ht="45">
      <c r="A2129" s="345">
        <v>2126</v>
      </c>
      <c r="B2129" s="346" t="s">
        <v>288</v>
      </c>
      <c r="C2129" s="347">
        <v>200</v>
      </c>
      <c r="D2129" s="348">
        <v>46753</v>
      </c>
      <c r="E2129" s="348">
        <v>47058</v>
      </c>
      <c r="F2129" s="346" t="s">
        <v>640</v>
      </c>
      <c r="G2129" s="350" t="s">
        <v>453</v>
      </c>
      <c r="H2129" s="351">
        <f t="shared" si="35"/>
        <v>2200</v>
      </c>
      <c r="I2129" s="120" t="str">
        <f>IF(OR(D2129&lt;Capa!$A$5,D2129&gt;Capa!$A$7,E2129&lt;Capa!$A$5,E2129&gt;Capa!$A$7,D2129&gt;E2129),"Erro","")</f>
        <v/>
      </c>
    </row>
    <row r="2130" spans="1:9" ht="33.75">
      <c r="A2130" s="345">
        <v>2127</v>
      </c>
      <c r="B2130" s="346" t="s">
        <v>294</v>
      </c>
      <c r="C2130" s="347">
        <v>7000</v>
      </c>
      <c r="D2130" s="348">
        <v>45323</v>
      </c>
      <c r="E2130" s="348">
        <v>45627</v>
      </c>
      <c r="F2130" s="346" t="s">
        <v>640</v>
      </c>
      <c r="G2130" s="350" t="s">
        <v>454</v>
      </c>
      <c r="H2130" s="351">
        <f t="shared" si="35"/>
        <v>77000</v>
      </c>
      <c r="I2130" s="120" t="str">
        <f>IF(OR(D2130&lt;Capa!$A$5,D2130&gt;Capa!$A$7,E2130&lt;Capa!$A$5,E2130&gt;Capa!$A$7,D2130&gt;E2130),"Erro","")</f>
        <v/>
      </c>
    </row>
    <row r="2131" spans="1:9" ht="33.75">
      <c r="A2131" s="345">
        <v>2128</v>
      </c>
      <c r="B2131" s="346" t="s">
        <v>294</v>
      </c>
      <c r="C2131" s="347">
        <v>7408.8</v>
      </c>
      <c r="D2131" s="348">
        <v>45658</v>
      </c>
      <c r="E2131" s="348">
        <v>45992</v>
      </c>
      <c r="F2131" s="346" t="s">
        <v>640</v>
      </c>
      <c r="G2131" s="350" t="s">
        <v>454</v>
      </c>
      <c r="H2131" s="351">
        <f t="shared" si="35"/>
        <v>88905.600000000006</v>
      </c>
      <c r="I2131" s="120" t="str">
        <f>IF(OR(D2131&lt;Capa!$A$5,D2131&gt;Capa!$A$7,E2131&lt;Capa!$A$5,E2131&gt;Capa!$A$7,D2131&gt;E2131),"Erro","")</f>
        <v/>
      </c>
    </row>
    <row r="2132" spans="1:9" ht="33.75">
      <c r="A2132" s="345">
        <v>2129</v>
      </c>
      <c r="B2132" s="346" t="s">
        <v>294</v>
      </c>
      <c r="C2132" s="347">
        <v>7847.65</v>
      </c>
      <c r="D2132" s="348">
        <v>46023</v>
      </c>
      <c r="E2132" s="348">
        <v>46357</v>
      </c>
      <c r="F2132" s="346" t="s">
        <v>640</v>
      </c>
      <c r="G2132" s="350" t="s">
        <v>454</v>
      </c>
      <c r="H2132" s="351">
        <f t="shared" si="35"/>
        <v>94171.799999999988</v>
      </c>
      <c r="I2132" s="120" t="str">
        <f>IF(OR(D2132&lt;Capa!$A$5,D2132&gt;Capa!$A$7,E2132&lt;Capa!$A$5,E2132&gt;Capa!$A$7,D2132&gt;E2132),"Erro","")</f>
        <v/>
      </c>
    </row>
    <row r="2133" spans="1:9" ht="33.75">
      <c r="A2133" s="345">
        <v>2130</v>
      </c>
      <c r="B2133" s="346" t="s">
        <v>294</v>
      </c>
      <c r="C2133" s="347">
        <v>8305.9500000000007</v>
      </c>
      <c r="D2133" s="348">
        <v>46388</v>
      </c>
      <c r="E2133" s="348">
        <v>46722</v>
      </c>
      <c r="F2133" s="346" t="s">
        <v>640</v>
      </c>
      <c r="G2133" s="350" t="s">
        <v>454</v>
      </c>
      <c r="H2133" s="351">
        <f t="shared" si="35"/>
        <v>99671.400000000009</v>
      </c>
      <c r="I2133" s="120" t="str">
        <f>IF(OR(D2133&lt;Capa!$A$5,D2133&gt;Capa!$A$7,E2133&lt;Capa!$A$5,E2133&gt;Capa!$A$7,D2133&gt;E2133),"Erro","")</f>
        <v/>
      </c>
    </row>
    <row r="2134" spans="1:9" ht="33.75">
      <c r="A2134" s="345">
        <v>2131</v>
      </c>
      <c r="B2134" s="346" t="s">
        <v>294</v>
      </c>
      <c r="C2134" s="347">
        <v>8791.02</v>
      </c>
      <c r="D2134" s="348">
        <v>46753</v>
      </c>
      <c r="E2134" s="348">
        <v>47058</v>
      </c>
      <c r="F2134" s="346" t="s">
        <v>640</v>
      </c>
      <c r="G2134" s="350" t="s">
        <v>454</v>
      </c>
      <c r="H2134" s="351">
        <f t="shared" si="35"/>
        <v>96701.22</v>
      </c>
      <c r="I2134" s="120" t="str">
        <f>IF(OR(D2134&lt;Capa!$A$5,D2134&gt;Capa!$A$7,E2134&lt;Capa!$A$5,E2134&gt;Capa!$A$7,D2134&gt;E2134),"Erro","")</f>
        <v/>
      </c>
    </row>
    <row r="2135" spans="1:9" ht="22.5">
      <c r="A2135" s="345">
        <v>2132</v>
      </c>
      <c r="B2135" s="346" t="s">
        <v>302</v>
      </c>
      <c r="C2135" s="347">
        <v>250</v>
      </c>
      <c r="D2135" s="348">
        <v>45292</v>
      </c>
      <c r="E2135" s="348">
        <v>45627</v>
      </c>
      <c r="F2135" s="346" t="s">
        <v>640</v>
      </c>
      <c r="G2135" s="350" t="s">
        <v>455</v>
      </c>
      <c r="H2135" s="351">
        <f t="shared" si="35"/>
        <v>3000</v>
      </c>
      <c r="I2135" s="120" t="str">
        <f>IF(OR(D2135&lt;Capa!$A$5,D2135&gt;Capa!$A$7,E2135&lt;Capa!$A$5,E2135&gt;Capa!$A$7,D2135&gt;E2135),"Erro","")</f>
        <v/>
      </c>
    </row>
    <row r="2136" spans="1:9" ht="22.5">
      <c r="A2136" s="345">
        <v>2133</v>
      </c>
      <c r="B2136" s="346" t="s">
        <v>302</v>
      </c>
      <c r="C2136" s="347">
        <v>210</v>
      </c>
      <c r="D2136" s="348">
        <v>45658</v>
      </c>
      <c r="E2136" s="348">
        <v>45992</v>
      </c>
      <c r="F2136" s="346" t="s">
        <v>640</v>
      </c>
      <c r="G2136" s="350" t="s">
        <v>455</v>
      </c>
      <c r="H2136" s="351">
        <f t="shared" si="35"/>
        <v>2520</v>
      </c>
      <c r="I2136" s="120" t="str">
        <f>IF(OR(D2136&lt;Capa!$A$5,D2136&gt;Capa!$A$7,E2136&lt;Capa!$A$5,E2136&gt;Capa!$A$7,D2136&gt;E2136),"Erro","")</f>
        <v/>
      </c>
    </row>
    <row r="2137" spans="1:9" ht="22.5">
      <c r="A2137" s="345">
        <v>2134</v>
      </c>
      <c r="B2137" s="346" t="s">
        <v>302</v>
      </c>
      <c r="C2137" s="347">
        <v>210</v>
      </c>
      <c r="D2137" s="348">
        <v>46023</v>
      </c>
      <c r="E2137" s="348">
        <v>46357</v>
      </c>
      <c r="F2137" s="346" t="s">
        <v>640</v>
      </c>
      <c r="G2137" s="350" t="s">
        <v>455</v>
      </c>
      <c r="H2137" s="351">
        <f t="shared" si="35"/>
        <v>2520</v>
      </c>
      <c r="I2137" s="120" t="str">
        <f>IF(OR(D2137&lt;Capa!$A$5,D2137&gt;Capa!$A$7,E2137&lt;Capa!$A$5,E2137&gt;Capa!$A$7,D2137&gt;E2137),"Erro","")</f>
        <v/>
      </c>
    </row>
    <row r="2138" spans="1:9" ht="22.5">
      <c r="A2138" s="345">
        <v>2135</v>
      </c>
      <c r="B2138" s="346" t="s">
        <v>302</v>
      </c>
      <c r="C2138" s="347">
        <v>210</v>
      </c>
      <c r="D2138" s="348">
        <v>46388</v>
      </c>
      <c r="E2138" s="348">
        <v>46722</v>
      </c>
      <c r="F2138" s="346" t="s">
        <v>640</v>
      </c>
      <c r="G2138" s="350" t="s">
        <v>455</v>
      </c>
      <c r="H2138" s="351">
        <f t="shared" si="35"/>
        <v>2520</v>
      </c>
      <c r="I2138" s="120" t="str">
        <f>IF(OR(D2138&lt;Capa!$A$5,D2138&gt;Capa!$A$7,E2138&lt;Capa!$A$5,E2138&gt;Capa!$A$7,D2138&gt;E2138),"Erro","")</f>
        <v/>
      </c>
    </row>
    <row r="2139" spans="1:9" ht="22.5">
      <c r="A2139" s="345">
        <v>2136</v>
      </c>
      <c r="B2139" s="346" t="s">
        <v>302</v>
      </c>
      <c r="C2139" s="347">
        <v>210</v>
      </c>
      <c r="D2139" s="348">
        <v>46753</v>
      </c>
      <c r="E2139" s="348">
        <v>47058</v>
      </c>
      <c r="F2139" s="346" t="s">
        <v>640</v>
      </c>
      <c r="G2139" s="350" t="s">
        <v>455</v>
      </c>
      <c r="H2139" s="351">
        <f t="shared" si="35"/>
        <v>2310</v>
      </c>
      <c r="I2139" s="120" t="str">
        <f>IF(OR(D2139&lt;Capa!$A$5,D2139&gt;Capa!$A$7,E2139&lt;Capa!$A$5,E2139&gt;Capa!$A$7,D2139&gt;E2139),"Erro","")</f>
        <v/>
      </c>
    </row>
    <row r="2140" spans="1:9" ht="33.75">
      <c r="A2140" s="345">
        <v>2137</v>
      </c>
      <c r="B2140" s="346" t="s">
        <v>304</v>
      </c>
      <c r="C2140" s="347">
        <v>1800</v>
      </c>
      <c r="D2140" s="348">
        <v>45292</v>
      </c>
      <c r="E2140" s="348">
        <v>45627</v>
      </c>
      <c r="F2140" s="346" t="s">
        <v>640</v>
      </c>
      <c r="G2140" s="350" t="s">
        <v>456</v>
      </c>
      <c r="H2140" s="351">
        <f t="shared" si="35"/>
        <v>21600</v>
      </c>
      <c r="I2140" s="120" t="str">
        <f>IF(OR(D2140&lt;Capa!$A$5,D2140&gt;Capa!$A$7,E2140&lt;Capa!$A$5,E2140&gt;Capa!$A$7,D2140&gt;E2140),"Erro","")</f>
        <v/>
      </c>
    </row>
    <row r="2141" spans="1:9" ht="33.75">
      <c r="A2141" s="345">
        <v>2138</v>
      </c>
      <c r="B2141" s="346" t="s">
        <v>304</v>
      </c>
      <c r="C2141" s="347">
        <v>1905.12</v>
      </c>
      <c r="D2141" s="348">
        <v>45658</v>
      </c>
      <c r="E2141" s="348">
        <v>45992</v>
      </c>
      <c r="F2141" s="346" t="s">
        <v>640</v>
      </c>
      <c r="G2141" s="350" t="s">
        <v>456</v>
      </c>
      <c r="H2141" s="351">
        <f t="shared" si="35"/>
        <v>22861.439999999999</v>
      </c>
      <c r="I2141" s="120" t="str">
        <f>IF(OR(D2141&lt;Capa!$A$5,D2141&gt;Capa!$A$7,E2141&lt;Capa!$A$5,E2141&gt;Capa!$A$7,D2141&gt;E2141),"Erro","")</f>
        <v/>
      </c>
    </row>
    <row r="2142" spans="1:9" ht="33.75">
      <c r="A2142" s="345">
        <v>2139</v>
      </c>
      <c r="B2142" s="346" t="s">
        <v>304</v>
      </c>
      <c r="C2142" s="347">
        <v>2016.37</v>
      </c>
      <c r="D2142" s="348">
        <v>46023</v>
      </c>
      <c r="E2142" s="348">
        <v>46357</v>
      </c>
      <c r="F2142" s="346" t="s">
        <v>640</v>
      </c>
      <c r="G2142" s="350" t="s">
        <v>456</v>
      </c>
      <c r="H2142" s="351">
        <f t="shared" si="35"/>
        <v>24196.44</v>
      </c>
      <c r="I2142" s="120" t="str">
        <f>IF(OR(D2142&lt;Capa!$A$5,D2142&gt;Capa!$A$7,E2142&lt;Capa!$A$5,E2142&gt;Capa!$A$7,D2142&gt;E2142),"Erro","")</f>
        <v/>
      </c>
    </row>
    <row r="2143" spans="1:9" ht="33.75">
      <c r="A2143" s="345">
        <v>2140</v>
      </c>
      <c r="B2143" s="346" t="s">
        <v>304</v>
      </c>
      <c r="C2143" s="347">
        <v>2134.13</v>
      </c>
      <c r="D2143" s="348">
        <v>46388</v>
      </c>
      <c r="E2143" s="348">
        <v>46722</v>
      </c>
      <c r="F2143" s="346" t="s">
        <v>640</v>
      </c>
      <c r="G2143" s="350" t="s">
        <v>456</v>
      </c>
      <c r="H2143" s="351">
        <f t="shared" si="35"/>
        <v>25609.56</v>
      </c>
      <c r="I2143" s="120" t="str">
        <f>IF(OR(D2143&lt;Capa!$A$5,D2143&gt;Capa!$A$7,E2143&lt;Capa!$A$5,E2143&gt;Capa!$A$7,D2143&gt;E2143),"Erro","")</f>
        <v/>
      </c>
    </row>
    <row r="2144" spans="1:9" ht="33.75">
      <c r="A2144" s="345">
        <v>2141</v>
      </c>
      <c r="B2144" s="346" t="s">
        <v>304</v>
      </c>
      <c r="C2144" s="347">
        <v>2258.7600000000002</v>
      </c>
      <c r="D2144" s="348">
        <v>46753</v>
      </c>
      <c r="E2144" s="348">
        <v>47058</v>
      </c>
      <c r="F2144" s="346" t="s">
        <v>640</v>
      </c>
      <c r="G2144" s="350" t="s">
        <v>456</v>
      </c>
      <c r="H2144" s="351">
        <f t="shared" si="35"/>
        <v>24846.36</v>
      </c>
      <c r="I2144" s="120" t="str">
        <f>IF(OR(D2144&lt;Capa!$A$5,D2144&gt;Capa!$A$7,E2144&lt;Capa!$A$5,E2144&gt;Capa!$A$7,D2144&gt;E2144),"Erro","")</f>
        <v/>
      </c>
    </row>
    <row r="2145" spans="1:9" ht="33.75">
      <c r="A2145" s="345">
        <v>2142</v>
      </c>
      <c r="B2145" s="346" t="s">
        <v>312</v>
      </c>
      <c r="C2145" s="347">
        <v>280</v>
      </c>
      <c r="D2145" s="348">
        <v>45658</v>
      </c>
      <c r="E2145" s="348">
        <v>45992</v>
      </c>
      <c r="F2145" s="346" t="s">
        <v>640</v>
      </c>
      <c r="G2145" s="350" t="s">
        <v>593</v>
      </c>
      <c r="H2145" s="351">
        <f t="shared" si="35"/>
        <v>3360</v>
      </c>
      <c r="I2145" s="120" t="str">
        <f>IF(OR(D2145&lt;Capa!$A$5,D2145&gt;Capa!$A$7,E2145&lt;Capa!$A$5,E2145&gt;Capa!$A$7,D2145&gt;E2145),"Erro","")</f>
        <v/>
      </c>
    </row>
    <row r="2146" spans="1:9" ht="33.75">
      <c r="A2146" s="345">
        <v>2143</v>
      </c>
      <c r="B2146" s="346" t="s">
        <v>312</v>
      </c>
      <c r="C2146" s="347">
        <v>280</v>
      </c>
      <c r="D2146" s="348">
        <v>46023</v>
      </c>
      <c r="E2146" s="348">
        <v>46357</v>
      </c>
      <c r="F2146" s="346" t="s">
        <v>640</v>
      </c>
      <c r="G2146" s="350" t="s">
        <v>593</v>
      </c>
      <c r="H2146" s="351">
        <f t="shared" si="35"/>
        <v>3360</v>
      </c>
      <c r="I2146" s="120" t="str">
        <f>IF(OR(D2146&lt;Capa!$A$5,D2146&gt;Capa!$A$7,E2146&lt;Capa!$A$5,E2146&gt;Capa!$A$7,D2146&gt;E2146),"Erro","")</f>
        <v/>
      </c>
    </row>
    <row r="2147" spans="1:9" ht="33.75">
      <c r="A2147" s="345">
        <v>2144</v>
      </c>
      <c r="B2147" s="346" t="s">
        <v>312</v>
      </c>
      <c r="C2147" s="347">
        <v>280</v>
      </c>
      <c r="D2147" s="348">
        <v>46388</v>
      </c>
      <c r="E2147" s="348">
        <v>46722</v>
      </c>
      <c r="F2147" s="346" t="s">
        <v>640</v>
      </c>
      <c r="G2147" s="350" t="s">
        <v>593</v>
      </c>
      <c r="H2147" s="351">
        <f t="shared" si="35"/>
        <v>3360</v>
      </c>
      <c r="I2147" s="120" t="str">
        <f>IF(OR(D2147&lt;Capa!$A$5,D2147&gt;Capa!$A$7,E2147&lt;Capa!$A$5,E2147&gt;Capa!$A$7,D2147&gt;E2147),"Erro","")</f>
        <v/>
      </c>
    </row>
    <row r="2148" spans="1:9" ht="33.75">
      <c r="A2148" s="345">
        <v>2145</v>
      </c>
      <c r="B2148" s="346" t="s">
        <v>312</v>
      </c>
      <c r="C2148" s="347">
        <v>280</v>
      </c>
      <c r="D2148" s="348">
        <v>46753</v>
      </c>
      <c r="E2148" s="348">
        <v>47058</v>
      </c>
      <c r="F2148" s="346" t="s">
        <v>640</v>
      </c>
      <c r="G2148" s="350" t="s">
        <v>593</v>
      </c>
      <c r="H2148" s="351">
        <f t="shared" si="35"/>
        <v>3080</v>
      </c>
      <c r="I2148" s="120" t="str">
        <f>IF(OR(D2148&lt;Capa!$A$5,D2148&gt;Capa!$A$7,E2148&lt;Capa!$A$5,E2148&gt;Capa!$A$7,D2148&gt;E2148),"Erro","")</f>
        <v/>
      </c>
    </row>
    <row r="2149" spans="1:9" ht="67.5">
      <c r="A2149" s="345">
        <v>2146</v>
      </c>
      <c r="B2149" s="346" t="s">
        <v>316</v>
      </c>
      <c r="C2149" s="347">
        <v>1000</v>
      </c>
      <c r="D2149" s="348">
        <v>45323</v>
      </c>
      <c r="E2149" s="348">
        <v>45627</v>
      </c>
      <c r="F2149" s="346" t="s">
        <v>640</v>
      </c>
      <c r="G2149" s="350" t="s">
        <v>457</v>
      </c>
      <c r="H2149" s="351">
        <f t="shared" si="35"/>
        <v>11000</v>
      </c>
      <c r="I2149" s="120" t="str">
        <f>IF(OR(D2149&lt;Capa!$A$5,D2149&gt;Capa!$A$7,E2149&lt;Capa!$A$5,E2149&gt;Capa!$A$7,D2149&gt;E2149),"Erro","")</f>
        <v/>
      </c>
    </row>
    <row r="2150" spans="1:9" ht="67.5">
      <c r="A2150" s="345">
        <v>2147</v>
      </c>
      <c r="B2150" s="346" t="s">
        <v>316</v>
      </c>
      <c r="C2150" s="347">
        <v>1000</v>
      </c>
      <c r="D2150" s="348">
        <v>45658</v>
      </c>
      <c r="E2150" s="348">
        <v>45992</v>
      </c>
      <c r="F2150" s="346" t="s">
        <v>640</v>
      </c>
      <c r="G2150" s="350" t="s">
        <v>457</v>
      </c>
      <c r="H2150" s="351">
        <f t="shared" si="35"/>
        <v>12000</v>
      </c>
      <c r="I2150" s="120" t="str">
        <f>IF(OR(D2150&lt;Capa!$A$5,D2150&gt;Capa!$A$7,E2150&lt;Capa!$A$5,E2150&gt;Capa!$A$7,D2150&gt;E2150),"Erro","")</f>
        <v/>
      </c>
    </row>
    <row r="2151" spans="1:9" ht="67.5">
      <c r="A2151" s="345">
        <v>2148</v>
      </c>
      <c r="B2151" s="346" t="s">
        <v>316</v>
      </c>
      <c r="C2151" s="347">
        <v>1000</v>
      </c>
      <c r="D2151" s="348">
        <v>46023</v>
      </c>
      <c r="E2151" s="348">
        <v>46357</v>
      </c>
      <c r="F2151" s="346" t="s">
        <v>640</v>
      </c>
      <c r="G2151" s="350" t="s">
        <v>457</v>
      </c>
      <c r="H2151" s="351">
        <f t="shared" si="35"/>
        <v>12000</v>
      </c>
      <c r="I2151" s="120" t="str">
        <f>IF(OR(D2151&lt;Capa!$A$5,D2151&gt;Capa!$A$7,E2151&lt;Capa!$A$5,E2151&gt;Capa!$A$7,D2151&gt;E2151),"Erro","")</f>
        <v/>
      </c>
    </row>
    <row r="2152" spans="1:9" ht="67.5">
      <c r="A2152" s="345">
        <v>2149</v>
      </c>
      <c r="B2152" s="346" t="s">
        <v>316</v>
      </c>
      <c r="C2152" s="347">
        <v>1000</v>
      </c>
      <c r="D2152" s="348">
        <v>46388</v>
      </c>
      <c r="E2152" s="348">
        <v>46722</v>
      </c>
      <c r="F2152" s="346" t="s">
        <v>640</v>
      </c>
      <c r="G2152" s="350" t="s">
        <v>457</v>
      </c>
      <c r="H2152" s="351">
        <f t="shared" si="35"/>
        <v>12000</v>
      </c>
      <c r="I2152" s="120" t="str">
        <f>IF(OR(D2152&lt;Capa!$A$5,D2152&gt;Capa!$A$7,E2152&lt;Capa!$A$5,E2152&gt;Capa!$A$7,D2152&gt;E2152),"Erro","")</f>
        <v/>
      </c>
    </row>
    <row r="2153" spans="1:9" ht="67.5">
      <c r="A2153" s="345">
        <v>2150</v>
      </c>
      <c r="B2153" s="346" t="s">
        <v>316</v>
      </c>
      <c r="C2153" s="347">
        <v>1000</v>
      </c>
      <c r="D2153" s="348">
        <v>46753</v>
      </c>
      <c r="E2153" s="348">
        <v>47058</v>
      </c>
      <c r="F2153" s="346" t="s">
        <v>640</v>
      </c>
      <c r="G2153" s="350" t="s">
        <v>457</v>
      </c>
      <c r="H2153" s="351">
        <f t="shared" si="35"/>
        <v>11000</v>
      </c>
      <c r="I2153" s="120" t="str">
        <f>IF(OR(D2153&lt;Capa!$A$5,D2153&gt;Capa!$A$7,E2153&lt;Capa!$A$5,E2153&gt;Capa!$A$7,D2153&gt;E2153),"Erro","")</f>
        <v/>
      </c>
    </row>
    <row r="2154" spans="1:9" ht="56.25">
      <c r="A2154" s="345">
        <v>2151</v>
      </c>
      <c r="B2154" s="346" t="s">
        <v>318</v>
      </c>
      <c r="C2154" s="347">
        <v>1800</v>
      </c>
      <c r="D2154" s="348">
        <v>45323</v>
      </c>
      <c r="E2154" s="348">
        <v>45627</v>
      </c>
      <c r="F2154" s="346" t="s">
        <v>640</v>
      </c>
      <c r="G2154" s="350" t="s">
        <v>594</v>
      </c>
      <c r="H2154" s="351">
        <f t="shared" si="35"/>
        <v>19800</v>
      </c>
      <c r="I2154" s="120" t="str">
        <f>IF(OR(D2154&lt;Capa!$A$5,D2154&gt;Capa!$A$7,E2154&lt;Capa!$A$5,E2154&gt;Capa!$A$7,D2154&gt;E2154),"Erro","")</f>
        <v/>
      </c>
    </row>
    <row r="2155" spans="1:9" ht="56.25">
      <c r="A2155" s="345">
        <v>2152</v>
      </c>
      <c r="B2155" s="346" t="s">
        <v>318</v>
      </c>
      <c r="C2155" s="347">
        <v>1500</v>
      </c>
      <c r="D2155" s="348">
        <v>45658</v>
      </c>
      <c r="E2155" s="348">
        <v>45992</v>
      </c>
      <c r="F2155" s="346" t="s">
        <v>640</v>
      </c>
      <c r="G2155" s="350" t="s">
        <v>594</v>
      </c>
      <c r="H2155" s="351">
        <f t="shared" si="35"/>
        <v>18000</v>
      </c>
      <c r="I2155" s="120" t="str">
        <f>IF(OR(D2155&lt;Capa!$A$5,D2155&gt;Capa!$A$7,E2155&lt;Capa!$A$5,E2155&gt;Capa!$A$7,D2155&gt;E2155),"Erro","")</f>
        <v/>
      </c>
    </row>
    <row r="2156" spans="1:9" ht="56.25">
      <c r="A2156" s="345">
        <v>2153</v>
      </c>
      <c r="B2156" s="346" t="s">
        <v>318</v>
      </c>
      <c r="C2156" s="347">
        <v>1500</v>
      </c>
      <c r="D2156" s="348">
        <v>46023</v>
      </c>
      <c r="E2156" s="348">
        <v>46357</v>
      </c>
      <c r="F2156" s="346" t="s">
        <v>640</v>
      </c>
      <c r="G2156" s="350" t="s">
        <v>594</v>
      </c>
      <c r="H2156" s="351">
        <f t="shared" si="35"/>
        <v>18000</v>
      </c>
      <c r="I2156" s="120" t="str">
        <f>IF(OR(D2156&lt;Capa!$A$5,D2156&gt;Capa!$A$7,E2156&lt;Capa!$A$5,E2156&gt;Capa!$A$7,D2156&gt;E2156),"Erro","")</f>
        <v/>
      </c>
    </row>
    <row r="2157" spans="1:9" ht="56.25">
      <c r="A2157" s="345">
        <v>2154</v>
      </c>
      <c r="B2157" s="346" t="s">
        <v>318</v>
      </c>
      <c r="C2157" s="347">
        <v>1500</v>
      </c>
      <c r="D2157" s="348">
        <v>46388</v>
      </c>
      <c r="E2157" s="348">
        <v>46722</v>
      </c>
      <c r="F2157" s="346" t="s">
        <v>640</v>
      </c>
      <c r="G2157" s="350" t="s">
        <v>594</v>
      </c>
      <c r="H2157" s="351">
        <f t="shared" si="35"/>
        <v>18000</v>
      </c>
      <c r="I2157" s="120" t="str">
        <f>IF(OR(D2157&lt;Capa!$A$5,D2157&gt;Capa!$A$7,E2157&lt;Capa!$A$5,E2157&gt;Capa!$A$7,D2157&gt;E2157),"Erro","")</f>
        <v/>
      </c>
    </row>
    <row r="2158" spans="1:9" ht="56.25">
      <c r="A2158" s="345">
        <v>2155</v>
      </c>
      <c r="B2158" s="346" t="s">
        <v>318</v>
      </c>
      <c r="C2158" s="347">
        <v>1500</v>
      </c>
      <c r="D2158" s="348">
        <v>46753</v>
      </c>
      <c r="E2158" s="348">
        <v>47058</v>
      </c>
      <c r="F2158" s="346" t="s">
        <v>640</v>
      </c>
      <c r="G2158" s="350" t="s">
        <v>594</v>
      </c>
      <c r="H2158" s="351">
        <f t="shared" si="35"/>
        <v>16500</v>
      </c>
      <c r="I2158" s="120" t="str">
        <f>IF(OR(D2158&lt;Capa!$A$5,D2158&gt;Capa!$A$7,E2158&lt;Capa!$A$5,E2158&gt;Capa!$A$7,D2158&gt;E2158),"Erro","")</f>
        <v/>
      </c>
    </row>
    <row r="2159" spans="1:9" ht="67.5">
      <c r="A2159" s="345">
        <v>2156</v>
      </c>
      <c r="B2159" s="346" t="s">
        <v>318</v>
      </c>
      <c r="C2159" s="347">
        <v>1800</v>
      </c>
      <c r="D2159" s="348">
        <v>45323</v>
      </c>
      <c r="E2159" s="348">
        <v>45627</v>
      </c>
      <c r="F2159" s="346" t="s">
        <v>640</v>
      </c>
      <c r="G2159" s="350" t="s">
        <v>457</v>
      </c>
      <c r="H2159" s="351">
        <f t="shared" ref="H2159:H2236" si="36">IFERROR((DATEDIF(D2159,E2159,"M")+1)*C2159,0)</f>
        <v>19800</v>
      </c>
      <c r="I2159" s="120" t="str">
        <f>IF(OR(D2159&lt;Capa!$A$5,D2159&gt;Capa!$A$7,E2159&lt;Capa!$A$5,E2159&gt;Capa!$A$7,D2159&gt;E2159),"Erro","")</f>
        <v/>
      </c>
    </row>
    <row r="2160" spans="1:9" ht="67.5">
      <c r="A2160" s="345">
        <v>2157</v>
      </c>
      <c r="B2160" s="346" t="s">
        <v>318</v>
      </c>
      <c r="C2160" s="347">
        <v>1500</v>
      </c>
      <c r="D2160" s="348">
        <v>45658</v>
      </c>
      <c r="E2160" s="348">
        <v>45992</v>
      </c>
      <c r="F2160" s="346" t="s">
        <v>640</v>
      </c>
      <c r="G2160" s="350" t="s">
        <v>457</v>
      </c>
      <c r="H2160" s="351">
        <f t="shared" si="36"/>
        <v>18000</v>
      </c>
      <c r="I2160" s="120" t="str">
        <f>IF(OR(D2160&lt;Capa!$A$5,D2160&gt;Capa!$A$7,E2160&lt;Capa!$A$5,E2160&gt;Capa!$A$7,D2160&gt;E2160),"Erro","")</f>
        <v/>
      </c>
    </row>
    <row r="2161" spans="1:9" ht="67.5">
      <c r="A2161" s="345">
        <v>2158</v>
      </c>
      <c r="B2161" s="346" t="s">
        <v>318</v>
      </c>
      <c r="C2161" s="347">
        <v>1500</v>
      </c>
      <c r="D2161" s="348">
        <v>46023</v>
      </c>
      <c r="E2161" s="348">
        <v>46357</v>
      </c>
      <c r="F2161" s="346" t="s">
        <v>640</v>
      </c>
      <c r="G2161" s="350" t="s">
        <v>457</v>
      </c>
      <c r="H2161" s="351">
        <f t="shared" si="36"/>
        <v>18000</v>
      </c>
      <c r="I2161" s="120" t="str">
        <f>IF(OR(D2161&lt;Capa!$A$5,D2161&gt;Capa!$A$7,E2161&lt;Capa!$A$5,E2161&gt;Capa!$A$7,D2161&gt;E2161),"Erro","")</f>
        <v/>
      </c>
    </row>
    <row r="2162" spans="1:9" ht="67.5">
      <c r="A2162" s="345">
        <v>2159</v>
      </c>
      <c r="B2162" s="346" t="s">
        <v>318</v>
      </c>
      <c r="C2162" s="347">
        <v>1500</v>
      </c>
      <c r="D2162" s="348">
        <v>46388</v>
      </c>
      <c r="E2162" s="348">
        <v>46722</v>
      </c>
      <c r="F2162" s="346" t="s">
        <v>640</v>
      </c>
      <c r="G2162" s="350" t="s">
        <v>457</v>
      </c>
      <c r="H2162" s="351">
        <f t="shared" si="36"/>
        <v>18000</v>
      </c>
      <c r="I2162" s="120" t="str">
        <f>IF(OR(D2162&lt;Capa!$A$5,D2162&gt;Capa!$A$7,E2162&lt;Capa!$A$5,E2162&gt;Capa!$A$7,D2162&gt;E2162),"Erro","")</f>
        <v/>
      </c>
    </row>
    <row r="2163" spans="1:9" ht="67.5">
      <c r="A2163" s="345">
        <v>2160</v>
      </c>
      <c r="B2163" s="346" t="s">
        <v>318</v>
      </c>
      <c r="C2163" s="347">
        <v>1500</v>
      </c>
      <c r="D2163" s="348">
        <v>46753</v>
      </c>
      <c r="E2163" s="348">
        <v>47058</v>
      </c>
      <c r="F2163" s="346" t="s">
        <v>640</v>
      </c>
      <c r="G2163" s="350" t="s">
        <v>457</v>
      </c>
      <c r="H2163" s="351">
        <f t="shared" si="36"/>
        <v>16500</v>
      </c>
      <c r="I2163" s="120" t="str">
        <f>IF(OR(D2163&lt;Capa!$A$5,D2163&gt;Capa!$A$7,E2163&lt;Capa!$A$5,E2163&gt;Capa!$A$7,D2163&gt;E2163),"Erro","")</f>
        <v/>
      </c>
    </row>
    <row r="2164" spans="1:9" ht="22.5">
      <c r="A2164" s="345">
        <v>2161</v>
      </c>
      <c r="B2164" s="346" t="s">
        <v>298</v>
      </c>
      <c r="C2164" s="347">
        <v>2500</v>
      </c>
      <c r="D2164" s="348">
        <v>45292</v>
      </c>
      <c r="E2164" s="348">
        <v>45627</v>
      </c>
      <c r="F2164" s="346" t="s">
        <v>640</v>
      </c>
      <c r="G2164" s="350" t="s">
        <v>458</v>
      </c>
      <c r="H2164" s="351">
        <f t="shared" si="36"/>
        <v>30000</v>
      </c>
      <c r="I2164" s="120" t="str">
        <f>IF(OR(D2164&lt;Capa!$A$5,D2164&gt;Capa!$A$7,E2164&lt;Capa!$A$5,E2164&gt;Capa!$A$7,D2164&gt;E2164),"Erro","")</f>
        <v/>
      </c>
    </row>
    <row r="2165" spans="1:9" ht="22.5">
      <c r="A2165" s="345">
        <v>2162</v>
      </c>
      <c r="B2165" s="346" t="s">
        <v>298</v>
      </c>
      <c r="C2165" s="347">
        <v>2646</v>
      </c>
      <c r="D2165" s="348">
        <v>45658</v>
      </c>
      <c r="E2165" s="348">
        <v>45992</v>
      </c>
      <c r="F2165" s="346" t="s">
        <v>640</v>
      </c>
      <c r="G2165" s="350" t="s">
        <v>458</v>
      </c>
      <c r="H2165" s="351">
        <f t="shared" si="36"/>
        <v>31752</v>
      </c>
      <c r="I2165" s="120" t="str">
        <f>IF(OR(D2165&lt;Capa!$A$5,D2165&gt;Capa!$A$7,E2165&lt;Capa!$A$5,E2165&gt;Capa!$A$7,D2165&gt;E2165),"Erro","")</f>
        <v/>
      </c>
    </row>
    <row r="2166" spans="1:9" ht="22.5">
      <c r="A2166" s="345">
        <v>2163</v>
      </c>
      <c r="B2166" s="346" t="s">
        <v>298</v>
      </c>
      <c r="C2166" s="347">
        <v>2800.52</v>
      </c>
      <c r="D2166" s="348">
        <v>46023</v>
      </c>
      <c r="E2166" s="348">
        <v>46357</v>
      </c>
      <c r="F2166" s="346" t="s">
        <v>640</v>
      </c>
      <c r="G2166" s="350" t="s">
        <v>458</v>
      </c>
      <c r="H2166" s="351">
        <f t="shared" si="36"/>
        <v>33606.239999999998</v>
      </c>
      <c r="I2166" s="120" t="str">
        <f>IF(OR(D2166&lt;Capa!$A$5,D2166&gt;Capa!$A$7,E2166&lt;Capa!$A$5,E2166&gt;Capa!$A$7,D2166&gt;E2166),"Erro","")</f>
        <v/>
      </c>
    </row>
    <row r="2167" spans="1:9" ht="22.5">
      <c r="A2167" s="345">
        <v>2164</v>
      </c>
      <c r="B2167" s="346" t="s">
        <v>298</v>
      </c>
      <c r="C2167" s="347">
        <v>2964.07</v>
      </c>
      <c r="D2167" s="348">
        <v>46388</v>
      </c>
      <c r="E2167" s="348">
        <v>46722</v>
      </c>
      <c r="F2167" s="346" t="s">
        <v>640</v>
      </c>
      <c r="G2167" s="350" t="s">
        <v>458</v>
      </c>
      <c r="H2167" s="351">
        <f t="shared" si="36"/>
        <v>35568.840000000004</v>
      </c>
      <c r="I2167" s="120" t="str">
        <f>IF(OR(D2167&lt;Capa!$A$5,D2167&gt;Capa!$A$7,E2167&lt;Capa!$A$5,E2167&gt;Capa!$A$7,D2167&gt;E2167),"Erro","")</f>
        <v/>
      </c>
    </row>
    <row r="2168" spans="1:9" ht="22.5">
      <c r="A2168" s="345">
        <v>2165</v>
      </c>
      <c r="B2168" s="346" t="s">
        <v>298</v>
      </c>
      <c r="C2168" s="347">
        <v>3137.17</v>
      </c>
      <c r="D2168" s="348">
        <v>46753</v>
      </c>
      <c r="E2168" s="348">
        <v>47058</v>
      </c>
      <c r="F2168" s="346" t="s">
        <v>640</v>
      </c>
      <c r="G2168" s="350" t="s">
        <v>458</v>
      </c>
      <c r="H2168" s="351">
        <f t="shared" si="36"/>
        <v>34508.870000000003</v>
      </c>
      <c r="I2168" s="120" t="str">
        <f>IF(OR(D2168&lt;Capa!$A$5,D2168&gt;Capa!$A$7,E2168&lt;Capa!$A$5,E2168&gt;Capa!$A$7,D2168&gt;E2168),"Erro","")</f>
        <v/>
      </c>
    </row>
    <row r="2169" spans="1:9" ht="33.75">
      <c r="A2169" s="345">
        <v>2166</v>
      </c>
      <c r="B2169" s="346" t="s">
        <v>238</v>
      </c>
      <c r="C2169" s="347">
        <v>370.44</v>
      </c>
      <c r="D2169" s="348">
        <v>45658</v>
      </c>
      <c r="E2169" s="348">
        <v>45992</v>
      </c>
      <c r="F2169" s="346" t="s">
        <v>640</v>
      </c>
      <c r="G2169" s="350" t="s">
        <v>459</v>
      </c>
      <c r="H2169" s="351">
        <f t="shared" si="36"/>
        <v>4445.28</v>
      </c>
      <c r="I2169" s="120" t="str">
        <f>IF(OR(D2169&lt;Capa!$A$5,D2169&gt;Capa!$A$7,E2169&lt;Capa!$A$5,E2169&gt;Capa!$A$7,D2169&gt;E2169),"Erro","")</f>
        <v/>
      </c>
    </row>
    <row r="2170" spans="1:9" ht="33.75">
      <c r="A2170" s="345">
        <v>2167</v>
      </c>
      <c r="B2170" s="346" t="s">
        <v>238</v>
      </c>
      <c r="C2170" s="347">
        <v>392.07</v>
      </c>
      <c r="D2170" s="348">
        <v>46023</v>
      </c>
      <c r="E2170" s="348">
        <v>46357</v>
      </c>
      <c r="F2170" s="346" t="s">
        <v>640</v>
      </c>
      <c r="G2170" s="350" t="s">
        <v>459</v>
      </c>
      <c r="H2170" s="351">
        <f t="shared" si="36"/>
        <v>4704.84</v>
      </c>
      <c r="I2170" s="120" t="str">
        <f>IF(OR(D2170&lt;Capa!$A$5,D2170&gt;Capa!$A$7,E2170&lt;Capa!$A$5,E2170&gt;Capa!$A$7,D2170&gt;E2170),"Erro","")</f>
        <v/>
      </c>
    </row>
    <row r="2171" spans="1:9" ht="33.75">
      <c r="A2171" s="345">
        <v>2168</v>
      </c>
      <c r="B2171" s="346" t="s">
        <v>238</v>
      </c>
      <c r="C2171" s="347">
        <v>414.97</v>
      </c>
      <c r="D2171" s="348">
        <v>46388</v>
      </c>
      <c r="E2171" s="348">
        <v>46722</v>
      </c>
      <c r="F2171" s="346" t="s">
        <v>640</v>
      </c>
      <c r="G2171" s="350" t="s">
        <v>459</v>
      </c>
      <c r="H2171" s="351">
        <f t="shared" si="36"/>
        <v>4979.6400000000003</v>
      </c>
      <c r="I2171" s="120" t="str">
        <f>IF(OR(D2171&lt;Capa!$A$5,D2171&gt;Capa!$A$7,E2171&lt;Capa!$A$5,E2171&gt;Capa!$A$7,D2171&gt;E2171),"Erro","")</f>
        <v/>
      </c>
    </row>
    <row r="2172" spans="1:9" ht="33.75">
      <c r="A2172" s="345">
        <v>2169</v>
      </c>
      <c r="B2172" s="346" t="s">
        <v>238</v>
      </c>
      <c r="C2172" s="347">
        <v>439.21</v>
      </c>
      <c r="D2172" s="348">
        <v>46753</v>
      </c>
      <c r="E2172" s="348">
        <v>47058</v>
      </c>
      <c r="F2172" s="346" t="s">
        <v>640</v>
      </c>
      <c r="G2172" s="350" t="s">
        <v>459</v>
      </c>
      <c r="H2172" s="351">
        <f t="shared" si="36"/>
        <v>4831.3099999999995</v>
      </c>
      <c r="I2172" s="120" t="str">
        <f>IF(OR(D2172&lt;Capa!$A$5,D2172&gt;Capa!$A$7,E2172&lt;Capa!$A$5,E2172&gt;Capa!$A$7,D2172&gt;E2172),"Erro","")</f>
        <v/>
      </c>
    </row>
    <row r="2173" spans="1:9" ht="56.25">
      <c r="A2173" s="345">
        <v>2170</v>
      </c>
      <c r="B2173" s="346" t="s">
        <v>252</v>
      </c>
      <c r="C2173" s="347">
        <v>7000</v>
      </c>
      <c r="D2173" s="348">
        <v>45323</v>
      </c>
      <c r="E2173" s="348">
        <v>45627</v>
      </c>
      <c r="F2173" s="346" t="s">
        <v>640</v>
      </c>
      <c r="G2173" s="350" t="s">
        <v>460</v>
      </c>
      <c r="H2173" s="351">
        <f t="shared" si="36"/>
        <v>77000</v>
      </c>
      <c r="I2173" s="120" t="str">
        <f>IF(OR(D2173&lt;Capa!$A$5,D2173&gt;Capa!$A$7,E2173&lt;Capa!$A$5,E2173&gt;Capa!$A$7,D2173&gt;E2173),"Erro","")</f>
        <v/>
      </c>
    </row>
    <row r="2174" spans="1:9" ht="56.25">
      <c r="A2174" s="345">
        <v>2171</v>
      </c>
      <c r="B2174" s="346" t="s">
        <v>252</v>
      </c>
      <c r="C2174" s="347">
        <v>7408.8</v>
      </c>
      <c r="D2174" s="348">
        <v>45658</v>
      </c>
      <c r="E2174" s="348">
        <v>45992</v>
      </c>
      <c r="F2174" s="346" t="s">
        <v>640</v>
      </c>
      <c r="G2174" s="350" t="s">
        <v>460</v>
      </c>
      <c r="H2174" s="351">
        <f t="shared" si="36"/>
        <v>88905.600000000006</v>
      </c>
      <c r="I2174" s="120" t="str">
        <f>IF(OR(D2174&lt;Capa!$A$5,D2174&gt;Capa!$A$7,E2174&lt;Capa!$A$5,E2174&gt;Capa!$A$7,D2174&gt;E2174),"Erro","")</f>
        <v/>
      </c>
    </row>
    <row r="2175" spans="1:9" ht="56.25">
      <c r="A2175" s="345">
        <v>2172</v>
      </c>
      <c r="B2175" s="346" t="s">
        <v>252</v>
      </c>
      <c r="C2175" s="347">
        <v>7847.65</v>
      </c>
      <c r="D2175" s="348">
        <v>46023</v>
      </c>
      <c r="E2175" s="348">
        <v>46357</v>
      </c>
      <c r="F2175" s="346" t="s">
        <v>640</v>
      </c>
      <c r="G2175" s="350" t="s">
        <v>460</v>
      </c>
      <c r="H2175" s="351">
        <f t="shared" si="36"/>
        <v>94171.799999999988</v>
      </c>
      <c r="I2175" s="120" t="str">
        <f>IF(OR(D2175&lt;Capa!$A$5,D2175&gt;Capa!$A$7,E2175&lt;Capa!$A$5,E2175&gt;Capa!$A$7,D2175&gt;E2175),"Erro","")</f>
        <v/>
      </c>
    </row>
    <row r="2176" spans="1:9" ht="56.25">
      <c r="A2176" s="345">
        <v>2173</v>
      </c>
      <c r="B2176" s="346" t="s">
        <v>252</v>
      </c>
      <c r="C2176" s="347">
        <v>8305.9500000000007</v>
      </c>
      <c r="D2176" s="348">
        <v>46388</v>
      </c>
      <c r="E2176" s="348">
        <v>46722</v>
      </c>
      <c r="F2176" s="346" t="s">
        <v>640</v>
      </c>
      <c r="G2176" s="350" t="s">
        <v>460</v>
      </c>
      <c r="H2176" s="351">
        <f t="shared" si="36"/>
        <v>99671.400000000009</v>
      </c>
      <c r="I2176" s="120" t="str">
        <f>IF(OR(D2176&lt;Capa!$A$5,D2176&gt;Capa!$A$7,E2176&lt;Capa!$A$5,E2176&gt;Capa!$A$7,D2176&gt;E2176),"Erro","")</f>
        <v/>
      </c>
    </row>
    <row r="2177" spans="1:9" ht="56.25">
      <c r="A2177" s="345">
        <v>2174</v>
      </c>
      <c r="B2177" s="346" t="s">
        <v>252</v>
      </c>
      <c r="C2177" s="347">
        <v>8791.02</v>
      </c>
      <c r="D2177" s="348">
        <v>46753</v>
      </c>
      <c r="E2177" s="348">
        <v>47058</v>
      </c>
      <c r="F2177" s="346" t="s">
        <v>640</v>
      </c>
      <c r="G2177" s="350" t="s">
        <v>460</v>
      </c>
      <c r="H2177" s="351">
        <f t="shared" si="36"/>
        <v>96701.22</v>
      </c>
      <c r="I2177" s="120" t="str">
        <f>IF(OR(D2177&lt;Capa!$A$5,D2177&gt;Capa!$A$7,E2177&lt;Capa!$A$5,E2177&gt;Capa!$A$7,D2177&gt;E2177),"Erro","")</f>
        <v/>
      </c>
    </row>
    <row r="2178" spans="1:9" ht="45">
      <c r="A2178" s="345">
        <v>2175</v>
      </c>
      <c r="B2178" s="346" t="s">
        <v>320</v>
      </c>
      <c r="C2178" s="347">
        <v>130000</v>
      </c>
      <c r="D2178" s="348">
        <v>45292</v>
      </c>
      <c r="E2178" s="348">
        <v>45292</v>
      </c>
      <c r="F2178" s="346" t="s">
        <v>640</v>
      </c>
      <c r="G2178" s="350" t="s">
        <v>617</v>
      </c>
      <c r="H2178" s="351">
        <f t="shared" si="36"/>
        <v>130000</v>
      </c>
      <c r="I2178" s="120" t="str">
        <f>IF(OR(D2178&lt;Capa!$A$5,D2178&gt;Capa!$A$7,E2178&lt;Capa!$A$5,E2178&gt;Capa!$A$7,D2178&gt;E2178),"Erro","")</f>
        <v/>
      </c>
    </row>
    <row r="2179" spans="1:9" ht="33.75">
      <c r="A2179" s="345">
        <v>2176</v>
      </c>
      <c r="B2179" s="346" t="s">
        <v>651</v>
      </c>
      <c r="C2179" s="347">
        <v>180</v>
      </c>
      <c r="D2179" s="348">
        <v>45323</v>
      </c>
      <c r="E2179" s="348">
        <v>47058</v>
      </c>
      <c r="F2179" s="346" t="s">
        <v>640</v>
      </c>
      <c r="G2179" s="350" t="s">
        <v>710</v>
      </c>
      <c r="H2179" s="351">
        <f t="shared" si="36"/>
        <v>10440</v>
      </c>
      <c r="I2179" s="120" t="str">
        <f>IF(OR(D2179&lt;Capa!$A$5,D2179&gt;Capa!$A$7,E2179&lt;Capa!$A$5,E2179&gt;Capa!$A$7,D2179&gt;E2179),"Erro","")</f>
        <v/>
      </c>
    </row>
    <row r="2180" spans="1:9" ht="22.5">
      <c r="A2180" s="345">
        <v>2177</v>
      </c>
      <c r="B2180" s="346" t="s">
        <v>653</v>
      </c>
      <c r="C2180" s="347">
        <v>1930</v>
      </c>
      <c r="D2180" s="348">
        <v>45292</v>
      </c>
      <c r="E2180" s="348">
        <v>45627</v>
      </c>
      <c r="F2180" s="346" t="s">
        <v>640</v>
      </c>
      <c r="G2180" s="350" t="s">
        <v>712</v>
      </c>
      <c r="H2180" s="351">
        <f t="shared" si="36"/>
        <v>23160</v>
      </c>
    </row>
    <row r="2181" spans="1:9" ht="22.5">
      <c r="A2181" s="345">
        <v>2178</v>
      </c>
      <c r="B2181" s="346" t="s">
        <v>653</v>
      </c>
      <c r="C2181" s="347">
        <v>1930</v>
      </c>
      <c r="D2181" s="348">
        <v>45658</v>
      </c>
      <c r="E2181" s="348">
        <v>47058</v>
      </c>
      <c r="F2181" s="346" t="s">
        <v>640</v>
      </c>
      <c r="G2181" s="350" t="s">
        <v>712</v>
      </c>
      <c r="H2181" s="351">
        <f t="shared" si="36"/>
        <v>90710</v>
      </c>
      <c r="I2181" s="120" t="str">
        <f>IF(OR(D2181&lt;Capa!$A$5,D2181&gt;Capa!$A$7,E2181&lt;Capa!$A$5,E2181&gt;Capa!$A$7,D2181&gt;E2181),"Erro","")</f>
        <v/>
      </c>
    </row>
    <row r="2182" spans="1:9" ht="45">
      <c r="A2182" s="345">
        <v>2179</v>
      </c>
      <c r="B2182" s="346" t="s">
        <v>652</v>
      </c>
      <c r="C2182" s="347">
        <v>15000</v>
      </c>
      <c r="D2182" s="348">
        <v>45323</v>
      </c>
      <c r="E2182" s="348">
        <v>45323</v>
      </c>
      <c r="F2182" s="346" t="s">
        <v>640</v>
      </c>
      <c r="G2182" s="350" t="s">
        <v>624</v>
      </c>
      <c r="H2182" s="351">
        <f t="shared" si="36"/>
        <v>15000</v>
      </c>
      <c r="I2182" s="120" t="str">
        <f>IF(OR(D2182&lt;Capa!$A$5,D2182&gt;Capa!$A$7,E2182&lt;Capa!$A$5,E2182&gt;Capa!$A$7,D2182&gt;E2182),"Erro","")</f>
        <v/>
      </c>
    </row>
    <row r="2183" spans="1:9" ht="45">
      <c r="A2183" s="345">
        <v>2180</v>
      </c>
      <c r="B2183" s="346" t="s">
        <v>652</v>
      </c>
      <c r="C2183" s="347">
        <v>10000</v>
      </c>
      <c r="D2183" s="348">
        <v>46419</v>
      </c>
      <c r="E2183" s="348">
        <v>46419</v>
      </c>
      <c r="F2183" s="346" t="s">
        <v>640</v>
      </c>
      <c r="G2183" s="350" t="s">
        <v>624</v>
      </c>
      <c r="H2183" s="351">
        <f t="shared" si="36"/>
        <v>10000</v>
      </c>
      <c r="I2183" s="120" t="str">
        <f>IF(OR(D2183&lt;Capa!$A$5,D2183&gt;Capa!$A$7,E2183&lt;Capa!$A$5,E2183&gt;Capa!$A$7,D2183&gt;E2183),"Erro","")</f>
        <v/>
      </c>
    </row>
    <row r="2184" spans="1:9" ht="33.75">
      <c r="A2184" s="345">
        <v>2181</v>
      </c>
      <c r="B2184" s="346" t="s">
        <v>650</v>
      </c>
      <c r="C2184" s="347">
        <v>70</v>
      </c>
      <c r="D2184" s="348">
        <v>45352</v>
      </c>
      <c r="E2184" s="348">
        <v>47058</v>
      </c>
      <c r="F2184" s="346" t="s">
        <v>640</v>
      </c>
      <c r="G2184" s="350" t="s">
        <v>711</v>
      </c>
      <c r="H2184" s="351">
        <f t="shared" si="36"/>
        <v>3990</v>
      </c>
      <c r="I2184" s="120" t="str">
        <f>IF(OR(D2184&lt;Capa!$A$5,D2184&gt;Capa!$A$7,E2184&lt;Capa!$A$5,E2184&gt;Capa!$A$7,D2184&gt;E2184),"Erro","")</f>
        <v/>
      </c>
    </row>
    <row r="2185" spans="1:9" ht="45">
      <c r="A2185" s="345">
        <v>2182</v>
      </c>
      <c r="B2185" s="346" t="s">
        <v>320</v>
      </c>
      <c r="C2185" s="347">
        <v>4545.7737500000003</v>
      </c>
      <c r="D2185" s="348">
        <v>45778</v>
      </c>
      <c r="E2185" s="348">
        <v>45992</v>
      </c>
      <c r="F2185" s="346" t="s">
        <v>640</v>
      </c>
      <c r="G2185" s="350" t="s">
        <v>596</v>
      </c>
      <c r="H2185" s="351">
        <f t="shared" si="36"/>
        <v>36366.19</v>
      </c>
    </row>
    <row r="2186" spans="1:9" ht="45">
      <c r="A2186" s="345">
        <v>2183</v>
      </c>
      <c r="B2186" s="346" t="s">
        <v>320</v>
      </c>
      <c r="C2186" s="347">
        <v>250</v>
      </c>
      <c r="D2186" s="348">
        <v>45748</v>
      </c>
      <c r="E2186" s="348">
        <v>47058</v>
      </c>
      <c r="F2186" s="346" t="s">
        <v>640</v>
      </c>
      <c r="G2186" s="350" t="s">
        <v>596</v>
      </c>
      <c r="H2186" s="351">
        <f t="shared" si="36"/>
        <v>11000</v>
      </c>
      <c r="I2186" s="120" t="str">
        <f>IF(OR(D2186&lt;Capa!$A$5,D2186&gt;Capa!$A$7,E2186&lt;Capa!$A$5,E2186&gt;Capa!$A$7,D2186&gt;E2186),"Erro","")</f>
        <v/>
      </c>
    </row>
    <row r="2187" spans="1:9" ht="33.75">
      <c r="A2187" s="345">
        <v>2184</v>
      </c>
      <c r="B2187" s="346" t="s">
        <v>657</v>
      </c>
      <c r="C2187" s="347">
        <v>350</v>
      </c>
      <c r="D2187" s="348">
        <v>45658</v>
      </c>
      <c r="E2187" s="348">
        <v>47058</v>
      </c>
      <c r="F2187" s="346" t="s">
        <v>640</v>
      </c>
      <c r="G2187" s="350" t="s">
        <v>708</v>
      </c>
      <c r="H2187" s="351">
        <f t="shared" ref="H2187:H2192" si="37">IFERROR((DATEDIF(D2187,E2187,"M")+1)*C2187,0)</f>
        <v>16450</v>
      </c>
      <c r="I2187" s="120" t="str">
        <f>IF(OR(D2187&lt;Capa!$A$5,D2187&gt;Capa!$A$7,E2187&lt;Capa!$A$5,E2187&gt;Capa!$A$7,D2187&gt;E2187),"Erro","")</f>
        <v/>
      </c>
    </row>
    <row r="2188" spans="1:9" ht="33.75">
      <c r="A2188" s="345">
        <v>2185</v>
      </c>
      <c r="B2188" s="346" t="s">
        <v>649</v>
      </c>
      <c r="C2188" s="347">
        <v>1643</v>
      </c>
      <c r="D2188" s="348">
        <v>45292</v>
      </c>
      <c r="E2188" s="348">
        <v>47058</v>
      </c>
      <c r="F2188" s="346" t="s">
        <v>640</v>
      </c>
      <c r="G2188" s="350" t="s">
        <v>705</v>
      </c>
      <c r="H2188" s="351">
        <f t="shared" si="37"/>
        <v>96937</v>
      </c>
      <c r="I2188" s="120" t="str">
        <f>IF(OR(D2188&lt;Capa!$A$5,D2188&gt;Capa!$A$7,E2188&lt;Capa!$A$5,E2188&gt;Capa!$A$7,D2188&gt;E2188),"Erro","")</f>
        <v/>
      </c>
    </row>
    <row r="2189" spans="1:9" ht="33.75">
      <c r="A2189" s="345">
        <v>2186</v>
      </c>
      <c r="B2189" s="346" t="s">
        <v>654</v>
      </c>
      <c r="C2189" s="347">
        <v>600</v>
      </c>
      <c r="D2189" s="348">
        <v>45352</v>
      </c>
      <c r="E2189" s="348">
        <v>45627</v>
      </c>
      <c r="F2189" s="346" t="s">
        <v>640</v>
      </c>
      <c r="G2189" s="350" t="s">
        <v>706</v>
      </c>
      <c r="H2189" s="351">
        <f t="shared" si="37"/>
        <v>6000</v>
      </c>
    </row>
    <row r="2190" spans="1:9" ht="33.75">
      <c r="A2190" s="345">
        <v>2187</v>
      </c>
      <c r="B2190" s="346" t="s">
        <v>654</v>
      </c>
      <c r="C2190" s="347">
        <v>1100</v>
      </c>
      <c r="D2190" s="348">
        <v>45992</v>
      </c>
      <c r="E2190" s="348">
        <v>47058</v>
      </c>
      <c r="F2190" s="346" t="s">
        <v>640</v>
      </c>
      <c r="G2190" s="350" t="s">
        <v>706</v>
      </c>
      <c r="H2190" s="351">
        <f t="shared" si="37"/>
        <v>39600</v>
      </c>
      <c r="I2190" s="120" t="str">
        <f>IF(OR(D2190&lt;Capa!$A$5,D2190&gt;Capa!$A$7,E2190&lt;Capa!$A$5,E2190&gt;Capa!$A$7,D2190&gt;E2190),"Erro","")</f>
        <v/>
      </c>
    </row>
    <row r="2191" spans="1:9" ht="22.5">
      <c r="A2191" s="345">
        <v>2188</v>
      </c>
      <c r="B2191" s="346" t="s">
        <v>656</v>
      </c>
      <c r="C2191" s="347">
        <v>200</v>
      </c>
      <c r="D2191" s="348">
        <v>45323</v>
      </c>
      <c r="E2191" s="348">
        <v>47058</v>
      </c>
      <c r="F2191" s="346" t="s">
        <v>640</v>
      </c>
      <c r="G2191" s="350" t="s">
        <v>707</v>
      </c>
      <c r="H2191" s="351">
        <f t="shared" si="37"/>
        <v>11600</v>
      </c>
      <c r="I2191" s="120" t="str">
        <f>IF(OR(D2191&lt;Capa!$A$5,D2191&gt;Capa!$A$7,E2191&lt;Capa!$A$5,E2191&gt;Capa!$A$7,D2191&gt;E2191),"Erro","")</f>
        <v/>
      </c>
    </row>
    <row r="2192" spans="1:9" ht="22.5">
      <c r="A2192" s="345">
        <v>2189</v>
      </c>
      <c r="B2192" s="346" t="s">
        <v>658</v>
      </c>
      <c r="C2192" s="347">
        <v>50</v>
      </c>
      <c r="D2192" s="348">
        <v>45323</v>
      </c>
      <c r="E2192" s="348">
        <v>47058</v>
      </c>
      <c r="F2192" s="346" t="s">
        <v>640</v>
      </c>
      <c r="G2192" s="350" t="s">
        <v>709</v>
      </c>
      <c r="H2192" s="351">
        <f t="shared" si="37"/>
        <v>2900</v>
      </c>
      <c r="I2192" s="120" t="str">
        <f>IF(OR(D2192&lt;Capa!$A$5,D2192&gt;Capa!$A$7,E2192&lt;Capa!$A$5,E2192&gt;Capa!$A$7,D2192&gt;E2192),"Erro","")</f>
        <v/>
      </c>
    </row>
    <row r="2193" spans="1:9" ht="33.75">
      <c r="A2193" s="345">
        <v>2190</v>
      </c>
      <c r="B2193" s="346" t="s">
        <v>648</v>
      </c>
      <c r="C2193" s="347">
        <v>3400</v>
      </c>
      <c r="D2193" s="348">
        <v>45292</v>
      </c>
      <c r="E2193" s="348">
        <v>45292</v>
      </c>
      <c r="F2193" s="346" t="s">
        <v>640</v>
      </c>
      <c r="G2193" s="350" t="s">
        <v>670</v>
      </c>
      <c r="H2193" s="351">
        <f t="shared" ref="H2193:H2197" si="38">IFERROR((DATEDIF(D2193,E2193,"M")+1)*C2193,0)</f>
        <v>3400</v>
      </c>
      <c r="I2193" s="120" t="str">
        <f>IF(OR(D2193&lt;Capa!$A$5,D2193&gt;Capa!$A$7,E2193&lt;Capa!$A$5,E2193&gt;Capa!$A$7,D2193&gt;E2193),"Erro","")</f>
        <v/>
      </c>
    </row>
    <row r="2194" spans="1:9" ht="33.75">
      <c r="A2194" s="345">
        <v>2191</v>
      </c>
      <c r="B2194" s="346" t="s">
        <v>648</v>
      </c>
      <c r="C2194" s="347">
        <v>3604</v>
      </c>
      <c r="D2194" s="348">
        <v>45658</v>
      </c>
      <c r="E2194" s="348">
        <v>45658</v>
      </c>
      <c r="F2194" s="346" t="s">
        <v>640</v>
      </c>
      <c r="G2194" s="350" t="s">
        <v>670</v>
      </c>
      <c r="H2194" s="351">
        <f t="shared" si="38"/>
        <v>3604</v>
      </c>
      <c r="I2194" s="120" t="str">
        <f>IF(OR(D2194&lt;Capa!$A$5,D2194&gt;Capa!$A$7,E2194&lt;Capa!$A$5,E2194&gt;Capa!$A$7,D2194&gt;E2194),"Erro","")</f>
        <v/>
      </c>
    </row>
    <row r="2195" spans="1:9" ht="33.75">
      <c r="A2195" s="345">
        <v>2192</v>
      </c>
      <c r="B2195" s="346" t="s">
        <v>648</v>
      </c>
      <c r="C2195" s="347">
        <v>3820.24</v>
      </c>
      <c r="D2195" s="348">
        <v>46023</v>
      </c>
      <c r="E2195" s="348">
        <v>46023</v>
      </c>
      <c r="F2195" s="346" t="s">
        <v>640</v>
      </c>
      <c r="G2195" s="350" t="s">
        <v>670</v>
      </c>
      <c r="H2195" s="351">
        <f t="shared" si="38"/>
        <v>3820.24</v>
      </c>
      <c r="I2195" s="120" t="str">
        <f>IF(OR(D2195&lt;Capa!$A$5,D2195&gt;Capa!$A$7,E2195&lt;Capa!$A$5,E2195&gt;Capa!$A$7,D2195&gt;E2195),"Erro","")</f>
        <v/>
      </c>
    </row>
    <row r="2196" spans="1:9" ht="33.75">
      <c r="A2196" s="345">
        <v>2193</v>
      </c>
      <c r="B2196" s="346" t="s">
        <v>648</v>
      </c>
      <c r="C2196" s="347">
        <v>4049.45</v>
      </c>
      <c r="D2196" s="348">
        <v>46388</v>
      </c>
      <c r="E2196" s="348">
        <v>46388</v>
      </c>
      <c r="F2196" s="346" t="s">
        <v>640</v>
      </c>
      <c r="G2196" s="350" t="s">
        <v>670</v>
      </c>
      <c r="H2196" s="351">
        <f t="shared" si="38"/>
        <v>4049.45</v>
      </c>
      <c r="I2196" s="120" t="str">
        <f>IF(OR(D2196&lt;Capa!$A$5,D2196&gt;Capa!$A$7,E2196&lt;Capa!$A$5,E2196&gt;Capa!$A$7,D2196&gt;E2196),"Erro","")</f>
        <v/>
      </c>
    </row>
    <row r="2197" spans="1:9" ht="33.75">
      <c r="A2197" s="345">
        <v>2194</v>
      </c>
      <c r="B2197" s="346" t="s">
        <v>648</v>
      </c>
      <c r="C2197" s="347">
        <v>4292.42</v>
      </c>
      <c r="D2197" s="348">
        <v>46753</v>
      </c>
      <c r="E2197" s="348">
        <v>46753</v>
      </c>
      <c r="F2197" s="346" t="s">
        <v>640</v>
      </c>
      <c r="G2197" s="350" t="s">
        <v>670</v>
      </c>
      <c r="H2197" s="351">
        <f t="shared" si="38"/>
        <v>4292.42</v>
      </c>
      <c r="I2197" s="120" t="str">
        <f>IF(OR(D2197&lt;Capa!$A$5,D2197&gt;Capa!$A$7,E2197&lt;Capa!$A$5,E2197&gt;Capa!$A$7,D2197&gt;E2197),"Erro","")</f>
        <v/>
      </c>
    </row>
    <row r="2198" spans="1:9" ht="22.5">
      <c r="A2198" s="345">
        <v>2195</v>
      </c>
      <c r="B2198" s="346" t="s">
        <v>198</v>
      </c>
      <c r="C2198" s="347">
        <v>8500</v>
      </c>
      <c r="D2198" s="348">
        <v>45566</v>
      </c>
      <c r="E2198" s="348">
        <v>45627</v>
      </c>
      <c r="F2198" s="346" t="s">
        <v>641</v>
      </c>
      <c r="G2198" s="350" t="s">
        <v>438</v>
      </c>
      <c r="H2198" s="351">
        <f t="shared" si="36"/>
        <v>25500</v>
      </c>
      <c r="I2198" s="120" t="str">
        <f>IF(OR(D2198&lt;Capa!$A$5,D2198&gt;Capa!$A$7,E2198&lt;Capa!$A$5,E2198&gt;Capa!$A$7,D2198&gt;E2198),"Erro","")</f>
        <v/>
      </c>
    </row>
    <row r="2199" spans="1:9" ht="22.5">
      <c r="A2199" s="345">
        <v>2196</v>
      </c>
      <c r="B2199" s="346" t="s">
        <v>198</v>
      </c>
      <c r="C2199" s="347">
        <v>8996.4</v>
      </c>
      <c r="D2199" s="348">
        <v>45658</v>
      </c>
      <c r="E2199" s="348">
        <v>45992</v>
      </c>
      <c r="F2199" s="346" t="s">
        <v>641</v>
      </c>
      <c r="G2199" s="350" t="s">
        <v>438</v>
      </c>
      <c r="H2199" s="351">
        <f t="shared" si="36"/>
        <v>107956.79999999999</v>
      </c>
      <c r="I2199" s="120" t="str">
        <f>IF(OR(D2199&lt;Capa!$A$5,D2199&gt;Capa!$A$7,E2199&lt;Capa!$A$5,E2199&gt;Capa!$A$7,D2199&gt;E2199),"Erro","")</f>
        <v/>
      </c>
    </row>
    <row r="2200" spans="1:9" ht="22.5">
      <c r="A2200" s="345">
        <v>2197</v>
      </c>
      <c r="B2200" s="346" t="s">
        <v>198</v>
      </c>
      <c r="C2200" s="347">
        <v>9521.7900000000009</v>
      </c>
      <c r="D2200" s="348">
        <v>46023</v>
      </c>
      <c r="E2200" s="348">
        <v>46357</v>
      </c>
      <c r="F2200" s="346" t="s">
        <v>641</v>
      </c>
      <c r="G2200" s="350" t="s">
        <v>438</v>
      </c>
      <c r="H2200" s="351">
        <f t="shared" si="36"/>
        <v>114261.48000000001</v>
      </c>
      <c r="I2200" s="120" t="str">
        <f>IF(OR(D2200&lt;Capa!$A$5,D2200&gt;Capa!$A$7,E2200&lt;Capa!$A$5,E2200&gt;Capa!$A$7,D2200&gt;E2200),"Erro","")</f>
        <v/>
      </c>
    </row>
    <row r="2201" spans="1:9" ht="22.5">
      <c r="A2201" s="345">
        <v>2198</v>
      </c>
      <c r="B2201" s="346" t="s">
        <v>198</v>
      </c>
      <c r="C2201" s="347">
        <v>10077.86</v>
      </c>
      <c r="D2201" s="348">
        <v>46388</v>
      </c>
      <c r="E2201" s="348">
        <v>46722</v>
      </c>
      <c r="F2201" s="346" t="s">
        <v>641</v>
      </c>
      <c r="G2201" s="350" t="s">
        <v>438</v>
      </c>
      <c r="H2201" s="351">
        <f t="shared" si="36"/>
        <v>120934.32</v>
      </c>
      <c r="I2201" s="120" t="str">
        <f>IF(OR(D2201&lt;Capa!$A$5,D2201&gt;Capa!$A$7,E2201&lt;Capa!$A$5,E2201&gt;Capa!$A$7,D2201&gt;E2201),"Erro","")</f>
        <v/>
      </c>
    </row>
    <row r="2202" spans="1:9" ht="22.5">
      <c r="A2202" s="345">
        <v>2199</v>
      </c>
      <c r="B2202" s="346" t="s">
        <v>198</v>
      </c>
      <c r="C2202" s="347">
        <v>10666.41</v>
      </c>
      <c r="D2202" s="348">
        <v>46753</v>
      </c>
      <c r="E2202" s="348">
        <v>47058</v>
      </c>
      <c r="F2202" s="346" t="s">
        <v>641</v>
      </c>
      <c r="G2202" s="350" t="s">
        <v>438</v>
      </c>
      <c r="H2202" s="351">
        <f t="shared" si="36"/>
        <v>117330.51</v>
      </c>
      <c r="I2202" s="120" t="str">
        <f>IF(OR(D2202&lt;Capa!$A$5,D2202&gt;Capa!$A$7,E2202&lt;Capa!$A$5,E2202&gt;Capa!$A$7,D2202&gt;E2202),"Erro","")</f>
        <v/>
      </c>
    </row>
    <row r="2203" spans="1:9" ht="22.5">
      <c r="A2203" s="345">
        <v>2200</v>
      </c>
      <c r="B2203" s="346" t="s">
        <v>202</v>
      </c>
      <c r="C2203" s="347">
        <v>1544.66</v>
      </c>
      <c r="D2203" s="348">
        <v>45566</v>
      </c>
      <c r="E2203" s="348">
        <v>45627</v>
      </c>
      <c r="F2203" s="346" t="s">
        <v>641</v>
      </c>
      <c r="G2203" s="350" t="s">
        <v>439</v>
      </c>
      <c r="H2203" s="351">
        <f t="shared" si="36"/>
        <v>4633.9800000000005</v>
      </c>
      <c r="I2203" s="120" t="str">
        <f>IF(OR(D2203&lt;Capa!$A$5,D2203&gt;Capa!$A$7,E2203&lt;Capa!$A$5,E2203&gt;Capa!$A$7,D2203&gt;E2203),"Erro","")</f>
        <v/>
      </c>
    </row>
    <row r="2204" spans="1:9" ht="22.5">
      <c r="A2204" s="345">
        <v>2201</v>
      </c>
      <c r="B2204" s="346" t="s">
        <v>202</v>
      </c>
      <c r="C2204" s="347">
        <v>1634.87</v>
      </c>
      <c r="D2204" s="348">
        <v>45658</v>
      </c>
      <c r="E2204" s="348">
        <v>45717</v>
      </c>
      <c r="F2204" s="346" t="s">
        <v>641</v>
      </c>
      <c r="G2204" s="350" t="s">
        <v>439</v>
      </c>
      <c r="H2204" s="351">
        <f t="shared" si="36"/>
        <v>4904.6099999999997</v>
      </c>
      <c r="I2204" s="120" t="str">
        <f>IF(OR(D2204&lt;Capa!$A$5,D2204&gt;Capa!$A$7,E2204&lt;Capa!$A$5,E2204&gt;Capa!$A$7,D2204&gt;E2204),"Erro","")</f>
        <v/>
      </c>
    </row>
    <row r="2205" spans="1:9" ht="22.5">
      <c r="A2205" s="345">
        <v>2202</v>
      </c>
      <c r="B2205" s="346" t="s">
        <v>202</v>
      </c>
      <c r="C2205" s="347">
        <v>1730.34</v>
      </c>
      <c r="D2205" s="348">
        <v>46023</v>
      </c>
      <c r="E2205" s="348">
        <v>46082</v>
      </c>
      <c r="F2205" s="346" t="s">
        <v>641</v>
      </c>
      <c r="G2205" s="350" t="s">
        <v>439</v>
      </c>
      <c r="H2205" s="351">
        <f t="shared" si="36"/>
        <v>5191.0199999999995</v>
      </c>
      <c r="I2205" s="120" t="str">
        <f>IF(OR(D2205&lt;Capa!$A$5,D2205&gt;Capa!$A$7,E2205&lt;Capa!$A$5,E2205&gt;Capa!$A$7,D2205&gt;E2205),"Erro","")</f>
        <v/>
      </c>
    </row>
    <row r="2206" spans="1:9" ht="22.5">
      <c r="A2206" s="345">
        <v>2203</v>
      </c>
      <c r="B2206" s="346" t="s">
        <v>202</v>
      </c>
      <c r="C2206" s="347">
        <v>1831.4</v>
      </c>
      <c r="D2206" s="348">
        <v>46388</v>
      </c>
      <c r="E2206" s="348">
        <v>46447</v>
      </c>
      <c r="F2206" s="346" t="s">
        <v>641</v>
      </c>
      <c r="G2206" s="350" t="s">
        <v>439</v>
      </c>
      <c r="H2206" s="351">
        <f t="shared" si="36"/>
        <v>5494.2000000000007</v>
      </c>
      <c r="I2206" s="120" t="str">
        <f>IF(OR(D2206&lt;Capa!$A$5,D2206&gt;Capa!$A$7,E2206&lt;Capa!$A$5,E2206&gt;Capa!$A$7,D2206&gt;E2206),"Erro","")</f>
        <v/>
      </c>
    </row>
    <row r="2207" spans="1:9" ht="22.5">
      <c r="A2207" s="345">
        <v>2204</v>
      </c>
      <c r="B2207" s="346" t="s">
        <v>202</v>
      </c>
      <c r="C2207" s="347">
        <v>1938.35</v>
      </c>
      <c r="D2207" s="348">
        <v>46753</v>
      </c>
      <c r="E2207" s="348">
        <v>46813</v>
      </c>
      <c r="F2207" s="346" t="s">
        <v>641</v>
      </c>
      <c r="G2207" s="350" t="s">
        <v>439</v>
      </c>
      <c r="H2207" s="351">
        <f t="shared" si="36"/>
        <v>5815.0499999999993</v>
      </c>
      <c r="I2207" s="120" t="str">
        <f>IF(OR(D2207&lt;Capa!$A$5,D2207&gt;Capa!$A$7,E2207&lt;Capa!$A$5,E2207&gt;Capa!$A$7,D2207&gt;E2207),"Erro","")</f>
        <v/>
      </c>
    </row>
    <row r="2208" spans="1:9" ht="22.5">
      <c r="A2208" s="345">
        <v>2205</v>
      </c>
      <c r="B2208" s="346" t="s">
        <v>204</v>
      </c>
      <c r="C2208" s="347">
        <v>1735.91</v>
      </c>
      <c r="D2208" s="348">
        <v>45566</v>
      </c>
      <c r="E2208" s="348">
        <v>45627</v>
      </c>
      <c r="F2208" s="346" t="s">
        <v>641</v>
      </c>
      <c r="G2208" s="350" t="s">
        <v>439</v>
      </c>
      <c r="H2208" s="351">
        <f t="shared" si="36"/>
        <v>5207.7300000000005</v>
      </c>
      <c r="I2208" s="120" t="str">
        <f>IF(OR(D2208&lt;Capa!$A$5,D2208&gt;Capa!$A$7,E2208&lt;Capa!$A$5,E2208&gt;Capa!$A$7,D2208&gt;E2208),"Erro","")</f>
        <v/>
      </c>
    </row>
    <row r="2209" spans="1:9" ht="22.5">
      <c r="A2209" s="345">
        <v>2206</v>
      </c>
      <c r="B2209" s="346" t="s">
        <v>204</v>
      </c>
      <c r="C2209" s="347">
        <v>1837.29</v>
      </c>
      <c r="D2209" s="348">
        <v>45658</v>
      </c>
      <c r="E2209" s="348">
        <v>45839</v>
      </c>
      <c r="F2209" s="346" t="s">
        <v>641</v>
      </c>
      <c r="G2209" s="350" t="s">
        <v>439</v>
      </c>
      <c r="H2209" s="351">
        <f t="shared" si="36"/>
        <v>12861.029999999999</v>
      </c>
      <c r="I2209" s="120" t="str">
        <f>IF(OR(D2209&lt;Capa!$A$5,D2209&gt;Capa!$A$7,E2209&lt;Capa!$A$5,E2209&gt;Capa!$A$7,D2209&gt;E2209),"Erro","")</f>
        <v/>
      </c>
    </row>
    <row r="2210" spans="1:9" ht="22.5">
      <c r="A2210" s="345">
        <v>2207</v>
      </c>
      <c r="B2210" s="346" t="s">
        <v>204</v>
      </c>
      <c r="C2210" s="347">
        <v>1944.58</v>
      </c>
      <c r="D2210" s="348">
        <v>46023</v>
      </c>
      <c r="E2210" s="348">
        <v>46204</v>
      </c>
      <c r="F2210" s="346" t="s">
        <v>641</v>
      </c>
      <c r="G2210" s="350" t="s">
        <v>439</v>
      </c>
      <c r="H2210" s="351">
        <f t="shared" si="36"/>
        <v>13612.06</v>
      </c>
      <c r="I2210" s="120" t="str">
        <f>IF(OR(D2210&lt;Capa!$A$5,D2210&gt;Capa!$A$7,E2210&lt;Capa!$A$5,E2210&gt;Capa!$A$7,D2210&gt;E2210),"Erro","")</f>
        <v/>
      </c>
    </row>
    <row r="2211" spans="1:9" ht="22.5">
      <c r="A2211" s="345">
        <v>2208</v>
      </c>
      <c r="B2211" s="346" t="s">
        <v>204</v>
      </c>
      <c r="C2211" s="347">
        <v>2058.15</v>
      </c>
      <c r="D2211" s="348">
        <v>46388</v>
      </c>
      <c r="E2211" s="348">
        <v>46569</v>
      </c>
      <c r="F2211" s="346" t="s">
        <v>641</v>
      </c>
      <c r="G2211" s="350" t="s">
        <v>439</v>
      </c>
      <c r="H2211" s="351">
        <f t="shared" si="36"/>
        <v>14407.050000000001</v>
      </c>
      <c r="I2211" s="120" t="str">
        <f>IF(OR(D2211&lt;Capa!$A$5,D2211&gt;Capa!$A$7,E2211&lt;Capa!$A$5,E2211&gt;Capa!$A$7,D2211&gt;E2211),"Erro","")</f>
        <v/>
      </c>
    </row>
    <row r="2212" spans="1:9" ht="22.5">
      <c r="A2212" s="345">
        <v>2209</v>
      </c>
      <c r="B2212" s="346" t="s">
        <v>204</v>
      </c>
      <c r="C2212" s="347">
        <v>2178.34</v>
      </c>
      <c r="D2212" s="348">
        <v>46753</v>
      </c>
      <c r="E2212" s="348">
        <v>46935</v>
      </c>
      <c r="F2212" s="346" t="s">
        <v>641</v>
      </c>
      <c r="G2212" s="350" t="s">
        <v>439</v>
      </c>
      <c r="H2212" s="351">
        <f t="shared" si="36"/>
        <v>15248.380000000001</v>
      </c>
      <c r="I2212" s="120" t="str">
        <f>IF(OR(D2212&lt;Capa!$A$5,D2212&gt;Capa!$A$7,E2212&lt;Capa!$A$5,E2212&gt;Capa!$A$7,D2212&gt;E2212),"Erro","")</f>
        <v/>
      </c>
    </row>
    <row r="2213" spans="1:9" ht="22.5">
      <c r="A2213" s="345">
        <v>2210</v>
      </c>
      <c r="B2213" s="346" t="s">
        <v>206</v>
      </c>
      <c r="C2213" s="347">
        <v>1441.64</v>
      </c>
      <c r="D2213" s="348">
        <v>45566</v>
      </c>
      <c r="E2213" s="348">
        <v>45627</v>
      </c>
      <c r="F2213" s="346" t="s">
        <v>641</v>
      </c>
      <c r="G2213" s="350" t="s">
        <v>440</v>
      </c>
      <c r="H2213" s="351">
        <f t="shared" si="36"/>
        <v>4324.92</v>
      </c>
      <c r="I2213" s="120" t="str">
        <f>IF(OR(D2213&lt;Capa!$A$5,D2213&gt;Capa!$A$7,E2213&lt;Capa!$A$5,E2213&gt;Capa!$A$7,D2213&gt;E2213),"Erro","")</f>
        <v/>
      </c>
    </row>
    <row r="2214" spans="1:9" ht="22.5">
      <c r="A2214" s="345">
        <v>2211</v>
      </c>
      <c r="B2214" s="346" t="s">
        <v>206</v>
      </c>
      <c r="C2214" s="347">
        <v>1525.84</v>
      </c>
      <c r="D2214" s="348">
        <v>45658</v>
      </c>
      <c r="E2214" s="348">
        <v>45992</v>
      </c>
      <c r="F2214" s="346" t="s">
        <v>641</v>
      </c>
      <c r="G2214" s="350" t="s">
        <v>440</v>
      </c>
      <c r="H2214" s="351">
        <f t="shared" si="36"/>
        <v>18310.079999999998</v>
      </c>
      <c r="I2214" s="120" t="str">
        <f>IF(OR(D2214&lt;Capa!$A$5,D2214&gt;Capa!$A$7,E2214&lt;Capa!$A$5,E2214&gt;Capa!$A$7,D2214&gt;E2214),"Erro","")</f>
        <v/>
      </c>
    </row>
    <row r="2215" spans="1:9" ht="22.5">
      <c r="A2215" s="345">
        <v>2212</v>
      </c>
      <c r="B2215" s="346" t="s">
        <v>206</v>
      </c>
      <c r="C2215" s="347">
        <v>1614.95</v>
      </c>
      <c r="D2215" s="348">
        <v>46023</v>
      </c>
      <c r="E2215" s="348">
        <v>46357</v>
      </c>
      <c r="F2215" s="346" t="s">
        <v>641</v>
      </c>
      <c r="G2215" s="350" t="s">
        <v>440</v>
      </c>
      <c r="H2215" s="351">
        <f t="shared" si="36"/>
        <v>19379.400000000001</v>
      </c>
      <c r="I2215" s="120" t="str">
        <f>IF(OR(D2215&lt;Capa!$A$5,D2215&gt;Capa!$A$7,E2215&lt;Capa!$A$5,E2215&gt;Capa!$A$7,D2215&gt;E2215),"Erro","")</f>
        <v/>
      </c>
    </row>
    <row r="2216" spans="1:9" ht="22.5">
      <c r="A2216" s="345">
        <v>2213</v>
      </c>
      <c r="B2216" s="346" t="s">
        <v>206</v>
      </c>
      <c r="C2216" s="347">
        <v>1709.26</v>
      </c>
      <c r="D2216" s="348">
        <v>46388</v>
      </c>
      <c r="E2216" s="348">
        <v>46722</v>
      </c>
      <c r="F2216" s="346" t="s">
        <v>641</v>
      </c>
      <c r="G2216" s="350" t="s">
        <v>440</v>
      </c>
      <c r="H2216" s="351">
        <f t="shared" si="36"/>
        <v>20511.12</v>
      </c>
      <c r="I2216" s="120" t="str">
        <f>IF(OR(D2216&lt;Capa!$A$5,D2216&gt;Capa!$A$7,E2216&lt;Capa!$A$5,E2216&gt;Capa!$A$7,D2216&gt;E2216),"Erro","")</f>
        <v/>
      </c>
    </row>
    <row r="2217" spans="1:9" ht="22.5">
      <c r="A2217" s="345">
        <v>2214</v>
      </c>
      <c r="B2217" s="346" t="s">
        <v>206</v>
      </c>
      <c r="C2217" s="347">
        <v>1809.08</v>
      </c>
      <c r="D2217" s="348">
        <v>46753</v>
      </c>
      <c r="E2217" s="348">
        <v>47058</v>
      </c>
      <c r="F2217" s="346" t="s">
        <v>641</v>
      </c>
      <c r="G2217" s="350" t="s">
        <v>440</v>
      </c>
      <c r="H2217" s="351">
        <f t="shared" si="36"/>
        <v>19899.879999999997</v>
      </c>
      <c r="I2217" s="120" t="str">
        <f>IF(OR(D2217&lt;Capa!$A$5,D2217&gt;Capa!$A$7,E2217&lt;Capa!$A$5,E2217&gt;Capa!$A$7,D2217&gt;E2217),"Erro","")</f>
        <v/>
      </c>
    </row>
    <row r="2218" spans="1:9" ht="22.5">
      <c r="A2218" s="345">
        <v>2215</v>
      </c>
      <c r="B2218" s="346" t="s">
        <v>208</v>
      </c>
      <c r="C2218" s="347">
        <v>1638</v>
      </c>
      <c r="D2218" s="348">
        <v>45566</v>
      </c>
      <c r="E2218" s="348">
        <v>45627</v>
      </c>
      <c r="F2218" s="346" t="s">
        <v>641</v>
      </c>
      <c r="G2218" s="350" t="s">
        <v>440</v>
      </c>
      <c r="H2218" s="351">
        <f t="shared" si="36"/>
        <v>4914</v>
      </c>
      <c r="I2218" s="120" t="str">
        <f>IF(OR(D2218&lt;Capa!$A$5,D2218&gt;Capa!$A$7,E2218&lt;Capa!$A$5,E2218&gt;Capa!$A$7,D2218&gt;E2218),"Erro","")</f>
        <v/>
      </c>
    </row>
    <row r="2219" spans="1:9" ht="22.5">
      <c r="A2219" s="345">
        <v>2216</v>
      </c>
      <c r="B2219" s="346" t="s">
        <v>208</v>
      </c>
      <c r="C2219" s="347">
        <v>1733.89</v>
      </c>
      <c r="D2219" s="348">
        <v>45658</v>
      </c>
      <c r="E2219" s="348">
        <v>45992</v>
      </c>
      <c r="F2219" s="346" t="s">
        <v>641</v>
      </c>
      <c r="G2219" s="350" t="s">
        <v>440</v>
      </c>
      <c r="H2219" s="351">
        <f t="shared" si="36"/>
        <v>20806.68</v>
      </c>
      <c r="I2219" s="120" t="str">
        <f>IF(OR(D2219&lt;Capa!$A$5,D2219&gt;Capa!$A$7,E2219&lt;Capa!$A$5,E2219&gt;Capa!$A$7,D2219&gt;E2219),"Erro","")</f>
        <v/>
      </c>
    </row>
    <row r="2220" spans="1:9" ht="22.5">
      <c r="A2220" s="345">
        <v>2217</v>
      </c>
      <c r="B2220" s="346" t="s">
        <v>208</v>
      </c>
      <c r="C2220" s="347">
        <v>1835.15</v>
      </c>
      <c r="D2220" s="348">
        <v>46023</v>
      </c>
      <c r="E2220" s="348">
        <v>46357</v>
      </c>
      <c r="F2220" s="346" t="s">
        <v>641</v>
      </c>
      <c r="G2220" s="350" t="s">
        <v>440</v>
      </c>
      <c r="H2220" s="351">
        <f t="shared" si="36"/>
        <v>22021.800000000003</v>
      </c>
      <c r="I2220" s="120" t="str">
        <f>IF(OR(D2220&lt;Capa!$A$5,D2220&gt;Capa!$A$7,E2220&lt;Capa!$A$5,E2220&gt;Capa!$A$7,D2220&gt;E2220),"Erro","")</f>
        <v/>
      </c>
    </row>
    <row r="2221" spans="1:9" ht="22.5">
      <c r="A2221" s="345">
        <v>2218</v>
      </c>
      <c r="B2221" s="346" t="s">
        <v>208</v>
      </c>
      <c r="C2221" s="347">
        <v>1942.32</v>
      </c>
      <c r="D2221" s="348">
        <v>46388</v>
      </c>
      <c r="E2221" s="348">
        <v>46722</v>
      </c>
      <c r="F2221" s="346" t="s">
        <v>641</v>
      </c>
      <c r="G2221" s="350" t="s">
        <v>440</v>
      </c>
      <c r="H2221" s="351">
        <f t="shared" si="36"/>
        <v>23307.84</v>
      </c>
      <c r="I2221" s="120" t="str">
        <f>IF(OR(D2221&lt;Capa!$A$5,D2221&gt;Capa!$A$7,E2221&lt;Capa!$A$5,E2221&gt;Capa!$A$7,D2221&gt;E2221),"Erro","")</f>
        <v/>
      </c>
    </row>
    <row r="2222" spans="1:9" ht="22.5">
      <c r="A2222" s="345">
        <v>2219</v>
      </c>
      <c r="B2222" s="346" t="s">
        <v>208</v>
      </c>
      <c r="C2222" s="347">
        <v>2055.75</v>
      </c>
      <c r="D2222" s="348">
        <v>46753</v>
      </c>
      <c r="E2222" s="348">
        <v>47058</v>
      </c>
      <c r="F2222" s="346" t="s">
        <v>641</v>
      </c>
      <c r="G2222" s="350" t="s">
        <v>440</v>
      </c>
      <c r="H2222" s="351">
        <f t="shared" si="36"/>
        <v>22613.25</v>
      </c>
      <c r="I2222" s="120" t="str">
        <f>IF(OR(D2222&lt;Capa!$A$5,D2222&gt;Capa!$A$7,E2222&lt;Capa!$A$5,E2222&gt;Capa!$A$7,D2222&gt;E2222),"Erro","")</f>
        <v/>
      </c>
    </row>
    <row r="2223" spans="1:9" ht="22.5">
      <c r="A2223" s="345">
        <v>2220</v>
      </c>
      <c r="B2223" s="346" t="s">
        <v>210</v>
      </c>
      <c r="C2223" s="347">
        <v>39.68</v>
      </c>
      <c r="D2223" s="348">
        <v>45566</v>
      </c>
      <c r="E2223" s="348">
        <v>45627</v>
      </c>
      <c r="F2223" s="346" t="s">
        <v>641</v>
      </c>
      <c r="G2223" s="350" t="s">
        <v>440</v>
      </c>
      <c r="H2223" s="351">
        <f t="shared" si="36"/>
        <v>119.03999999999999</v>
      </c>
      <c r="I2223" s="120" t="str">
        <f>IF(OR(D2223&lt;Capa!$A$5,D2223&gt;Capa!$A$7,E2223&lt;Capa!$A$5,E2223&gt;Capa!$A$7,D2223&gt;E2223),"Erro","")</f>
        <v/>
      </c>
    </row>
    <row r="2224" spans="1:9" ht="22.5">
      <c r="A2224" s="345">
        <v>2221</v>
      </c>
      <c r="B2224" s="346" t="s">
        <v>210</v>
      </c>
      <c r="C2224" s="347">
        <v>41.99</v>
      </c>
      <c r="D2224" s="348">
        <v>45658</v>
      </c>
      <c r="E2224" s="348">
        <v>45992</v>
      </c>
      <c r="F2224" s="346" t="s">
        <v>641</v>
      </c>
      <c r="G2224" s="350" t="s">
        <v>440</v>
      </c>
      <c r="H2224" s="351">
        <f t="shared" si="36"/>
        <v>503.88</v>
      </c>
      <c r="I2224" s="120" t="str">
        <f>IF(OR(D2224&lt;Capa!$A$5,D2224&gt;Capa!$A$7,E2224&lt;Capa!$A$5,E2224&gt;Capa!$A$7,D2224&gt;E2224),"Erro","")</f>
        <v/>
      </c>
    </row>
    <row r="2225" spans="1:9" ht="22.5">
      <c r="A2225" s="345">
        <v>2222</v>
      </c>
      <c r="B2225" s="346" t="s">
        <v>210</v>
      </c>
      <c r="C2225" s="347">
        <v>44.44</v>
      </c>
      <c r="D2225" s="348">
        <v>46023</v>
      </c>
      <c r="E2225" s="348">
        <v>46357</v>
      </c>
      <c r="F2225" s="346" t="s">
        <v>641</v>
      </c>
      <c r="G2225" s="350" t="s">
        <v>440</v>
      </c>
      <c r="H2225" s="351">
        <f t="shared" si="36"/>
        <v>533.28</v>
      </c>
      <c r="I2225" s="120" t="str">
        <f>IF(OR(D2225&lt;Capa!$A$5,D2225&gt;Capa!$A$7,E2225&lt;Capa!$A$5,E2225&gt;Capa!$A$7,D2225&gt;E2225),"Erro","")</f>
        <v/>
      </c>
    </row>
    <row r="2226" spans="1:9" ht="22.5">
      <c r="A2226" s="345">
        <v>2223</v>
      </c>
      <c r="B2226" s="346" t="s">
        <v>210</v>
      </c>
      <c r="C2226" s="347">
        <v>47.04</v>
      </c>
      <c r="D2226" s="348">
        <v>46388</v>
      </c>
      <c r="E2226" s="348">
        <v>46722</v>
      </c>
      <c r="F2226" s="346" t="s">
        <v>641</v>
      </c>
      <c r="G2226" s="350" t="s">
        <v>440</v>
      </c>
      <c r="H2226" s="351">
        <f t="shared" si="36"/>
        <v>564.48</v>
      </c>
      <c r="I2226" s="120" t="str">
        <f>IF(OR(D2226&lt;Capa!$A$5,D2226&gt;Capa!$A$7,E2226&lt;Capa!$A$5,E2226&gt;Capa!$A$7,D2226&gt;E2226),"Erro","")</f>
        <v/>
      </c>
    </row>
    <row r="2227" spans="1:9" ht="22.5">
      <c r="A2227" s="345">
        <v>2224</v>
      </c>
      <c r="B2227" s="346" t="s">
        <v>210</v>
      </c>
      <c r="C2227" s="347">
        <v>49.79</v>
      </c>
      <c r="D2227" s="348">
        <v>46753</v>
      </c>
      <c r="E2227" s="348">
        <v>47058</v>
      </c>
      <c r="F2227" s="346" t="s">
        <v>641</v>
      </c>
      <c r="G2227" s="350" t="s">
        <v>440</v>
      </c>
      <c r="H2227" s="351">
        <f t="shared" si="36"/>
        <v>547.68999999999994</v>
      </c>
      <c r="I2227" s="120" t="str">
        <f>IF(OR(D2227&lt;Capa!$A$5,D2227&gt;Capa!$A$7,E2227&lt;Capa!$A$5,E2227&gt;Capa!$A$7,D2227&gt;E2227),"Erro","")</f>
        <v/>
      </c>
    </row>
    <row r="2228" spans="1:9" ht="22.5">
      <c r="A2228" s="345">
        <v>2225</v>
      </c>
      <c r="B2228" s="346" t="s">
        <v>214</v>
      </c>
      <c r="C2228" s="347">
        <v>131.97999999999999</v>
      </c>
      <c r="D2228" s="348">
        <v>45566</v>
      </c>
      <c r="E2228" s="348">
        <v>45627</v>
      </c>
      <c r="F2228" s="346" t="s">
        <v>641</v>
      </c>
      <c r="G2228" s="350" t="s">
        <v>440</v>
      </c>
      <c r="H2228" s="351">
        <f t="shared" si="36"/>
        <v>395.93999999999994</v>
      </c>
      <c r="I2228" s="120" t="str">
        <f>IF(OR(D2228&lt;Capa!$A$5,D2228&gt;Capa!$A$7,E2228&lt;Capa!$A$5,E2228&gt;Capa!$A$7,D2228&gt;E2228),"Erro","")</f>
        <v/>
      </c>
    </row>
    <row r="2229" spans="1:9" ht="22.5">
      <c r="A2229" s="345">
        <v>2226</v>
      </c>
      <c r="B2229" s="346" t="s">
        <v>214</v>
      </c>
      <c r="C2229" s="347">
        <v>139.68</v>
      </c>
      <c r="D2229" s="348">
        <v>45658</v>
      </c>
      <c r="E2229" s="348">
        <v>45992</v>
      </c>
      <c r="F2229" s="346" t="s">
        <v>641</v>
      </c>
      <c r="G2229" s="350" t="s">
        <v>440</v>
      </c>
      <c r="H2229" s="351">
        <f t="shared" si="36"/>
        <v>1676.16</v>
      </c>
      <c r="I2229" s="120" t="str">
        <f>IF(OR(D2229&lt;Capa!$A$5,D2229&gt;Capa!$A$7,E2229&lt;Capa!$A$5,E2229&gt;Capa!$A$7,D2229&gt;E2229),"Erro","")</f>
        <v/>
      </c>
    </row>
    <row r="2230" spans="1:9" ht="22.5">
      <c r="A2230" s="345">
        <v>2227</v>
      </c>
      <c r="B2230" s="346" t="s">
        <v>214</v>
      </c>
      <c r="C2230" s="347">
        <v>147.84</v>
      </c>
      <c r="D2230" s="348">
        <v>46023</v>
      </c>
      <c r="E2230" s="348">
        <v>46357</v>
      </c>
      <c r="F2230" s="346" t="s">
        <v>641</v>
      </c>
      <c r="G2230" s="350" t="s">
        <v>440</v>
      </c>
      <c r="H2230" s="351">
        <f t="shared" si="36"/>
        <v>1774.08</v>
      </c>
      <c r="I2230" s="120" t="str">
        <f>IF(OR(D2230&lt;Capa!$A$5,D2230&gt;Capa!$A$7,E2230&lt;Capa!$A$5,E2230&gt;Capa!$A$7,D2230&gt;E2230),"Erro","")</f>
        <v/>
      </c>
    </row>
    <row r="2231" spans="1:9" ht="22.5">
      <c r="A2231" s="345">
        <v>2228</v>
      </c>
      <c r="B2231" s="346" t="s">
        <v>214</v>
      </c>
      <c r="C2231" s="347">
        <v>156.47999999999999</v>
      </c>
      <c r="D2231" s="348">
        <v>46388</v>
      </c>
      <c r="E2231" s="348">
        <v>46722</v>
      </c>
      <c r="F2231" s="346" t="s">
        <v>641</v>
      </c>
      <c r="G2231" s="350" t="s">
        <v>440</v>
      </c>
      <c r="H2231" s="351">
        <f t="shared" si="36"/>
        <v>1877.7599999999998</v>
      </c>
      <c r="I2231" s="120" t="str">
        <f>IF(OR(D2231&lt;Capa!$A$5,D2231&gt;Capa!$A$7,E2231&lt;Capa!$A$5,E2231&gt;Capa!$A$7,D2231&gt;E2231),"Erro","")</f>
        <v/>
      </c>
    </row>
    <row r="2232" spans="1:9" ht="22.5">
      <c r="A2232" s="345">
        <v>2229</v>
      </c>
      <c r="B2232" s="346" t="s">
        <v>214</v>
      </c>
      <c r="C2232" s="347">
        <v>165.62</v>
      </c>
      <c r="D2232" s="348">
        <v>46753</v>
      </c>
      <c r="E2232" s="348">
        <v>47058</v>
      </c>
      <c r="F2232" s="346" t="s">
        <v>641</v>
      </c>
      <c r="G2232" s="350" t="s">
        <v>440</v>
      </c>
      <c r="H2232" s="351">
        <f t="shared" si="36"/>
        <v>1821.8200000000002</v>
      </c>
      <c r="I2232" s="120" t="str">
        <f>IF(OR(D2232&lt;Capa!$A$5,D2232&gt;Capa!$A$7,E2232&lt;Capa!$A$5,E2232&gt;Capa!$A$7,D2232&gt;E2232),"Erro","")</f>
        <v/>
      </c>
    </row>
    <row r="2233" spans="1:9" ht="22.5">
      <c r="A2233" s="345">
        <v>2230</v>
      </c>
      <c r="B2233" s="346" t="s">
        <v>212</v>
      </c>
      <c r="C2233" s="347">
        <v>235.74</v>
      </c>
      <c r="D2233" s="348">
        <v>45566</v>
      </c>
      <c r="E2233" s="348">
        <v>45627</v>
      </c>
      <c r="F2233" s="346" t="s">
        <v>641</v>
      </c>
      <c r="G2233" s="350" t="s">
        <v>440</v>
      </c>
      <c r="H2233" s="351">
        <f t="shared" si="36"/>
        <v>707.22</v>
      </c>
      <c r="I2233" s="120" t="str">
        <f>IF(OR(D2233&lt;Capa!$A$5,D2233&gt;Capa!$A$7,E2233&lt;Capa!$A$5,E2233&gt;Capa!$A$7,D2233&gt;E2233),"Erro","")</f>
        <v/>
      </c>
    </row>
    <row r="2234" spans="1:9" ht="22.5">
      <c r="A2234" s="345">
        <v>2231</v>
      </c>
      <c r="B2234" s="346" t="s">
        <v>212</v>
      </c>
      <c r="C2234" s="347">
        <v>249.51</v>
      </c>
      <c r="D2234" s="348">
        <v>45658</v>
      </c>
      <c r="E2234" s="348">
        <v>45992</v>
      </c>
      <c r="F2234" s="346" t="s">
        <v>641</v>
      </c>
      <c r="G2234" s="350" t="s">
        <v>440</v>
      </c>
      <c r="H2234" s="351">
        <f t="shared" si="36"/>
        <v>2994.12</v>
      </c>
      <c r="I2234" s="120" t="str">
        <f>IF(OR(D2234&lt;Capa!$A$5,D2234&gt;Capa!$A$7,E2234&lt;Capa!$A$5,E2234&gt;Capa!$A$7,D2234&gt;E2234),"Erro","")</f>
        <v/>
      </c>
    </row>
    <row r="2235" spans="1:9" ht="22.5">
      <c r="A2235" s="345">
        <v>2232</v>
      </c>
      <c r="B2235" s="346" t="s">
        <v>212</v>
      </c>
      <c r="C2235" s="347">
        <v>264.08</v>
      </c>
      <c r="D2235" s="348">
        <v>46023</v>
      </c>
      <c r="E2235" s="348">
        <v>46357</v>
      </c>
      <c r="F2235" s="346" t="s">
        <v>641</v>
      </c>
      <c r="G2235" s="350" t="s">
        <v>440</v>
      </c>
      <c r="H2235" s="351">
        <f t="shared" si="36"/>
        <v>3168.96</v>
      </c>
      <c r="I2235" s="120" t="str">
        <f>IF(OR(D2235&lt;Capa!$A$5,D2235&gt;Capa!$A$7,E2235&lt;Capa!$A$5,E2235&gt;Capa!$A$7,D2235&gt;E2235),"Erro","")</f>
        <v/>
      </c>
    </row>
    <row r="2236" spans="1:9" ht="22.5">
      <c r="A2236" s="345">
        <v>2233</v>
      </c>
      <c r="B2236" s="346" t="s">
        <v>212</v>
      </c>
      <c r="C2236" s="347">
        <v>279.5</v>
      </c>
      <c r="D2236" s="348">
        <v>46388</v>
      </c>
      <c r="E2236" s="348">
        <v>46722</v>
      </c>
      <c r="F2236" s="346" t="s">
        <v>641</v>
      </c>
      <c r="G2236" s="350" t="s">
        <v>440</v>
      </c>
      <c r="H2236" s="351">
        <f t="shared" si="36"/>
        <v>3354</v>
      </c>
      <c r="I2236" s="120" t="str">
        <f>IF(OR(D2236&lt;Capa!$A$5,D2236&gt;Capa!$A$7,E2236&lt;Capa!$A$5,E2236&gt;Capa!$A$7,D2236&gt;E2236),"Erro","")</f>
        <v/>
      </c>
    </row>
    <row r="2237" spans="1:9" ht="22.5">
      <c r="A2237" s="345">
        <v>2234</v>
      </c>
      <c r="B2237" s="346" t="s">
        <v>212</v>
      </c>
      <c r="C2237" s="347">
        <v>295.83</v>
      </c>
      <c r="D2237" s="348">
        <v>46753</v>
      </c>
      <c r="E2237" s="348">
        <v>47058</v>
      </c>
      <c r="F2237" s="346" t="s">
        <v>641</v>
      </c>
      <c r="G2237" s="350" t="s">
        <v>440</v>
      </c>
      <c r="H2237" s="351">
        <f t="shared" ref="H2237:H2297" si="39">IFERROR((DATEDIF(D2237,E2237,"M")+1)*C2237,0)</f>
        <v>3254.1299999999997</v>
      </c>
      <c r="I2237" s="120" t="str">
        <f>IF(OR(D2237&lt;Capa!$A$5,D2237&gt;Capa!$A$7,E2237&lt;Capa!$A$5,E2237&gt;Capa!$A$7,D2237&gt;E2237),"Erro","")</f>
        <v/>
      </c>
    </row>
    <row r="2238" spans="1:9" ht="45">
      <c r="A2238" s="345">
        <v>2235</v>
      </c>
      <c r="B2238" s="346" t="s">
        <v>248</v>
      </c>
      <c r="C2238" s="347">
        <v>846</v>
      </c>
      <c r="D2238" s="348">
        <v>45689</v>
      </c>
      <c r="E2238" s="348">
        <v>45901</v>
      </c>
      <c r="F2238" s="346" t="s">
        <v>641</v>
      </c>
      <c r="G2238" s="350" t="s">
        <v>441</v>
      </c>
      <c r="H2238" s="351">
        <f t="shared" si="39"/>
        <v>6768</v>
      </c>
      <c r="I2238" s="120" t="str">
        <f>IF(OR(D2238&lt;Capa!$A$5,D2238&gt;Capa!$A$7,E2238&lt;Capa!$A$5,E2238&gt;Capa!$A$7,D2238&gt;E2238),"Erro","")</f>
        <v/>
      </c>
    </row>
    <row r="2239" spans="1:9" ht="45">
      <c r="A2239" s="345">
        <v>2236</v>
      </c>
      <c r="B2239" s="346" t="s">
        <v>248</v>
      </c>
      <c r="C2239" s="347">
        <v>846</v>
      </c>
      <c r="D2239" s="348">
        <v>46023</v>
      </c>
      <c r="E2239" s="348">
        <v>46113</v>
      </c>
      <c r="F2239" s="346" t="s">
        <v>641</v>
      </c>
      <c r="G2239" s="350" t="s">
        <v>441</v>
      </c>
      <c r="H2239" s="351">
        <f t="shared" si="39"/>
        <v>3384</v>
      </c>
      <c r="I2239" s="120" t="str">
        <f>IF(OR(D2239&lt;Capa!$A$5,D2239&gt;Capa!$A$7,E2239&lt;Capa!$A$5,E2239&gt;Capa!$A$7,D2239&gt;E2239),"Erro","")</f>
        <v/>
      </c>
    </row>
    <row r="2240" spans="1:9" ht="45">
      <c r="A2240" s="345">
        <v>2237</v>
      </c>
      <c r="B2240" s="346" t="s">
        <v>248</v>
      </c>
      <c r="C2240" s="347">
        <v>846</v>
      </c>
      <c r="D2240" s="348">
        <v>46388</v>
      </c>
      <c r="E2240" s="348">
        <v>46478</v>
      </c>
      <c r="F2240" s="346" t="s">
        <v>641</v>
      </c>
      <c r="G2240" s="350" t="s">
        <v>441</v>
      </c>
      <c r="H2240" s="351">
        <f t="shared" si="39"/>
        <v>3384</v>
      </c>
      <c r="I2240" s="120" t="str">
        <f>IF(OR(D2240&lt;Capa!$A$5,D2240&gt;Capa!$A$7,E2240&lt;Capa!$A$5,E2240&gt;Capa!$A$7,D2240&gt;E2240),"Erro","")</f>
        <v/>
      </c>
    </row>
    <row r="2241" spans="1:9" ht="45">
      <c r="A2241" s="345">
        <v>2238</v>
      </c>
      <c r="B2241" s="346" t="s">
        <v>248</v>
      </c>
      <c r="C2241" s="347">
        <v>846</v>
      </c>
      <c r="D2241" s="348">
        <v>46753</v>
      </c>
      <c r="E2241" s="348">
        <v>46844</v>
      </c>
      <c r="F2241" s="346" t="s">
        <v>641</v>
      </c>
      <c r="G2241" s="350" t="s">
        <v>441</v>
      </c>
      <c r="H2241" s="351">
        <f t="shared" si="39"/>
        <v>3384</v>
      </c>
      <c r="I2241" s="120" t="str">
        <f>IF(OR(D2241&lt;Capa!$A$5,D2241&gt;Capa!$A$7,E2241&lt;Capa!$A$5,E2241&gt;Capa!$A$7,D2241&gt;E2241),"Erro","")</f>
        <v/>
      </c>
    </row>
    <row r="2242" spans="1:9" ht="33.75">
      <c r="A2242" s="345">
        <v>2239</v>
      </c>
      <c r="B2242" s="346" t="s">
        <v>266</v>
      </c>
      <c r="C2242" s="347">
        <v>600</v>
      </c>
      <c r="D2242" s="348">
        <v>45597</v>
      </c>
      <c r="E2242" s="348">
        <v>45627</v>
      </c>
      <c r="F2242" s="346" t="s">
        <v>641</v>
      </c>
      <c r="G2242" s="350" t="s">
        <v>442</v>
      </c>
      <c r="H2242" s="351">
        <f t="shared" si="39"/>
        <v>1200</v>
      </c>
      <c r="I2242" s="120" t="str">
        <f>IF(OR(D2242&lt;Capa!$A$5,D2242&gt;Capa!$A$7,E2242&lt;Capa!$A$5,E2242&gt;Capa!$A$7,D2242&gt;E2242),"Erro","")</f>
        <v/>
      </c>
    </row>
    <row r="2243" spans="1:9" ht="33.75">
      <c r="A2243" s="345">
        <v>2240</v>
      </c>
      <c r="B2243" s="346" t="s">
        <v>266</v>
      </c>
      <c r="C2243" s="347">
        <v>600</v>
      </c>
      <c r="D2243" s="348">
        <v>45658</v>
      </c>
      <c r="E2243" s="348">
        <v>45839</v>
      </c>
      <c r="F2243" s="346" t="s">
        <v>641</v>
      </c>
      <c r="G2243" s="350" t="s">
        <v>442</v>
      </c>
      <c r="H2243" s="351">
        <f t="shared" si="39"/>
        <v>4200</v>
      </c>
      <c r="I2243" s="120" t="str">
        <f>IF(OR(D2243&lt;Capa!$A$5,D2243&gt;Capa!$A$7,E2243&lt;Capa!$A$5,E2243&gt;Capa!$A$7,D2243&gt;E2243),"Erro","")</f>
        <v/>
      </c>
    </row>
    <row r="2244" spans="1:9" ht="33.75">
      <c r="A2244" s="345">
        <v>2241</v>
      </c>
      <c r="B2244" s="346" t="s">
        <v>266</v>
      </c>
      <c r="C2244" s="347">
        <v>600</v>
      </c>
      <c r="D2244" s="348">
        <v>46023</v>
      </c>
      <c r="E2244" s="348">
        <v>46204</v>
      </c>
      <c r="F2244" s="346" t="s">
        <v>641</v>
      </c>
      <c r="G2244" s="350" t="s">
        <v>442</v>
      </c>
      <c r="H2244" s="351">
        <f t="shared" si="39"/>
        <v>4200</v>
      </c>
      <c r="I2244" s="120" t="str">
        <f>IF(OR(D2244&lt;Capa!$A$5,D2244&gt;Capa!$A$7,E2244&lt;Capa!$A$5,E2244&gt;Capa!$A$7,D2244&gt;E2244),"Erro","")</f>
        <v/>
      </c>
    </row>
    <row r="2245" spans="1:9" ht="33.75">
      <c r="A2245" s="345">
        <v>2242</v>
      </c>
      <c r="B2245" s="346" t="s">
        <v>266</v>
      </c>
      <c r="C2245" s="347">
        <v>600</v>
      </c>
      <c r="D2245" s="348">
        <v>46388</v>
      </c>
      <c r="E2245" s="348">
        <v>46569</v>
      </c>
      <c r="F2245" s="346" t="s">
        <v>641</v>
      </c>
      <c r="G2245" s="350" t="s">
        <v>442</v>
      </c>
      <c r="H2245" s="351">
        <f t="shared" si="39"/>
        <v>4200</v>
      </c>
      <c r="I2245" s="120" t="str">
        <f>IF(OR(D2245&lt;Capa!$A$5,D2245&gt;Capa!$A$7,E2245&lt;Capa!$A$5,E2245&gt;Capa!$A$7,D2245&gt;E2245),"Erro","")</f>
        <v/>
      </c>
    </row>
    <row r="2246" spans="1:9" ht="33.75">
      <c r="A2246" s="345">
        <v>2243</v>
      </c>
      <c r="B2246" s="346" t="s">
        <v>266</v>
      </c>
      <c r="C2246" s="347">
        <v>600</v>
      </c>
      <c r="D2246" s="348">
        <v>46753</v>
      </c>
      <c r="E2246" s="348">
        <v>46935</v>
      </c>
      <c r="F2246" s="346" t="s">
        <v>641</v>
      </c>
      <c r="G2246" s="350" t="s">
        <v>442</v>
      </c>
      <c r="H2246" s="351">
        <f t="shared" si="39"/>
        <v>4200</v>
      </c>
      <c r="I2246" s="120" t="str">
        <f>IF(OR(D2246&lt;Capa!$A$5,D2246&gt;Capa!$A$7,E2246&lt;Capa!$A$5,E2246&gt;Capa!$A$7,D2246&gt;E2246),"Erro","")</f>
        <v/>
      </c>
    </row>
    <row r="2247" spans="1:9" ht="22.5">
      <c r="A2247" s="345">
        <v>2244</v>
      </c>
      <c r="B2247" s="346" t="s">
        <v>274</v>
      </c>
      <c r="C2247" s="347">
        <v>1100</v>
      </c>
      <c r="D2247" s="348">
        <v>45597</v>
      </c>
      <c r="E2247" s="348">
        <v>45627</v>
      </c>
      <c r="F2247" s="346" t="s">
        <v>641</v>
      </c>
      <c r="G2247" s="350" t="s">
        <v>443</v>
      </c>
      <c r="H2247" s="351">
        <f t="shared" si="39"/>
        <v>2200</v>
      </c>
      <c r="I2247" s="120" t="str">
        <f>IF(OR(D2247&lt;Capa!$A$5,D2247&gt;Capa!$A$7,E2247&lt;Capa!$A$5,E2247&gt;Capa!$A$7,D2247&gt;E2247),"Erro","")</f>
        <v/>
      </c>
    </row>
    <row r="2248" spans="1:9" ht="22.5">
      <c r="A2248" s="345">
        <v>2245</v>
      </c>
      <c r="B2248" s="346" t="s">
        <v>274</v>
      </c>
      <c r="C2248" s="347">
        <v>1100</v>
      </c>
      <c r="D2248" s="348">
        <v>45658</v>
      </c>
      <c r="E2248" s="348">
        <v>45992</v>
      </c>
      <c r="F2248" s="346" t="s">
        <v>641</v>
      </c>
      <c r="G2248" s="350" t="s">
        <v>443</v>
      </c>
      <c r="H2248" s="351">
        <f t="shared" si="39"/>
        <v>13200</v>
      </c>
      <c r="I2248" s="120" t="str">
        <f>IF(OR(D2248&lt;Capa!$A$5,D2248&gt;Capa!$A$7,E2248&lt;Capa!$A$5,E2248&gt;Capa!$A$7,D2248&gt;E2248),"Erro","")</f>
        <v/>
      </c>
    </row>
    <row r="2249" spans="1:9" ht="22.5">
      <c r="A2249" s="345">
        <v>2246</v>
      </c>
      <c r="B2249" s="346" t="s">
        <v>274</v>
      </c>
      <c r="C2249" s="347">
        <v>2288.91</v>
      </c>
      <c r="D2249" s="348">
        <v>46023</v>
      </c>
      <c r="E2249" s="348">
        <v>46357</v>
      </c>
      <c r="F2249" s="346" t="s">
        <v>641</v>
      </c>
      <c r="G2249" s="350" t="s">
        <v>443</v>
      </c>
      <c r="H2249" s="351">
        <f t="shared" si="39"/>
        <v>27466.92</v>
      </c>
      <c r="I2249" s="120" t="str">
        <f>IF(OR(D2249&lt;Capa!$A$5,D2249&gt;Capa!$A$7,E2249&lt;Capa!$A$5,E2249&gt;Capa!$A$7,D2249&gt;E2249),"Erro","")</f>
        <v/>
      </c>
    </row>
    <row r="2250" spans="1:9" ht="22.5">
      <c r="A2250" s="345">
        <v>2247</v>
      </c>
      <c r="B2250" s="346" t="s">
        <v>274</v>
      </c>
      <c r="C2250" s="347">
        <v>2422.58</v>
      </c>
      <c r="D2250" s="348">
        <v>46388</v>
      </c>
      <c r="E2250" s="348">
        <v>46722</v>
      </c>
      <c r="F2250" s="346" t="s">
        <v>641</v>
      </c>
      <c r="G2250" s="350" t="s">
        <v>443</v>
      </c>
      <c r="H2250" s="351">
        <f t="shared" si="39"/>
        <v>29070.959999999999</v>
      </c>
      <c r="I2250" s="120" t="str">
        <f>IF(OR(D2250&lt;Capa!$A$5,D2250&gt;Capa!$A$7,E2250&lt;Capa!$A$5,E2250&gt;Capa!$A$7,D2250&gt;E2250),"Erro","")</f>
        <v/>
      </c>
    </row>
    <row r="2251" spans="1:9" ht="22.5">
      <c r="A2251" s="345">
        <v>2248</v>
      </c>
      <c r="B2251" s="346" t="s">
        <v>274</v>
      </c>
      <c r="C2251" s="347">
        <v>2564.06</v>
      </c>
      <c r="D2251" s="348">
        <v>46753</v>
      </c>
      <c r="E2251" s="348">
        <v>47058</v>
      </c>
      <c r="F2251" s="346" t="s">
        <v>641</v>
      </c>
      <c r="G2251" s="350" t="s">
        <v>443</v>
      </c>
      <c r="H2251" s="351">
        <f t="shared" si="39"/>
        <v>28204.66</v>
      </c>
      <c r="I2251" s="120" t="str">
        <f>IF(OR(D2251&lt;Capa!$A$5,D2251&gt;Capa!$A$7,E2251&lt;Capa!$A$5,E2251&gt;Capa!$A$7,D2251&gt;E2251),"Erro","")</f>
        <v/>
      </c>
    </row>
    <row r="2252" spans="1:9" ht="56.25">
      <c r="A2252" s="345">
        <v>2249</v>
      </c>
      <c r="B2252" s="346" t="s">
        <v>236</v>
      </c>
      <c r="C2252" s="347">
        <v>690.19</v>
      </c>
      <c r="D2252" s="348">
        <v>45597</v>
      </c>
      <c r="E2252" s="348">
        <v>45627</v>
      </c>
      <c r="F2252" s="346" t="s">
        <v>641</v>
      </c>
      <c r="G2252" s="350" t="s">
        <v>444</v>
      </c>
      <c r="H2252" s="351">
        <f t="shared" si="39"/>
        <v>1380.38</v>
      </c>
      <c r="I2252" s="120" t="str">
        <f>IF(OR(D2252&lt;Capa!$A$5,D2252&gt;Capa!$A$7,E2252&lt;Capa!$A$5,E2252&gt;Capa!$A$7,D2252&gt;E2252),"Erro","")</f>
        <v/>
      </c>
    </row>
    <row r="2253" spans="1:9" ht="56.25">
      <c r="A2253" s="345">
        <v>2250</v>
      </c>
      <c r="B2253" s="346" t="s">
        <v>236</v>
      </c>
      <c r="C2253" s="347">
        <v>760.49</v>
      </c>
      <c r="D2253" s="348">
        <v>45658</v>
      </c>
      <c r="E2253" s="348">
        <v>45992</v>
      </c>
      <c r="F2253" s="346" t="s">
        <v>641</v>
      </c>
      <c r="G2253" s="350" t="s">
        <v>444</v>
      </c>
      <c r="H2253" s="351">
        <f t="shared" si="39"/>
        <v>9125.880000000001</v>
      </c>
      <c r="I2253" s="120" t="str">
        <f>IF(OR(D2253&lt;Capa!$A$5,D2253&gt;Capa!$A$7,E2253&lt;Capa!$A$5,E2253&gt;Capa!$A$7,D2253&gt;E2253),"Erro","")</f>
        <v/>
      </c>
    </row>
    <row r="2254" spans="1:9" ht="56.25">
      <c r="A2254" s="345">
        <v>2251</v>
      </c>
      <c r="B2254" s="346" t="s">
        <v>236</v>
      </c>
      <c r="C2254" s="347">
        <v>773.16</v>
      </c>
      <c r="D2254" s="348">
        <v>46023</v>
      </c>
      <c r="E2254" s="348">
        <v>46357</v>
      </c>
      <c r="F2254" s="346" t="s">
        <v>641</v>
      </c>
      <c r="G2254" s="350" t="s">
        <v>444</v>
      </c>
      <c r="H2254" s="351">
        <f t="shared" si="39"/>
        <v>9277.92</v>
      </c>
      <c r="I2254" s="120" t="str">
        <f>IF(OR(D2254&lt;Capa!$A$5,D2254&gt;Capa!$A$7,E2254&lt;Capa!$A$5,E2254&gt;Capa!$A$7,D2254&gt;E2254),"Erro","")</f>
        <v/>
      </c>
    </row>
    <row r="2255" spans="1:9" ht="56.25">
      <c r="A2255" s="345">
        <v>2252</v>
      </c>
      <c r="B2255" s="346" t="s">
        <v>236</v>
      </c>
      <c r="C2255" s="347">
        <v>818.31</v>
      </c>
      <c r="D2255" s="348">
        <v>46388</v>
      </c>
      <c r="E2255" s="348">
        <v>46722</v>
      </c>
      <c r="F2255" s="346" t="s">
        <v>641</v>
      </c>
      <c r="G2255" s="350" t="s">
        <v>444</v>
      </c>
      <c r="H2255" s="351">
        <f t="shared" si="39"/>
        <v>9819.7199999999993</v>
      </c>
      <c r="I2255" s="120" t="str">
        <f>IF(OR(D2255&lt;Capa!$A$5,D2255&gt;Capa!$A$7,E2255&lt;Capa!$A$5,E2255&gt;Capa!$A$7,D2255&gt;E2255),"Erro","")</f>
        <v/>
      </c>
    </row>
    <row r="2256" spans="1:9" ht="56.25">
      <c r="A2256" s="345">
        <v>2253</v>
      </c>
      <c r="B2256" s="346" t="s">
        <v>236</v>
      </c>
      <c r="C2256" s="347">
        <v>866.09</v>
      </c>
      <c r="D2256" s="348">
        <v>46753</v>
      </c>
      <c r="E2256" s="348">
        <v>47058</v>
      </c>
      <c r="F2256" s="346" t="s">
        <v>641</v>
      </c>
      <c r="G2256" s="350" t="s">
        <v>444</v>
      </c>
      <c r="H2256" s="351">
        <f t="shared" si="39"/>
        <v>9526.99</v>
      </c>
      <c r="I2256" s="120" t="str">
        <f>IF(OR(D2256&lt;Capa!$A$5,D2256&gt;Capa!$A$7,E2256&lt;Capa!$A$5,E2256&gt;Capa!$A$7,D2256&gt;E2256),"Erro","")</f>
        <v/>
      </c>
    </row>
    <row r="2257" spans="1:9" ht="33.75">
      <c r="A2257" s="345">
        <v>2254</v>
      </c>
      <c r="B2257" s="346" t="s">
        <v>240</v>
      </c>
      <c r="C2257" s="347">
        <v>50</v>
      </c>
      <c r="D2257" s="348">
        <v>45597</v>
      </c>
      <c r="E2257" s="348">
        <v>45627</v>
      </c>
      <c r="F2257" s="346" t="s">
        <v>641</v>
      </c>
      <c r="G2257" s="350" t="s">
        <v>445</v>
      </c>
      <c r="H2257" s="351">
        <f t="shared" si="39"/>
        <v>100</v>
      </c>
      <c r="I2257" s="120" t="str">
        <f>IF(OR(D2257&lt;Capa!$A$5,D2257&gt;Capa!$A$7,E2257&lt;Capa!$A$5,E2257&gt;Capa!$A$7,D2257&gt;E2257),"Erro","")</f>
        <v/>
      </c>
    </row>
    <row r="2258" spans="1:9" ht="33.75">
      <c r="A2258" s="345">
        <v>2255</v>
      </c>
      <c r="B2258" s="346" t="s">
        <v>240</v>
      </c>
      <c r="C2258" s="347">
        <v>50</v>
      </c>
      <c r="D2258" s="348">
        <v>45658</v>
      </c>
      <c r="E2258" s="348">
        <v>45992</v>
      </c>
      <c r="F2258" s="346" t="s">
        <v>641</v>
      </c>
      <c r="G2258" s="350" t="s">
        <v>445</v>
      </c>
      <c r="H2258" s="351">
        <f t="shared" si="39"/>
        <v>600</v>
      </c>
      <c r="I2258" s="120" t="str">
        <f>IF(OR(D2258&lt;Capa!$A$5,D2258&gt;Capa!$A$7,E2258&lt;Capa!$A$5,E2258&gt;Capa!$A$7,D2258&gt;E2258),"Erro","")</f>
        <v/>
      </c>
    </row>
    <row r="2259" spans="1:9" ht="33.75">
      <c r="A2259" s="345">
        <v>2256</v>
      </c>
      <c r="B2259" s="346" t="s">
        <v>240</v>
      </c>
      <c r="C2259" s="347">
        <v>50</v>
      </c>
      <c r="D2259" s="348">
        <v>46023</v>
      </c>
      <c r="E2259" s="348">
        <v>46357</v>
      </c>
      <c r="F2259" s="346" t="s">
        <v>641</v>
      </c>
      <c r="G2259" s="350" t="s">
        <v>445</v>
      </c>
      <c r="H2259" s="351">
        <f t="shared" si="39"/>
        <v>600</v>
      </c>
      <c r="I2259" s="120" t="str">
        <f>IF(OR(D2259&lt;Capa!$A$5,D2259&gt;Capa!$A$7,E2259&lt;Capa!$A$5,E2259&gt;Capa!$A$7,D2259&gt;E2259),"Erro","")</f>
        <v/>
      </c>
    </row>
    <row r="2260" spans="1:9" ht="33.75">
      <c r="A2260" s="345">
        <v>2257</v>
      </c>
      <c r="B2260" s="346" t="s">
        <v>240</v>
      </c>
      <c r="C2260" s="347">
        <v>50</v>
      </c>
      <c r="D2260" s="348">
        <v>46388</v>
      </c>
      <c r="E2260" s="348">
        <v>46722</v>
      </c>
      <c r="F2260" s="346" t="s">
        <v>641</v>
      </c>
      <c r="G2260" s="350" t="s">
        <v>445</v>
      </c>
      <c r="H2260" s="351">
        <f t="shared" si="39"/>
        <v>600</v>
      </c>
      <c r="I2260" s="120" t="str">
        <f>IF(OR(D2260&lt;Capa!$A$5,D2260&gt;Capa!$A$7,E2260&lt;Capa!$A$5,E2260&gt;Capa!$A$7,D2260&gt;E2260),"Erro","")</f>
        <v/>
      </c>
    </row>
    <row r="2261" spans="1:9" ht="33.75">
      <c r="A2261" s="345">
        <v>2258</v>
      </c>
      <c r="B2261" s="346" t="s">
        <v>240</v>
      </c>
      <c r="C2261" s="347">
        <v>50</v>
      </c>
      <c r="D2261" s="348">
        <v>46753</v>
      </c>
      <c r="E2261" s="348">
        <v>47058</v>
      </c>
      <c r="F2261" s="346" t="s">
        <v>641</v>
      </c>
      <c r="G2261" s="350" t="s">
        <v>445</v>
      </c>
      <c r="H2261" s="351">
        <f t="shared" si="39"/>
        <v>550</v>
      </c>
      <c r="I2261" s="120" t="str">
        <f>IF(OR(D2261&lt;Capa!$A$5,D2261&gt;Capa!$A$7,E2261&lt;Capa!$A$5,E2261&gt;Capa!$A$7,D2261&gt;E2261),"Erro","")</f>
        <v/>
      </c>
    </row>
    <row r="2262" spans="1:9" ht="45">
      <c r="A2262" s="345">
        <v>2259</v>
      </c>
      <c r="B2262" s="346" t="s">
        <v>244</v>
      </c>
      <c r="C2262" s="347">
        <v>300</v>
      </c>
      <c r="D2262" s="348">
        <v>45597</v>
      </c>
      <c r="E2262" s="348">
        <v>45627</v>
      </c>
      <c r="F2262" s="346" t="s">
        <v>641</v>
      </c>
      <c r="G2262" s="350" t="s">
        <v>446</v>
      </c>
      <c r="H2262" s="351">
        <f t="shared" si="39"/>
        <v>600</v>
      </c>
      <c r="I2262" s="120" t="str">
        <f>IF(OR(D2262&lt;Capa!$A$5,D2262&gt;Capa!$A$7,E2262&lt;Capa!$A$5,E2262&gt;Capa!$A$7,D2262&gt;E2262),"Erro","")</f>
        <v/>
      </c>
    </row>
    <row r="2263" spans="1:9" ht="45">
      <c r="A2263" s="345">
        <v>2260</v>
      </c>
      <c r="B2263" s="346" t="s">
        <v>244</v>
      </c>
      <c r="C2263" s="347">
        <v>300</v>
      </c>
      <c r="D2263" s="348">
        <v>45658</v>
      </c>
      <c r="E2263" s="348">
        <v>45992</v>
      </c>
      <c r="F2263" s="346" t="s">
        <v>641</v>
      </c>
      <c r="G2263" s="350" t="s">
        <v>446</v>
      </c>
      <c r="H2263" s="351">
        <f t="shared" si="39"/>
        <v>3600</v>
      </c>
      <c r="I2263" s="120" t="str">
        <f>IF(OR(D2263&lt;Capa!$A$5,D2263&gt;Capa!$A$7,E2263&lt;Capa!$A$5,E2263&gt;Capa!$A$7,D2263&gt;E2263),"Erro","")</f>
        <v/>
      </c>
    </row>
    <row r="2264" spans="1:9" ht="45">
      <c r="A2264" s="345">
        <v>2261</v>
      </c>
      <c r="B2264" s="346" t="s">
        <v>244</v>
      </c>
      <c r="C2264" s="347">
        <v>350</v>
      </c>
      <c r="D2264" s="348">
        <v>46023</v>
      </c>
      <c r="E2264" s="348">
        <v>46357</v>
      </c>
      <c r="F2264" s="346" t="s">
        <v>641</v>
      </c>
      <c r="G2264" s="350" t="s">
        <v>446</v>
      </c>
      <c r="H2264" s="351">
        <f t="shared" si="39"/>
        <v>4200</v>
      </c>
      <c r="I2264" s="120" t="str">
        <f>IF(OR(D2264&lt;Capa!$A$5,D2264&gt;Capa!$A$7,E2264&lt;Capa!$A$5,E2264&gt;Capa!$A$7,D2264&gt;E2264),"Erro","")</f>
        <v/>
      </c>
    </row>
    <row r="2265" spans="1:9" ht="45">
      <c r="A2265" s="345">
        <v>2262</v>
      </c>
      <c r="B2265" s="346" t="s">
        <v>244</v>
      </c>
      <c r="C2265" s="347">
        <v>350</v>
      </c>
      <c r="D2265" s="348">
        <v>46388</v>
      </c>
      <c r="E2265" s="348">
        <v>46722</v>
      </c>
      <c r="F2265" s="346" t="s">
        <v>641</v>
      </c>
      <c r="G2265" s="350" t="s">
        <v>446</v>
      </c>
      <c r="H2265" s="351">
        <f t="shared" si="39"/>
        <v>4200</v>
      </c>
      <c r="I2265" s="120" t="str">
        <f>IF(OR(D2265&lt;Capa!$A$5,D2265&gt;Capa!$A$7,E2265&lt;Capa!$A$5,E2265&gt;Capa!$A$7,D2265&gt;E2265),"Erro","")</f>
        <v/>
      </c>
    </row>
    <row r="2266" spans="1:9" ht="45">
      <c r="A2266" s="345">
        <v>2263</v>
      </c>
      <c r="B2266" s="346" t="s">
        <v>244</v>
      </c>
      <c r="C2266" s="347">
        <v>380</v>
      </c>
      <c r="D2266" s="348">
        <v>46753</v>
      </c>
      <c r="E2266" s="348">
        <v>47058</v>
      </c>
      <c r="F2266" s="346" t="s">
        <v>641</v>
      </c>
      <c r="G2266" s="350" t="s">
        <v>446</v>
      </c>
      <c r="H2266" s="351">
        <f t="shared" si="39"/>
        <v>4180</v>
      </c>
      <c r="I2266" s="120" t="str">
        <f>IF(OR(D2266&lt;Capa!$A$5,D2266&gt;Capa!$A$7,E2266&lt;Capa!$A$5,E2266&gt;Capa!$A$7,D2266&gt;E2266),"Erro","")</f>
        <v/>
      </c>
    </row>
    <row r="2267" spans="1:9" ht="33.75">
      <c r="A2267" s="345">
        <v>2264</v>
      </c>
      <c r="B2267" s="346" t="s">
        <v>246</v>
      </c>
      <c r="C2267" s="347">
        <v>275.18</v>
      </c>
      <c r="D2267" s="348">
        <v>45658</v>
      </c>
      <c r="E2267" s="348">
        <v>45992</v>
      </c>
      <c r="F2267" s="346" t="s">
        <v>641</v>
      </c>
      <c r="G2267" s="350" t="s">
        <v>447</v>
      </c>
      <c r="H2267" s="351">
        <f t="shared" si="39"/>
        <v>3302.16</v>
      </c>
      <c r="I2267" s="120" t="str">
        <f>IF(OR(D2267&lt;Capa!$A$5,D2267&gt;Capa!$A$7,E2267&lt;Capa!$A$5,E2267&gt;Capa!$A$7,D2267&gt;E2267),"Erro","")</f>
        <v/>
      </c>
    </row>
    <row r="2268" spans="1:9" ht="33.75">
      <c r="A2268" s="345">
        <v>2265</v>
      </c>
      <c r="B2268" s="346" t="s">
        <v>246</v>
      </c>
      <c r="C2268" s="347">
        <v>291.25</v>
      </c>
      <c r="D2268" s="348">
        <v>46023</v>
      </c>
      <c r="E2268" s="348">
        <v>46357</v>
      </c>
      <c r="F2268" s="346" t="s">
        <v>641</v>
      </c>
      <c r="G2268" s="350" t="s">
        <v>447</v>
      </c>
      <c r="H2268" s="351">
        <f t="shared" si="39"/>
        <v>3495</v>
      </c>
      <c r="I2268" s="120" t="str">
        <f>IF(OR(D2268&lt;Capa!$A$5,D2268&gt;Capa!$A$7,E2268&lt;Capa!$A$5,E2268&gt;Capa!$A$7,D2268&gt;E2268),"Erro","")</f>
        <v/>
      </c>
    </row>
    <row r="2269" spans="1:9" ht="33.75">
      <c r="A2269" s="345">
        <v>2266</v>
      </c>
      <c r="B2269" s="346" t="s">
        <v>246</v>
      </c>
      <c r="C2269" s="347">
        <v>308.26</v>
      </c>
      <c r="D2269" s="348">
        <v>46388</v>
      </c>
      <c r="E2269" s="348">
        <v>46722</v>
      </c>
      <c r="F2269" s="346" t="s">
        <v>641</v>
      </c>
      <c r="G2269" s="350" t="s">
        <v>447</v>
      </c>
      <c r="H2269" s="351">
        <f t="shared" si="39"/>
        <v>3699.12</v>
      </c>
      <c r="I2269" s="120" t="str">
        <f>IF(OR(D2269&lt;Capa!$A$5,D2269&gt;Capa!$A$7,E2269&lt;Capa!$A$5,E2269&gt;Capa!$A$7,D2269&gt;E2269),"Erro","")</f>
        <v/>
      </c>
    </row>
    <row r="2270" spans="1:9" ht="33.75">
      <c r="A2270" s="345">
        <v>2267</v>
      </c>
      <c r="B2270" s="346" t="s">
        <v>246</v>
      </c>
      <c r="C2270" s="347">
        <v>326.26</v>
      </c>
      <c r="D2270" s="348">
        <v>46753</v>
      </c>
      <c r="E2270" s="348">
        <v>47058</v>
      </c>
      <c r="F2270" s="346" t="s">
        <v>641</v>
      </c>
      <c r="G2270" s="350" t="s">
        <v>447</v>
      </c>
      <c r="H2270" s="351">
        <f t="shared" si="39"/>
        <v>3588.8599999999997</v>
      </c>
      <c r="I2270" s="120" t="str">
        <f>IF(OR(D2270&lt;Capa!$A$5,D2270&gt;Capa!$A$7,E2270&lt;Capa!$A$5,E2270&gt;Capa!$A$7,D2270&gt;E2270),"Erro","")</f>
        <v/>
      </c>
    </row>
    <row r="2271" spans="1:9" ht="33.75">
      <c r="A2271" s="345">
        <v>2268</v>
      </c>
      <c r="B2271" s="346" t="s">
        <v>258</v>
      </c>
      <c r="C2271" s="347">
        <v>193.77</v>
      </c>
      <c r="D2271" s="348">
        <v>45597</v>
      </c>
      <c r="E2271" s="348">
        <v>45627</v>
      </c>
      <c r="F2271" s="346" t="s">
        <v>641</v>
      </c>
      <c r="G2271" s="350" t="s">
        <v>448</v>
      </c>
      <c r="H2271" s="351">
        <f t="shared" si="39"/>
        <v>387.54</v>
      </c>
      <c r="I2271" s="120" t="str">
        <f>IF(OR(D2271&lt;Capa!$A$5,D2271&gt;Capa!$A$7,E2271&lt;Capa!$A$5,E2271&gt;Capa!$A$7,D2271&gt;E2271),"Erro","")</f>
        <v/>
      </c>
    </row>
    <row r="2272" spans="1:9" ht="33.75">
      <c r="A2272" s="345">
        <v>2269</v>
      </c>
      <c r="B2272" s="346" t="s">
        <v>258</v>
      </c>
      <c r="C2272" s="347">
        <v>205.08</v>
      </c>
      <c r="D2272" s="348">
        <v>45658</v>
      </c>
      <c r="E2272" s="348">
        <v>45992</v>
      </c>
      <c r="F2272" s="346" t="s">
        <v>641</v>
      </c>
      <c r="G2272" s="350" t="s">
        <v>448</v>
      </c>
      <c r="H2272" s="351">
        <f t="shared" si="39"/>
        <v>2460.96</v>
      </c>
      <c r="I2272" s="120" t="str">
        <f>IF(OR(D2272&lt;Capa!$A$5,D2272&gt;Capa!$A$7,E2272&lt;Capa!$A$5,E2272&gt;Capa!$A$7,D2272&gt;E2272),"Erro","")</f>
        <v/>
      </c>
    </row>
    <row r="2273" spans="1:9" ht="33.75">
      <c r="A2273" s="345">
        <v>2270</v>
      </c>
      <c r="B2273" s="346" t="s">
        <v>258</v>
      </c>
      <c r="C2273" s="347">
        <v>217.06</v>
      </c>
      <c r="D2273" s="348">
        <v>46023</v>
      </c>
      <c r="E2273" s="348">
        <v>46357</v>
      </c>
      <c r="F2273" s="346" t="s">
        <v>641</v>
      </c>
      <c r="G2273" s="350" t="s">
        <v>448</v>
      </c>
      <c r="H2273" s="351">
        <f t="shared" si="39"/>
        <v>2604.7200000000003</v>
      </c>
      <c r="I2273" s="120" t="str">
        <f>IF(OR(D2273&lt;Capa!$A$5,D2273&gt;Capa!$A$7,E2273&lt;Capa!$A$5,E2273&gt;Capa!$A$7,D2273&gt;E2273),"Erro","")</f>
        <v/>
      </c>
    </row>
    <row r="2274" spans="1:9" ht="33.75">
      <c r="A2274" s="345">
        <v>2271</v>
      </c>
      <c r="B2274" s="346" t="s">
        <v>258</v>
      </c>
      <c r="C2274" s="347">
        <v>229.74</v>
      </c>
      <c r="D2274" s="348">
        <v>46388</v>
      </c>
      <c r="E2274" s="348">
        <v>46722</v>
      </c>
      <c r="F2274" s="346" t="s">
        <v>641</v>
      </c>
      <c r="G2274" s="350" t="s">
        <v>448</v>
      </c>
      <c r="H2274" s="351">
        <f t="shared" si="39"/>
        <v>2756.88</v>
      </c>
      <c r="I2274" s="120" t="str">
        <f>IF(OR(D2274&lt;Capa!$A$5,D2274&gt;Capa!$A$7,E2274&lt;Capa!$A$5,E2274&gt;Capa!$A$7,D2274&gt;E2274),"Erro","")</f>
        <v/>
      </c>
    </row>
    <row r="2275" spans="1:9" ht="33.75">
      <c r="A2275" s="345">
        <v>2272</v>
      </c>
      <c r="B2275" s="346" t="s">
        <v>258</v>
      </c>
      <c r="C2275" s="347">
        <v>243.16</v>
      </c>
      <c r="D2275" s="348">
        <v>46753</v>
      </c>
      <c r="E2275" s="348">
        <v>47058</v>
      </c>
      <c r="F2275" s="346" t="s">
        <v>641</v>
      </c>
      <c r="G2275" s="350" t="s">
        <v>448</v>
      </c>
      <c r="H2275" s="351">
        <f t="shared" si="39"/>
        <v>2674.7599999999998</v>
      </c>
      <c r="I2275" s="120" t="str">
        <f>IF(OR(D2275&lt;Capa!$A$5,D2275&gt;Capa!$A$7,E2275&lt;Capa!$A$5,E2275&gt;Capa!$A$7,D2275&gt;E2275),"Erro","")</f>
        <v/>
      </c>
    </row>
    <row r="2276" spans="1:9" ht="56.25">
      <c r="A2276" s="345">
        <v>2273</v>
      </c>
      <c r="B2276" s="346" t="s">
        <v>276</v>
      </c>
      <c r="C2276" s="347">
        <v>670</v>
      </c>
      <c r="D2276" s="348">
        <v>45658</v>
      </c>
      <c r="E2276" s="348">
        <v>45992</v>
      </c>
      <c r="F2276" s="346" t="s">
        <v>641</v>
      </c>
      <c r="G2276" s="350" t="s">
        <v>449</v>
      </c>
      <c r="H2276" s="351">
        <f t="shared" si="39"/>
        <v>8040</v>
      </c>
      <c r="I2276" s="120" t="str">
        <f>IF(OR(D2276&lt;Capa!$A$5,D2276&gt;Capa!$A$7,E2276&lt;Capa!$A$5,E2276&gt;Capa!$A$7,D2276&gt;E2276),"Erro","")</f>
        <v/>
      </c>
    </row>
    <row r="2277" spans="1:9" ht="56.25">
      <c r="A2277" s="345">
        <v>2274</v>
      </c>
      <c r="B2277" s="346" t="s">
        <v>276</v>
      </c>
      <c r="C2277" s="347">
        <v>670</v>
      </c>
      <c r="D2277" s="348">
        <v>46023</v>
      </c>
      <c r="E2277" s="348">
        <v>46357</v>
      </c>
      <c r="F2277" s="346" t="s">
        <v>641</v>
      </c>
      <c r="G2277" s="350" t="s">
        <v>449</v>
      </c>
      <c r="H2277" s="351">
        <f t="shared" si="39"/>
        <v>8040</v>
      </c>
      <c r="I2277" s="120" t="str">
        <f>IF(OR(D2277&lt;Capa!$A$5,D2277&gt;Capa!$A$7,E2277&lt;Capa!$A$5,E2277&gt;Capa!$A$7,D2277&gt;E2277),"Erro","")</f>
        <v/>
      </c>
    </row>
    <row r="2278" spans="1:9" ht="56.25">
      <c r="A2278" s="345">
        <v>2275</v>
      </c>
      <c r="B2278" s="346" t="s">
        <v>276</v>
      </c>
      <c r="C2278" s="347">
        <v>670</v>
      </c>
      <c r="D2278" s="348">
        <v>46388</v>
      </c>
      <c r="E2278" s="348">
        <v>46722</v>
      </c>
      <c r="F2278" s="346" t="s">
        <v>641</v>
      </c>
      <c r="G2278" s="350" t="s">
        <v>449</v>
      </c>
      <c r="H2278" s="351">
        <f t="shared" si="39"/>
        <v>8040</v>
      </c>
      <c r="I2278" s="120" t="str">
        <f>IF(OR(D2278&lt;Capa!$A$5,D2278&gt;Capa!$A$7,E2278&lt;Capa!$A$5,E2278&gt;Capa!$A$7,D2278&gt;E2278),"Erro","")</f>
        <v/>
      </c>
    </row>
    <row r="2279" spans="1:9" ht="56.25">
      <c r="A2279" s="345">
        <v>2276</v>
      </c>
      <c r="B2279" s="346" t="s">
        <v>276</v>
      </c>
      <c r="C2279" s="347">
        <v>670</v>
      </c>
      <c r="D2279" s="348">
        <v>46753</v>
      </c>
      <c r="E2279" s="348">
        <v>47058</v>
      </c>
      <c r="F2279" s="346" t="s">
        <v>641</v>
      </c>
      <c r="G2279" s="350" t="s">
        <v>449</v>
      </c>
      <c r="H2279" s="351">
        <f t="shared" si="39"/>
        <v>7370</v>
      </c>
      <c r="I2279" s="120" t="str">
        <f>IF(OR(D2279&lt;Capa!$A$5,D2279&gt;Capa!$A$7,E2279&lt;Capa!$A$5,E2279&gt;Capa!$A$7,D2279&gt;E2279),"Erro","")</f>
        <v/>
      </c>
    </row>
    <row r="2280" spans="1:9" ht="45">
      <c r="A2280" s="345">
        <v>2277</v>
      </c>
      <c r="B2280" s="346" t="s">
        <v>278</v>
      </c>
      <c r="C2280" s="347">
        <v>41000</v>
      </c>
      <c r="D2280" s="348">
        <v>45627</v>
      </c>
      <c r="E2280" s="348">
        <v>45627</v>
      </c>
      <c r="F2280" s="346" t="s">
        <v>641</v>
      </c>
      <c r="G2280" s="350" t="s">
        <v>450</v>
      </c>
      <c r="H2280" s="351">
        <f t="shared" si="39"/>
        <v>41000</v>
      </c>
      <c r="I2280" s="120" t="str">
        <f>IF(OR(D2280&lt;Capa!$A$5,D2280&gt;Capa!$A$7,E2280&lt;Capa!$A$5,E2280&gt;Capa!$A$7,D2280&gt;E2280),"Erro","")</f>
        <v/>
      </c>
    </row>
    <row r="2281" spans="1:9" ht="45">
      <c r="A2281" s="345">
        <v>2278</v>
      </c>
      <c r="B2281" s="346" t="s">
        <v>278</v>
      </c>
      <c r="C2281" s="347">
        <v>42000</v>
      </c>
      <c r="D2281" s="348">
        <v>45658</v>
      </c>
      <c r="E2281" s="348">
        <v>45992</v>
      </c>
      <c r="F2281" s="346" t="s">
        <v>641</v>
      </c>
      <c r="G2281" s="350" t="s">
        <v>450</v>
      </c>
      <c r="H2281" s="351">
        <f t="shared" si="39"/>
        <v>504000</v>
      </c>
      <c r="I2281" s="120" t="str">
        <f>IF(OR(D2281&lt;Capa!$A$5,D2281&gt;Capa!$A$7,E2281&lt;Capa!$A$5,E2281&gt;Capa!$A$7,D2281&gt;E2281),"Erro","")</f>
        <v/>
      </c>
    </row>
    <row r="2282" spans="1:9" ht="45">
      <c r="A2282" s="345">
        <v>2279</v>
      </c>
      <c r="B2282" s="346" t="s">
        <v>278</v>
      </c>
      <c r="C2282" s="347">
        <v>45562</v>
      </c>
      <c r="D2282" s="348">
        <v>46023</v>
      </c>
      <c r="E2282" s="348">
        <v>46357</v>
      </c>
      <c r="F2282" s="346" t="s">
        <v>641</v>
      </c>
      <c r="G2282" s="350" t="s">
        <v>450</v>
      </c>
      <c r="H2282" s="351">
        <f t="shared" si="39"/>
        <v>546744</v>
      </c>
      <c r="I2282" s="120" t="str">
        <f>IF(OR(D2282&lt;Capa!$A$5,D2282&gt;Capa!$A$7,E2282&lt;Capa!$A$5,E2282&gt;Capa!$A$7,D2282&gt;E2282),"Erro","")</f>
        <v/>
      </c>
    </row>
    <row r="2283" spans="1:9" ht="45">
      <c r="A2283" s="345">
        <v>2280</v>
      </c>
      <c r="B2283" s="346" t="s">
        <v>278</v>
      </c>
      <c r="C2283" s="347">
        <v>48222.82</v>
      </c>
      <c r="D2283" s="348">
        <v>46388</v>
      </c>
      <c r="E2283" s="348">
        <v>46722</v>
      </c>
      <c r="F2283" s="346" t="s">
        <v>641</v>
      </c>
      <c r="G2283" s="350" t="s">
        <v>450</v>
      </c>
      <c r="H2283" s="351">
        <f t="shared" si="39"/>
        <v>578673.84</v>
      </c>
      <c r="I2283" s="120" t="str">
        <f>IF(OR(D2283&lt;Capa!$A$5,D2283&gt;Capa!$A$7,E2283&lt;Capa!$A$5,E2283&gt;Capa!$A$7,D2283&gt;E2283),"Erro","")</f>
        <v/>
      </c>
    </row>
    <row r="2284" spans="1:9" ht="45">
      <c r="A2284" s="345">
        <v>2281</v>
      </c>
      <c r="B2284" s="346" t="s">
        <v>278</v>
      </c>
      <c r="C2284" s="347">
        <v>51039.03</v>
      </c>
      <c r="D2284" s="348">
        <v>46753</v>
      </c>
      <c r="E2284" s="348">
        <v>47058</v>
      </c>
      <c r="F2284" s="346" t="s">
        <v>641</v>
      </c>
      <c r="G2284" s="350" t="s">
        <v>450</v>
      </c>
      <c r="H2284" s="351">
        <f t="shared" si="39"/>
        <v>561429.32999999996</v>
      </c>
      <c r="I2284" s="120" t="str">
        <f>IF(OR(D2284&lt;Capa!$A$5,D2284&gt;Capa!$A$7,E2284&lt;Capa!$A$5,E2284&gt;Capa!$A$7,D2284&gt;E2284),"Erro","")</f>
        <v/>
      </c>
    </row>
    <row r="2285" spans="1:9" ht="56.25">
      <c r="A2285" s="345">
        <v>2282</v>
      </c>
      <c r="B2285" s="346" t="s">
        <v>280</v>
      </c>
      <c r="C2285" s="347">
        <v>100</v>
      </c>
      <c r="D2285" s="348">
        <v>45627</v>
      </c>
      <c r="E2285" s="348">
        <v>45627</v>
      </c>
      <c r="F2285" s="346" t="s">
        <v>641</v>
      </c>
      <c r="G2285" s="350" t="s">
        <v>451</v>
      </c>
      <c r="H2285" s="351">
        <f t="shared" si="39"/>
        <v>100</v>
      </c>
      <c r="I2285" s="120" t="str">
        <f>IF(OR(D2285&lt;Capa!$A$5,D2285&gt;Capa!$A$7,E2285&lt;Capa!$A$5,E2285&gt;Capa!$A$7,D2285&gt;E2285),"Erro","")</f>
        <v/>
      </c>
    </row>
    <row r="2286" spans="1:9" ht="56.25">
      <c r="A2286" s="345">
        <v>2283</v>
      </c>
      <c r="B2286" s="346" t="s">
        <v>280</v>
      </c>
      <c r="C2286" s="347">
        <v>100</v>
      </c>
      <c r="D2286" s="348">
        <v>45658</v>
      </c>
      <c r="E2286" s="348">
        <v>45992</v>
      </c>
      <c r="F2286" s="346" t="s">
        <v>641</v>
      </c>
      <c r="G2286" s="350" t="s">
        <v>451</v>
      </c>
      <c r="H2286" s="351">
        <f t="shared" si="39"/>
        <v>1200</v>
      </c>
      <c r="I2286" s="120" t="str">
        <f>IF(OR(D2286&lt;Capa!$A$5,D2286&gt;Capa!$A$7,E2286&lt;Capa!$A$5,E2286&gt;Capa!$A$7,D2286&gt;E2286),"Erro","")</f>
        <v/>
      </c>
    </row>
    <row r="2287" spans="1:9" ht="56.25">
      <c r="A2287" s="345">
        <v>2284</v>
      </c>
      <c r="B2287" s="346" t="s">
        <v>280</v>
      </c>
      <c r="C2287" s="347">
        <v>100</v>
      </c>
      <c r="D2287" s="348">
        <v>46023</v>
      </c>
      <c r="E2287" s="348">
        <v>46357</v>
      </c>
      <c r="F2287" s="346" t="s">
        <v>641</v>
      </c>
      <c r="G2287" s="350" t="s">
        <v>451</v>
      </c>
      <c r="H2287" s="351">
        <f t="shared" si="39"/>
        <v>1200</v>
      </c>
      <c r="I2287" s="120" t="str">
        <f>IF(OR(D2287&lt;Capa!$A$5,D2287&gt;Capa!$A$7,E2287&lt;Capa!$A$5,E2287&gt;Capa!$A$7,D2287&gt;E2287),"Erro","")</f>
        <v/>
      </c>
    </row>
    <row r="2288" spans="1:9" ht="56.25">
      <c r="A2288" s="345">
        <v>2285</v>
      </c>
      <c r="B2288" s="346" t="s">
        <v>280</v>
      </c>
      <c r="C2288" s="347">
        <v>100</v>
      </c>
      <c r="D2288" s="348">
        <v>46388</v>
      </c>
      <c r="E2288" s="348">
        <v>46722</v>
      </c>
      <c r="F2288" s="346" t="s">
        <v>641</v>
      </c>
      <c r="G2288" s="350" t="s">
        <v>451</v>
      </c>
      <c r="H2288" s="351">
        <f t="shared" si="39"/>
        <v>1200</v>
      </c>
      <c r="I2288" s="120" t="str">
        <f>IF(OR(D2288&lt;Capa!$A$5,D2288&gt;Capa!$A$7,E2288&lt;Capa!$A$5,E2288&gt;Capa!$A$7,D2288&gt;E2288),"Erro","")</f>
        <v/>
      </c>
    </row>
    <row r="2289" spans="1:9" ht="56.25">
      <c r="A2289" s="345">
        <v>2286</v>
      </c>
      <c r="B2289" s="346" t="s">
        <v>280</v>
      </c>
      <c r="C2289" s="347">
        <v>100</v>
      </c>
      <c r="D2289" s="348">
        <v>46753</v>
      </c>
      <c r="E2289" s="348">
        <v>47058</v>
      </c>
      <c r="F2289" s="346" t="s">
        <v>641</v>
      </c>
      <c r="G2289" s="350" t="s">
        <v>451</v>
      </c>
      <c r="H2289" s="351">
        <f t="shared" si="39"/>
        <v>1100</v>
      </c>
      <c r="I2289" s="120" t="str">
        <f>IF(OR(D2289&lt;Capa!$A$5,D2289&gt;Capa!$A$7,E2289&lt;Capa!$A$5,E2289&gt;Capa!$A$7,D2289&gt;E2289),"Erro","")</f>
        <v/>
      </c>
    </row>
    <row r="2290" spans="1:9" ht="45">
      <c r="A2290" s="345">
        <v>2287</v>
      </c>
      <c r="B2290" s="346" t="s">
        <v>282</v>
      </c>
      <c r="C2290" s="347">
        <v>702.18</v>
      </c>
      <c r="D2290" s="348">
        <v>45627</v>
      </c>
      <c r="E2290" s="348">
        <v>45627</v>
      </c>
      <c r="F2290" s="346" t="s">
        <v>641</v>
      </c>
      <c r="G2290" s="350" t="s">
        <v>452</v>
      </c>
      <c r="H2290" s="351">
        <f t="shared" si="39"/>
        <v>702.18</v>
      </c>
      <c r="I2290" s="120" t="str">
        <f>IF(OR(D2290&lt;Capa!$A$5,D2290&gt;Capa!$A$7,E2290&lt;Capa!$A$5,E2290&gt;Capa!$A$7,D2290&gt;E2290),"Erro","")</f>
        <v/>
      </c>
    </row>
    <row r="2291" spans="1:9" ht="45">
      <c r="A2291" s="345">
        <v>2288</v>
      </c>
      <c r="B2291" s="346" t="s">
        <v>282</v>
      </c>
      <c r="C2291" s="347">
        <v>743.18</v>
      </c>
      <c r="D2291" s="348">
        <v>45658</v>
      </c>
      <c r="E2291" s="348">
        <v>45992</v>
      </c>
      <c r="F2291" s="346" t="s">
        <v>641</v>
      </c>
      <c r="G2291" s="350" t="s">
        <v>452</v>
      </c>
      <c r="H2291" s="351">
        <f t="shared" si="39"/>
        <v>8918.16</v>
      </c>
      <c r="I2291" s="120" t="str">
        <f>IF(OR(D2291&lt;Capa!$A$5,D2291&gt;Capa!$A$7,E2291&lt;Capa!$A$5,E2291&gt;Capa!$A$7,D2291&gt;E2291),"Erro","")</f>
        <v/>
      </c>
    </row>
    <row r="2292" spans="1:9" ht="45">
      <c r="A2292" s="345">
        <v>2289</v>
      </c>
      <c r="B2292" s="346" t="s">
        <v>282</v>
      </c>
      <c r="C2292" s="347">
        <v>786.59</v>
      </c>
      <c r="D2292" s="348">
        <v>46023</v>
      </c>
      <c r="E2292" s="348">
        <v>46357</v>
      </c>
      <c r="F2292" s="346" t="s">
        <v>641</v>
      </c>
      <c r="G2292" s="350" t="s">
        <v>452</v>
      </c>
      <c r="H2292" s="351">
        <f t="shared" si="39"/>
        <v>9439.08</v>
      </c>
      <c r="I2292" s="120" t="str">
        <f>IF(OR(D2292&lt;Capa!$A$5,D2292&gt;Capa!$A$7,E2292&lt;Capa!$A$5,E2292&gt;Capa!$A$7,D2292&gt;E2292),"Erro","")</f>
        <v/>
      </c>
    </row>
    <row r="2293" spans="1:9" ht="45">
      <c r="A2293" s="345">
        <v>2290</v>
      </c>
      <c r="B2293" s="346" t="s">
        <v>282</v>
      </c>
      <c r="C2293" s="347">
        <v>832.52</v>
      </c>
      <c r="D2293" s="348">
        <v>46388</v>
      </c>
      <c r="E2293" s="348">
        <v>46722</v>
      </c>
      <c r="F2293" s="346" t="s">
        <v>641</v>
      </c>
      <c r="G2293" s="350" t="s">
        <v>452</v>
      </c>
      <c r="H2293" s="351">
        <f t="shared" si="39"/>
        <v>9990.24</v>
      </c>
      <c r="I2293" s="120" t="str">
        <f>IF(OR(D2293&lt;Capa!$A$5,D2293&gt;Capa!$A$7,E2293&lt;Capa!$A$5,E2293&gt;Capa!$A$7,D2293&gt;E2293),"Erro","")</f>
        <v/>
      </c>
    </row>
    <row r="2294" spans="1:9" ht="45">
      <c r="A2294" s="345">
        <v>2291</v>
      </c>
      <c r="B2294" s="346" t="s">
        <v>282</v>
      </c>
      <c r="C2294" s="347">
        <v>881.14</v>
      </c>
      <c r="D2294" s="348">
        <v>46753</v>
      </c>
      <c r="E2294" s="348">
        <v>47058</v>
      </c>
      <c r="F2294" s="346" t="s">
        <v>641</v>
      </c>
      <c r="G2294" s="350" t="s">
        <v>452</v>
      </c>
      <c r="H2294" s="351">
        <f t="shared" si="39"/>
        <v>9692.5399999999991</v>
      </c>
      <c r="I2294" s="120" t="str">
        <f>IF(OR(D2294&lt;Capa!$A$5,D2294&gt;Capa!$A$7,E2294&lt;Capa!$A$5,E2294&gt;Capa!$A$7,D2294&gt;E2294),"Erro","")</f>
        <v/>
      </c>
    </row>
    <row r="2295" spans="1:9" ht="45">
      <c r="A2295" s="345">
        <v>2292</v>
      </c>
      <c r="B2295" s="346" t="s">
        <v>284</v>
      </c>
      <c r="C2295" s="347">
        <v>1013.31</v>
      </c>
      <c r="D2295" s="348">
        <v>45627</v>
      </c>
      <c r="E2295" s="348">
        <v>45627</v>
      </c>
      <c r="F2295" s="346" t="s">
        <v>641</v>
      </c>
      <c r="G2295" s="350" t="s">
        <v>452</v>
      </c>
      <c r="H2295" s="351">
        <f t="shared" si="39"/>
        <v>1013.31</v>
      </c>
      <c r="I2295" s="120" t="str">
        <f>IF(OR(D2295&lt;Capa!$A$5,D2295&gt;Capa!$A$7,E2295&lt;Capa!$A$5,E2295&gt;Capa!$A$7,D2295&gt;E2295),"Erro","")</f>
        <v/>
      </c>
    </row>
    <row r="2296" spans="1:9" ht="45">
      <c r="A2296" s="345">
        <v>2293</v>
      </c>
      <c r="B2296" s="346" t="s">
        <v>284</v>
      </c>
      <c r="C2296" s="347">
        <v>1072.49</v>
      </c>
      <c r="D2296" s="348">
        <v>45658</v>
      </c>
      <c r="E2296" s="348">
        <v>45992</v>
      </c>
      <c r="F2296" s="346" t="s">
        <v>641</v>
      </c>
      <c r="G2296" s="350" t="s">
        <v>452</v>
      </c>
      <c r="H2296" s="351">
        <f t="shared" si="39"/>
        <v>12869.880000000001</v>
      </c>
      <c r="I2296" s="120" t="str">
        <f>IF(OR(D2296&lt;Capa!$A$5,D2296&gt;Capa!$A$7,E2296&lt;Capa!$A$5,E2296&gt;Capa!$A$7,D2296&gt;E2296),"Erro","")</f>
        <v/>
      </c>
    </row>
    <row r="2297" spans="1:9" ht="45">
      <c r="A2297" s="345">
        <v>2294</v>
      </c>
      <c r="B2297" s="346" t="s">
        <v>284</v>
      </c>
      <c r="C2297" s="347">
        <v>1135.1199999999999</v>
      </c>
      <c r="D2297" s="348">
        <v>46023</v>
      </c>
      <c r="E2297" s="348">
        <v>46357</v>
      </c>
      <c r="F2297" s="346" t="s">
        <v>641</v>
      </c>
      <c r="G2297" s="350" t="s">
        <v>452</v>
      </c>
      <c r="H2297" s="351">
        <f t="shared" si="39"/>
        <v>13621.439999999999</v>
      </c>
      <c r="I2297" s="120" t="str">
        <f>IF(OR(D2297&lt;Capa!$A$5,D2297&gt;Capa!$A$7,E2297&lt;Capa!$A$5,E2297&gt;Capa!$A$7,D2297&gt;E2297),"Erro","")</f>
        <v/>
      </c>
    </row>
    <row r="2298" spans="1:9" ht="45">
      <c r="A2298" s="345">
        <v>2295</v>
      </c>
      <c r="B2298" s="346" t="s">
        <v>284</v>
      </c>
      <c r="C2298" s="347">
        <v>1201.42</v>
      </c>
      <c r="D2298" s="348">
        <v>46388</v>
      </c>
      <c r="E2298" s="348">
        <v>46722</v>
      </c>
      <c r="F2298" s="346" t="s">
        <v>641</v>
      </c>
      <c r="G2298" s="350" t="s">
        <v>452</v>
      </c>
      <c r="H2298" s="351">
        <f t="shared" ref="H2298:H2354" si="40">IFERROR((DATEDIF(D2298,E2298,"M")+1)*C2298,0)</f>
        <v>14417.04</v>
      </c>
      <c r="I2298" s="120" t="str">
        <f>IF(OR(D2298&lt;Capa!$A$5,D2298&gt;Capa!$A$7,E2298&lt;Capa!$A$5,E2298&gt;Capa!$A$7,D2298&gt;E2298),"Erro","")</f>
        <v/>
      </c>
    </row>
    <row r="2299" spans="1:9" ht="45">
      <c r="A2299" s="345">
        <v>2296</v>
      </c>
      <c r="B2299" s="346" t="s">
        <v>284</v>
      </c>
      <c r="C2299" s="347">
        <v>1271.58</v>
      </c>
      <c r="D2299" s="348">
        <v>46753</v>
      </c>
      <c r="E2299" s="348">
        <v>47058</v>
      </c>
      <c r="F2299" s="346" t="s">
        <v>641</v>
      </c>
      <c r="G2299" s="350" t="s">
        <v>452</v>
      </c>
      <c r="H2299" s="351">
        <f t="shared" si="40"/>
        <v>13987.38</v>
      </c>
      <c r="I2299" s="120" t="str">
        <f>IF(OR(D2299&lt;Capa!$A$5,D2299&gt;Capa!$A$7,E2299&lt;Capa!$A$5,E2299&gt;Capa!$A$7,D2299&gt;E2299),"Erro","")</f>
        <v/>
      </c>
    </row>
    <row r="2300" spans="1:9" ht="45">
      <c r="A2300" s="345">
        <v>2297</v>
      </c>
      <c r="B2300" s="346" t="s">
        <v>286</v>
      </c>
      <c r="C2300" s="347">
        <v>1013.31</v>
      </c>
      <c r="D2300" s="348">
        <v>45627</v>
      </c>
      <c r="E2300" s="348">
        <v>45627</v>
      </c>
      <c r="F2300" s="346" t="s">
        <v>641</v>
      </c>
      <c r="G2300" s="350" t="s">
        <v>452</v>
      </c>
      <c r="H2300" s="351">
        <f t="shared" si="40"/>
        <v>1013.31</v>
      </c>
      <c r="I2300" s="120" t="str">
        <f>IF(OR(D2300&lt;Capa!$A$5,D2300&gt;Capa!$A$7,E2300&lt;Capa!$A$5,E2300&gt;Capa!$A$7,D2300&gt;E2300),"Erro","")</f>
        <v/>
      </c>
    </row>
    <row r="2301" spans="1:9" ht="45">
      <c r="A2301" s="345">
        <v>2298</v>
      </c>
      <c r="B2301" s="346" t="s">
        <v>286</v>
      </c>
      <c r="C2301" s="347">
        <v>1072.49</v>
      </c>
      <c r="D2301" s="348">
        <v>45658</v>
      </c>
      <c r="E2301" s="348">
        <v>45992</v>
      </c>
      <c r="F2301" s="346" t="s">
        <v>641</v>
      </c>
      <c r="G2301" s="350" t="s">
        <v>452</v>
      </c>
      <c r="H2301" s="351">
        <f t="shared" si="40"/>
        <v>12869.880000000001</v>
      </c>
      <c r="I2301" s="120" t="str">
        <f>IF(OR(D2301&lt;Capa!$A$5,D2301&gt;Capa!$A$7,E2301&lt;Capa!$A$5,E2301&gt;Capa!$A$7,D2301&gt;E2301),"Erro","")</f>
        <v/>
      </c>
    </row>
    <row r="2302" spans="1:9" ht="45">
      <c r="A2302" s="345">
        <v>2299</v>
      </c>
      <c r="B2302" s="346" t="s">
        <v>286</v>
      </c>
      <c r="C2302" s="347">
        <v>1135.1199999999999</v>
      </c>
      <c r="D2302" s="348">
        <v>46023</v>
      </c>
      <c r="E2302" s="348">
        <v>46357</v>
      </c>
      <c r="F2302" s="346" t="s">
        <v>641</v>
      </c>
      <c r="G2302" s="350" t="s">
        <v>452</v>
      </c>
      <c r="H2302" s="351">
        <f t="shared" si="40"/>
        <v>13621.439999999999</v>
      </c>
      <c r="I2302" s="120" t="str">
        <f>IF(OR(D2302&lt;Capa!$A$5,D2302&gt;Capa!$A$7,E2302&lt;Capa!$A$5,E2302&gt;Capa!$A$7,D2302&gt;E2302),"Erro","")</f>
        <v/>
      </c>
    </row>
    <row r="2303" spans="1:9" ht="45">
      <c r="A2303" s="345">
        <v>2300</v>
      </c>
      <c r="B2303" s="346" t="s">
        <v>286</v>
      </c>
      <c r="C2303" s="347">
        <v>1201.4100000000001</v>
      </c>
      <c r="D2303" s="348">
        <v>46388</v>
      </c>
      <c r="E2303" s="348">
        <v>46722</v>
      </c>
      <c r="F2303" s="346" t="s">
        <v>641</v>
      </c>
      <c r="G2303" s="350" t="s">
        <v>452</v>
      </c>
      <c r="H2303" s="351">
        <f t="shared" si="40"/>
        <v>14416.920000000002</v>
      </c>
      <c r="I2303" s="120" t="str">
        <f>IF(OR(D2303&lt;Capa!$A$5,D2303&gt;Capa!$A$7,E2303&lt;Capa!$A$5,E2303&gt;Capa!$A$7,D2303&gt;E2303),"Erro","")</f>
        <v/>
      </c>
    </row>
    <row r="2304" spans="1:9" ht="45">
      <c r="A2304" s="345">
        <v>2301</v>
      </c>
      <c r="B2304" s="346" t="s">
        <v>286</v>
      </c>
      <c r="C2304" s="347">
        <v>1271.57</v>
      </c>
      <c r="D2304" s="348">
        <v>46753</v>
      </c>
      <c r="E2304" s="348">
        <v>47058</v>
      </c>
      <c r="F2304" s="346" t="s">
        <v>641</v>
      </c>
      <c r="G2304" s="350" t="s">
        <v>452</v>
      </c>
      <c r="H2304" s="351">
        <f t="shared" si="40"/>
        <v>13987.269999999999</v>
      </c>
      <c r="I2304" s="120" t="str">
        <f>IF(OR(D2304&lt;Capa!$A$5,D2304&gt;Capa!$A$7,E2304&lt;Capa!$A$5,E2304&gt;Capa!$A$7,D2304&gt;E2304),"Erro","")</f>
        <v/>
      </c>
    </row>
    <row r="2305" spans="1:9" ht="45">
      <c r="A2305" s="345">
        <v>2302</v>
      </c>
      <c r="B2305" s="346" t="s">
        <v>288</v>
      </c>
      <c r="C2305" s="347">
        <v>200</v>
      </c>
      <c r="D2305" s="348">
        <v>45627</v>
      </c>
      <c r="E2305" s="348">
        <v>45627</v>
      </c>
      <c r="F2305" s="346" t="s">
        <v>641</v>
      </c>
      <c r="G2305" s="350" t="s">
        <v>453</v>
      </c>
      <c r="H2305" s="351">
        <f t="shared" si="40"/>
        <v>200</v>
      </c>
      <c r="I2305" s="120" t="str">
        <f>IF(OR(D2305&lt;Capa!$A$5,D2305&gt;Capa!$A$7,E2305&lt;Capa!$A$5,E2305&gt;Capa!$A$7,D2305&gt;E2305),"Erro","")</f>
        <v/>
      </c>
    </row>
    <row r="2306" spans="1:9" ht="45">
      <c r="A2306" s="345">
        <v>2303</v>
      </c>
      <c r="B2306" s="346" t="s">
        <v>288</v>
      </c>
      <c r="C2306" s="347">
        <v>200</v>
      </c>
      <c r="D2306" s="348">
        <v>45658</v>
      </c>
      <c r="E2306" s="348">
        <v>45992</v>
      </c>
      <c r="F2306" s="346" t="s">
        <v>641</v>
      </c>
      <c r="G2306" s="350" t="s">
        <v>453</v>
      </c>
      <c r="H2306" s="351">
        <f t="shared" si="40"/>
        <v>2400</v>
      </c>
      <c r="I2306" s="120" t="str">
        <f>IF(OR(D2306&lt;Capa!$A$5,D2306&gt;Capa!$A$7,E2306&lt;Capa!$A$5,E2306&gt;Capa!$A$7,D2306&gt;E2306),"Erro","")</f>
        <v/>
      </c>
    </row>
    <row r="2307" spans="1:9" ht="45">
      <c r="A2307" s="345">
        <v>2304</v>
      </c>
      <c r="B2307" s="346" t="s">
        <v>288</v>
      </c>
      <c r="C2307" s="347">
        <v>200</v>
      </c>
      <c r="D2307" s="348">
        <v>46023</v>
      </c>
      <c r="E2307" s="348">
        <v>46357</v>
      </c>
      <c r="F2307" s="346" t="s">
        <v>641</v>
      </c>
      <c r="G2307" s="350" t="s">
        <v>453</v>
      </c>
      <c r="H2307" s="351">
        <f t="shared" si="40"/>
        <v>2400</v>
      </c>
      <c r="I2307" s="120" t="str">
        <f>IF(OR(D2307&lt;Capa!$A$5,D2307&gt;Capa!$A$7,E2307&lt;Capa!$A$5,E2307&gt;Capa!$A$7,D2307&gt;E2307),"Erro","")</f>
        <v/>
      </c>
    </row>
    <row r="2308" spans="1:9" ht="45">
      <c r="A2308" s="345">
        <v>2305</v>
      </c>
      <c r="B2308" s="346" t="s">
        <v>288</v>
      </c>
      <c r="C2308" s="347">
        <v>200</v>
      </c>
      <c r="D2308" s="348">
        <v>46388</v>
      </c>
      <c r="E2308" s="348">
        <v>46722</v>
      </c>
      <c r="F2308" s="346" t="s">
        <v>641</v>
      </c>
      <c r="G2308" s="350" t="s">
        <v>453</v>
      </c>
      <c r="H2308" s="351">
        <f t="shared" si="40"/>
        <v>2400</v>
      </c>
      <c r="I2308" s="120" t="str">
        <f>IF(OR(D2308&lt;Capa!$A$5,D2308&gt;Capa!$A$7,E2308&lt;Capa!$A$5,E2308&gt;Capa!$A$7,D2308&gt;E2308),"Erro","")</f>
        <v/>
      </c>
    </row>
    <row r="2309" spans="1:9" ht="45">
      <c r="A2309" s="345">
        <v>2306</v>
      </c>
      <c r="B2309" s="346" t="s">
        <v>288</v>
      </c>
      <c r="C2309" s="347">
        <v>200</v>
      </c>
      <c r="D2309" s="348">
        <v>46753</v>
      </c>
      <c r="E2309" s="348">
        <v>47058</v>
      </c>
      <c r="F2309" s="346" t="s">
        <v>641</v>
      </c>
      <c r="G2309" s="350" t="s">
        <v>453</v>
      </c>
      <c r="H2309" s="351">
        <f t="shared" si="40"/>
        <v>2200</v>
      </c>
      <c r="I2309" s="120" t="str">
        <f>IF(OR(D2309&lt;Capa!$A$5,D2309&gt;Capa!$A$7,E2309&lt;Capa!$A$5,E2309&gt;Capa!$A$7,D2309&gt;E2309),"Erro","")</f>
        <v/>
      </c>
    </row>
    <row r="2310" spans="1:9" ht="33.75">
      <c r="A2310" s="345">
        <v>2307</v>
      </c>
      <c r="B2310" s="346" t="s">
        <v>294</v>
      </c>
      <c r="C2310" s="347">
        <v>7000</v>
      </c>
      <c r="D2310" s="348">
        <v>45627</v>
      </c>
      <c r="E2310" s="348">
        <v>45627</v>
      </c>
      <c r="F2310" s="346" t="s">
        <v>641</v>
      </c>
      <c r="G2310" s="350" t="s">
        <v>454</v>
      </c>
      <c r="H2310" s="351">
        <f t="shared" si="40"/>
        <v>7000</v>
      </c>
      <c r="I2310" s="120" t="str">
        <f>IF(OR(D2310&lt;Capa!$A$5,D2310&gt;Capa!$A$7,E2310&lt;Capa!$A$5,E2310&gt;Capa!$A$7,D2310&gt;E2310),"Erro","")</f>
        <v/>
      </c>
    </row>
    <row r="2311" spans="1:9" ht="33.75">
      <c r="A2311" s="345">
        <v>2308</v>
      </c>
      <c r="B2311" s="346" t="s">
        <v>294</v>
      </c>
      <c r="C2311" s="347">
        <v>7408.8</v>
      </c>
      <c r="D2311" s="348">
        <v>45658</v>
      </c>
      <c r="E2311" s="348">
        <v>45992</v>
      </c>
      <c r="F2311" s="346" t="s">
        <v>641</v>
      </c>
      <c r="G2311" s="350" t="s">
        <v>454</v>
      </c>
      <c r="H2311" s="351">
        <f t="shared" si="40"/>
        <v>88905.600000000006</v>
      </c>
      <c r="I2311" s="120" t="str">
        <f>IF(OR(D2311&lt;Capa!$A$5,D2311&gt;Capa!$A$7,E2311&lt;Capa!$A$5,E2311&gt;Capa!$A$7,D2311&gt;E2311),"Erro","")</f>
        <v/>
      </c>
    </row>
    <row r="2312" spans="1:9" ht="33.75">
      <c r="A2312" s="345">
        <v>2309</v>
      </c>
      <c r="B2312" s="346" t="s">
        <v>294</v>
      </c>
      <c r="C2312" s="347">
        <v>7847.65</v>
      </c>
      <c r="D2312" s="348">
        <v>46023</v>
      </c>
      <c r="E2312" s="348">
        <v>46357</v>
      </c>
      <c r="F2312" s="346" t="s">
        <v>641</v>
      </c>
      <c r="G2312" s="350" t="s">
        <v>454</v>
      </c>
      <c r="H2312" s="351">
        <f t="shared" si="40"/>
        <v>94171.799999999988</v>
      </c>
      <c r="I2312" s="120" t="str">
        <f>IF(OR(D2312&lt;Capa!$A$5,D2312&gt;Capa!$A$7,E2312&lt;Capa!$A$5,E2312&gt;Capa!$A$7,D2312&gt;E2312),"Erro","")</f>
        <v/>
      </c>
    </row>
    <row r="2313" spans="1:9" ht="33.75">
      <c r="A2313" s="345">
        <v>2310</v>
      </c>
      <c r="B2313" s="346" t="s">
        <v>294</v>
      </c>
      <c r="C2313" s="347">
        <v>8305.9500000000007</v>
      </c>
      <c r="D2313" s="348">
        <v>46388</v>
      </c>
      <c r="E2313" s="348">
        <v>46722</v>
      </c>
      <c r="F2313" s="346" t="s">
        <v>641</v>
      </c>
      <c r="G2313" s="350" t="s">
        <v>454</v>
      </c>
      <c r="H2313" s="351">
        <f t="shared" si="40"/>
        <v>99671.400000000009</v>
      </c>
      <c r="I2313" s="120" t="str">
        <f>IF(OR(D2313&lt;Capa!$A$5,D2313&gt;Capa!$A$7,E2313&lt;Capa!$A$5,E2313&gt;Capa!$A$7,D2313&gt;E2313),"Erro","")</f>
        <v/>
      </c>
    </row>
    <row r="2314" spans="1:9" ht="33.75">
      <c r="A2314" s="345">
        <v>2311</v>
      </c>
      <c r="B2314" s="346" t="s">
        <v>294</v>
      </c>
      <c r="C2314" s="347">
        <v>8791.02</v>
      </c>
      <c r="D2314" s="348">
        <v>46753</v>
      </c>
      <c r="E2314" s="348">
        <v>47058</v>
      </c>
      <c r="F2314" s="346" t="s">
        <v>641</v>
      </c>
      <c r="G2314" s="350" t="s">
        <v>454</v>
      </c>
      <c r="H2314" s="351">
        <f t="shared" si="40"/>
        <v>96701.22</v>
      </c>
      <c r="I2314" s="120" t="str">
        <f>IF(OR(D2314&lt;Capa!$A$5,D2314&gt;Capa!$A$7,E2314&lt;Capa!$A$5,E2314&gt;Capa!$A$7,D2314&gt;E2314),"Erro","")</f>
        <v/>
      </c>
    </row>
    <row r="2315" spans="1:9" ht="22.5">
      <c r="A2315" s="345">
        <v>2312</v>
      </c>
      <c r="B2315" s="346" t="s">
        <v>302</v>
      </c>
      <c r="C2315" s="347">
        <v>200</v>
      </c>
      <c r="D2315" s="348">
        <v>45627</v>
      </c>
      <c r="E2315" s="348">
        <v>45627</v>
      </c>
      <c r="F2315" s="346" t="s">
        <v>641</v>
      </c>
      <c r="G2315" s="350" t="s">
        <v>455</v>
      </c>
      <c r="H2315" s="351">
        <f t="shared" si="40"/>
        <v>200</v>
      </c>
      <c r="I2315" s="120" t="str">
        <f>IF(OR(D2315&lt;Capa!$A$5,D2315&gt;Capa!$A$7,E2315&lt;Capa!$A$5,E2315&gt;Capa!$A$7,D2315&gt;E2315),"Erro","")</f>
        <v/>
      </c>
    </row>
    <row r="2316" spans="1:9" ht="22.5">
      <c r="A2316" s="345">
        <v>2313</v>
      </c>
      <c r="B2316" s="346" t="s">
        <v>302</v>
      </c>
      <c r="C2316" s="347">
        <v>210</v>
      </c>
      <c r="D2316" s="348">
        <v>45658</v>
      </c>
      <c r="E2316" s="348">
        <v>45992</v>
      </c>
      <c r="F2316" s="346" t="s">
        <v>641</v>
      </c>
      <c r="G2316" s="350" t="s">
        <v>455</v>
      </c>
      <c r="H2316" s="351">
        <f t="shared" si="40"/>
        <v>2520</v>
      </c>
      <c r="I2316" s="120" t="str">
        <f>IF(OR(D2316&lt;Capa!$A$5,D2316&gt;Capa!$A$7,E2316&lt;Capa!$A$5,E2316&gt;Capa!$A$7,D2316&gt;E2316),"Erro","")</f>
        <v/>
      </c>
    </row>
    <row r="2317" spans="1:9" ht="22.5">
      <c r="A2317" s="345">
        <v>2314</v>
      </c>
      <c r="B2317" s="346" t="s">
        <v>302</v>
      </c>
      <c r="C2317" s="347">
        <v>210</v>
      </c>
      <c r="D2317" s="348">
        <v>46023</v>
      </c>
      <c r="E2317" s="348">
        <v>46357</v>
      </c>
      <c r="F2317" s="346" t="s">
        <v>641</v>
      </c>
      <c r="G2317" s="350" t="s">
        <v>455</v>
      </c>
      <c r="H2317" s="351">
        <f t="shared" si="40"/>
        <v>2520</v>
      </c>
      <c r="I2317" s="120" t="str">
        <f>IF(OR(D2317&lt;Capa!$A$5,D2317&gt;Capa!$A$7,E2317&lt;Capa!$A$5,E2317&gt;Capa!$A$7,D2317&gt;E2317),"Erro","")</f>
        <v/>
      </c>
    </row>
    <row r="2318" spans="1:9" ht="22.5">
      <c r="A2318" s="345">
        <v>2315</v>
      </c>
      <c r="B2318" s="346" t="s">
        <v>302</v>
      </c>
      <c r="C2318" s="347">
        <v>210</v>
      </c>
      <c r="D2318" s="348">
        <v>46388</v>
      </c>
      <c r="E2318" s="348">
        <v>46722</v>
      </c>
      <c r="F2318" s="346" t="s">
        <v>641</v>
      </c>
      <c r="G2318" s="350" t="s">
        <v>455</v>
      </c>
      <c r="H2318" s="351">
        <f t="shared" si="40"/>
        <v>2520</v>
      </c>
      <c r="I2318" s="120" t="str">
        <f>IF(OR(D2318&lt;Capa!$A$5,D2318&gt;Capa!$A$7,E2318&lt;Capa!$A$5,E2318&gt;Capa!$A$7,D2318&gt;E2318),"Erro","")</f>
        <v/>
      </c>
    </row>
    <row r="2319" spans="1:9" ht="22.5">
      <c r="A2319" s="345">
        <v>2316</v>
      </c>
      <c r="B2319" s="346" t="s">
        <v>302</v>
      </c>
      <c r="C2319" s="347">
        <v>210</v>
      </c>
      <c r="D2319" s="348">
        <v>46753</v>
      </c>
      <c r="E2319" s="348">
        <v>47058</v>
      </c>
      <c r="F2319" s="346" t="s">
        <v>641</v>
      </c>
      <c r="G2319" s="350" t="s">
        <v>455</v>
      </c>
      <c r="H2319" s="351">
        <f t="shared" si="40"/>
        <v>2310</v>
      </c>
      <c r="I2319" s="120" t="str">
        <f>IF(OR(D2319&lt;Capa!$A$5,D2319&gt;Capa!$A$7,E2319&lt;Capa!$A$5,E2319&gt;Capa!$A$7,D2319&gt;E2319),"Erro","")</f>
        <v/>
      </c>
    </row>
    <row r="2320" spans="1:9" ht="33.75">
      <c r="A2320" s="345">
        <v>2317</v>
      </c>
      <c r="B2320" s="346" t="s">
        <v>304</v>
      </c>
      <c r="C2320" s="347">
        <v>1800</v>
      </c>
      <c r="D2320" s="348">
        <v>45597</v>
      </c>
      <c r="E2320" s="348">
        <v>45627</v>
      </c>
      <c r="F2320" s="346" t="s">
        <v>641</v>
      </c>
      <c r="G2320" s="350" t="s">
        <v>456</v>
      </c>
      <c r="H2320" s="351">
        <f t="shared" si="40"/>
        <v>3600</v>
      </c>
      <c r="I2320" s="120" t="str">
        <f>IF(OR(D2320&lt;Capa!$A$5,D2320&gt;Capa!$A$7,E2320&lt;Capa!$A$5,E2320&gt;Capa!$A$7,D2320&gt;E2320),"Erro","")</f>
        <v/>
      </c>
    </row>
    <row r="2321" spans="1:9" ht="33.75">
      <c r="A2321" s="345">
        <v>2318</v>
      </c>
      <c r="B2321" s="346" t="s">
        <v>304</v>
      </c>
      <c r="C2321" s="347">
        <v>1905.12</v>
      </c>
      <c r="D2321" s="348">
        <v>45658</v>
      </c>
      <c r="E2321" s="348">
        <v>45992</v>
      </c>
      <c r="F2321" s="346" t="s">
        <v>641</v>
      </c>
      <c r="G2321" s="350" t="s">
        <v>456</v>
      </c>
      <c r="H2321" s="351">
        <f t="shared" si="40"/>
        <v>22861.439999999999</v>
      </c>
      <c r="I2321" s="120" t="str">
        <f>IF(OR(D2321&lt;Capa!$A$5,D2321&gt;Capa!$A$7,E2321&lt;Capa!$A$5,E2321&gt;Capa!$A$7,D2321&gt;E2321),"Erro","")</f>
        <v/>
      </c>
    </row>
    <row r="2322" spans="1:9" ht="33.75">
      <c r="A2322" s="345">
        <v>2319</v>
      </c>
      <c r="B2322" s="346" t="s">
        <v>304</v>
      </c>
      <c r="C2322" s="347">
        <v>2016.37</v>
      </c>
      <c r="D2322" s="348">
        <v>46023</v>
      </c>
      <c r="E2322" s="348">
        <v>46357</v>
      </c>
      <c r="F2322" s="346" t="s">
        <v>641</v>
      </c>
      <c r="G2322" s="350" t="s">
        <v>456</v>
      </c>
      <c r="H2322" s="351">
        <f t="shared" si="40"/>
        <v>24196.44</v>
      </c>
      <c r="I2322" s="120" t="str">
        <f>IF(OR(D2322&lt;Capa!$A$5,D2322&gt;Capa!$A$7,E2322&lt;Capa!$A$5,E2322&gt;Capa!$A$7,D2322&gt;E2322),"Erro","")</f>
        <v/>
      </c>
    </row>
    <row r="2323" spans="1:9" ht="33.75">
      <c r="A2323" s="345">
        <v>2320</v>
      </c>
      <c r="B2323" s="346" t="s">
        <v>304</v>
      </c>
      <c r="C2323" s="347">
        <v>2134.13</v>
      </c>
      <c r="D2323" s="348">
        <v>46388</v>
      </c>
      <c r="E2323" s="348">
        <v>46722</v>
      </c>
      <c r="F2323" s="346" t="s">
        <v>641</v>
      </c>
      <c r="G2323" s="350" t="s">
        <v>456</v>
      </c>
      <c r="H2323" s="351">
        <f t="shared" si="40"/>
        <v>25609.56</v>
      </c>
      <c r="I2323" s="120" t="str">
        <f>IF(OR(D2323&lt;Capa!$A$5,D2323&gt;Capa!$A$7,E2323&lt;Capa!$A$5,E2323&gt;Capa!$A$7,D2323&gt;E2323),"Erro","")</f>
        <v/>
      </c>
    </row>
    <row r="2324" spans="1:9" ht="33.75">
      <c r="A2324" s="345">
        <v>2321</v>
      </c>
      <c r="B2324" s="346" t="s">
        <v>304</v>
      </c>
      <c r="C2324" s="347">
        <v>2258.7600000000002</v>
      </c>
      <c r="D2324" s="348">
        <v>46753</v>
      </c>
      <c r="E2324" s="348">
        <v>47058</v>
      </c>
      <c r="F2324" s="346" t="s">
        <v>641</v>
      </c>
      <c r="G2324" s="350" t="s">
        <v>456</v>
      </c>
      <c r="H2324" s="351">
        <f t="shared" si="40"/>
        <v>24846.36</v>
      </c>
      <c r="I2324" s="120" t="str">
        <f>IF(OR(D2324&lt;Capa!$A$5,D2324&gt;Capa!$A$7,E2324&lt;Capa!$A$5,E2324&gt;Capa!$A$7,D2324&gt;E2324),"Erro","")</f>
        <v/>
      </c>
    </row>
    <row r="2325" spans="1:9" ht="33.75">
      <c r="A2325" s="345">
        <v>2322</v>
      </c>
      <c r="B2325" s="346" t="s">
        <v>312</v>
      </c>
      <c r="C2325" s="347">
        <v>280</v>
      </c>
      <c r="D2325" s="348">
        <v>45658</v>
      </c>
      <c r="E2325" s="348">
        <v>45992</v>
      </c>
      <c r="F2325" s="346" t="s">
        <v>641</v>
      </c>
      <c r="G2325" s="350" t="s">
        <v>593</v>
      </c>
      <c r="H2325" s="351">
        <f t="shared" si="40"/>
        <v>3360</v>
      </c>
      <c r="I2325" s="120" t="str">
        <f>IF(OR(D2325&lt;Capa!$A$5,D2325&gt;Capa!$A$7,E2325&lt;Capa!$A$5,E2325&gt;Capa!$A$7,D2325&gt;E2325),"Erro","")</f>
        <v/>
      </c>
    </row>
    <row r="2326" spans="1:9" ht="33.75">
      <c r="A2326" s="345">
        <v>2323</v>
      </c>
      <c r="B2326" s="346" t="s">
        <v>312</v>
      </c>
      <c r="C2326" s="347">
        <v>280</v>
      </c>
      <c r="D2326" s="348">
        <v>46023</v>
      </c>
      <c r="E2326" s="348">
        <v>46357</v>
      </c>
      <c r="F2326" s="346" t="s">
        <v>641</v>
      </c>
      <c r="G2326" s="350" t="s">
        <v>593</v>
      </c>
      <c r="H2326" s="351">
        <f t="shared" si="40"/>
        <v>3360</v>
      </c>
      <c r="I2326" s="120" t="str">
        <f>IF(OR(D2326&lt;Capa!$A$5,D2326&gt;Capa!$A$7,E2326&lt;Capa!$A$5,E2326&gt;Capa!$A$7,D2326&gt;E2326),"Erro","")</f>
        <v/>
      </c>
    </row>
    <row r="2327" spans="1:9" ht="33.75">
      <c r="A2327" s="345">
        <v>2324</v>
      </c>
      <c r="B2327" s="346" t="s">
        <v>312</v>
      </c>
      <c r="C2327" s="347">
        <v>280</v>
      </c>
      <c r="D2327" s="348">
        <v>46388</v>
      </c>
      <c r="E2327" s="348">
        <v>46722</v>
      </c>
      <c r="F2327" s="346" t="s">
        <v>641</v>
      </c>
      <c r="G2327" s="350" t="s">
        <v>593</v>
      </c>
      <c r="H2327" s="351">
        <f t="shared" si="40"/>
        <v>3360</v>
      </c>
      <c r="I2327" s="120" t="str">
        <f>IF(OR(D2327&lt;Capa!$A$5,D2327&gt;Capa!$A$7,E2327&lt;Capa!$A$5,E2327&gt;Capa!$A$7,D2327&gt;E2327),"Erro","")</f>
        <v/>
      </c>
    </row>
    <row r="2328" spans="1:9" ht="33.75">
      <c r="A2328" s="345">
        <v>2325</v>
      </c>
      <c r="B2328" s="346" t="s">
        <v>312</v>
      </c>
      <c r="C2328" s="347">
        <v>280</v>
      </c>
      <c r="D2328" s="348">
        <v>46753</v>
      </c>
      <c r="E2328" s="348">
        <v>47058</v>
      </c>
      <c r="F2328" s="346" t="s">
        <v>641</v>
      </c>
      <c r="G2328" s="350" t="s">
        <v>593</v>
      </c>
      <c r="H2328" s="351">
        <f t="shared" si="40"/>
        <v>3080</v>
      </c>
      <c r="I2328" s="120" t="str">
        <f>IF(OR(D2328&lt;Capa!$A$5,D2328&gt;Capa!$A$7,E2328&lt;Capa!$A$5,E2328&gt;Capa!$A$7,D2328&gt;E2328),"Erro","")</f>
        <v/>
      </c>
    </row>
    <row r="2329" spans="1:9" ht="67.5">
      <c r="A2329" s="345">
        <v>2326</v>
      </c>
      <c r="B2329" s="346" t="s">
        <v>316</v>
      </c>
      <c r="C2329" s="347">
        <v>1000</v>
      </c>
      <c r="D2329" s="348">
        <v>45627</v>
      </c>
      <c r="E2329" s="348">
        <v>45627</v>
      </c>
      <c r="F2329" s="346" t="s">
        <v>641</v>
      </c>
      <c r="G2329" s="350" t="s">
        <v>457</v>
      </c>
      <c r="H2329" s="351">
        <f t="shared" si="40"/>
        <v>1000</v>
      </c>
      <c r="I2329" s="120" t="str">
        <f>IF(OR(D2329&lt;Capa!$A$5,D2329&gt;Capa!$A$7,E2329&lt;Capa!$A$5,E2329&gt;Capa!$A$7,D2329&gt;E2329),"Erro","")</f>
        <v/>
      </c>
    </row>
    <row r="2330" spans="1:9" ht="67.5">
      <c r="A2330" s="345">
        <v>2327</v>
      </c>
      <c r="B2330" s="346" t="s">
        <v>316</v>
      </c>
      <c r="C2330" s="347">
        <v>1000</v>
      </c>
      <c r="D2330" s="348">
        <v>45658</v>
      </c>
      <c r="E2330" s="348">
        <v>45992</v>
      </c>
      <c r="F2330" s="346" t="s">
        <v>641</v>
      </c>
      <c r="G2330" s="350" t="s">
        <v>457</v>
      </c>
      <c r="H2330" s="351">
        <f t="shared" si="40"/>
        <v>12000</v>
      </c>
      <c r="I2330" s="120" t="str">
        <f>IF(OR(D2330&lt;Capa!$A$5,D2330&gt;Capa!$A$7,E2330&lt;Capa!$A$5,E2330&gt;Capa!$A$7,D2330&gt;E2330),"Erro","")</f>
        <v/>
      </c>
    </row>
    <row r="2331" spans="1:9" ht="67.5">
      <c r="A2331" s="345">
        <v>2328</v>
      </c>
      <c r="B2331" s="346" t="s">
        <v>316</v>
      </c>
      <c r="C2331" s="347">
        <v>1000</v>
      </c>
      <c r="D2331" s="348">
        <v>46023</v>
      </c>
      <c r="E2331" s="348">
        <v>46357</v>
      </c>
      <c r="F2331" s="346" t="s">
        <v>641</v>
      </c>
      <c r="G2331" s="350" t="s">
        <v>457</v>
      </c>
      <c r="H2331" s="351">
        <f t="shared" si="40"/>
        <v>12000</v>
      </c>
      <c r="I2331" s="120" t="str">
        <f>IF(OR(D2331&lt;Capa!$A$5,D2331&gt;Capa!$A$7,E2331&lt;Capa!$A$5,E2331&gt;Capa!$A$7,D2331&gt;E2331),"Erro","")</f>
        <v/>
      </c>
    </row>
    <row r="2332" spans="1:9" ht="67.5">
      <c r="A2332" s="345">
        <v>2329</v>
      </c>
      <c r="B2332" s="346" t="s">
        <v>316</v>
      </c>
      <c r="C2332" s="347">
        <v>1000</v>
      </c>
      <c r="D2332" s="348">
        <v>46388</v>
      </c>
      <c r="E2332" s="348">
        <v>46722</v>
      </c>
      <c r="F2332" s="346" t="s">
        <v>641</v>
      </c>
      <c r="G2332" s="350" t="s">
        <v>457</v>
      </c>
      <c r="H2332" s="351">
        <f t="shared" si="40"/>
        <v>12000</v>
      </c>
      <c r="I2332" s="120" t="str">
        <f>IF(OR(D2332&lt;Capa!$A$5,D2332&gt;Capa!$A$7,E2332&lt;Capa!$A$5,E2332&gt;Capa!$A$7,D2332&gt;E2332),"Erro","")</f>
        <v/>
      </c>
    </row>
    <row r="2333" spans="1:9" ht="67.5">
      <c r="A2333" s="345">
        <v>2330</v>
      </c>
      <c r="B2333" s="346" t="s">
        <v>316</v>
      </c>
      <c r="C2333" s="347">
        <v>1000</v>
      </c>
      <c r="D2333" s="348">
        <v>46753</v>
      </c>
      <c r="E2333" s="348">
        <v>47058</v>
      </c>
      <c r="F2333" s="346" t="s">
        <v>641</v>
      </c>
      <c r="G2333" s="350" t="s">
        <v>457</v>
      </c>
      <c r="H2333" s="351">
        <f t="shared" si="40"/>
        <v>11000</v>
      </c>
      <c r="I2333" s="120" t="str">
        <f>IF(OR(D2333&lt;Capa!$A$5,D2333&gt;Capa!$A$7,E2333&lt;Capa!$A$5,E2333&gt;Capa!$A$7,D2333&gt;E2333),"Erro","")</f>
        <v/>
      </c>
    </row>
    <row r="2334" spans="1:9" ht="56.25">
      <c r="A2334" s="345">
        <v>2331</v>
      </c>
      <c r="B2334" s="346" t="s">
        <v>318</v>
      </c>
      <c r="C2334" s="347">
        <v>1800</v>
      </c>
      <c r="D2334" s="348">
        <v>45627</v>
      </c>
      <c r="E2334" s="348">
        <v>45627</v>
      </c>
      <c r="F2334" s="346" t="s">
        <v>641</v>
      </c>
      <c r="G2334" s="350" t="s">
        <v>594</v>
      </c>
      <c r="H2334" s="351">
        <f t="shared" si="40"/>
        <v>1800</v>
      </c>
      <c r="I2334" s="120" t="str">
        <f>IF(OR(D2334&lt;Capa!$A$5,D2334&gt;Capa!$A$7,E2334&lt;Capa!$A$5,E2334&gt;Capa!$A$7,D2334&gt;E2334),"Erro","")</f>
        <v/>
      </c>
    </row>
    <row r="2335" spans="1:9" ht="56.25">
      <c r="A2335" s="345">
        <v>2332</v>
      </c>
      <c r="B2335" s="346" t="s">
        <v>318</v>
      </c>
      <c r="C2335" s="347">
        <v>1500</v>
      </c>
      <c r="D2335" s="348">
        <v>45658</v>
      </c>
      <c r="E2335" s="348">
        <v>45992</v>
      </c>
      <c r="F2335" s="346" t="s">
        <v>641</v>
      </c>
      <c r="G2335" s="350" t="s">
        <v>594</v>
      </c>
      <c r="H2335" s="351">
        <f t="shared" si="40"/>
        <v>18000</v>
      </c>
      <c r="I2335" s="120" t="str">
        <f>IF(OR(D2335&lt;Capa!$A$5,D2335&gt;Capa!$A$7,E2335&lt;Capa!$A$5,E2335&gt;Capa!$A$7,D2335&gt;E2335),"Erro","")</f>
        <v/>
      </c>
    </row>
    <row r="2336" spans="1:9" ht="56.25">
      <c r="A2336" s="345">
        <v>2333</v>
      </c>
      <c r="B2336" s="346" t="s">
        <v>318</v>
      </c>
      <c r="C2336" s="347">
        <v>1500</v>
      </c>
      <c r="D2336" s="348">
        <v>46023</v>
      </c>
      <c r="E2336" s="348">
        <v>46357</v>
      </c>
      <c r="F2336" s="346" t="s">
        <v>641</v>
      </c>
      <c r="G2336" s="350" t="s">
        <v>594</v>
      </c>
      <c r="H2336" s="351">
        <f t="shared" si="40"/>
        <v>18000</v>
      </c>
      <c r="I2336" s="120" t="str">
        <f>IF(OR(D2336&lt;Capa!$A$5,D2336&gt;Capa!$A$7,E2336&lt;Capa!$A$5,E2336&gt;Capa!$A$7,D2336&gt;E2336),"Erro","")</f>
        <v/>
      </c>
    </row>
    <row r="2337" spans="1:9" ht="56.25">
      <c r="A2337" s="345">
        <v>2334</v>
      </c>
      <c r="B2337" s="346" t="s">
        <v>318</v>
      </c>
      <c r="C2337" s="347">
        <v>1500</v>
      </c>
      <c r="D2337" s="348">
        <v>46388</v>
      </c>
      <c r="E2337" s="348">
        <v>46722</v>
      </c>
      <c r="F2337" s="346" t="s">
        <v>641</v>
      </c>
      <c r="G2337" s="350" t="s">
        <v>594</v>
      </c>
      <c r="H2337" s="351">
        <f t="shared" si="40"/>
        <v>18000</v>
      </c>
      <c r="I2337" s="120" t="str">
        <f>IF(OR(D2337&lt;Capa!$A$5,D2337&gt;Capa!$A$7,E2337&lt;Capa!$A$5,E2337&gt;Capa!$A$7,D2337&gt;E2337),"Erro","")</f>
        <v/>
      </c>
    </row>
    <row r="2338" spans="1:9" ht="56.25">
      <c r="A2338" s="345">
        <v>2335</v>
      </c>
      <c r="B2338" s="346" t="s">
        <v>318</v>
      </c>
      <c r="C2338" s="347">
        <v>1500</v>
      </c>
      <c r="D2338" s="348">
        <v>46753</v>
      </c>
      <c r="E2338" s="348">
        <v>47058</v>
      </c>
      <c r="F2338" s="346" t="s">
        <v>641</v>
      </c>
      <c r="G2338" s="350" t="s">
        <v>594</v>
      </c>
      <c r="H2338" s="351">
        <f t="shared" si="40"/>
        <v>16500</v>
      </c>
      <c r="I2338" s="120" t="str">
        <f>IF(OR(D2338&lt;Capa!$A$5,D2338&gt;Capa!$A$7,E2338&lt;Capa!$A$5,E2338&gt;Capa!$A$7,D2338&gt;E2338),"Erro","")</f>
        <v/>
      </c>
    </row>
    <row r="2339" spans="1:9" ht="67.5">
      <c r="A2339" s="345">
        <v>2336</v>
      </c>
      <c r="B2339" s="346" t="s">
        <v>318</v>
      </c>
      <c r="C2339" s="347">
        <v>1800</v>
      </c>
      <c r="D2339" s="348">
        <v>45627</v>
      </c>
      <c r="E2339" s="348">
        <v>45627</v>
      </c>
      <c r="F2339" s="346" t="s">
        <v>641</v>
      </c>
      <c r="G2339" s="350" t="s">
        <v>457</v>
      </c>
      <c r="H2339" s="351">
        <f t="shared" si="40"/>
        <v>1800</v>
      </c>
      <c r="I2339" s="120" t="str">
        <f>IF(OR(D2339&lt;Capa!$A$5,D2339&gt;Capa!$A$7,E2339&lt;Capa!$A$5,E2339&gt;Capa!$A$7,D2339&gt;E2339),"Erro","")</f>
        <v/>
      </c>
    </row>
    <row r="2340" spans="1:9" ht="67.5">
      <c r="A2340" s="345">
        <v>2337</v>
      </c>
      <c r="B2340" s="346" t="s">
        <v>318</v>
      </c>
      <c r="C2340" s="347">
        <v>1500</v>
      </c>
      <c r="D2340" s="348">
        <v>45658</v>
      </c>
      <c r="E2340" s="348">
        <v>45992</v>
      </c>
      <c r="F2340" s="346" t="s">
        <v>641</v>
      </c>
      <c r="G2340" s="350" t="s">
        <v>457</v>
      </c>
      <c r="H2340" s="351">
        <f t="shared" si="40"/>
        <v>18000</v>
      </c>
      <c r="I2340" s="120" t="str">
        <f>IF(OR(D2340&lt;Capa!$A$5,D2340&gt;Capa!$A$7,E2340&lt;Capa!$A$5,E2340&gt;Capa!$A$7,D2340&gt;E2340),"Erro","")</f>
        <v/>
      </c>
    </row>
    <row r="2341" spans="1:9" ht="67.5">
      <c r="A2341" s="345">
        <v>2338</v>
      </c>
      <c r="B2341" s="346" t="s">
        <v>318</v>
      </c>
      <c r="C2341" s="347">
        <v>1500</v>
      </c>
      <c r="D2341" s="348">
        <v>46023</v>
      </c>
      <c r="E2341" s="348">
        <v>46357</v>
      </c>
      <c r="F2341" s="346" t="s">
        <v>641</v>
      </c>
      <c r="G2341" s="350" t="s">
        <v>457</v>
      </c>
      <c r="H2341" s="351">
        <f t="shared" si="40"/>
        <v>18000</v>
      </c>
      <c r="I2341" s="120" t="str">
        <f>IF(OR(D2341&lt;Capa!$A$5,D2341&gt;Capa!$A$7,E2341&lt;Capa!$A$5,E2341&gt;Capa!$A$7,D2341&gt;E2341),"Erro","")</f>
        <v/>
      </c>
    </row>
    <row r="2342" spans="1:9" ht="67.5">
      <c r="A2342" s="345">
        <v>2339</v>
      </c>
      <c r="B2342" s="346" t="s">
        <v>318</v>
      </c>
      <c r="C2342" s="347">
        <v>1500</v>
      </c>
      <c r="D2342" s="348">
        <v>46388</v>
      </c>
      <c r="E2342" s="348">
        <v>46722</v>
      </c>
      <c r="F2342" s="346" t="s">
        <v>641</v>
      </c>
      <c r="G2342" s="350" t="s">
        <v>457</v>
      </c>
      <c r="H2342" s="351">
        <f t="shared" si="40"/>
        <v>18000</v>
      </c>
      <c r="I2342" s="120" t="str">
        <f>IF(OR(D2342&lt;Capa!$A$5,D2342&gt;Capa!$A$7,E2342&lt;Capa!$A$5,E2342&gt;Capa!$A$7,D2342&gt;E2342),"Erro","")</f>
        <v/>
      </c>
    </row>
    <row r="2343" spans="1:9" ht="67.5">
      <c r="A2343" s="345">
        <v>2340</v>
      </c>
      <c r="B2343" s="346" t="s">
        <v>318</v>
      </c>
      <c r="C2343" s="347">
        <v>1500</v>
      </c>
      <c r="D2343" s="348">
        <v>46753</v>
      </c>
      <c r="E2343" s="348">
        <v>47058</v>
      </c>
      <c r="F2343" s="346" t="s">
        <v>641</v>
      </c>
      <c r="G2343" s="350" t="s">
        <v>457</v>
      </c>
      <c r="H2343" s="351">
        <f t="shared" si="40"/>
        <v>16500</v>
      </c>
      <c r="I2343" s="120" t="str">
        <f>IF(OR(D2343&lt;Capa!$A$5,D2343&gt;Capa!$A$7,E2343&lt;Capa!$A$5,E2343&gt;Capa!$A$7,D2343&gt;E2343),"Erro","")</f>
        <v/>
      </c>
    </row>
    <row r="2344" spans="1:9" ht="22.5">
      <c r="A2344" s="345">
        <v>2341</v>
      </c>
      <c r="B2344" s="346" t="s">
        <v>298</v>
      </c>
      <c r="C2344" s="347">
        <v>2500</v>
      </c>
      <c r="D2344" s="348">
        <v>45566</v>
      </c>
      <c r="E2344" s="348">
        <v>45627</v>
      </c>
      <c r="F2344" s="346" t="s">
        <v>641</v>
      </c>
      <c r="G2344" s="350" t="s">
        <v>458</v>
      </c>
      <c r="H2344" s="351">
        <f t="shared" si="40"/>
        <v>7500</v>
      </c>
      <c r="I2344" s="120" t="str">
        <f>IF(OR(D2344&lt;Capa!$A$5,D2344&gt;Capa!$A$7,E2344&lt;Capa!$A$5,E2344&gt;Capa!$A$7,D2344&gt;E2344),"Erro","")</f>
        <v/>
      </c>
    </row>
    <row r="2345" spans="1:9" ht="22.5">
      <c r="A2345" s="345">
        <v>2342</v>
      </c>
      <c r="B2345" s="346" t="s">
        <v>298</v>
      </c>
      <c r="C2345" s="347">
        <v>2646</v>
      </c>
      <c r="D2345" s="348">
        <v>45658</v>
      </c>
      <c r="E2345" s="348">
        <v>45992</v>
      </c>
      <c r="F2345" s="346" t="s">
        <v>641</v>
      </c>
      <c r="G2345" s="350" t="s">
        <v>458</v>
      </c>
      <c r="H2345" s="351">
        <f t="shared" si="40"/>
        <v>31752</v>
      </c>
      <c r="I2345" s="120" t="str">
        <f>IF(OR(D2345&lt;Capa!$A$5,D2345&gt;Capa!$A$7,E2345&lt;Capa!$A$5,E2345&gt;Capa!$A$7,D2345&gt;E2345),"Erro","")</f>
        <v/>
      </c>
    </row>
    <row r="2346" spans="1:9" ht="22.5">
      <c r="A2346" s="345">
        <v>2343</v>
      </c>
      <c r="B2346" s="346" t="s">
        <v>298</v>
      </c>
      <c r="C2346" s="347">
        <v>2800.52</v>
      </c>
      <c r="D2346" s="348">
        <v>46023</v>
      </c>
      <c r="E2346" s="348">
        <v>46357</v>
      </c>
      <c r="F2346" s="346" t="s">
        <v>641</v>
      </c>
      <c r="G2346" s="350" t="s">
        <v>458</v>
      </c>
      <c r="H2346" s="351">
        <f t="shared" si="40"/>
        <v>33606.239999999998</v>
      </c>
      <c r="I2346" s="120" t="str">
        <f>IF(OR(D2346&lt;Capa!$A$5,D2346&gt;Capa!$A$7,E2346&lt;Capa!$A$5,E2346&gt;Capa!$A$7,D2346&gt;E2346),"Erro","")</f>
        <v/>
      </c>
    </row>
    <row r="2347" spans="1:9" ht="22.5">
      <c r="A2347" s="345">
        <v>2344</v>
      </c>
      <c r="B2347" s="346" t="s">
        <v>298</v>
      </c>
      <c r="C2347" s="347">
        <v>2964.07</v>
      </c>
      <c r="D2347" s="348">
        <v>46388</v>
      </c>
      <c r="E2347" s="348">
        <v>46722</v>
      </c>
      <c r="F2347" s="346" t="s">
        <v>641</v>
      </c>
      <c r="G2347" s="350" t="s">
        <v>458</v>
      </c>
      <c r="H2347" s="351">
        <f t="shared" si="40"/>
        <v>35568.840000000004</v>
      </c>
      <c r="I2347" s="120" t="str">
        <f>IF(OR(D2347&lt;Capa!$A$5,D2347&gt;Capa!$A$7,E2347&lt;Capa!$A$5,E2347&gt;Capa!$A$7,D2347&gt;E2347),"Erro","")</f>
        <v/>
      </c>
    </row>
    <row r="2348" spans="1:9" ht="22.5">
      <c r="A2348" s="345">
        <v>2345</v>
      </c>
      <c r="B2348" s="346" t="s">
        <v>298</v>
      </c>
      <c r="C2348" s="347">
        <v>3137.17</v>
      </c>
      <c r="D2348" s="348">
        <v>46753</v>
      </c>
      <c r="E2348" s="348">
        <v>47058</v>
      </c>
      <c r="F2348" s="346" t="s">
        <v>641</v>
      </c>
      <c r="G2348" s="350" t="s">
        <v>458</v>
      </c>
      <c r="H2348" s="351">
        <f t="shared" si="40"/>
        <v>34508.870000000003</v>
      </c>
      <c r="I2348" s="120" t="str">
        <f>IF(OR(D2348&lt;Capa!$A$5,D2348&gt;Capa!$A$7,E2348&lt;Capa!$A$5,E2348&gt;Capa!$A$7,D2348&gt;E2348),"Erro","")</f>
        <v/>
      </c>
    </row>
    <row r="2349" spans="1:9" ht="33.75">
      <c r="A2349" s="345">
        <v>2346</v>
      </c>
      <c r="B2349" s="346" t="s">
        <v>238</v>
      </c>
      <c r="C2349" s="347">
        <v>370.44</v>
      </c>
      <c r="D2349" s="348">
        <v>45658</v>
      </c>
      <c r="E2349" s="348">
        <v>45992</v>
      </c>
      <c r="F2349" s="346" t="s">
        <v>641</v>
      </c>
      <c r="G2349" s="350" t="s">
        <v>459</v>
      </c>
      <c r="H2349" s="351">
        <f t="shared" si="40"/>
        <v>4445.28</v>
      </c>
      <c r="I2349" s="120" t="str">
        <f>IF(OR(D2349&lt;Capa!$A$5,D2349&gt;Capa!$A$7,E2349&lt;Capa!$A$5,E2349&gt;Capa!$A$7,D2349&gt;E2349),"Erro","")</f>
        <v/>
      </c>
    </row>
    <row r="2350" spans="1:9" ht="33.75">
      <c r="A2350" s="345">
        <v>2347</v>
      </c>
      <c r="B2350" s="346" t="s">
        <v>238</v>
      </c>
      <c r="C2350" s="347">
        <v>392.07</v>
      </c>
      <c r="D2350" s="348">
        <v>46023</v>
      </c>
      <c r="E2350" s="348">
        <v>46357</v>
      </c>
      <c r="F2350" s="346" t="s">
        <v>641</v>
      </c>
      <c r="G2350" s="350" t="s">
        <v>459</v>
      </c>
      <c r="H2350" s="351">
        <f t="shared" si="40"/>
        <v>4704.84</v>
      </c>
      <c r="I2350" s="120" t="str">
        <f>IF(OR(D2350&lt;Capa!$A$5,D2350&gt;Capa!$A$7,E2350&lt;Capa!$A$5,E2350&gt;Capa!$A$7,D2350&gt;E2350),"Erro","")</f>
        <v/>
      </c>
    </row>
    <row r="2351" spans="1:9" ht="33.75">
      <c r="A2351" s="345">
        <v>2348</v>
      </c>
      <c r="B2351" s="346" t="s">
        <v>238</v>
      </c>
      <c r="C2351" s="347">
        <v>414.97</v>
      </c>
      <c r="D2351" s="348">
        <v>46388</v>
      </c>
      <c r="E2351" s="348">
        <v>46722</v>
      </c>
      <c r="F2351" s="346" t="s">
        <v>641</v>
      </c>
      <c r="G2351" s="350" t="s">
        <v>459</v>
      </c>
      <c r="H2351" s="351">
        <f t="shared" si="40"/>
        <v>4979.6400000000003</v>
      </c>
      <c r="I2351" s="120" t="str">
        <f>IF(OR(D2351&lt;Capa!$A$5,D2351&gt;Capa!$A$7,E2351&lt;Capa!$A$5,E2351&gt;Capa!$A$7,D2351&gt;E2351),"Erro","")</f>
        <v/>
      </c>
    </row>
    <row r="2352" spans="1:9" ht="33.75">
      <c r="A2352" s="345">
        <v>2349</v>
      </c>
      <c r="B2352" s="346" t="s">
        <v>238</v>
      </c>
      <c r="C2352" s="347">
        <v>439.21</v>
      </c>
      <c r="D2352" s="348">
        <v>46753</v>
      </c>
      <c r="E2352" s="348">
        <v>47058</v>
      </c>
      <c r="F2352" s="346" t="s">
        <v>641</v>
      </c>
      <c r="G2352" s="350" t="s">
        <v>459</v>
      </c>
      <c r="H2352" s="351">
        <f t="shared" si="40"/>
        <v>4831.3099999999995</v>
      </c>
      <c r="I2352" s="120" t="str">
        <f>IF(OR(D2352&lt;Capa!$A$5,D2352&gt;Capa!$A$7,E2352&lt;Capa!$A$5,E2352&gt;Capa!$A$7,D2352&gt;E2352),"Erro","")</f>
        <v/>
      </c>
    </row>
    <row r="2353" spans="1:9" ht="56.25">
      <c r="A2353" s="345">
        <v>2350</v>
      </c>
      <c r="B2353" s="346" t="s">
        <v>252</v>
      </c>
      <c r="C2353" s="347">
        <v>7000</v>
      </c>
      <c r="D2353" s="348">
        <v>45627</v>
      </c>
      <c r="E2353" s="348">
        <v>45627</v>
      </c>
      <c r="F2353" s="346" t="s">
        <v>641</v>
      </c>
      <c r="G2353" s="350" t="s">
        <v>460</v>
      </c>
      <c r="H2353" s="351">
        <f t="shared" si="40"/>
        <v>7000</v>
      </c>
      <c r="I2353" s="120" t="str">
        <f>IF(OR(D2353&lt;Capa!$A$5,D2353&gt;Capa!$A$7,E2353&lt;Capa!$A$5,E2353&gt;Capa!$A$7,D2353&gt;E2353),"Erro","")</f>
        <v/>
      </c>
    </row>
    <row r="2354" spans="1:9" ht="56.25">
      <c r="A2354" s="345">
        <v>2351</v>
      </c>
      <c r="B2354" s="346" t="s">
        <v>252</v>
      </c>
      <c r="C2354" s="347">
        <v>7408.8</v>
      </c>
      <c r="D2354" s="348">
        <v>45658</v>
      </c>
      <c r="E2354" s="348">
        <v>45992</v>
      </c>
      <c r="F2354" s="346" t="s">
        <v>641</v>
      </c>
      <c r="G2354" s="350" t="s">
        <v>460</v>
      </c>
      <c r="H2354" s="351">
        <f t="shared" si="40"/>
        <v>88905.600000000006</v>
      </c>
      <c r="I2354" s="120" t="str">
        <f>IF(OR(D2354&lt;Capa!$A$5,D2354&gt;Capa!$A$7,E2354&lt;Capa!$A$5,E2354&gt;Capa!$A$7,D2354&gt;E2354),"Erro","")</f>
        <v/>
      </c>
    </row>
    <row r="2355" spans="1:9" ht="56.25">
      <c r="A2355" s="345">
        <v>2352</v>
      </c>
      <c r="B2355" s="346" t="s">
        <v>252</v>
      </c>
      <c r="C2355" s="347">
        <v>7847.65</v>
      </c>
      <c r="D2355" s="348">
        <v>46023</v>
      </c>
      <c r="E2355" s="348">
        <v>46357</v>
      </c>
      <c r="F2355" s="346" t="s">
        <v>641</v>
      </c>
      <c r="G2355" s="350" t="s">
        <v>460</v>
      </c>
      <c r="H2355" s="351">
        <f t="shared" ref="H2355:H2428" si="41">IFERROR((DATEDIF(D2355,E2355,"M")+1)*C2355,0)</f>
        <v>94171.799999999988</v>
      </c>
      <c r="I2355" s="120" t="str">
        <f>IF(OR(D2355&lt;Capa!$A$5,D2355&gt;Capa!$A$7,E2355&lt;Capa!$A$5,E2355&gt;Capa!$A$7,D2355&gt;E2355),"Erro","")</f>
        <v/>
      </c>
    </row>
    <row r="2356" spans="1:9" ht="56.25">
      <c r="A2356" s="345">
        <v>2353</v>
      </c>
      <c r="B2356" s="346" t="s">
        <v>252</v>
      </c>
      <c r="C2356" s="347">
        <v>8305.9500000000007</v>
      </c>
      <c r="D2356" s="348">
        <v>46388</v>
      </c>
      <c r="E2356" s="348">
        <v>46722</v>
      </c>
      <c r="F2356" s="346" t="s">
        <v>641</v>
      </c>
      <c r="G2356" s="350" t="s">
        <v>460</v>
      </c>
      <c r="H2356" s="351">
        <f t="shared" si="41"/>
        <v>99671.400000000009</v>
      </c>
      <c r="I2356" s="120" t="str">
        <f>IF(OR(D2356&lt;Capa!$A$5,D2356&gt;Capa!$A$7,E2356&lt;Capa!$A$5,E2356&gt;Capa!$A$7,D2356&gt;E2356),"Erro","")</f>
        <v/>
      </c>
    </row>
    <row r="2357" spans="1:9" ht="56.25">
      <c r="A2357" s="345">
        <v>2354</v>
      </c>
      <c r="B2357" s="346" t="s">
        <v>252</v>
      </c>
      <c r="C2357" s="347">
        <v>8791.02</v>
      </c>
      <c r="D2357" s="348">
        <v>46753</v>
      </c>
      <c r="E2357" s="348">
        <v>47058</v>
      </c>
      <c r="F2357" s="346" t="s">
        <v>641</v>
      </c>
      <c r="G2357" s="350" t="s">
        <v>460</v>
      </c>
      <c r="H2357" s="351">
        <f t="shared" si="41"/>
        <v>96701.22</v>
      </c>
      <c r="I2357" s="120" t="str">
        <f>IF(OR(D2357&lt;Capa!$A$5,D2357&gt;Capa!$A$7,E2357&lt;Capa!$A$5,E2357&gt;Capa!$A$7,D2357&gt;E2357),"Erro","")</f>
        <v/>
      </c>
    </row>
    <row r="2358" spans="1:9" ht="45">
      <c r="A2358" s="345">
        <v>2355</v>
      </c>
      <c r="B2358" s="346" t="s">
        <v>320</v>
      </c>
      <c r="C2358" s="347">
        <v>130000</v>
      </c>
      <c r="D2358" s="348">
        <v>45566</v>
      </c>
      <c r="E2358" s="348">
        <v>45566</v>
      </c>
      <c r="F2358" s="346" t="s">
        <v>641</v>
      </c>
      <c r="G2358" s="350" t="s">
        <v>617</v>
      </c>
      <c r="H2358" s="351">
        <f t="shared" si="41"/>
        <v>130000</v>
      </c>
      <c r="I2358" s="120" t="str">
        <f>IF(OR(D2358&lt;Capa!$A$5,D2358&gt;Capa!$A$7,E2358&lt;Capa!$A$5,E2358&gt;Capa!$A$7,D2358&gt;E2358),"Erro","")</f>
        <v/>
      </c>
    </row>
    <row r="2359" spans="1:9" ht="33.75">
      <c r="A2359" s="345">
        <v>2356</v>
      </c>
      <c r="B2359" s="346" t="s">
        <v>651</v>
      </c>
      <c r="C2359" s="347">
        <v>180</v>
      </c>
      <c r="D2359" s="348">
        <v>45597</v>
      </c>
      <c r="E2359" s="348">
        <v>47058</v>
      </c>
      <c r="F2359" s="346" t="s">
        <v>641</v>
      </c>
      <c r="G2359" s="350" t="s">
        <v>710</v>
      </c>
      <c r="H2359" s="351">
        <f t="shared" si="41"/>
        <v>8820</v>
      </c>
      <c r="I2359" s="120" t="str">
        <f>IF(OR(D2359&lt;Capa!$A$5,D2359&gt;Capa!$A$7,E2359&lt;Capa!$A$5,E2359&gt;Capa!$A$7,D2359&gt;E2359),"Erro","")</f>
        <v/>
      </c>
    </row>
    <row r="2360" spans="1:9" ht="22.5">
      <c r="A2360" s="345">
        <v>2357</v>
      </c>
      <c r="B2360" s="346" t="s">
        <v>653</v>
      </c>
      <c r="C2360" s="347">
        <v>1930</v>
      </c>
      <c r="D2360" s="348">
        <v>45658</v>
      </c>
      <c r="E2360" s="348">
        <v>47058</v>
      </c>
      <c r="F2360" s="346" t="s">
        <v>641</v>
      </c>
      <c r="G2360" s="350" t="s">
        <v>712</v>
      </c>
      <c r="H2360" s="351">
        <f t="shared" si="41"/>
        <v>90710</v>
      </c>
      <c r="I2360" s="120" t="str">
        <f>IF(OR(D2360&lt;Capa!$A$5,D2360&gt;Capa!$A$7,E2360&lt;Capa!$A$5,E2360&gt;Capa!$A$7,D2360&gt;E2360),"Erro","")</f>
        <v/>
      </c>
    </row>
    <row r="2361" spans="1:9" ht="45">
      <c r="A2361" s="345">
        <v>2358</v>
      </c>
      <c r="B2361" s="346" t="s">
        <v>652</v>
      </c>
      <c r="C2361" s="347">
        <v>15000</v>
      </c>
      <c r="D2361" s="348">
        <v>45597</v>
      </c>
      <c r="E2361" s="348">
        <v>45597</v>
      </c>
      <c r="F2361" s="346" t="s">
        <v>641</v>
      </c>
      <c r="G2361" s="350" t="s">
        <v>624</v>
      </c>
      <c r="H2361" s="351">
        <f t="shared" si="41"/>
        <v>15000</v>
      </c>
      <c r="I2361" s="120" t="str">
        <f>IF(OR(D2361&lt;Capa!$A$5,D2361&gt;Capa!$A$7,E2361&lt;Capa!$A$5,E2361&gt;Capa!$A$7,D2361&gt;E2361),"Erro","")</f>
        <v/>
      </c>
    </row>
    <row r="2362" spans="1:9" ht="45">
      <c r="A2362" s="345">
        <v>2359</v>
      </c>
      <c r="B2362" s="346" t="s">
        <v>652</v>
      </c>
      <c r="C2362" s="347">
        <v>10000</v>
      </c>
      <c r="D2362" s="348">
        <v>46054</v>
      </c>
      <c r="E2362" s="348">
        <v>46054</v>
      </c>
      <c r="F2362" s="346" t="s">
        <v>641</v>
      </c>
      <c r="G2362" s="350" t="s">
        <v>624</v>
      </c>
      <c r="H2362" s="351">
        <f t="shared" si="41"/>
        <v>10000</v>
      </c>
      <c r="I2362" s="120" t="str">
        <f>IF(OR(D2362&lt;Capa!$A$5,D2362&gt;Capa!$A$7,E2362&lt;Capa!$A$5,E2362&gt;Capa!$A$7,D2362&gt;E2362),"Erro","")</f>
        <v/>
      </c>
    </row>
    <row r="2363" spans="1:9" ht="33.75">
      <c r="A2363" s="345">
        <v>2360</v>
      </c>
      <c r="B2363" s="346" t="s">
        <v>650</v>
      </c>
      <c r="C2363" s="347">
        <v>70</v>
      </c>
      <c r="D2363" s="348">
        <v>45658</v>
      </c>
      <c r="E2363" s="348">
        <v>47058</v>
      </c>
      <c r="F2363" s="346" t="s">
        <v>641</v>
      </c>
      <c r="G2363" s="350" t="s">
        <v>711</v>
      </c>
      <c r="H2363" s="351">
        <f t="shared" si="41"/>
        <v>3290</v>
      </c>
      <c r="I2363" s="120" t="str">
        <f>IF(OR(D2363&lt;Capa!$A$5,D2363&gt;Capa!$A$7,E2363&lt;Capa!$A$5,E2363&gt;Capa!$A$7,D2363&gt;E2363),"Erro","")</f>
        <v/>
      </c>
    </row>
    <row r="2364" spans="1:9" ht="33.75">
      <c r="A2364" s="345">
        <v>2361</v>
      </c>
      <c r="B2364" s="346" t="s">
        <v>648</v>
      </c>
      <c r="C2364" s="347">
        <v>3604</v>
      </c>
      <c r="D2364" s="348">
        <v>45597</v>
      </c>
      <c r="E2364" s="348">
        <v>45597</v>
      </c>
      <c r="F2364" s="346" t="s">
        <v>641</v>
      </c>
      <c r="G2364" s="350" t="s">
        <v>670</v>
      </c>
      <c r="H2364" s="351">
        <f t="shared" si="41"/>
        <v>3604</v>
      </c>
      <c r="I2364" s="120" t="str">
        <f>IF(OR(D2364&lt;Capa!$A$5,D2364&gt;Capa!$A$7,E2364&lt;Capa!$A$5,E2364&gt;Capa!$A$7,D2364&gt;E2364),"Erro","")</f>
        <v/>
      </c>
    </row>
    <row r="2365" spans="1:9" ht="33.75">
      <c r="A2365" s="345">
        <v>2362</v>
      </c>
      <c r="B2365" s="346" t="s">
        <v>648</v>
      </c>
      <c r="C2365" s="347">
        <v>3604</v>
      </c>
      <c r="D2365" s="348">
        <v>45658</v>
      </c>
      <c r="E2365" s="348">
        <v>45658</v>
      </c>
      <c r="F2365" s="346" t="s">
        <v>641</v>
      </c>
      <c r="G2365" s="350" t="s">
        <v>670</v>
      </c>
      <c r="H2365" s="351">
        <f t="shared" si="41"/>
        <v>3604</v>
      </c>
      <c r="I2365" s="120" t="str">
        <f>IF(OR(D2365&lt;Capa!$A$5,D2365&gt;Capa!$A$7,E2365&lt;Capa!$A$5,E2365&gt;Capa!$A$7,D2365&gt;E2365),"Erro","")</f>
        <v/>
      </c>
    </row>
    <row r="2366" spans="1:9" ht="33.75">
      <c r="A2366" s="345">
        <v>2363</v>
      </c>
      <c r="B2366" s="346" t="s">
        <v>648</v>
      </c>
      <c r="C2366" s="347">
        <v>3820.24</v>
      </c>
      <c r="D2366" s="348">
        <v>46023</v>
      </c>
      <c r="E2366" s="348">
        <v>46023</v>
      </c>
      <c r="F2366" s="346" t="s">
        <v>641</v>
      </c>
      <c r="G2366" s="350" t="s">
        <v>670</v>
      </c>
      <c r="H2366" s="351">
        <f t="shared" si="41"/>
        <v>3820.24</v>
      </c>
      <c r="I2366" s="120" t="str">
        <f>IF(OR(D2366&lt;Capa!$A$5,D2366&gt;Capa!$A$7,E2366&lt;Capa!$A$5,E2366&gt;Capa!$A$7,D2366&gt;E2366),"Erro","")</f>
        <v/>
      </c>
    </row>
    <row r="2367" spans="1:9" ht="33.75">
      <c r="A2367" s="345">
        <v>2364</v>
      </c>
      <c r="B2367" s="346" t="s">
        <v>648</v>
      </c>
      <c r="C2367" s="347">
        <v>4049.45</v>
      </c>
      <c r="D2367" s="348">
        <v>46388</v>
      </c>
      <c r="E2367" s="348">
        <v>46388</v>
      </c>
      <c r="F2367" s="346" t="s">
        <v>641</v>
      </c>
      <c r="G2367" s="350" t="s">
        <v>670</v>
      </c>
      <c r="H2367" s="351">
        <f t="shared" si="41"/>
        <v>4049.45</v>
      </c>
      <c r="I2367" s="120" t="str">
        <f>IF(OR(D2367&lt;Capa!$A$5,D2367&gt;Capa!$A$7,E2367&lt;Capa!$A$5,E2367&gt;Capa!$A$7,D2367&gt;E2367),"Erro","")</f>
        <v/>
      </c>
    </row>
    <row r="2368" spans="1:9" ht="33.75">
      <c r="A2368" s="345">
        <v>2365</v>
      </c>
      <c r="B2368" s="346" t="s">
        <v>648</v>
      </c>
      <c r="C2368" s="347">
        <v>4292.42</v>
      </c>
      <c r="D2368" s="348">
        <v>46753</v>
      </c>
      <c r="E2368" s="348">
        <v>46753</v>
      </c>
      <c r="F2368" s="346" t="s">
        <v>641</v>
      </c>
      <c r="G2368" s="350" t="s">
        <v>670</v>
      </c>
      <c r="H2368" s="351">
        <f t="shared" si="41"/>
        <v>4292.42</v>
      </c>
      <c r="I2368" s="120" t="str">
        <f>IF(OR(D2368&lt;Capa!$A$5,D2368&gt;Capa!$A$7,E2368&lt;Capa!$A$5,E2368&gt;Capa!$A$7,D2368&gt;E2368),"Erro","")</f>
        <v/>
      </c>
    </row>
    <row r="2369" spans="1:9" ht="33.75">
      <c r="A2369" s="345">
        <v>2366</v>
      </c>
      <c r="B2369" s="346" t="s">
        <v>649</v>
      </c>
      <c r="C2369" s="347">
        <v>1643</v>
      </c>
      <c r="D2369" s="348">
        <v>45292</v>
      </c>
      <c r="E2369" s="348">
        <v>47058</v>
      </c>
      <c r="F2369" s="346" t="s">
        <v>641</v>
      </c>
      <c r="G2369" s="350" t="s">
        <v>705</v>
      </c>
      <c r="H2369" s="351">
        <f t="shared" si="41"/>
        <v>96937</v>
      </c>
      <c r="I2369" s="120" t="str">
        <f>IF(OR(D2369&lt;Capa!$A$5,D2369&gt;Capa!$A$7,E2369&lt;Capa!$A$5,E2369&gt;Capa!$A$7,D2369&gt;E2369),"Erro","")</f>
        <v/>
      </c>
    </row>
    <row r="2370" spans="1:9" ht="33.75">
      <c r="A2370" s="345">
        <v>2367</v>
      </c>
      <c r="B2370" s="346" t="s">
        <v>654</v>
      </c>
      <c r="C2370" s="347">
        <v>1100</v>
      </c>
      <c r="D2370" s="348">
        <v>45658</v>
      </c>
      <c r="E2370" s="348">
        <v>47058</v>
      </c>
      <c r="F2370" s="346" t="s">
        <v>641</v>
      </c>
      <c r="G2370" s="350" t="s">
        <v>706</v>
      </c>
      <c r="H2370" s="351">
        <f t="shared" si="41"/>
        <v>51700</v>
      </c>
      <c r="I2370" s="120" t="str">
        <f>IF(OR(D2370&lt;Capa!$A$5,D2370&gt;Capa!$A$7,E2370&lt;Capa!$A$5,E2370&gt;Capa!$A$7,D2370&gt;E2370),"Erro","")</f>
        <v/>
      </c>
    </row>
    <row r="2371" spans="1:9" ht="22.5">
      <c r="A2371" s="345">
        <v>2368</v>
      </c>
      <c r="B2371" s="346" t="s">
        <v>656</v>
      </c>
      <c r="C2371" s="347">
        <v>200</v>
      </c>
      <c r="D2371" s="348">
        <v>45658</v>
      </c>
      <c r="E2371" s="348">
        <v>47058</v>
      </c>
      <c r="F2371" s="346" t="s">
        <v>641</v>
      </c>
      <c r="G2371" s="350" t="s">
        <v>707</v>
      </c>
      <c r="H2371" s="351">
        <f t="shared" si="41"/>
        <v>9400</v>
      </c>
      <c r="I2371" s="120" t="str">
        <f>IF(OR(D2371&lt;Capa!$A$5,D2371&gt;Capa!$A$7,E2371&lt;Capa!$A$5,E2371&gt;Capa!$A$7,D2371&gt;E2371),"Erro","")</f>
        <v/>
      </c>
    </row>
    <row r="2372" spans="1:9" ht="22.5">
      <c r="A2372" s="345">
        <v>2369</v>
      </c>
      <c r="B2372" s="346" t="s">
        <v>658</v>
      </c>
      <c r="C2372" s="347">
        <v>50</v>
      </c>
      <c r="D2372" s="348">
        <v>45627</v>
      </c>
      <c r="E2372" s="348">
        <v>47058</v>
      </c>
      <c r="F2372" s="346" t="s">
        <v>641</v>
      </c>
      <c r="G2372" s="350" t="s">
        <v>709</v>
      </c>
      <c r="H2372" s="351">
        <f t="shared" si="41"/>
        <v>2400</v>
      </c>
      <c r="I2372" s="120" t="str">
        <f>IF(OR(D2372&lt;Capa!$A$5,D2372&gt;Capa!$A$7,E2372&lt;Capa!$A$5,E2372&gt;Capa!$A$7,D2372&gt;E2372),"Erro","")</f>
        <v/>
      </c>
    </row>
    <row r="2373" spans="1:9" ht="33.75">
      <c r="A2373" s="345">
        <v>2370</v>
      </c>
      <c r="B2373" s="346" t="s">
        <v>657</v>
      </c>
      <c r="C2373" s="347">
        <v>350</v>
      </c>
      <c r="D2373" s="348">
        <v>45658</v>
      </c>
      <c r="E2373" s="348">
        <v>47058</v>
      </c>
      <c r="F2373" s="346" t="s">
        <v>641</v>
      </c>
      <c r="G2373" s="350" t="s">
        <v>708</v>
      </c>
      <c r="H2373" s="351">
        <f t="shared" si="41"/>
        <v>16450</v>
      </c>
      <c r="I2373" s="120" t="str">
        <f>IF(OR(D2373&lt;Capa!$A$5,D2373&gt;Capa!$A$7,E2373&lt;Capa!$A$5,E2373&gt;Capa!$A$7,D2373&gt;E2373),"Erro","")</f>
        <v/>
      </c>
    </row>
    <row r="2374" spans="1:9" ht="45">
      <c r="A2374" s="345">
        <v>2371</v>
      </c>
      <c r="B2374" s="346" t="s">
        <v>320</v>
      </c>
      <c r="C2374" s="347">
        <v>4545.7737500000003</v>
      </c>
      <c r="D2374" s="348">
        <v>45778</v>
      </c>
      <c r="E2374" s="348">
        <v>45992</v>
      </c>
      <c r="F2374" s="346" t="s">
        <v>641</v>
      </c>
      <c r="G2374" s="350" t="s">
        <v>596</v>
      </c>
      <c r="H2374" s="351">
        <f t="shared" si="41"/>
        <v>36366.19</v>
      </c>
    </row>
    <row r="2375" spans="1:9" ht="45">
      <c r="A2375" s="345">
        <v>2372</v>
      </c>
      <c r="B2375" s="346" t="s">
        <v>320</v>
      </c>
      <c r="C2375" s="347">
        <v>250</v>
      </c>
      <c r="D2375" s="348">
        <v>45748</v>
      </c>
      <c r="E2375" s="348">
        <v>47058</v>
      </c>
      <c r="F2375" s="346" t="s">
        <v>641</v>
      </c>
      <c r="G2375" s="350" t="s">
        <v>596</v>
      </c>
      <c r="H2375" s="351">
        <f t="shared" si="41"/>
        <v>11000</v>
      </c>
      <c r="I2375" s="120" t="str">
        <f>IF(OR(D2375&lt;Capa!$A$5,D2375&gt;Capa!$A$7,E2375&lt;Capa!$A$5,E2375&gt;Capa!$A$7,D2375&gt;E2375),"Erro","")</f>
        <v/>
      </c>
    </row>
    <row r="2376" spans="1:9" ht="22.5">
      <c r="A2376" s="345">
        <v>2373</v>
      </c>
      <c r="B2376" s="346" t="s">
        <v>198</v>
      </c>
      <c r="C2376" s="347">
        <v>12000</v>
      </c>
      <c r="D2376" s="348">
        <v>45627</v>
      </c>
      <c r="E2376" s="348">
        <v>45627</v>
      </c>
      <c r="F2376" s="346" t="s">
        <v>642</v>
      </c>
      <c r="G2376" s="350" t="s">
        <v>438</v>
      </c>
      <c r="H2376" s="351">
        <f t="shared" si="41"/>
        <v>12000</v>
      </c>
      <c r="I2376" s="120" t="str">
        <f>IF(OR(D2376&lt;Capa!$A$5,D2376&gt;Capa!$A$7,E2376&lt;Capa!$A$5,E2376&gt;Capa!$A$7,D2376&gt;E2376),"Erro","")</f>
        <v/>
      </c>
    </row>
    <row r="2377" spans="1:9" ht="22.5">
      <c r="A2377" s="345">
        <v>2374</v>
      </c>
      <c r="B2377" s="346" t="s">
        <v>198</v>
      </c>
      <c r="C2377" s="347">
        <v>12700.8</v>
      </c>
      <c r="D2377" s="348">
        <v>45658</v>
      </c>
      <c r="E2377" s="348">
        <v>45992</v>
      </c>
      <c r="F2377" s="346" t="s">
        <v>642</v>
      </c>
      <c r="G2377" s="350" t="s">
        <v>438</v>
      </c>
      <c r="H2377" s="351">
        <f t="shared" si="41"/>
        <v>152409.59999999998</v>
      </c>
      <c r="I2377" s="120" t="str">
        <f>IF(OR(D2377&lt;Capa!$A$5,D2377&gt;Capa!$A$7,E2377&lt;Capa!$A$5,E2377&gt;Capa!$A$7,D2377&gt;E2377),"Erro","")</f>
        <v/>
      </c>
    </row>
    <row r="2378" spans="1:9" ht="22.5">
      <c r="A2378" s="345">
        <v>2375</v>
      </c>
      <c r="B2378" s="346" t="s">
        <v>198</v>
      </c>
      <c r="C2378" s="347">
        <v>13442.53</v>
      </c>
      <c r="D2378" s="348">
        <v>46023</v>
      </c>
      <c r="E2378" s="348">
        <v>46357</v>
      </c>
      <c r="F2378" s="346" t="s">
        <v>642</v>
      </c>
      <c r="G2378" s="350" t="s">
        <v>438</v>
      </c>
      <c r="H2378" s="351">
        <f t="shared" si="41"/>
        <v>161310.36000000002</v>
      </c>
      <c r="I2378" s="120" t="str">
        <f>IF(OR(D2378&lt;Capa!$A$5,D2378&gt;Capa!$A$7,E2378&lt;Capa!$A$5,E2378&gt;Capa!$A$7,D2378&gt;E2378),"Erro","")</f>
        <v/>
      </c>
    </row>
    <row r="2379" spans="1:9" ht="22.5">
      <c r="A2379" s="345">
        <v>2376</v>
      </c>
      <c r="B2379" s="346" t="s">
        <v>198</v>
      </c>
      <c r="C2379" s="347">
        <v>14227.57</v>
      </c>
      <c r="D2379" s="348">
        <v>46388</v>
      </c>
      <c r="E2379" s="348">
        <v>46722</v>
      </c>
      <c r="F2379" s="346" t="s">
        <v>642</v>
      </c>
      <c r="G2379" s="350" t="s">
        <v>438</v>
      </c>
      <c r="H2379" s="351">
        <f t="shared" si="41"/>
        <v>170730.84</v>
      </c>
      <c r="I2379" s="120" t="str">
        <f>IF(OR(D2379&lt;Capa!$A$5,D2379&gt;Capa!$A$7,E2379&lt;Capa!$A$5,E2379&gt;Capa!$A$7,D2379&gt;E2379),"Erro","")</f>
        <v/>
      </c>
    </row>
    <row r="2380" spans="1:9" ht="22.5">
      <c r="A2380" s="345">
        <v>2377</v>
      </c>
      <c r="B2380" s="346" t="s">
        <v>198</v>
      </c>
      <c r="C2380" s="347">
        <v>15058.46</v>
      </c>
      <c r="D2380" s="348">
        <v>46753</v>
      </c>
      <c r="E2380" s="348">
        <v>47058</v>
      </c>
      <c r="F2380" s="346" t="s">
        <v>642</v>
      </c>
      <c r="G2380" s="350" t="s">
        <v>438</v>
      </c>
      <c r="H2380" s="351">
        <f t="shared" si="41"/>
        <v>165643.06</v>
      </c>
      <c r="I2380" s="120" t="str">
        <f>IF(OR(D2380&lt;Capa!$A$5,D2380&gt;Capa!$A$7,E2380&lt;Capa!$A$5,E2380&gt;Capa!$A$7,D2380&gt;E2380),"Erro","")</f>
        <v/>
      </c>
    </row>
    <row r="2381" spans="1:9" ht="22.5">
      <c r="A2381" s="345">
        <v>2378</v>
      </c>
      <c r="B2381" s="346" t="s">
        <v>202</v>
      </c>
      <c r="C2381" s="347">
        <v>2180.6999999999998</v>
      </c>
      <c r="D2381" s="348">
        <v>45658</v>
      </c>
      <c r="E2381" s="348">
        <v>45717</v>
      </c>
      <c r="F2381" s="346" t="s">
        <v>642</v>
      </c>
      <c r="G2381" s="350" t="s">
        <v>439</v>
      </c>
      <c r="H2381" s="351">
        <f t="shared" si="41"/>
        <v>6542.0999999999995</v>
      </c>
      <c r="I2381" s="120" t="str">
        <f>IF(OR(D2381&lt;Capa!$A$5,D2381&gt;Capa!$A$7,E2381&lt;Capa!$A$5,E2381&gt;Capa!$A$7,D2381&gt;E2381),"Erro","")</f>
        <v/>
      </c>
    </row>
    <row r="2382" spans="1:9" ht="22.5">
      <c r="A2382" s="345">
        <v>2379</v>
      </c>
      <c r="B2382" s="346" t="s">
        <v>202</v>
      </c>
      <c r="C2382" s="347">
        <v>2308.0500000000002</v>
      </c>
      <c r="D2382" s="348">
        <v>46023</v>
      </c>
      <c r="E2382" s="348">
        <v>46082</v>
      </c>
      <c r="F2382" s="346" t="s">
        <v>642</v>
      </c>
      <c r="G2382" s="350" t="s">
        <v>439</v>
      </c>
      <c r="H2382" s="351">
        <f t="shared" si="41"/>
        <v>6924.1500000000005</v>
      </c>
      <c r="I2382" s="120" t="str">
        <f>IF(OR(D2382&lt;Capa!$A$5,D2382&gt;Capa!$A$7,E2382&lt;Capa!$A$5,E2382&gt;Capa!$A$7,D2382&gt;E2382),"Erro","")</f>
        <v/>
      </c>
    </row>
    <row r="2383" spans="1:9" ht="22.5">
      <c r="A2383" s="345">
        <v>2380</v>
      </c>
      <c r="B2383" s="346" t="s">
        <v>202</v>
      </c>
      <c r="C2383" s="347">
        <v>2442.84</v>
      </c>
      <c r="D2383" s="348">
        <v>46388</v>
      </c>
      <c r="E2383" s="348">
        <v>46447</v>
      </c>
      <c r="F2383" s="346" t="s">
        <v>642</v>
      </c>
      <c r="G2383" s="350" t="s">
        <v>439</v>
      </c>
      <c r="H2383" s="351">
        <f t="shared" si="41"/>
        <v>7328.52</v>
      </c>
      <c r="I2383" s="120" t="str">
        <f>IF(OR(D2383&lt;Capa!$A$5,D2383&gt;Capa!$A$7,E2383&lt;Capa!$A$5,E2383&gt;Capa!$A$7,D2383&gt;E2383),"Erro","")</f>
        <v/>
      </c>
    </row>
    <row r="2384" spans="1:9" ht="22.5">
      <c r="A2384" s="345">
        <v>2381</v>
      </c>
      <c r="B2384" s="346" t="s">
        <v>202</v>
      </c>
      <c r="C2384" s="347">
        <v>2585.5</v>
      </c>
      <c r="D2384" s="348">
        <v>46753</v>
      </c>
      <c r="E2384" s="348">
        <v>46813</v>
      </c>
      <c r="F2384" s="346" t="s">
        <v>642</v>
      </c>
      <c r="G2384" s="350" t="s">
        <v>439</v>
      </c>
      <c r="H2384" s="351">
        <f t="shared" si="41"/>
        <v>7756.5</v>
      </c>
      <c r="I2384" s="120" t="str">
        <f>IF(OR(D2384&lt;Capa!$A$5,D2384&gt;Capa!$A$7,E2384&lt;Capa!$A$5,E2384&gt;Capa!$A$7,D2384&gt;E2384),"Erro","")</f>
        <v/>
      </c>
    </row>
    <row r="2385" spans="1:9" ht="22.5">
      <c r="A2385" s="345">
        <v>2382</v>
      </c>
      <c r="B2385" s="346" t="s">
        <v>204</v>
      </c>
      <c r="C2385" s="347">
        <v>2095.6</v>
      </c>
      <c r="D2385" s="348">
        <v>45627</v>
      </c>
      <c r="E2385" s="348">
        <v>45627</v>
      </c>
      <c r="F2385" s="346" t="s">
        <v>642</v>
      </c>
      <c r="G2385" s="350" t="s">
        <v>439</v>
      </c>
      <c r="H2385" s="351">
        <f t="shared" si="41"/>
        <v>2095.6</v>
      </c>
      <c r="I2385" s="120" t="str">
        <f>IF(OR(D2385&lt;Capa!$A$5,D2385&gt;Capa!$A$7,E2385&lt;Capa!$A$5,E2385&gt;Capa!$A$7,D2385&gt;E2385),"Erro","")</f>
        <v/>
      </c>
    </row>
    <row r="2386" spans="1:9" ht="22.5">
      <c r="A2386" s="345">
        <v>2383</v>
      </c>
      <c r="B2386" s="346" t="s">
        <v>204</v>
      </c>
      <c r="C2386" s="347">
        <v>2095.6</v>
      </c>
      <c r="D2386" s="348">
        <v>45658</v>
      </c>
      <c r="E2386" s="348">
        <v>45992</v>
      </c>
      <c r="F2386" s="346" t="s">
        <v>642</v>
      </c>
      <c r="G2386" s="350" t="s">
        <v>439</v>
      </c>
      <c r="H2386" s="351">
        <f t="shared" si="41"/>
        <v>25147.199999999997</v>
      </c>
      <c r="I2386" s="120" t="str">
        <f>IF(OR(D2386&lt;Capa!$A$5,D2386&gt;Capa!$A$7,E2386&lt;Capa!$A$5,E2386&gt;Capa!$A$7,D2386&gt;E2386),"Erro","")</f>
        <v/>
      </c>
    </row>
    <row r="2387" spans="1:9" ht="22.5">
      <c r="A2387" s="345">
        <v>2384</v>
      </c>
      <c r="B2387" s="346" t="s">
        <v>204</v>
      </c>
      <c r="C2387" s="347">
        <v>2095.6</v>
      </c>
      <c r="D2387" s="348">
        <v>46023</v>
      </c>
      <c r="E2387" s="348">
        <v>46357</v>
      </c>
      <c r="F2387" s="346" t="s">
        <v>642</v>
      </c>
      <c r="G2387" s="350" t="s">
        <v>439</v>
      </c>
      <c r="H2387" s="351">
        <f t="shared" si="41"/>
        <v>25147.199999999997</v>
      </c>
      <c r="I2387" s="120" t="str">
        <f>IF(OR(D2387&lt;Capa!$A$5,D2387&gt;Capa!$A$7,E2387&lt;Capa!$A$5,E2387&gt;Capa!$A$7,D2387&gt;E2387),"Erro","")</f>
        <v/>
      </c>
    </row>
    <row r="2388" spans="1:9" ht="22.5">
      <c r="A2388" s="345">
        <v>2385</v>
      </c>
      <c r="B2388" s="346" t="s">
        <v>204</v>
      </c>
      <c r="C2388" s="347">
        <v>2095.6</v>
      </c>
      <c r="D2388" s="348">
        <v>46388</v>
      </c>
      <c r="E2388" s="348">
        <v>46722</v>
      </c>
      <c r="F2388" s="346" t="s">
        <v>642</v>
      </c>
      <c r="G2388" s="350" t="s">
        <v>439</v>
      </c>
      <c r="H2388" s="351">
        <f t="shared" si="41"/>
        <v>25147.199999999997</v>
      </c>
      <c r="I2388" s="120" t="str">
        <f>IF(OR(D2388&lt;Capa!$A$5,D2388&gt;Capa!$A$7,E2388&lt;Capa!$A$5,E2388&gt;Capa!$A$7,D2388&gt;E2388),"Erro","")</f>
        <v/>
      </c>
    </row>
    <row r="2389" spans="1:9" ht="22.5">
      <c r="A2389" s="345">
        <v>2386</v>
      </c>
      <c r="B2389" s="346" t="s">
        <v>204</v>
      </c>
      <c r="C2389" s="347">
        <v>2095.6</v>
      </c>
      <c r="D2389" s="348">
        <v>46753</v>
      </c>
      <c r="E2389" s="348">
        <v>47058</v>
      </c>
      <c r="F2389" s="346" t="s">
        <v>642</v>
      </c>
      <c r="G2389" s="350" t="s">
        <v>439</v>
      </c>
      <c r="H2389" s="351">
        <f t="shared" si="41"/>
        <v>23051.599999999999</v>
      </c>
      <c r="I2389" s="120" t="str">
        <f>IF(OR(D2389&lt;Capa!$A$5,D2389&gt;Capa!$A$7,E2389&lt;Capa!$A$5,E2389&gt;Capa!$A$7,D2389&gt;E2389),"Erro","")</f>
        <v/>
      </c>
    </row>
    <row r="2390" spans="1:9" ht="22.5">
      <c r="A2390" s="345">
        <v>2387</v>
      </c>
      <c r="B2390" s="346" t="s">
        <v>206</v>
      </c>
      <c r="C2390" s="347">
        <v>1441.64</v>
      </c>
      <c r="D2390" s="348">
        <v>45627</v>
      </c>
      <c r="E2390" s="348">
        <v>45627</v>
      </c>
      <c r="F2390" s="346" t="s">
        <v>642</v>
      </c>
      <c r="G2390" s="350" t="s">
        <v>440</v>
      </c>
      <c r="H2390" s="351">
        <f t="shared" si="41"/>
        <v>1441.64</v>
      </c>
      <c r="I2390" s="120" t="str">
        <f>IF(OR(D2390&lt;Capa!$A$5,D2390&gt;Capa!$A$7,E2390&lt;Capa!$A$5,E2390&gt;Capa!$A$7,D2390&gt;E2390),"Erro","")</f>
        <v/>
      </c>
    </row>
    <row r="2391" spans="1:9" ht="22.5">
      <c r="A2391" s="345">
        <v>2388</v>
      </c>
      <c r="B2391" s="346" t="s">
        <v>206</v>
      </c>
      <c r="C2391" s="347">
        <v>1525.84</v>
      </c>
      <c r="D2391" s="348">
        <v>45658</v>
      </c>
      <c r="E2391" s="348">
        <v>45992</v>
      </c>
      <c r="F2391" s="346" t="s">
        <v>642</v>
      </c>
      <c r="G2391" s="350" t="s">
        <v>440</v>
      </c>
      <c r="H2391" s="351">
        <f t="shared" si="41"/>
        <v>18310.079999999998</v>
      </c>
      <c r="I2391" s="120" t="str">
        <f>IF(OR(D2391&lt;Capa!$A$5,D2391&gt;Capa!$A$7,E2391&lt;Capa!$A$5,E2391&gt;Capa!$A$7,D2391&gt;E2391),"Erro","")</f>
        <v/>
      </c>
    </row>
    <row r="2392" spans="1:9" ht="22.5">
      <c r="A2392" s="345">
        <v>2389</v>
      </c>
      <c r="B2392" s="346" t="s">
        <v>206</v>
      </c>
      <c r="C2392" s="347">
        <v>1614.95</v>
      </c>
      <c r="D2392" s="348">
        <v>46023</v>
      </c>
      <c r="E2392" s="348">
        <v>46357</v>
      </c>
      <c r="F2392" s="346" t="s">
        <v>642</v>
      </c>
      <c r="G2392" s="350" t="s">
        <v>440</v>
      </c>
      <c r="H2392" s="351">
        <f t="shared" si="41"/>
        <v>19379.400000000001</v>
      </c>
      <c r="I2392" s="120" t="str">
        <f>IF(OR(D2392&lt;Capa!$A$5,D2392&gt;Capa!$A$7,E2392&lt;Capa!$A$5,E2392&gt;Capa!$A$7,D2392&gt;E2392),"Erro","")</f>
        <v/>
      </c>
    </row>
    <row r="2393" spans="1:9" ht="22.5">
      <c r="A2393" s="345">
        <v>2390</v>
      </c>
      <c r="B2393" s="346" t="s">
        <v>206</v>
      </c>
      <c r="C2393" s="347">
        <v>1709.26</v>
      </c>
      <c r="D2393" s="348">
        <v>46388</v>
      </c>
      <c r="E2393" s="348">
        <v>46722</v>
      </c>
      <c r="F2393" s="346" t="s">
        <v>642</v>
      </c>
      <c r="G2393" s="350" t="s">
        <v>440</v>
      </c>
      <c r="H2393" s="351">
        <f t="shared" si="41"/>
        <v>20511.12</v>
      </c>
      <c r="I2393" s="120" t="str">
        <f>IF(OR(D2393&lt;Capa!$A$5,D2393&gt;Capa!$A$7,E2393&lt;Capa!$A$5,E2393&gt;Capa!$A$7,D2393&gt;E2393),"Erro","")</f>
        <v/>
      </c>
    </row>
    <row r="2394" spans="1:9" ht="22.5">
      <c r="A2394" s="345">
        <v>2391</v>
      </c>
      <c r="B2394" s="346" t="s">
        <v>206</v>
      </c>
      <c r="C2394" s="347">
        <v>1809.08</v>
      </c>
      <c r="D2394" s="348">
        <v>46753</v>
      </c>
      <c r="E2394" s="348">
        <v>47058</v>
      </c>
      <c r="F2394" s="346" t="s">
        <v>642</v>
      </c>
      <c r="G2394" s="350" t="s">
        <v>440</v>
      </c>
      <c r="H2394" s="351">
        <f t="shared" si="41"/>
        <v>19899.879999999997</v>
      </c>
      <c r="I2394" s="120" t="str">
        <f>IF(OR(D2394&lt;Capa!$A$5,D2394&gt;Capa!$A$7,E2394&lt;Capa!$A$5,E2394&gt;Capa!$A$7,D2394&gt;E2394),"Erro","")</f>
        <v/>
      </c>
    </row>
    <row r="2395" spans="1:9" ht="22.5">
      <c r="A2395" s="345">
        <v>2392</v>
      </c>
      <c r="B2395" s="346" t="s">
        <v>208</v>
      </c>
      <c r="C2395" s="347">
        <v>1638</v>
      </c>
      <c r="D2395" s="348">
        <v>45627</v>
      </c>
      <c r="E2395" s="348">
        <v>45627</v>
      </c>
      <c r="F2395" s="346" t="s">
        <v>642</v>
      </c>
      <c r="G2395" s="350" t="s">
        <v>440</v>
      </c>
      <c r="H2395" s="351">
        <f t="shared" si="41"/>
        <v>1638</v>
      </c>
      <c r="I2395" s="120" t="str">
        <f>IF(OR(D2395&lt;Capa!$A$5,D2395&gt;Capa!$A$7,E2395&lt;Capa!$A$5,E2395&gt;Capa!$A$7,D2395&gt;E2395),"Erro","")</f>
        <v/>
      </c>
    </row>
    <row r="2396" spans="1:9" ht="22.5">
      <c r="A2396" s="345">
        <v>2393</v>
      </c>
      <c r="B2396" s="346" t="s">
        <v>208</v>
      </c>
      <c r="C2396" s="347">
        <v>1733.89</v>
      </c>
      <c r="D2396" s="348">
        <v>45658</v>
      </c>
      <c r="E2396" s="348">
        <v>45992</v>
      </c>
      <c r="F2396" s="346" t="s">
        <v>642</v>
      </c>
      <c r="G2396" s="350" t="s">
        <v>440</v>
      </c>
      <c r="H2396" s="351">
        <f t="shared" si="41"/>
        <v>20806.68</v>
      </c>
      <c r="I2396" s="120" t="str">
        <f>IF(OR(D2396&lt;Capa!$A$5,D2396&gt;Capa!$A$7,E2396&lt;Capa!$A$5,E2396&gt;Capa!$A$7,D2396&gt;E2396),"Erro","")</f>
        <v/>
      </c>
    </row>
    <row r="2397" spans="1:9" ht="22.5">
      <c r="A2397" s="345">
        <v>2394</v>
      </c>
      <c r="B2397" s="346" t="s">
        <v>208</v>
      </c>
      <c r="C2397" s="347">
        <v>1835.15</v>
      </c>
      <c r="D2397" s="348">
        <v>46023</v>
      </c>
      <c r="E2397" s="348">
        <v>46357</v>
      </c>
      <c r="F2397" s="346" t="s">
        <v>642</v>
      </c>
      <c r="G2397" s="350" t="s">
        <v>440</v>
      </c>
      <c r="H2397" s="351">
        <f t="shared" si="41"/>
        <v>22021.800000000003</v>
      </c>
      <c r="I2397" s="120" t="str">
        <f>IF(OR(D2397&lt;Capa!$A$5,D2397&gt;Capa!$A$7,E2397&lt;Capa!$A$5,E2397&gt;Capa!$A$7,D2397&gt;E2397),"Erro","")</f>
        <v/>
      </c>
    </row>
    <row r="2398" spans="1:9" ht="22.5">
      <c r="A2398" s="345">
        <v>2395</v>
      </c>
      <c r="B2398" s="346" t="s">
        <v>208</v>
      </c>
      <c r="C2398" s="347">
        <v>1942.32</v>
      </c>
      <c r="D2398" s="348">
        <v>46388</v>
      </c>
      <c r="E2398" s="348">
        <v>46722</v>
      </c>
      <c r="F2398" s="346" t="s">
        <v>642</v>
      </c>
      <c r="G2398" s="350" t="s">
        <v>440</v>
      </c>
      <c r="H2398" s="351">
        <f t="shared" si="41"/>
        <v>23307.84</v>
      </c>
      <c r="I2398" s="120" t="str">
        <f>IF(OR(D2398&lt;Capa!$A$5,D2398&gt;Capa!$A$7,E2398&lt;Capa!$A$5,E2398&gt;Capa!$A$7,D2398&gt;E2398),"Erro","")</f>
        <v/>
      </c>
    </row>
    <row r="2399" spans="1:9" ht="22.5">
      <c r="A2399" s="345">
        <v>2396</v>
      </c>
      <c r="B2399" s="346" t="s">
        <v>208</v>
      </c>
      <c r="C2399" s="347">
        <v>2055.75</v>
      </c>
      <c r="D2399" s="348">
        <v>46753</v>
      </c>
      <c r="E2399" s="348">
        <v>47058</v>
      </c>
      <c r="F2399" s="346" t="s">
        <v>642</v>
      </c>
      <c r="G2399" s="350" t="s">
        <v>440</v>
      </c>
      <c r="H2399" s="351">
        <f t="shared" si="41"/>
        <v>22613.25</v>
      </c>
      <c r="I2399" s="120" t="str">
        <f>IF(OR(D2399&lt;Capa!$A$5,D2399&gt;Capa!$A$7,E2399&lt;Capa!$A$5,E2399&gt;Capa!$A$7,D2399&gt;E2399),"Erro","")</f>
        <v/>
      </c>
    </row>
    <row r="2400" spans="1:9" ht="22.5">
      <c r="A2400" s="345">
        <v>2397</v>
      </c>
      <c r="B2400" s="346" t="s">
        <v>210</v>
      </c>
      <c r="C2400" s="347">
        <v>39.68</v>
      </c>
      <c r="D2400" s="348">
        <v>45627</v>
      </c>
      <c r="E2400" s="348">
        <v>45627</v>
      </c>
      <c r="F2400" s="346" t="s">
        <v>642</v>
      </c>
      <c r="G2400" s="350" t="s">
        <v>440</v>
      </c>
      <c r="H2400" s="351">
        <f t="shared" si="41"/>
        <v>39.68</v>
      </c>
      <c r="I2400" s="120" t="str">
        <f>IF(OR(D2400&lt;Capa!$A$5,D2400&gt;Capa!$A$7,E2400&lt;Capa!$A$5,E2400&gt;Capa!$A$7,D2400&gt;E2400),"Erro","")</f>
        <v/>
      </c>
    </row>
    <row r="2401" spans="1:9" ht="22.5">
      <c r="A2401" s="345">
        <v>2398</v>
      </c>
      <c r="B2401" s="346" t="s">
        <v>210</v>
      </c>
      <c r="C2401" s="347">
        <v>41.99</v>
      </c>
      <c r="D2401" s="348">
        <v>45658</v>
      </c>
      <c r="E2401" s="348">
        <v>45992</v>
      </c>
      <c r="F2401" s="346" t="s">
        <v>642</v>
      </c>
      <c r="G2401" s="350" t="s">
        <v>440</v>
      </c>
      <c r="H2401" s="351">
        <f t="shared" si="41"/>
        <v>503.88</v>
      </c>
      <c r="I2401" s="120" t="str">
        <f>IF(OR(D2401&lt;Capa!$A$5,D2401&gt;Capa!$A$7,E2401&lt;Capa!$A$5,E2401&gt;Capa!$A$7,D2401&gt;E2401),"Erro","")</f>
        <v/>
      </c>
    </row>
    <row r="2402" spans="1:9" ht="22.5">
      <c r="A2402" s="345">
        <v>2399</v>
      </c>
      <c r="B2402" s="346" t="s">
        <v>210</v>
      </c>
      <c r="C2402" s="347">
        <v>44.44</v>
      </c>
      <c r="D2402" s="348">
        <v>46023</v>
      </c>
      <c r="E2402" s="348">
        <v>46357</v>
      </c>
      <c r="F2402" s="346" t="s">
        <v>642</v>
      </c>
      <c r="G2402" s="350" t="s">
        <v>440</v>
      </c>
      <c r="H2402" s="351">
        <f t="shared" si="41"/>
        <v>533.28</v>
      </c>
      <c r="I2402" s="120" t="str">
        <f>IF(OR(D2402&lt;Capa!$A$5,D2402&gt;Capa!$A$7,E2402&lt;Capa!$A$5,E2402&gt;Capa!$A$7,D2402&gt;E2402),"Erro","")</f>
        <v/>
      </c>
    </row>
    <row r="2403" spans="1:9" ht="22.5">
      <c r="A2403" s="345">
        <v>2400</v>
      </c>
      <c r="B2403" s="346" t="s">
        <v>210</v>
      </c>
      <c r="C2403" s="347">
        <v>47.04</v>
      </c>
      <c r="D2403" s="348">
        <v>46388</v>
      </c>
      <c r="E2403" s="348">
        <v>46722</v>
      </c>
      <c r="F2403" s="346" t="s">
        <v>642</v>
      </c>
      <c r="G2403" s="350" t="s">
        <v>440</v>
      </c>
      <c r="H2403" s="351">
        <f t="shared" si="41"/>
        <v>564.48</v>
      </c>
      <c r="I2403" s="120" t="str">
        <f>IF(OR(D2403&lt;Capa!$A$5,D2403&gt;Capa!$A$7,E2403&lt;Capa!$A$5,E2403&gt;Capa!$A$7,D2403&gt;E2403),"Erro","")</f>
        <v/>
      </c>
    </row>
    <row r="2404" spans="1:9" ht="22.5">
      <c r="A2404" s="345">
        <v>2401</v>
      </c>
      <c r="B2404" s="346" t="s">
        <v>210</v>
      </c>
      <c r="C2404" s="347">
        <v>49.79</v>
      </c>
      <c r="D2404" s="348">
        <v>46753</v>
      </c>
      <c r="E2404" s="348">
        <v>47058</v>
      </c>
      <c r="F2404" s="346" t="s">
        <v>642</v>
      </c>
      <c r="G2404" s="350" t="s">
        <v>440</v>
      </c>
      <c r="H2404" s="351">
        <f t="shared" si="41"/>
        <v>547.68999999999994</v>
      </c>
      <c r="I2404" s="120" t="str">
        <f>IF(OR(D2404&lt;Capa!$A$5,D2404&gt;Capa!$A$7,E2404&lt;Capa!$A$5,E2404&gt;Capa!$A$7,D2404&gt;E2404),"Erro","")</f>
        <v/>
      </c>
    </row>
    <row r="2405" spans="1:9" ht="22.5">
      <c r="A2405" s="345">
        <v>2402</v>
      </c>
      <c r="B2405" s="346" t="s">
        <v>214</v>
      </c>
      <c r="C2405" s="347">
        <v>131.97999999999999</v>
      </c>
      <c r="D2405" s="348">
        <v>45627</v>
      </c>
      <c r="E2405" s="348">
        <v>45627</v>
      </c>
      <c r="F2405" s="346" t="s">
        <v>642</v>
      </c>
      <c r="G2405" s="350" t="s">
        <v>440</v>
      </c>
      <c r="H2405" s="351">
        <f t="shared" si="41"/>
        <v>131.97999999999999</v>
      </c>
      <c r="I2405" s="120" t="str">
        <f>IF(OR(D2405&lt;Capa!$A$5,D2405&gt;Capa!$A$7,E2405&lt;Capa!$A$5,E2405&gt;Capa!$A$7,D2405&gt;E2405),"Erro","")</f>
        <v/>
      </c>
    </row>
    <row r="2406" spans="1:9" ht="22.5">
      <c r="A2406" s="345">
        <v>2403</v>
      </c>
      <c r="B2406" s="346" t="s">
        <v>214</v>
      </c>
      <c r="C2406" s="347">
        <v>139.68</v>
      </c>
      <c r="D2406" s="348">
        <v>45658</v>
      </c>
      <c r="E2406" s="348">
        <v>45992</v>
      </c>
      <c r="F2406" s="346" t="s">
        <v>642</v>
      </c>
      <c r="G2406" s="350" t="s">
        <v>440</v>
      </c>
      <c r="H2406" s="351">
        <f t="shared" si="41"/>
        <v>1676.16</v>
      </c>
      <c r="I2406" s="120" t="str">
        <f>IF(OR(D2406&lt;Capa!$A$5,D2406&gt;Capa!$A$7,E2406&lt;Capa!$A$5,E2406&gt;Capa!$A$7,D2406&gt;E2406),"Erro","")</f>
        <v/>
      </c>
    </row>
    <row r="2407" spans="1:9" ht="22.5">
      <c r="A2407" s="345">
        <v>2404</v>
      </c>
      <c r="B2407" s="346" t="s">
        <v>214</v>
      </c>
      <c r="C2407" s="347">
        <v>147.84</v>
      </c>
      <c r="D2407" s="348">
        <v>46023</v>
      </c>
      <c r="E2407" s="348">
        <v>46357</v>
      </c>
      <c r="F2407" s="346" t="s">
        <v>642</v>
      </c>
      <c r="G2407" s="350" t="s">
        <v>440</v>
      </c>
      <c r="H2407" s="351">
        <f t="shared" si="41"/>
        <v>1774.08</v>
      </c>
      <c r="I2407" s="120" t="str">
        <f>IF(OR(D2407&lt;Capa!$A$5,D2407&gt;Capa!$A$7,E2407&lt;Capa!$A$5,E2407&gt;Capa!$A$7,D2407&gt;E2407),"Erro","")</f>
        <v/>
      </c>
    </row>
    <row r="2408" spans="1:9" ht="22.5">
      <c r="A2408" s="345">
        <v>2405</v>
      </c>
      <c r="B2408" s="346" t="s">
        <v>214</v>
      </c>
      <c r="C2408" s="347">
        <v>156.47999999999999</v>
      </c>
      <c r="D2408" s="348">
        <v>46388</v>
      </c>
      <c r="E2408" s="348">
        <v>46722</v>
      </c>
      <c r="F2408" s="346" t="s">
        <v>642</v>
      </c>
      <c r="G2408" s="350" t="s">
        <v>440</v>
      </c>
      <c r="H2408" s="351">
        <f t="shared" si="41"/>
        <v>1877.7599999999998</v>
      </c>
      <c r="I2408" s="120" t="str">
        <f>IF(OR(D2408&lt;Capa!$A$5,D2408&gt;Capa!$A$7,E2408&lt;Capa!$A$5,E2408&gt;Capa!$A$7,D2408&gt;E2408),"Erro","")</f>
        <v/>
      </c>
    </row>
    <row r="2409" spans="1:9" ht="22.5">
      <c r="A2409" s="345">
        <v>2406</v>
      </c>
      <c r="B2409" s="346" t="s">
        <v>214</v>
      </c>
      <c r="C2409" s="347">
        <v>165.62</v>
      </c>
      <c r="D2409" s="348">
        <v>46753</v>
      </c>
      <c r="E2409" s="348">
        <v>47058</v>
      </c>
      <c r="F2409" s="346" t="s">
        <v>642</v>
      </c>
      <c r="G2409" s="350" t="s">
        <v>440</v>
      </c>
      <c r="H2409" s="351">
        <f t="shared" si="41"/>
        <v>1821.8200000000002</v>
      </c>
      <c r="I2409" s="120" t="str">
        <f>IF(OR(D2409&lt;Capa!$A$5,D2409&gt;Capa!$A$7,E2409&lt;Capa!$A$5,E2409&gt;Capa!$A$7,D2409&gt;E2409),"Erro","")</f>
        <v/>
      </c>
    </row>
    <row r="2410" spans="1:9" ht="22.5">
      <c r="A2410" s="345">
        <v>2407</v>
      </c>
      <c r="B2410" s="346" t="s">
        <v>212</v>
      </c>
      <c r="C2410" s="347">
        <v>235.74</v>
      </c>
      <c r="D2410" s="348">
        <v>45627</v>
      </c>
      <c r="E2410" s="348">
        <v>45627</v>
      </c>
      <c r="F2410" s="346" t="s">
        <v>642</v>
      </c>
      <c r="G2410" s="350" t="s">
        <v>440</v>
      </c>
      <c r="H2410" s="351">
        <f t="shared" si="41"/>
        <v>235.74</v>
      </c>
      <c r="I2410" s="120" t="str">
        <f>IF(OR(D2410&lt;Capa!$A$5,D2410&gt;Capa!$A$7,E2410&lt;Capa!$A$5,E2410&gt;Capa!$A$7,D2410&gt;E2410),"Erro","")</f>
        <v/>
      </c>
    </row>
    <row r="2411" spans="1:9" ht="22.5">
      <c r="A2411" s="345">
        <v>2408</v>
      </c>
      <c r="B2411" s="346" t="s">
        <v>212</v>
      </c>
      <c r="C2411" s="347">
        <v>249.51</v>
      </c>
      <c r="D2411" s="348">
        <v>45658</v>
      </c>
      <c r="E2411" s="348">
        <v>45992</v>
      </c>
      <c r="F2411" s="346" t="s">
        <v>642</v>
      </c>
      <c r="G2411" s="350" t="s">
        <v>440</v>
      </c>
      <c r="H2411" s="351">
        <f t="shared" si="41"/>
        <v>2994.12</v>
      </c>
      <c r="I2411" s="120" t="str">
        <f>IF(OR(D2411&lt;Capa!$A$5,D2411&gt;Capa!$A$7,E2411&lt;Capa!$A$5,E2411&gt;Capa!$A$7,D2411&gt;E2411),"Erro","")</f>
        <v/>
      </c>
    </row>
    <row r="2412" spans="1:9" ht="22.5">
      <c r="A2412" s="345">
        <v>2409</v>
      </c>
      <c r="B2412" s="346" t="s">
        <v>212</v>
      </c>
      <c r="C2412" s="347">
        <v>264.08</v>
      </c>
      <c r="D2412" s="348">
        <v>46023</v>
      </c>
      <c r="E2412" s="348">
        <v>46357</v>
      </c>
      <c r="F2412" s="346" t="s">
        <v>642</v>
      </c>
      <c r="G2412" s="350" t="s">
        <v>440</v>
      </c>
      <c r="H2412" s="351">
        <f t="shared" si="41"/>
        <v>3168.96</v>
      </c>
      <c r="I2412" s="120" t="str">
        <f>IF(OR(D2412&lt;Capa!$A$5,D2412&gt;Capa!$A$7,E2412&lt;Capa!$A$5,E2412&gt;Capa!$A$7,D2412&gt;E2412),"Erro","")</f>
        <v/>
      </c>
    </row>
    <row r="2413" spans="1:9" ht="22.5">
      <c r="A2413" s="345">
        <v>2410</v>
      </c>
      <c r="B2413" s="346" t="s">
        <v>212</v>
      </c>
      <c r="C2413" s="347">
        <v>279.5</v>
      </c>
      <c r="D2413" s="348">
        <v>46388</v>
      </c>
      <c r="E2413" s="348">
        <v>46722</v>
      </c>
      <c r="F2413" s="346" t="s">
        <v>642</v>
      </c>
      <c r="G2413" s="350" t="s">
        <v>440</v>
      </c>
      <c r="H2413" s="351">
        <f t="shared" si="41"/>
        <v>3354</v>
      </c>
      <c r="I2413" s="120" t="str">
        <f>IF(OR(D2413&lt;Capa!$A$5,D2413&gt;Capa!$A$7,E2413&lt;Capa!$A$5,E2413&gt;Capa!$A$7,D2413&gt;E2413),"Erro","")</f>
        <v/>
      </c>
    </row>
    <row r="2414" spans="1:9" ht="22.5">
      <c r="A2414" s="345">
        <v>2411</v>
      </c>
      <c r="B2414" s="346" t="s">
        <v>212</v>
      </c>
      <c r="C2414" s="347">
        <v>295.83</v>
      </c>
      <c r="D2414" s="348">
        <v>46753</v>
      </c>
      <c r="E2414" s="348">
        <v>47058</v>
      </c>
      <c r="F2414" s="346" t="s">
        <v>642</v>
      </c>
      <c r="G2414" s="350" t="s">
        <v>440</v>
      </c>
      <c r="H2414" s="351">
        <f t="shared" si="41"/>
        <v>3254.1299999999997</v>
      </c>
      <c r="I2414" s="120" t="str">
        <f>IF(OR(D2414&lt;Capa!$A$5,D2414&gt;Capa!$A$7,E2414&lt;Capa!$A$5,E2414&gt;Capa!$A$7,D2414&gt;E2414),"Erro","")</f>
        <v/>
      </c>
    </row>
    <row r="2415" spans="1:9" ht="45">
      <c r="A2415" s="345">
        <v>2412</v>
      </c>
      <c r="B2415" s="346" t="s">
        <v>248</v>
      </c>
      <c r="C2415" s="347">
        <v>846</v>
      </c>
      <c r="D2415" s="348">
        <v>45748</v>
      </c>
      <c r="E2415" s="348">
        <v>45870</v>
      </c>
      <c r="F2415" s="346" t="s">
        <v>642</v>
      </c>
      <c r="G2415" s="350" t="s">
        <v>441</v>
      </c>
      <c r="H2415" s="351">
        <f t="shared" si="41"/>
        <v>4230</v>
      </c>
      <c r="I2415" s="120" t="str">
        <f>IF(OR(D2415&lt;Capa!$A$5,D2415&gt;Capa!$A$7,E2415&lt;Capa!$A$5,E2415&gt;Capa!$A$7,D2415&gt;E2415),"Erro","")</f>
        <v/>
      </c>
    </row>
    <row r="2416" spans="1:9" ht="45">
      <c r="A2416" s="345">
        <v>2413</v>
      </c>
      <c r="B2416" s="346" t="s">
        <v>248</v>
      </c>
      <c r="C2416" s="347">
        <v>846</v>
      </c>
      <c r="D2416" s="348">
        <v>45962</v>
      </c>
      <c r="E2416" s="348">
        <v>46054</v>
      </c>
      <c r="F2416" s="346" t="s">
        <v>642</v>
      </c>
      <c r="G2416" s="350" t="s">
        <v>441</v>
      </c>
      <c r="H2416" s="351">
        <f t="shared" si="41"/>
        <v>3384</v>
      </c>
      <c r="I2416" s="120" t="str">
        <f>IF(OR(D2416&lt;Capa!$A$5,D2416&gt;Capa!$A$7,E2416&lt;Capa!$A$5,E2416&gt;Capa!$A$7,D2416&gt;E2416),"Erro","")</f>
        <v/>
      </c>
    </row>
    <row r="2417" spans="1:9" ht="45">
      <c r="A2417" s="345">
        <v>2414</v>
      </c>
      <c r="B2417" s="346" t="s">
        <v>248</v>
      </c>
      <c r="C2417" s="347">
        <v>846</v>
      </c>
      <c r="D2417" s="348">
        <v>45962</v>
      </c>
      <c r="E2417" s="348">
        <v>46054</v>
      </c>
      <c r="F2417" s="346" t="s">
        <v>642</v>
      </c>
      <c r="G2417" s="350" t="s">
        <v>441</v>
      </c>
      <c r="H2417" s="351">
        <f t="shared" si="41"/>
        <v>3384</v>
      </c>
      <c r="I2417" s="120" t="str">
        <f>IF(OR(D2417&lt;Capa!$A$5,D2417&gt;Capa!$A$7,E2417&lt;Capa!$A$5,E2417&gt;Capa!$A$7,D2417&gt;E2417),"Erro","")</f>
        <v/>
      </c>
    </row>
    <row r="2418" spans="1:9" ht="45">
      <c r="A2418" s="345">
        <v>2415</v>
      </c>
      <c r="B2418" s="346" t="s">
        <v>248</v>
      </c>
      <c r="C2418" s="347">
        <v>846</v>
      </c>
      <c r="D2418" s="348">
        <v>46327</v>
      </c>
      <c r="E2418" s="348">
        <v>46419</v>
      </c>
      <c r="F2418" s="346" t="s">
        <v>642</v>
      </c>
      <c r="G2418" s="350" t="s">
        <v>441</v>
      </c>
      <c r="H2418" s="351">
        <f t="shared" si="41"/>
        <v>3384</v>
      </c>
      <c r="I2418" s="120" t="str">
        <f>IF(OR(D2418&lt;Capa!$A$5,D2418&gt;Capa!$A$7,E2418&lt;Capa!$A$5,E2418&gt;Capa!$A$7,D2418&gt;E2418),"Erro","")</f>
        <v/>
      </c>
    </row>
    <row r="2419" spans="1:9" ht="45">
      <c r="A2419" s="345">
        <v>2416</v>
      </c>
      <c r="B2419" s="346" t="s">
        <v>248</v>
      </c>
      <c r="C2419" s="347">
        <v>846</v>
      </c>
      <c r="D2419" s="348">
        <v>46692</v>
      </c>
      <c r="E2419" s="348">
        <v>46784</v>
      </c>
      <c r="F2419" s="346" t="s">
        <v>642</v>
      </c>
      <c r="G2419" s="350" t="s">
        <v>441</v>
      </c>
      <c r="H2419" s="351">
        <f t="shared" si="41"/>
        <v>3384</v>
      </c>
      <c r="I2419" s="120" t="str">
        <f>IF(OR(D2419&lt;Capa!$A$5,D2419&gt;Capa!$A$7,E2419&lt;Capa!$A$5,E2419&gt;Capa!$A$7,D2419&gt;E2419),"Erro","")</f>
        <v/>
      </c>
    </row>
    <row r="2420" spans="1:9" ht="33.75">
      <c r="A2420" s="345">
        <v>2417</v>
      </c>
      <c r="B2420" s="346" t="s">
        <v>266</v>
      </c>
      <c r="C2420" s="347">
        <v>1800</v>
      </c>
      <c r="D2420" s="348">
        <v>45627</v>
      </c>
      <c r="E2420" s="348">
        <v>45627</v>
      </c>
      <c r="F2420" s="346" t="s">
        <v>642</v>
      </c>
      <c r="G2420" s="350" t="s">
        <v>442</v>
      </c>
      <c r="H2420" s="351">
        <f t="shared" si="41"/>
        <v>1800</v>
      </c>
      <c r="I2420" s="120" t="str">
        <f>IF(OR(D2420&lt;Capa!$A$5,D2420&gt;Capa!$A$7,E2420&lt;Capa!$A$5,E2420&gt;Capa!$A$7,D2420&gt;E2420),"Erro","")</f>
        <v/>
      </c>
    </row>
    <row r="2421" spans="1:9" ht="33.75">
      <c r="A2421" s="345">
        <v>2418</v>
      </c>
      <c r="B2421" s="346" t="s">
        <v>266</v>
      </c>
      <c r="C2421" s="347">
        <v>300</v>
      </c>
      <c r="D2421" s="348">
        <v>45658</v>
      </c>
      <c r="E2421" s="348">
        <v>45992</v>
      </c>
      <c r="F2421" s="346" t="s">
        <v>642</v>
      </c>
      <c r="G2421" s="350" t="s">
        <v>442</v>
      </c>
      <c r="H2421" s="351">
        <f t="shared" si="41"/>
        <v>3600</v>
      </c>
      <c r="I2421" s="120" t="str">
        <f>IF(OR(D2421&lt;Capa!$A$5,D2421&gt;Capa!$A$7,E2421&lt;Capa!$A$5,E2421&gt;Capa!$A$7,D2421&gt;E2421),"Erro","")</f>
        <v/>
      </c>
    </row>
    <row r="2422" spans="1:9" ht="33.75">
      <c r="A2422" s="345">
        <v>2419</v>
      </c>
      <c r="B2422" s="346" t="s">
        <v>266</v>
      </c>
      <c r="C2422" s="347">
        <v>300</v>
      </c>
      <c r="D2422" s="348">
        <v>46023</v>
      </c>
      <c r="E2422" s="348">
        <v>46357</v>
      </c>
      <c r="F2422" s="346" t="s">
        <v>642</v>
      </c>
      <c r="G2422" s="350" t="s">
        <v>442</v>
      </c>
      <c r="H2422" s="351">
        <f t="shared" si="41"/>
        <v>3600</v>
      </c>
      <c r="I2422" s="120" t="str">
        <f>IF(OR(D2422&lt;Capa!$A$5,D2422&gt;Capa!$A$7,E2422&lt;Capa!$A$5,E2422&gt;Capa!$A$7,D2422&gt;E2422),"Erro","")</f>
        <v/>
      </c>
    </row>
    <row r="2423" spans="1:9" ht="33.75">
      <c r="A2423" s="345">
        <v>2420</v>
      </c>
      <c r="B2423" s="346" t="s">
        <v>266</v>
      </c>
      <c r="C2423" s="347">
        <v>300</v>
      </c>
      <c r="D2423" s="348">
        <v>46388</v>
      </c>
      <c r="E2423" s="348">
        <v>46722</v>
      </c>
      <c r="F2423" s="346" t="s">
        <v>642</v>
      </c>
      <c r="G2423" s="350" t="s">
        <v>442</v>
      </c>
      <c r="H2423" s="351">
        <f t="shared" si="41"/>
        <v>3600</v>
      </c>
      <c r="I2423" s="120" t="str">
        <f>IF(OR(D2423&lt;Capa!$A$5,D2423&gt;Capa!$A$7,E2423&lt;Capa!$A$5,E2423&gt;Capa!$A$7,D2423&gt;E2423),"Erro","")</f>
        <v/>
      </c>
    </row>
    <row r="2424" spans="1:9" ht="33.75">
      <c r="A2424" s="345">
        <v>2421</v>
      </c>
      <c r="B2424" s="346" t="s">
        <v>266</v>
      </c>
      <c r="C2424" s="347">
        <v>300</v>
      </c>
      <c r="D2424" s="348">
        <v>46753</v>
      </c>
      <c r="E2424" s="348">
        <v>47058</v>
      </c>
      <c r="F2424" s="346" t="s">
        <v>642</v>
      </c>
      <c r="G2424" s="350" t="s">
        <v>442</v>
      </c>
      <c r="H2424" s="351">
        <f t="shared" si="41"/>
        <v>3300</v>
      </c>
      <c r="I2424" s="120" t="str">
        <f>IF(OR(D2424&lt;Capa!$A$5,D2424&gt;Capa!$A$7,E2424&lt;Capa!$A$5,E2424&gt;Capa!$A$7,D2424&gt;E2424),"Erro","")</f>
        <v/>
      </c>
    </row>
    <row r="2425" spans="1:9" ht="22.5">
      <c r="A2425" s="345">
        <v>2422</v>
      </c>
      <c r="B2425" s="346" t="s">
        <v>274</v>
      </c>
      <c r="C2425" s="347">
        <v>1100</v>
      </c>
      <c r="D2425" s="348">
        <v>45658</v>
      </c>
      <c r="E2425" s="348">
        <v>45992</v>
      </c>
      <c r="F2425" s="346" t="s">
        <v>642</v>
      </c>
      <c r="G2425" s="350" t="s">
        <v>443</v>
      </c>
      <c r="H2425" s="351">
        <f t="shared" si="41"/>
        <v>13200</v>
      </c>
      <c r="I2425" s="120" t="str">
        <f>IF(OR(D2425&lt;Capa!$A$5,D2425&gt;Capa!$A$7,E2425&lt;Capa!$A$5,E2425&gt;Capa!$A$7,D2425&gt;E2425),"Erro","")</f>
        <v/>
      </c>
    </row>
    <row r="2426" spans="1:9" ht="22.5">
      <c r="A2426" s="345">
        <v>2423</v>
      </c>
      <c r="B2426" s="346" t="s">
        <v>274</v>
      </c>
      <c r="C2426" s="347">
        <v>1164.24</v>
      </c>
      <c r="D2426" s="348">
        <v>46023</v>
      </c>
      <c r="E2426" s="348">
        <v>46357</v>
      </c>
      <c r="F2426" s="346" t="s">
        <v>642</v>
      </c>
      <c r="G2426" s="350" t="s">
        <v>443</v>
      </c>
      <c r="H2426" s="351">
        <f t="shared" si="41"/>
        <v>13970.880000000001</v>
      </c>
      <c r="I2426" s="120" t="str">
        <f>IF(OR(D2426&lt;Capa!$A$5,D2426&gt;Capa!$A$7,E2426&lt;Capa!$A$5,E2426&gt;Capa!$A$7,D2426&gt;E2426),"Erro","")</f>
        <v/>
      </c>
    </row>
    <row r="2427" spans="1:9" ht="22.5">
      <c r="A2427" s="345">
        <v>2424</v>
      </c>
      <c r="B2427" s="346" t="s">
        <v>274</v>
      </c>
      <c r="C2427" s="347">
        <v>1232.23</v>
      </c>
      <c r="D2427" s="348">
        <v>46388</v>
      </c>
      <c r="E2427" s="348">
        <v>46722</v>
      </c>
      <c r="F2427" s="346" t="s">
        <v>642</v>
      </c>
      <c r="G2427" s="350" t="s">
        <v>443</v>
      </c>
      <c r="H2427" s="351">
        <f t="shared" si="41"/>
        <v>14786.76</v>
      </c>
      <c r="I2427" s="120" t="str">
        <f>IF(OR(D2427&lt;Capa!$A$5,D2427&gt;Capa!$A$7,E2427&lt;Capa!$A$5,E2427&gt;Capa!$A$7,D2427&gt;E2427),"Erro","")</f>
        <v/>
      </c>
    </row>
    <row r="2428" spans="1:9" ht="22.5">
      <c r="A2428" s="345">
        <v>2425</v>
      </c>
      <c r="B2428" s="346" t="s">
        <v>274</v>
      </c>
      <c r="C2428" s="347">
        <v>1304.19</v>
      </c>
      <c r="D2428" s="348">
        <v>46753</v>
      </c>
      <c r="E2428" s="348">
        <v>47058</v>
      </c>
      <c r="F2428" s="346" t="s">
        <v>642</v>
      </c>
      <c r="G2428" s="350" t="s">
        <v>443</v>
      </c>
      <c r="H2428" s="351">
        <f t="shared" si="41"/>
        <v>14346.09</v>
      </c>
      <c r="I2428" s="120" t="str">
        <f>IF(OR(D2428&lt;Capa!$A$5,D2428&gt;Capa!$A$7,E2428&lt;Capa!$A$5,E2428&gt;Capa!$A$7,D2428&gt;E2428),"Erro","")</f>
        <v/>
      </c>
    </row>
    <row r="2429" spans="1:9" ht="56.25">
      <c r="A2429" s="345">
        <v>2426</v>
      </c>
      <c r="B2429" s="346" t="s">
        <v>236</v>
      </c>
      <c r="C2429" s="347">
        <v>760.49</v>
      </c>
      <c r="D2429" s="348">
        <v>45658</v>
      </c>
      <c r="E2429" s="348">
        <v>45992</v>
      </c>
      <c r="F2429" s="346" t="s">
        <v>642</v>
      </c>
      <c r="G2429" s="350" t="s">
        <v>444</v>
      </c>
      <c r="H2429" s="351">
        <f t="shared" ref="H2429:H2480" si="42">IFERROR((DATEDIF(D2429,E2429,"M")+1)*C2429,0)</f>
        <v>9125.880000000001</v>
      </c>
      <c r="I2429" s="120" t="str">
        <f>IF(OR(D2429&lt;Capa!$A$5,D2429&gt;Capa!$A$7,E2429&lt;Capa!$A$5,E2429&gt;Capa!$A$7,D2429&gt;E2429),"Erro","")</f>
        <v/>
      </c>
    </row>
    <row r="2430" spans="1:9" ht="56.25">
      <c r="A2430" s="345">
        <v>2427</v>
      </c>
      <c r="B2430" s="346" t="s">
        <v>236</v>
      </c>
      <c r="C2430" s="347">
        <v>773.16</v>
      </c>
      <c r="D2430" s="348">
        <v>46023</v>
      </c>
      <c r="E2430" s="348">
        <v>46357</v>
      </c>
      <c r="F2430" s="346" t="s">
        <v>642</v>
      </c>
      <c r="G2430" s="350" t="s">
        <v>444</v>
      </c>
      <c r="H2430" s="351">
        <f t="shared" si="42"/>
        <v>9277.92</v>
      </c>
      <c r="I2430" s="120" t="str">
        <f>IF(OR(D2430&lt;Capa!$A$5,D2430&gt;Capa!$A$7,E2430&lt;Capa!$A$5,E2430&gt;Capa!$A$7,D2430&gt;E2430),"Erro","")</f>
        <v/>
      </c>
    </row>
    <row r="2431" spans="1:9" ht="56.25">
      <c r="A2431" s="345">
        <v>2428</v>
      </c>
      <c r="B2431" s="346" t="s">
        <v>236</v>
      </c>
      <c r="C2431" s="347">
        <v>818.31</v>
      </c>
      <c r="D2431" s="348">
        <v>46388</v>
      </c>
      <c r="E2431" s="348">
        <v>46722</v>
      </c>
      <c r="F2431" s="346" t="s">
        <v>642</v>
      </c>
      <c r="G2431" s="350" t="s">
        <v>444</v>
      </c>
      <c r="H2431" s="351">
        <f t="shared" si="42"/>
        <v>9819.7199999999993</v>
      </c>
      <c r="I2431" s="120" t="str">
        <f>IF(OR(D2431&lt;Capa!$A$5,D2431&gt;Capa!$A$7,E2431&lt;Capa!$A$5,E2431&gt;Capa!$A$7,D2431&gt;E2431),"Erro","")</f>
        <v/>
      </c>
    </row>
    <row r="2432" spans="1:9" ht="56.25">
      <c r="A2432" s="345">
        <v>2429</v>
      </c>
      <c r="B2432" s="346" t="s">
        <v>236</v>
      </c>
      <c r="C2432" s="347">
        <v>866.09</v>
      </c>
      <c r="D2432" s="348">
        <v>46753</v>
      </c>
      <c r="E2432" s="348">
        <v>47058</v>
      </c>
      <c r="F2432" s="346" t="s">
        <v>642</v>
      </c>
      <c r="G2432" s="350" t="s">
        <v>444</v>
      </c>
      <c r="H2432" s="351">
        <f t="shared" si="42"/>
        <v>9526.99</v>
      </c>
      <c r="I2432" s="120" t="str">
        <f>IF(OR(D2432&lt;Capa!$A$5,D2432&gt;Capa!$A$7,E2432&lt;Capa!$A$5,E2432&gt;Capa!$A$7,D2432&gt;E2432),"Erro","")</f>
        <v/>
      </c>
    </row>
    <row r="2433" spans="1:9" ht="33.75">
      <c r="A2433" s="345">
        <v>2430</v>
      </c>
      <c r="B2433" s="346" t="s">
        <v>240</v>
      </c>
      <c r="C2433" s="347">
        <v>50</v>
      </c>
      <c r="D2433" s="348">
        <v>45658</v>
      </c>
      <c r="E2433" s="348">
        <v>45992</v>
      </c>
      <c r="F2433" s="346" t="s">
        <v>642</v>
      </c>
      <c r="G2433" s="350" t="s">
        <v>445</v>
      </c>
      <c r="H2433" s="351">
        <f t="shared" si="42"/>
        <v>600</v>
      </c>
      <c r="I2433" s="120" t="str">
        <f>IF(OR(D2433&lt;Capa!$A$5,D2433&gt;Capa!$A$7,E2433&lt;Capa!$A$5,E2433&gt;Capa!$A$7,D2433&gt;E2433),"Erro","")</f>
        <v/>
      </c>
    </row>
    <row r="2434" spans="1:9" ht="33.75">
      <c r="A2434" s="345">
        <v>2431</v>
      </c>
      <c r="B2434" s="346" t="s">
        <v>240</v>
      </c>
      <c r="C2434" s="347">
        <v>50</v>
      </c>
      <c r="D2434" s="348">
        <v>46023</v>
      </c>
      <c r="E2434" s="348">
        <v>46357</v>
      </c>
      <c r="F2434" s="346" t="s">
        <v>642</v>
      </c>
      <c r="G2434" s="350" t="s">
        <v>445</v>
      </c>
      <c r="H2434" s="351">
        <f t="shared" si="42"/>
        <v>600</v>
      </c>
      <c r="I2434" s="120" t="str">
        <f>IF(OR(D2434&lt;Capa!$A$5,D2434&gt;Capa!$A$7,E2434&lt;Capa!$A$5,E2434&gt;Capa!$A$7,D2434&gt;E2434),"Erro","")</f>
        <v/>
      </c>
    </row>
    <row r="2435" spans="1:9" ht="33.75">
      <c r="A2435" s="345">
        <v>2432</v>
      </c>
      <c r="B2435" s="346" t="s">
        <v>240</v>
      </c>
      <c r="C2435" s="347">
        <v>50</v>
      </c>
      <c r="D2435" s="348">
        <v>46388</v>
      </c>
      <c r="E2435" s="348">
        <v>46722</v>
      </c>
      <c r="F2435" s="346" t="s">
        <v>642</v>
      </c>
      <c r="G2435" s="350" t="s">
        <v>445</v>
      </c>
      <c r="H2435" s="351">
        <f t="shared" si="42"/>
        <v>600</v>
      </c>
      <c r="I2435" s="120" t="str">
        <f>IF(OR(D2435&lt;Capa!$A$5,D2435&gt;Capa!$A$7,E2435&lt;Capa!$A$5,E2435&gt;Capa!$A$7,D2435&gt;E2435),"Erro","")</f>
        <v/>
      </c>
    </row>
    <row r="2436" spans="1:9" ht="33.75">
      <c r="A2436" s="345">
        <v>2433</v>
      </c>
      <c r="B2436" s="346" t="s">
        <v>240</v>
      </c>
      <c r="C2436" s="347">
        <v>50</v>
      </c>
      <c r="D2436" s="348">
        <v>46753</v>
      </c>
      <c r="E2436" s="348">
        <v>47058</v>
      </c>
      <c r="F2436" s="346" t="s">
        <v>642</v>
      </c>
      <c r="G2436" s="350" t="s">
        <v>445</v>
      </c>
      <c r="H2436" s="351">
        <f t="shared" si="42"/>
        <v>550</v>
      </c>
      <c r="I2436" s="120" t="str">
        <f>IF(OR(D2436&lt;Capa!$A$5,D2436&gt;Capa!$A$7,E2436&lt;Capa!$A$5,E2436&gt;Capa!$A$7,D2436&gt;E2436),"Erro","")</f>
        <v/>
      </c>
    </row>
    <row r="2437" spans="1:9" ht="45">
      <c r="A2437" s="345">
        <v>2434</v>
      </c>
      <c r="B2437" s="346" t="s">
        <v>244</v>
      </c>
      <c r="C2437" s="347">
        <v>280</v>
      </c>
      <c r="D2437" s="348">
        <v>45658</v>
      </c>
      <c r="E2437" s="348">
        <v>45992</v>
      </c>
      <c r="F2437" s="346" t="s">
        <v>642</v>
      </c>
      <c r="G2437" s="350" t="s">
        <v>446</v>
      </c>
      <c r="H2437" s="351">
        <f t="shared" si="42"/>
        <v>3360</v>
      </c>
      <c r="I2437" s="120" t="str">
        <f>IF(OR(D2437&lt;Capa!$A$5,D2437&gt;Capa!$A$7,E2437&lt;Capa!$A$5,E2437&gt;Capa!$A$7,D2437&gt;E2437),"Erro","")</f>
        <v/>
      </c>
    </row>
    <row r="2438" spans="1:9" ht="45">
      <c r="A2438" s="345">
        <v>2435</v>
      </c>
      <c r="B2438" s="346" t="s">
        <v>244</v>
      </c>
      <c r="C2438" s="347">
        <v>320</v>
      </c>
      <c r="D2438" s="348">
        <v>46023</v>
      </c>
      <c r="E2438" s="348">
        <v>46357</v>
      </c>
      <c r="F2438" s="346" t="s">
        <v>642</v>
      </c>
      <c r="G2438" s="350" t="s">
        <v>446</v>
      </c>
      <c r="H2438" s="351">
        <f t="shared" si="42"/>
        <v>3840</v>
      </c>
      <c r="I2438" s="120" t="str">
        <f>IF(OR(D2438&lt;Capa!$A$5,D2438&gt;Capa!$A$7,E2438&lt;Capa!$A$5,E2438&gt;Capa!$A$7,D2438&gt;E2438),"Erro","")</f>
        <v/>
      </c>
    </row>
    <row r="2439" spans="1:9" ht="45">
      <c r="A2439" s="345">
        <v>2436</v>
      </c>
      <c r="B2439" s="346" t="s">
        <v>244</v>
      </c>
      <c r="C2439" s="347">
        <v>380</v>
      </c>
      <c r="D2439" s="348">
        <v>46388</v>
      </c>
      <c r="E2439" s="348">
        <v>46722</v>
      </c>
      <c r="F2439" s="346" t="s">
        <v>642</v>
      </c>
      <c r="G2439" s="350" t="s">
        <v>446</v>
      </c>
      <c r="H2439" s="351">
        <f t="shared" si="42"/>
        <v>4560</v>
      </c>
      <c r="I2439" s="120" t="str">
        <f>IF(OR(D2439&lt;Capa!$A$5,D2439&gt;Capa!$A$7,E2439&lt;Capa!$A$5,E2439&gt;Capa!$A$7,D2439&gt;E2439),"Erro","")</f>
        <v/>
      </c>
    </row>
    <row r="2440" spans="1:9" ht="45">
      <c r="A2440" s="345">
        <v>2437</v>
      </c>
      <c r="B2440" s="346" t="s">
        <v>244</v>
      </c>
      <c r="C2440" s="347">
        <v>380</v>
      </c>
      <c r="D2440" s="348">
        <v>46753</v>
      </c>
      <c r="E2440" s="348">
        <v>47058</v>
      </c>
      <c r="F2440" s="346" t="s">
        <v>642</v>
      </c>
      <c r="G2440" s="350" t="s">
        <v>446</v>
      </c>
      <c r="H2440" s="351">
        <f t="shared" si="42"/>
        <v>4180</v>
      </c>
      <c r="I2440" s="120" t="str">
        <f>IF(OR(D2440&lt;Capa!$A$5,D2440&gt;Capa!$A$7,E2440&lt;Capa!$A$5,E2440&gt;Capa!$A$7,D2440&gt;E2440),"Erro","")</f>
        <v/>
      </c>
    </row>
    <row r="2441" spans="1:9" ht="33.75">
      <c r="A2441" s="345">
        <v>2438</v>
      </c>
      <c r="B2441" s="346" t="s">
        <v>246</v>
      </c>
      <c r="C2441" s="347">
        <v>275.18</v>
      </c>
      <c r="D2441" s="348">
        <v>45658</v>
      </c>
      <c r="E2441" s="348">
        <v>45992</v>
      </c>
      <c r="F2441" s="346" t="s">
        <v>642</v>
      </c>
      <c r="G2441" s="350" t="s">
        <v>447</v>
      </c>
      <c r="H2441" s="351">
        <f t="shared" si="42"/>
        <v>3302.16</v>
      </c>
      <c r="I2441" s="120" t="str">
        <f>IF(OR(D2441&lt;Capa!$A$5,D2441&gt;Capa!$A$7,E2441&lt;Capa!$A$5,E2441&gt;Capa!$A$7,D2441&gt;E2441),"Erro","")</f>
        <v/>
      </c>
    </row>
    <row r="2442" spans="1:9" ht="33.75">
      <c r="A2442" s="345">
        <v>2439</v>
      </c>
      <c r="B2442" s="346" t="s">
        <v>246</v>
      </c>
      <c r="C2442" s="347">
        <v>291.25</v>
      </c>
      <c r="D2442" s="348">
        <v>46023</v>
      </c>
      <c r="E2442" s="348">
        <v>46357</v>
      </c>
      <c r="F2442" s="346" t="s">
        <v>642</v>
      </c>
      <c r="G2442" s="350" t="s">
        <v>447</v>
      </c>
      <c r="H2442" s="351">
        <f t="shared" si="42"/>
        <v>3495</v>
      </c>
      <c r="I2442" s="120" t="str">
        <f>IF(OR(D2442&lt;Capa!$A$5,D2442&gt;Capa!$A$7,E2442&lt;Capa!$A$5,E2442&gt;Capa!$A$7,D2442&gt;E2442),"Erro","")</f>
        <v/>
      </c>
    </row>
    <row r="2443" spans="1:9" ht="33.75">
      <c r="A2443" s="345">
        <v>2440</v>
      </c>
      <c r="B2443" s="346" t="s">
        <v>246</v>
      </c>
      <c r="C2443" s="347">
        <v>308.26</v>
      </c>
      <c r="D2443" s="348">
        <v>46388</v>
      </c>
      <c r="E2443" s="348">
        <v>46722</v>
      </c>
      <c r="F2443" s="346" t="s">
        <v>642</v>
      </c>
      <c r="G2443" s="350" t="s">
        <v>447</v>
      </c>
      <c r="H2443" s="351">
        <f t="shared" si="42"/>
        <v>3699.12</v>
      </c>
      <c r="I2443" s="120" t="str">
        <f>IF(OR(D2443&lt;Capa!$A$5,D2443&gt;Capa!$A$7,E2443&lt;Capa!$A$5,E2443&gt;Capa!$A$7,D2443&gt;E2443),"Erro","")</f>
        <v/>
      </c>
    </row>
    <row r="2444" spans="1:9" ht="33.75">
      <c r="A2444" s="345">
        <v>2441</v>
      </c>
      <c r="B2444" s="346" t="s">
        <v>246</v>
      </c>
      <c r="C2444" s="347">
        <v>326.26</v>
      </c>
      <c r="D2444" s="348">
        <v>46753</v>
      </c>
      <c r="E2444" s="348">
        <v>47058</v>
      </c>
      <c r="F2444" s="346" t="s">
        <v>642</v>
      </c>
      <c r="G2444" s="350" t="s">
        <v>447</v>
      </c>
      <c r="H2444" s="351">
        <f t="shared" si="42"/>
        <v>3588.8599999999997</v>
      </c>
      <c r="I2444" s="120" t="str">
        <f>IF(OR(D2444&lt;Capa!$A$5,D2444&gt;Capa!$A$7,E2444&lt;Capa!$A$5,E2444&gt;Capa!$A$7,D2444&gt;E2444),"Erro","")</f>
        <v/>
      </c>
    </row>
    <row r="2445" spans="1:9" ht="33.75">
      <c r="A2445" s="345">
        <v>2442</v>
      </c>
      <c r="B2445" s="346" t="s">
        <v>258</v>
      </c>
      <c r="C2445" s="347">
        <v>193.77</v>
      </c>
      <c r="D2445" s="348">
        <v>45627</v>
      </c>
      <c r="E2445" s="348">
        <v>45992</v>
      </c>
      <c r="F2445" s="346" t="s">
        <v>642</v>
      </c>
      <c r="G2445" s="350" t="s">
        <v>448</v>
      </c>
      <c r="H2445" s="351">
        <f t="shared" si="42"/>
        <v>2519.0100000000002</v>
      </c>
      <c r="I2445" s="120" t="str">
        <f>IF(OR(D2445&lt;Capa!$A$5,D2445&gt;Capa!$A$7,E2445&lt;Capa!$A$5,E2445&gt;Capa!$A$7,D2445&gt;E2445),"Erro","")</f>
        <v/>
      </c>
    </row>
    <row r="2446" spans="1:9" ht="33.75">
      <c r="A2446" s="345">
        <v>2443</v>
      </c>
      <c r="B2446" s="346" t="s">
        <v>258</v>
      </c>
      <c r="C2446" s="347">
        <v>205.08</v>
      </c>
      <c r="D2446" s="348">
        <v>46023</v>
      </c>
      <c r="E2446" s="348">
        <v>46357</v>
      </c>
      <c r="F2446" s="346" t="s">
        <v>642</v>
      </c>
      <c r="G2446" s="350" t="s">
        <v>448</v>
      </c>
      <c r="H2446" s="351">
        <f t="shared" si="42"/>
        <v>2460.96</v>
      </c>
      <c r="I2446" s="120" t="str">
        <f>IF(OR(D2446&lt;Capa!$A$5,D2446&gt;Capa!$A$7,E2446&lt;Capa!$A$5,E2446&gt;Capa!$A$7,D2446&gt;E2446),"Erro","")</f>
        <v/>
      </c>
    </row>
    <row r="2447" spans="1:9" ht="33.75">
      <c r="A2447" s="345">
        <v>2444</v>
      </c>
      <c r="B2447" s="346" t="s">
        <v>258</v>
      </c>
      <c r="C2447" s="347">
        <v>217.06</v>
      </c>
      <c r="D2447" s="348">
        <v>46388</v>
      </c>
      <c r="E2447" s="348">
        <v>46722</v>
      </c>
      <c r="F2447" s="346" t="s">
        <v>642</v>
      </c>
      <c r="G2447" s="350" t="s">
        <v>448</v>
      </c>
      <c r="H2447" s="351">
        <f t="shared" si="42"/>
        <v>2604.7200000000003</v>
      </c>
      <c r="I2447" s="120" t="str">
        <f>IF(OR(D2447&lt;Capa!$A$5,D2447&gt;Capa!$A$7,E2447&lt;Capa!$A$5,E2447&gt;Capa!$A$7,D2447&gt;E2447),"Erro","")</f>
        <v/>
      </c>
    </row>
    <row r="2448" spans="1:9" ht="33.75">
      <c r="A2448" s="345">
        <v>2445</v>
      </c>
      <c r="B2448" s="346" t="s">
        <v>258</v>
      </c>
      <c r="C2448" s="347">
        <v>229.74</v>
      </c>
      <c r="D2448" s="348">
        <v>46753</v>
      </c>
      <c r="E2448" s="348">
        <v>47058</v>
      </c>
      <c r="F2448" s="346" t="s">
        <v>642</v>
      </c>
      <c r="G2448" s="350" t="s">
        <v>448</v>
      </c>
      <c r="H2448" s="351">
        <f t="shared" si="42"/>
        <v>2527.1400000000003</v>
      </c>
      <c r="I2448" s="120" t="str">
        <f>IF(OR(D2448&lt;Capa!$A$5,D2448&gt;Capa!$A$7,E2448&lt;Capa!$A$5,E2448&gt;Capa!$A$7,D2448&gt;E2448),"Erro","")</f>
        <v/>
      </c>
    </row>
    <row r="2449" spans="1:9" ht="56.25">
      <c r="A2449" s="345">
        <v>2446</v>
      </c>
      <c r="B2449" s="346" t="s">
        <v>276</v>
      </c>
      <c r="C2449" s="347">
        <v>670</v>
      </c>
      <c r="D2449" s="348">
        <v>45627</v>
      </c>
      <c r="E2449" s="348">
        <v>45992</v>
      </c>
      <c r="F2449" s="346" t="s">
        <v>642</v>
      </c>
      <c r="G2449" s="350" t="s">
        <v>449</v>
      </c>
      <c r="H2449" s="351">
        <f t="shared" si="42"/>
        <v>8710</v>
      </c>
      <c r="I2449" s="120" t="str">
        <f>IF(OR(D2449&lt;Capa!$A$5,D2449&gt;Capa!$A$7,E2449&lt;Capa!$A$5,E2449&gt;Capa!$A$7,D2449&gt;E2449),"Erro","")</f>
        <v/>
      </c>
    </row>
    <row r="2450" spans="1:9" ht="56.25">
      <c r="A2450" s="345">
        <v>2447</v>
      </c>
      <c r="B2450" s="346" t="s">
        <v>276</v>
      </c>
      <c r="C2450" s="347">
        <v>670</v>
      </c>
      <c r="D2450" s="348">
        <v>46023</v>
      </c>
      <c r="E2450" s="348">
        <v>46357</v>
      </c>
      <c r="F2450" s="346" t="s">
        <v>642</v>
      </c>
      <c r="G2450" s="350" t="s">
        <v>449</v>
      </c>
      <c r="H2450" s="351">
        <f t="shared" si="42"/>
        <v>8040</v>
      </c>
      <c r="I2450" s="120" t="str">
        <f>IF(OR(D2450&lt;Capa!$A$5,D2450&gt;Capa!$A$7,E2450&lt;Capa!$A$5,E2450&gt;Capa!$A$7,D2450&gt;E2450),"Erro","")</f>
        <v/>
      </c>
    </row>
    <row r="2451" spans="1:9" ht="56.25">
      <c r="A2451" s="345">
        <v>2448</v>
      </c>
      <c r="B2451" s="346" t="s">
        <v>276</v>
      </c>
      <c r="C2451" s="347">
        <v>670</v>
      </c>
      <c r="D2451" s="348">
        <v>46388</v>
      </c>
      <c r="E2451" s="348">
        <v>46722</v>
      </c>
      <c r="F2451" s="346" t="s">
        <v>642</v>
      </c>
      <c r="G2451" s="350" t="s">
        <v>449</v>
      </c>
      <c r="H2451" s="351">
        <f t="shared" si="42"/>
        <v>8040</v>
      </c>
      <c r="I2451" s="120" t="str">
        <f>IF(OR(D2451&lt;Capa!$A$5,D2451&gt;Capa!$A$7,E2451&lt;Capa!$A$5,E2451&gt;Capa!$A$7,D2451&gt;E2451),"Erro","")</f>
        <v/>
      </c>
    </row>
    <row r="2452" spans="1:9" ht="56.25">
      <c r="A2452" s="345">
        <v>2449</v>
      </c>
      <c r="B2452" s="346" t="s">
        <v>276</v>
      </c>
      <c r="C2452" s="347">
        <v>670</v>
      </c>
      <c r="D2452" s="348">
        <v>46753</v>
      </c>
      <c r="E2452" s="348">
        <v>47058</v>
      </c>
      <c r="F2452" s="346" t="s">
        <v>642</v>
      </c>
      <c r="G2452" s="350" t="s">
        <v>449</v>
      </c>
      <c r="H2452" s="351">
        <f t="shared" si="42"/>
        <v>7370</v>
      </c>
      <c r="I2452" s="120" t="str">
        <f>IF(OR(D2452&lt;Capa!$A$5,D2452&gt;Capa!$A$7,E2452&lt;Capa!$A$5,E2452&gt;Capa!$A$7,D2452&gt;E2452),"Erro","")</f>
        <v/>
      </c>
    </row>
    <row r="2453" spans="1:9" ht="45">
      <c r="A2453" s="345">
        <v>2450</v>
      </c>
      <c r="B2453" s="346" t="s">
        <v>278</v>
      </c>
      <c r="C2453" s="347">
        <v>42000</v>
      </c>
      <c r="D2453" s="348">
        <v>45689</v>
      </c>
      <c r="E2453" s="348">
        <v>45992</v>
      </c>
      <c r="F2453" s="346" t="s">
        <v>642</v>
      </c>
      <c r="G2453" s="350" t="s">
        <v>450</v>
      </c>
      <c r="H2453" s="351">
        <f t="shared" si="42"/>
        <v>462000</v>
      </c>
      <c r="I2453" s="120" t="str">
        <f>IF(OR(D2453&lt;Capa!$A$5,D2453&gt;Capa!$A$7,E2453&lt;Capa!$A$5,E2453&gt;Capa!$A$7,D2453&gt;E2453),"Erro","")</f>
        <v/>
      </c>
    </row>
    <row r="2454" spans="1:9" ht="45">
      <c r="A2454" s="345">
        <v>2451</v>
      </c>
      <c r="B2454" s="346" t="s">
        <v>278</v>
      </c>
      <c r="C2454" s="347">
        <v>45562</v>
      </c>
      <c r="D2454" s="348">
        <v>46023</v>
      </c>
      <c r="E2454" s="348">
        <v>46357</v>
      </c>
      <c r="F2454" s="346" t="s">
        <v>642</v>
      </c>
      <c r="G2454" s="350" t="s">
        <v>450</v>
      </c>
      <c r="H2454" s="351">
        <f t="shared" si="42"/>
        <v>546744</v>
      </c>
      <c r="I2454" s="120" t="str">
        <f>IF(OR(D2454&lt;Capa!$A$5,D2454&gt;Capa!$A$7,E2454&lt;Capa!$A$5,E2454&gt;Capa!$A$7,D2454&gt;E2454),"Erro","")</f>
        <v/>
      </c>
    </row>
    <row r="2455" spans="1:9" ht="45">
      <c r="A2455" s="345">
        <v>2452</v>
      </c>
      <c r="B2455" s="346" t="s">
        <v>278</v>
      </c>
      <c r="C2455" s="347">
        <v>48222.82</v>
      </c>
      <c r="D2455" s="348">
        <v>46388</v>
      </c>
      <c r="E2455" s="348">
        <v>46722</v>
      </c>
      <c r="F2455" s="346" t="s">
        <v>642</v>
      </c>
      <c r="G2455" s="350" t="s">
        <v>450</v>
      </c>
      <c r="H2455" s="351">
        <f t="shared" si="42"/>
        <v>578673.84</v>
      </c>
      <c r="I2455" s="120" t="str">
        <f>IF(OR(D2455&lt;Capa!$A$5,D2455&gt;Capa!$A$7,E2455&lt;Capa!$A$5,E2455&gt;Capa!$A$7,D2455&gt;E2455),"Erro","")</f>
        <v/>
      </c>
    </row>
    <row r="2456" spans="1:9" ht="45">
      <c r="A2456" s="345">
        <v>2453</v>
      </c>
      <c r="B2456" s="346" t="s">
        <v>278</v>
      </c>
      <c r="C2456" s="347">
        <v>51039.03</v>
      </c>
      <c r="D2456" s="348">
        <v>46753</v>
      </c>
      <c r="E2456" s="348">
        <v>47058</v>
      </c>
      <c r="F2456" s="346" t="s">
        <v>642</v>
      </c>
      <c r="G2456" s="350" t="s">
        <v>450</v>
      </c>
      <c r="H2456" s="351">
        <f t="shared" si="42"/>
        <v>561429.32999999996</v>
      </c>
      <c r="I2456" s="120" t="str">
        <f>IF(OR(D2456&lt;Capa!$A$5,D2456&gt;Capa!$A$7,E2456&lt;Capa!$A$5,E2456&gt;Capa!$A$7,D2456&gt;E2456),"Erro","")</f>
        <v/>
      </c>
    </row>
    <row r="2457" spans="1:9" ht="56.25">
      <c r="A2457" s="345">
        <v>2454</v>
      </c>
      <c r="B2457" s="346" t="s">
        <v>280</v>
      </c>
      <c r="C2457" s="347">
        <v>70272.81</v>
      </c>
      <c r="D2457" s="348">
        <v>45689</v>
      </c>
      <c r="E2457" s="348">
        <v>45992</v>
      </c>
      <c r="F2457" s="346" t="s">
        <v>642</v>
      </c>
      <c r="G2457" s="350" t="s">
        <v>451</v>
      </c>
      <c r="H2457" s="351">
        <f t="shared" si="42"/>
        <v>773000.90999999992</v>
      </c>
      <c r="I2457" s="120" t="str">
        <f>IF(OR(D2457&lt;Capa!$A$5,D2457&gt;Capa!$A$7,E2457&lt;Capa!$A$5,E2457&gt;Capa!$A$7,D2457&gt;E2457),"Erro","")</f>
        <v/>
      </c>
    </row>
    <row r="2458" spans="1:9" ht="56.25">
      <c r="A2458" s="345">
        <v>2455</v>
      </c>
      <c r="B2458" s="346" t="s">
        <v>280</v>
      </c>
      <c r="C2458" s="347">
        <v>100</v>
      </c>
      <c r="D2458" s="348">
        <v>46023</v>
      </c>
      <c r="E2458" s="348">
        <v>46357</v>
      </c>
      <c r="F2458" s="346" t="s">
        <v>642</v>
      </c>
      <c r="G2458" s="350" t="s">
        <v>451</v>
      </c>
      <c r="H2458" s="351">
        <f t="shared" si="42"/>
        <v>1200</v>
      </c>
      <c r="I2458" s="120" t="str">
        <f>IF(OR(D2458&lt;Capa!$A$5,D2458&gt;Capa!$A$7,E2458&lt;Capa!$A$5,E2458&gt;Capa!$A$7,D2458&gt;E2458),"Erro","")</f>
        <v/>
      </c>
    </row>
    <row r="2459" spans="1:9" ht="56.25">
      <c r="A2459" s="345">
        <v>2456</v>
      </c>
      <c r="B2459" s="346" t="s">
        <v>280</v>
      </c>
      <c r="C2459" s="347">
        <v>100</v>
      </c>
      <c r="D2459" s="348">
        <v>46388</v>
      </c>
      <c r="E2459" s="348">
        <v>46722</v>
      </c>
      <c r="F2459" s="346" t="s">
        <v>642</v>
      </c>
      <c r="G2459" s="350" t="s">
        <v>451</v>
      </c>
      <c r="H2459" s="351">
        <f t="shared" si="42"/>
        <v>1200</v>
      </c>
      <c r="I2459" s="120" t="str">
        <f>IF(OR(D2459&lt;Capa!$A$5,D2459&gt;Capa!$A$7,E2459&lt;Capa!$A$5,E2459&gt;Capa!$A$7,D2459&gt;E2459),"Erro","")</f>
        <v/>
      </c>
    </row>
    <row r="2460" spans="1:9" ht="56.25">
      <c r="A2460" s="345">
        <v>2457</v>
      </c>
      <c r="B2460" s="346" t="s">
        <v>280</v>
      </c>
      <c r="C2460" s="347">
        <v>100</v>
      </c>
      <c r="D2460" s="348">
        <v>46753</v>
      </c>
      <c r="E2460" s="348">
        <v>47058</v>
      </c>
      <c r="F2460" s="346" t="s">
        <v>642</v>
      </c>
      <c r="G2460" s="350" t="s">
        <v>451</v>
      </c>
      <c r="H2460" s="351">
        <f t="shared" si="42"/>
        <v>1100</v>
      </c>
      <c r="I2460" s="120" t="str">
        <f>IF(OR(D2460&lt;Capa!$A$5,D2460&gt;Capa!$A$7,E2460&lt;Capa!$A$5,E2460&gt;Capa!$A$7,D2460&gt;E2460),"Erro","")</f>
        <v/>
      </c>
    </row>
    <row r="2461" spans="1:9" ht="45">
      <c r="A2461" s="345">
        <v>2458</v>
      </c>
      <c r="B2461" s="346" t="s">
        <v>282</v>
      </c>
      <c r="C2461" s="347">
        <v>743.18</v>
      </c>
      <c r="D2461" s="348">
        <v>45689</v>
      </c>
      <c r="E2461" s="348">
        <v>45992</v>
      </c>
      <c r="F2461" s="346" t="s">
        <v>642</v>
      </c>
      <c r="G2461" s="350" t="s">
        <v>452</v>
      </c>
      <c r="H2461" s="351">
        <f t="shared" si="42"/>
        <v>8174.98</v>
      </c>
      <c r="I2461" s="120" t="str">
        <f>IF(OR(D2461&lt;Capa!$A$5,D2461&gt;Capa!$A$7,E2461&lt;Capa!$A$5,E2461&gt;Capa!$A$7,D2461&gt;E2461),"Erro","")</f>
        <v/>
      </c>
    </row>
    <row r="2462" spans="1:9" ht="45">
      <c r="A2462" s="345">
        <v>2459</v>
      </c>
      <c r="B2462" s="346" t="s">
        <v>282</v>
      </c>
      <c r="C2462" s="347">
        <v>786.59</v>
      </c>
      <c r="D2462" s="348">
        <v>46023</v>
      </c>
      <c r="E2462" s="348">
        <v>46357</v>
      </c>
      <c r="F2462" s="346" t="s">
        <v>642</v>
      </c>
      <c r="G2462" s="350" t="s">
        <v>452</v>
      </c>
      <c r="H2462" s="351">
        <f t="shared" si="42"/>
        <v>9439.08</v>
      </c>
      <c r="I2462" s="120" t="str">
        <f>IF(OR(D2462&lt;Capa!$A$5,D2462&gt;Capa!$A$7,E2462&lt;Capa!$A$5,E2462&gt;Capa!$A$7,D2462&gt;E2462),"Erro","")</f>
        <v/>
      </c>
    </row>
    <row r="2463" spans="1:9" ht="45">
      <c r="A2463" s="345">
        <v>2460</v>
      </c>
      <c r="B2463" s="346" t="s">
        <v>282</v>
      </c>
      <c r="C2463" s="347">
        <v>832.52</v>
      </c>
      <c r="D2463" s="348">
        <v>46388</v>
      </c>
      <c r="E2463" s="348">
        <v>46722</v>
      </c>
      <c r="F2463" s="346" t="s">
        <v>642</v>
      </c>
      <c r="G2463" s="350" t="s">
        <v>452</v>
      </c>
      <c r="H2463" s="351">
        <f t="shared" si="42"/>
        <v>9990.24</v>
      </c>
      <c r="I2463" s="120" t="str">
        <f>IF(OR(D2463&lt;Capa!$A$5,D2463&gt;Capa!$A$7,E2463&lt;Capa!$A$5,E2463&gt;Capa!$A$7,D2463&gt;E2463),"Erro","")</f>
        <v/>
      </c>
    </row>
    <row r="2464" spans="1:9" ht="45">
      <c r="A2464" s="345">
        <v>2461</v>
      </c>
      <c r="B2464" s="346" t="s">
        <v>282</v>
      </c>
      <c r="C2464" s="347">
        <v>881.14</v>
      </c>
      <c r="D2464" s="348">
        <v>46753</v>
      </c>
      <c r="E2464" s="348">
        <v>47058</v>
      </c>
      <c r="F2464" s="346" t="s">
        <v>642</v>
      </c>
      <c r="G2464" s="350" t="s">
        <v>452</v>
      </c>
      <c r="H2464" s="351">
        <f t="shared" si="42"/>
        <v>9692.5399999999991</v>
      </c>
      <c r="I2464" s="120" t="str">
        <f>IF(OR(D2464&lt;Capa!$A$5,D2464&gt;Capa!$A$7,E2464&lt;Capa!$A$5,E2464&gt;Capa!$A$7,D2464&gt;E2464),"Erro","")</f>
        <v/>
      </c>
    </row>
    <row r="2465" spans="1:9" ht="45">
      <c r="A2465" s="345">
        <v>2462</v>
      </c>
      <c r="B2465" s="346" t="s">
        <v>284</v>
      </c>
      <c r="C2465" s="347">
        <v>1072.49</v>
      </c>
      <c r="D2465" s="348">
        <v>45689</v>
      </c>
      <c r="E2465" s="348">
        <v>45992</v>
      </c>
      <c r="F2465" s="346" t="s">
        <v>642</v>
      </c>
      <c r="G2465" s="350" t="s">
        <v>452</v>
      </c>
      <c r="H2465" s="351">
        <f t="shared" si="42"/>
        <v>11797.39</v>
      </c>
      <c r="I2465" s="120" t="str">
        <f>IF(OR(D2465&lt;Capa!$A$5,D2465&gt;Capa!$A$7,E2465&lt;Capa!$A$5,E2465&gt;Capa!$A$7,D2465&gt;E2465),"Erro","")</f>
        <v/>
      </c>
    </row>
    <row r="2466" spans="1:9" ht="45">
      <c r="A2466" s="345">
        <v>2463</v>
      </c>
      <c r="B2466" s="346" t="s">
        <v>284</v>
      </c>
      <c r="C2466" s="347">
        <v>1135.1199999999999</v>
      </c>
      <c r="D2466" s="348">
        <v>46023</v>
      </c>
      <c r="E2466" s="348">
        <v>46357</v>
      </c>
      <c r="F2466" s="346" t="s">
        <v>642</v>
      </c>
      <c r="G2466" s="350" t="s">
        <v>452</v>
      </c>
      <c r="H2466" s="351">
        <f t="shared" si="42"/>
        <v>13621.439999999999</v>
      </c>
      <c r="I2466" s="120" t="str">
        <f>IF(OR(D2466&lt;Capa!$A$5,D2466&gt;Capa!$A$7,E2466&lt;Capa!$A$5,E2466&gt;Capa!$A$7,D2466&gt;E2466),"Erro","")</f>
        <v/>
      </c>
    </row>
    <row r="2467" spans="1:9" ht="45">
      <c r="A2467" s="345">
        <v>2464</v>
      </c>
      <c r="B2467" s="346" t="s">
        <v>284</v>
      </c>
      <c r="C2467" s="347">
        <v>1201.42</v>
      </c>
      <c r="D2467" s="348">
        <v>46388</v>
      </c>
      <c r="E2467" s="348">
        <v>46722</v>
      </c>
      <c r="F2467" s="346" t="s">
        <v>642</v>
      </c>
      <c r="G2467" s="350" t="s">
        <v>452</v>
      </c>
      <c r="H2467" s="351">
        <f t="shared" si="42"/>
        <v>14417.04</v>
      </c>
      <c r="I2467" s="120" t="str">
        <f>IF(OR(D2467&lt;Capa!$A$5,D2467&gt;Capa!$A$7,E2467&lt;Capa!$A$5,E2467&gt;Capa!$A$7,D2467&gt;E2467),"Erro","")</f>
        <v/>
      </c>
    </row>
    <row r="2468" spans="1:9" ht="45">
      <c r="A2468" s="345">
        <v>2465</v>
      </c>
      <c r="B2468" s="346" t="s">
        <v>284</v>
      </c>
      <c r="C2468" s="347">
        <v>1271.58</v>
      </c>
      <c r="D2468" s="348">
        <v>46753</v>
      </c>
      <c r="E2468" s="348">
        <v>47058</v>
      </c>
      <c r="F2468" s="346" t="s">
        <v>642</v>
      </c>
      <c r="G2468" s="350" t="s">
        <v>452</v>
      </c>
      <c r="H2468" s="351">
        <f t="shared" si="42"/>
        <v>13987.38</v>
      </c>
      <c r="I2468" s="120" t="str">
        <f>IF(OR(D2468&lt;Capa!$A$5,D2468&gt;Capa!$A$7,E2468&lt;Capa!$A$5,E2468&gt;Capa!$A$7,D2468&gt;E2468),"Erro","")</f>
        <v/>
      </c>
    </row>
    <row r="2469" spans="1:9" ht="45">
      <c r="A2469" s="345">
        <v>2466</v>
      </c>
      <c r="B2469" s="346" t="s">
        <v>286</v>
      </c>
      <c r="C2469" s="347">
        <v>1072.49</v>
      </c>
      <c r="D2469" s="348">
        <v>45689</v>
      </c>
      <c r="E2469" s="348">
        <v>45992</v>
      </c>
      <c r="F2469" s="346" t="s">
        <v>642</v>
      </c>
      <c r="G2469" s="350" t="s">
        <v>452</v>
      </c>
      <c r="H2469" s="351">
        <f t="shared" si="42"/>
        <v>11797.39</v>
      </c>
      <c r="I2469" s="120" t="str">
        <f>IF(OR(D2469&lt;Capa!$A$5,D2469&gt;Capa!$A$7,E2469&lt;Capa!$A$5,E2469&gt;Capa!$A$7,D2469&gt;E2469),"Erro","")</f>
        <v/>
      </c>
    </row>
    <row r="2470" spans="1:9" ht="45">
      <c r="A2470" s="345">
        <v>2467</v>
      </c>
      <c r="B2470" s="346" t="s">
        <v>286</v>
      </c>
      <c r="C2470" s="347">
        <v>1135.1199999999999</v>
      </c>
      <c r="D2470" s="348">
        <v>46023</v>
      </c>
      <c r="E2470" s="348">
        <v>46357</v>
      </c>
      <c r="F2470" s="346" t="s">
        <v>642</v>
      </c>
      <c r="G2470" s="350" t="s">
        <v>452</v>
      </c>
      <c r="H2470" s="351">
        <f t="shared" si="42"/>
        <v>13621.439999999999</v>
      </c>
      <c r="I2470" s="120" t="str">
        <f>IF(OR(D2470&lt;Capa!$A$5,D2470&gt;Capa!$A$7,E2470&lt;Capa!$A$5,E2470&gt;Capa!$A$7,D2470&gt;E2470),"Erro","")</f>
        <v/>
      </c>
    </row>
    <row r="2471" spans="1:9" ht="45">
      <c r="A2471" s="345">
        <v>2468</v>
      </c>
      <c r="B2471" s="346" t="s">
        <v>286</v>
      </c>
      <c r="C2471" s="347">
        <v>1201.4100000000001</v>
      </c>
      <c r="D2471" s="348">
        <v>46388</v>
      </c>
      <c r="E2471" s="348">
        <v>46722</v>
      </c>
      <c r="F2471" s="346" t="s">
        <v>642</v>
      </c>
      <c r="G2471" s="350" t="s">
        <v>452</v>
      </c>
      <c r="H2471" s="351">
        <f t="shared" si="42"/>
        <v>14416.920000000002</v>
      </c>
      <c r="I2471" s="120" t="str">
        <f>IF(OR(D2471&lt;Capa!$A$5,D2471&gt;Capa!$A$7,E2471&lt;Capa!$A$5,E2471&gt;Capa!$A$7,D2471&gt;E2471),"Erro","")</f>
        <v/>
      </c>
    </row>
    <row r="2472" spans="1:9" ht="45">
      <c r="A2472" s="345">
        <v>2469</v>
      </c>
      <c r="B2472" s="346" t="s">
        <v>286</v>
      </c>
      <c r="C2472" s="347">
        <v>1271.57</v>
      </c>
      <c r="D2472" s="348">
        <v>46753</v>
      </c>
      <c r="E2472" s="348">
        <v>47058</v>
      </c>
      <c r="F2472" s="346" t="s">
        <v>642</v>
      </c>
      <c r="G2472" s="350" t="s">
        <v>452</v>
      </c>
      <c r="H2472" s="351">
        <f t="shared" si="42"/>
        <v>13987.269999999999</v>
      </c>
      <c r="I2472" s="120" t="str">
        <f>IF(OR(D2472&lt;Capa!$A$5,D2472&gt;Capa!$A$7,E2472&lt;Capa!$A$5,E2472&gt;Capa!$A$7,D2472&gt;E2472),"Erro","")</f>
        <v/>
      </c>
    </row>
    <row r="2473" spans="1:9" ht="45">
      <c r="A2473" s="345">
        <v>2470</v>
      </c>
      <c r="B2473" s="346" t="s">
        <v>288</v>
      </c>
      <c r="C2473" s="347">
        <v>200</v>
      </c>
      <c r="D2473" s="348">
        <v>45689</v>
      </c>
      <c r="E2473" s="348">
        <v>45992</v>
      </c>
      <c r="F2473" s="346" t="s">
        <v>642</v>
      </c>
      <c r="G2473" s="350" t="s">
        <v>453</v>
      </c>
      <c r="H2473" s="351">
        <f t="shared" si="42"/>
        <v>2200</v>
      </c>
      <c r="I2473" s="120" t="str">
        <f>IF(OR(D2473&lt;Capa!$A$5,D2473&gt;Capa!$A$7,E2473&lt;Capa!$A$5,E2473&gt;Capa!$A$7,D2473&gt;E2473),"Erro","")</f>
        <v/>
      </c>
    </row>
    <row r="2474" spans="1:9" ht="45">
      <c r="A2474" s="345">
        <v>2471</v>
      </c>
      <c r="B2474" s="346" t="s">
        <v>288</v>
      </c>
      <c r="C2474" s="347">
        <v>200</v>
      </c>
      <c r="D2474" s="348">
        <v>46023</v>
      </c>
      <c r="E2474" s="348">
        <v>46357</v>
      </c>
      <c r="F2474" s="346" t="s">
        <v>642</v>
      </c>
      <c r="G2474" s="350" t="s">
        <v>453</v>
      </c>
      <c r="H2474" s="351">
        <f t="shared" si="42"/>
        <v>2400</v>
      </c>
      <c r="I2474" s="120" t="str">
        <f>IF(OR(D2474&lt;Capa!$A$5,D2474&gt;Capa!$A$7,E2474&lt;Capa!$A$5,E2474&gt;Capa!$A$7,D2474&gt;E2474),"Erro","")</f>
        <v/>
      </c>
    </row>
    <row r="2475" spans="1:9" ht="45">
      <c r="A2475" s="345">
        <v>2472</v>
      </c>
      <c r="B2475" s="346" t="s">
        <v>288</v>
      </c>
      <c r="C2475" s="347">
        <v>200</v>
      </c>
      <c r="D2475" s="348">
        <v>46388</v>
      </c>
      <c r="E2475" s="348">
        <v>46722</v>
      </c>
      <c r="F2475" s="346" t="s">
        <v>642</v>
      </c>
      <c r="G2475" s="350" t="s">
        <v>453</v>
      </c>
      <c r="H2475" s="351">
        <f t="shared" si="42"/>
        <v>2400</v>
      </c>
      <c r="I2475" s="120" t="str">
        <f>IF(OR(D2475&lt;Capa!$A$5,D2475&gt;Capa!$A$7,E2475&lt;Capa!$A$5,E2475&gt;Capa!$A$7,D2475&gt;E2475),"Erro","")</f>
        <v/>
      </c>
    </row>
    <row r="2476" spans="1:9" ht="45">
      <c r="A2476" s="345">
        <v>2473</v>
      </c>
      <c r="B2476" s="346" t="s">
        <v>288</v>
      </c>
      <c r="C2476" s="347">
        <v>200</v>
      </c>
      <c r="D2476" s="348">
        <v>46753</v>
      </c>
      <c r="E2476" s="348">
        <v>47058</v>
      </c>
      <c r="F2476" s="346" t="s">
        <v>642</v>
      </c>
      <c r="G2476" s="350" t="s">
        <v>453</v>
      </c>
      <c r="H2476" s="351">
        <f t="shared" si="42"/>
        <v>2200</v>
      </c>
      <c r="I2476" s="120" t="str">
        <f>IF(OR(D2476&lt;Capa!$A$5,D2476&gt;Capa!$A$7,E2476&lt;Capa!$A$5,E2476&gt;Capa!$A$7,D2476&gt;E2476),"Erro","")</f>
        <v/>
      </c>
    </row>
    <row r="2477" spans="1:9" ht="33.75">
      <c r="A2477" s="345">
        <v>2474</v>
      </c>
      <c r="B2477" s="346" t="s">
        <v>294</v>
      </c>
      <c r="C2477" s="347">
        <v>7000</v>
      </c>
      <c r="D2477" s="348">
        <v>45689</v>
      </c>
      <c r="E2477" s="348">
        <v>45992</v>
      </c>
      <c r="F2477" s="346" t="s">
        <v>642</v>
      </c>
      <c r="G2477" s="350" t="s">
        <v>454</v>
      </c>
      <c r="H2477" s="351">
        <f t="shared" si="42"/>
        <v>77000</v>
      </c>
      <c r="I2477" s="120" t="str">
        <f>IF(OR(D2477&lt;Capa!$A$5,D2477&gt;Capa!$A$7,E2477&lt;Capa!$A$5,E2477&gt;Capa!$A$7,D2477&gt;E2477),"Erro","")</f>
        <v/>
      </c>
    </row>
    <row r="2478" spans="1:9" ht="33.75">
      <c r="A2478" s="345">
        <v>2475</v>
      </c>
      <c r="B2478" s="346" t="s">
        <v>294</v>
      </c>
      <c r="C2478" s="347">
        <v>7408.8</v>
      </c>
      <c r="D2478" s="348">
        <v>46023</v>
      </c>
      <c r="E2478" s="348">
        <v>46357</v>
      </c>
      <c r="F2478" s="346" t="s">
        <v>642</v>
      </c>
      <c r="G2478" s="350" t="s">
        <v>454</v>
      </c>
      <c r="H2478" s="351">
        <f t="shared" si="42"/>
        <v>88905.600000000006</v>
      </c>
      <c r="I2478" s="120" t="str">
        <f>IF(OR(D2478&lt;Capa!$A$5,D2478&gt;Capa!$A$7,E2478&lt;Capa!$A$5,E2478&gt;Capa!$A$7,D2478&gt;E2478),"Erro","")</f>
        <v/>
      </c>
    </row>
    <row r="2479" spans="1:9" ht="33.75">
      <c r="A2479" s="345">
        <v>2476</v>
      </c>
      <c r="B2479" s="346" t="s">
        <v>294</v>
      </c>
      <c r="C2479" s="347">
        <v>7847.65</v>
      </c>
      <c r="D2479" s="348">
        <v>46388</v>
      </c>
      <c r="E2479" s="348">
        <v>46722</v>
      </c>
      <c r="F2479" s="346" t="s">
        <v>642</v>
      </c>
      <c r="G2479" s="350" t="s">
        <v>454</v>
      </c>
      <c r="H2479" s="351">
        <f t="shared" si="42"/>
        <v>94171.799999999988</v>
      </c>
      <c r="I2479" s="120" t="str">
        <f>IF(OR(D2479&lt;Capa!$A$5,D2479&gt;Capa!$A$7,E2479&lt;Capa!$A$5,E2479&gt;Capa!$A$7,D2479&gt;E2479),"Erro","")</f>
        <v/>
      </c>
    </row>
    <row r="2480" spans="1:9" ht="33.75">
      <c r="A2480" s="345">
        <v>2477</v>
      </c>
      <c r="B2480" s="346" t="s">
        <v>294</v>
      </c>
      <c r="C2480" s="347">
        <v>8305.9500000000007</v>
      </c>
      <c r="D2480" s="348">
        <v>46753</v>
      </c>
      <c r="E2480" s="348">
        <v>47058</v>
      </c>
      <c r="F2480" s="346" t="s">
        <v>642</v>
      </c>
      <c r="G2480" s="350" t="s">
        <v>454</v>
      </c>
      <c r="H2480" s="351">
        <f t="shared" si="42"/>
        <v>91365.450000000012</v>
      </c>
      <c r="I2480" s="120" t="str">
        <f>IF(OR(D2480&lt;Capa!$A$5,D2480&gt;Capa!$A$7,E2480&lt;Capa!$A$5,E2480&gt;Capa!$A$7,D2480&gt;E2480),"Erro","")</f>
        <v/>
      </c>
    </row>
    <row r="2481" spans="1:9" ht="22.5">
      <c r="A2481" s="345">
        <v>2478</v>
      </c>
      <c r="B2481" s="346" t="s">
        <v>302</v>
      </c>
      <c r="C2481" s="347">
        <v>250</v>
      </c>
      <c r="D2481" s="348">
        <v>45689</v>
      </c>
      <c r="E2481" s="348">
        <v>45992</v>
      </c>
      <c r="F2481" s="346" t="s">
        <v>642</v>
      </c>
      <c r="G2481" s="350" t="s">
        <v>455</v>
      </c>
      <c r="H2481" s="351">
        <f t="shared" ref="H2481:H2540" si="43">IFERROR((DATEDIF(D2481,E2481,"M")+1)*C2481,0)</f>
        <v>2750</v>
      </c>
      <c r="I2481" s="120" t="str">
        <f>IF(OR(D2481&lt;Capa!$A$5,D2481&gt;Capa!$A$7,E2481&lt;Capa!$A$5,E2481&gt;Capa!$A$7,D2481&gt;E2481),"Erro","")</f>
        <v/>
      </c>
    </row>
    <row r="2482" spans="1:9" ht="22.5">
      <c r="A2482" s="345">
        <v>2479</v>
      </c>
      <c r="B2482" s="346" t="s">
        <v>302</v>
      </c>
      <c r="C2482" s="347">
        <v>250</v>
      </c>
      <c r="D2482" s="348">
        <v>46023</v>
      </c>
      <c r="E2482" s="348">
        <v>46357</v>
      </c>
      <c r="F2482" s="346" t="s">
        <v>642</v>
      </c>
      <c r="G2482" s="350" t="s">
        <v>455</v>
      </c>
      <c r="H2482" s="351">
        <f t="shared" si="43"/>
        <v>3000</v>
      </c>
      <c r="I2482" s="120" t="str">
        <f>IF(OR(D2482&lt;Capa!$A$5,D2482&gt;Capa!$A$7,E2482&lt;Capa!$A$5,E2482&gt;Capa!$A$7,D2482&gt;E2482),"Erro","")</f>
        <v/>
      </c>
    </row>
    <row r="2483" spans="1:9" ht="22.5">
      <c r="A2483" s="345">
        <v>2480</v>
      </c>
      <c r="B2483" s="346" t="s">
        <v>302</v>
      </c>
      <c r="C2483" s="347">
        <v>250</v>
      </c>
      <c r="D2483" s="348">
        <v>46388</v>
      </c>
      <c r="E2483" s="348">
        <v>46722</v>
      </c>
      <c r="F2483" s="346" t="s">
        <v>642</v>
      </c>
      <c r="G2483" s="350" t="s">
        <v>455</v>
      </c>
      <c r="H2483" s="351">
        <f t="shared" si="43"/>
        <v>3000</v>
      </c>
      <c r="I2483" s="120" t="str">
        <f>IF(OR(D2483&lt;Capa!$A$5,D2483&gt;Capa!$A$7,E2483&lt;Capa!$A$5,E2483&gt;Capa!$A$7,D2483&gt;E2483),"Erro","")</f>
        <v/>
      </c>
    </row>
    <row r="2484" spans="1:9" ht="22.5">
      <c r="A2484" s="345">
        <v>2481</v>
      </c>
      <c r="B2484" s="346" t="s">
        <v>302</v>
      </c>
      <c r="C2484" s="347">
        <v>250</v>
      </c>
      <c r="D2484" s="348">
        <v>46753</v>
      </c>
      <c r="E2484" s="348">
        <v>47058</v>
      </c>
      <c r="F2484" s="346" t="s">
        <v>642</v>
      </c>
      <c r="G2484" s="350" t="s">
        <v>455</v>
      </c>
      <c r="H2484" s="351">
        <f t="shared" si="43"/>
        <v>2750</v>
      </c>
      <c r="I2484" s="120" t="str">
        <f>IF(OR(D2484&lt;Capa!$A$5,D2484&gt;Capa!$A$7,E2484&lt;Capa!$A$5,E2484&gt;Capa!$A$7,D2484&gt;E2484),"Erro","")</f>
        <v/>
      </c>
    </row>
    <row r="2485" spans="1:9" ht="33.75">
      <c r="A2485" s="345">
        <v>2482</v>
      </c>
      <c r="B2485" s="346" t="s">
        <v>304</v>
      </c>
      <c r="C2485" s="347">
        <v>1905.12</v>
      </c>
      <c r="D2485" s="348">
        <v>45627</v>
      </c>
      <c r="E2485" s="348">
        <v>45992</v>
      </c>
      <c r="F2485" s="346" t="s">
        <v>642</v>
      </c>
      <c r="G2485" s="350" t="s">
        <v>456</v>
      </c>
      <c r="H2485" s="351">
        <f t="shared" si="43"/>
        <v>24766.559999999998</v>
      </c>
      <c r="I2485" s="120" t="str">
        <f>IF(OR(D2485&lt;Capa!$A$5,D2485&gt;Capa!$A$7,E2485&lt;Capa!$A$5,E2485&gt;Capa!$A$7,D2485&gt;E2485),"Erro","")</f>
        <v/>
      </c>
    </row>
    <row r="2486" spans="1:9" ht="33.75">
      <c r="A2486" s="345">
        <v>2483</v>
      </c>
      <c r="B2486" s="346" t="s">
        <v>304</v>
      </c>
      <c r="C2486" s="347">
        <v>2016.37</v>
      </c>
      <c r="D2486" s="348">
        <v>46023</v>
      </c>
      <c r="E2486" s="348">
        <v>46357</v>
      </c>
      <c r="F2486" s="346" t="s">
        <v>642</v>
      </c>
      <c r="G2486" s="350" t="s">
        <v>456</v>
      </c>
      <c r="H2486" s="351">
        <f t="shared" si="43"/>
        <v>24196.44</v>
      </c>
      <c r="I2486" s="120" t="str">
        <f>IF(OR(D2486&lt;Capa!$A$5,D2486&gt;Capa!$A$7,E2486&lt;Capa!$A$5,E2486&gt;Capa!$A$7,D2486&gt;E2486),"Erro","")</f>
        <v/>
      </c>
    </row>
    <row r="2487" spans="1:9" ht="33.75">
      <c r="A2487" s="345">
        <v>2484</v>
      </c>
      <c r="B2487" s="346" t="s">
        <v>304</v>
      </c>
      <c r="C2487" s="347">
        <v>2134.13</v>
      </c>
      <c r="D2487" s="348">
        <v>46388</v>
      </c>
      <c r="E2487" s="348">
        <v>46722</v>
      </c>
      <c r="F2487" s="346" t="s">
        <v>642</v>
      </c>
      <c r="G2487" s="350" t="s">
        <v>456</v>
      </c>
      <c r="H2487" s="351">
        <f t="shared" si="43"/>
        <v>25609.56</v>
      </c>
      <c r="I2487" s="120" t="str">
        <f>IF(OR(D2487&lt;Capa!$A$5,D2487&gt;Capa!$A$7,E2487&lt;Capa!$A$5,E2487&gt;Capa!$A$7,D2487&gt;E2487),"Erro","")</f>
        <v/>
      </c>
    </row>
    <row r="2488" spans="1:9" ht="33.75">
      <c r="A2488" s="345">
        <v>2485</v>
      </c>
      <c r="B2488" s="346" t="s">
        <v>304</v>
      </c>
      <c r="C2488" s="347">
        <v>2258.7600000000002</v>
      </c>
      <c r="D2488" s="348">
        <v>46753</v>
      </c>
      <c r="E2488" s="348">
        <v>47058</v>
      </c>
      <c r="F2488" s="346" t="s">
        <v>642</v>
      </c>
      <c r="G2488" s="350" t="s">
        <v>456</v>
      </c>
      <c r="H2488" s="351">
        <f t="shared" si="43"/>
        <v>24846.36</v>
      </c>
      <c r="I2488" s="120" t="str">
        <f>IF(OR(D2488&lt;Capa!$A$5,D2488&gt;Capa!$A$7,E2488&lt;Capa!$A$5,E2488&gt;Capa!$A$7,D2488&gt;E2488),"Erro","")</f>
        <v/>
      </c>
    </row>
    <row r="2489" spans="1:9" ht="33.75">
      <c r="A2489" s="345">
        <v>2486</v>
      </c>
      <c r="B2489" s="346" t="s">
        <v>312</v>
      </c>
      <c r="C2489" s="347">
        <v>280</v>
      </c>
      <c r="D2489" s="348">
        <v>45627</v>
      </c>
      <c r="E2489" s="348">
        <v>45992</v>
      </c>
      <c r="F2489" s="346" t="s">
        <v>642</v>
      </c>
      <c r="G2489" s="350" t="s">
        <v>593</v>
      </c>
      <c r="H2489" s="351">
        <f t="shared" si="43"/>
        <v>3640</v>
      </c>
      <c r="I2489" s="120" t="str">
        <f>IF(OR(D2489&lt;Capa!$A$5,D2489&gt;Capa!$A$7,E2489&lt;Capa!$A$5,E2489&gt;Capa!$A$7,D2489&gt;E2489),"Erro","")</f>
        <v/>
      </c>
    </row>
    <row r="2490" spans="1:9" ht="33.75">
      <c r="A2490" s="345">
        <v>2487</v>
      </c>
      <c r="B2490" s="346" t="s">
        <v>312</v>
      </c>
      <c r="C2490" s="347">
        <v>280</v>
      </c>
      <c r="D2490" s="348">
        <v>46023</v>
      </c>
      <c r="E2490" s="348">
        <v>46357</v>
      </c>
      <c r="F2490" s="346" t="s">
        <v>642</v>
      </c>
      <c r="G2490" s="350" t="s">
        <v>593</v>
      </c>
      <c r="H2490" s="351">
        <f t="shared" si="43"/>
        <v>3360</v>
      </c>
      <c r="I2490" s="120" t="str">
        <f>IF(OR(D2490&lt;Capa!$A$5,D2490&gt;Capa!$A$7,E2490&lt;Capa!$A$5,E2490&gt;Capa!$A$7,D2490&gt;E2490),"Erro","")</f>
        <v/>
      </c>
    </row>
    <row r="2491" spans="1:9" ht="33.75">
      <c r="A2491" s="345">
        <v>2488</v>
      </c>
      <c r="B2491" s="346" t="s">
        <v>312</v>
      </c>
      <c r="C2491" s="347">
        <v>280</v>
      </c>
      <c r="D2491" s="348">
        <v>46388</v>
      </c>
      <c r="E2491" s="348">
        <v>46722</v>
      </c>
      <c r="F2491" s="346" t="s">
        <v>642</v>
      </c>
      <c r="G2491" s="350" t="s">
        <v>593</v>
      </c>
      <c r="H2491" s="351">
        <f t="shared" si="43"/>
        <v>3360</v>
      </c>
      <c r="I2491" s="120" t="str">
        <f>IF(OR(D2491&lt;Capa!$A$5,D2491&gt;Capa!$A$7,E2491&lt;Capa!$A$5,E2491&gt;Capa!$A$7,D2491&gt;E2491),"Erro","")</f>
        <v/>
      </c>
    </row>
    <row r="2492" spans="1:9" ht="33.75">
      <c r="A2492" s="345">
        <v>2489</v>
      </c>
      <c r="B2492" s="346" t="s">
        <v>312</v>
      </c>
      <c r="C2492" s="347">
        <v>280</v>
      </c>
      <c r="D2492" s="348">
        <v>46753</v>
      </c>
      <c r="E2492" s="348">
        <v>47058</v>
      </c>
      <c r="F2492" s="346" t="s">
        <v>642</v>
      </c>
      <c r="G2492" s="350" t="s">
        <v>593</v>
      </c>
      <c r="H2492" s="351">
        <f t="shared" si="43"/>
        <v>3080</v>
      </c>
      <c r="I2492" s="120" t="str">
        <f>IF(OR(D2492&lt;Capa!$A$5,D2492&gt;Capa!$A$7,E2492&lt;Capa!$A$5,E2492&gt;Capa!$A$7,D2492&gt;E2492),"Erro","")</f>
        <v/>
      </c>
    </row>
    <row r="2493" spans="1:9" ht="67.5">
      <c r="A2493" s="345">
        <v>2490</v>
      </c>
      <c r="B2493" s="346" t="s">
        <v>316</v>
      </c>
      <c r="C2493" s="347">
        <v>1000</v>
      </c>
      <c r="D2493" s="348">
        <v>45689</v>
      </c>
      <c r="E2493" s="348">
        <v>45992</v>
      </c>
      <c r="F2493" s="346" t="s">
        <v>642</v>
      </c>
      <c r="G2493" s="350" t="s">
        <v>457</v>
      </c>
      <c r="H2493" s="351">
        <f t="shared" si="43"/>
        <v>11000</v>
      </c>
      <c r="I2493" s="120" t="str">
        <f>IF(OR(D2493&lt;Capa!$A$5,D2493&gt;Capa!$A$7,E2493&lt;Capa!$A$5,E2493&gt;Capa!$A$7,D2493&gt;E2493),"Erro","")</f>
        <v/>
      </c>
    </row>
    <row r="2494" spans="1:9" ht="67.5">
      <c r="A2494" s="345">
        <v>2491</v>
      </c>
      <c r="B2494" s="346" t="s">
        <v>316</v>
      </c>
      <c r="C2494" s="347">
        <v>1000</v>
      </c>
      <c r="D2494" s="348">
        <v>46023</v>
      </c>
      <c r="E2494" s="348">
        <v>46357</v>
      </c>
      <c r="F2494" s="346" t="s">
        <v>642</v>
      </c>
      <c r="G2494" s="350" t="s">
        <v>457</v>
      </c>
      <c r="H2494" s="351">
        <f t="shared" si="43"/>
        <v>12000</v>
      </c>
      <c r="I2494" s="120" t="str">
        <f>IF(OR(D2494&lt;Capa!$A$5,D2494&gt;Capa!$A$7,E2494&lt;Capa!$A$5,E2494&gt;Capa!$A$7,D2494&gt;E2494),"Erro","")</f>
        <v/>
      </c>
    </row>
    <row r="2495" spans="1:9" ht="67.5">
      <c r="A2495" s="345">
        <v>2492</v>
      </c>
      <c r="B2495" s="346" t="s">
        <v>316</v>
      </c>
      <c r="C2495" s="347">
        <v>1000</v>
      </c>
      <c r="D2495" s="348">
        <v>46388</v>
      </c>
      <c r="E2495" s="348">
        <v>46722</v>
      </c>
      <c r="F2495" s="346" t="s">
        <v>642</v>
      </c>
      <c r="G2495" s="350" t="s">
        <v>457</v>
      </c>
      <c r="H2495" s="351">
        <f t="shared" si="43"/>
        <v>12000</v>
      </c>
      <c r="I2495" s="120" t="str">
        <f>IF(OR(D2495&lt;Capa!$A$5,D2495&gt;Capa!$A$7,E2495&lt;Capa!$A$5,E2495&gt;Capa!$A$7,D2495&gt;E2495),"Erro","")</f>
        <v/>
      </c>
    </row>
    <row r="2496" spans="1:9" ht="67.5">
      <c r="A2496" s="345">
        <v>2493</v>
      </c>
      <c r="B2496" s="346" t="s">
        <v>316</v>
      </c>
      <c r="C2496" s="347">
        <v>1000</v>
      </c>
      <c r="D2496" s="348">
        <v>46753</v>
      </c>
      <c r="E2496" s="348">
        <v>47058</v>
      </c>
      <c r="F2496" s="346" t="s">
        <v>642</v>
      </c>
      <c r="G2496" s="350" t="s">
        <v>457</v>
      </c>
      <c r="H2496" s="351">
        <f t="shared" si="43"/>
        <v>11000</v>
      </c>
      <c r="I2496" s="120" t="str">
        <f>IF(OR(D2496&lt;Capa!$A$5,D2496&gt;Capa!$A$7,E2496&lt;Capa!$A$5,E2496&gt;Capa!$A$7,D2496&gt;E2496),"Erro","")</f>
        <v/>
      </c>
    </row>
    <row r="2497" spans="1:9" ht="56.25">
      <c r="A2497" s="345">
        <v>2494</v>
      </c>
      <c r="B2497" s="346" t="s">
        <v>318</v>
      </c>
      <c r="C2497" s="347">
        <v>1500</v>
      </c>
      <c r="D2497" s="348">
        <v>45689</v>
      </c>
      <c r="E2497" s="348">
        <v>45992</v>
      </c>
      <c r="F2497" s="346" t="s">
        <v>642</v>
      </c>
      <c r="G2497" s="350" t="s">
        <v>594</v>
      </c>
      <c r="H2497" s="351">
        <f t="shared" si="43"/>
        <v>16500</v>
      </c>
      <c r="I2497" s="120" t="str">
        <f>IF(OR(D2497&lt;Capa!$A$5,D2497&gt;Capa!$A$7,E2497&lt;Capa!$A$5,E2497&gt;Capa!$A$7,D2497&gt;E2497),"Erro","")</f>
        <v/>
      </c>
    </row>
    <row r="2498" spans="1:9" ht="56.25">
      <c r="A2498" s="345">
        <v>2495</v>
      </c>
      <c r="B2498" s="346" t="s">
        <v>318</v>
      </c>
      <c r="C2498" s="347">
        <v>1500</v>
      </c>
      <c r="D2498" s="348">
        <v>46023</v>
      </c>
      <c r="E2498" s="348">
        <v>46357</v>
      </c>
      <c r="F2498" s="346" t="s">
        <v>642</v>
      </c>
      <c r="G2498" s="350" t="s">
        <v>594</v>
      </c>
      <c r="H2498" s="351">
        <f t="shared" si="43"/>
        <v>18000</v>
      </c>
      <c r="I2498" s="120" t="str">
        <f>IF(OR(D2498&lt;Capa!$A$5,D2498&gt;Capa!$A$7,E2498&lt;Capa!$A$5,E2498&gt;Capa!$A$7,D2498&gt;E2498),"Erro","")</f>
        <v/>
      </c>
    </row>
    <row r="2499" spans="1:9" ht="56.25">
      <c r="A2499" s="345">
        <v>2496</v>
      </c>
      <c r="B2499" s="346" t="s">
        <v>318</v>
      </c>
      <c r="C2499" s="347">
        <v>1500</v>
      </c>
      <c r="D2499" s="348">
        <v>46388</v>
      </c>
      <c r="E2499" s="348">
        <v>46722</v>
      </c>
      <c r="F2499" s="346" t="s">
        <v>642</v>
      </c>
      <c r="G2499" s="350" t="s">
        <v>594</v>
      </c>
      <c r="H2499" s="351">
        <f t="shared" si="43"/>
        <v>18000</v>
      </c>
      <c r="I2499" s="120" t="str">
        <f>IF(OR(D2499&lt;Capa!$A$5,D2499&gt;Capa!$A$7,E2499&lt;Capa!$A$5,E2499&gt;Capa!$A$7,D2499&gt;E2499),"Erro","")</f>
        <v/>
      </c>
    </row>
    <row r="2500" spans="1:9" ht="56.25">
      <c r="A2500" s="345">
        <v>2497</v>
      </c>
      <c r="B2500" s="346" t="s">
        <v>318</v>
      </c>
      <c r="C2500" s="347">
        <v>1500</v>
      </c>
      <c r="D2500" s="348">
        <v>46753</v>
      </c>
      <c r="E2500" s="348">
        <v>47058</v>
      </c>
      <c r="F2500" s="346" t="s">
        <v>642</v>
      </c>
      <c r="G2500" s="350" t="s">
        <v>594</v>
      </c>
      <c r="H2500" s="351">
        <f t="shared" si="43"/>
        <v>16500</v>
      </c>
      <c r="I2500" s="120" t="str">
        <f>IF(OR(D2500&lt;Capa!$A$5,D2500&gt;Capa!$A$7,E2500&lt;Capa!$A$5,E2500&gt;Capa!$A$7,D2500&gt;E2500),"Erro","")</f>
        <v/>
      </c>
    </row>
    <row r="2501" spans="1:9" ht="67.5">
      <c r="A2501" s="345">
        <v>2498</v>
      </c>
      <c r="B2501" s="346" t="s">
        <v>318</v>
      </c>
      <c r="C2501" s="347">
        <v>1500</v>
      </c>
      <c r="D2501" s="348">
        <v>45689</v>
      </c>
      <c r="E2501" s="348">
        <v>45992</v>
      </c>
      <c r="F2501" s="346" t="s">
        <v>642</v>
      </c>
      <c r="G2501" s="350" t="s">
        <v>457</v>
      </c>
      <c r="H2501" s="351">
        <f t="shared" si="43"/>
        <v>16500</v>
      </c>
      <c r="I2501" s="120" t="str">
        <f>IF(OR(D2501&lt;Capa!$A$5,D2501&gt;Capa!$A$7,E2501&lt;Capa!$A$5,E2501&gt;Capa!$A$7,D2501&gt;E2501),"Erro","")</f>
        <v/>
      </c>
    </row>
    <row r="2502" spans="1:9" ht="67.5">
      <c r="A2502" s="345">
        <v>2499</v>
      </c>
      <c r="B2502" s="346" t="s">
        <v>318</v>
      </c>
      <c r="C2502" s="347">
        <v>1500</v>
      </c>
      <c r="D2502" s="348">
        <v>46023</v>
      </c>
      <c r="E2502" s="348">
        <v>46357</v>
      </c>
      <c r="F2502" s="346" t="s">
        <v>642</v>
      </c>
      <c r="G2502" s="350" t="s">
        <v>457</v>
      </c>
      <c r="H2502" s="351">
        <f t="shared" si="43"/>
        <v>18000</v>
      </c>
      <c r="I2502" s="120" t="str">
        <f>IF(OR(D2502&lt;Capa!$A$5,D2502&gt;Capa!$A$7,E2502&lt;Capa!$A$5,E2502&gt;Capa!$A$7,D2502&gt;E2502),"Erro","")</f>
        <v/>
      </c>
    </row>
    <row r="2503" spans="1:9" ht="67.5">
      <c r="A2503" s="345">
        <v>2500</v>
      </c>
      <c r="B2503" s="346" t="s">
        <v>318</v>
      </c>
      <c r="C2503" s="347">
        <v>1500</v>
      </c>
      <c r="D2503" s="348">
        <v>46388</v>
      </c>
      <c r="E2503" s="348">
        <v>46722</v>
      </c>
      <c r="F2503" s="346" t="s">
        <v>642</v>
      </c>
      <c r="G2503" s="350" t="s">
        <v>457</v>
      </c>
      <c r="H2503" s="351">
        <f t="shared" si="43"/>
        <v>18000</v>
      </c>
      <c r="I2503" s="120" t="str">
        <f>IF(OR(D2503&lt;Capa!$A$5,D2503&gt;Capa!$A$7,E2503&lt;Capa!$A$5,E2503&gt;Capa!$A$7,D2503&gt;E2503),"Erro","")</f>
        <v/>
      </c>
    </row>
    <row r="2504" spans="1:9" ht="67.5">
      <c r="A2504" s="345">
        <v>2501</v>
      </c>
      <c r="B2504" s="346" t="s">
        <v>318</v>
      </c>
      <c r="C2504" s="347">
        <v>1500</v>
      </c>
      <c r="D2504" s="348">
        <v>46753</v>
      </c>
      <c r="E2504" s="348">
        <v>47058</v>
      </c>
      <c r="F2504" s="346" t="s">
        <v>642</v>
      </c>
      <c r="G2504" s="350" t="s">
        <v>457</v>
      </c>
      <c r="H2504" s="351">
        <f t="shared" si="43"/>
        <v>16500</v>
      </c>
      <c r="I2504" s="120" t="str">
        <f>IF(OR(D2504&lt;Capa!$A$5,D2504&gt;Capa!$A$7,E2504&lt;Capa!$A$5,E2504&gt;Capa!$A$7,D2504&gt;E2504),"Erro","")</f>
        <v/>
      </c>
    </row>
    <row r="2505" spans="1:9" ht="22.5">
      <c r="A2505" s="345">
        <v>2502</v>
      </c>
      <c r="B2505" s="346" t="s">
        <v>298</v>
      </c>
      <c r="C2505" s="347">
        <v>2500</v>
      </c>
      <c r="D2505" s="348">
        <v>45627</v>
      </c>
      <c r="E2505" s="348">
        <v>45992</v>
      </c>
      <c r="F2505" s="346" t="s">
        <v>642</v>
      </c>
      <c r="G2505" s="350" t="s">
        <v>458</v>
      </c>
      <c r="H2505" s="351">
        <f t="shared" si="43"/>
        <v>32500</v>
      </c>
      <c r="I2505" s="120" t="str">
        <f>IF(OR(D2505&lt;Capa!$A$5,D2505&gt;Capa!$A$7,E2505&lt;Capa!$A$5,E2505&gt;Capa!$A$7,D2505&gt;E2505),"Erro","")</f>
        <v/>
      </c>
    </row>
    <row r="2506" spans="1:9" ht="22.5">
      <c r="A2506" s="345">
        <v>2503</v>
      </c>
      <c r="B2506" s="346" t="s">
        <v>298</v>
      </c>
      <c r="C2506" s="347">
        <v>2646</v>
      </c>
      <c r="D2506" s="348">
        <v>46023</v>
      </c>
      <c r="E2506" s="348">
        <v>46357</v>
      </c>
      <c r="F2506" s="346" t="s">
        <v>642</v>
      </c>
      <c r="G2506" s="350" t="s">
        <v>458</v>
      </c>
      <c r="H2506" s="351">
        <f t="shared" si="43"/>
        <v>31752</v>
      </c>
      <c r="I2506" s="120" t="str">
        <f>IF(OR(D2506&lt;Capa!$A$5,D2506&gt;Capa!$A$7,E2506&lt;Capa!$A$5,E2506&gt;Capa!$A$7,D2506&gt;E2506),"Erro","")</f>
        <v/>
      </c>
    </row>
    <row r="2507" spans="1:9" ht="22.5">
      <c r="A2507" s="345">
        <v>2504</v>
      </c>
      <c r="B2507" s="346" t="s">
        <v>298</v>
      </c>
      <c r="C2507" s="347">
        <v>2800.52</v>
      </c>
      <c r="D2507" s="348">
        <v>46388</v>
      </c>
      <c r="E2507" s="348">
        <v>46722</v>
      </c>
      <c r="F2507" s="346" t="s">
        <v>642</v>
      </c>
      <c r="G2507" s="350" t="s">
        <v>458</v>
      </c>
      <c r="H2507" s="351">
        <f t="shared" si="43"/>
        <v>33606.239999999998</v>
      </c>
      <c r="I2507" s="120" t="str">
        <f>IF(OR(D2507&lt;Capa!$A$5,D2507&gt;Capa!$A$7,E2507&lt;Capa!$A$5,E2507&gt;Capa!$A$7,D2507&gt;E2507),"Erro","")</f>
        <v/>
      </c>
    </row>
    <row r="2508" spans="1:9" ht="22.5">
      <c r="A2508" s="345">
        <v>2505</v>
      </c>
      <c r="B2508" s="346" t="s">
        <v>298</v>
      </c>
      <c r="C2508" s="347">
        <v>2964.07</v>
      </c>
      <c r="D2508" s="348">
        <v>46753</v>
      </c>
      <c r="E2508" s="348">
        <v>47058</v>
      </c>
      <c r="F2508" s="346" t="s">
        <v>642</v>
      </c>
      <c r="G2508" s="350" t="s">
        <v>458</v>
      </c>
      <c r="H2508" s="351">
        <f t="shared" si="43"/>
        <v>32604.77</v>
      </c>
      <c r="I2508" s="120" t="str">
        <f>IF(OR(D2508&lt;Capa!$A$5,D2508&gt;Capa!$A$7,E2508&lt;Capa!$A$5,E2508&gt;Capa!$A$7,D2508&gt;E2508),"Erro","")</f>
        <v/>
      </c>
    </row>
    <row r="2509" spans="1:9" ht="33.75">
      <c r="A2509" s="345">
        <v>2506</v>
      </c>
      <c r="B2509" s="346" t="s">
        <v>238</v>
      </c>
      <c r="C2509" s="347">
        <v>370.44</v>
      </c>
      <c r="D2509" s="348">
        <v>45627</v>
      </c>
      <c r="E2509" s="348">
        <v>45992</v>
      </c>
      <c r="F2509" s="346" t="s">
        <v>642</v>
      </c>
      <c r="G2509" s="350" t="s">
        <v>459</v>
      </c>
      <c r="H2509" s="351">
        <f t="shared" si="43"/>
        <v>4815.72</v>
      </c>
      <c r="I2509" s="120" t="str">
        <f>IF(OR(D2509&lt;Capa!$A$5,D2509&gt;Capa!$A$7,E2509&lt;Capa!$A$5,E2509&gt;Capa!$A$7,D2509&gt;E2509),"Erro","")</f>
        <v/>
      </c>
    </row>
    <row r="2510" spans="1:9" ht="33.75">
      <c r="A2510" s="345">
        <v>2507</v>
      </c>
      <c r="B2510" s="346" t="s">
        <v>238</v>
      </c>
      <c r="C2510" s="347">
        <v>392.07</v>
      </c>
      <c r="D2510" s="348">
        <v>46023</v>
      </c>
      <c r="E2510" s="348">
        <v>46357</v>
      </c>
      <c r="F2510" s="346" t="s">
        <v>642</v>
      </c>
      <c r="G2510" s="350" t="s">
        <v>459</v>
      </c>
      <c r="H2510" s="351">
        <f t="shared" si="43"/>
        <v>4704.84</v>
      </c>
      <c r="I2510" s="120" t="str">
        <f>IF(OR(D2510&lt;Capa!$A$5,D2510&gt;Capa!$A$7,E2510&lt;Capa!$A$5,E2510&gt;Capa!$A$7,D2510&gt;E2510),"Erro","")</f>
        <v/>
      </c>
    </row>
    <row r="2511" spans="1:9" ht="33.75">
      <c r="A2511" s="345">
        <v>2508</v>
      </c>
      <c r="B2511" s="346" t="s">
        <v>238</v>
      </c>
      <c r="C2511" s="347">
        <v>414.97</v>
      </c>
      <c r="D2511" s="348">
        <v>46388</v>
      </c>
      <c r="E2511" s="348">
        <v>46722</v>
      </c>
      <c r="F2511" s="346" t="s">
        <v>642</v>
      </c>
      <c r="G2511" s="350" t="s">
        <v>459</v>
      </c>
      <c r="H2511" s="351">
        <f t="shared" si="43"/>
        <v>4979.6400000000003</v>
      </c>
      <c r="I2511" s="120" t="str">
        <f>IF(OR(D2511&lt;Capa!$A$5,D2511&gt;Capa!$A$7,E2511&lt;Capa!$A$5,E2511&gt;Capa!$A$7,D2511&gt;E2511),"Erro","")</f>
        <v/>
      </c>
    </row>
    <row r="2512" spans="1:9" ht="33.75">
      <c r="A2512" s="345">
        <v>2509</v>
      </c>
      <c r="B2512" s="346" t="s">
        <v>238</v>
      </c>
      <c r="C2512" s="347">
        <v>439.21</v>
      </c>
      <c r="D2512" s="348">
        <v>46753</v>
      </c>
      <c r="E2512" s="348">
        <v>47058</v>
      </c>
      <c r="F2512" s="346" t="s">
        <v>642</v>
      </c>
      <c r="G2512" s="350" t="s">
        <v>459</v>
      </c>
      <c r="H2512" s="351">
        <f t="shared" si="43"/>
        <v>4831.3099999999995</v>
      </c>
      <c r="I2512" s="120" t="str">
        <f>IF(OR(D2512&lt;Capa!$A$5,D2512&gt;Capa!$A$7,E2512&lt;Capa!$A$5,E2512&gt;Capa!$A$7,D2512&gt;E2512),"Erro","")</f>
        <v/>
      </c>
    </row>
    <row r="2513" spans="1:9" ht="56.25">
      <c r="A2513" s="345">
        <v>2510</v>
      </c>
      <c r="B2513" s="346" t="s">
        <v>252</v>
      </c>
      <c r="C2513" s="347">
        <v>7000</v>
      </c>
      <c r="D2513" s="348">
        <v>45689</v>
      </c>
      <c r="E2513" s="348">
        <v>45992</v>
      </c>
      <c r="F2513" s="346" t="s">
        <v>642</v>
      </c>
      <c r="G2513" s="350" t="s">
        <v>460</v>
      </c>
      <c r="H2513" s="351">
        <f t="shared" si="43"/>
        <v>77000</v>
      </c>
      <c r="I2513" s="120" t="str">
        <f>IF(OR(D2513&lt;Capa!$A$5,D2513&gt;Capa!$A$7,E2513&lt;Capa!$A$5,E2513&gt;Capa!$A$7,D2513&gt;E2513),"Erro","")</f>
        <v/>
      </c>
    </row>
    <row r="2514" spans="1:9" ht="56.25">
      <c r="A2514" s="345">
        <v>2511</v>
      </c>
      <c r="B2514" s="346" t="s">
        <v>252</v>
      </c>
      <c r="C2514" s="347">
        <v>7408.8</v>
      </c>
      <c r="D2514" s="348">
        <v>46023</v>
      </c>
      <c r="E2514" s="348">
        <v>46357</v>
      </c>
      <c r="F2514" s="346" t="s">
        <v>642</v>
      </c>
      <c r="G2514" s="350" t="s">
        <v>460</v>
      </c>
      <c r="H2514" s="351">
        <f t="shared" si="43"/>
        <v>88905.600000000006</v>
      </c>
      <c r="I2514" s="120" t="str">
        <f>IF(OR(D2514&lt;Capa!$A$5,D2514&gt;Capa!$A$7,E2514&lt;Capa!$A$5,E2514&gt;Capa!$A$7,D2514&gt;E2514),"Erro","")</f>
        <v/>
      </c>
    </row>
    <row r="2515" spans="1:9" ht="56.25">
      <c r="A2515" s="345">
        <v>2512</v>
      </c>
      <c r="B2515" s="346" t="s">
        <v>252</v>
      </c>
      <c r="C2515" s="347">
        <v>7847.65</v>
      </c>
      <c r="D2515" s="348">
        <v>46388</v>
      </c>
      <c r="E2515" s="348">
        <v>46722</v>
      </c>
      <c r="F2515" s="346" t="s">
        <v>642</v>
      </c>
      <c r="G2515" s="350" t="s">
        <v>460</v>
      </c>
      <c r="H2515" s="351">
        <f t="shared" si="43"/>
        <v>94171.799999999988</v>
      </c>
      <c r="I2515" s="120" t="str">
        <f>IF(OR(D2515&lt;Capa!$A$5,D2515&gt;Capa!$A$7,E2515&lt;Capa!$A$5,E2515&gt;Capa!$A$7,D2515&gt;E2515),"Erro","")</f>
        <v/>
      </c>
    </row>
    <row r="2516" spans="1:9" ht="56.25">
      <c r="A2516" s="345">
        <v>2513</v>
      </c>
      <c r="B2516" s="346" t="s">
        <v>252</v>
      </c>
      <c r="C2516" s="347">
        <v>8305.9500000000007</v>
      </c>
      <c r="D2516" s="348">
        <v>46753</v>
      </c>
      <c r="E2516" s="348">
        <v>47058</v>
      </c>
      <c r="F2516" s="346" t="s">
        <v>642</v>
      </c>
      <c r="G2516" s="350" t="s">
        <v>460</v>
      </c>
      <c r="H2516" s="351">
        <f t="shared" si="43"/>
        <v>91365.450000000012</v>
      </c>
      <c r="I2516" s="120" t="str">
        <f>IF(OR(D2516&lt;Capa!$A$5,D2516&gt;Capa!$A$7,E2516&lt;Capa!$A$5,E2516&gt;Capa!$A$7,D2516&gt;E2516),"Erro","")</f>
        <v/>
      </c>
    </row>
    <row r="2517" spans="1:9" ht="45">
      <c r="A2517" s="345">
        <v>2514</v>
      </c>
      <c r="B2517" s="346" t="s">
        <v>320</v>
      </c>
      <c r="C2517" s="347">
        <v>130000</v>
      </c>
      <c r="D2517" s="348">
        <v>45627</v>
      </c>
      <c r="E2517" s="348">
        <v>45627</v>
      </c>
      <c r="F2517" s="346" t="s">
        <v>642</v>
      </c>
      <c r="G2517" s="350" t="s">
        <v>617</v>
      </c>
      <c r="H2517" s="351">
        <f t="shared" si="43"/>
        <v>130000</v>
      </c>
      <c r="I2517" s="120" t="str">
        <f>IF(OR(D2517&lt;Capa!$A$5,D2517&gt;Capa!$A$7,E2517&lt;Capa!$A$5,E2517&gt;Capa!$A$7,D2517&gt;E2517),"Erro","")</f>
        <v/>
      </c>
    </row>
    <row r="2518" spans="1:9" ht="33.75">
      <c r="A2518" s="345">
        <v>2515</v>
      </c>
      <c r="B2518" s="346" t="s">
        <v>651</v>
      </c>
      <c r="C2518" s="347">
        <v>180</v>
      </c>
      <c r="D2518" s="348">
        <v>45627</v>
      </c>
      <c r="E2518" s="348">
        <v>47058</v>
      </c>
      <c r="F2518" s="346" t="s">
        <v>642</v>
      </c>
      <c r="G2518" s="350" t="s">
        <v>710</v>
      </c>
      <c r="H2518" s="351">
        <f t="shared" si="43"/>
        <v>8640</v>
      </c>
      <c r="I2518" s="120" t="str">
        <f>IF(OR(D2518&lt;Capa!$A$5,D2518&gt;Capa!$A$7,E2518&lt;Capa!$A$5,E2518&gt;Capa!$A$7,D2518&gt;E2518),"Erro","")</f>
        <v/>
      </c>
    </row>
    <row r="2519" spans="1:9" ht="22.5">
      <c r="A2519" s="345">
        <v>2516</v>
      </c>
      <c r="B2519" s="346" t="s">
        <v>653</v>
      </c>
      <c r="C2519" s="347">
        <v>1930</v>
      </c>
      <c r="D2519" s="348">
        <v>45658</v>
      </c>
      <c r="E2519" s="348">
        <v>47058</v>
      </c>
      <c r="F2519" s="346" t="s">
        <v>642</v>
      </c>
      <c r="G2519" s="350" t="s">
        <v>712</v>
      </c>
      <c r="H2519" s="351">
        <f t="shared" si="43"/>
        <v>90710</v>
      </c>
      <c r="I2519" s="120" t="str">
        <f>IF(OR(D2519&lt;Capa!$A$5,D2519&gt;Capa!$A$7,E2519&lt;Capa!$A$5,E2519&gt;Capa!$A$7,D2519&gt;E2519),"Erro","")</f>
        <v/>
      </c>
    </row>
    <row r="2520" spans="1:9" ht="45">
      <c r="A2520" s="345">
        <v>2517</v>
      </c>
      <c r="B2520" s="346" t="s">
        <v>652</v>
      </c>
      <c r="C2520" s="347">
        <v>15000</v>
      </c>
      <c r="D2520" s="348">
        <v>45689</v>
      </c>
      <c r="E2520" s="348">
        <v>45689</v>
      </c>
      <c r="F2520" s="346" t="s">
        <v>642</v>
      </c>
      <c r="G2520" s="350" t="s">
        <v>624</v>
      </c>
      <c r="H2520" s="351">
        <f t="shared" si="43"/>
        <v>15000</v>
      </c>
      <c r="I2520" s="120" t="str">
        <f>IF(OR(D2520&lt;Capa!$A$5,D2520&gt;Capa!$A$7,E2520&lt;Capa!$A$5,E2520&gt;Capa!$A$7,D2520&gt;E2520),"Erro","")</f>
        <v/>
      </c>
    </row>
    <row r="2521" spans="1:9" ht="45">
      <c r="A2521" s="345">
        <v>2518</v>
      </c>
      <c r="B2521" s="346" t="s">
        <v>652</v>
      </c>
      <c r="C2521" s="347">
        <v>10000</v>
      </c>
      <c r="D2521" s="348">
        <v>46419</v>
      </c>
      <c r="E2521" s="348">
        <v>46419</v>
      </c>
      <c r="F2521" s="346" t="s">
        <v>642</v>
      </c>
      <c r="G2521" s="350" t="s">
        <v>624</v>
      </c>
      <c r="H2521" s="351">
        <f t="shared" si="43"/>
        <v>10000</v>
      </c>
      <c r="I2521" s="120" t="str">
        <f>IF(OR(D2521&lt;Capa!$A$5,D2521&gt;Capa!$A$7,E2521&lt;Capa!$A$5,E2521&gt;Capa!$A$7,D2521&gt;E2521),"Erro","")</f>
        <v/>
      </c>
    </row>
    <row r="2522" spans="1:9" ht="33.75">
      <c r="A2522" s="345">
        <v>2519</v>
      </c>
      <c r="B2522" s="346" t="s">
        <v>650</v>
      </c>
      <c r="C2522" s="347">
        <v>70</v>
      </c>
      <c r="D2522" s="348">
        <v>45627</v>
      </c>
      <c r="E2522" s="348">
        <v>47058</v>
      </c>
      <c r="F2522" s="346" t="s">
        <v>642</v>
      </c>
      <c r="G2522" s="350" t="s">
        <v>670</v>
      </c>
      <c r="H2522" s="351">
        <f t="shared" si="43"/>
        <v>3360</v>
      </c>
      <c r="I2522" s="120" t="str">
        <f>IF(OR(D2522&lt;Capa!$A$5,D2522&gt;Capa!$A$7,E2522&lt;Capa!$A$5,E2522&gt;Capa!$A$7,D2522&gt;E2522),"Erro","")</f>
        <v/>
      </c>
    </row>
    <row r="2523" spans="1:9" ht="33.75">
      <c r="A2523" s="345">
        <v>2520</v>
      </c>
      <c r="B2523" s="346" t="s">
        <v>648</v>
      </c>
      <c r="C2523" s="347">
        <v>3604</v>
      </c>
      <c r="D2523" s="348">
        <v>45689</v>
      </c>
      <c r="E2523" s="348">
        <v>45689</v>
      </c>
      <c r="F2523" s="346" t="s">
        <v>642</v>
      </c>
      <c r="G2523" s="350" t="s">
        <v>670</v>
      </c>
      <c r="H2523" s="351">
        <f t="shared" si="43"/>
        <v>3604</v>
      </c>
      <c r="I2523" s="120" t="str">
        <f>IF(OR(D2523&lt;Capa!$A$5,D2523&gt;Capa!$A$7,E2523&lt;Capa!$A$5,E2523&gt;Capa!$A$7,D2523&gt;E2523),"Erro","")</f>
        <v/>
      </c>
    </row>
    <row r="2524" spans="1:9" ht="33.75">
      <c r="A2524" s="345">
        <v>2521</v>
      </c>
      <c r="B2524" s="346" t="s">
        <v>648</v>
      </c>
      <c r="C2524" s="347">
        <v>3820.24</v>
      </c>
      <c r="D2524" s="348">
        <v>46023</v>
      </c>
      <c r="E2524" s="348">
        <v>46023</v>
      </c>
      <c r="F2524" s="346" t="s">
        <v>642</v>
      </c>
      <c r="G2524" s="350" t="s">
        <v>670</v>
      </c>
      <c r="H2524" s="351">
        <f t="shared" si="43"/>
        <v>3820.24</v>
      </c>
      <c r="I2524" s="120" t="str">
        <f>IF(OR(D2524&lt;Capa!$A$5,D2524&gt;Capa!$A$7,E2524&lt;Capa!$A$5,E2524&gt;Capa!$A$7,D2524&gt;E2524),"Erro","")</f>
        <v/>
      </c>
    </row>
    <row r="2525" spans="1:9" ht="33.75">
      <c r="A2525" s="345">
        <v>2522</v>
      </c>
      <c r="B2525" s="346" t="s">
        <v>648</v>
      </c>
      <c r="C2525" s="347">
        <v>4049.45</v>
      </c>
      <c r="D2525" s="348">
        <v>46388</v>
      </c>
      <c r="E2525" s="348">
        <v>46388</v>
      </c>
      <c r="F2525" s="346" t="s">
        <v>642</v>
      </c>
      <c r="G2525" s="350" t="s">
        <v>670</v>
      </c>
      <c r="H2525" s="351">
        <f t="shared" si="43"/>
        <v>4049.45</v>
      </c>
      <c r="I2525" s="120" t="str">
        <f>IF(OR(D2525&lt;Capa!$A$5,D2525&gt;Capa!$A$7,E2525&lt;Capa!$A$5,E2525&gt;Capa!$A$7,D2525&gt;E2525),"Erro","")</f>
        <v/>
      </c>
    </row>
    <row r="2526" spans="1:9" ht="33.75">
      <c r="A2526" s="345">
        <v>2523</v>
      </c>
      <c r="B2526" s="346" t="s">
        <v>648</v>
      </c>
      <c r="C2526" s="347">
        <v>4292.42</v>
      </c>
      <c r="D2526" s="348">
        <v>46753</v>
      </c>
      <c r="E2526" s="348">
        <v>46753</v>
      </c>
      <c r="F2526" s="346" t="s">
        <v>642</v>
      </c>
      <c r="G2526" s="350" t="s">
        <v>670</v>
      </c>
      <c r="H2526" s="351">
        <f t="shared" si="43"/>
        <v>4292.42</v>
      </c>
      <c r="I2526" s="120" t="str">
        <f>IF(OR(D2526&lt;Capa!$A$5,D2526&gt;Capa!$A$7,E2526&lt;Capa!$A$5,E2526&gt;Capa!$A$7,D2526&gt;E2526),"Erro","")</f>
        <v/>
      </c>
    </row>
    <row r="2527" spans="1:9" ht="33.75">
      <c r="A2527" s="345">
        <v>2524</v>
      </c>
      <c r="B2527" s="346" t="s">
        <v>649</v>
      </c>
      <c r="C2527" s="347">
        <v>1643</v>
      </c>
      <c r="D2527" s="348">
        <v>45689</v>
      </c>
      <c r="E2527" s="348">
        <v>47058</v>
      </c>
      <c r="F2527" s="346" t="s">
        <v>642</v>
      </c>
      <c r="G2527" s="350" t="s">
        <v>705</v>
      </c>
      <c r="H2527" s="351">
        <f t="shared" si="43"/>
        <v>75578</v>
      </c>
      <c r="I2527" s="120" t="str">
        <f>IF(OR(D2527&lt;Capa!$A$5,D2527&gt;Capa!$A$7,E2527&lt;Capa!$A$5,E2527&gt;Capa!$A$7,D2527&gt;E2527),"Erro","")</f>
        <v/>
      </c>
    </row>
    <row r="2528" spans="1:9" ht="33.75">
      <c r="A2528" s="345">
        <v>2525</v>
      </c>
      <c r="B2528" s="346" t="s">
        <v>654</v>
      </c>
      <c r="C2528" s="347">
        <v>1100</v>
      </c>
      <c r="D2528" s="348">
        <v>45689</v>
      </c>
      <c r="E2528" s="348">
        <v>47058</v>
      </c>
      <c r="F2528" s="346" t="s">
        <v>642</v>
      </c>
      <c r="G2528" s="350" t="s">
        <v>706</v>
      </c>
      <c r="H2528" s="351">
        <f t="shared" si="43"/>
        <v>50600</v>
      </c>
      <c r="I2528" s="120" t="str">
        <f>IF(OR(D2528&lt;Capa!$A$5,D2528&gt;Capa!$A$7,E2528&lt;Capa!$A$5,E2528&gt;Capa!$A$7,D2528&gt;E2528),"Erro","")</f>
        <v/>
      </c>
    </row>
    <row r="2529" spans="1:9" ht="22.5">
      <c r="A2529" s="345">
        <v>2526</v>
      </c>
      <c r="B2529" s="346" t="s">
        <v>656</v>
      </c>
      <c r="C2529" s="347">
        <v>200</v>
      </c>
      <c r="D2529" s="348">
        <v>45689</v>
      </c>
      <c r="E2529" s="348">
        <v>47058</v>
      </c>
      <c r="F2529" s="346" t="s">
        <v>642</v>
      </c>
      <c r="G2529" s="350" t="s">
        <v>707</v>
      </c>
      <c r="H2529" s="351">
        <f t="shared" si="43"/>
        <v>9200</v>
      </c>
      <c r="I2529" s="120" t="str">
        <f>IF(OR(D2529&lt;Capa!$A$5,D2529&gt;Capa!$A$7,E2529&lt;Capa!$A$5,E2529&gt;Capa!$A$7,D2529&gt;E2529),"Erro","")</f>
        <v/>
      </c>
    </row>
    <row r="2530" spans="1:9" ht="22.5">
      <c r="A2530" s="345">
        <v>2527</v>
      </c>
      <c r="B2530" s="346" t="s">
        <v>658</v>
      </c>
      <c r="C2530" s="347">
        <v>50</v>
      </c>
      <c r="D2530" s="348">
        <v>45689</v>
      </c>
      <c r="E2530" s="348">
        <v>47058</v>
      </c>
      <c r="F2530" s="346" t="s">
        <v>642</v>
      </c>
      <c r="G2530" s="350" t="s">
        <v>709</v>
      </c>
      <c r="H2530" s="351">
        <f t="shared" si="43"/>
        <v>2300</v>
      </c>
      <c r="I2530" s="120" t="str">
        <f>IF(OR(D2530&lt;Capa!$A$5,D2530&gt;Capa!$A$7,E2530&lt;Capa!$A$5,E2530&gt;Capa!$A$7,D2530&gt;E2530),"Erro","")</f>
        <v/>
      </c>
    </row>
    <row r="2531" spans="1:9" ht="33.75">
      <c r="A2531" s="345">
        <v>2528</v>
      </c>
      <c r="B2531" s="346" t="s">
        <v>657</v>
      </c>
      <c r="C2531" s="347">
        <v>350</v>
      </c>
      <c r="D2531" s="348">
        <v>45689</v>
      </c>
      <c r="E2531" s="348">
        <v>47058</v>
      </c>
      <c r="F2531" s="346" t="s">
        <v>642</v>
      </c>
      <c r="G2531" s="350" t="s">
        <v>708</v>
      </c>
      <c r="H2531" s="351">
        <f t="shared" si="43"/>
        <v>16100</v>
      </c>
      <c r="I2531" s="120" t="str">
        <f>IF(OR(D2531&lt;Capa!$A$5,D2531&gt;Capa!$A$7,E2531&lt;Capa!$A$5,E2531&gt;Capa!$A$7,D2531&gt;E2531),"Erro","")</f>
        <v/>
      </c>
    </row>
    <row r="2532" spans="1:9" ht="22.5">
      <c r="A2532" s="345">
        <v>2529</v>
      </c>
      <c r="B2532" s="346" t="s">
        <v>198</v>
      </c>
      <c r="C2532" s="347">
        <v>10000</v>
      </c>
      <c r="D2532" s="348">
        <v>45292</v>
      </c>
      <c r="E2532" s="348">
        <v>45627</v>
      </c>
      <c r="F2532" s="346" t="s">
        <v>643</v>
      </c>
      <c r="G2532" s="350" t="s">
        <v>438</v>
      </c>
      <c r="H2532" s="351">
        <f t="shared" si="43"/>
        <v>120000</v>
      </c>
      <c r="I2532" s="120" t="str">
        <f>IF(OR(D2532&lt;Capa!$A$5,D2532&gt;Capa!$A$7,E2532&lt;Capa!$A$5,E2532&gt;Capa!$A$7,D2532&gt;E2532),"Erro","")</f>
        <v/>
      </c>
    </row>
    <row r="2533" spans="1:9" ht="22.5">
      <c r="A2533" s="345">
        <v>2530</v>
      </c>
      <c r="B2533" s="346" t="s">
        <v>198</v>
      </c>
      <c r="C2533" s="347">
        <v>10584</v>
      </c>
      <c r="D2533" s="348">
        <v>45658</v>
      </c>
      <c r="E2533" s="348">
        <v>45992</v>
      </c>
      <c r="F2533" s="346" t="s">
        <v>643</v>
      </c>
      <c r="G2533" s="350" t="s">
        <v>438</v>
      </c>
      <c r="H2533" s="351">
        <f t="shared" si="43"/>
        <v>127008</v>
      </c>
      <c r="I2533" s="120" t="str">
        <f>IF(OR(D2533&lt;Capa!$A$5,D2533&gt;Capa!$A$7,E2533&lt;Capa!$A$5,E2533&gt;Capa!$A$7,D2533&gt;E2533),"Erro","")</f>
        <v/>
      </c>
    </row>
    <row r="2534" spans="1:9" ht="22.5">
      <c r="A2534" s="345">
        <v>2531</v>
      </c>
      <c r="B2534" s="346" t="s">
        <v>198</v>
      </c>
      <c r="C2534" s="347">
        <v>11202.1</v>
      </c>
      <c r="D2534" s="348">
        <v>46023</v>
      </c>
      <c r="E2534" s="348">
        <v>46357</v>
      </c>
      <c r="F2534" s="346" t="s">
        <v>643</v>
      </c>
      <c r="G2534" s="350" t="s">
        <v>438</v>
      </c>
      <c r="H2534" s="351">
        <f t="shared" si="43"/>
        <v>134425.20000000001</v>
      </c>
      <c r="I2534" s="120" t="str">
        <f>IF(OR(D2534&lt;Capa!$A$5,D2534&gt;Capa!$A$7,E2534&lt;Capa!$A$5,E2534&gt;Capa!$A$7,D2534&gt;E2534),"Erro","")</f>
        <v/>
      </c>
    </row>
    <row r="2535" spans="1:9" ht="22.5">
      <c r="A2535" s="345">
        <v>2532</v>
      </c>
      <c r="B2535" s="346" t="s">
        <v>198</v>
      </c>
      <c r="C2535" s="347">
        <v>11856.3</v>
      </c>
      <c r="D2535" s="348">
        <v>46388</v>
      </c>
      <c r="E2535" s="348">
        <v>46722</v>
      </c>
      <c r="F2535" s="346" t="s">
        <v>643</v>
      </c>
      <c r="G2535" s="350" t="s">
        <v>438</v>
      </c>
      <c r="H2535" s="351">
        <f t="shared" si="43"/>
        <v>142275.59999999998</v>
      </c>
      <c r="I2535" s="120" t="str">
        <f>IF(OR(D2535&lt;Capa!$A$5,D2535&gt;Capa!$A$7,E2535&lt;Capa!$A$5,E2535&gt;Capa!$A$7,D2535&gt;E2535),"Erro","")</f>
        <v/>
      </c>
    </row>
    <row r="2536" spans="1:9" ht="22.5">
      <c r="A2536" s="345">
        <v>2533</v>
      </c>
      <c r="B2536" s="346" t="s">
        <v>198</v>
      </c>
      <c r="C2536" s="347">
        <v>12548.71</v>
      </c>
      <c r="D2536" s="348">
        <v>46753</v>
      </c>
      <c r="E2536" s="348">
        <v>47058</v>
      </c>
      <c r="F2536" s="346" t="s">
        <v>643</v>
      </c>
      <c r="G2536" s="350" t="s">
        <v>438</v>
      </c>
      <c r="H2536" s="351">
        <f t="shared" si="43"/>
        <v>138035.81</v>
      </c>
      <c r="I2536" s="120" t="str">
        <f>IF(OR(D2536&lt;Capa!$A$5,D2536&gt;Capa!$A$7,E2536&lt;Capa!$A$5,E2536&gt;Capa!$A$7,D2536&gt;E2536),"Erro","")</f>
        <v/>
      </c>
    </row>
    <row r="2537" spans="1:9" ht="22.5">
      <c r="A2537" s="345">
        <v>2534</v>
      </c>
      <c r="B2537" s="346" t="s">
        <v>202</v>
      </c>
      <c r="C2537" s="347">
        <v>1817.25</v>
      </c>
      <c r="D2537" s="348">
        <v>45292</v>
      </c>
      <c r="E2537" s="348">
        <v>45352</v>
      </c>
      <c r="F2537" s="346" t="s">
        <v>643</v>
      </c>
      <c r="G2537" s="350" t="s">
        <v>439</v>
      </c>
      <c r="H2537" s="351">
        <f t="shared" si="43"/>
        <v>5451.75</v>
      </c>
      <c r="I2537" s="120" t="str">
        <f>IF(OR(D2537&lt;Capa!$A$5,D2537&gt;Capa!$A$7,E2537&lt;Capa!$A$5,E2537&gt;Capa!$A$7,D2537&gt;E2537),"Erro","")</f>
        <v/>
      </c>
    </row>
    <row r="2538" spans="1:9" ht="22.5">
      <c r="A2538" s="345">
        <v>2535</v>
      </c>
      <c r="B2538" s="346" t="s">
        <v>202</v>
      </c>
      <c r="C2538" s="347">
        <v>1923.37</v>
      </c>
      <c r="D2538" s="348">
        <v>45658</v>
      </c>
      <c r="E2538" s="348">
        <v>45717</v>
      </c>
      <c r="F2538" s="346" t="s">
        <v>643</v>
      </c>
      <c r="G2538" s="350" t="s">
        <v>439</v>
      </c>
      <c r="H2538" s="351">
        <f t="shared" si="43"/>
        <v>5770.11</v>
      </c>
      <c r="I2538" s="120" t="str">
        <f>IF(OR(D2538&lt;Capa!$A$5,D2538&gt;Capa!$A$7,E2538&lt;Capa!$A$5,E2538&gt;Capa!$A$7,D2538&gt;E2538),"Erro","")</f>
        <v/>
      </c>
    </row>
    <row r="2539" spans="1:9" ht="22.5">
      <c r="A2539" s="345">
        <v>2536</v>
      </c>
      <c r="B2539" s="346" t="s">
        <v>202</v>
      </c>
      <c r="C2539" s="347">
        <v>2035.7</v>
      </c>
      <c r="D2539" s="348">
        <v>46023</v>
      </c>
      <c r="E2539" s="348">
        <v>46082</v>
      </c>
      <c r="F2539" s="346" t="s">
        <v>643</v>
      </c>
      <c r="G2539" s="350" t="s">
        <v>439</v>
      </c>
      <c r="H2539" s="351">
        <f t="shared" si="43"/>
        <v>6107.1</v>
      </c>
      <c r="I2539" s="120" t="str">
        <f>IF(OR(D2539&lt;Capa!$A$5,D2539&gt;Capa!$A$7,E2539&lt;Capa!$A$5,E2539&gt;Capa!$A$7,D2539&gt;E2539),"Erro","")</f>
        <v/>
      </c>
    </row>
    <row r="2540" spans="1:9" ht="22.5">
      <c r="A2540" s="345">
        <v>2537</v>
      </c>
      <c r="B2540" s="346" t="s">
        <v>202</v>
      </c>
      <c r="C2540" s="347">
        <v>2154.58</v>
      </c>
      <c r="D2540" s="348">
        <v>46388</v>
      </c>
      <c r="E2540" s="348">
        <v>46447</v>
      </c>
      <c r="F2540" s="346" t="s">
        <v>643</v>
      </c>
      <c r="G2540" s="350" t="s">
        <v>439</v>
      </c>
      <c r="H2540" s="351">
        <f t="shared" si="43"/>
        <v>6463.74</v>
      </c>
      <c r="I2540" s="120" t="str">
        <f>IF(OR(D2540&lt;Capa!$A$5,D2540&gt;Capa!$A$7,E2540&lt;Capa!$A$5,E2540&gt;Capa!$A$7,D2540&gt;E2540),"Erro","")</f>
        <v/>
      </c>
    </row>
    <row r="2541" spans="1:9" ht="22.5">
      <c r="A2541" s="345">
        <v>2538</v>
      </c>
      <c r="B2541" s="346" t="s">
        <v>202</v>
      </c>
      <c r="C2541" s="347">
        <v>2280.41</v>
      </c>
      <c r="D2541" s="348">
        <v>46753</v>
      </c>
      <c r="E2541" s="348">
        <v>46813</v>
      </c>
      <c r="F2541" s="346" t="s">
        <v>643</v>
      </c>
      <c r="G2541" s="350" t="s">
        <v>439</v>
      </c>
      <c r="H2541" s="351">
        <f t="shared" ref="H2541:H2603" si="44">IFERROR((DATEDIF(D2541,E2541,"M")+1)*C2541,0)</f>
        <v>6841.23</v>
      </c>
      <c r="I2541" s="120" t="str">
        <f>IF(OR(D2541&lt;Capa!$A$5,D2541&gt;Capa!$A$7,E2541&lt;Capa!$A$5,E2541&gt;Capa!$A$7,D2541&gt;E2541),"Erro","")</f>
        <v/>
      </c>
    </row>
    <row r="2542" spans="1:9" ht="22.5">
      <c r="A2542" s="345">
        <v>2539</v>
      </c>
      <c r="B2542" s="346" t="s">
        <v>204</v>
      </c>
      <c r="C2542" s="347">
        <v>2042.25</v>
      </c>
      <c r="D2542" s="348">
        <v>45292</v>
      </c>
      <c r="E2542" s="348">
        <v>45383</v>
      </c>
      <c r="F2542" s="346" t="s">
        <v>643</v>
      </c>
      <c r="G2542" s="350" t="s">
        <v>439</v>
      </c>
      <c r="H2542" s="351">
        <f t="shared" si="44"/>
        <v>8169</v>
      </c>
      <c r="I2542" s="120" t="str">
        <f>IF(OR(D2542&lt;Capa!$A$5,D2542&gt;Capa!$A$7,E2542&lt;Capa!$A$5,E2542&gt;Capa!$A$7,D2542&gt;E2542),"Erro","")</f>
        <v/>
      </c>
    </row>
    <row r="2543" spans="1:9" ht="22.5">
      <c r="A2543" s="345">
        <v>2540</v>
      </c>
      <c r="B2543" s="346" t="s">
        <v>204</v>
      </c>
      <c r="C2543" s="347">
        <v>2161.5100000000002</v>
      </c>
      <c r="D2543" s="348">
        <v>45658</v>
      </c>
      <c r="E2543" s="348">
        <v>45748</v>
      </c>
      <c r="F2543" s="346" t="s">
        <v>643</v>
      </c>
      <c r="G2543" s="350" t="s">
        <v>439</v>
      </c>
      <c r="H2543" s="351">
        <f t="shared" si="44"/>
        <v>8646.0400000000009</v>
      </c>
      <c r="I2543" s="120" t="str">
        <f>IF(OR(D2543&lt;Capa!$A$5,D2543&gt;Capa!$A$7,E2543&lt;Capa!$A$5,E2543&gt;Capa!$A$7,D2543&gt;E2543),"Erro","")</f>
        <v/>
      </c>
    </row>
    <row r="2544" spans="1:9" ht="22.5">
      <c r="A2544" s="345">
        <v>2541</v>
      </c>
      <c r="B2544" s="346" t="s">
        <v>204</v>
      </c>
      <c r="C2544" s="347">
        <v>2287.75</v>
      </c>
      <c r="D2544" s="348">
        <v>46023</v>
      </c>
      <c r="E2544" s="348">
        <v>46113</v>
      </c>
      <c r="F2544" s="346" t="s">
        <v>643</v>
      </c>
      <c r="G2544" s="350" t="s">
        <v>439</v>
      </c>
      <c r="H2544" s="351">
        <f t="shared" si="44"/>
        <v>9151</v>
      </c>
      <c r="I2544" s="120" t="str">
        <f>IF(OR(D2544&lt;Capa!$A$5,D2544&gt;Capa!$A$7,E2544&lt;Capa!$A$5,E2544&gt;Capa!$A$7,D2544&gt;E2544),"Erro","")</f>
        <v/>
      </c>
    </row>
    <row r="2545" spans="1:9" ht="22.5">
      <c r="A2545" s="345">
        <v>2542</v>
      </c>
      <c r="B2545" s="346" t="s">
        <v>204</v>
      </c>
      <c r="C2545" s="347">
        <v>2421.35</v>
      </c>
      <c r="D2545" s="348">
        <v>46388</v>
      </c>
      <c r="E2545" s="348">
        <v>46478</v>
      </c>
      <c r="F2545" s="346" t="s">
        <v>643</v>
      </c>
      <c r="G2545" s="350" t="s">
        <v>439</v>
      </c>
      <c r="H2545" s="351">
        <f t="shared" si="44"/>
        <v>9685.4</v>
      </c>
      <c r="I2545" s="120" t="str">
        <f>IF(OR(D2545&lt;Capa!$A$5,D2545&gt;Capa!$A$7,E2545&lt;Capa!$A$5,E2545&gt;Capa!$A$7,D2545&gt;E2545),"Erro","")</f>
        <v/>
      </c>
    </row>
    <row r="2546" spans="1:9" ht="22.5">
      <c r="A2546" s="345">
        <v>2543</v>
      </c>
      <c r="B2546" s="346" t="s">
        <v>204</v>
      </c>
      <c r="C2546" s="347">
        <v>2562.7600000000002</v>
      </c>
      <c r="D2546" s="348">
        <v>46753</v>
      </c>
      <c r="E2546" s="348">
        <v>46844</v>
      </c>
      <c r="F2546" s="346" t="s">
        <v>643</v>
      </c>
      <c r="G2546" s="350" t="s">
        <v>439</v>
      </c>
      <c r="H2546" s="351">
        <f t="shared" si="44"/>
        <v>10251.040000000001</v>
      </c>
      <c r="I2546" s="120" t="str">
        <f>IF(OR(D2546&lt;Capa!$A$5,D2546&gt;Capa!$A$7,E2546&lt;Capa!$A$5,E2546&gt;Capa!$A$7,D2546&gt;E2546),"Erro","")</f>
        <v/>
      </c>
    </row>
    <row r="2547" spans="1:9" ht="22.5">
      <c r="A2547" s="345">
        <v>2544</v>
      </c>
      <c r="B2547" s="346" t="s">
        <v>206</v>
      </c>
      <c r="C2547" s="347">
        <v>1289.48</v>
      </c>
      <c r="D2547" s="348">
        <v>45292</v>
      </c>
      <c r="E2547" s="348">
        <v>45627</v>
      </c>
      <c r="F2547" s="346" t="s">
        <v>643</v>
      </c>
      <c r="G2547" s="350" t="s">
        <v>440</v>
      </c>
      <c r="H2547" s="351">
        <f t="shared" si="44"/>
        <v>15473.76</v>
      </c>
      <c r="I2547" s="120" t="str">
        <f>IF(OR(D2547&lt;Capa!$A$5,D2547&gt;Capa!$A$7,E2547&lt;Capa!$A$5,E2547&gt;Capa!$A$7,D2547&gt;E2547),"Erro","")</f>
        <v/>
      </c>
    </row>
    <row r="2548" spans="1:9" ht="22.5">
      <c r="A2548" s="345">
        <v>2545</v>
      </c>
      <c r="B2548" s="346" t="s">
        <v>206</v>
      </c>
      <c r="C2548" s="347">
        <v>1364.78</v>
      </c>
      <c r="D2548" s="348">
        <v>45658</v>
      </c>
      <c r="E2548" s="348">
        <v>45992</v>
      </c>
      <c r="F2548" s="346" t="s">
        <v>643</v>
      </c>
      <c r="G2548" s="350" t="s">
        <v>440</v>
      </c>
      <c r="H2548" s="351">
        <f t="shared" si="44"/>
        <v>16377.36</v>
      </c>
      <c r="I2548" s="120" t="str">
        <f>IF(OR(D2548&lt;Capa!$A$5,D2548&gt;Capa!$A$7,E2548&lt;Capa!$A$5,E2548&gt;Capa!$A$7,D2548&gt;E2548),"Erro","")</f>
        <v/>
      </c>
    </row>
    <row r="2549" spans="1:9" ht="22.5">
      <c r="A2549" s="345">
        <v>2546</v>
      </c>
      <c r="B2549" s="346" t="s">
        <v>206</v>
      </c>
      <c r="C2549" s="347">
        <v>1444.49</v>
      </c>
      <c r="D2549" s="348">
        <v>46023</v>
      </c>
      <c r="E2549" s="348">
        <v>46357</v>
      </c>
      <c r="F2549" s="346" t="s">
        <v>643</v>
      </c>
      <c r="G2549" s="350" t="s">
        <v>440</v>
      </c>
      <c r="H2549" s="351">
        <f t="shared" si="44"/>
        <v>17333.88</v>
      </c>
      <c r="I2549" s="120" t="str">
        <f>IF(OR(D2549&lt;Capa!$A$5,D2549&gt;Capa!$A$7,E2549&lt;Capa!$A$5,E2549&gt;Capa!$A$7,D2549&gt;E2549),"Erro","")</f>
        <v/>
      </c>
    </row>
    <row r="2550" spans="1:9" ht="22.5">
      <c r="A2550" s="345">
        <v>2547</v>
      </c>
      <c r="B2550" s="346" t="s">
        <v>206</v>
      </c>
      <c r="C2550" s="347">
        <v>1528.85</v>
      </c>
      <c r="D2550" s="348">
        <v>46388</v>
      </c>
      <c r="E2550" s="348">
        <v>46722</v>
      </c>
      <c r="F2550" s="346" t="s">
        <v>643</v>
      </c>
      <c r="G2550" s="350" t="s">
        <v>440</v>
      </c>
      <c r="H2550" s="351">
        <f t="shared" si="44"/>
        <v>18346.199999999997</v>
      </c>
      <c r="I2550" s="120" t="str">
        <f>IF(OR(D2550&lt;Capa!$A$5,D2550&gt;Capa!$A$7,E2550&lt;Capa!$A$5,E2550&gt;Capa!$A$7,D2550&gt;E2550),"Erro","")</f>
        <v/>
      </c>
    </row>
    <row r="2551" spans="1:9" ht="22.5">
      <c r="A2551" s="345">
        <v>2548</v>
      </c>
      <c r="B2551" s="346" t="s">
        <v>206</v>
      </c>
      <c r="C2551" s="347">
        <v>1618.14</v>
      </c>
      <c r="D2551" s="348">
        <v>46753</v>
      </c>
      <c r="E2551" s="348">
        <v>47058</v>
      </c>
      <c r="F2551" s="346" t="s">
        <v>643</v>
      </c>
      <c r="G2551" s="350" t="s">
        <v>440</v>
      </c>
      <c r="H2551" s="351">
        <f t="shared" si="44"/>
        <v>17799.54</v>
      </c>
      <c r="I2551" s="120" t="str">
        <f>IF(OR(D2551&lt;Capa!$A$5,D2551&gt;Capa!$A$7,E2551&lt;Capa!$A$5,E2551&gt;Capa!$A$7,D2551&gt;E2551),"Erro","")</f>
        <v/>
      </c>
    </row>
    <row r="2552" spans="1:9" ht="22.5">
      <c r="A2552" s="345">
        <v>2549</v>
      </c>
      <c r="B2552" s="346" t="s">
        <v>208</v>
      </c>
      <c r="C2552" s="347">
        <v>1409.44</v>
      </c>
      <c r="D2552" s="348">
        <v>45292</v>
      </c>
      <c r="E2552" s="348">
        <v>45627</v>
      </c>
      <c r="F2552" s="346" t="s">
        <v>643</v>
      </c>
      <c r="G2552" s="350" t="s">
        <v>440</v>
      </c>
      <c r="H2552" s="351">
        <f t="shared" si="44"/>
        <v>16913.28</v>
      </c>
      <c r="I2552" s="120" t="str">
        <f>IF(OR(D2552&lt;Capa!$A$5,D2552&gt;Capa!$A$7,E2552&lt;Capa!$A$5,E2552&gt;Capa!$A$7,D2552&gt;E2552),"Erro","")</f>
        <v/>
      </c>
    </row>
    <row r="2553" spans="1:9" ht="22.5">
      <c r="A2553" s="345">
        <v>2550</v>
      </c>
      <c r="B2553" s="346" t="s">
        <v>208</v>
      </c>
      <c r="C2553" s="347">
        <v>1491.76</v>
      </c>
      <c r="D2553" s="348">
        <v>45658</v>
      </c>
      <c r="E2553" s="348">
        <v>45992</v>
      </c>
      <c r="F2553" s="346" t="s">
        <v>643</v>
      </c>
      <c r="G2553" s="350" t="s">
        <v>440</v>
      </c>
      <c r="H2553" s="351">
        <f t="shared" si="44"/>
        <v>17901.12</v>
      </c>
      <c r="I2553" s="120" t="str">
        <f>IF(OR(D2553&lt;Capa!$A$5,D2553&gt;Capa!$A$7,E2553&lt;Capa!$A$5,E2553&gt;Capa!$A$7,D2553&gt;E2553),"Erro","")</f>
        <v/>
      </c>
    </row>
    <row r="2554" spans="1:9" ht="22.5">
      <c r="A2554" s="345">
        <v>2551</v>
      </c>
      <c r="B2554" s="346" t="s">
        <v>208</v>
      </c>
      <c r="C2554" s="347">
        <v>1578.88</v>
      </c>
      <c r="D2554" s="348">
        <v>46023</v>
      </c>
      <c r="E2554" s="348">
        <v>46357</v>
      </c>
      <c r="F2554" s="346" t="s">
        <v>643</v>
      </c>
      <c r="G2554" s="350" t="s">
        <v>440</v>
      </c>
      <c r="H2554" s="351">
        <f t="shared" si="44"/>
        <v>18946.560000000001</v>
      </c>
      <c r="I2554" s="120" t="str">
        <f>IF(OR(D2554&lt;Capa!$A$5,D2554&gt;Capa!$A$7,E2554&lt;Capa!$A$5,E2554&gt;Capa!$A$7,D2554&gt;E2554),"Erro","")</f>
        <v/>
      </c>
    </row>
    <row r="2555" spans="1:9" ht="22.5">
      <c r="A2555" s="345">
        <v>2552</v>
      </c>
      <c r="B2555" s="346" t="s">
        <v>208</v>
      </c>
      <c r="C2555" s="347">
        <v>1671.09</v>
      </c>
      <c r="D2555" s="348">
        <v>46388</v>
      </c>
      <c r="E2555" s="348">
        <v>46722</v>
      </c>
      <c r="F2555" s="346" t="s">
        <v>643</v>
      </c>
      <c r="G2555" s="350" t="s">
        <v>440</v>
      </c>
      <c r="H2555" s="351">
        <f t="shared" si="44"/>
        <v>20053.079999999998</v>
      </c>
      <c r="I2555" s="120" t="str">
        <f>IF(OR(D2555&lt;Capa!$A$5,D2555&gt;Capa!$A$7,E2555&lt;Capa!$A$5,E2555&gt;Capa!$A$7,D2555&gt;E2555),"Erro","")</f>
        <v/>
      </c>
    </row>
    <row r="2556" spans="1:9" ht="22.5">
      <c r="A2556" s="345">
        <v>2553</v>
      </c>
      <c r="B2556" s="346" t="s">
        <v>208</v>
      </c>
      <c r="C2556" s="347">
        <v>1768.68</v>
      </c>
      <c r="D2556" s="348">
        <v>46753</v>
      </c>
      <c r="E2556" s="348">
        <v>47058</v>
      </c>
      <c r="F2556" s="346" t="s">
        <v>643</v>
      </c>
      <c r="G2556" s="350" t="s">
        <v>440</v>
      </c>
      <c r="H2556" s="351">
        <f t="shared" si="44"/>
        <v>19455.48</v>
      </c>
      <c r="I2556" s="120" t="str">
        <f>IF(OR(D2556&lt;Capa!$A$5,D2556&gt;Capa!$A$7,E2556&lt;Capa!$A$5,E2556&gt;Capa!$A$7,D2556&gt;E2556),"Erro","")</f>
        <v/>
      </c>
    </row>
    <row r="2557" spans="1:9" ht="22.5">
      <c r="A2557" s="345">
        <v>2554</v>
      </c>
      <c r="B2557" s="346" t="s">
        <v>210</v>
      </c>
      <c r="C2557" s="347">
        <v>55.27</v>
      </c>
      <c r="D2557" s="348">
        <v>45292</v>
      </c>
      <c r="E2557" s="348">
        <v>45627</v>
      </c>
      <c r="F2557" s="346" t="s">
        <v>643</v>
      </c>
      <c r="G2557" s="350" t="s">
        <v>440</v>
      </c>
      <c r="H2557" s="351">
        <f t="shared" si="44"/>
        <v>663.24</v>
      </c>
      <c r="I2557" s="120" t="str">
        <f>IF(OR(D2557&lt;Capa!$A$5,D2557&gt;Capa!$A$7,E2557&lt;Capa!$A$5,E2557&gt;Capa!$A$7,D2557&gt;E2557),"Erro","")</f>
        <v/>
      </c>
    </row>
    <row r="2558" spans="1:9" ht="22.5">
      <c r="A2558" s="345">
        <v>2555</v>
      </c>
      <c r="B2558" s="346" t="s">
        <v>210</v>
      </c>
      <c r="C2558" s="347">
        <v>58.44</v>
      </c>
      <c r="D2558" s="348">
        <v>45658</v>
      </c>
      <c r="E2558" s="348">
        <v>45992</v>
      </c>
      <c r="F2558" s="346" t="s">
        <v>643</v>
      </c>
      <c r="G2558" s="350" t="s">
        <v>440</v>
      </c>
      <c r="H2558" s="351">
        <f t="shared" si="44"/>
        <v>701.28</v>
      </c>
      <c r="I2558" s="120" t="str">
        <f>IF(OR(D2558&lt;Capa!$A$5,D2558&gt;Capa!$A$7,E2558&lt;Capa!$A$5,E2558&gt;Capa!$A$7,D2558&gt;E2558),"Erro","")</f>
        <v/>
      </c>
    </row>
    <row r="2559" spans="1:9" ht="22.5">
      <c r="A2559" s="345">
        <v>2556</v>
      </c>
      <c r="B2559" s="346" t="s">
        <v>210</v>
      </c>
      <c r="C2559" s="347">
        <v>61.91</v>
      </c>
      <c r="D2559" s="348">
        <v>46023</v>
      </c>
      <c r="E2559" s="348">
        <v>46357</v>
      </c>
      <c r="F2559" s="346" t="s">
        <v>643</v>
      </c>
      <c r="G2559" s="350" t="s">
        <v>440</v>
      </c>
      <c r="H2559" s="351">
        <f t="shared" si="44"/>
        <v>742.92</v>
      </c>
      <c r="I2559" s="120" t="str">
        <f>IF(OR(D2559&lt;Capa!$A$5,D2559&gt;Capa!$A$7,E2559&lt;Capa!$A$5,E2559&gt;Capa!$A$7,D2559&gt;E2559),"Erro","")</f>
        <v/>
      </c>
    </row>
    <row r="2560" spans="1:9" ht="22.5">
      <c r="A2560" s="345">
        <v>2557</v>
      </c>
      <c r="B2560" s="346" t="s">
        <v>210</v>
      </c>
      <c r="C2560" s="347">
        <v>65.53</v>
      </c>
      <c r="D2560" s="348">
        <v>46388</v>
      </c>
      <c r="E2560" s="348">
        <v>46722</v>
      </c>
      <c r="F2560" s="346" t="s">
        <v>643</v>
      </c>
      <c r="G2560" s="350" t="s">
        <v>440</v>
      </c>
      <c r="H2560" s="351">
        <f t="shared" si="44"/>
        <v>786.36</v>
      </c>
      <c r="I2560" s="120" t="str">
        <f>IF(OR(D2560&lt;Capa!$A$5,D2560&gt;Capa!$A$7,E2560&lt;Capa!$A$5,E2560&gt;Capa!$A$7,D2560&gt;E2560),"Erro","")</f>
        <v/>
      </c>
    </row>
    <row r="2561" spans="1:9" ht="22.5">
      <c r="A2561" s="345">
        <v>2558</v>
      </c>
      <c r="B2561" s="346" t="s">
        <v>210</v>
      </c>
      <c r="C2561" s="347">
        <v>69.36</v>
      </c>
      <c r="D2561" s="348">
        <v>46753</v>
      </c>
      <c r="E2561" s="348">
        <v>47058</v>
      </c>
      <c r="F2561" s="346" t="s">
        <v>643</v>
      </c>
      <c r="G2561" s="350" t="s">
        <v>440</v>
      </c>
      <c r="H2561" s="351">
        <f t="shared" si="44"/>
        <v>762.96</v>
      </c>
      <c r="I2561" s="120" t="str">
        <f>IF(OR(D2561&lt;Capa!$A$5,D2561&gt;Capa!$A$7,E2561&lt;Capa!$A$5,E2561&gt;Capa!$A$7,D2561&gt;E2561),"Erro","")</f>
        <v/>
      </c>
    </row>
    <row r="2562" spans="1:9" ht="22.5">
      <c r="A2562" s="345">
        <v>2559</v>
      </c>
      <c r="B2562" s="346" t="s">
        <v>214</v>
      </c>
      <c r="C2562" s="347">
        <v>116.9</v>
      </c>
      <c r="D2562" s="348">
        <v>45292</v>
      </c>
      <c r="E2562" s="348">
        <v>45627</v>
      </c>
      <c r="F2562" s="346" t="s">
        <v>643</v>
      </c>
      <c r="G2562" s="350" t="s">
        <v>440</v>
      </c>
      <c r="H2562" s="351">
        <f t="shared" si="44"/>
        <v>1402.8000000000002</v>
      </c>
      <c r="I2562" s="120" t="str">
        <f>IF(OR(D2562&lt;Capa!$A$5,D2562&gt;Capa!$A$7,E2562&lt;Capa!$A$5,E2562&gt;Capa!$A$7,D2562&gt;E2562),"Erro","")</f>
        <v/>
      </c>
    </row>
    <row r="2563" spans="1:9" ht="22.5">
      <c r="A2563" s="345">
        <v>2560</v>
      </c>
      <c r="B2563" s="346" t="s">
        <v>214</v>
      </c>
      <c r="C2563" s="347">
        <v>123.73</v>
      </c>
      <c r="D2563" s="348">
        <v>45658</v>
      </c>
      <c r="E2563" s="348">
        <v>45992</v>
      </c>
      <c r="F2563" s="346" t="s">
        <v>643</v>
      </c>
      <c r="G2563" s="350" t="s">
        <v>440</v>
      </c>
      <c r="H2563" s="351">
        <f t="shared" si="44"/>
        <v>1484.76</v>
      </c>
      <c r="I2563" s="120" t="str">
        <f>IF(OR(D2563&lt;Capa!$A$5,D2563&gt;Capa!$A$7,E2563&lt;Capa!$A$5,E2563&gt;Capa!$A$7,D2563&gt;E2563),"Erro","")</f>
        <v/>
      </c>
    </row>
    <row r="2564" spans="1:9" ht="22.5">
      <c r="A2564" s="345">
        <v>2561</v>
      </c>
      <c r="B2564" s="346" t="s">
        <v>214</v>
      </c>
      <c r="C2564" s="347">
        <v>130.94999999999999</v>
      </c>
      <c r="D2564" s="348">
        <v>46023</v>
      </c>
      <c r="E2564" s="348">
        <v>46357</v>
      </c>
      <c r="F2564" s="346" t="s">
        <v>643</v>
      </c>
      <c r="G2564" s="350" t="s">
        <v>440</v>
      </c>
      <c r="H2564" s="351">
        <f t="shared" si="44"/>
        <v>1571.3999999999999</v>
      </c>
      <c r="I2564" s="120" t="str">
        <f>IF(OR(D2564&lt;Capa!$A$5,D2564&gt;Capa!$A$7,E2564&lt;Capa!$A$5,E2564&gt;Capa!$A$7,D2564&gt;E2564),"Erro","")</f>
        <v/>
      </c>
    </row>
    <row r="2565" spans="1:9" ht="22.5">
      <c r="A2565" s="345">
        <v>2562</v>
      </c>
      <c r="B2565" s="346" t="s">
        <v>214</v>
      </c>
      <c r="C2565" s="347">
        <v>138.6</v>
      </c>
      <c r="D2565" s="348">
        <v>46388</v>
      </c>
      <c r="E2565" s="348">
        <v>46722</v>
      </c>
      <c r="F2565" s="346" t="s">
        <v>643</v>
      </c>
      <c r="G2565" s="350" t="s">
        <v>440</v>
      </c>
      <c r="H2565" s="351">
        <f t="shared" si="44"/>
        <v>1663.1999999999998</v>
      </c>
      <c r="I2565" s="120" t="str">
        <f>IF(OR(D2565&lt;Capa!$A$5,D2565&gt;Capa!$A$7,E2565&lt;Capa!$A$5,E2565&gt;Capa!$A$7,D2565&gt;E2565),"Erro","")</f>
        <v/>
      </c>
    </row>
    <row r="2566" spans="1:9" ht="22.5">
      <c r="A2566" s="345">
        <v>2563</v>
      </c>
      <c r="B2566" s="346" t="s">
        <v>214</v>
      </c>
      <c r="C2566" s="347">
        <v>146.69</v>
      </c>
      <c r="D2566" s="348">
        <v>46753</v>
      </c>
      <c r="E2566" s="348">
        <v>47058</v>
      </c>
      <c r="F2566" s="346" t="s">
        <v>643</v>
      </c>
      <c r="G2566" s="350" t="s">
        <v>440</v>
      </c>
      <c r="H2566" s="351">
        <f t="shared" si="44"/>
        <v>1613.59</v>
      </c>
      <c r="I2566" s="120" t="str">
        <f>IF(OR(D2566&lt;Capa!$A$5,D2566&gt;Capa!$A$7,E2566&lt;Capa!$A$5,E2566&gt;Capa!$A$7,D2566&gt;E2566),"Erro","")</f>
        <v/>
      </c>
    </row>
    <row r="2567" spans="1:9" ht="22.5">
      <c r="A2567" s="345">
        <v>2564</v>
      </c>
      <c r="B2567" s="346" t="s">
        <v>212</v>
      </c>
      <c r="C2567" s="347">
        <v>235.74</v>
      </c>
      <c r="D2567" s="348">
        <v>45292</v>
      </c>
      <c r="E2567" s="348">
        <v>45627</v>
      </c>
      <c r="F2567" s="346" t="s">
        <v>643</v>
      </c>
      <c r="G2567" s="350" t="s">
        <v>440</v>
      </c>
      <c r="H2567" s="351">
        <f t="shared" si="44"/>
        <v>2828.88</v>
      </c>
      <c r="I2567" s="120" t="str">
        <f>IF(OR(D2567&lt;Capa!$A$5,D2567&gt;Capa!$A$7,E2567&lt;Capa!$A$5,E2567&gt;Capa!$A$7,D2567&gt;E2567),"Erro","")</f>
        <v/>
      </c>
    </row>
    <row r="2568" spans="1:9" ht="22.5">
      <c r="A2568" s="345">
        <v>2565</v>
      </c>
      <c r="B2568" s="346" t="s">
        <v>212</v>
      </c>
      <c r="C2568" s="347">
        <v>249.51</v>
      </c>
      <c r="D2568" s="348">
        <v>45658</v>
      </c>
      <c r="E2568" s="348">
        <v>45992</v>
      </c>
      <c r="F2568" s="346" t="s">
        <v>643</v>
      </c>
      <c r="G2568" s="350" t="s">
        <v>440</v>
      </c>
      <c r="H2568" s="351">
        <f t="shared" si="44"/>
        <v>2994.12</v>
      </c>
      <c r="I2568" s="120" t="str">
        <f>IF(OR(D2568&lt;Capa!$A$5,D2568&gt;Capa!$A$7,E2568&lt;Capa!$A$5,E2568&gt;Capa!$A$7,D2568&gt;E2568),"Erro","")</f>
        <v/>
      </c>
    </row>
    <row r="2569" spans="1:9" ht="22.5">
      <c r="A2569" s="345">
        <v>2566</v>
      </c>
      <c r="B2569" s="346" t="s">
        <v>212</v>
      </c>
      <c r="C2569" s="347">
        <v>264.08</v>
      </c>
      <c r="D2569" s="348">
        <v>46023</v>
      </c>
      <c r="E2569" s="348">
        <v>46357</v>
      </c>
      <c r="F2569" s="346" t="s">
        <v>643</v>
      </c>
      <c r="G2569" s="350" t="s">
        <v>440</v>
      </c>
      <c r="H2569" s="351">
        <f t="shared" si="44"/>
        <v>3168.96</v>
      </c>
      <c r="I2569" s="120" t="str">
        <f>IF(OR(D2569&lt;Capa!$A$5,D2569&gt;Capa!$A$7,E2569&lt;Capa!$A$5,E2569&gt;Capa!$A$7,D2569&gt;E2569),"Erro","")</f>
        <v/>
      </c>
    </row>
    <row r="2570" spans="1:9" ht="22.5">
      <c r="A2570" s="345">
        <v>2567</v>
      </c>
      <c r="B2570" s="346" t="s">
        <v>212</v>
      </c>
      <c r="C2570" s="347">
        <v>279.5</v>
      </c>
      <c r="D2570" s="348">
        <v>46388</v>
      </c>
      <c r="E2570" s="348">
        <v>46722</v>
      </c>
      <c r="F2570" s="346" t="s">
        <v>643</v>
      </c>
      <c r="G2570" s="350" t="s">
        <v>440</v>
      </c>
      <c r="H2570" s="351">
        <f t="shared" si="44"/>
        <v>3354</v>
      </c>
      <c r="I2570" s="120" t="str">
        <f>IF(OR(D2570&lt;Capa!$A$5,D2570&gt;Capa!$A$7,E2570&lt;Capa!$A$5,E2570&gt;Capa!$A$7,D2570&gt;E2570),"Erro","")</f>
        <v/>
      </c>
    </row>
    <row r="2571" spans="1:9" ht="22.5">
      <c r="A2571" s="345">
        <v>2568</v>
      </c>
      <c r="B2571" s="346" t="s">
        <v>212</v>
      </c>
      <c r="C2571" s="347">
        <v>295.83</v>
      </c>
      <c r="D2571" s="348">
        <v>46753</v>
      </c>
      <c r="E2571" s="348">
        <v>47058</v>
      </c>
      <c r="F2571" s="346" t="s">
        <v>643</v>
      </c>
      <c r="G2571" s="350" t="s">
        <v>440</v>
      </c>
      <c r="H2571" s="351">
        <f t="shared" si="44"/>
        <v>3254.1299999999997</v>
      </c>
      <c r="I2571" s="120" t="str">
        <f>IF(OR(D2571&lt;Capa!$A$5,D2571&gt;Capa!$A$7,E2571&lt;Capa!$A$5,E2571&gt;Capa!$A$7,D2571&gt;E2571),"Erro","")</f>
        <v/>
      </c>
    </row>
    <row r="2572" spans="1:9" ht="45">
      <c r="A2572" s="345">
        <v>2569</v>
      </c>
      <c r="B2572" s="346" t="s">
        <v>248</v>
      </c>
      <c r="C2572" s="347">
        <v>846</v>
      </c>
      <c r="D2572" s="348">
        <v>45323</v>
      </c>
      <c r="E2572" s="348">
        <v>45444</v>
      </c>
      <c r="F2572" s="346" t="s">
        <v>643</v>
      </c>
      <c r="G2572" s="350" t="s">
        <v>441</v>
      </c>
      <c r="H2572" s="351">
        <f t="shared" si="44"/>
        <v>4230</v>
      </c>
      <c r="I2572" s="120" t="str">
        <f>IF(OR(D2572&lt;Capa!$A$5,D2572&gt;Capa!$A$7,E2572&lt;Capa!$A$5,E2572&gt;Capa!$A$7,D2572&gt;E2572),"Erro","")</f>
        <v/>
      </c>
    </row>
    <row r="2573" spans="1:9" ht="45">
      <c r="A2573" s="345">
        <v>2570</v>
      </c>
      <c r="B2573" s="346" t="s">
        <v>248</v>
      </c>
      <c r="C2573" s="347">
        <v>846</v>
      </c>
      <c r="D2573" s="348">
        <v>45658</v>
      </c>
      <c r="E2573" s="348">
        <v>45748</v>
      </c>
      <c r="F2573" s="346" t="s">
        <v>643</v>
      </c>
      <c r="G2573" s="350" t="s">
        <v>441</v>
      </c>
      <c r="H2573" s="351">
        <f t="shared" si="44"/>
        <v>3384</v>
      </c>
      <c r="I2573" s="120" t="str">
        <f>IF(OR(D2573&lt;Capa!$A$5,D2573&gt;Capa!$A$7,E2573&lt;Capa!$A$5,E2573&gt;Capa!$A$7,D2573&gt;E2573),"Erro","")</f>
        <v/>
      </c>
    </row>
    <row r="2574" spans="1:9" ht="45">
      <c r="A2574" s="345">
        <v>2571</v>
      </c>
      <c r="B2574" s="346" t="s">
        <v>248</v>
      </c>
      <c r="C2574" s="347">
        <v>846</v>
      </c>
      <c r="D2574" s="348">
        <v>46023</v>
      </c>
      <c r="E2574" s="348">
        <v>46113</v>
      </c>
      <c r="F2574" s="346" t="s">
        <v>643</v>
      </c>
      <c r="G2574" s="350" t="s">
        <v>441</v>
      </c>
      <c r="H2574" s="351">
        <f t="shared" si="44"/>
        <v>3384</v>
      </c>
      <c r="I2574" s="120" t="str">
        <f>IF(OR(D2574&lt;Capa!$A$5,D2574&gt;Capa!$A$7,E2574&lt;Capa!$A$5,E2574&gt;Capa!$A$7,D2574&gt;E2574),"Erro","")</f>
        <v/>
      </c>
    </row>
    <row r="2575" spans="1:9" ht="45">
      <c r="A2575" s="345">
        <v>2572</v>
      </c>
      <c r="B2575" s="346" t="s">
        <v>248</v>
      </c>
      <c r="C2575" s="347">
        <v>846</v>
      </c>
      <c r="D2575" s="348">
        <v>46388</v>
      </c>
      <c r="E2575" s="348">
        <v>46478</v>
      </c>
      <c r="F2575" s="346" t="s">
        <v>643</v>
      </c>
      <c r="G2575" s="350" t="s">
        <v>441</v>
      </c>
      <c r="H2575" s="351">
        <f t="shared" si="44"/>
        <v>3384</v>
      </c>
      <c r="I2575" s="120" t="str">
        <f>IF(OR(D2575&lt;Capa!$A$5,D2575&gt;Capa!$A$7,E2575&lt;Capa!$A$5,E2575&gt;Capa!$A$7,D2575&gt;E2575),"Erro","")</f>
        <v/>
      </c>
    </row>
    <row r="2576" spans="1:9" ht="45">
      <c r="A2576" s="345">
        <v>2573</v>
      </c>
      <c r="B2576" s="346" t="s">
        <v>248</v>
      </c>
      <c r="C2576" s="347">
        <v>846</v>
      </c>
      <c r="D2576" s="348">
        <v>46753</v>
      </c>
      <c r="E2576" s="348">
        <v>46844</v>
      </c>
      <c r="F2576" s="346" t="s">
        <v>643</v>
      </c>
      <c r="G2576" s="350" t="s">
        <v>441</v>
      </c>
      <c r="H2576" s="351">
        <f t="shared" si="44"/>
        <v>3384</v>
      </c>
      <c r="I2576" s="120" t="str">
        <f>IF(OR(D2576&lt;Capa!$A$5,D2576&gt;Capa!$A$7,E2576&lt;Capa!$A$5,E2576&gt;Capa!$A$7,D2576&gt;E2576),"Erro","")</f>
        <v/>
      </c>
    </row>
    <row r="2577" spans="1:9" ht="33.75">
      <c r="A2577" s="345">
        <v>2574</v>
      </c>
      <c r="B2577" s="346" t="s">
        <v>266</v>
      </c>
      <c r="C2577" s="347">
        <v>600</v>
      </c>
      <c r="D2577" s="348">
        <v>45323</v>
      </c>
      <c r="E2577" s="348">
        <v>45444</v>
      </c>
      <c r="F2577" s="346" t="s">
        <v>643</v>
      </c>
      <c r="G2577" s="350" t="s">
        <v>442</v>
      </c>
      <c r="H2577" s="351">
        <f t="shared" si="44"/>
        <v>3000</v>
      </c>
      <c r="I2577" s="120" t="str">
        <f>IF(OR(D2577&lt;Capa!$A$5,D2577&gt;Capa!$A$7,E2577&lt;Capa!$A$5,E2577&gt;Capa!$A$7,D2577&gt;E2577),"Erro","")</f>
        <v/>
      </c>
    </row>
    <row r="2578" spans="1:9" ht="33.75">
      <c r="A2578" s="345">
        <v>2575</v>
      </c>
      <c r="B2578" s="346" t="s">
        <v>266</v>
      </c>
      <c r="C2578" s="347">
        <v>600</v>
      </c>
      <c r="D2578" s="348">
        <v>45658</v>
      </c>
      <c r="E2578" s="348">
        <v>45809</v>
      </c>
      <c r="F2578" s="346" t="s">
        <v>643</v>
      </c>
      <c r="G2578" s="350" t="s">
        <v>442</v>
      </c>
      <c r="H2578" s="351">
        <f t="shared" si="44"/>
        <v>3600</v>
      </c>
      <c r="I2578" s="120" t="str">
        <f>IF(OR(D2578&lt;Capa!$A$5,D2578&gt;Capa!$A$7,E2578&lt;Capa!$A$5,E2578&gt;Capa!$A$7,D2578&gt;E2578),"Erro","")</f>
        <v/>
      </c>
    </row>
    <row r="2579" spans="1:9" ht="33.75">
      <c r="A2579" s="345">
        <v>2576</v>
      </c>
      <c r="B2579" s="346" t="s">
        <v>266</v>
      </c>
      <c r="C2579" s="347">
        <v>600</v>
      </c>
      <c r="D2579" s="348">
        <v>46023</v>
      </c>
      <c r="E2579" s="348">
        <v>46174</v>
      </c>
      <c r="F2579" s="346" t="s">
        <v>643</v>
      </c>
      <c r="G2579" s="350" t="s">
        <v>442</v>
      </c>
      <c r="H2579" s="351">
        <f t="shared" si="44"/>
        <v>3600</v>
      </c>
      <c r="I2579" s="120" t="str">
        <f>IF(OR(D2579&lt;Capa!$A$5,D2579&gt;Capa!$A$7,E2579&lt;Capa!$A$5,E2579&gt;Capa!$A$7,D2579&gt;E2579),"Erro","")</f>
        <v/>
      </c>
    </row>
    <row r="2580" spans="1:9" ht="33.75">
      <c r="A2580" s="345">
        <v>2577</v>
      </c>
      <c r="B2580" s="346" t="s">
        <v>266</v>
      </c>
      <c r="C2580" s="347">
        <v>600</v>
      </c>
      <c r="D2580" s="348">
        <v>46388</v>
      </c>
      <c r="E2580" s="348">
        <v>46539</v>
      </c>
      <c r="F2580" s="346" t="s">
        <v>643</v>
      </c>
      <c r="G2580" s="350" t="s">
        <v>442</v>
      </c>
      <c r="H2580" s="351">
        <f t="shared" si="44"/>
        <v>3600</v>
      </c>
      <c r="I2580" s="120" t="str">
        <f>IF(OR(D2580&lt;Capa!$A$5,D2580&gt;Capa!$A$7,E2580&lt;Capa!$A$5,E2580&gt;Capa!$A$7,D2580&gt;E2580),"Erro","")</f>
        <v/>
      </c>
    </row>
    <row r="2581" spans="1:9" ht="33.75">
      <c r="A2581" s="345">
        <v>2578</v>
      </c>
      <c r="B2581" s="346" t="s">
        <v>266</v>
      </c>
      <c r="C2581" s="347">
        <v>600</v>
      </c>
      <c r="D2581" s="348">
        <v>46753</v>
      </c>
      <c r="E2581" s="348">
        <v>46905</v>
      </c>
      <c r="F2581" s="346" t="s">
        <v>643</v>
      </c>
      <c r="G2581" s="350" t="s">
        <v>442</v>
      </c>
      <c r="H2581" s="351">
        <f t="shared" si="44"/>
        <v>3600</v>
      </c>
      <c r="I2581" s="120" t="str">
        <f>IF(OR(D2581&lt;Capa!$A$5,D2581&gt;Capa!$A$7,E2581&lt;Capa!$A$5,E2581&gt;Capa!$A$7,D2581&gt;E2581),"Erro","")</f>
        <v/>
      </c>
    </row>
    <row r="2582" spans="1:9" ht="22.5">
      <c r="A2582" s="345">
        <v>2579</v>
      </c>
      <c r="B2582" s="346" t="s">
        <v>274</v>
      </c>
      <c r="C2582" s="347">
        <v>1100</v>
      </c>
      <c r="D2582" s="348">
        <v>45292</v>
      </c>
      <c r="E2582" s="348">
        <v>45627</v>
      </c>
      <c r="F2582" s="346" t="s">
        <v>643</v>
      </c>
      <c r="G2582" s="350" t="s">
        <v>443</v>
      </c>
      <c r="H2582" s="351">
        <f t="shared" si="44"/>
        <v>13200</v>
      </c>
      <c r="I2582" s="120" t="str">
        <f>IF(OR(D2582&lt;Capa!$A$5,D2582&gt;Capa!$A$7,E2582&lt;Capa!$A$5,E2582&gt;Capa!$A$7,D2582&gt;E2582),"Erro","")</f>
        <v/>
      </c>
    </row>
    <row r="2583" spans="1:9" ht="22.5">
      <c r="A2583" s="345">
        <v>2580</v>
      </c>
      <c r="B2583" s="346" t="s">
        <v>274</v>
      </c>
      <c r="C2583" s="347">
        <v>1164.24</v>
      </c>
      <c r="D2583" s="348">
        <v>45658</v>
      </c>
      <c r="E2583" s="348">
        <v>45992</v>
      </c>
      <c r="F2583" s="346" t="s">
        <v>643</v>
      </c>
      <c r="G2583" s="350" t="s">
        <v>443</v>
      </c>
      <c r="H2583" s="351">
        <f t="shared" si="44"/>
        <v>13970.880000000001</v>
      </c>
      <c r="I2583" s="120" t="str">
        <f>IF(OR(D2583&lt;Capa!$A$5,D2583&gt;Capa!$A$7,E2583&lt;Capa!$A$5,E2583&gt;Capa!$A$7,D2583&gt;E2583),"Erro","")</f>
        <v/>
      </c>
    </row>
    <row r="2584" spans="1:9" ht="22.5">
      <c r="A2584" s="345">
        <v>2581</v>
      </c>
      <c r="B2584" s="346" t="s">
        <v>274</v>
      </c>
      <c r="C2584" s="347">
        <v>1232.23</v>
      </c>
      <c r="D2584" s="348">
        <v>46023</v>
      </c>
      <c r="E2584" s="348">
        <v>46357</v>
      </c>
      <c r="F2584" s="346" t="s">
        <v>643</v>
      </c>
      <c r="G2584" s="350" t="s">
        <v>443</v>
      </c>
      <c r="H2584" s="351">
        <f t="shared" si="44"/>
        <v>14786.76</v>
      </c>
      <c r="I2584" s="120" t="str">
        <f>IF(OR(D2584&lt;Capa!$A$5,D2584&gt;Capa!$A$7,E2584&lt;Capa!$A$5,E2584&gt;Capa!$A$7,D2584&gt;E2584),"Erro","")</f>
        <v/>
      </c>
    </row>
    <row r="2585" spans="1:9" ht="22.5">
      <c r="A2585" s="345">
        <v>2582</v>
      </c>
      <c r="B2585" s="346" t="s">
        <v>274</v>
      </c>
      <c r="C2585" s="347">
        <v>1304.19</v>
      </c>
      <c r="D2585" s="348">
        <v>46388</v>
      </c>
      <c r="E2585" s="348">
        <v>46722</v>
      </c>
      <c r="F2585" s="346" t="s">
        <v>643</v>
      </c>
      <c r="G2585" s="350" t="s">
        <v>443</v>
      </c>
      <c r="H2585" s="351">
        <f t="shared" si="44"/>
        <v>15650.28</v>
      </c>
      <c r="I2585" s="120" t="str">
        <f>IF(OR(D2585&lt;Capa!$A$5,D2585&gt;Capa!$A$7,E2585&lt;Capa!$A$5,E2585&gt;Capa!$A$7,D2585&gt;E2585),"Erro","")</f>
        <v/>
      </c>
    </row>
    <row r="2586" spans="1:9" ht="22.5">
      <c r="A2586" s="345">
        <v>2583</v>
      </c>
      <c r="B2586" s="346" t="s">
        <v>274</v>
      </c>
      <c r="C2586" s="347">
        <v>1380.35</v>
      </c>
      <c r="D2586" s="348">
        <v>46753</v>
      </c>
      <c r="E2586" s="348">
        <v>47058</v>
      </c>
      <c r="F2586" s="346" t="s">
        <v>643</v>
      </c>
      <c r="G2586" s="350" t="s">
        <v>443</v>
      </c>
      <c r="H2586" s="351">
        <f t="shared" si="44"/>
        <v>15183.849999999999</v>
      </c>
      <c r="I2586" s="120" t="str">
        <f>IF(OR(D2586&lt;Capa!$A$5,D2586&gt;Capa!$A$7,E2586&lt;Capa!$A$5,E2586&gt;Capa!$A$7,D2586&gt;E2586),"Erro","")</f>
        <v/>
      </c>
    </row>
    <row r="2587" spans="1:9" ht="56.25">
      <c r="A2587" s="345">
        <v>2584</v>
      </c>
      <c r="B2587" s="346" t="s">
        <v>236</v>
      </c>
      <c r="C2587" s="347">
        <v>690.19</v>
      </c>
      <c r="D2587" s="348">
        <v>45292</v>
      </c>
      <c r="E2587" s="348">
        <v>45627</v>
      </c>
      <c r="F2587" s="346" t="s">
        <v>643</v>
      </c>
      <c r="G2587" s="350" t="s">
        <v>444</v>
      </c>
      <c r="H2587" s="351">
        <f t="shared" si="44"/>
        <v>8282.2800000000007</v>
      </c>
      <c r="I2587" s="120" t="str">
        <f>IF(OR(D2587&lt;Capa!$A$5,D2587&gt;Capa!$A$7,E2587&lt;Capa!$A$5,E2587&gt;Capa!$A$7,D2587&gt;E2587),"Erro","")</f>
        <v/>
      </c>
    </row>
    <row r="2588" spans="1:9" ht="56.25">
      <c r="A2588" s="345">
        <v>2585</v>
      </c>
      <c r="B2588" s="346" t="s">
        <v>236</v>
      </c>
      <c r="C2588" s="347">
        <v>760.49</v>
      </c>
      <c r="D2588" s="348">
        <v>45658</v>
      </c>
      <c r="E2588" s="348">
        <v>45992</v>
      </c>
      <c r="F2588" s="346" t="s">
        <v>643</v>
      </c>
      <c r="G2588" s="350" t="s">
        <v>444</v>
      </c>
      <c r="H2588" s="351">
        <f t="shared" si="44"/>
        <v>9125.880000000001</v>
      </c>
      <c r="I2588" s="120" t="str">
        <f>IF(OR(D2588&lt;Capa!$A$5,D2588&gt;Capa!$A$7,E2588&lt;Capa!$A$5,E2588&gt;Capa!$A$7,D2588&gt;E2588),"Erro","")</f>
        <v/>
      </c>
    </row>
    <row r="2589" spans="1:9" ht="56.25">
      <c r="A2589" s="345">
        <v>2586</v>
      </c>
      <c r="B2589" s="346" t="s">
        <v>236</v>
      </c>
      <c r="C2589" s="347">
        <v>773.16</v>
      </c>
      <c r="D2589" s="348">
        <v>46023</v>
      </c>
      <c r="E2589" s="348">
        <v>46357</v>
      </c>
      <c r="F2589" s="346" t="s">
        <v>643</v>
      </c>
      <c r="G2589" s="350" t="s">
        <v>444</v>
      </c>
      <c r="H2589" s="351">
        <f t="shared" si="44"/>
        <v>9277.92</v>
      </c>
      <c r="I2589" s="120" t="str">
        <f>IF(OR(D2589&lt;Capa!$A$5,D2589&gt;Capa!$A$7,E2589&lt;Capa!$A$5,E2589&gt;Capa!$A$7,D2589&gt;E2589),"Erro","")</f>
        <v/>
      </c>
    </row>
    <row r="2590" spans="1:9" ht="56.25">
      <c r="A2590" s="345">
        <v>2587</v>
      </c>
      <c r="B2590" s="346" t="s">
        <v>236</v>
      </c>
      <c r="C2590" s="347">
        <v>818.31</v>
      </c>
      <c r="D2590" s="348">
        <v>46388</v>
      </c>
      <c r="E2590" s="348">
        <v>46722</v>
      </c>
      <c r="F2590" s="346" t="s">
        <v>643</v>
      </c>
      <c r="G2590" s="350" t="s">
        <v>444</v>
      </c>
      <c r="H2590" s="351">
        <f t="shared" si="44"/>
        <v>9819.7199999999993</v>
      </c>
      <c r="I2590" s="120" t="str">
        <f>IF(OR(D2590&lt;Capa!$A$5,D2590&gt;Capa!$A$7,E2590&lt;Capa!$A$5,E2590&gt;Capa!$A$7,D2590&gt;E2590),"Erro","")</f>
        <v/>
      </c>
    </row>
    <row r="2591" spans="1:9" ht="56.25">
      <c r="A2591" s="345">
        <v>2588</v>
      </c>
      <c r="B2591" s="346" t="s">
        <v>236</v>
      </c>
      <c r="C2591" s="347">
        <v>866.09</v>
      </c>
      <c r="D2591" s="348">
        <v>46753</v>
      </c>
      <c r="E2591" s="348">
        <v>47058</v>
      </c>
      <c r="F2591" s="346" t="s">
        <v>643</v>
      </c>
      <c r="G2591" s="350" t="s">
        <v>444</v>
      </c>
      <c r="H2591" s="351">
        <f t="shared" si="44"/>
        <v>9526.99</v>
      </c>
      <c r="I2591" s="120" t="str">
        <f>IF(OR(D2591&lt;Capa!$A$5,D2591&gt;Capa!$A$7,E2591&lt;Capa!$A$5,E2591&gt;Capa!$A$7,D2591&gt;E2591),"Erro","")</f>
        <v/>
      </c>
    </row>
    <row r="2592" spans="1:9" ht="33.75">
      <c r="A2592" s="345">
        <v>2589</v>
      </c>
      <c r="B2592" s="346" t="s">
        <v>240</v>
      </c>
      <c r="C2592" s="347">
        <v>50</v>
      </c>
      <c r="D2592" s="348">
        <v>45323</v>
      </c>
      <c r="E2592" s="348">
        <v>45627</v>
      </c>
      <c r="F2592" s="346" t="s">
        <v>643</v>
      </c>
      <c r="G2592" s="350" t="s">
        <v>445</v>
      </c>
      <c r="H2592" s="351">
        <f t="shared" si="44"/>
        <v>550</v>
      </c>
      <c r="I2592" s="120" t="str">
        <f>IF(OR(D2592&lt;Capa!$A$5,D2592&gt;Capa!$A$7,E2592&lt;Capa!$A$5,E2592&gt;Capa!$A$7,D2592&gt;E2592),"Erro","")</f>
        <v/>
      </c>
    </row>
    <row r="2593" spans="1:9" ht="33.75">
      <c r="A2593" s="345">
        <v>2590</v>
      </c>
      <c r="B2593" s="346" t="s">
        <v>240</v>
      </c>
      <c r="C2593" s="347">
        <v>50</v>
      </c>
      <c r="D2593" s="348">
        <v>45658</v>
      </c>
      <c r="E2593" s="348">
        <v>45992</v>
      </c>
      <c r="F2593" s="346" t="s">
        <v>643</v>
      </c>
      <c r="G2593" s="350" t="s">
        <v>445</v>
      </c>
      <c r="H2593" s="351">
        <f t="shared" si="44"/>
        <v>600</v>
      </c>
      <c r="I2593" s="120" t="str">
        <f>IF(OR(D2593&lt;Capa!$A$5,D2593&gt;Capa!$A$7,E2593&lt;Capa!$A$5,E2593&gt;Capa!$A$7,D2593&gt;E2593),"Erro","")</f>
        <v/>
      </c>
    </row>
    <row r="2594" spans="1:9" ht="33.75">
      <c r="A2594" s="345">
        <v>2591</v>
      </c>
      <c r="B2594" s="346" t="s">
        <v>240</v>
      </c>
      <c r="C2594" s="347">
        <v>50</v>
      </c>
      <c r="D2594" s="348">
        <v>46023</v>
      </c>
      <c r="E2594" s="348">
        <v>46357</v>
      </c>
      <c r="F2594" s="346" t="s">
        <v>643</v>
      </c>
      <c r="G2594" s="350" t="s">
        <v>445</v>
      </c>
      <c r="H2594" s="351">
        <f t="shared" si="44"/>
        <v>600</v>
      </c>
      <c r="I2594" s="120" t="str">
        <f>IF(OR(D2594&lt;Capa!$A$5,D2594&gt;Capa!$A$7,E2594&lt;Capa!$A$5,E2594&gt;Capa!$A$7,D2594&gt;E2594),"Erro","")</f>
        <v/>
      </c>
    </row>
    <row r="2595" spans="1:9" ht="33.75">
      <c r="A2595" s="345">
        <v>2592</v>
      </c>
      <c r="B2595" s="346" t="s">
        <v>240</v>
      </c>
      <c r="C2595" s="347">
        <v>50</v>
      </c>
      <c r="D2595" s="348">
        <v>46388</v>
      </c>
      <c r="E2595" s="348">
        <v>46722</v>
      </c>
      <c r="F2595" s="346" t="s">
        <v>643</v>
      </c>
      <c r="G2595" s="350" t="s">
        <v>445</v>
      </c>
      <c r="H2595" s="351">
        <f t="shared" si="44"/>
        <v>600</v>
      </c>
      <c r="I2595" s="120" t="str">
        <f>IF(OR(D2595&lt;Capa!$A$5,D2595&gt;Capa!$A$7,E2595&lt;Capa!$A$5,E2595&gt;Capa!$A$7,D2595&gt;E2595),"Erro","")</f>
        <v/>
      </c>
    </row>
    <row r="2596" spans="1:9" ht="33.75">
      <c r="A2596" s="345">
        <v>2593</v>
      </c>
      <c r="B2596" s="346" t="s">
        <v>240</v>
      </c>
      <c r="C2596" s="347">
        <v>50</v>
      </c>
      <c r="D2596" s="348">
        <v>46753</v>
      </c>
      <c r="E2596" s="348">
        <v>47058</v>
      </c>
      <c r="F2596" s="346" t="s">
        <v>643</v>
      </c>
      <c r="G2596" s="350" t="s">
        <v>445</v>
      </c>
      <c r="H2596" s="351">
        <f t="shared" si="44"/>
        <v>550</v>
      </c>
      <c r="I2596" s="120" t="str">
        <f>IF(OR(D2596&lt;Capa!$A$5,D2596&gt;Capa!$A$7,E2596&lt;Capa!$A$5,E2596&gt;Capa!$A$7,D2596&gt;E2596),"Erro","")</f>
        <v/>
      </c>
    </row>
    <row r="2597" spans="1:9" ht="45">
      <c r="A2597" s="345">
        <v>2594</v>
      </c>
      <c r="B2597" s="346" t="s">
        <v>244</v>
      </c>
      <c r="C2597" s="347">
        <v>250</v>
      </c>
      <c r="D2597" s="348">
        <v>45323</v>
      </c>
      <c r="E2597" s="348">
        <v>45627</v>
      </c>
      <c r="F2597" s="346" t="s">
        <v>643</v>
      </c>
      <c r="G2597" s="350" t="s">
        <v>446</v>
      </c>
      <c r="H2597" s="351">
        <f t="shared" si="44"/>
        <v>2750</v>
      </c>
      <c r="I2597" s="120" t="str">
        <f>IF(OR(D2597&lt;Capa!$A$5,D2597&gt;Capa!$A$7,E2597&lt;Capa!$A$5,E2597&gt;Capa!$A$7,D2597&gt;E2597),"Erro","")</f>
        <v/>
      </c>
    </row>
    <row r="2598" spans="1:9" ht="45">
      <c r="A2598" s="345">
        <v>2595</v>
      </c>
      <c r="B2598" s="346" t="s">
        <v>244</v>
      </c>
      <c r="C2598" s="347">
        <v>250</v>
      </c>
      <c r="D2598" s="348">
        <v>45658</v>
      </c>
      <c r="E2598" s="348">
        <v>45992</v>
      </c>
      <c r="F2598" s="346" t="s">
        <v>643</v>
      </c>
      <c r="G2598" s="350" t="s">
        <v>446</v>
      </c>
      <c r="H2598" s="351">
        <f t="shared" si="44"/>
        <v>3000</v>
      </c>
      <c r="I2598" s="120" t="str">
        <f>IF(OR(D2598&lt;Capa!$A$5,D2598&gt;Capa!$A$7,E2598&lt;Capa!$A$5,E2598&gt;Capa!$A$7,D2598&gt;E2598),"Erro","")</f>
        <v/>
      </c>
    </row>
    <row r="2599" spans="1:9" ht="45">
      <c r="A2599" s="345">
        <v>2596</v>
      </c>
      <c r="B2599" s="346" t="s">
        <v>244</v>
      </c>
      <c r="C2599" s="347">
        <v>300</v>
      </c>
      <c r="D2599" s="348">
        <v>46023</v>
      </c>
      <c r="E2599" s="348">
        <v>46357</v>
      </c>
      <c r="F2599" s="346" t="s">
        <v>643</v>
      </c>
      <c r="G2599" s="350" t="s">
        <v>446</v>
      </c>
      <c r="H2599" s="351">
        <f t="shared" si="44"/>
        <v>3600</v>
      </c>
      <c r="I2599" s="120" t="str">
        <f>IF(OR(D2599&lt;Capa!$A$5,D2599&gt;Capa!$A$7,E2599&lt;Capa!$A$5,E2599&gt;Capa!$A$7,D2599&gt;E2599),"Erro","")</f>
        <v/>
      </c>
    </row>
    <row r="2600" spans="1:9" ht="45">
      <c r="A2600" s="345">
        <v>2597</v>
      </c>
      <c r="B2600" s="346" t="s">
        <v>244</v>
      </c>
      <c r="C2600" s="347">
        <v>300</v>
      </c>
      <c r="D2600" s="348">
        <v>46388</v>
      </c>
      <c r="E2600" s="348">
        <v>46722</v>
      </c>
      <c r="F2600" s="346" t="s">
        <v>643</v>
      </c>
      <c r="G2600" s="350" t="s">
        <v>446</v>
      </c>
      <c r="H2600" s="351">
        <f t="shared" si="44"/>
        <v>3600</v>
      </c>
      <c r="I2600" s="120" t="str">
        <f>IF(OR(D2600&lt;Capa!$A$5,D2600&gt;Capa!$A$7,E2600&lt;Capa!$A$5,E2600&gt;Capa!$A$7,D2600&gt;E2600),"Erro","")</f>
        <v/>
      </c>
    </row>
    <row r="2601" spans="1:9" ht="45">
      <c r="A2601" s="345">
        <v>2598</v>
      </c>
      <c r="B2601" s="346" t="s">
        <v>244</v>
      </c>
      <c r="C2601" s="347">
        <v>350</v>
      </c>
      <c r="D2601" s="348">
        <v>46753</v>
      </c>
      <c r="E2601" s="348">
        <v>47058</v>
      </c>
      <c r="F2601" s="346" t="s">
        <v>643</v>
      </c>
      <c r="G2601" s="350" t="s">
        <v>446</v>
      </c>
      <c r="H2601" s="351">
        <f t="shared" si="44"/>
        <v>3850</v>
      </c>
      <c r="I2601" s="120" t="str">
        <f>IF(OR(D2601&lt;Capa!$A$5,D2601&gt;Capa!$A$7,E2601&lt;Capa!$A$5,E2601&gt;Capa!$A$7,D2601&gt;E2601),"Erro","")</f>
        <v/>
      </c>
    </row>
    <row r="2602" spans="1:9" ht="33.75">
      <c r="A2602" s="345">
        <v>2599</v>
      </c>
      <c r="B2602" s="346" t="s">
        <v>246</v>
      </c>
      <c r="C2602" s="347">
        <v>275.18</v>
      </c>
      <c r="D2602" s="348">
        <v>45658</v>
      </c>
      <c r="E2602" s="348">
        <v>45992</v>
      </c>
      <c r="F2602" s="346" t="s">
        <v>643</v>
      </c>
      <c r="G2602" s="350" t="s">
        <v>447</v>
      </c>
      <c r="H2602" s="351">
        <f t="shared" si="44"/>
        <v>3302.16</v>
      </c>
      <c r="I2602" s="120" t="str">
        <f>IF(OR(D2602&lt;Capa!$A$5,D2602&gt;Capa!$A$7,E2602&lt;Capa!$A$5,E2602&gt;Capa!$A$7,D2602&gt;E2602),"Erro","")</f>
        <v/>
      </c>
    </row>
    <row r="2603" spans="1:9" ht="33.75">
      <c r="A2603" s="345">
        <v>2600</v>
      </c>
      <c r="B2603" s="346" t="s">
        <v>246</v>
      </c>
      <c r="C2603" s="347">
        <v>291.25</v>
      </c>
      <c r="D2603" s="348">
        <v>46023</v>
      </c>
      <c r="E2603" s="348">
        <v>46357</v>
      </c>
      <c r="F2603" s="346" t="s">
        <v>643</v>
      </c>
      <c r="G2603" s="350" t="s">
        <v>447</v>
      </c>
      <c r="H2603" s="351">
        <f t="shared" si="44"/>
        <v>3495</v>
      </c>
      <c r="I2603" s="120" t="str">
        <f>IF(OR(D2603&lt;Capa!$A$5,D2603&gt;Capa!$A$7,E2603&lt;Capa!$A$5,E2603&gt;Capa!$A$7,D2603&gt;E2603),"Erro","")</f>
        <v/>
      </c>
    </row>
    <row r="2604" spans="1:9" ht="33.75">
      <c r="A2604" s="345">
        <v>2601</v>
      </c>
      <c r="B2604" s="346" t="s">
        <v>246</v>
      </c>
      <c r="C2604" s="347">
        <v>308.26</v>
      </c>
      <c r="D2604" s="348">
        <v>46388</v>
      </c>
      <c r="E2604" s="348">
        <v>46722</v>
      </c>
      <c r="F2604" s="346" t="s">
        <v>643</v>
      </c>
      <c r="G2604" s="350" t="s">
        <v>447</v>
      </c>
      <c r="H2604" s="351">
        <f t="shared" ref="H2604:H2660" si="45">IFERROR((DATEDIF(D2604,E2604,"M")+1)*C2604,0)</f>
        <v>3699.12</v>
      </c>
      <c r="I2604" s="120" t="str">
        <f>IF(OR(D2604&lt;Capa!$A$5,D2604&gt;Capa!$A$7,E2604&lt;Capa!$A$5,E2604&gt;Capa!$A$7,D2604&gt;E2604),"Erro","")</f>
        <v/>
      </c>
    </row>
    <row r="2605" spans="1:9" ht="33.75">
      <c r="A2605" s="345">
        <v>2602</v>
      </c>
      <c r="B2605" s="346" t="s">
        <v>246</v>
      </c>
      <c r="C2605" s="347">
        <v>326.26</v>
      </c>
      <c r="D2605" s="348">
        <v>46753</v>
      </c>
      <c r="E2605" s="348">
        <v>47058</v>
      </c>
      <c r="F2605" s="346" t="s">
        <v>643</v>
      </c>
      <c r="G2605" s="350" t="s">
        <v>447</v>
      </c>
      <c r="H2605" s="351">
        <f t="shared" si="45"/>
        <v>3588.8599999999997</v>
      </c>
      <c r="I2605" s="120" t="str">
        <f>IF(OR(D2605&lt;Capa!$A$5,D2605&gt;Capa!$A$7,E2605&lt;Capa!$A$5,E2605&gt;Capa!$A$7,D2605&gt;E2605),"Erro","")</f>
        <v/>
      </c>
    </row>
    <row r="2606" spans="1:9" ht="33.75">
      <c r="A2606" s="345">
        <v>2603</v>
      </c>
      <c r="B2606" s="346" t="s">
        <v>258</v>
      </c>
      <c r="C2606" s="347">
        <v>193.77</v>
      </c>
      <c r="D2606" s="348">
        <v>45323</v>
      </c>
      <c r="E2606" s="348">
        <v>45627</v>
      </c>
      <c r="F2606" s="346" t="s">
        <v>643</v>
      </c>
      <c r="G2606" s="350" t="s">
        <v>448</v>
      </c>
      <c r="H2606" s="351">
        <f t="shared" si="45"/>
        <v>2131.4700000000003</v>
      </c>
      <c r="I2606" s="120" t="str">
        <f>IF(OR(D2606&lt;Capa!$A$5,D2606&gt;Capa!$A$7,E2606&lt;Capa!$A$5,E2606&gt;Capa!$A$7,D2606&gt;E2606),"Erro","")</f>
        <v/>
      </c>
    </row>
    <row r="2607" spans="1:9" ht="33.75">
      <c r="A2607" s="345">
        <v>2604</v>
      </c>
      <c r="B2607" s="346" t="s">
        <v>258</v>
      </c>
      <c r="C2607" s="347">
        <v>205.08</v>
      </c>
      <c r="D2607" s="348">
        <v>45658</v>
      </c>
      <c r="E2607" s="348">
        <v>45992</v>
      </c>
      <c r="F2607" s="346" t="s">
        <v>643</v>
      </c>
      <c r="G2607" s="350" t="s">
        <v>448</v>
      </c>
      <c r="H2607" s="351">
        <f t="shared" si="45"/>
        <v>2460.96</v>
      </c>
      <c r="I2607" s="120" t="str">
        <f>IF(OR(D2607&lt;Capa!$A$5,D2607&gt;Capa!$A$7,E2607&lt;Capa!$A$5,E2607&gt;Capa!$A$7,D2607&gt;E2607),"Erro","")</f>
        <v/>
      </c>
    </row>
    <row r="2608" spans="1:9" ht="33.75">
      <c r="A2608" s="345">
        <v>2605</v>
      </c>
      <c r="B2608" s="346" t="s">
        <v>258</v>
      </c>
      <c r="C2608" s="347">
        <v>217.06</v>
      </c>
      <c r="D2608" s="348">
        <v>46023</v>
      </c>
      <c r="E2608" s="348">
        <v>46357</v>
      </c>
      <c r="F2608" s="346" t="s">
        <v>643</v>
      </c>
      <c r="G2608" s="350" t="s">
        <v>448</v>
      </c>
      <c r="H2608" s="351">
        <f t="shared" si="45"/>
        <v>2604.7200000000003</v>
      </c>
      <c r="I2608" s="120" t="str">
        <f>IF(OR(D2608&lt;Capa!$A$5,D2608&gt;Capa!$A$7,E2608&lt;Capa!$A$5,E2608&gt;Capa!$A$7,D2608&gt;E2608),"Erro","")</f>
        <v/>
      </c>
    </row>
    <row r="2609" spans="1:9" ht="33.75">
      <c r="A2609" s="345">
        <v>2606</v>
      </c>
      <c r="B2609" s="346" t="s">
        <v>258</v>
      </c>
      <c r="C2609" s="347">
        <v>229.74</v>
      </c>
      <c r="D2609" s="348">
        <v>46388</v>
      </c>
      <c r="E2609" s="348">
        <v>46722</v>
      </c>
      <c r="F2609" s="346" t="s">
        <v>643</v>
      </c>
      <c r="G2609" s="350" t="s">
        <v>448</v>
      </c>
      <c r="H2609" s="351">
        <f t="shared" si="45"/>
        <v>2756.88</v>
      </c>
      <c r="I2609" s="120" t="str">
        <f>IF(OR(D2609&lt;Capa!$A$5,D2609&gt;Capa!$A$7,E2609&lt;Capa!$A$5,E2609&gt;Capa!$A$7,D2609&gt;E2609),"Erro","")</f>
        <v/>
      </c>
    </row>
    <row r="2610" spans="1:9" ht="33.75">
      <c r="A2610" s="345">
        <v>2607</v>
      </c>
      <c r="B2610" s="346" t="s">
        <v>258</v>
      </c>
      <c r="C2610" s="347">
        <v>243.16</v>
      </c>
      <c r="D2610" s="348">
        <v>46753</v>
      </c>
      <c r="E2610" s="348">
        <v>47058</v>
      </c>
      <c r="F2610" s="346" t="s">
        <v>643</v>
      </c>
      <c r="G2610" s="350" t="s">
        <v>448</v>
      </c>
      <c r="H2610" s="351">
        <f t="shared" si="45"/>
        <v>2674.7599999999998</v>
      </c>
      <c r="I2610" s="120" t="str">
        <f>IF(OR(D2610&lt;Capa!$A$5,D2610&gt;Capa!$A$7,E2610&lt;Capa!$A$5,E2610&gt;Capa!$A$7,D2610&gt;E2610),"Erro","")</f>
        <v/>
      </c>
    </row>
    <row r="2611" spans="1:9" ht="56.25">
      <c r="A2611" s="345">
        <v>2608</v>
      </c>
      <c r="B2611" s="346" t="s">
        <v>276</v>
      </c>
      <c r="C2611" s="347">
        <v>1100</v>
      </c>
      <c r="D2611" s="348">
        <v>45323</v>
      </c>
      <c r="E2611" s="348">
        <v>45627</v>
      </c>
      <c r="F2611" s="346" t="s">
        <v>643</v>
      </c>
      <c r="G2611" s="350" t="s">
        <v>449</v>
      </c>
      <c r="H2611" s="351">
        <f t="shared" si="45"/>
        <v>12100</v>
      </c>
      <c r="I2611" s="120" t="str">
        <f>IF(OR(D2611&lt;Capa!$A$5,D2611&gt;Capa!$A$7,E2611&lt;Capa!$A$5,E2611&gt;Capa!$A$7,D2611&gt;E2611),"Erro","")</f>
        <v/>
      </c>
    </row>
    <row r="2612" spans="1:9" ht="56.25">
      <c r="A2612" s="345">
        <v>2609</v>
      </c>
      <c r="B2612" s="346" t="s">
        <v>276</v>
      </c>
      <c r="C2612" s="347">
        <v>670</v>
      </c>
      <c r="D2612" s="348">
        <v>45658</v>
      </c>
      <c r="E2612" s="348">
        <v>45992</v>
      </c>
      <c r="F2612" s="346" t="s">
        <v>643</v>
      </c>
      <c r="G2612" s="350" t="s">
        <v>449</v>
      </c>
      <c r="H2612" s="351">
        <f t="shared" si="45"/>
        <v>8040</v>
      </c>
      <c r="I2612" s="120" t="str">
        <f>IF(OR(D2612&lt;Capa!$A$5,D2612&gt;Capa!$A$7,E2612&lt;Capa!$A$5,E2612&gt;Capa!$A$7,D2612&gt;E2612),"Erro","")</f>
        <v/>
      </c>
    </row>
    <row r="2613" spans="1:9" ht="56.25">
      <c r="A2613" s="345">
        <v>2610</v>
      </c>
      <c r="B2613" s="346" t="s">
        <v>276</v>
      </c>
      <c r="C2613" s="347">
        <v>670</v>
      </c>
      <c r="D2613" s="348">
        <v>46023</v>
      </c>
      <c r="E2613" s="348">
        <v>46357</v>
      </c>
      <c r="F2613" s="346" t="s">
        <v>643</v>
      </c>
      <c r="G2613" s="350" t="s">
        <v>449</v>
      </c>
      <c r="H2613" s="351">
        <f t="shared" si="45"/>
        <v>8040</v>
      </c>
      <c r="I2613" s="120" t="str">
        <f>IF(OR(D2613&lt;Capa!$A$5,D2613&gt;Capa!$A$7,E2613&lt;Capa!$A$5,E2613&gt;Capa!$A$7,D2613&gt;E2613),"Erro","")</f>
        <v/>
      </c>
    </row>
    <row r="2614" spans="1:9" ht="56.25">
      <c r="A2614" s="345">
        <v>2611</v>
      </c>
      <c r="B2614" s="346" t="s">
        <v>276</v>
      </c>
      <c r="C2614" s="347">
        <v>670</v>
      </c>
      <c r="D2614" s="348">
        <v>46388</v>
      </c>
      <c r="E2614" s="348">
        <v>46722</v>
      </c>
      <c r="F2614" s="346" t="s">
        <v>643</v>
      </c>
      <c r="G2614" s="350" t="s">
        <v>449</v>
      </c>
      <c r="H2614" s="351">
        <f t="shared" si="45"/>
        <v>8040</v>
      </c>
      <c r="I2614" s="120" t="str">
        <f>IF(OR(D2614&lt;Capa!$A$5,D2614&gt;Capa!$A$7,E2614&lt;Capa!$A$5,E2614&gt;Capa!$A$7,D2614&gt;E2614),"Erro","")</f>
        <v/>
      </c>
    </row>
    <row r="2615" spans="1:9" ht="56.25">
      <c r="A2615" s="345">
        <v>2612</v>
      </c>
      <c r="B2615" s="346" t="s">
        <v>276</v>
      </c>
      <c r="C2615" s="347">
        <v>670</v>
      </c>
      <c r="D2615" s="348">
        <v>46753</v>
      </c>
      <c r="E2615" s="348">
        <v>47058</v>
      </c>
      <c r="F2615" s="346" t="s">
        <v>643</v>
      </c>
      <c r="G2615" s="350" t="s">
        <v>449</v>
      </c>
      <c r="H2615" s="351">
        <f t="shared" si="45"/>
        <v>7370</v>
      </c>
      <c r="I2615" s="120" t="str">
        <f>IF(OR(D2615&lt;Capa!$A$5,D2615&gt;Capa!$A$7,E2615&lt;Capa!$A$5,E2615&gt;Capa!$A$7,D2615&gt;E2615),"Erro","")</f>
        <v/>
      </c>
    </row>
    <row r="2616" spans="1:9" ht="45">
      <c r="A2616" s="345">
        <v>2613</v>
      </c>
      <c r="B2616" s="346" t="s">
        <v>278</v>
      </c>
      <c r="C2616" s="347">
        <v>36000</v>
      </c>
      <c r="D2616" s="348">
        <v>45323</v>
      </c>
      <c r="E2616" s="348">
        <v>45627</v>
      </c>
      <c r="F2616" s="346" t="s">
        <v>643</v>
      </c>
      <c r="G2616" s="350" t="s">
        <v>450</v>
      </c>
      <c r="H2616" s="351">
        <f t="shared" si="45"/>
        <v>396000</v>
      </c>
      <c r="I2616" s="120" t="str">
        <f>IF(OR(D2616&lt;Capa!$A$5,D2616&gt;Capa!$A$7,E2616&lt;Capa!$A$5,E2616&gt;Capa!$A$7,D2616&gt;E2616),"Erro","")</f>
        <v/>
      </c>
    </row>
    <row r="2617" spans="1:9" ht="45">
      <c r="A2617" s="345">
        <v>2614</v>
      </c>
      <c r="B2617" s="346" t="s">
        <v>278</v>
      </c>
      <c r="C2617" s="347">
        <v>38619</v>
      </c>
      <c r="D2617" s="348">
        <v>45658</v>
      </c>
      <c r="E2617" s="348">
        <v>45992</v>
      </c>
      <c r="F2617" s="346" t="s">
        <v>643</v>
      </c>
      <c r="G2617" s="350" t="s">
        <v>450</v>
      </c>
      <c r="H2617" s="351">
        <f t="shared" si="45"/>
        <v>463428</v>
      </c>
      <c r="I2617" s="120" t="str">
        <f>IF(OR(D2617&lt;Capa!$A$5,D2617&gt;Capa!$A$7,E2617&lt;Capa!$A$5,E2617&gt;Capa!$A$7,D2617&gt;E2617),"Erro","")</f>
        <v/>
      </c>
    </row>
    <row r="2618" spans="1:9" ht="45">
      <c r="A2618" s="345">
        <v>2615</v>
      </c>
      <c r="B2618" s="346" t="s">
        <v>278</v>
      </c>
      <c r="C2618" s="347">
        <v>40874.620000000003</v>
      </c>
      <c r="D2618" s="348">
        <v>46023</v>
      </c>
      <c r="E2618" s="348">
        <v>46357</v>
      </c>
      <c r="F2618" s="346" t="s">
        <v>643</v>
      </c>
      <c r="G2618" s="350" t="s">
        <v>450</v>
      </c>
      <c r="H2618" s="351">
        <f t="shared" si="45"/>
        <v>490495.44000000006</v>
      </c>
      <c r="I2618" s="120" t="str">
        <f>IF(OR(D2618&lt;Capa!$A$5,D2618&gt;Capa!$A$7,E2618&lt;Capa!$A$5,E2618&gt;Capa!$A$7,D2618&gt;E2618),"Erro","")</f>
        <v/>
      </c>
    </row>
    <row r="2619" spans="1:9" ht="45">
      <c r="A2619" s="345">
        <v>2616</v>
      </c>
      <c r="B2619" s="346" t="s">
        <v>278</v>
      </c>
      <c r="C2619" s="347">
        <v>43261</v>
      </c>
      <c r="D2619" s="348">
        <v>46388</v>
      </c>
      <c r="E2619" s="348">
        <v>46722</v>
      </c>
      <c r="F2619" s="346" t="s">
        <v>643</v>
      </c>
      <c r="G2619" s="350" t="s">
        <v>450</v>
      </c>
      <c r="H2619" s="351">
        <f t="shared" si="45"/>
        <v>519132</v>
      </c>
      <c r="I2619" s="120" t="str">
        <f>IF(OR(D2619&lt;Capa!$A$5,D2619&gt;Capa!$A$7,E2619&lt;Capa!$A$5,E2619&gt;Capa!$A$7,D2619&gt;E2619),"Erro","")</f>
        <v/>
      </c>
    </row>
    <row r="2620" spans="1:9" ht="45">
      <c r="A2620" s="345">
        <v>2617</v>
      </c>
      <c r="B2620" s="346" t="s">
        <v>278</v>
      </c>
      <c r="C2620" s="347">
        <v>45787.44</v>
      </c>
      <c r="D2620" s="348">
        <v>46753</v>
      </c>
      <c r="E2620" s="348">
        <v>47058</v>
      </c>
      <c r="F2620" s="346" t="s">
        <v>643</v>
      </c>
      <c r="G2620" s="350" t="s">
        <v>450</v>
      </c>
      <c r="H2620" s="351">
        <f t="shared" si="45"/>
        <v>503661.84</v>
      </c>
      <c r="I2620" s="120" t="str">
        <f>IF(OR(D2620&lt;Capa!$A$5,D2620&gt;Capa!$A$7,E2620&lt;Capa!$A$5,E2620&gt;Capa!$A$7,D2620&gt;E2620),"Erro","")</f>
        <v/>
      </c>
    </row>
    <row r="2621" spans="1:9" ht="56.25">
      <c r="A2621" s="345">
        <v>2618</v>
      </c>
      <c r="B2621" s="346" t="s">
        <v>280</v>
      </c>
      <c r="C2621" s="347">
        <v>100</v>
      </c>
      <c r="D2621" s="348">
        <v>45323</v>
      </c>
      <c r="E2621" s="348">
        <v>45627</v>
      </c>
      <c r="F2621" s="346" t="s">
        <v>643</v>
      </c>
      <c r="G2621" s="350" t="s">
        <v>451</v>
      </c>
      <c r="H2621" s="351">
        <f t="shared" si="45"/>
        <v>1100</v>
      </c>
      <c r="I2621" s="120" t="str">
        <f>IF(OR(D2621&lt;Capa!$A$5,D2621&gt;Capa!$A$7,E2621&lt;Capa!$A$5,E2621&gt;Capa!$A$7,D2621&gt;E2621),"Erro","")</f>
        <v/>
      </c>
    </row>
    <row r="2622" spans="1:9" ht="56.25">
      <c r="A2622" s="345">
        <v>2619</v>
      </c>
      <c r="B2622" s="346" t="s">
        <v>280</v>
      </c>
      <c r="C2622" s="347">
        <v>100</v>
      </c>
      <c r="D2622" s="348">
        <v>45658</v>
      </c>
      <c r="E2622" s="348">
        <v>45992</v>
      </c>
      <c r="F2622" s="346" t="s">
        <v>643</v>
      </c>
      <c r="G2622" s="350" t="s">
        <v>451</v>
      </c>
      <c r="H2622" s="351">
        <f t="shared" si="45"/>
        <v>1200</v>
      </c>
      <c r="I2622" s="120" t="str">
        <f>IF(OR(D2622&lt;Capa!$A$5,D2622&gt;Capa!$A$7,E2622&lt;Capa!$A$5,E2622&gt;Capa!$A$7,D2622&gt;E2622),"Erro","")</f>
        <v/>
      </c>
    </row>
    <row r="2623" spans="1:9" ht="56.25">
      <c r="A2623" s="345">
        <v>2620</v>
      </c>
      <c r="B2623" s="346" t="s">
        <v>280</v>
      </c>
      <c r="C2623" s="347">
        <v>100</v>
      </c>
      <c r="D2623" s="348">
        <v>46023</v>
      </c>
      <c r="E2623" s="348">
        <v>46357</v>
      </c>
      <c r="F2623" s="346" t="s">
        <v>643</v>
      </c>
      <c r="G2623" s="350" t="s">
        <v>451</v>
      </c>
      <c r="H2623" s="351">
        <f t="shared" si="45"/>
        <v>1200</v>
      </c>
      <c r="I2623" s="120" t="str">
        <f>IF(OR(D2623&lt;Capa!$A$5,D2623&gt;Capa!$A$7,E2623&lt;Capa!$A$5,E2623&gt;Capa!$A$7,D2623&gt;E2623),"Erro","")</f>
        <v/>
      </c>
    </row>
    <row r="2624" spans="1:9" ht="56.25">
      <c r="A2624" s="345">
        <v>2621</v>
      </c>
      <c r="B2624" s="346" t="s">
        <v>280</v>
      </c>
      <c r="C2624" s="347">
        <v>100</v>
      </c>
      <c r="D2624" s="348">
        <v>46388</v>
      </c>
      <c r="E2624" s="348">
        <v>46722</v>
      </c>
      <c r="F2624" s="346" t="s">
        <v>643</v>
      </c>
      <c r="G2624" s="350" t="s">
        <v>451</v>
      </c>
      <c r="H2624" s="351">
        <f t="shared" si="45"/>
        <v>1200</v>
      </c>
      <c r="I2624" s="120" t="str">
        <f>IF(OR(D2624&lt;Capa!$A$5,D2624&gt;Capa!$A$7,E2624&lt;Capa!$A$5,E2624&gt;Capa!$A$7,D2624&gt;E2624),"Erro","")</f>
        <v/>
      </c>
    </row>
    <row r="2625" spans="1:9" ht="56.25">
      <c r="A2625" s="345">
        <v>2622</v>
      </c>
      <c r="B2625" s="346" t="s">
        <v>280</v>
      </c>
      <c r="C2625" s="347">
        <v>100</v>
      </c>
      <c r="D2625" s="348">
        <v>46753</v>
      </c>
      <c r="E2625" s="348">
        <v>47058</v>
      </c>
      <c r="F2625" s="346" t="s">
        <v>643</v>
      </c>
      <c r="G2625" s="350" t="s">
        <v>451</v>
      </c>
      <c r="H2625" s="351">
        <f t="shared" si="45"/>
        <v>1100</v>
      </c>
      <c r="I2625" s="120" t="str">
        <f>IF(OR(D2625&lt;Capa!$A$5,D2625&gt;Capa!$A$7,E2625&lt;Capa!$A$5,E2625&gt;Capa!$A$7,D2625&gt;E2625),"Erro","")</f>
        <v/>
      </c>
    </row>
    <row r="2626" spans="1:9" ht="45">
      <c r="A2626" s="345">
        <v>2623</v>
      </c>
      <c r="B2626" s="346" t="s">
        <v>282</v>
      </c>
      <c r="C2626" s="347">
        <v>702.18</v>
      </c>
      <c r="D2626" s="348">
        <v>45323</v>
      </c>
      <c r="E2626" s="348">
        <v>45627</v>
      </c>
      <c r="F2626" s="346" t="s">
        <v>643</v>
      </c>
      <c r="G2626" s="350" t="s">
        <v>452</v>
      </c>
      <c r="H2626" s="351">
        <f t="shared" si="45"/>
        <v>7723.98</v>
      </c>
      <c r="I2626" s="120" t="str">
        <f>IF(OR(D2626&lt;Capa!$A$5,D2626&gt;Capa!$A$7,E2626&lt;Capa!$A$5,E2626&gt;Capa!$A$7,D2626&gt;E2626),"Erro","")</f>
        <v/>
      </c>
    </row>
    <row r="2627" spans="1:9" ht="45">
      <c r="A2627" s="345">
        <v>2624</v>
      </c>
      <c r="B2627" s="346" t="s">
        <v>282</v>
      </c>
      <c r="C2627" s="347">
        <v>743.18</v>
      </c>
      <c r="D2627" s="348">
        <v>45658</v>
      </c>
      <c r="E2627" s="348">
        <v>45992</v>
      </c>
      <c r="F2627" s="346" t="s">
        <v>643</v>
      </c>
      <c r="G2627" s="350" t="s">
        <v>452</v>
      </c>
      <c r="H2627" s="351">
        <f t="shared" si="45"/>
        <v>8918.16</v>
      </c>
      <c r="I2627" s="120" t="str">
        <f>IF(OR(D2627&lt;Capa!$A$5,D2627&gt;Capa!$A$7,E2627&lt;Capa!$A$5,E2627&gt;Capa!$A$7,D2627&gt;E2627),"Erro","")</f>
        <v/>
      </c>
    </row>
    <row r="2628" spans="1:9" ht="45">
      <c r="A2628" s="345">
        <v>2625</v>
      </c>
      <c r="B2628" s="346" t="s">
        <v>282</v>
      </c>
      <c r="C2628" s="347">
        <v>786.59</v>
      </c>
      <c r="D2628" s="348">
        <v>46023</v>
      </c>
      <c r="E2628" s="348">
        <v>46357</v>
      </c>
      <c r="F2628" s="346" t="s">
        <v>643</v>
      </c>
      <c r="G2628" s="350" t="s">
        <v>452</v>
      </c>
      <c r="H2628" s="351">
        <f t="shared" si="45"/>
        <v>9439.08</v>
      </c>
      <c r="I2628" s="120" t="str">
        <f>IF(OR(D2628&lt;Capa!$A$5,D2628&gt;Capa!$A$7,E2628&lt;Capa!$A$5,E2628&gt;Capa!$A$7,D2628&gt;E2628),"Erro","")</f>
        <v/>
      </c>
    </row>
    <row r="2629" spans="1:9" ht="45">
      <c r="A2629" s="345">
        <v>2626</v>
      </c>
      <c r="B2629" s="346" t="s">
        <v>282</v>
      </c>
      <c r="C2629" s="347">
        <v>832.52</v>
      </c>
      <c r="D2629" s="348">
        <v>46388</v>
      </c>
      <c r="E2629" s="348">
        <v>46722</v>
      </c>
      <c r="F2629" s="346" t="s">
        <v>643</v>
      </c>
      <c r="G2629" s="350" t="s">
        <v>452</v>
      </c>
      <c r="H2629" s="351">
        <f t="shared" si="45"/>
        <v>9990.24</v>
      </c>
      <c r="I2629" s="120" t="str">
        <f>IF(OR(D2629&lt;Capa!$A$5,D2629&gt;Capa!$A$7,E2629&lt;Capa!$A$5,E2629&gt;Capa!$A$7,D2629&gt;E2629),"Erro","")</f>
        <v/>
      </c>
    </row>
    <row r="2630" spans="1:9" ht="45">
      <c r="A2630" s="345">
        <v>2627</v>
      </c>
      <c r="B2630" s="346" t="s">
        <v>282</v>
      </c>
      <c r="C2630" s="347">
        <v>881.14</v>
      </c>
      <c r="D2630" s="348">
        <v>46753</v>
      </c>
      <c r="E2630" s="348">
        <v>47058</v>
      </c>
      <c r="F2630" s="346" t="s">
        <v>643</v>
      </c>
      <c r="G2630" s="350" t="s">
        <v>452</v>
      </c>
      <c r="H2630" s="351">
        <f t="shared" si="45"/>
        <v>9692.5399999999991</v>
      </c>
      <c r="I2630" s="120" t="str">
        <f>IF(OR(D2630&lt;Capa!$A$5,D2630&gt;Capa!$A$7,E2630&lt;Capa!$A$5,E2630&gt;Capa!$A$7,D2630&gt;E2630),"Erro","")</f>
        <v/>
      </c>
    </row>
    <row r="2631" spans="1:9" ht="45">
      <c r="A2631" s="345">
        <v>2628</v>
      </c>
      <c r="B2631" s="346" t="s">
        <v>284</v>
      </c>
      <c r="C2631" s="347">
        <v>900</v>
      </c>
      <c r="D2631" s="348">
        <v>45323</v>
      </c>
      <c r="E2631" s="348">
        <v>45627</v>
      </c>
      <c r="F2631" s="346" t="s">
        <v>643</v>
      </c>
      <c r="G2631" s="350" t="s">
        <v>452</v>
      </c>
      <c r="H2631" s="351">
        <f t="shared" si="45"/>
        <v>9900</v>
      </c>
      <c r="I2631" s="120" t="str">
        <f>IF(OR(D2631&lt;Capa!$A$5,D2631&gt;Capa!$A$7,E2631&lt;Capa!$A$5,E2631&gt;Capa!$A$7,D2631&gt;E2631),"Erro","")</f>
        <v/>
      </c>
    </row>
    <row r="2632" spans="1:9" ht="45">
      <c r="A2632" s="345">
        <v>2629</v>
      </c>
      <c r="B2632" s="346" t="s">
        <v>284</v>
      </c>
      <c r="C2632" s="347">
        <v>1072.49</v>
      </c>
      <c r="D2632" s="348">
        <v>45658</v>
      </c>
      <c r="E2632" s="348">
        <v>45992</v>
      </c>
      <c r="F2632" s="346" t="s">
        <v>643</v>
      </c>
      <c r="G2632" s="350" t="s">
        <v>452</v>
      </c>
      <c r="H2632" s="351">
        <f t="shared" si="45"/>
        <v>12869.880000000001</v>
      </c>
      <c r="I2632" s="120" t="str">
        <f>IF(OR(D2632&lt;Capa!$A$5,D2632&gt;Capa!$A$7,E2632&lt;Capa!$A$5,E2632&gt;Capa!$A$7,D2632&gt;E2632),"Erro","")</f>
        <v/>
      </c>
    </row>
    <row r="2633" spans="1:9" ht="45">
      <c r="A2633" s="345">
        <v>2630</v>
      </c>
      <c r="B2633" s="346" t="s">
        <v>284</v>
      </c>
      <c r="C2633" s="347">
        <v>1135.1199999999999</v>
      </c>
      <c r="D2633" s="348">
        <v>46023</v>
      </c>
      <c r="E2633" s="348">
        <v>46357</v>
      </c>
      <c r="F2633" s="346" t="s">
        <v>643</v>
      </c>
      <c r="G2633" s="350" t="s">
        <v>452</v>
      </c>
      <c r="H2633" s="351">
        <f t="shared" si="45"/>
        <v>13621.439999999999</v>
      </c>
      <c r="I2633" s="120" t="str">
        <f>IF(OR(D2633&lt;Capa!$A$5,D2633&gt;Capa!$A$7,E2633&lt;Capa!$A$5,E2633&gt;Capa!$A$7,D2633&gt;E2633),"Erro","")</f>
        <v/>
      </c>
    </row>
    <row r="2634" spans="1:9" ht="45">
      <c r="A2634" s="345">
        <v>2631</v>
      </c>
      <c r="B2634" s="346" t="s">
        <v>284</v>
      </c>
      <c r="C2634" s="347">
        <v>1201.42</v>
      </c>
      <c r="D2634" s="348">
        <v>46388</v>
      </c>
      <c r="E2634" s="348">
        <v>46722</v>
      </c>
      <c r="F2634" s="346" t="s">
        <v>643</v>
      </c>
      <c r="G2634" s="350" t="s">
        <v>452</v>
      </c>
      <c r="H2634" s="351">
        <f t="shared" si="45"/>
        <v>14417.04</v>
      </c>
      <c r="I2634" s="120" t="str">
        <f>IF(OR(D2634&lt;Capa!$A$5,D2634&gt;Capa!$A$7,E2634&lt;Capa!$A$5,E2634&gt;Capa!$A$7,D2634&gt;E2634),"Erro","")</f>
        <v/>
      </c>
    </row>
    <row r="2635" spans="1:9" ht="45">
      <c r="A2635" s="345">
        <v>2632</v>
      </c>
      <c r="B2635" s="346" t="s">
        <v>284</v>
      </c>
      <c r="C2635" s="347">
        <v>1271.58</v>
      </c>
      <c r="D2635" s="348">
        <v>46753</v>
      </c>
      <c r="E2635" s="348">
        <v>47058</v>
      </c>
      <c r="F2635" s="346" t="s">
        <v>643</v>
      </c>
      <c r="G2635" s="350" t="s">
        <v>452</v>
      </c>
      <c r="H2635" s="351">
        <f t="shared" si="45"/>
        <v>13987.38</v>
      </c>
      <c r="I2635" s="120" t="str">
        <f>IF(OR(D2635&lt;Capa!$A$5,D2635&gt;Capa!$A$7,E2635&lt;Capa!$A$5,E2635&gt;Capa!$A$7,D2635&gt;E2635),"Erro","")</f>
        <v/>
      </c>
    </row>
    <row r="2636" spans="1:9" ht="45">
      <c r="A2636" s="345">
        <v>2633</v>
      </c>
      <c r="B2636" s="346" t="s">
        <v>286</v>
      </c>
      <c r="C2636" s="347">
        <v>1013.31</v>
      </c>
      <c r="D2636" s="348">
        <v>45323</v>
      </c>
      <c r="E2636" s="348">
        <v>45627</v>
      </c>
      <c r="F2636" s="346" t="s">
        <v>643</v>
      </c>
      <c r="G2636" s="350" t="s">
        <v>452</v>
      </c>
      <c r="H2636" s="351">
        <f t="shared" si="45"/>
        <v>11146.41</v>
      </c>
      <c r="I2636" s="120" t="str">
        <f>IF(OR(D2636&lt;Capa!$A$5,D2636&gt;Capa!$A$7,E2636&lt;Capa!$A$5,E2636&gt;Capa!$A$7,D2636&gt;E2636),"Erro","")</f>
        <v/>
      </c>
    </row>
    <row r="2637" spans="1:9" ht="45">
      <c r="A2637" s="345">
        <v>2634</v>
      </c>
      <c r="B2637" s="346" t="s">
        <v>286</v>
      </c>
      <c r="C2637" s="347">
        <v>1072.49</v>
      </c>
      <c r="D2637" s="348">
        <v>45658</v>
      </c>
      <c r="E2637" s="348">
        <v>45992</v>
      </c>
      <c r="F2637" s="346" t="s">
        <v>643</v>
      </c>
      <c r="G2637" s="350" t="s">
        <v>452</v>
      </c>
      <c r="H2637" s="351">
        <f t="shared" si="45"/>
        <v>12869.880000000001</v>
      </c>
      <c r="I2637" s="120" t="str">
        <f>IF(OR(D2637&lt;Capa!$A$5,D2637&gt;Capa!$A$7,E2637&lt;Capa!$A$5,E2637&gt;Capa!$A$7,D2637&gt;E2637),"Erro","")</f>
        <v/>
      </c>
    </row>
    <row r="2638" spans="1:9" ht="45">
      <c r="A2638" s="345">
        <v>2635</v>
      </c>
      <c r="B2638" s="346" t="s">
        <v>286</v>
      </c>
      <c r="C2638" s="347">
        <v>1800</v>
      </c>
      <c r="D2638" s="348">
        <v>46023</v>
      </c>
      <c r="E2638" s="348">
        <v>46357</v>
      </c>
      <c r="F2638" s="346" t="s">
        <v>643</v>
      </c>
      <c r="G2638" s="350" t="s">
        <v>452</v>
      </c>
      <c r="H2638" s="351">
        <f t="shared" si="45"/>
        <v>21600</v>
      </c>
      <c r="I2638" s="120" t="str">
        <f>IF(OR(D2638&lt;Capa!$A$5,D2638&gt;Capa!$A$7,E2638&lt;Capa!$A$5,E2638&gt;Capa!$A$7,D2638&gt;E2638),"Erro","")</f>
        <v/>
      </c>
    </row>
    <row r="2639" spans="1:9" ht="45">
      <c r="A2639" s="345">
        <v>2636</v>
      </c>
      <c r="B2639" s="346" t="s">
        <v>286</v>
      </c>
      <c r="C2639" s="347">
        <v>1900</v>
      </c>
      <c r="D2639" s="348">
        <v>46388</v>
      </c>
      <c r="E2639" s="348">
        <v>46722</v>
      </c>
      <c r="F2639" s="346" t="s">
        <v>643</v>
      </c>
      <c r="G2639" s="350" t="s">
        <v>452</v>
      </c>
      <c r="H2639" s="351">
        <f t="shared" si="45"/>
        <v>22800</v>
      </c>
      <c r="I2639" s="120" t="str">
        <f>IF(OR(D2639&lt;Capa!$A$5,D2639&gt;Capa!$A$7,E2639&lt;Capa!$A$5,E2639&gt;Capa!$A$7,D2639&gt;E2639),"Erro","")</f>
        <v/>
      </c>
    </row>
    <row r="2640" spans="1:9" ht="45">
      <c r="A2640" s="345">
        <v>2637</v>
      </c>
      <c r="B2640" s="346" t="s">
        <v>286</v>
      </c>
      <c r="C2640" s="347">
        <v>2100</v>
      </c>
      <c r="D2640" s="348">
        <v>46753</v>
      </c>
      <c r="E2640" s="348">
        <v>47058</v>
      </c>
      <c r="F2640" s="346" t="s">
        <v>643</v>
      </c>
      <c r="G2640" s="350" t="s">
        <v>452</v>
      </c>
      <c r="H2640" s="351">
        <f t="shared" si="45"/>
        <v>23100</v>
      </c>
      <c r="I2640" s="120" t="str">
        <f>IF(OR(D2640&lt;Capa!$A$5,D2640&gt;Capa!$A$7,E2640&lt;Capa!$A$5,E2640&gt;Capa!$A$7,D2640&gt;E2640),"Erro","")</f>
        <v/>
      </c>
    </row>
    <row r="2641" spans="1:9" ht="45">
      <c r="A2641" s="345">
        <v>2638</v>
      </c>
      <c r="B2641" s="346" t="s">
        <v>288</v>
      </c>
      <c r="C2641" s="347">
        <v>200</v>
      </c>
      <c r="D2641" s="348">
        <v>45323</v>
      </c>
      <c r="E2641" s="348">
        <v>45627</v>
      </c>
      <c r="F2641" s="346" t="s">
        <v>643</v>
      </c>
      <c r="G2641" s="350" t="s">
        <v>453</v>
      </c>
      <c r="H2641" s="351">
        <f t="shared" si="45"/>
        <v>2200</v>
      </c>
      <c r="I2641" s="120" t="str">
        <f>IF(OR(D2641&lt;Capa!$A$5,D2641&gt;Capa!$A$7,E2641&lt;Capa!$A$5,E2641&gt;Capa!$A$7,D2641&gt;E2641),"Erro","")</f>
        <v/>
      </c>
    </row>
    <row r="2642" spans="1:9" ht="45">
      <c r="A2642" s="345">
        <v>2639</v>
      </c>
      <c r="B2642" s="346" t="s">
        <v>288</v>
      </c>
      <c r="C2642" s="347">
        <v>200</v>
      </c>
      <c r="D2642" s="348">
        <v>45658</v>
      </c>
      <c r="E2642" s="348">
        <v>45992</v>
      </c>
      <c r="F2642" s="346" t="s">
        <v>643</v>
      </c>
      <c r="G2642" s="350" t="s">
        <v>453</v>
      </c>
      <c r="H2642" s="351">
        <f t="shared" si="45"/>
        <v>2400</v>
      </c>
      <c r="I2642" s="120" t="str">
        <f>IF(OR(D2642&lt;Capa!$A$5,D2642&gt;Capa!$A$7,E2642&lt;Capa!$A$5,E2642&gt;Capa!$A$7,D2642&gt;E2642),"Erro","")</f>
        <v/>
      </c>
    </row>
    <row r="2643" spans="1:9" ht="45">
      <c r="A2643" s="345">
        <v>2640</v>
      </c>
      <c r="B2643" s="346" t="s">
        <v>288</v>
      </c>
      <c r="C2643" s="347">
        <v>200</v>
      </c>
      <c r="D2643" s="348">
        <v>46023</v>
      </c>
      <c r="E2643" s="348">
        <v>46357</v>
      </c>
      <c r="F2643" s="346" t="s">
        <v>643</v>
      </c>
      <c r="G2643" s="350" t="s">
        <v>453</v>
      </c>
      <c r="H2643" s="351">
        <f t="shared" si="45"/>
        <v>2400</v>
      </c>
      <c r="I2643" s="120" t="str">
        <f>IF(OR(D2643&lt;Capa!$A$5,D2643&gt;Capa!$A$7,E2643&lt;Capa!$A$5,E2643&gt;Capa!$A$7,D2643&gt;E2643),"Erro","")</f>
        <v/>
      </c>
    </row>
    <row r="2644" spans="1:9" ht="45">
      <c r="A2644" s="345">
        <v>2641</v>
      </c>
      <c r="B2644" s="346" t="s">
        <v>288</v>
      </c>
      <c r="C2644" s="347">
        <v>200</v>
      </c>
      <c r="D2644" s="348">
        <v>46388</v>
      </c>
      <c r="E2644" s="348">
        <v>46722</v>
      </c>
      <c r="F2644" s="346" t="s">
        <v>643</v>
      </c>
      <c r="G2644" s="350" t="s">
        <v>453</v>
      </c>
      <c r="H2644" s="351">
        <f t="shared" si="45"/>
        <v>2400</v>
      </c>
      <c r="I2644" s="120" t="str">
        <f>IF(OR(D2644&lt;Capa!$A$5,D2644&gt;Capa!$A$7,E2644&lt;Capa!$A$5,E2644&gt;Capa!$A$7,D2644&gt;E2644),"Erro","")</f>
        <v/>
      </c>
    </row>
    <row r="2645" spans="1:9" ht="45">
      <c r="A2645" s="345">
        <v>2642</v>
      </c>
      <c r="B2645" s="346" t="s">
        <v>288</v>
      </c>
      <c r="C2645" s="347">
        <v>200</v>
      </c>
      <c r="D2645" s="348">
        <v>46753</v>
      </c>
      <c r="E2645" s="348">
        <v>47058</v>
      </c>
      <c r="F2645" s="346" t="s">
        <v>643</v>
      </c>
      <c r="G2645" s="350" t="s">
        <v>453</v>
      </c>
      <c r="H2645" s="351">
        <f t="shared" si="45"/>
        <v>2200</v>
      </c>
      <c r="I2645" s="120" t="str">
        <f>IF(OR(D2645&lt;Capa!$A$5,D2645&gt;Capa!$A$7,E2645&lt;Capa!$A$5,E2645&gt;Capa!$A$7,D2645&gt;E2645),"Erro","")</f>
        <v/>
      </c>
    </row>
    <row r="2646" spans="1:9" ht="33.75">
      <c r="A2646" s="345">
        <v>2643</v>
      </c>
      <c r="B2646" s="346" t="s">
        <v>294</v>
      </c>
      <c r="C2646" s="347">
        <v>7000</v>
      </c>
      <c r="D2646" s="348">
        <v>45323</v>
      </c>
      <c r="E2646" s="348">
        <v>45627</v>
      </c>
      <c r="F2646" s="346" t="s">
        <v>643</v>
      </c>
      <c r="G2646" s="350" t="s">
        <v>454</v>
      </c>
      <c r="H2646" s="351">
        <f t="shared" si="45"/>
        <v>77000</v>
      </c>
      <c r="I2646" s="120" t="str">
        <f>IF(OR(D2646&lt;Capa!$A$5,D2646&gt;Capa!$A$7,E2646&lt;Capa!$A$5,E2646&gt;Capa!$A$7,D2646&gt;E2646),"Erro","")</f>
        <v/>
      </c>
    </row>
    <row r="2647" spans="1:9" ht="33.75">
      <c r="A2647" s="345">
        <v>2644</v>
      </c>
      <c r="B2647" s="346" t="s">
        <v>294</v>
      </c>
      <c r="C2647" s="347">
        <v>7408.8</v>
      </c>
      <c r="D2647" s="348">
        <v>45658</v>
      </c>
      <c r="E2647" s="348">
        <v>45992</v>
      </c>
      <c r="F2647" s="346" t="s">
        <v>643</v>
      </c>
      <c r="G2647" s="350" t="s">
        <v>454</v>
      </c>
      <c r="H2647" s="351">
        <f t="shared" si="45"/>
        <v>88905.600000000006</v>
      </c>
      <c r="I2647" s="120" t="str">
        <f>IF(OR(D2647&lt;Capa!$A$5,D2647&gt;Capa!$A$7,E2647&lt;Capa!$A$5,E2647&gt;Capa!$A$7,D2647&gt;E2647),"Erro","")</f>
        <v/>
      </c>
    </row>
    <row r="2648" spans="1:9" ht="33.75">
      <c r="A2648" s="345">
        <v>2645</v>
      </c>
      <c r="B2648" s="346" t="s">
        <v>294</v>
      </c>
      <c r="C2648" s="347">
        <v>7847.65</v>
      </c>
      <c r="D2648" s="348">
        <v>46023</v>
      </c>
      <c r="E2648" s="348">
        <v>46357</v>
      </c>
      <c r="F2648" s="346" t="s">
        <v>643</v>
      </c>
      <c r="G2648" s="350" t="s">
        <v>454</v>
      </c>
      <c r="H2648" s="351">
        <f t="shared" si="45"/>
        <v>94171.799999999988</v>
      </c>
      <c r="I2648" s="120" t="str">
        <f>IF(OR(D2648&lt;Capa!$A$5,D2648&gt;Capa!$A$7,E2648&lt;Capa!$A$5,E2648&gt;Capa!$A$7,D2648&gt;E2648),"Erro","")</f>
        <v/>
      </c>
    </row>
    <row r="2649" spans="1:9" ht="33.75">
      <c r="A2649" s="345">
        <v>2646</v>
      </c>
      <c r="B2649" s="346" t="s">
        <v>294</v>
      </c>
      <c r="C2649" s="347">
        <v>8305.9500000000007</v>
      </c>
      <c r="D2649" s="348">
        <v>46388</v>
      </c>
      <c r="E2649" s="348">
        <v>46722</v>
      </c>
      <c r="F2649" s="346" t="s">
        <v>643</v>
      </c>
      <c r="G2649" s="350" t="s">
        <v>454</v>
      </c>
      <c r="H2649" s="351">
        <f t="shared" si="45"/>
        <v>99671.400000000009</v>
      </c>
      <c r="I2649" s="120" t="str">
        <f>IF(OR(D2649&lt;Capa!$A$5,D2649&gt;Capa!$A$7,E2649&lt;Capa!$A$5,E2649&gt;Capa!$A$7,D2649&gt;E2649),"Erro","")</f>
        <v/>
      </c>
    </row>
    <row r="2650" spans="1:9" ht="33.75">
      <c r="A2650" s="345">
        <v>2647</v>
      </c>
      <c r="B2650" s="346" t="s">
        <v>294</v>
      </c>
      <c r="C2650" s="347">
        <v>8791.02</v>
      </c>
      <c r="D2650" s="348">
        <v>46753</v>
      </c>
      <c r="E2650" s="348">
        <v>47058</v>
      </c>
      <c r="F2650" s="346" t="s">
        <v>643</v>
      </c>
      <c r="G2650" s="350" t="s">
        <v>454</v>
      </c>
      <c r="H2650" s="351">
        <f t="shared" si="45"/>
        <v>96701.22</v>
      </c>
      <c r="I2650" s="120" t="str">
        <f>IF(OR(D2650&lt;Capa!$A$5,D2650&gt;Capa!$A$7,E2650&lt;Capa!$A$5,E2650&gt;Capa!$A$7,D2650&gt;E2650),"Erro","")</f>
        <v/>
      </c>
    </row>
    <row r="2651" spans="1:9" ht="22.5">
      <c r="A2651" s="345">
        <v>2648</v>
      </c>
      <c r="B2651" s="346" t="s">
        <v>302</v>
      </c>
      <c r="C2651" s="347">
        <v>500</v>
      </c>
      <c r="D2651" s="348">
        <v>45323</v>
      </c>
      <c r="E2651" s="348">
        <v>45627</v>
      </c>
      <c r="F2651" s="346" t="s">
        <v>643</v>
      </c>
      <c r="G2651" s="350" t="s">
        <v>455</v>
      </c>
      <c r="H2651" s="351">
        <f t="shared" si="45"/>
        <v>5500</v>
      </c>
      <c r="I2651" s="120" t="str">
        <f>IF(OR(D2651&lt;Capa!$A$5,D2651&gt;Capa!$A$7,E2651&lt;Capa!$A$5,E2651&gt;Capa!$A$7,D2651&gt;E2651),"Erro","")</f>
        <v/>
      </c>
    </row>
    <row r="2652" spans="1:9" ht="22.5">
      <c r="A2652" s="345">
        <v>2649</v>
      </c>
      <c r="B2652" s="346" t="s">
        <v>302</v>
      </c>
      <c r="C2652" s="347">
        <v>200</v>
      </c>
      <c r="D2652" s="348">
        <v>45658</v>
      </c>
      <c r="E2652" s="348">
        <v>45809</v>
      </c>
      <c r="F2652" s="346" t="s">
        <v>643</v>
      </c>
      <c r="G2652" s="350" t="s">
        <v>455</v>
      </c>
      <c r="H2652" s="351">
        <f t="shared" si="45"/>
        <v>1200</v>
      </c>
      <c r="I2652" s="120" t="str">
        <f>IF(OR(D2652&lt;Capa!$A$5,D2652&gt;Capa!$A$7,E2652&lt;Capa!$A$5,E2652&gt;Capa!$A$7,D2652&gt;E2652),"Erro","")</f>
        <v/>
      </c>
    </row>
    <row r="2653" spans="1:9" ht="22.5">
      <c r="A2653" s="345">
        <v>2650</v>
      </c>
      <c r="B2653" s="346" t="s">
        <v>302</v>
      </c>
      <c r="C2653" s="347">
        <v>200</v>
      </c>
      <c r="D2653" s="348">
        <v>46023</v>
      </c>
      <c r="E2653" s="348">
        <v>46174</v>
      </c>
      <c r="F2653" s="346" t="s">
        <v>643</v>
      </c>
      <c r="G2653" s="350" t="s">
        <v>455</v>
      </c>
      <c r="H2653" s="351">
        <f t="shared" si="45"/>
        <v>1200</v>
      </c>
      <c r="I2653" s="120" t="str">
        <f>IF(OR(D2653&lt;Capa!$A$5,D2653&gt;Capa!$A$7,E2653&lt;Capa!$A$5,E2653&gt;Capa!$A$7,D2653&gt;E2653),"Erro","")</f>
        <v/>
      </c>
    </row>
    <row r="2654" spans="1:9" ht="22.5">
      <c r="A2654" s="345">
        <v>2651</v>
      </c>
      <c r="B2654" s="346" t="s">
        <v>302</v>
      </c>
      <c r="C2654" s="347">
        <v>200</v>
      </c>
      <c r="D2654" s="348">
        <v>46388</v>
      </c>
      <c r="E2654" s="348">
        <v>46539</v>
      </c>
      <c r="F2654" s="346" t="s">
        <v>643</v>
      </c>
      <c r="G2654" s="350" t="s">
        <v>455</v>
      </c>
      <c r="H2654" s="351">
        <f t="shared" si="45"/>
        <v>1200</v>
      </c>
      <c r="I2654" s="120" t="str">
        <f>IF(OR(D2654&lt;Capa!$A$5,D2654&gt;Capa!$A$7,E2654&lt;Capa!$A$5,E2654&gt;Capa!$A$7,D2654&gt;E2654),"Erro","")</f>
        <v/>
      </c>
    </row>
    <row r="2655" spans="1:9" ht="22.5">
      <c r="A2655" s="345">
        <v>2652</v>
      </c>
      <c r="B2655" s="346" t="s">
        <v>302</v>
      </c>
      <c r="C2655" s="347">
        <v>210</v>
      </c>
      <c r="D2655" s="348">
        <v>46753</v>
      </c>
      <c r="E2655" s="348">
        <v>46905</v>
      </c>
      <c r="F2655" s="346" t="s">
        <v>643</v>
      </c>
      <c r="G2655" s="350" t="s">
        <v>455</v>
      </c>
      <c r="H2655" s="351">
        <f t="shared" si="45"/>
        <v>1260</v>
      </c>
      <c r="I2655" s="120" t="str">
        <f>IF(OR(D2655&lt;Capa!$A$5,D2655&gt;Capa!$A$7,E2655&lt;Capa!$A$5,E2655&gt;Capa!$A$7,D2655&gt;E2655),"Erro","")</f>
        <v/>
      </c>
    </row>
    <row r="2656" spans="1:9" ht="33.75">
      <c r="A2656" s="345">
        <v>2653</v>
      </c>
      <c r="B2656" s="346" t="s">
        <v>304</v>
      </c>
      <c r="C2656" s="347">
        <v>1800</v>
      </c>
      <c r="D2656" s="348">
        <v>45323</v>
      </c>
      <c r="E2656" s="348">
        <v>45627</v>
      </c>
      <c r="F2656" s="346" t="s">
        <v>643</v>
      </c>
      <c r="G2656" s="350" t="s">
        <v>456</v>
      </c>
      <c r="H2656" s="351">
        <f t="shared" si="45"/>
        <v>19800</v>
      </c>
      <c r="I2656" s="120" t="str">
        <f>IF(OR(D2656&lt;Capa!$A$5,D2656&gt;Capa!$A$7,E2656&lt;Capa!$A$5,E2656&gt;Capa!$A$7,D2656&gt;E2656),"Erro","")</f>
        <v/>
      </c>
    </row>
    <row r="2657" spans="1:9" ht="33.75">
      <c r="A2657" s="345">
        <v>2654</v>
      </c>
      <c r="B2657" s="346" t="s">
        <v>304</v>
      </c>
      <c r="C2657" s="347">
        <v>1905.12</v>
      </c>
      <c r="D2657" s="348">
        <v>45658</v>
      </c>
      <c r="E2657" s="348">
        <v>45992</v>
      </c>
      <c r="F2657" s="346" t="s">
        <v>643</v>
      </c>
      <c r="G2657" s="350" t="s">
        <v>456</v>
      </c>
      <c r="H2657" s="351">
        <f t="shared" si="45"/>
        <v>22861.439999999999</v>
      </c>
      <c r="I2657" s="120" t="str">
        <f>IF(OR(D2657&lt;Capa!$A$5,D2657&gt;Capa!$A$7,E2657&lt;Capa!$A$5,E2657&gt;Capa!$A$7,D2657&gt;E2657),"Erro","")</f>
        <v/>
      </c>
    </row>
    <row r="2658" spans="1:9" ht="33.75">
      <c r="A2658" s="345">
        <v>2655</v>
      </c>
      <c r="B2658" s="346" t="s">
        <v>304</v>
      </c>
      <c r="C2658" s="347">
        <v>2016.37</v>
      </c>
      <c r="D2658" s="348">
        <v>46023</v>
      </c>
      <c r="E2658" s="348">
        <v>46357</v>
      </c>
      <c r="F2658" s="346" t="s">
        <v>643</v>
      </c>
      <c r="G2658" s="350" t="s">
        <v>456</v>
      </c>
      <c r="H2658" s="351">
        <f t="shared" si="45"/>
        <v>24196.44</v>
      </c>
      <c r="I2658" s="120" t="str">
        <f>IF(OR(D2658&lt;Capa!$A$5,D2658&gt;Capa!$A$7,E2658&lt;Capa!$A$5,E2658&gt;Capa!$A$7,D2658&gt;E2658),"Erro","")</f>
        <v/>
      </c>
    </row>
    <row r="2659" spans="1:9" ht="33.75">
      <c r="A2659" s="345">
        <v>2656</v>
      </c>
      <c r="B2659" s="346" t="s">
        <v>304</v>
      </c>
      <c r="C2659" s="347">
        <v>2134.13</v>
      </c>
      <c r="D2659" s="348">
        <v>46388</v>
      </c>
      <c r="E2659" s="348">
        <v>46722</v>
      </c>
      <c r="F2659" s="346" t="s">
        <v>643</v>
      </c>
      <c r="G2659" s="350" t="s">
        <v>456</v>
      </c>
      <c r="H2659" s="351">
        <f t="shared" si="45"/>
        <v>25609.56</v>
      </c>
      <c r="I2659" s="120" t="str">
        <f>IF(OR(D2659&lt;Capa!$A$5,D2659&gt;Capa!$A$7,E2659&lt;Capa!$A$5,E2659&gt;Capa!$A$7,D2659&gt;E2659),"Erro","")</f>
        <v/>
      </c>
    </row>
    <row r="2660" spans="1:9" ht="33.75">
      <c r="A2660" s="345">
        <v>2657</v>
      </c>
      <c r="B2660" s="346" t="s">
        <v>304</v>
      </c>
      <c r="C2660" s="347">
        <v>2258.7600000000002</v>
      </c>
      <c r="D2660" s="348">
        <v>46753</v>
      </c>
      <c r="E2660" s="348">
        <v>47058</v>
      </c>
      <c r="F2660" s="346" t="s">
        <v>643</v>
      </c>
      <c r="G2660" s="350" t="s">
        <v>456</v>
      </c>
      <c r="H2660" s="351">
        <f t="shared" si="45"/>
        <v>24846.36</v>
      </c>
      <c r="I2660" s="120" t="str">
        <f>IF(OR(D2660&lt;Capa!$A$5,D2660&gt;Capa!$A$7,E2660&lt;Capa!$A$5,E2660&gt;Capa!$A$7,D2660&gt;E2660),"Erro","")</f>
        <v/>
      </c>
    </row>
    <row r="2661" spans="1:9" ht="33.75">
      <c r="A2661" s="345">
        <v>2658</v>
      </c>
      <c r="B2661" s="346" t="s">
        <v>312</v>
      </c>
      <c r="C2661" s="347">
        <v>280</v>
      </c>
      <c r="D2661" s="348">
        <v>45658</v>
      </c>
      <c r="E2661" s="348">
        <v>45992</v>
      </c>
      <c r="F2661" s="346" t="s">
        <v>643</v>
      </c>
      <c r="G2661" s="350" t="s">
        <v>593</v>
      </c>
      <c r="H2661" s="351">
        <f t="shared" ref="H2661:H2737" si="46">IFERROR((DATEDIF(D2661,E2661,"M")+1)*C2661,0)</f>
        <v>3360</v>
      </c>
      <c r="I2661" s="120" t="str">
        <f>IF(OR(D2661&lt;Capa!$A$5,D2661&gt;Capa!$A$7,E2661&lt;Capa!$A$5,E2661&gt;Capa!$A$7,D2661&gt;E2661),"Erro","")</f>
        <v/>
      </c>
    </row>
    <row r="2662" spans="1:9" ht="33.75">
      <c r="A2662" s="345">
        <v>2659</v>
      </c>
      <c r="B2662" s="346" t="s">
        <v>312</v>
      </c>
      <c r="C2662" s="347">
        <v>280</v>
      </c>
      <c r="D2662" s="348">
        <v>46023</v>
      </c>
      <c r="E2662" s="348">
        <v>46357</v>
      </c>
      <c r="F2662" s="346" t="s">
        <v>643</v>
      </c>
      <c r="G2662" s="350" t="s">
        <v>593</v>
      </c>
      <c r="H2662" s="351">
        <f t="shared" si="46"/>
        <v>3360</v>
      </c>
      <c r="I2662" s="120" t="str">
        <f>IF(OR(D2662&lt;Capa!$A$5,D2662&gt;Capa!$A$7,E2662&lt;Capa!$A$5,E2662&gt;Capa!$A$7,D2662&gt;E2662),"Erro","")</f>
        <v/>
      </c>
    </row>
    <row r="2663" spans="1:9" ht="33.75">
      <c r="A2663" s="345">
        <v>2660</v>
      </c>
      <c r="B2663" s="346" t="s">
        <v>312</v>
      </c>
      <c r="C2663" s="347">
        <v>280</v>
      </c>
      <c r="D2663" s="348">
        <v>46388</v>
      </c>
      <c r="E2663" s="348">
        <v>46722</v>
      </c>
      <c r="F2663" s="346" t="s">
        <v>643</v>
      </c>
      <c r="G2663" s="350" t="s">
        <v>593</v>
      </c>
      <c r="H2663" s="351">
        <f t="shared" si="46"/>
        <v>3360</v>
      </c>
      <c r="I2663" s="120" t="str">
        <f>IF(OR(D2663&lt;Capa!$A$5,D2663&gt;Capa!$A$7,E2663&lt;Capa!$A$5,E2663&gt;Capa!$A$7,D2663&gt;E2663),"Erro","")</f>
        <v/>
      </c>
    </row>
    <row r="2664" spans="1:9" ht="33.75">
      <c r="A2664" s="345">
        <v>2661</v>
      </c>
      <c r="B2664" s="346" t="s">
        <v>312</v>
      </c>
      <c r="C2664" s="347">
        <v>280</v>
      </c>
      <c r="D2664" s="348">
        <v>46753</v>
      </c>
      <c r="E2664" s="348">
        <v>47058</v>
      </c>
      <c r="F2664" s="346" t="s">
        <v>643</v>
      </c>
      <c r="G2664" s="350" t="s">
        <v>593</v>
      </c>
      <c r="H2664" s="351">
        <f t="shared" si="46"/>
        <v>3080</v>
      </c>
      <c r="I2664" s="120" t="str">
        <f>IF(OR(D2664&lt;Capa!$A$5,D2664&gt;Capa!$A$7,E2664&lt;Capa!$A$5,E2664&gt;Capa!$A$7,D2664&gt;E2664),"Erro","")</f>
        <v/>
      </c>
    </row>
    <row r="2665" spans="1:9" ht="67.5">
      <c r="A2665" s="345">
        <v>2662</v>
      </c>
      <c r="B2665" s="346" t="s">
        <v>316</v>
      </c>
      <c r="C2665" s="347">
        <v>1000</v>
      </c>
      <c r="D2665" s="348">
        <v>45323</v>
      </c>
      <c r="E2665" s="348">
        <v>45627</v>
      </c>
      <c r="F2665" s="346" t="s">
        <v>643</v>
      </c>
      <c r="G2665" s="350" t="s">
        <v>457</v>
      </c>
      <c r="H2665" s="351">
        <f t="shared" si="46"/>
        <v>11000</v>
      </c>
      <c r="I2665" s="120" t="str">
        <f>IF(OR(D2665&lt;Capa!$A$5,D2665&gt;Capa!$A$7,E2665&lt;Capa!$A$5,E2665&gt;Capa!$A$7,D2665&gt;E2665),"Erro","")</f>
        <v/>
      </c>
    </row>
    <row r="2666" spans="1:9" ht="67.5">
      <c r="A2666" s="345">
        <v>2663</v>
      </c>
      <c r="B2666" s="346" t="s">
        <v>316</v>
      </c>
      <c r="C2666" s="347">
        <v>1000</v>
      </c>
      <c r="D2666" s="348">
        <v>45658</v>
      </c>
      <c r="E2666" s="348">
        <v>45992</v>
      </c>
      <c r="F2666" s="346" t="s">
        <v>643</v>
      </c>
      <c r="G2666" s="350" t="s">
        <v>457</v>
      </c>
      <c r="H2666" s="351">
        <f t="shared" si="46"/>
        <v>12000</v>
      </c>
      <c r="I2666" s="120" t="str">
        <f>IF(OR(D2666&lt;Capa!$A$5,D2666&gt;Capa!$A$7,E2666&lt;Capa!$A$5,E2666&gt;Capa!$A$7,D2666&gt;E2666),"Erro","")</f>
        <v/>
      </c>
    </row>
    <row r="2667" spans="1:9" ht="67.5">
      <c r="A2667" s="345">
        <v>2664</v>
      </c>
      <c r="B2667" s="346" t="s">
        <v>316</v>
      </c>
      <c r="C2667" s="347">
        <v>1000</v>
      </c>
      <c r="D2667" s="348">
        <v>46023</v>
      </c>
      <c r="E2667" s="348">
        <v>46357</v>
      </c>
      <c r="F2667" s="346" t="s">
        <v>643</v>
      </c>
      <c r="G2667" s="350" t="s">
        <v>457</v>
      </c>
      <c r="H2667" s="351">
        <f t="shared" si="46"/>
        <v>12000</v>
      </c>
      <c r="I2667" s="120" t="str">
        <f>IF(OR(D2667&lt;Capa!$A$5,D2667&gt;Capa!$A$7,E2667&lt;Capa!$A$5,E2667&gt;Capa!$A$7,D2667&gt;E2667),"Erro","")</f>
        <v/>
      </c>
    </row>
    <row r="2668" spans="1:9" ht="67.5">
      <c r="A2668" s="345">
        <v>2665</v>
      </c>
      <c r="B2668" s="346" t="s">
        <v>316</v>
      </c>
      <c r="C2668" s="347">
        <v>1000</v>
      </c>
      <c r="D2668" s="348">
        <v>46388</v>
      </c>
      <c r="E2668" s="348">
        <v>46722</v>
      </c>
      <c r="F2668" s="346" t="s">
        <v>643</v>
      </c>
      <c r="G2668" s="350" t="s">
        <v>457</v>
      </c>
      <c r="H2668" s="351">
        <f t="shared" si="46"/>
        <v>12000</v>
      </c>
      <c r="I2668" s="120" t="str">
        <f>IF(OR(D2668&lt;Capa!$A$5,D2668&gt;Capa!$A$7,E2668&lt;Capa!$A$5,E2668&gt;Capa!$A$7,D2668&gt;E2668),"Erro","")</f>
        <v/>
      </c>
    </row>
    <row r="2669" spans="1:9" ht="67.5">
      <c r="A2669" s="345">
        <v>2666</v>
      </c>
      <c r="B2669" s="346" t="s">
        <v>316</v>
      </c>
      <c r="C2669" s="347">
        <v>1000</v>
      </c>
      <c r="D2669" s="348">
        <v>46753</v>
      </c>
      <c r="E2669" s="348">
        <v>47058</v>
      </c>
      <c r="F2669" s="346" t="s">
        <v>643</v>
      </c>
      <c r="G2669" s="350" t="s">
        <v>457</v>
      </c>
      <c r="H2669" s="351">
        <f t="shared" si="46"/>
        <v>11000</v>
      </c>
      <c r="I2669" s="120" t="str">
        <f>IF(OR(D2669&lt;Capa!$A$5,D2669&gt;Capa!$A$7,E2669&lt;Capa!$A$5,E2669&gt;Capa!$A$7,D2669&gt;E2669),"Erro","")</f>
        <v/>
      </c>
    </row>
    <row r="2670" spans="1:9" ht="67.5">
      <c r="A2670" s="345">
        <v>2667</v>
      </c>
      <c r="B2670" s="346" t="s">
        <v>318</v>
      </c>
      <c r="C2670" s="347">
        <v>1800</v>
      </c>
      <c r="D2670" s="348">
        <v>45323</v>
      </c>
      <c r="E2670" s="348">
        <v>45627</v>
      </c>
      <c r="F2670" s="346" t="s">
        <v>643</v>
      </c>
      <c r="G2670" s="350" t="s">
        <v>457</v>
      </c>
      <c r="H2670" s="351">
        <f t="shared" si="46"/>
        <v>19800</v>
      </c>
      <c r="I2670" s="120" t="str">
        <f>IF(OR(D2670&lt;Capa!$A$5,D2670&gt;Capa!$A$7,E2670&lt;Capa!$A$5,E2670&gt;Capa!$A$7,D2670&gt;E2670),"Erro","")</f>
        <v/>
      </c>
    </row>
    <row r="2671" spans="1:9" ht="67.5">
      <c r="A2671" s="345">
        <v>2668</v>
      </c>
      <c r="B2671" s="346" t="s">
        <v>318</v>
      </c>
      <c r="C2671" s="347">
        <v>1500</v>
      </c>
      <c r="D2671" s="348">
        <v>45658</v>
      </c>
      <c r="E2671" s="348">
        <v>45992</v>
      </c>
      <c r="F2671" s="346" t="s">
        <v>643</v>
      </c>
      <c r="G2671" s="350" t="s">
        <v>457</v>
      </c>
      <c r="H2671" s="351">
        <f t="shared" si="46"/>
        <v>18000</v>
      </c>
      <c r="I2671" s="120" t="str">
        <f>IF(OR(D2671&lt;Capa!$A$5,D2671&gt;Capa!$A$7,E2671&lt;Capa!$A$5,E2671&gt;Capa!$A$7,D2671&gt;E2671),"Erro","")</f>
        <v/>
      </c>
    </row>
    <row r="2672" spans="1:9" ht="67.5">
      <c r="A2672" s="345">
        <v>2669</v>
      </c>
      <c r="B2672" s="346" t="s">
        <v>318</v>
      </c>
      <c r="C2672" s="347">
        <v>1500</v>
      </c>
      <c r="D2672" s="348">
        <v>46023</v>
      </c>
      <c r="E2672" s="348">
        <v>46357</v>
      </c>
      <c r="F2672" s="346" t="s">
        <v>643</v>
      </c>
      <c r="G2672" s="350" t="s">
        <v>457</v>
      </c>
      <c r="H2672" s="351">
        <f t="shared" si="46"/>
        <v>18000</v>
      </c>
      <c r="I2672" s="120" t="str">
        <f>IF(OR(D2672&lt;Capa!$A$5,D2672&gt;Capa!$A$7,E2672&lt;Capa!$A$5,E2672&gt;Capa!$A$7,D2672&gt;E2672),"Erro","")</f>
        <v/>
      </c>
    </row>
    <row r="2673" spans="1:9" ht="67.5">
      <c r="A2673" s="345">
        <v>2670</v>
      </c>
      <c r="B2673" s="346" t="s">
        <v>318</v>
      </c>
      <c r="C2673" s="347">
        <v>1500</v>
      </c>
      <c r="D2673" s="348">
        <v>46388</v>
      </c>
      <c r="E2673" s="348">
        <v>46722</v>
      </c>
      <c r="F2673" s="346" t="s">
        <v>643</v>
      </c>
      <c r="G2673" s="350" t="s">
        <v>457</v>
      </c>
      <c r="H2673" s="351">
        <f t="shared" si="46"/>
        <v>18000</v>
      </c>
      <c r="I2673" s="120" t="str">
        <f>IF(OR(D2673&lt;Capa!$A$5,D2673&gt;Capa!$A$7,E2673&lt;Capa!$A$5,E2673&gt;Capa!$A$7,D2673&gt;E2673),"Erro","")</f>
        <v/>
      </c>
    </row>
    <row r="2674" spans="1:9" ht="67.5">
      <c r="A2674" s="345">
        <v>2671</v>
      </c>
      <c r="B2674" s="346" t="s">
        <v>318</v>
      </c>
      <c r="C2674" s="347">
        <v>1500</v>
      </c>
      <c r="D2674" s="348">
        <v>46753</v>
      </c>
      <c r="E2674" s="348">
        <v>47058</v>
      </c>
      <c r="F2674" s="346" t="s">
        <v>643</v>
      </c>
      <c r="G2674" s="350" t="s">
        <v>457</v>
      </c>
      <c r="H2674" s="351">
        <f t="shared" si="46"/>
        <v>16500</v>
      </c>
      <c r="I2674" s="120" t="str">
        <f>IF(OR(D2674&lt;Capa!$A$5,D2674&gt;Capa!$A$7,E2674&lt;Capa!$A$5,E2674&gt;Capa!$A$7,D2674&gt;E2674),"Erro","")</f>
        <v/>
      </c>
    </row>
    <row r="2675" spans="1:9" ht="56.25">
      <c r="A2675" s="345">
        <v>2672</v>
      </c>
      <c r="B2675" s="346" t="s">
        <v>318</v>
      </c>
      <c r="C2675" s="347">
        <v>1800</v>
      </c>
      <c r="D2675" s="348">
        <v>45323</v>
      </c>
      <c r="E2675" s="348">
        <v>45627</v>
      </c>
      <c r="F2675" s="346" t="s">
        <v>643</v>
      </c>
      <c r="G2675" s="350" t="s">
        <v>594</v>
      </c>
      <c r="H2675" s="351">
        <f t="shared" si="46"/>
        <v>19800</v>
      </c>
      <c r="I2675" s="120" t="str">
        <f>IF(OR(D2675&lt;Capa!$A$5,D2675&gt;Capa!$A$7,E2675&lt;Capa!$A$5,E2675&gt;Capa!$A$7,D2675&gt;E2675),"Erro","")</f>
        <v/>
      </c>
    </row>
    <row r="2676" spans="1:9" ht="56.25">
      <c r="A2676" s="345">
        <v>2673</v>
      </c>
      <c r="B2676" s="346" t="s">
        <v>318</v>
      </c>
      <c r="C2676" s="347">
        <v>1500</v>
      </c>
      <c r="D2676" s="348">
        <v>45658</v>
      </c>
      <c r="E2676" s="348">
        <v>45992</v>
      </c>
      <c r="F2676" s="346" t="s">
        <v>643</v>
      </c>
      <c r="G2676" s="350" t="s">
        <v>594</v>
      </c>
      <c r="H2676" s="351">
        <f t="shared" si="46"/>
        <v>18000</v>
      </c>
      <c r="I2676" s="120" t="str">
        <f>IF(OR(D2676&lt;Capa!$A$5,D2676&gt;Capa!$A$7,E2676&lt;Capa!$A$5,E2676&gt;Capa!$A$7,D2676&gt;E2676),"Erro","")</f>
        <v/>
      </c>
    </row>
    <row r="2677" spans="1:9" ht="56.25">
      <c r="A2677" s="345">
        <v>2674</v>
      </c>
      <c r="B2677" s="346" t="s">
        <v>318</v>
      </c>
      <c r="C2677" s="347">
        <v>1500</v>
      </c>
      <c r="D2677" s="348">
        <v>46023</v>
      </c>
      <c r="E2677" s="348">
        <v>46357</v>
      </c>
      <c r="F2677" s="346" t="s">
        <v>643</v>
      </c>
      <c r="G2677" s="350" t="s">
        <v>594</v>
      </c>
      <c r="H2677" s="351">
        <f t="shared" si="46"/>
        <v>18000</v>
      </c>
      <c r="I2677" s="120" t="str">
        <f>IF(OR(D2677&lt;Capa!$A$5,D2677&gt;Capa!$A$7,E2677&lt;Capa!$A$5,E2677&gt;Capa!$A$7,D2677&gt;E2677),"Erro","")</f>
        <v/>
      </c>
    </row>
    <row r="2678" spans="1:9" ht="56.25">
      <c r="A2678" s="345">
        <v>2675</v>
      </c>
      <c r="B2678" s="346" t="s">
        <v>318</v>
      </c>
      <c r="C2678" s="347">
        <v>1500</v>
      </c>
      <c r="D2678" s="348">
        <v>46388</v>
      </c>
      <c r="E2678" s="348">
        <v>46722</v>
      </c>
      <c r="F2678" s="346" t="s">
        <v>643</v>
      </c>
      <c r="G2678" s="350" t="s">
        <v>594</v>
      </c>
      <c r="H2678" s="351">
        <f t="shared" si="46"/>
        <v>18000</v>
      </c>
      <c r="I2678" s="120" t="str">
        <f>IF(OR(D2678&lt;Capa!$A$5,D2678&gt;Capa!$A$7,E2678&lt;Capa!$A$5,E2678&gt;Capa!$A$7,D2678&gt;E2678),"Erro","")</f>
        <v/>
      </c>
    </row>
    <row r="2679" spans="1:9" ht="56.25">
      <c r="A2679" s="345">
        <v>2676</v>
      </c>
      <c r="B2679" s="346" t="s">
        <v>318</v>
      </c>
      <c r="C2679" s="347">
        <v>1500</v>
      </c>
      <c r="D2679" s="348">
        <v>46753</v>
      </c>
      <c r="E2679" s="348">
        <v>47058</v>
      </c>
      <c r="F2679" s="346" t="s">
        <v>643</v>
      </c>
      <c r="G2679" s="350" t="s">
        <v>594</v>
      </c>
      <c r="H2679" s="351">
        <f t="shared" si="46"/>
        <v>16500</v>
      </c>
      <c r="I2679" s="120" t="str">
        <f>IF(OR(D2679&lt;Capa!$A$5,D2679&gt;Capa!$A$7,E2679&lt;Capa!$A$5,E2679&gt;Capa!$A$7,D2679&gt;E2679),"Erro","")</f>
        <v/>
      </c>
    </row>
    <row r="2680" spans="1:9" ht="22.5">
      <c r="A2680" s="345">
        <v>2677</v>
      </c>
      <c r="B2680" s="346" t="s">
        <v>298</v>
      </c>
      <c r="C2680" s="347">
        <v>2500</v>
      </c>
      <c r="D2680" s="348">
        <v>45292</v>
      </c>
      <c r="E2680" s="348">
        <v>45627</v>
      </c>
      <c r="F2680" s="346" t="s">
        <v>643</v>
      </c>
      <c r="G2680" s="350" t="s">
        <v>458</v>
      </c>
      <c r="H2680" s="351">
        <f t="shared" si="46"/>
        <v>30000</v>
      </c>
      <c r="I2680" s="120" t="str">
        <f>IF(OR(D2680&lt;Capa!$A$5,D2680&gt;Capa!$A$7,E2680&lt;Capa!$A$5,E2680&gt;Capa!$A$7,D2680&gt;E2680),"Erro","")</f>
        <v/>
      </c>
    </row>
    <row r="2681" spans="1:9" ht="22.5">
      <c r="A2681" s="345">
        <v>2678</v>
      </c>
      <c r="B2681" s="346" t="s">
        <v>298</v>
      </c>
      <c r="C2681" s="347">
        <v>2646</v>
      </c>
      <c r="D2681" s="348">
        <v>45658</v>
      </c>
      <c r="E2681" s="348">
        <v>45992</v>
      </c>
      <c r="F2681" s="346" t="s">
        <v>643</v>
      </c>
      <c r="G2681" s="350" t="s">
        <v>458</v>
      </c>
      <c r="H2681" s="351">
        <f t="shared" si="46"/>
        <v>31752</v>
      </c>
      <c r="I2681" s="120" t="str">
        <f>IF(OR(D2681&lt;Capa!$A$5,D2681&gt;Capa!$A$7,E2681&lt;Capa!$A$5,E2681&gt;Capa!$A$7,D2681&gt;E2681),"Erro","")</f>
        <v/>
      </c>
    </row>
    <row r="2682" spans="1:9" ht="22.5">
      <c r="A2682" s="345">
        <v>2679</v>
      </c>
      <c r="B2682" s="346" t="s">
        <v>298</v>
      </c>
      <c r="C2682" s="347">
        <v>2800</v>
      </c>
      <c r="D2682" s="348">
        <v>46023</v>
      </c>
      <c r="E2682" s="348">
        <v>46357</v>
      </c>
      <c r="F2682" s="346" t="s">
        <v>643</v>
      </c>
      <c r="G2682" s="350" t="s">
        <v>458</v>
      </c>
      <c r="H2682" s="351">
        <f t="shared" si="46"/>
        <v>33600</v>
      </c>
      <c r="I2682" s="120" t="str">
        <f>IF(OR(D2682&lt;Capa!$A$5,D2682&gt;Capa!$A$7,E2682&lt;Capa!$A$5,E2682&gt;Capa!$A$7,D2682&gt;E2682),"Erro","")</f>
        <v/>
      </c>
    </row>
    <row r="2683" spans="1:9" ht="22.5">
      <c r="A2683" s="345">
        <v>2680</v>
      </c>
      <c r="B2683" s="346" t="s">
        <v>298</v>
      </c>
      <c r="C2683" s="347">
        <v>2964</v>
      </c>
      <c r="D2683" s="348">
        <v>46388</v>
      </c>
      <c r="E2683" s="348">
        <v>46722</v>
      </c>
      <c r="F2683" s="346" t="s">
        <v>643</v>
      </c>
      <c r="G2683" s="350" t="s">
        <v>458</v>
      </c>
      <c r="H2683" s="351">
        <f t="shared" si="46"/>
        <v>35568</v>
      </c>
      <c r="I2683" s="120" t="str">
        <f>IF(OR(D2683&lt;Capa!$A$5,D2683&gt;Capa!$A$7,E2683&lt;Capa!$A$5,E2683&gt;Capa!$A$7,D2683&gt;E2683),"Erro","")</f>
        <v/>
      </c>
    </row>
    <row r="2684" spans="1:9" ht="22.5">
      <c r="A2684" s="345">
        <v>2681</v>
      </c>
      <c r="B2684" s="346" t="s">
        <v>298</v>
      </c>
      <c r="C2684" s="347">
        <v>3137</v>
      </c>
      <c r="D2684" s="348">
        <v>46753</v>
      </c>
      <c r="E2684" s="348">
        <v>47058</v>
      </c>
      <c r="F2684" s="346" t="s">
        <v>643</v>
      </c>
      <c r="G2684" s="350" t="s">
        <v>458</v>
      </c>
      <c r="H2684" s="351">
        <f t="shared" si="46"/>
        <v>34507</v>
      </c>
      <c r="I2684" s="120" t="str">
        <f>IF(OR(D2684&lt;Capa!$A$5,D2684&gt;Capa!$A$7,E2684&lt;Capa!$A$5,E2684&gt;Capa!$A$7,D2684&gt;E2684),"Erro","")</f>
        <v/>
      </c>
    </row>
    <row r="2685" spans="1:9" ht="33.75">
      <c r="A2685" s="345">
        <v>2682</v>
      </c>
      <c r="B2685" s="346" t="s">
        <v>238</v>
      </c>
      <c r="C2685" s="347">
        <v>150</v>
      </c>
      <c r="D2685" s="348">
        <v>45658</v>
      </c>
      <c r="E2685" s="348">
        <v>45992</v>
      </c>
      <c r="F2685" s="346" t="s">
        <v>643</v>
      </c>
      <c r="G2685" s="350" t="s">
        <v>459</v>
      </c>
      <c r="H2685" s="351">
        <f t="shared" si="46"/>
        <v>1800</v>
      </c>
      <c r="I2685" s="120" t="str">
        <f>IF(OR(D2685&lt;Capa!$A$5,D2685&gt;Capa!$A$7,E2685&lt;Capa!$A$5,E2685&gt;Capa!$A$7,D2685&gt;E2685),"Erro","")</f>
        <v/>
      </c>
    </row>
    <row r="2686" spans="1:9" ht="33.75">
      <c r="A2686" s="345">
        <v>2683</v>
      </c>
      <c r="B2686" s="346" t="s">
        <v>238</v>
      </c>
      <c r="C2686" s="347">
        <v>150</v>
      </c>
      <c r="D2686" s="348">
        <v>46023</v>
      </c>
      <c r="E2686" s="348">
        <v>46357</v>
      </c>
      <c r="F2686" s="346" t="s">
        <v>643</v>
      </c>
      <c r="G2686" s="350" t="s">
        <v>459</v>
      </c>
      <c r="H2686" s="351">
        <f t="shared" si="46"/>
        <v>1800</v>
      </c>
      <c r="I2686" s="120" t="str">
        <f>IF(OR(D2686&lt;Capa!$A$5,D2686&gt;Capa!$A$7,E2686&lt;Capa!$A$5,E2686&gt;Capa!$A$7,D2686&gt;E2686),"Erro","")</f>
        <v/>
      </c>
    </row>
    <row r="2687" spans="1:9" ht="33.75">
      <c r="A2687" s="345">
        <v>2684</v>
      </c>
      <c r="B2687" s="346" t="s">
        <v>238</v>
      </c>
      <c r="C2687" s="347">
        <v>150</v>
      </c>
      <c r="D2687" s="348">
        <v>46388</v>
      </c>
      <c r="E2687" s="348">
        <v>46722</v>
      </c>
      <c r="F2687" s="346" t="s">
        <v>643</v>
      </c>
      <c r="G2687" s="350" t="s">
        <v>459</v>
      </c>
      <c r="H2687" s="351">
        <f t="shared" si="46"/>
        <v>1800</v>
      </c>
      <c r="I2687" s="120" t="str">
        <f>IF(OR(D2687&lt;Capa!$A$5,D2687&gt;Capa!$A$7,E2687&lt;Capa!$A$5,E2687&gt;Capa!$A$7,D2687&gt;E2687),"Erro","")</f>
        <v/>
      </c>
    </row>
    <row r="2688" spans="1:9" ht="33.75">
      <c r="A2688" s="345">
        <v>2685</v>
      </c>
      <c r="B2688" s="346" t="s">
        <v>238</v>
      </c>
      <c r="C2688" s="347">
        <v>150</v>
      </c>
      <c r="D2688" s="348">
        <v>46753</v>
      </c>
      <c r="E2688" s="348">
        <v>47058</v>
      </c>
      <c r="F2688" s="346" t="s">
        <v>643</v>
      </c>
      <c r="G2688" s="350" t="s">
        <v>459</v>
      </c>
      <c r="H2688" s="351">
        <f t="shared" si="46"/>
        <v>1650</v>
      </c>
      <c r="I2688" s="120" t="str">
        <f>IF(OR(D2688&lt;Capa!$A$5,D2688&gt;Capa!$A$7,E2688&lt;Capa!$A$5,E2688&gt;Capa!$A$7,D2688&gt;E2688),"Erro","")</f>
        <v/>
      </c>
    </row>
    <row r="2689" spans="1:9" ht="56.25">
      <c r="A2689" s="345">
        <v>2686</v>
      </c>
      <c r="B2689" s="346" t="s">
        <v>252</v>
      </c>
      <c r="C2689" s="347">
        <v>7000</v>
      </c>
      <c r="D2689" s="348">
        <v>45323</v>
      </c>
      <c r="E2689" s="348">
        <v>45627</v>
      </c>
      <c r="F2689" s="346" t="s">
        <v>643</v>
      </c>
      <c r="G2689" s="350" t="s">
        <v>460</v>
      </c>
      <c r="H2689" s="351">
        <f t="shared" si="46"/>
        <v>77000</v>
      </c>
      <c r="I2689" s="120" t="str">
        <f>IF(OR(D2689&lt;Capa!$A$5,D2689&gt;Capa!$A$7,E2689&lt;Capa!$A$5,E2689&gt;Capa!$A$7,D2689&gt;E2689),"Erro","")</f>
        <v/>
      </c>
    </row>
    <row r="2690" spans="1:9" ht="56.25">
      <c r="A2690" s="345">
        <v>2687</v>
      </c>
      <c r="B2690" s="346" t="s">
        <v>252</v>
      </c>
      <c r="C2690" s="347">
        <v>7408.8</v>
      </c>
      <c r="D2690" s="348">
        <v>45658</v>
      </c>
      <c r="E2690" s="348">
        <v>45992</v>
      </c>
      <c r="F2690" s="346" t="s">
        <v>643</v>
      </c>
      <c r="G2690" s="350" t="s">
        <v>460</v>
      </c>
      <c r="H2690" s="351">
        <f t="shared" si="46"/>
        <v>88905.600000000006</v>
      </c>
      <c r="I2690" s="120" t="str">
        <f>IF(OR(D2690&lt;Capa!$A$5,D2690&gt;Capa!$A$7,E2690&lt;Capa!$A$5,E2690&gt;Capa!$A$7,D2690&gt;E2690),"Erro","")</f>
        <v/>
      </c>
    </row>
    <row r="2691" spans="1:9" ht="56.25">
      <c r="A2691" s="345">
        <v>2688</v>
      </c>
      <c r="B2691" s="346" t="s">
        <v>252</v>
      </c>
      <c r="C2691" s="347">
        <v>7847.65</v>
      </c>
      <c r="D2691" s="348">
        <v>46023</v>
      </c>
      <c r="E2691" s="348">
        <v>46357</v>
      </c>
      <c r="F2691" s="346" t="s">
        <v>643</v>
      </c>
      <c r="G2691" s="350" t="s">
        <v>460</v>
      </c>
      <c r="H2691" s="351">
        <f t="shared" si="46"/>
        <v>94171.799999999988</v>
      </c>
      <c r="I2691" s="120" t="str">
        <f>IF(OR(D2691&lt;Capa!$A$5,D2691&gt;Capa!$A$7,E2691&lt;Capa!$A$5,E2691&gt;Capa!$A$7,D2691&gt;E2691),"Erro","")</f>
        <v/>
      </c>
    </row>
    <row r="2692" spans="1:9" ht="56.25">
      <c r="A2692" s="345">
        <v>2689</v>
      </c>
      <c r="B2692" s="346" t="s">
        <v>252</v>
      </c>
      <c r="C2692" s="347">
        <v>8305.9500000000007</v>
      </c>
      <c r="D2692" s="348">
        <v>46388</v>
      </c>
      <c r="E2692" s="348">
        <v>46722</v>
      </c>
      <c r="F2692" s="346" t="s">
        <v>643</v>
      </c>
      <c r="G2692" s="350" t="s">
        <v>460</v>
      </c>
      <c r="H2692" s="351">
        <f t="shared" si="46"/>
        <v>99671.400000000009</v>
      </c>
      <c r="I2692" s="120" t="str">
        <f>IF(OR(D2692&lt;Capa!$A$5,D2692&gt;Capa!$A$7,E2692&lt;Capa!$A$5,E2692&gt;Capa!$A$7,D2692&gt;E2692),"Erro","")</f>
        <v/>
      </c>
    </row>
    <row r="2693" spans="1:9" ht="56.25">
      <c r="A2693" s="345">
        <v>2690</v>
      </c>
      <c r="B2693" s="346" t="s">
        <v>252</v>
      </c>
      <c r="C2693" s="347">
        <v>8791.02</v>
      </c>
      <c r="D2693" s="348">
        <v>46753</v>
      </c>
      <c r="E2693" s="348">
        <v>47058</v>
      </c>
      <c r="F2693" s="346" t="s">
        <v>643</v>
      </c>
      <c r="G2693" s="350" t="s">
        <v>460</v>
      </c>
      <c r="H2693" s="351">
        <f t="shared" si="46"/>
        <v>96701.22</v>
      </c>
      <c r="I2693" s="120" t="str">
        <f>IF(OR(D2693&lt;Capa!$A$5,D2693&gt;Capa!$A$7,E2693&lt;Capa!$A$5,E2693&gt;Capa!$A$7,D2693&gt;E2693),"Erro","")</f>
        <v/>
      </c>
    </row>
    <row r="2694" spans="1:9" ht="45">
      <c r="A2694" s="345">
        <v>2691</v>
      </c>
      <c r="B2694" s="346" t="s">
        <v>652</v>
      </c>
      <c r="C2694" s="347">
        <v>10000</v>
      </c>
      <c r="D2694" s="348">
        <v>45323</v>
      </c>
      <c r="E2694" s="348">
        <v>45323</v>
      </c>
      <c r="F2694" s="346" t="s">
        <v>643</v>
      </c>
      <c r="G2694" s="350" t="s">
        <v>624</v>
      </c>
      <c r="H2694" s="351">
        <f t="shared" si="46"/>
        <v>10000</v>
      </c>
      <c r="I2694" s="120" t="str">
        <f>IF(OR(D2694&lt;Capa!$A$5,D2694&gt;Capa!$A$7,E2694&lt;Capa!$A$5,E2694&gt;Capa!$A$7,D2694&gt;E2694),"Erro","")</f>
        <v/>
      </c>
    </row>
    <row r="2695" spans="1:9" ht="45">
      <c r="A2695" s="345">
        <v>2692</v>
      </c>
      <c r="B2695" s="346" t="s">
        <v>652</v>
      </c>
      <c r="C2695" s="347">
        <v>10000</v>
      </c>
      <c r="D2695" s="348">
        <v>46023</v>
      </c>
      <c r="E2695" s="348">
        <v>46023</v>
      </c>
      <c r="F2695" s="346" t="s">
        <v>643</v>
      </c>
      <c r="G2695" s="350" t="s">
        <v>624</v>
      </c>
      <c r="H2695" s="351">
        <f t="shared" si="46"/>
        <v>10000</v>
      </c>
      <c r="I2695" s="120" t="str">
        <f>IF(OR(D2695&lt;Capa!$A$5,D2695&gt;Capa!$A$7,E2695&lt;Capa!$A$5,E2695&gt;Capa!$A$7,D2695&gt;E2695),"Erro","")</f>
        <v/>
      </c>
    </row>
    <row r="2696" spans="1:9" ht="45">
      <c r="A2696" s="345">
        <v>2693</v>
      </c>
      <c r="B2696" s="346" t="s">
        <v>320</v>
      </c>
      <c r="C2696" s="347">
        <v>130000</v>
      </c>
      <c r="D2696" s="348">
        <v>45292</v>
      </c>
      <c r="E2696" s="348">
        <v>45292</v>
      </c>
      <c r="F2696" s="346" t="s">
        <v>643</v>
      </c>
      <c r="G2696" s="350" t="s">
        <v>617</v>
      </c>
      <c r="H2696" s="351">
        <f t="shared" si="46"/>
        <v>130000</v>
      </c>
      <c r="I2696" s="120" t="str">
        <f>IF(OR(D2696&lt;Capa!$A$5,D2696&gt;Capa!$A$7,E2696&lt;Capa!$A$5,E2696&gt;Capa!$A$7,D2696&gt;E2696),"Erro","")</f>
        <v/>
      </c>
    </row>
    <row r="2697" spans="1:9" ht="33.75">
      <c r="A2697" s="345">
        <v>2694</v>
      </c>
      <c r="B2697" s="346" t="s">
        <v>651</v>
      </c>
      <c r="C2697" s="347">
        <v>180</v>
      </c>
      <c r="D2697" s="348">
        <v>45323</v>
      </c>
      <c r="E2697" s="348">
        <v>47058</v>
      </c>
      <c r="F2697" s="346" t="s">
        <v>643</v>
      </c>
      <c r="G2697" s="350" t="s">
        <v>710</v>
      </c>
      <c r="H2697" s="351">
        <f t="shared" si="46"/>
        <v>10440</v>
      </c>
      <c r="I2697" s="120" t="str">
        <f>IF(OR(D2697&lt;Capa!$A$5,D2697&gt;Capa!$A$7,E2697&lt;Capa!$A$5,E2697&gt;Capa!$A$7,D2697&gt;E2697),"Erro","")</f>
        <v/>
      </c>
    </row>
    <row r="2698" spans="1:9" ht="22.5">
      <c r="A2698" s="345">
        <v>2695</v>
      </c>
      <c r="B2698" s="346" t="s">
        <v>653</v>
      </c>
      <c r="C2698" s="347">
        <v>1930</v>
      </c>
      <c r="D2698" s="348">
        <v>45292</v>
      </c>
      <c r="E2698" s="348">
        <v>45627</v>
      </c>
      <c r="F2698" s="346" t="s">
        <v>643</v>
      </c>
      <c r="G2698" s="350" t="s">
        <v>712</v>
      </c>
      <c r="H2698" s="351">
        <f t="shared" si="46"/>
        <v>23160</v>
      </c>
    </row>
    <row r="2699" spans="1:9" ht="22.5">
      <c r="A2699" s="345">
        <v>2696</v>
      </c>
      <c r="B2699" s="346" t="s">
        <v>653</v>
      </c>
      <c r="C2699" s="347">
        <v>1930</v>
      </c>
      <c r="D2699" s="348">
        <v>45658</v>
      </c>
      <c r="E2699" s="348">
        <v>47058</v>
      </c>
      <c r="F2699" s="346" t="s">
        <v>643</v>
      </c>
      <c r="G2699" s="350" t="s">
        <v>712</v>
      </c>
      <c r="H2699" s="351">
        <f t="shared" si="46"/>
        <v>90710</v>
      </c>
      <c r="I2699" s="120" t="str">
        <f>IF(OR(D2699&lt;Capa!$A$5,D2699&gt;Capa!$A$7,E2699&lt;Capa!$A$5,E2699&gt;Capa!$A$7,D2699&gt;E2699),"Erro","")</f>
        <v/>
      </c>
    </row>
    <row r="2700" spans="1:9" ht="33.75">
      <c r="A2700" s="345">
        <v>2697</v>
      </c>
      <c r="B2700" s="346" t="s">
        <v>648</v>
      </c>
      <c r="C2700" s="347">
        <v>1920</v>
      </c>
      <c r="D2700" s="348">
        <v>45292</v>
      </c>
      <c r="E2700" s="348">
        <v>45292</v>
      </c>
      <c r="F2700" s="346" t="s">
        <v>643</v>
      </c>
      <c r="G2700" s="350" t="s">
        <v>670</v>
      </c>
      <c r="H2700" s="351">
        <f t="shared" si="46"/>
        <v>1920</v>
      </c>
      <c r="I2700" s="120" t="str">
        <f>IF(OR(D2700&lt;Capa!$A$5,D2700&gt;Capa!$A$7,E2700&lt;Capa!$A$5,E2700&gt;Capa!$A$7,D2700&gt;E2700),"Erro","")</f>
        <v/>
      </c>
    </row>
    <row r="2701" spans="1:9" ht="33.75">
      <c r="A2701" s="345">
        <v>2698</v>
      </c>
      <c r="B2701" s="346" t="s">
        <v>648</v>
      </c>
      <c r="C2701" s="347">
        <v>2032.12</v>
      </c>
      <c r="D2701" s="348">
        <v>45658</v>
      </c>
      <c r="E2701" s="348">
        <v>45658</v>
      </c>
      <c r="F2701" s="346" t="s">
        <v>643</v>
      </c>
      <c r="G2701" s="350" t="s">
        <v>670</v>
      </c>
      <c r="H2701" s="351">
        <f t="shared" si="46"/>
        <v>2032.12</v>
      </c>
      <c r="I2701" s="120" t="str">
        <f>IF(OR(D2701&lt;Capa!$A$5,D2701&gt;Capa!$A$7,E2701&lt;Capa!$A$5,E2701&gt;Capa!$A$7,D2701&gt;E2701),"Erro","")</f>
        <v/>
      </c>
    </row>
    <row r="2702" spans="1:9" ht="33.75">
      <c r="A2702" s="345">
        <v>2699</v>
      </c>
      <c r="B2702" s="346" t="s">
        <v>648</v>
      </c>
      <c r="C2702" s="347">
        <v>2150.8000000000002</v>
      </c>
      <c r="D2702" s="348">
        <v>46023</v>
      </c>
      <c r="E2702" s="348">
        <v>46023</v>
      </c>
      <c r="F2702" s="346" t="s">
        <v>643</v>
      </c>
      <c r="G2702" s="350" t="s">
        <v>670</v>
      </c>
      <c r="H2702" s="351">
        <f t="shared" si="46"/>
        <v>2150.8000000000002</v>
      </c>
      <c r="I2702" s="120" t="str">
        <f>IF(OR(D2702&lt;Capa!$A$5,D2702&gt;Capa!$A$7,E2702&lt;Capa!$A$5,E2702&gt;Capa!$A$7,D2702&gt;E2702),"Erro","")</f>
        <v/>
      </c>
    </row>
    <row r="2703" spans="1:9" ht="33.75">
      <c r="A2703" s="345">
        <v>2700</v>
      </c>
      <c r="B2703" s="346" t="s">
        <v>648</v>
      </c>
      <c r="C2703" s="347">
        <v>2276.41</v>
      </c>
      <c r="D2703" s="348">
        <v>46388</v>
      </c>
      <c r="E2703" s="348">
        <v>46388</v>
      </c>
      <c r="F2703" s="346" t="s">
        <v>643</v>
      </c>
      <c r="G2703" s="350" t="s">
        <v>670</v>
      </c>
      <c r="H2703" s="351">
        <f t="shared" si="46"/>
        <v>2276.41</v>
      </c>
      <c r="I2703" s="120" t="str">
        <f>IF(OR(D2703&lt;Capa!$A$5,D2703&gt;Capa!$A$7,E2703&lt;Capa!$A$5,E2703&gt;Capa!$A$7,D2703&gt;E2703),"Erro","")</f>
        <v/>
      </c>
    </row>
    <row r="2704" spans="1:9" ht="33.75">
      <c r="A2704" s="345">
        <v>2701</v>
      </c>
      <c r="B2704" s="346" t="s">
        <v>648</v>
      </c>
      <c r="C2704" s="347">
        <v>2499.35</v>
      </c>
      <c r="D2704" s="348">
        <v>46753</v>
      </c>
      <c r="E2704" s="348">
        <v>46753</v>
      </c>
      <c r="F2704" s="346" t="s">
        <v>643</v>
      </c>
      <c r="G2704" s="350" t="s">
        <v>670</v>
      </c>
      <c r="H2704" s="351">
        <f t="shared" si="46"/>
        <v>2499.35</v>
      </c>
      <c r="I2704" s="120" t="str">
        <f>IF(OR(D2704&lt;Capa!$A$5,D2704&gt;Capa!$A$7,E2704&lt;Capa!$A$5,E2704&gt;Capa!$A$7,D2704&gt;E2704),"Erro","")</f>
        <v/>
      </c>
    </row>
    <row r="2705" spans="1:9" ht="33.75">
      <c r="A2705" s="345">
        <v>2702</v>
      </c>
      <c r="B2705" s="346" t="s">
        <v>649</v>
      </c>
      <c r="C2705" s="347">
        <v>1643</v>
      </c>
      <c r="D2705" s="348">
        <v>45658</v>
      </c>
      <c r="E2705" s="348">
        <v>47058</v>
      </c>
      <c r="F2705" s="346" t="s">
        <v>643</v>
      </c>
      <c r="G2705" s="350" t="s">
        <v>705</v>
      </c>
      <c r="H2705" s="351">
        <f t="shared" si="46"/>
        <v>77221</v>
      </c>
      <c r="I2705" s="120" t="str">
        <f>IF(OR(D2705&lt;Capa!$A$5,D2705&gt;Capa!$A$7,E2705&lt;Capa!$A$5,E2705&gt;Capa!$A$7,D2705&gt;E2705),"Erro","")</f>
        <v/>
      </c>
    </row>
    <row r="2706" spans="1:9" ht="33.75">
      <c r="A2706" s="345">
        <v>2703</v>
      </c>
      <c r="B2706" s="346" t="s">
        <v>654</v>
      </c>
      <c r="C2706" s="347">
        <v>600</v>
      </c>
      <c r="D2706" s="348">
        <v>45323</v>
      </c>
      <c r="E2706" s="348">
        <v>45627</v>
      </c>
      <c r="F2706" s="346" t="s">
        <v>643</v>
      </c>
      <c r="G2706" s="350" t="s">
        <v>706</v>
      </c>
      <c r="H2706" s="351">
        <f t="shared" si="46"/>
        <v>6600</v>
      </c>
    </row>
    <row r="2707" spans="1:9" ht="33.75">
      <c r="A2707" s="345">
        <v>2704</v>
      </c>
      <c r="B2707" s="346" t="s">
        <v>654</v>
      </c>
      <c r="C2707" s="347">
        <v>1100</v>
      </c>
      <c r="D2707" s="348">
        <v>45658</v>
      </c>
      <c r="E2707" s="348">
        <v>47058</v>
      </c>
      <c r="F2707" s="346" t="s">
        <v>643</v>
      </c>
      <c r="G2707" s="350" t="s">
        <v>706</v>
      </c>
      <c r="H2707" s="351">
        <f t="shared" si="46"/>
        <v>51700</v>
      </c>
      <c r="I2707" s="120" t="str">
        <f>IF(OR(D2707&lt;Capa!$A$5,D2707&gt;Capa!$A$7,E2707&lt;Capa!$A$5,E2707&gt;Capa!$A$7,D2707&gt;E2707),"Erro","")</f>
        <v/>
      </c>
    </row>
    <row r="2708" spans="1:9" ht="22.5">
      <c r="A2708" s="345">
        <v>2705</v>
      </c>
      <c r="B2708" s="346" t="s">
        <v>656</v>
      </c>
      <c r="C2708" s="347">
        <v>200</v>
      </c>
      <c r="D2708" s="348">
        <v>45323</v>
      </c>
      <c r="E2708" s="348">
        <v>47058</v>
      </c>
      <c r="F2708" s="346" t="s">
        <v>643</v>
      </c>
      <c r="G2708" s="350" t="s">
        <v>707</v>
      </c>
      <c r="H2708" s="351">
        <f t="shared" si="46"/>
        <v>11600</v>
      </c>
      <c r="I2708" s="120" t="str">
        <f>IF(OR(D2708&lt;Capa!$A$5,D2708&gt;Capa!$A$7,E2708&lt;Capa!$A$5,E2708&gt;Capa!$A$7,D2708&gt;E2708),"Erro","")</f>
        <v/>
      </c>
    </row>
    <row r="2709" spans="1:9" ht="22.5">
      <c r="A2709" s="345">
        <v>2706</v>
      </c>
      <c r="B2709" s="346" t="s">
        <v>658</v>
      </c>
      <c r="C2709" s="347">
        <v>50</v>
      </c>
      <c r="D2709" s="348">
        <v>45323</v>
      </c>
      <c r="E2709" s="348">
        <v>47058</v>
      </c>
      <c r="F2709" s="346" t="s">
        <v>643</v>
      </c>
      <c r="G2709" s="350" t="s">
        <v>709</v>
      </c>
      <c r="H2709" s="351">
        <f t="shared" si="46"/>
        <v>2900</v>
      </c>
      <c r="I2709" s="120" t="str">
        <f>IF(OR(D2709&lt;Capa!$A$5,D2709&gt;Capa!$A$7,E2709&lt;Capa!$A$5,E2709&gt;Capa!$A$7,D2709&gt;E2709),"Erro","")</f>
        <v/>
      </c>
    </row>
    <row r="2710" spans="1:9" ht="33.75">
      <c r="A2710" s="345">
        <v>2707</v>
      </c>
      <c r="B2710" s="346" t="s">
        <v>657</v>
      </c>
      <c r="C2710" s="347">
        <v>350</v>
      </c>
      <c r="D2710" s="348">
        <v>45658</v>
      </c>
      <c r="E2710" s="348">
        <v>47058</v>
      </c>
      <c r="F2710" s="346" t="s">
        <v>643</v>
      </c>
      <c r="G2710" s="350" t="s">
        <v>708</v>
      </c>
      <c r="H2710" s="351">
        <f t="shared" si="46"/>
        <v>16450</v>
      </c>
      <c r="I2710" s="120" t="str">
        <f>IF(OR(D2710&lt;Capa!$A$5,D2710&gt;Capa!$A$7,E2710&lt;Capa!$A$5,E2710&gt;Capa!$A$7,D2710&gt;E2710),"Erro","")</f>
        <v/>
      </c>
    </row>
    <row r="2711" spans="1:9" ht="33.75">
      <c r="A2711" s="345">
        <v>2708</v>
      </c>
      <c r="B2711" s="346" t="s">
        <v>650</v>
      </c>
      <c r="C2711" s="347">
        <v>70</v>
      </c>
      <c r="D2711" s="348">
        <v>45352</v>
      </c>
      <c r="E2711" s="348">
        <v>47058</v>
      </c>
      <c r="F2711" s="346" t="s">
        <v>643</v>
      </c>
      <c r="G2711" s="350" t="s">
        <v>711</v>
      </c>
      <c r="H2711" s="351">
        <f t="shared" si="46"/>
        <v>3990</v>
      </c>
      <c r="I2711" s="120" t="str">
        <f>IF(OR(D2711&lt;Capa!$A$5,D2711&gt;Capa!$A$7,E2711&lt;Capa!$A$5,E2711&gt;Capa!$A$7,D2711&gt;E2711),"Erro","")</f>
        <v/>
      </c>
    </row>
    <row r="2712" spans="1:9" ht="22.5">
      <c r="A2712" s="345">
        <v>2709</v>
      </c>
      <c r="B2712" s="346" t="s">
        <v>198</v>
      </c>
      <c r="C2712" s="347">
        <v>9500</v>
      </c>
      <c r="D2712" s="348">
        <v>45261</v>
      </c>
      <c r="E2712" s="348">
        <v>45627</v>
      </c>
      <c r="F2712" s="346" t="s">
        <v>644</v>
      </c>
      <c r="G2712" s="350" t="s">
        <v>438</v>
      </c>
      <c r="H2712" s="351">
        <f t="shared" si="46"/>
        <v>123500</v>
      </c>
      <c r="I2712" s="120" t="str">
        <f>IF(OR(D2712&lt;Capa!$A$5,D2712&gt;Capa!$A$7,E2712&lt;Capa!$A$5,E2712&gt;Capa!$A$7,D2712&gt;E2712),"Erro","")</f>
        <v/>
      </c>
    </row>
    <row r="2713" spans="1:9" ht="22.5">
      <c r="A2713" s="345">
        <v>2710</v>
      </c>
      <c r="B2713" s="346" t="s">
        <v>198</v>
      </c>
      <c r="C2713" s="347">
        <v>10054.799999999999</v>
      </c>
      <c r="D2713" s="348">
        <v>45658</v>
      </c>
      <c r="E2713" s="348">
        <v>45992</v>
      </c>
      <c r="F2713" s="346" t="s">
        <v>644</v>
      </c>
      <c r="G2713" s="350" t="s">
        <v>438</v>
      </c>
      <c r="H2713" s="351">
        <f t="shared" si="46"/>
        <v>120657.59999999999</v>
      </c>
      <c r="I2713" s="120" t="str">
        <f>IF(OR(D2713&lt;Capa!$A$5,D2713&gt;Capa!$A$7,E2713&lt;Capa!$A$5,E2713&gt;Capa!$A$7,D2713&gt;E2713),"Erro","")</f>
        <v/>
      </c>
    </row>
    <row r="2714" spans="1:9" ht="22.5">
      <c r="A2714" s="345">
        <v>2711</v>
      </c>
      <c r="B2714" s="346" t="s">
        <v>198</v>
      </c>
      <c r="C2714" s="347">
        <v>10642</v>
      </c>
      <c r="D2714" s="348">
        <v>46023</v>
      </c>
      <c r="E2714" s="348">
        <v>46357</v>
      </c>
      <c r="F2714" s="346" t="s">
        <v>644</v>
      </c>
      <c r="G2714" s="350" t="s">
        <v>438</v>
      </c>
      <c r="H2714" s="351">
        <f t="shared" si="46"/>
        <v>127704</v>
      </c>
      <c r="I2714" s="120" t="str">
        <f>IF(OR(D2714&lt;Capa!$A$5,D2714&gt;Capa!$A$7,E2714&lt;Capa!$A$5,E2714&gt;Capa!$A$7,D2714&gt;E2714),"Erro","")</f>
        <v/>
      </c>
    </row>
    <row r="2715" spans="1:9" ht="22.5">
      <c r="A2715" s="345">
        <v>2712</v>
      </c>
      <c r="B2715" s="346" t="s">
        <v>198</v>
      </c>
      <c r="C2715" s="347">
        <v>11263.49</v>
      </c>
      <c r="D2715" s="348">
        <v>46388</v>
      </c>
      <c r="E2715" s="348">
        <v>46722</v>
      </c>
      <c r="F2715" s="346" t="s">
        <v>644</v>
      </c>
      <c r="G2715" s="350" t="s">
        <v>438</v>
      </c>
      <c r="H2715" s="351">
        <f t="shared" si="46"/>
        <v>135161.88</v>
      </c>
      <c r="I2715" s="120" t="str">
        <f>IF(OR(D2715&lt;Capa!$A$5,D2715&gt;Capa!$A$7,E2715&lt;Capa!$A$5,E2715&gt;Capa!$A$7,D2715&gt;E2715),"Erro","")</f>
        <v/>
      </c>
    </row>
    <row r="2716" spans="1:9" ht="22.5">
      <c r="A2716" s="345">
        <v>2713</v>
      </c>
      <c r="B2716" s="346" t="s">
        <v>198</v>
      </c>
      <c r="C2716" s="347">
        <v>11921.28</v>
      </c>
      <c r="D2716" s="348">
        <v>46753</v>
      </c>
      <c r="E2716" s="348">
        <v>47058</v>
      </c>
      <c r="F2716" s="346" t="s">
        <v>644</v>
      </c>
      <c r="G2716" s="350" t="s">
        <v>438</v>
      </c>
      <c r="H2716" s="351">
        <f t="shared" si="46"/>
        <v>131134.08000000002</v>
      </c>
      <c r="I2716" s="120" t="str">
        <f>IF(OR(D2716&lt;Capa!$A$5,D2716&gt;Capa!$A$7,E2716&lt;Capa!$A$5,E2716&gt;Capa!$A$7,D2716&gt;E2716),"Erro","")</f>
        <v/>
      </c>
    </row>
    <row r="2717" spans="1:9" ht="22.5">
      <c r="A2717" s="345">
        <v>2714</v>
      </c>
      <c r="B2717" s="346" t="s">
        <v>202</v>
      </c>
      <c r="C2717" s="347">
        <v>1726.38</v>
      </c>
      <c r="D2717" s="348">
        <v>45292</v>
      </c>
      <c r="E2717" s="348">
        <v>45383</v>
      </c>
      <c r="F2717" s="346" t="s">
        <v>644</v>
      </c>
      <c r="G2717" s="350" t="s">
        <v>439</v>
      </c>
      <c r="H2717" s="351">
        <f t="shared" si="46"/>
        <v>6905.52</v>
      </c>
      <c r="I2717" s="120" t="str">
        <f>IF(OR(D2717&lt;Capa!$A$5,D2717&gt;Capa!$A$7,E2717&lt;Capa!$A$5,E2717&gt;Capa!$A$7,D2717&gt;E2717),"Erro","")</f>
        <v/>
      </c>
    </row>
    <row r="2718" spans="1:9" ht="22.5">
      <c r="A2718" s="345">
        <v>2715</v>
      </c>
      <c r="B2718" s="346" t="s">
        <v>202</v>
      </c>
      <c r="C2718" s="347">
        <v>1827.21</v>
      </c>
      <c r="D2718" s="348">
        <v>45658</v>
      </c>
      <c r="E2718" s="348">
        <v>45748</v>
      </c>
      <c r="F2718" s="346" t="s">
        <v>644</v>
      </c>
      <c r="G2718" s="350" t="s">
        <v>439</v>
      </c>
      <c r="H2718" s="351">
        <f t="shared" si="46"/>
        <v>7308.84</v>
      </c>
      <c r="I2718" s="120" t="str">
        <f>IF(OR(D2718&lt;Capa!$A$5,D2718&gt;Capa!$A$7,E2718&lt;Capa!$A$5,E2718&gt;Capa!$A$7,D2718&gt;E2718),"Erro","")</f>
        <v/>
      </c>
    </row>
    <row r="2719" spans="1:9" ht="22.5">
      <c r="A2719" s="345">
        <v>2716</v>
      </c>
      <c r="B2719" s="346" t="s">
        <v>202</v>
      </c>
      <c r="C2719" s="347">
        <v>1933.91</v>
      </c>
      <c r="D2719" s="348">
        <v>46023</v>
      </c>
      <c r="E2719" s="348">
        <v>46113</v>
      </c>
      <c r="F2719" s="346" t="s">
        <v>644</v>
      </c>
      <c r="G2719" s="350" t="s">
        <v>439</v>
      </c>
      <c r="H2719" s="351">
        <f t="shared" si="46"/>
        <v>7735.64</v>
      </c>
      <c r="I2719" s="120" t="str">
        <f>IF(OR(D2719&lt;Capa!$A$5,D2719&gt;Capa!$A$7,E2719&lt;Capa!$A$5,E2719&gt;Capa!$A$7,D2719&gt;E2719),"Erro","")</f>
        <v/>
      </c>
    </row>
    <row r="2720" spans="1:9" ht="22.5">
      <c r="A2720" s="345">
        <v>2717</v>
      </c>
      <c r="B2720" s="346" t="s">
        <v>202</v>
      </c>
      <c r="C2720" s="347">
        <v>2046.86</v>
      </c>
      <c r="D2720" s="348">
        <v>46388</v>
      </c>
      <c r="E2720" s="348">
        <v>46478</v>
      </c>
      <c r="F2720" s="346" t="s">
        <v>644</v>
      </c>
      <c r="G2720" s="350" t="s">
        <v>439</v>
      </c>
      <c r="H2720" s="351">
        <f t="shared" si="46"/>
        <v>8187.44</v>
      </c>
      <c r="I2720" s="120" t="str">
        <f>IF(OR(D2720&lt;Capa!$A$5,D2720&gt;Capa!$A$7,E2720&lt;Capa!$A$5,E2720&gt;Capa!$A$7,D2720&gt;E2720),"Erro","")</f>
        <v/>
      </c>
    </row>
    <row r="2721" spans="1:9" ht="22.5">
      <c r="A2721" s="345">
        <v>2718</v>
      </c>
      <c r="B2721" s="346" t="s">
        <v>202</v>
      </c>
      <c r="C2721" s="347">
        <v>2166.39</v>
      </c>
      <c r="D2721" s="348">
        <v>46753</v>
      </c>
      <c r="E2721" s="348">
        <v>46844</v>
      </c>
      <c r="F2721" s="346" t="s">
        <v>644</v>
      </c>
      <c r="G2721" s="350" t="s">
        <v>439</v>
      </c>
      <c r="H2721" s="351">
        <f t="shared" si="46"/>
        <v>8665.56</v>
      </c>
      <c r="I2721" s="120" t="str">
        <f>IF(OR(D2721&lt;Capa!$A$5,D2721&gt;Capa!$A$7,E2721&lt;Capa!$A$5,E2721&gt;Capa!$A$7,D2721&gt;E2721),"Erro","")</f>
        <v/>
      </c>
    </row>
    <row r="2722" spans="1:9" ht="22.5">
      <c r="A2722" s="345">
        <v>2719</v>
      </c>
      <c r="B2722" s="346" t="s">
        <v>204</v>
      </c>
      <c r="C2722" s="347">
        <v>1940.13</v>
      </c>
      <c r="D2722" s="348">
        <v>45292</v>
      </c>
      <c r="E2722" s="348">
        <v>45383</v>
      </c>
      <c r="F2722" s="346" t="s">
        <v>644</v>
      </c>
      <c r="G2722" s="350" t="s">
        <v>439</v>
      </c>
      <c r="H2722" s="351">
        <f t="shared" si="46"/>
        <v>7760.52</v>
      </c>
      <c r="I2722" s="120" t="str">
        <f>IF(OR(D2722&lt;Capa!$A$5,D2722&gt;Capa!$A$7,E2722&lt;Capa!$A$5,E2722&gt;Capa!$A$7,D2722&gt;E2722),"Erro","")</f>
        <v/>
      </c>
    </row>
    <row r="2723" spans="1:9" ht="22.5">
      <c r="A2723" s="345">
        <v>2720</v>
      </c>
      <c r="B2723" s="346" t="s">
        <v>204</v>
      </c>
      <c r="C2723" s="347">
        <v>2053.44</v>
      </c>
      <c r="D2723" s="348">
        <v>45658</v>
      </c>
      <c r="E2723" s="348">
        <v>45748</v>
      </c>
      <c r="F2723" s="346" t="s">
        <v>644</v>
      </c>
      <c r="G2723" s="350" t="s">
        <v>439</v>
      </c>
      <c r="H2723" s="351">
        <f t="shared" si="46"/>
        <v>8213.76</v>
      </c>
      <c r="I2723" s="120" t="str">
        <f>IF(OR(D2723&lt;Capa!$A$5,D2723&gt;Capa!$A$7,E2723&lt;Capa!$A$5,E2723&gt;Capa!$A$7,D2723&gt;E2723),"Erro","")</f>
        <v/>
      </c>
    </row>
    <row r="2724" spans="1:9" ht="22.5">
      <c r="A2724" s="345">
        <v>2721</v>
      </c>
      <c r="B2724" s="346" t="s">
        <v>204</v>
      </c>
      <c r="C2724" s="347">
        <v>2173.36</v>
      </c>
      <c r="D2724" s="348">
        <v>46023</v>
      </c>
      <c r="E2724" s="348">
        <v>46113</v>
      </c>
      <c r="F2724" s="346" t="s">
        <v>644</v>
      </c>
      <c r="G2724" s="350" t="s">
        <v>439</v>
      </c>
      <c r="H2724" s="351">
        <f t="shared" si="46"/>
        <v>8693.44</v>
      </c>
      <c r="I2724" s="120" t="str">
        <f>IF(OR(D2724&lt;Capa!$A$5,D2724&gt;Capa!$A$7,E2724&lt;Capa!$A$5,E2724&gt;Capa!$A$7,D2724&gt;E2724),"Erro","")</f>
        <v/>
      </c>
    </row>
    <row r="2725" spans="1:9" ht="22.5">
      <c r="A2725" s="345">
        <v>2722</v>
      </c>
      <c r="B2725" s="346" t="s">
        <v>204</v>
      </c>
      <c r="C2725" s="347">
        <v>2300.29</v>
      </c>
      <c r="D2725" s="348">
        <v>46388</v>
      </c>
      <c r="E2725" s="348">
        <v>46478</v>
      </c>
      <c r="F2725" s="346" t="s">
        <v>644</v>
      </c>
      <c r="G2725" s="350" t="s">
        <v>439</v>
      </c>
      <c r="H2725" s="351">
        <f t="shared" si="46"/>
        <v>9201.16</v>
      </c>
      <c r="I2725" s="120" t="str">
        <f>IF(OR(D2725&lt;Capa!$A$5,D2725&gt;Capa!$A$7,E2725&lt;Capa!$A$5,E2725&gt;Capa!$A$7,D2725&gt;E2725),"Erro","")</f>
        <v/>
      </c>
    </row>
    <row r="2726" spans="1:9" ht="22.5">
      <c r="A2726" s="345">
        <v>2723</v>
      </c>
      <c r="B2726" s="346" t="s">
        <v>204</v>
      </c>
      <c r="C2726" s="347">
        <v>2434.62</v>
      </c>
      <c r="D2726" s="348">
        <v>46753</v>
      </c>
      <c r="E2726" s="348">
        <v>46844</v>
      </c>
      <c r="F2726" s="346" t="s">
        <v>644</v>
      </c>
      <c r="G2726" s="350" t="s">
        <v>439</v>
      </c>
      <c r="H2726" s="351">
        <f t="shared" si="46"/>
        <v>9738.48</v>
      </c>
      <c r="I2726" s="120" t="str">
        <f>IF(OR(D2726&lt;Capa!$A$5,D2726&gt;Capa!$A$7,E2726&lt;Capa!$A$5,E2726&gt;Capa!$A$7,D2726&gt;E2726),"Erro","")</f>
        <v/>
      </c>
    </row>
    <row r="2727" spans="1:9" ht="22.5">
      <c r="A2727" s="345">
        <v>2724</v>
      </c>
      <c r="B2727" s="346" t="s">
        <v>206</v>
      </c>
      <c r="C2727" s="347">
        <v>1289.48</v>
      </c>
      <c r="D2727" s="348">
        <v>45261</v>
      </c>
      <c r="E2727" s="348">
        <v>45627</v>
      </c>
      <c r="F2727" s="346" t="s">
        <v>644</v>
      </c>
      <c r="G2727" s="350" t="s">
        <v>440</v>
      </c>
      <c r="H2727" s="351">
        <f t="shared" si="46"/>
        <v>16763.240000000002</v>
      </c>
      <c r="I2727" s="120" t="str">
        <f>IF(OR(D2727&lt;Capa!$A$5,D2727&gt;Capa!$A$7,E2727&lt;Capa!$A$5,E2727&gt;Capa!$A$7,D2727&gt;E2727),"Erro","")</f>
        <v/>
      </c>
    </row>
    <row r="2728" spans="1:9" ht="22.5">
      <c r="A2728" s="345">
        <v>2725</v>
      </c>
      <c r="B2728" s="346" t="s">
        <v>206</v>
      </c>
      <c r="C2728" s="347">
        <v>1364.78</v>
      </c>
      <c r="D2728" s="348">
        <v>45658</v>
      </c>
      <c r="E2728" s="348">
        <v>45992</v>
      </c>
      <c r="F2728" s="346" t="s">
        <v>644</v>
      </c>
      <c r="G2728" s="350" t="s">
        <v>440</v>
      </c>
      <c r="H2728" s="351">
        <f t="shared" si="46"/>
        <v>16377.36</v>
      </c>
      <c r="I2728" s="120" t="str">
        <f>IF(OR(D2728&lt;Capa!$A$5,D2728&gt;Capa!$A$7,E2728&lt;Capa!$A$5,E2728&gt;Capa!$A$7,D2728&gt;E2728),"Erro","")</f>
        <v/>
      </c>
    </row>
    <row r="2729" spans="1:9" ht="22.5">
      <c r="A2729" s="345">
        <v>2726</v>
      </c>
      <c r="B2729" s="346" t="s">
        <v>206</v>
      </c>
      <c r="C2729" s="347">
        <v>1444.49</v>
      </c>
      <c r="D2729" s="348">
        <v>46023</v>
      </c>
      <c r="E2729" s="348">
        <v>46357</v>
      </c>
      <c r="F2729" s="346" t="s">
        <v>644</v>
      </c>
      <c r="G2729" s="350" t="s">
        <v>440</v>
      </c>
      <c r="H2729" s="351">
        <f t="shared" si="46"/>
        <v>17333.88</v>
      </c>
      <c r="I2729" s="120" t="str">
        <f>IF(OR(D2729&lt;Capa!$A$5,D2729&gt;Capa!$A$7,E2729&lt;Capa!$A$5,E2729&gt;Capa!$A$7,D2729&gt;E2729),"Erro","")</f>
        <v/>
      </c>
    </row>
    <row r="2730" spans="1:9" ht="22.5">
      <c r="A2730" s="345">
        <v>2727</v>
      </c>
      <c r="B2730" s="346" t="s">
        <v>206</v>
      </c>
      <c r="C2730" s="347">
        <v>1528.85</v>
      </c>
      <c r="D2730" s="348">
        <v>46388</v>
      </c>
      <c r="E2730" s="348">
        <v>46722</v>
      </c>
      <c r="F2730" s="346" t="s">
        <v>644</v>
      </c>
      <c r="G2730" s="350" t="s">
        <v>440</v>
      </c>
      <c r="H2730" s="351">
        <f t="shared" si="46"/>
        <v>18346.199999999997</v>
      </c>
      <c r="I2730" s="120" t="str">
        <f>IF(OR(D2730&lt;Capa!$A$5,D2730&gt;Capa!$A$7,E2730&lt;Capa!$A$5,E2730&gt;Capa!$A$7,D2730&gt;E2730),"Erro","")</f>
        <v/>
      </c>
    </row>
    <row r="2731" spans="1:9" ht="22.5">
      <c r="A2731" s="345">
        <v>2728</v>
      </c>
      <c r="B2731" s="346" t="s">
        <v>206</v>
      </c>
      <c r="C2731" s="347">
        <v>1618.14</v>
      </c>
      <c r="D2731" s="348">
        <v>46753</v>
      </c>
      <c r="E2731" s="348">
        <v>47058</v>
      </c>
      <c r="F2731" s="346" t="s">
        <v>644</v>
      </c>
      <c r="G2731" s="350" t="s">
        <v>440</v>
      </c>
      <c r="H2731" s="351">
        <f t="shared" si="46"/>
        <v>17799.54</v>
      </c>
      <c r="I2731" s="120" t="str">
        <f>IF(OR(D2731&lt;Capa!$A$5,D2731&gt;Capa!$A$7,E2731&lt;Capa!$A$5,E2731&gt;Capa!$A$7,D2731&gt;E2731),"Erro","")</f>
        <v/>
      </c>
    </row>
    <row r="2732" spans="1:9" ht="22.5">
      <c r="A2732" s="345">
        <v>2729</v>
      </c>
      <c r="B2732" s="346" t="s">
        <v>208</v>
      </c>
      <c r="C2732" s="347">
        <v>1409.44</v>
      </c>
      <c r="D2732" s="348">
        <v>45261</v>
      </c>
      <c r="E2732" s="348">
        <v>45627</v>
      </c>
      <c r="F2732" s="346" t="s">
        <v>644</v>
      </c>
      <c r="G2732" s="350" t="s">
        <v>440</v>
      </c>
      <c r="H2732" s="351">
        <f t="shared" si="46"/>
        <v>18322.72</v>
      </c>
      <c r="I2732" s="120" t="str">
        <f>IF(OR(D2732&lt;Capa!$A$5,D2732&gt;Capa!$A$7,E2732&lt;Capa!$A$5,E2732&gt;Capa!$A$7,D2732&gt;E2732),"Erro","")</f>
        <v/>
      </c>
    </row>
    <row r="2733" spans="1:9" ht="22.5">
      <c r="A2733" s="345">
        <v>2730</v>
      </c>
      <c r="B2733" s="346" t="s">
        <v>208</v>
      </c>
      <c r="C2733" s="347">
        <v>1491.76</v>
      </c>
      <c r="D2733" s="348">
        <v>45658</v>
      </c>
      <c r="E2733" s="348">
        <v>45992</v>
      </c>
      <c r="F2733" s="346" t="s">
        <v>644</v>
      </c>
      <c r="G2733" s="350" t="s">
        <v>440</v>
      </c>
      <c r="H2733" s="351">
        <f t="shared" si="46"/>
        <v>17901.12</v>
      </c>
      <c r="I2733" s="120" t="str">
        <f>IF(OR(D2733&lt;Capa!$A$5,D2733&gt;Capa!$A$7,E2733&lt;Capa!$A$5,E2733&gt;Capa!$A$7,D2733&gt;E2733),"Erro","")</f>
        <v/>
      </c>
    </row>
    <row r="2734" spans="1:9" ht="22.5">
      <c r="A2734" s="345">
        <v>2731</v>
      </c>
      <c r="B2734" s="346" t="s">
        <v>208</v>
      </c>
      <c r="C2734" s="347">
        <v>1578.88</v>
      </c>
      <c r="D2734" s="348">
        <v>46023</v>
      </c>
      <c r="E2734" s="348">
        <v>46357</v>
      </c>
      <c r="F2734" s="346" t="s">
        <v>644</v>
      </c>
      <c r="G2734" s="350" t="s">
        <v>440</v>
      </c>
      <c r="H2734" s="351">
        <f t="shared" si="46"/>
        <v>18946.560000000001</v>
      </c>
      <c r="I2734" s="120" t="str">
        <f>IF(OR(D2734&lt;Capa!$A$5,D2734&gt;Capa!$A$7,E2734&lt;Capa!$A$5,E2734&gt;Capa!$A$7,D2734&gt;E2734),"Erro","")</f>
        <v/>
      </c>
    </row>
    <row r="2735" spans="1:9" ht="22.5">
      <c r="A2735" s="345">
        <v>2732</v>
      </c>
      <c r="B2735" s="346" t="s">
        <v>208</v>
      </c>
      <c r="C2735" s="347">
        <v>1671.09</v>
      </c>
      <c r="D2735" s="348">
        <v>46388</v>
      </c>
      <c r="E2735" s="348">
        <v>46722</v>
      </c>
      <c r="F2735" s="346" t="s">
        <v>644</v>
      </c>
      <c r="G2735" s="350" t="s">
        <v>440</v>
      </c>
      <c r="H2735" s="351">
        <f t="shared" si="46"/>
        <v>20053.079999999998</v>
      </c>
      <c r="I2735" s="120" t="str">
        <f>IF(OR(D2735&lt;Capa!$A$5,D2735&gt;Capa!$A$7,E2735&lt;Capa!$A$5,E2735&gt;Capa!$A$7,D2735&gt;E2735),"Erro","")</f>
        <v/>
      </c>
    </row>
    <row r="2736" spans="1:9" ht="22.5">
      <c r="A2736" s="345">
        <v>2733</v>
      </c>
      <c r="B2736" s="346" t="s">
        <v>208</v>
      </c>
      <c r="C2736" s="347">
        <v>1768.68</v>
      </c>
      <c r="D2736" s="348">
        <v>46753</v>
      </c>
      <c r="E2736" s="348">
        <v>47058</v>
      </c>
      <c r="F2736" s="346" t="s">
        <v>644</v>
      </c>
      <c r="G2736" s="350" t="s">
        <v>440</v>
      </c>
      <c r="H2736" s="351">
        <f t="shared" si="46"/>
        <v>19455.48</v>
      </c>
      <c r="I2736" s="120" t="str">
        <f>IF(OR(D2736&lt;Capa!$A$5,D2736&gt;Capa!$A$7,E2736&lt;Capa!$A$5,E2736&gt;Capa!$A$7,D2736&gt;E2736),"Erro","")</f>
        <v/>
      </c>
    </row>
    <row r="2737" spans="1:9" ht="22.5">
      <c r="A2737" s="345">
        <v>2734</v>
      </c>
      <c r="B2737" s="346" t="s">
        <v>210</v>
      </c>
      <c r="C2737" s="347">
        <v>55.27</v>
      </c>
      <c r="D2737" s="348">
        <v>45261</v>
      </c>
      <c r="E2737" s="348">
        <v>45627</v>
      </c>
      <c r="F2737" s="346" t="s">
        <v>644</v>
      </c>
      <c r="G2737" s="350" t="s">
        <v>440</v>
      </c>
      <c r="H2737" s="351">
        <f t="shared" si="46"/>
        <v>718.51</v>
      </c>
      <c r="I2737" s="120" t="str">
        <f>IF(OR(D2737&lt;Capa!$A$5,D2737&gt;Capa!$A$7,E2737&lt;Capa!$A$5,E2737&gt;Capa!$A$7,D2737&gt;E2737),"Erro","")</f>
        <v/>
      </c>
    </row>
    <row r="2738" spans="1:9" ht="22.5">
      <c r="A2738" s="345">
        <v>2735</v>
      </c>
      <c r="B2738" s="346" t="s">
        <v>210</v>
      </c>
      <c r="C2738" s="347">
        <v>58.44</v>
      </c>
      <c r="D2738" s="348">
        <v>45658</v>
      </c>
      <c r="E2738" s="348">
        <v>45992</v>
      </c>
      <c r="F2738" s="346" t="s">
        <v>644</v>
      </c>
      <c r="G2738" s="350" t="s">
        <v>440</v>
      </c>
      <c r="H2738" s="351">
        <f t="shared" ref="H2738:H2799" si="47">IFERROR((DATEDIF(D2738,E2738,"M")+1)*C2738,0)</f>
        <v>701.28</v>
      </c>
      <c r="I2738" s="120" t="str">
        <f>IF(OR(D2738&lt;Capa!$A$5,D2738&gt;Capa!$A$7,E2738&lt;Capa!$A$5,E2738&gt;Capa!$A$7,D2738&gt;E2738),"Erro","")</f>
        <v/>
      </c>
    </row>
    <row r="2739" spans="1:9" ht="22.5">
      <c r="A2739" s="345">
        <v>2736</v>
      </c>
      <c r="B2739" s="346" t="s">
        <v>210</v>
      </c>
      <c r="C2739" s="347">
        <v>61.91</v>
      </c>
      <c r="D2739" s="348">
        <v>46023</v>
      </c>
      <c r="E2739" s="348">
        <v>46357</v>
      </c>
      <c r="F2739" s="346" t="s">
        <v>644</v>
      </c>
      <c r="G2739" s="350" t="s">
        <v>440</v>
      </c>
      <c r="H2739" s="351">
        <f t="shared" si="47"/>
        <v>742.92</v>
      </c>
      <c r="I2739" s="120" t="str">
        <f>IF(OR(D2739&lt;Capa!$A$5,D2739&gt;Capa!$A$7,E2739&lt;Capa!$A$5,E2739&gt;Capa!$A$7,D2739&gt;E2739),"Erro","")</f>
        <v/>
      </c>
    </row>
    <row r="2740" spans="1:9" ht="22.5">
      <c r="A2740" s="345">
        <v>2737</v>
      </c>
      <c r="B2740" s="346" t="s">
        <v>210</v>
      </c>
      <c r="C2740" s="347">
        <v>65.53</v>
      </c>
      <c r="D2740" s="348">
        <v>46388</v>
      </c>
      <c r="E2740" s="348">
        <v>46722</v>
      </c>
      <c r="F2740" s="346" t="s">
        <v>644</v>
      </c>
      <c r="G2740" s="350" t="s">
        <v>440</v>
      </c>
      <c r="H2740" s="351">
        <f t="shared" si="47"/>
        <v>786.36</v>
      </c>
      <c r="I2740" s="120" t="str">
        <f>IF(OR(D2740&lt;Capa!$A$5,D2740&gt;Capa!$A$7,E2740&lt;Capa!$A$5,E2740&gt;Capa!$A$7,D2740&gt;E2740),"Erro","")</f>
        <v/>
      </c>
    </row>
    <row r="2741" spans="1:9" ht="22.5">
      <c r="A2741" s="345">
        <v>2738</v>
      </c>
      <c r="B2741" s="346" t="s">
        <v>210</v>
      </c>
      <c r="C2741" s="347">
        <v>69.36</v>
      </c>
      <c r="D2741" s="348">
        <v>46753</v>
      </c>
      <c r="E2741" s="348">
        <v>47058</v>
      </c>
      <c r="F2741" s="346" t="s">
        <v>644</v>
      </c>
      <c r="G2741" s="350" t="s">
        <v>440</v>
      </c>
      <c r="H2741" s="351">
        <f t="shared" si="47"/>
        <v>762.96</v>
      </c>
      <c r="I2741" s="120" t="str">
        <f>IF(OR(D2741&lt;Capa!$A$5,D2741&gt;Capa!$A$7,E2741&lt;Capa!$A$5,E2741&gt;Capa!$A$7,D2741&gt;E2741),"Erro","")</f>
        <v/>
      </c>
    </row>
    <row r="2742" spans="1:9" ht="22.5">
      <c r="A2742" s="345">
        <v>2739</v>
      </c>
      <c r="B2742" s="346" t="s">
        <v>214</v>
      </c>
      <c r="C2742" s="347">
        <v>116.9</v>
      </c>
      <c r="D2742" s="348">
        <v>45261</v>
      </c>
      <c r="E2742" s="348">
        <v>45627</v>
      </c>
      <c r="F2742" s="346" t="s">
        <v>644</v>
      </c>
      <c r="G2742" s="350" t="s">
        <v>440</v>
      </c>
      <c r="H2742" s="351">
        <f t="shared" si="47"/>
        <v>1519.7</v>
      </c>
      <c r="I2742" s="120" t="str">
        <f>IF(OR(D2742&lt;Capa!$A$5,D2742&gt;Capa!$A$7,E2742&lt;Capa!$A$5,E2742&gt;Capa!$A$7,D2742&gt;E2742),"Erro","")</f>
        <v/>
      </c>
    </row>
    <row r="2743" spans="1:9" ht="22.5">
      <c r="A2743" s="345">
        <v>2740</v>
      </c>
      <c r="B2743" s="346" t="s">
        <v>214</v>
      </c>
      <c r="C2743" s="347">
        <v>123.73</v>
      </c>
      <c r="D2743" s="348">
        <v>45658</v>
      </c>
      <c r="E2743" s="348">
        <v>45992</v>
      </c>
      <c r="F2743" s="346" t="s">
        <v>644</v>
      </c>
      <c r="G2743" s="350" t="s">
        <v>440</v>
      </c>
      <c r="H2743" s="351">
        <f t="shared" si="47"/>
        <v>1484.76</v>
      </c>
      <c r="I2743" s="120" t="str">
        <f>IF(OR(D2743&lt;Capa!$A$5,D2743&gt;Capa!$A$7,E2743&lt;Capa!$A$5,E2743&gt;Capa!$A$7,D2743&gt;E2743),"Erro","")</f>
        <v/>
      </c>
    </row>
    <row r="2744" spans="1:9" ht="22.5">
      <c r="A2744" s="345">
        <v>2741</v>
      </c>
      <c r="B2744" s="346" t="s">
        <v>214</v>
      </c>
      <c r="C2744" s="347">
        <v>130.94999999999999</v>
      </c>
      <c r="D2744" s="348">
        <v>46023</v>
      </c>
      <c r="E2744" s="348">
        <v>46357</v>
      </c>
      <c r="F2744" s="346" t="s">
        <v>644</v>
      </c>
      <c r="G2744" s="350" t="s">
        <v>440</v>
      </c>
      <c r="H2744" s="351">
        <f t="shared" si="47"/>
        <v>1571.3999999999999</v>
      </c>
      <c r="I2744" s="120" t="str">
        <f>IF(OR(D2744&lt;Capa!$A$5,D2744&gt;Capa!$A$7,E2744&lt;Capa!$A$5,E2744&gt;Capa!$A$7,D2744&gt;E2744),"Erro","")</f>
        <v/>
      </c>
    </row>
    <row r="2745" spans="1:9" ht="22.5">
      <c r="A2745" s="345">
        <v>2742</v>
      </c>
      <c r="B2745" s="346" t="s">
        <v>214</v>
      </c>
      <c r="C2745" s="347">
        <v>138.6</v>
      </c>
      <c r="D2745" s="348">
        <v>46388</v>
      </c>
      <c r="E2745" s="348">
        <v>46722</v>
      </c>
      <c r="F2745" s="346" t="s">
        <v>644</v>
      </c>
      <c r="G2745" s="350" t="s">
        <v>440</v>
      </c>
      <c r="H2745" s="351">
        <f t="shared" si="47"/>
        <v>1663.1999999999998</v>
      </c>
      <c r="I2745" s="120" t="str">
        <f>IF(OR(D2745&lt;Capa!$A$5,D2745&gt;Capa!$A$7,E2745&lt;Capa!$A$5,E2745&gt;Capa!$A$7,D2745&gt;E2745),"Erro","")</f>
        <v/>
      </c>
    </row>
    <row r="2746" spans="1:9" ht="22.5">
      <c r="A2746" s="345">
        <v>2743</v>
      </c>
      <c r="B2746" s="346" t="s">
        <v>214</v>
      </c>
      <c r="C2746" s="347">
        <v>146.69</v>
      </c>
      <c r="D2746" s="348">
        <v>46753</v>
      </c>
      <c r="E2746" s="348">
        <v>47058</v>
      </c>
      <c r="F2746" s="346" t="s">
        <v>644</v>
      </c>
      <c r="G2746" s="350" t="s">
        <v>440</v>
      </c>
      <c r="H2746" s="351">
        <f t="shared" si="47"/>
        <v>1613.59</v>
      </c>
      <c r="I2746" s="120" t="str">
        <f>IF(OR(D2746&lt;Capa!$A$5,D2746&gt;Capa!$A$7,E2746&lt;Capa!$A$5,E2746&gt;Capa!$A$7,D2746&gt;E2746),"Erro","")</f>
        <v/>
      </c>
    </row>
    <row r="2747" spans="1:9" ht="56.25">
      <c r="A2747" s="345">
        <v>2744</v>
      </c>
      <c r="B2747" s="346" t="s">
        <v>212</v>
      </c>
      <c r="C2747" s="347">
        <v>235.74</v>
      </c>
      <c r="D2747" s="348">
        <v>45261</v>
      </c>
      <c r="E2747" s="348">
        <v>45627</v>
      </c>
      <c r="F2747" s="346" t="s">
        <v>644</v>
      </c>
      <c r="G2747" s="350" t="s">
        <v>503</v>
      </c>
      <c r="H2747" s="351">
        <f t="shared" si="47"/>
        <v>3064.62</v>
      </c>
      <c r="I2747" s="120" t="str">
        <f>IF(OR(D2747&lt;Capa!$A$5,D2747&gt;Capa!$A$7,E2747&lt;Capa!$A$5,E2747&gt;Capa!$A$7,D2747&gt;E2747),"Erro","")</f>
        <v/>
      </c>
    </row>
    <row r="2748" spans="1:9" ht="56.25">
      <c r="A2748" s="345">
        <v>2745</v>
      </c>
      <c r="B2748" s="346" t="s">
        <v>212</v>
      </c>
      <c r="C2748" s="347">
        <v>249.5</v>
      </c>
      <c r="D2748" s="348">
        <v>45658</v>
      </c>
      <c r="E2748" s="348">
        <v>45992</v>
      </c>
      <c r="F2748" s="346" t="s">
        <v>644</v>
      </c>
      <c r="G2748" s="350" t="s">
        <v>503</v>
      </c>
      <c r="H2748" s="351">
        <f t="shared" si="47"/>
        <v>2994</v>
      </c>
      <c r="I2748" s="120" t="str">
        <f>IF(OR(D2748&lt;Capa!$A$5,D2748&gt;Capa!$A$7,E2748&lt;Capa!$A$5,E2748&gt;Capa!$A$7,D2748&gt;E2748),"Erro","")</f>
        <v/>
      </c>
    </row>
    <row r="2749" spans="1:9" ht="56.25">
      <c r="A2749" s="345">
        <v>2746</v>
      </c>
      <c r="B2749" s="346" t="s">
        <v>212</v>
      </c>
      <c r="C2749" s="347">
        <v>264.07</v>
      </c>
      <c r="D2749" s="348">
        <v>46023</v>
      </c>
      <c r="E2749" s="348">
        <v>46357</v>
      </c>
      <c r="F2749" s="346" t="s">
        <v>644</v>
      </c>
      <c r="G2749" s="350" t="s">
        <v>503</v>
      </c>
      <c r="H2749" s="351">
        <f t="shared" si="47"/>
        <v>3168.84</v>
      </c>
      <c r="I2749" s="120" t="str">
        <f>IF(OR(D2749&lt;Capa!$A$5,D2749&gt;Capa!$A$7,E2749&lt;Capa!$A$5,E2749&gt;Capa!$A$7,D2749&gt;E2749),"Erro","")</f>
        <v/>
      </c>
    </row>
    <row r="2750" spans="1:9" ht="56.25">
      <c r="A2750" s="345">
        <v>2747</v>
      </c>
      <c r="B2750" s="346" t="s">
        <v>212</v>
      </c>
      <c r="C2750" s="347">
        <v>279.5</v>
      </c>
      <c r="D2750" s="348">
        <v>46388</v>
      </c>
      <c r="E2750" s="348">
        <v>46722</v>
      </c>
      <c r="F2750" s="346" t="s">
        <v>644</v>
      </c>
      <c r="G2750" s="350" t="s">
        <v>503</v>
      </c>
      <c r="H2750" s="351">
        <f t="shared" si="47"/>
        <v>3354</v>
      </c>
      <c r="I2750" s="120" t="str">
        <f>IF(OR(D2750&lt;Capa!$A$5,D2750&gt;Capa!$A$7,E2750&lt;Capa!$A$5,E2750&gt;Capa!$A$7,D2750&gt;E2750),"Erro","")</f>
        <v/>
      </c>
    </row>
    <row r="2751" spans="1:9" ht="56.25">
      <c r="A2751" s="345">
        <v>2748</v>
      </c>
      <c r="B2751" s="346" t="s">
        <v>212</v>
      </c>
      <c r="C2751" s="347">
        <v>295.82</v>
      </c>
      <c r="D2751" s="348">
        <v>46753</v>
      </c>
      <c r="E2751" s="348">
        <v>47058</v>
      </c>
      <c r="F2751" s="346" t="s">
        <v>644</v>
      </c>
      <c r="G2751" s="350" t="s">
        <v>503</v>
      </c>
      <c r="H2751" s="351">
        <f t="shared" si="47"/>
        <v>3254.02</v>
      </c>
      <c r="I2751" s="120" t="str">
        <f>IF(OR(D2751&lt;Capa!$A$5,D2751&gt;Capa!$A$7,E2751&lt;Capa!$A$5,E2751&gt;Capa!$A$7,D2751&gt;E2751),"Erro","")</f>
        <v/>
      </c>
    </row>
    <row r="2752" spans="1:9" ht="45">
      <c r="A2752" s="345">
        <v>2749</v>
      </c>
      <c r="B2752" s="346" t="s">
        <v>248</v>
      </c>
      <c r="C2752" s="347">
        <v>846</v>
      </c>
      <c r="D2752" s="348">
        <v>45261</v>
      </c>
      <c r="E2752" s="348">
        <v>45444</v>
      </c>
      <c r="F2752" s="346" t="s">
        <v>644</v>
      </c>
      <c r="G2752" s="350" t="s">
        <v>441</v>
      </c>
      <c r="H2752" s="351">
        <f t="shared" si="47"/>
        <v>5922</v>
      </c>
      <c r="I2752" s="120" t="str">
        <f>IF(OR(D2752&lt;Capa!$A$5,D2752&gt;Capa!$A$7,E2752&lt;Capa!$A$5,E2752&gt;Capa!$A$7,D2752&gt;E2752),"Erro","")</f>
        <v/>
      </c>
    </row>
    <row r="2753" spans="1:9" ht="45">
      <c r="A2753" s="345">
        <v>2750</v>
      </c>
      <c r="B2753" s="346" t="s">
        <v>248</v>
      </c>
      <c r="C2753" s="347">
        <v>846</v>
      </c>
      <c r="D2753" s="348">
        <v>45658</v>
      </c>
      <c r="E2753" s="348">
        <v>45809</v>
      </c>
      <c r="F2753" s="346" t="s">
        <v>644</v>
      </c>
      <c r="G2753" s="350" t="s">
        <v>441</v>
      </c>
      <c r="H2753" s="351">
        <f t="shared" si="47"/>
        <v>5076</v>
      </c>
      <c r="I2753" s="120" t="str">
        <f>IF(OR(D2753&lt;Capa!$A$5,D2753&gt;Capa!$A$7,E2753&lt;Capa!$A$5,E2753&gt;Capa!$A$7,D2753&gt;E2753),"Erro","")</f>
        <v/>
      </c>
    </row>
    <row r="2754" spans="1:9" ht="45">
      <c r="A2754" s="345">
        <v>2751</v>
      </c>
      <c r="B2754" s="346" t="s">
        <v>248</v>
      </c>
      <c r="C2754" s="347">
        <v>846</v>
      </c>
      <c r="D2754" s="348">
        <v>46023</v>
      </c>
      <c r="E2754" s="348">
        <v>46174</v>
      </c>
      <c r="F2754" s="346" t="s">
        <v>644</v>
      </c>
      <c r="G2754" s="350" t="s">
        <v>441</v>
      </c>
      <c r="H2754" s="351">
        <f t="shared" si="47"/>
        <v>5076</v>
      </c>
      <c r="I2754" s="120" t="str">
        <f>IF(OR(D2754&lt;Capa!$A$5,D2754&gt;Capa!$A$7,E2754&lt;Capa!$A$5,E2754&gt;Capa!$A$7,D2754&gt;E2754),"Erro","")</f>
        <v/>
      </c>
    </row>
    <row r="2755" spans="1:9" ht="45">
      <c r="A2755" s="345">
        <v>2752</v>
      </c>
      <c r="B2755" s="346" t="s">
        <v>248</v>
      </c>
      <c r="C2755" s="347">
        <v>846</v>
      </c>
      <c r="D2755" s="348">
        <v>46388</v>
      </c>
      <c r="E2755" s="348">
        <v>46539</v>
      </c>
      <c r="F2755" s="346" t="s">
        <v>644</v>
      </c>
      <c r="G2755" s="350" t="s">
        <v>441</v>
      </c>
      <c r="H2755" s="351">
        <f t="shared" si="47"/>
        <v>5076</v>
      </c>
      <c r="I2755" s="120" t="str">
        <f>IF(OR(D2755&lt;Capa!$A$5,D2755&gt;Capa!$A$7,E2755&lt;Capa!$A$5,E2755&gt;Capa!$A$7,D2755&gt;E2755),"Erro","")</f>
        <v/>
      </c>
    </row>
    <row r="2756" spans="1:9" ht="45">
      <c r="A2756" s="345">
        <v>2753</v>
      </c>
      <c r="B2756" s="346" t="s">
        <v>248</v>
      </c>
      <c r="C2756" s="347">
        <v>846</v>
      </c>
      <c r="D2756" s="348">
        <v>46753</v>
      </c>
      <c r="E2756" s="348">
        <v>46905</v>
      </c>
      <c r="F2756" s="346" t="s">
        <v>644</v>
      </c>
      <c r="G2756" s="350" t="s">
        <v>441</v>
      </c>
      <c r="H2756" s="351">
        <f t="shared" si="47"/>
        <v>5076</v>
      </c>
      <c r="I2756" s="120" t="str">
        <f>IF(OR(D2756&lt;Capa!$A$5,D2756&gt;Capa!$A$7,E2756&lt;Capa!$A$5,E2756&gt;Capa!$A$7,D2756&gt;E2756),"Erro","")</f>
        <v/>
      </c>
    </row>
    <row r="2757" spans="1:9" ht="33.75">
      <c r="A2757" s="345">
        <v>2754</v>
      </c>
      <c r="B2757" s="346" t="s">
        <v>266</v>
      </c>
      <c r="C2757" s="347">
        <v>600</v>
      </c>
      <c r="D2757" s="348">
        <v>45658</v>
      </c>
      <c r="E2757" s="348">
        <v>45717</v>
      </c>
      <c r="F2757" s="346" t="s">
        <v>644</v>
      </c>
      <c r="G2757" s="350" t="s">
        <v>442</v>
      </c>
      <c r="H2757" s="351">
        <f t="shared" si="47"/>
        <v>1800</v>
      </c>
      <c r="I2757" s="120" t="str">
        <f>IF(OR(D2757&lt;Capa!$A$5,D2757&gt;Capa!$A$7,E2757&lt;Capa!$A$5,E2757&gt;Capa!$A$7,D2757&gt;E2757),"Erro","")</f>
        <v/>
      </c>
    </row>
    <row r="2758" spans="1:9" ht="33.75">
      <c r="A2758" s="345">
        <v>2755</v>
      </c>
      <c r="B2758" s="346" t="s">
        <v>266</v>
      </c>
      <c r="C2758" s="347">
        <v>600</v>
      </c>
      <c r="D2758" s="348">
        <v>46023</v>
      </c>
      <c r="E2758" s="348">
        <v>46082</v>
      </c>
      <c r="F2758" s="346" t="s">
        <v>644</v>
      </c>
      <c r="G2758" s="350" t="s">
        <v>442</v>
      </c>
      <c r="H2758" s="351">
        <f t="shared" si="47"/>
        <v>1800</v>
      </c>
      <c r="I2758" s="120" t="str">
        <f>IF(OR(D2758&lt;Capa!$A$5,D2758&gt;Capa!$A$7,E2758&lt;Capa!$A$5,E2758&gt;Capa!$A$7,D2758&gt;E2758),"Erro","")</f>
        <v/>
      </c>
    </row>
    <row r="2759" spans="1:9" ht="33.75">
      <c r="A2759" s="345">
        <v>2756</v>
      </c>
      <c r="B2759" s="346" t="s">
        <v>266</v>
      </c>
      <c r="C2759" s="347">
        <v>600</v>
      </c>
      <c r="D2759" s="348">
        <v>46388</v>
      </c>
      <c r="E2759" s="348">
        <v>46447</v>
      </c>
      <c r="F2759" s="346" t="s">
        <v>644</v>
      </c>
      <c r="G2759" s="350" t="s">
        <v>442</v>
      </c>
      <c r="H2759" s="351">
        <f t="shared" si="47"/>
        <v>1800</v>
      </c>
      <c r="I2759" s="120" t="str">
        <f>IF(OR(D2759&lt;Capa!$A$5,D2759&gt;Capa!$A$7,E2759&lt;Capa!$A$5,E2759&gt;Capa!$A$7,D2759&gt;E2759),"Erro","")</f>
        <v/>
      </c>
    </row>
    <row r="2760" spans="1:9" ht="33.75">
      <c r="A2760" s="345">
        <v>2757</v>
      </c>
      <c r="B2760" s="346" t="s">
        <v>266</v>
      </c>
      <c r="C2760" s="347">
        <v>600</v>
      </c>
      <c r="D2760" s="348">
        <v>46753</v>
      </c>
      <c r="E2760" s="348">
        <v>46813</v>
      </c>
      <c r="F2760" s="346" t="s">
        <v>644</v>
      </c>
      <c r="G2760" s="350" t="s">
        <v>442</v>
      </c>
      <c r="H2760" s="351">
        <f t="shared" si="47"/>
        <v>1800</v>
      </c>
      <c r="I2760" s="120" t="str">
        <f>IF(OR(D2760&lt;Capa!$A$5,D2760&gt;Capa!$A$7,E2760&lt;Capa!$A$5,E2760&gt;Capa!$A$7,D2760&gt;E2760),"Erro","")</f>
        <v/>
      </c>
    </row>
    <row r="2761" spans="1:9" ht="22.5">
      <c r="A2761" s="345">
        <v>2758</v>
      </c>
      <c r="B2761" s="346" t="s">
        <v>274</v>
      </c>
      <c r="C2761" s="347">
        <v>1100</v>
      </c>
      <c r="D2761" s="348">
        <v>45261</v>
      </c>
      <c r="E2761" s="348">
        <v>45627</v>
      </c>
      <c r="F2761" s="346" t="s">
        <v>644</v>
      </c>
      <c r="G2761" s="350" t="s">
        <v>443</v>
      </c>
      <c r="H2761" s="351">
        <f t="shared" si="47"/>
        <v>14300</v>
      </c>
      <c r="I2761" s="120" t="str">
        <f>IF(OR(D2761&lt;Capa!$A$5,D2761&gt;Capa!$A$7,E2761&lt;Capa!$A$5,E2761&gt;Capa!$A$7,D2761&gt;E2761),"Erro","")</f>
        <v/>
      </c>
    </row>
    <row r="2762" spans="1:9" ht="22.5">
      <c r="A2762" s="345">
        <v>2759</v>
      </c>
      <c r="B2762" s="346" t="s">
        <v>274</v>
      </c>
      <c r="C2762" s="347">
        <v>1164.24</v>
      </c>
      <c r="D2762" s="348">
        <v>45658</v>
      </c>
      <c r="E2762" s="348">
        <v>45992</v>
      </c>
      <c r="F2762" s="346" t="s">
        <v>644</v>
      </c>
      <c r="G2762" s="350" t="s">
        <v>443</v>
      </c>
      <c r="H2762" s="351">
        <f t="shared" si="47"/>
        <v>13970.880000000001</v>
      </c>
      <c r="I2762" s="120" t="str">
        <f>IF(OR(D2762&lt;Capa!$A$5,D2762&gt;Capa!$A$7,E2762&lt;Capa!$A$5,E2762&gt;Capa!$A$7,D2762&gt;E2762),"Erro","")</f>
        <v/>
      </c>
    </row>
    <row r="2763" spans="1:9" ht="22.5">
      <c r="A2763" s="345">
        <v>2760</v>
      </c>
      <c r="B2763" s="346" t="s">
        <v>274</v>
      </c>
      <c r="C2763" s="347">
        <v>1232.23</v>
      </c>
      <c r="D2763" s="348">
        <v>46023</v>
      </c>
      <c r="E2763" s="348">
        <v>46357</v>
      </c>
      <c r="F2763" s="346" t="s">
        <v>644</v>
      </c>
      <c r="G2763" s="350" t="s">
        <v>443</v>
      </c>
      <c r="H2763" s="351">
        <f t="shared" si="47"/>
        <v>14786.76</v>
      </c>
      <c r="I2763" s="120" t="str">
        <f>IF(OR(D2763&lt;Capa!$A$5,D2763&gt;Capa!$A$7,E2763&lt;Capa!$A$5,E2763&gt;Capa!$A$7,D2763&gt;E2763),"Erro","")</f>
        <v/>
      </c>
    </row>
    <row r="2764" spans="1:9" ht="22.5">
      <c r="A2764" s="345">
        <v>2761</v>
      </c>
      <c r="B2764" s="346" t="s">
        <v>274</v>
      </c>
      <c r="C2764" s="347">
        <v>1304.19</v>
      </c>
      <c r="D2764" s="348">
        <v>46388</v>
      </c>
      <c r="E2764" s="348">
        <v>46722</v>
      </c>
      <c r="F2764" s="346" t="s">
        <v>644</v>
      </c>
      <c r="G2764" s="350" t="s">
        <v>443</v>
      </c>
      <c r="H2764" s="351">
        <f t="shared" si="47"/>
        <v>15650.28</v>
      </c>
      <c r="I2764" s="120" t="str">
        <f>IF(OR(D2764&lt;Capa!$A$5,D2764&gt;Capa!$A$7,E2764&lt;Capa!$A$5,E2764&gt;Capa!$A$7,D2764&gt;E2764),"Erro","")</f>
        <v/>
      </c>
    </row>
    <row r="2765" spans="1:9" ht="22.5">
      <c r="A2765" s="345">
        <v>2762</v>
      </c>
      <c r="B2765" s="346" t="s">
        <v>274</v>
      </c>
      <c r="C2765" s="347">
        <v>1380.35</v>
      </c>
      <c r="D2765" s="348">
        <v>46753</v>
      </c>
      <c r="E2765" s="348">
        <v>47058</v>
      </c>
      <c r="F2765" s="346" t="s">
        <v>644</v>
      </c>
      <c r="G2765" s="350" t="s">
        <v>443</v>
      </c>
      <c r="H2765" s="351">
        <f t="shared" si="47"/>
        <v>15183.849999999999</v>
      </c>
      <c r="I2765" s="120" t="str">
        <f>IF(OR(D2765&lt;Capa!$A$5,D2765&gt;Capa!$A$7,E2765&lt;Capa!$A$5,E2765&gt;Capa!$A$7,D2765&gt;E2765),"Erro","")</f>
        <v/>
      </c>
    </row>
    <row r="2766" spans="1:9" ht="56.25">
      <c r="A2766" s="345">
        <v>2763</v>
      </c>
      <c r="B2766" s="346" t="s">
        <v>236</v>
      </c>
      <c r="C2766" s="347">
        <v>690.19</v>
      </c>
      <c r="D2766" s="348">
        <v>45292</v>
      </c>
      <c r="E2766" s="348">
        <v>45627</v>
      </c>
      <c r="F2766" s="346" t="s">
        <v>644</v>
      </c>
      <c r="G2766" s="350" t="s">
        <v>444</v>
      </c>
      <c r="H2766" s="351">
        <f t="shared" si="47"/>
        <v>8282.2800000000007</v>
      </c>
      <c r="I2766" s="120" t="str">
        <f>IF(OR(D2766&lt;Capa!$A$5,D2766&gt;Capa!$A$7,E2766&lt;Capa!$A$5,E2766&gt;Capa!$A$7,D2766&gt;E2766),"Erro","")</f>
        <v/>
      </c>
    </row>
    <row r="2767" spans="1:9" ht="56.25">
      <c r="A2767" s="345">
        <v>2764</v>
      </c>
      <c r="B2767" s="346" t="s">
        <v>236</v>
      </c>
      <c r="C2767" s="347">
        <v>760.49</v>
      </c>
      <c r="D2767" s="348">
        <v>45658</v>
      </c>
      <c r="E2767" s="348">
        <v>45992</v>
      </c>
      <c r="F2767" s="346" t="s">
        <v>644</v>
      </c>
      <c r="G2767" s="350" t="s">
        <v>444</v>
      </c>
      <c r="H2767" s="351">
        <f t="shared" si="47"/>
        <v>9125.880000000001</v>
      </c>
      <c r="I2767" s="120" t="str">
        <f>IF(OR(D2767&lt;Capa!$A$5,D2767&gt;Capa!$A$7,E2767&lt;Capa!$A$5,E2767&gt;Capa!$A$7,D2767&gt;E2767),"Erro","")</f>
        <v/>
      </c>
    </row>
    <row r="2768" spans="1:9" ht="56.25">
      <c r="A2768" s="345">
        <v>2765</v>
      </c>
      <c r="B2768" s="346" t="s">
        <v>236</v>
      </c>
      <c r="C2768" s="347">
        <v>773.16</v>
      </c>
      <c r="D2768" s="348">
        <v>46023</v>
      </c>
      <c r="E2768" s="348">
        <v>46357</v>
      </c>
      <c r="F2768" s="346" t="s">
        <v>644</v>
      </c>
      <c r="G2768" s="350" t="s">
        <v>444</v>
      </c>
      <c r="H2768" s="351">
        <f t="shared" si="47"/>
        <v>9277.92</v>
      </c>
      <c r="I2768" s="120" t="str">
        <f>IF(OR(D2768&lt;Capa!$A$5,D2768&gt;Capa!$A$7,E2768&lt;Capa!$A$5,E2768&gt;Capa!$A$7,D2768&gt;E2768),"Erro","")</f>
        <v/>
      </c>
    </row>
    <row r="2769" spans="1:9" ht="56.25">
      <c r="A2769" s="345">
        <v>2766</v>
      </c>
      <c r="B2769" s="346" t="s">
        <v>236</v>
      </c>
      <c r="C2769" s="347">
        <v>818.31</v>
      </c>
      <c r="D2769" s="348">
        <v>46388</v>
      </c>
      <c r="E2769" s="348">
        <v>46722</v>
      </c>
      <c r="F2769" s="346" t="s">
        <v>644</v>
      </c>
      <c r="G2769" s="350" t="s">
        <v>444</v>
      </c>
      <c r="H2769" s="351">
        <f t="shared" si="47"/>
        <v>9819.7199999999993</v>
      </c>
      <c r="I2769" s="120" t="str">
        <f>IF(OR(D2769&lt;Capa!$A$5,D2769&gt;Capa!$A$7,E2769&lt;Capa!$A$5,E2769&gt;Capa!$A$7,D2769&gt;E2769),"Erro","")</f>
        <v/>
      </c>
    </row>
    <row r="2770" spans="1:9" ht="56.25">
      <c r="A2770" s="345">
        <v>2767</v>
      </c>
      <c r="B2770" s="346" t="s">
        <v>236</v>
      </c>
      <c r="C2770" s="347">
        <v>866.09</v>
      </c>
      <c r="D2770" s="348">
        <v>46753</v>
      </c>
      <c r="E2770" s="348">
        <v>47058</v>
      </c>
      <c r="F2770" s="346" t="s">
        <v>644</v>
      </c>
      <c r="G2770" s="350" t="s">
        <v>444</v>
      </c>
      <c r="H2770" s="351">
        <f t="shared" si="47"/>
        <v>9526.99</v>
      </c>
      <c r="I2770" s="120" t="str">
        <f>IF(OR(D2770&lt;Capa!$A$5,D2770&gt;Capa!$A$7,E2770&lt;Capa!$A$5,E2770&gt;Capa!$A$7,D2770&gt;E2770),"Erro","")</f>
        <v/>
      </c>
    </row>
    <row r="2771" spans="1:9" ht="33.75">
      <c r="A2771" s="345">
        <v>2768</v>
      </c>
      <c r="B2771" s="346" t="s">
        <v>240</v>
      </c>
      <c r="C2771" s="347">
        <v>50</v>
      </c>
      <c r="D2771" s="348">
        <v>45292</v>
      </c>
      <c r="E2771" s="348">
        <v>45627</v>
      </c>
      <c r="F2771" s="346" t="s">
        <v>644</v>
      </c>
      <c r="G2771" s="350" t="s">
        <v>445</v>
      </c>
      <c r="H2771" s="351">
        <f t="shared" si="47"/>
        <v>600</v>
      </c>
      <c r="I2771" s="120" t="str">
        <f>IF(OR(D2771&lt;Capa!$A$5,D2771&gt;Capa!$A$7,E2771&lt;Capa!$A$5,E2771&gt;Capa!$A$7,D2771&gt;E2771),"Erro","")</f>
        <v/>
      </c>
    </row>
    <row r="2772" spans="1:9" ht="33.75">
      <c r="A2772" s="345">
        <v>2769</v>
      </c>
      <c r="B2772" s="346" t="s">
        <v>240</v>
      </c>
      <c r="C2772" s="347">
        <v>50</v>
      </c>
      <c r="D2772" s="348">
        <v>45658</v>
      </c>
      <c r="E2772" s="348">
        <v>45992</v>
      </c>
      <c r="F2772" s="346" t="s">
        <v>644</v>
      </c>
      <c r="G2772" s="350" t="s">
        <v>445</v>
      </c>
      <c r="H2772" s="351">
        <f t="shared" si="47"/>
        <v>600</v>
      </c>
      <c r="I2772" s="120" t="str">
        <f>IF(OR(D2772&lt;Capa!$A$5,D2772&gt;Capa!$A$7,E2772&lt;Capa!$A$5,E2772&gt;Capa!$A$7,D2772&gt;E2772),"Erro","")</f>
        <v/>
      </c>
    </row>
    <row r="2773" spans="1:9" ht="33.75">
      <c r="A2773" s="345">
        <v>2770</v>
      </c>
      <c r="B2773" s="346" t="s">
        <v>240</v>
      </c>
      <c r="C2773" s="347">
        <v>50</v>
      </c>
      <c r="D2773" s="348">
        <v>46023</v>
      </c>
      <c r="E2773" s="348">
        <v>46357</v>
      </c>
      <c r="F2773" s="346" t="s">
        <v>644</v>
      </c>
      <c r="G2773" s="350" t="s">
        <v>445</v>
      </c>
      <c r="H2773" s="351">
        <f t="shared" si="47"/>
        <v>600</v>
      </c>
      <c r="I2773" s="120" t="str">
        <f>IF(OR(D2773&lt;Capa!$A$5,D2773&gt;Capa!$A$7,E2773&lt;Capa!$A$5,E2773&gt;Capa!$A$7,D2773&gt;E2773),"Erro","")</f>
        <v/>
      </c>
    </row>
    <row r="2774" spans="1:9" ht="33.75">
      <c r="A2774" s="345">
        <v>2771</v>
      </c>
      <c r="B2774" s="346" t="s">
        <v>240</v>
      </c>
      <c r="C2774" s="347">
        <v>50</v>
      </c>
      <c r="D2774" s="348">
        <v>46388</v>
      </c>
      <c r="E2774" s="348">
        <v>46722</v>
      </c>
      <c r="F2774" s="346" t="s">
        <v>644</v>
      </c>
      <c r="G2774" s="350" t="s">
        <v>445</v>
      </c>
      <c r="H2774" s="351">
        <f t="shared" si="47"/>
        <v>600</v>
      </c>
      <c r="I2774" s="120" t="str">
        <f>IF(OR(D2774&lt;Capa!$A$5,D2774&gt;Capa!$A$7,E2774&lt;Capa!$A$5,E2774&gt;Capa!$A$7,D2774&gt;E2774),"Erro","")</f>
        <v/>
      </c>
    </row>
    <row r="2775" spans="1:9" ht="33.75">
      <c r="A2775" s="345">
        <v>2772</v>
      </c>
      <c r="B2775" s="346" t="s">
        <v>240</v>
      </c>
      <c r="C2775" s="347">
        <v>50</v>
      </c>
      <c r="D2775" s="348">
        <v>46753</v>
      </c>
      <c r="E2775" s="348">
        <v>47058</v>
      </c>
      <c r="F2775" s="346" t="s">
        <v>644</v>
      </c>
      <c r="G2775" s="350" t="s">
        <v>445</v>
      </c>
      <c r="H2775" s="351">
        <f t="shared" si="47"/>
        <v>550</v>
      </c>
      <c r="I2775" s="120" t="str">
        <f>IF(OR(D2775&lt;Capa!$A$5,D2775&gt;Capa!$A$7,E2775&lt;Capa!$A$5,E2775&gt;Capa!$A$7,D2775&gt;E2775),"Erro","")</f>
        <v/>
      </c>
    </row>
    <row r="2776" spans="1:9" ht="45">
      <c r="A2776" s="345">
        <v>2773</v>
      </c>
      <c r="B2776" s="346" t="s">
        <v>244</v>
      </c>
      <c r="C2776" s="347">
        <v>250</v>
      </c>
      <c r="D2776" s="348">
        <v>45261</v>
      </c>
      <c r="E2776" s="348">
        <v>45627</v>
      </c>
      <c r="F2776" s="346" t="s">
        <v>644</v>
      </c>
      <c r="G2776" s="350" t="s">
        <v>446</v>
      </c>
      <c r="H2776" s="351">
        <f t="shared" si="47"/>
        <v>3250</v>
      </c>
      <c r="I2776" s="120" t="str">
        <f>IF(OR(D2776&lt;Capa!$A$5,D2776&gt;Capa!$A$7,E2776&lt;Capa!$A$5,E2776&gt;Capa!$A$7,D2776&gt;E2776),"Erro","")</f>
        <v/>
      </c>
    </row>
    <row r="2777" spans="1:9" ht="45">
      <c r="A2777" s="345">
        <v>2774</v>
      </c>
      <c r="B2777" s="346" t="s">
        <v>244</v>
      </c>
      <c r="C2777" s="347">
        <v>300</v>
      </c>
      <c r="D2777" s="348">
        <v>45658</v>
      </c>
      <c r="E2777" s="348">
        <v>45992</v>
      </c>
      <c r="F2777" s="346" t="s">
        <v>644</v>
      </c>
      <c r="G2777" s="350" t="s">
        <v>446</v>
      </c>
      <c r="H2777" s="351">
        <f t="shared" si="47"/>
        <v>3600</v>
      </c>
      <c r="I2777" s="120" t="str">
        <f>IF(OR(D2777&lt;Capa!$A$5,D2777&gt;Capa!$A$7,E2777&lt;Capa!$A$5,E2777&gt;Capa!$A$7,D2777&gt;E2777),"Erro","")</f>
        <v/>
      </c>
    </row>
    <row r="2778" spans="1:9" ht="45">
      <c r="A2778" s="345">
        <v>2775</v>
      </c>
      <c r="B2778" s="346" t="s">
        <v>244</v>
      </c>
      <c r="C2778" s="347">
        <v>300</v>
      </c>
      <c r="D2778" s="348">
        <v>46023</v>
      </c>
      <c r="E2778" s="348">
        <v>46357</v>
      </c>
      <c r="F2778" s="346" t="s">
        <v>644</v>
      </c>
      <c r="G2778" s="350" t="s">
        <v>446</v>
      </c>
      <c r="H2778" s="351">
        <f t="shared" si="47"/>
        <v>3600</v>
      </c>
      <c r="I2778" s="120" t="str">
        <f>IF(OR(D2778&lt;Capa!$A$5,D2778&gt;Capa!$A$7,E2778&lt;Capa!$A$5,E2778&gt;Capa!$A$7,D2778&gt;E2778),"Erro","")</f>
        <v/>
      </c>
    </row>
    <row r="2779" spans="1:9" ht="45">
      <c r="A2779" s="345">
        <v>2776</v>
      </c>
      <c r="B2779" s="346" t="s">
        <v>244</v>
      </c>
      <c r="C2779" s="347">
        <v>350</v>
      </c>
      <c r="D2779" s="348">
        <v>46388</v>
      </c>
      <c r="E2779" s="348">
        <v>46722</v>
      </c>
      <c r="F2779" s="346" t="s">
        <v>644</v>
      </c>
      <c r="G2779" s="350" t="s">
        <v>446</v>
      </c>
      <c r="H2779" s="351">
        <f t="shared" si="47"/>
        <v>4200</v>
      </c>
      <c r="I2779" s="120" t="str">
        <f>IF(OR(D2779&lt;Capa!$A$5,D2779&gt;Capa!$A$7,E2779&lt;Capa!$A$5,E2779&gt;Capa!$A$7,D2779&gt;E2779),"Erro","")</f>
        <v/>
      </c>
    </row>
    <row r="2780" spans="1:9" ht="45">
      <c r="A2780" s="345">
        <v>2777</v>
      </c>
      <c r="B2780" s="346" t="s">
        <v>244</v>
      </c>
      <c r="C2780" s="347">
        <v>350</v>
      </c>
      <c r="D2780" s="348">
        <v>46753</v>
      </c>
      <c r="E2780" s="348">
        <v>47058</v>
      </c>
      <c r="F2780" s="346" t="s">
        <v>644</v>
      </c>
      <c r="G2780" s="350" t="s">
        <v>446</v>
      </c>
      <c r="H2780" s="351">
        <f t="shared" si="47"/>
        <v>3850</v>
      </c>
      <c r="I2780" s="120" t="str">
        <f>IF(OR(D2780&lt;Capa!$A$5,D2780&gt;Capa!$A$7,E2780&lt;Capa!$A$5,E2780&gt;Capa!$A$7,D2780&gt;E2780),"Erro","")</f>
        <v/>
      </c>
    </row>
    <row r="2781" spans="1:9" ht="33.75">
      <c r="A2781" s="345">
        <v>2778</v>
      </c>
      <c r="B2781" s="346" t="s">
        <v>246</v>
      </c>
      <c r="C2781" s="347">
        <v>275.18</v>
      </c>
      <c r="D2781" s="348">
        <v>45658</v>
      </c>
      <c r="E2781" s="348">
        <v>45992</v>
      </c>
      <c r="F2781" s="346" t="s">
        <v>644</v>
      </c>
      <c r="G2781" s="350" t="s">
        <v>447</v>
      </c>
      <c r="H2781" s="351">
        <f t="shared" si="47"/>
        <v>3302.16</v>
      </c>
      <c r="I2781" s="120" t="str">
        <f>IF(OR(D2781&lt;Capa!$A$5,D2781&gt;Capa!$A$7,E2781&lt;Capa!$A$5,E2781&gt;Capa!$A$7,D2781&gt;E2781),"Erro","")</f>
        <v/>
      </c>
    </row>
    <row r="2782" spans="1:9" ht="33.75">
      <c r="A2782" s="345">
        <v>2779</v>
      </c>
      <c r="B2782" s="346" t="s">
        <v>246</v>
      </c>
      <c r="C2782" s="347">
        <v>291.25</v>
      </c>
      <c r="D2782" s="348">
        <v>46023</v>
      </c>
      <c r="E2782" s="348">
        <v>46357</v>
      </c>
      <c r="F2782" s="346" t="s">
        <v>644</v>
      </c>
      <c r="G2782" s="350" t="s">
        <v>447</v>
      </c>
      <c r="H2782" s="351">
        <f t="shared" si="47"/>
        <v>3495</v>
      </c>
      <c r="I2782" s="120" t="str">
        <f>IF(OR(D2782&lt;Capa!$A$5,D2782&gt;Capa!$A$7,E2782&lt;Capa!$A$5,E2782&gt;Capa!$A$7,D2782&gt;E2782),"Erro","")</f>
        <v/>
      </c>
    </row>
    <row r="2783" spans="1:9" ht="33.75">
      <c r="A2783" s="345">
        <v>2780</v>
      </c>
      <c r="B2783" s="346" t="s">
        <v>246</v>
      </c>
      <c r="C2783" s="347">
        <v>308.26</v>
      </c>
      <c r="D2783" s="348">
        <v>46388</v>
      </c>
      <c r="E2783" s="348">
        <v>46722</v>
      </c>
      <c r="F2783" s="346" t="s">
        <v>644</v>
      </c>
      <c r="G2783" s="350" t="s">
        <v>447</v>
      </c>
      <c r="H2783" s="351">
        <f t="shared" si="47"/>
        <v>3699.12</v>
      </c>
      <c r="I2783" s="120" t="str">
        <f>IF(OR(D2783&lt;Capa!$A$5,D2783&gt;Capa!$A$7,E2783&lt;Capa!$A$5,E2783&gt;Capa!$A$7,D2783&gt;E2783),"Erro","")</f>
        <v/>
      </c>
    </row>
    <row r="2784" spans="1:9" ht="33.75">
      <c r="A2784" s="345">
        <v>2781</v>
      </c>
      <c r="B2784" s="346" t="s">
        <v>246</v>
      </c>
      <c r="C2784" s="347">
        <v>326.26</v>
      </c>
      <c r="D2784" s="348">
        <v>46753</v>
      </c>
      <c r="E2784" s="348">
        <v>47058</v>
      </c>
      <c r="F2784" s="346" t="s">
        <v>644</v>
      </c>
      <c r="G2784" s="350" t="s">
        <v>447</v>
      </c>
      <c r="H2784" s="351">
        <f t="shared" si="47"/>
        <v>3588.8599999999997</v>
      </c>
      <c r="I2784" s="120" t="str">
        <f>IF(OR(D2784&lt;Capa!$A$5,D2784&gt;Capa!$A$7,E2784&lt;Capa!$A$5,E2784&gt;Capa!$A$7,D2784&gt;E2784),"Erro","")</f>
        <v/>
      </c>
    </row>
    <row r="2785" spans="1:9" ht="33.75">
      <c r="A2785" s="345">
        <v>2782</v>
      </c>
      <c r="B2785" s="346" t="s">
        <v>258</v>
      </c>
      <c r="C2785" s="347">
        <v>193.77</v>
      </c>
      <c r="D2785" s="348">
        <v>45261</v>
      </c>
      <c r="E2785" s="348">
        <v>45627</v>
      </c>
      <c r="F2785" s="346" t="s">
        <v>644</v>
      </c>
      <c r="G2785" s="350" t="s">
        <v>448</v>
      </c>
      <c r="H2785" s="351">
        <f t="shared" si="47"/>
        <v>2519.0100000000002</v>
      </c>
      <c r="I2785" s="120" t="str">
        <f>IF(OR(D2785&lt;Capa!$A$5,D2785&gt;Capa!$A$7,E2785&lt;Capa!$A$5,E2785&gt;Capa!$A$7,D2785&gt;E2785),"Erro","")</f>
        <v/>
      </c>
    </row>
    <row r="2786" spans="1:9" ht="33.75">
      <c r="A2786" s="345">
        <v>2783</v>
      </c>
      <c r="B2786" s="346" t="s">
        <v>258</v>
      </c>
      <c r="C2786" s="347">
        <v>205.08</v>
      </c>
      <c r="D2786" s="348">
        <v>45658</v>
      </c>
      <c r="E2786" s="348">
        <v>45992</v>
      </c>
      <c r="F2786" s="346" t="s">
        <v>644</v>
      </c>
      <c r="G2786" s="350" t="s">
        <v>448</v>
      </c>
      <c r="H2786" s="351">
        <f t="shared" si="47"/>
        <v>2460.96</v>
      </c>
      <c r="I2786" s="120" t="str">
        <f>IF(OR(D2786&lt;Capa!$A$5,D2786&gt;Capa!$A$7,E2786&lt;Capa!$A$5,E2786&gt;Capa!$A$7,D2786&gt;E2786),"Erro","")</f>
        <v/>
      </c>
    </row>
    <row r="2787" spans="1:9" ht="33.75">
      <c r="A2787" s="345">
        <v>2784</v>
      </c>
      <c r="B2787" s="346" t="s">
        <v>258</v>
      </c>
      <c r="C2787" s="347">
        <v>217.06</v>
      </c>
      <c r="D2787" s="348">
        <v>46023</v>
      </c>
      <c r="E2787" s="348">
        <v>46357</v>
      </c>
      <c r="F2787" s="346" t="s">
        <v>644</v>
      </c>
      <c r="G2787" s="350" t="s">
        <v>448</v>
      </c>
      <c r="H2787" s="351">
        <f t="shared" si="47"/>
        <v>2604.7200000000003</v>
      </c>
      <c r="I2787" s="120" t="str">
        <f>IF(OR(D2787&lt;Capa!$A$5,D2787&gt;Capa!$A$7,E2787&lt;Capa!$A$5,E2787&gt;Capa!$A$7,D2787&gt;E2787),"Erro","")</f>
        <v/>
      </c>
    </row>
    <row r="2788" spans="1:9" ht="33.75">
      <c r="A2788" s="345">
        <v>2785</v>
      </c>
      <c r="B2788" s="346" t="s">
        <v>258</v>
      </c>
      <c r="C2788" s="347">
        <v>229.74</v>
      </c>
      <c r="D2788" s="348">
        <v>46388</v>
      </c>
      <c r="E2788" s="348">
        <v>46722</v>
      </c>
      <c r="F2788" s="346" t="s">
        <v>644</v>
      </c>
      <c r="G2788" s="350" t="s">
        <v>448</v>
      </c>
      <c r="H2788" s="351">
        <f t="shared" si="47"/>
        <v>2756.88</v>
      </c>
      <c r="I2788" s="120" t="str">
        <f>IF(OR(D2788&lt;Capa!$A$5,D2788&gt;Capa!$A$7,E2788&lt;Capa!$A$5,E2788&gt;Capa!$A$7,D2788&gt;E2788),"Erro","")</f>
        <v/>
      </c>
    </row>
    <row r="2789" spans="1:9" ht="33.75">
      <c r="A2789" s="345">
        <v>2786</v>
      </c>
      <c r="B2789" s="346" t="s">
        <v>258</v>
      </c>
      <c r="C2789" s="347">
        <v>243.16</v>
      </c>
      <c r="D2789" s="348">
        <v>46753</v>
      </c>
      <c r="E2789" s="348">
        <v>47058</v>
      </c>
      <c r="F2789" s="346" t="s">
        <v>644</v>
      </c>
      <c r="G2789" s="350" t="s">
        <v>448</v>
      </c>
      <c r="H2789" s="351">
        <f t="shared" si="47"/>
        <v>2674.7599999999998</v>
      </c>
      <c r="I2789" s="120" t="str">
        <f>IF(OR(D2789&lt;Capa!$A$5,D2789&gt;Capa!$A$7,E2789&lt;Capa!$A$5,E2789&gt;Capa!$A$7,D2789&gt;E2789),"Erro","")</f>
        <v/>
      </c>
    </row>
    <row r="2790" spans="1:9" ht="56.25">
      <c r="A2790" s="345">
        <v>2787</v>
      </c>
      <c r="B2790" s="346" t="s">
        <v>276</v>
      </c>
      <c r="C2790" s="347">
        <v>670</v>
      </c>
      <c r="D2790" s="348">
        <v>45658</v>
      </c>
      <c r="E2790" s="348">
        <v>45992</v>
      </c>
      <c r="F2790" s="346" t="s">
        <v>644</v>
      </c>
      <c r="G2790" s="350" t="s">
        <v>449</v>
      </c>
      <c r="H2790" s="351">
        <f t="shared" si="47"/>
        <v>8040</v>
      </c>
      <c r="I2790" s="120" t="str">
        <f>IF(OR(D2790&lt;Capa!$A$5,D2790&gt;Capa!$A$7,E2790&lt;Capa!$A$5,E2790&gt;Capa!$A$7,D2790&gt;E2790),"Erro","")</f>
        <v/>
      </c>
    </row>
    <row r="2791" spans="1:9" ht="56.25">
      <c r="A2791" s="345">
        <v>2788</v>
      </c>
      <c r="B2791" s="346" t="s">
        <v>276</v>
      </c>
      <c r="C2791" s="347">
        <v>670</v>
      </c>
      <c r="D2791" s="348">
        <v>46023</v>
      </c>
      <c r="E2791" s="348">
        <v>46357</v>
      </c>
      <c r="F2791" s="346" t="s">
        <v>644</v>
      </c>
      <c r="G2791" s="350" t="s">
        <v>449</v>
      </c>
      <c r="H2791" s="351">
        <f t="shared" si="47"/>
        <v>8040</v>
      </c>
      <c r="I2791" s="120" t="str">
        <f>IF(OR(D2791&lt;Capa!$A$5,D2791&gt;Capa!$A$7,E2791&lt;Capa!$A$5,E2791&gt;Capa!$A$7,D2791&gt;E2791),"Erro","")</f>
        <v/>
      </c>
    </row>
    <row r="2792" spans="1:9" ht="56.25">
      <c r="A2792" s="345">
        <v>2789</v>
      </c>
      <c r="B2792" s="346" t="s">
        <v>276</v>
      </c>
      <c r="C2792" s="347">
        <v>670</v>
      </c>
      <c r="D2792" s="348">
        <v>46388</v>
      </c>
      <c r="E2792" s="348">
        <v>46722</v>
      </c>
      <c r="F2792" s="346" t="s">
        <v>644</v>
      </c>
      <c r="G2792" s="350" t="s">
        <v>449</v>
      </c>
      <c r="H2792" s="351">
        <f t="shared" si="47"/>
        <v>8040</v>
      </c>
      <c r="I2792" s="120" t="str">
        <f>IF(OR(D2792&lt;Capa!$A$5,D2792&gt;Capa!$A$7,E2792&lt;Capa!$A$5,E2792&gt;Capa!$A$7,D2792&gt;E2792),"Erro","")</f>
        <v/>
      </c>
    </row>
    <row r="2793" spans="1:9" ht="56.25">
      <c r="A2793" s="345">
        <v>2790</v>
      </c>
      <c r="B2793" s="346" t="s">
        <v>276</v>
      </c>
      <c r="C2793" s="347">
        <v>670</v>
      </c>
      <c r="D2793" s="348">
        <v>46753</v>
      </c>
      <c r="E2793" s="348">
        <v>47058</v>
      </c>
      <c r="F2793" s="346" t="s">
        <v>644</v>
      </c>
      <c r="G2793" s="350" t="s">
        <v>449</v>
      </c>
      <c r="H2793" s="351">
        <f t="shared" si="47"/>
        <v>7370</v>
      </c>
      <c r="I2793" s="120" t="str">
        <f>IF(OR(D2793&lt;Capa!$A$5,D2793&gt;Capa!$A$7,E2793&lt;Capa!$A$5,E2793&gt;Capa!$A$7,D2793&gt;E2793),"Erro","")</f>
        <v/>
      </c>
    </row>
    <row r="2794" spans="1:9" ht="45">
      <c r="A2794" s="345">
        <v>2791</v>
      </c>
      <c r="B2794" s="346" t="s">
        <v>278</v>
      </c>
      <c r="C2794" s="347">
        <v>18000</v>
      </c>
      <c r="D2794" s="348">
        <v>45261</v>
      </c>
      <c r="E2794" s="348">
        <v>45261</v>
      </c>
      <c r="F2794" s="346" t="s">
        <v>644</v>
      </c>
      <c r="G2794" s="350" t="s">
        <v>450</v>
      </c>
      <c r="H2794" s="351">
        <f t="shared" si="47"/>
        <v>18000</v>
      </c>
      <c r="I2794" s="120" t="str">
        <f>IF(OR(D2794&lt;Capa!$A$5,D2794&gt;Capa!$A$7,E2794&lt;Capa!$A$5,E2794&gt;Capa!$A$7,D2794&gt;E2794),"Erro","")</f>
        <v/>
      </c>
    </row>
    <row r="2795" spans="1:9" ht="45">
      <c r="A2795" s="345">
        <v>2792</v>
      </c>
      <c r="B2795" s="346" t="s">
        <v>278</v>
      </c>
      <c r="C2795" s="347">
        <v>37430</v>
      </c>
      <c r="D2795" s="348">
        <v>45292</v>
      </c>
      <c r="E2795" s="348">
        <v>45627</v>
      </c>
      <c r="F2795" s="346" t="s">
        <v>644</v>
      </c>
      <c r="G2795" s="350" t="s">
        <v>450</v>
      </c>
      <c r="H2795" s="351">
        <f t="shared" si="47"/>
        <v>449160</v>
      </c>
      <c r="I2795" s="120" t="str">
        <f>IF(OR(D2795&lt;Capa!$A$5,D2795&gt;Capa!$A$7,E2795&lt;Capa!$A$5,E2795&gt;Capa!$A$7,D2795&gt;E2795),"Erro","")</f>
        <v/>
      </c>
    </row>
    <row r="2796" spans="1:9" ht="45">
      <c r="A2796" s="345">
        <v>2793</v>
      </c>
      <c r="B2796" s="346" t="s">
        <v>278</v>
      </c>
      <c r="C2796" s="347">
        <v>39615</v>
      </c>
      <c r="D2796" s="348">
        <v>45658</v>
      </c>
      <c r="E2796" s="348">
        <v>45992</v>
      </c>
      <c r="F2796" s="346" t="s">
        <v>644</v>
      </c>
      <c r="G2796" s="350" t="s">
        <v>450</v>
      </c>
      <c r="H2796" s="351">
        <f t="shared" si="47"/>
        <v>475380</v>
      </c>
      <c r="I2796" s="120" t="str">
        <f>IF(OR(D2796&lt;Capa!$A$5,D2796&gt;Capa!$A$7,E2796&lt;Capa!$A$5,E2796&gt;Capa!$A$7,D2796&gt;E2796),"Erro","")</f>
        <v/>
      </c>
    </row>
    <row r="2797" spans="1:9" ht="45">
      <c r="A2797" s="345">
        <v>2794</v>
      </c>
      <c r="B2797" s="346" t="s">
        <v>278</v>
      </c>
      <c r="C2797" s="347">
        <v>41929</v>
      </c>
      <c r="D2797" s="348">
        <v>46023</v>
      </c>
      <c r="E2797" s="348">
        <v>46357</v>
      </c>
      <c r="F2797" s="346" t="s">
        <v>644</v>
      </c>
      <c r="G2797" s="350" t="s">
        <v>450</v>
      </c>
      <c r="H2797" s="351">
        <f t="shared" si="47"/>
        <v>503148</v>
      </c>
      <c r="I2797" s="120" t="str">
        <f>IF(OR(D2797&lt;Capa!$A$5,D2797&gt;Capa!$A$7,E2797&lt;Capa!$A$5,E2797&gt;Capa!$A$7,D2797&gt;E2797),"Erro","")</f>
        <v/>
      </c>
    </row>
    <row r="2798" spans="1:9" ht="45">
      <c r="A2798" s="345">
        <v>2795</v>
      </c>
      <c r="B2798" s="346" t="s">
        <v>278</v>
      </c>
      <c r="C2798" s="347">
        <v>44378</v>
      </c>
      <c r="D2798" s="348">
        <v>46388</v>
      </c>
      <c r="E2798" s="348">
        <v>46722</v>
      </c>
      <c r="F2798" s="346" t="s">
        <v>644</v>
      </c>
      <c r="G2798" s="350" t="s">
        <v>450</v>
      </c>
      <c r="H2798" s="351">
        <f t="shared" si="47"/>
        <v>532536</v>
      </c>
      <c r="I2798" s="120" t="str">
        <f>IF(OR(D2798&lt;Capa!$A$5,D2798&gt;Capa!$A$7,E2798&lt;Capa!$A$5,E2798&gt;Capa!$A$7,D2798&gt;E2798),"Erro","")</f>
        <v/>
      </c>
    </row>
    <row r="2799" spans="1:9" ht="45">
      <c r="A2799" s="345">
        <v>2796</v>
      </c>
      <c r="B2799" s="346" t="s">
        <v>278</v>
      </c>
      <c r="C2799" s="347">
        <v>46969</v>
      </c>
      <c r="D2799" s="348">
        <v>46753</v>
      </c>
      <c r="E2799" s="348">
        <v>47058</v>
      </c>
      <c r="F2799" s="346" t="s">
        <v>644</v>
      </c>
      <c r="G2799" s="350" t="s">
        <v>450</v>
      </c>
      <c r="H2799" s="351">
        <f t="shared" si="47"/>
        <v>516659</v>
      </c>
      <c r="I2799" s="120" t="str">
        <f>IF(OR(D2799&lt;Capa!$A$5,D2799&gt;Capa!$A$7,E2799&lt;Capa!$A$5,E2799&gt;Capa!$A$7,D2799&gt;E2799),"Erro","")</f>
        <v/>
      </c>
    </row>
    <row r="2800" spans="1:9" ht="56.25">
      <c r="A2800" s="345">
        <v>2797</v>
      </c>
      <c r="B2800" s="346" t="s">
        <v>280</v>
      </c>
      <c r="C2800" s="347">
        <v>100</v>
      </c>
      <c r="D2800" s="348">
        <v>45292</v>
      </c>
      <c r="E2800" s="348">
        <v>45627</v>
      </c>
      <c r="F2800" s="346" t="s">
        <v>644</v>
      </c>
      <c r="G2800" s="350" t="s">
        <v>451</v>
      </c>
      <c r="H2800" s="351">
        <f t="shared" ref="H2800:H2857" si="48">IFERROR((DATEDIF(D2800,E2800,"M")+1)*C2800,0)</f>
        <v>1200</v>
      </c>
      <c r="I2800" s="120" t="str">
        <f>IF(OR(D2800&lt;Capa!$A$5,D2800&gt;Capa!$A$7,E2800&lt;Capa!$A$5,E2800&gt;Capa!$A$7,D2800&gt;E2800),"Erro","")</f>
        <v/>
      </c>
    </row>
    <row r="2801" spans="1:9" ht="56.25">
      <c r="A2801" s="345">
        <v>2798</v>
      </c>
      <c r="B2801" s="346" t="s">
        <v>280</v>
      </c>
      <c r="C2801" s="347">
        <v>100</v>
      </c>
      <c r="D2801" s="348">
        <v>45658</v>
      </c>
      <c r="E2801" s="348">
        <v>45992</v>
      </c>
      <c r="F2801" s="346" t="s">
        <v>644</v>
      </c>
      <c r="G2801" s="350" t="s">
        <v>451</v>
      </c>
      <c r="H2801" s="351">
        <f t="shared" si="48"/>
        <v>1200</v>
      </c>
      <c r="I2801" s="120" t="str">
        <f>IF(OR(D2801&lt;Capa!$A$5,D2801&gt;Capa!$A$7,E2801&lt;Capa!$A$5,E2801&gt;Capa!$A$7,D2801&gt;E2801),"Erro","")</f>
        <v/>
      </c>
    </row>
    <row r="2802" spans="1:9" ht="56.25">
      <c r="A2802" s="345">
        <v>2799</v>
      </c>
      <c r="B2802" s="346" t="s">
        <v>280</v>
      </c>
      <c r="C2802" s="347">
        <v>100</v>
      </c>
      <c r="D2802" s="348">
        <v>46023</v>
      </c>
      <c r="E2802" s="348">
        <v>46357</v>
      </c>
      <c r="F2802" s="346" t="s">
        <v>644</v>
      </c>
      <c r="G2802" s="350" t="s">
        <v>451</v>
      </c>
      <c r="H2802" s="351">
        <f t="shared" si="48"/>
        <v>1200</v>
      </c>
      <c r="I2802" s="120" t="str">
        <f>IF(OR(D2802&lt;Capa!$A$5,D2802&gt;Capa!$A$7,E2802&lt;Capa!$A$5,E2802&gt;Capa!$A$7,D2802&gt;E2802),"Erro","")</f>
        <v/>
      </c>
    </row>
    <row r="2803" spans="1:9" ht="56.25">
      <c r="A2803" s="345">
        <v>2800</v>
      </c>
      <c r="B2803" s="346" t="s">
        <v>280</v>
      </c>
      <c r="C2803" s="347">
        <v>100</v>
      </c>
      <c r="D2803" s="348">
        <v>46388</v>
      </c>
      <c r="E2803" s="348">
        <v>46722</v>
      </c>
      <c r="F2803" s="346" t="s">
        <v>644</v>
      </c>
      <c r="G2803" s="350" t="s">
        <v>451</v>
      </c>
      <c r="H2803" s="351">
        <f t="shared" si="48"/>
        <v>1200</v>
      </c>
      <c r="I2803" s="120" t="str">
        <f>IF(OR(D2803&lt;Capa!$A$5,D2803&gt;Capa!$A$7,E2803&lt;Capa!$A$5,E2803&gt;Capa!$A$7,D2803&gt;E2803),"Erro","")</f>
        <v/>
      </c>
    </row>
    <row r="2804" spans="1:9" ht="56.25">
      <c r="A2804" s="345">
        <v>2801</v>
      </c>
      <c r="B2804" s="346" t="s">
        <v>280</v>
      </c>
      <c r="C2804" s="347">
        <v>100</v>
      </c>
      <c r="D2804" s="348">
        <v>46753</v>
      </c>
      <c r="E2804" s="348">
        <v>47058</v>
      </c>
      <c r="F2804" s="346" t="s">
        <v>644</v>
      </c>
      <c r="G2804" s="350" t="s">
        <v>451</v>
      </c>
      <c r="H2804" s="351">
        <f t="shared" si="48"/>
        <v>1100</v>
      </c>
      <c r="I2804" s="120" t="str">
        <f>IF(OR(D2804&lt;Capa!$A$5,D2804&gt;Capa!$A$7,E2804&lt;Capa!$A$5,E2804&gt;Capa!$A$7,D2804&gt;E2804),"Erro","")</f>
        <v/>
      </c>
    </row>
    <row r="2805" spans="1:9" ht="45">
      <c r="A2805" s="345">
        <v>2802</v>
      </c>
      <c r="B2805" s="346" t="s">
        <v>282</v>
      </c>
      <c r="C2805" s="347">
        <v>702.18</v>
      </c>
      <c r="D2805" s="348">
        <v>45261</v>
      </c>
      <c r="E2805" s="348">
        <v>45627</v>
      </c>
      <c r="F2805" s="346" t="s">
        <v>644</v>
      </c>
      <c r="G2805" s="350" t="s">
        <v>452</v>
      </c>
      <c r="H2805" s="351">
        <f t="shared" si="48"/>
        <v>9128.34</v>
      </c>
      <c r="I2805" s="120" t="str">
        <f>IF(OR(D2805&lt;Capa!$A$5,D2805&gt;Capa!$A$7,E2805&lt;Capa!$A$5,E2805&gt;Capa!$A$7,D2805&gt;E2805),"Erro","")</f>
        <v/>
      </c>
    </row>
    <row r="2806" spans="1:9" ht="45">
      <c r="A2806" s="345">
        <v>2803</v>
      </c>
      <c r="B2806" s="346" t="s">
        <v>282</v>
      </c>
      <c r="C2806" s="347">
        <v>743.18</v>
      </c>
      <c r="D2806" s="348">
        <v>45658</v>
      </c>
      <c r="E2806" s="348">
        <v>45992</v>
      </c>
      <c r="F2806" s="346" t="s">
        <v>644</v>
      </c>
      <c r="G2806" s="350" t="s">
        <v>452</v>
      </c>
      <c r="H2806" s="351">
        <f t="shared" si="48"/>
        <v>8918.16</v>
      </c>
      <c r="I2806" s="120" t="str">
        <f>IF(OR(D2806&lt;Capa!$A$5,D2806&gt;Capa!$A$7,E2806&lt;Capa!$A$5,E2806&gt;Capa!$A$7,D2806&gt;E2806),"Erro","")</f>
        <v/>
      </c>
    </row>
    <row r="2807" spans="1:9" ht="45">
      <c r="A2807" s="345">
        <v>2804</v>
      </c>
      <c r="B2807" s="346" t="s">
        <v>282</v>
      </c>
      <c r="C2807" s="347">
        <v>786.59</v>
      </c>
      <c r="D2807" s="348">
        <v>46023</v>
      </c>
      <c r="E2807" s="348">
        <v>46357</v>
      </c>
      <c r="F2807" s="346" t="s">
        <v>644</v>
      </c>
      <c r="G2807" s="350" t="s">
        <v>452</v>
      </c>
      <c r="H2807" s="351">
        <f t="shared" si="48"/>
        <v>9439.08</v>
      </c>
      <c r="I2807" s="120" t="str">
        <f>IF(OR(D2807&lt;Capa!$A$5,D2807&gt;Capa!$A$7,E2807&lt;Capa!$A$5,E2807&gt;Capa!$A$7,D2807&gt;E2807),"Erro","")</f>
        <v/>
      </c>
    </row>
    <row r="2808" spans="1:9" ht="45">
      <c r="A2808" s="345">
        <v>2805</v>
      </c>
      <c r="B2808" s="346" t="s">
        <v>282</v>
      </c>
      <c r="C2808" s="347">
        <v>832.52</v>
      </c>
      <c r="D2808" s="348">
        <v>46388</v>
      </c>
      <c r="E2808" s="348">
        <v>46722</v>
      </c>
      <c r="F2808" s="346" t="s">
        <v>644</v>
      </c>
      <c r="G2808" s="350" t="s">
        <v>452</v>
      </c>
      <c r="H2808" s="351">
        <f t="shared" si="48"/>
        <v>9990.24</v>
      </c>
      <c r="I2808" s="120" t="str">
        <f>IF(OR(D2808&lt;Capa!$A$5,D2808&gt;Capa!$A$7,E2808&lt;Capa!$A$5,E2808&gt;Capa!$A$7,D2808&gt;E2808),"Erro","")</f>
        <v/>
      </c>
    </row>
    <row r="2809" spans="1:9" ht="45">
      <c r="A2809" s="345">
        <v>2806</v>
      </c>
      <c r="B2809" s="346" t="s">
        <v>282</v>
      </c>
      <c r="C2809" s="347">
        <v>881.14</v>
      </c>
      <c r="D2809" s="348">
        <v>46753</v>
      </c>
      <c r="E2809" s="348">
        <v>47058</v>
      </c>
      <c r="F2809" s="346" t="s">
        <v>644</v>
      </c>
      <c r="G2809" s="350" t="s">
        <v>452</v>
      </c>
      <c r="H2809" s="351">
        <f t="shared" si="48"/>
        <v>9692.5399999999991</v>
      </c>
      <c r="I2809" s="120" t="str">
        <f>IF(OR(D2809&lt;Capa!$A$5,D2809&gt;Capa!$A$7,E2809&lt;Capa!$A$5,E2809&gt;Capa!$A$7,D2809&gt;E2809),"Erro","")</f>
        <v/>
      </c>
    </row>
    <row r="2810" spans="1:9" ht="45">
      <c r="A2810" s="345">
        <v>2807</v>
      </c>
      <c r="B2810" s="346" t="s">
        <v>284</v>
      </c>
      <c r="C2810" s="347">
        <v>1013.31</v>
      </c>
      <c r="D2810" s="348">
        <v>45261</v>
      </c>
      <c r="E2810" s="348">
        <v>45627</v>
      </c>
      <c r="F2810" s="346" t="s">
        <v>644</v>
      </c>
      <c r="G2810" s="350" t="s">
        <v>452</v>
      </c>
      <c r="H2810" s="351">
        <f t="shared" si="48"/>
        <v>13173.029999999999</v>
      </c>
      <c r="I2810" s="120" t="str">
        <f>IF(OR(D2810&lt;Capa!$A$5,D2810&gt;Capa!$A$7,E2810&lt;Capa!$A$5,E2810&gt;Capa!$A$7,D2810&gt;E2810),"Erro","")</f>
        <v/>
      </c>
    </row>
    <row r="2811" spans="1:9" ht="45">
      <c r="A2811" s="345">
        <v>2808</v>
      </c>
      <c r="B2811" s="346" t="s">
        <v>284</v>
      </c>
      <c r="C2811" s="347">
        <v>1072.49</v>
      </c>
      <c r="D2811" s="348">
        <v>45658</v>
      </c>
      <c r="E2811" s="348">
        <v>45992</v>
      </c>
      <c r="F2811" s="346" t="s">
        <v>644</v>
      </c>
      <c r="G2811" s="350" t="s">
        <v>452</v>
      </c>
      <c r="H2811" s="351">
        <f t="shared" si="48"/>
        <v>12869.880000000001</v>
      </c>
      <c r="I2811" s="120" t="str">
        <f>IF(OR(D2811&lt;Capa!$A$5,D2811&gt;Capa!$A$7,E2811&lt;Capa!$A$5,E2811&gt;Capa!$A$7,D2811&gt;E2811),"Erro","")</f>
        <v/>
      </c>
    </row>
    <row r="2812" spans="1:9" ht="45">
      <c r="A2812" s="345">
        <v>2809</v>
      </c>
      <c r="B2812" s="346" t="s">
        <v>284</v>
      </c>
      <c r="C2812" s="347">
        <v>1135.1199999999999</v>
      </c>
      <c r="D2812" s="348">
        <v>46023</v>
      </c>
      <c r="E2812" s="348">
        <v>46357</v>
      </c>
      <c r="F2812" s="346" t="s">
        <v>644</v>
      </c>
      <c r="G2812" s="350" t="s">
        <v>452</v>
      </c>
      <c r="H2812" s="351">
        <f t="shared" si="48"/>
        <v>13621.439999999999</v>
      </c>
      <c r="I2812" s="120" t="str">
        <f>IF(OR(D2812&lt;Capa!$A$5,D2812&gt;Capa!$A$7,E2812&lt;Capa!$A$5,E2812&gt;Capa!$A$7,D2812&gt;E2812),"Erro","")</f>
        <v/>
      </c>
    </row>
    <row r="2813" spans="1:9" ht="45">
      <c r="A2813" s="345">
        <v>2810</v>
      </c>
      <c r="B2813" s="346" t="s">
        <v>284</v>
      </c>
      <c r="C2813" s="347">
        <v>1201.42</v>
      </c>
      <c r="D2813" s="348">
        <v>46388</v>
      </c>
      <c r="E2813" s="348">
        <v>46722</v>
      </c>
      <c r="F2813" s="346" t="s">
        <v>644</v>
      </c>
      <c r="G2813" s="350" t="s">
        <v>452</v>
      </c>
      <c r="H2813" s="351">
        <f t="shared" si="48"/>
        <v>14417.04</v>
      </c>
      <c r="I2813" s="120" t="str">
        <f>IF(OR(D2813&lt;Capa!$A$5,D2813&gt;Capa!$A$7,E2813&lt;Capa!$A$5,E2813&gt;Capa!$A$7,D2813&gt;E2813),"Erro","")</f>
        <v/>
      </c>
    </row>
    <row r="2814" spans="1:9" ht="45">
      <c r="A2814" s="345">
        <v>2811</v>
      </c>
      <c r="B2814" s="346" t="s">
        <v>284</v>
      </c>
      <c r="C2814" s="347">
        <v>1271.58</v>
      </c>
      <c r="D2814" s="348">
        <v>46753</v>
      </c>
      <c r="E2814" s="348">
        <v>47058</v>
      </c>
      <c r="F2814" s="346" t="s">
        <v>644</v>
      </c>
      <c r="G2814" s="350" t="s">
        <v>452</v>
      </c>
      <c r="H2814" s="351">
        <f t="shared" si="48"/>
        <v>13987.38</v>
      </c>
      <c r="I2814" s="120" t="str">
        <f>IF(OR(D2814&lt;Capa!$A$5,D2814&gt;Capa!$A$7,E2814&lt;Capa!$A$5,E2814&gt;Capa!$A$7,D2814&gt;E2814),"Erro","")</f>
        <v/>
      </c>
    </row>
    <row r="2815" spans="1:9" ht="45">
      <c r="A2815" s="345">
        <v>2812</v>
      </c>
      <c r="B2815" s="346" t="s">
        <v>286</v>
      </c>
      <c r="C2815" s="347">
        <v>1013.31</v>
      </c>
      <c r="D2815" s="348">
        <v>45261</v>
      </c>
      <c r="E2815" s="348">
        <v>45627</v>
      </c>
      <c r="F2815" s="346" t="s">
        <v>644</v>
      </c>
      <c r="G2815" s="350" t="s">
        <v>452</v>
      </c>
      <c r="H2815" s="351">
        <f t="shared" si="48"/>
        <v>13173.029999999999</v>
      </c>
      <c r="I2815" s="120" t="str">
        <f>IF(OR(D2815&lt;Capa!$A$5,D2815&gt;Capa!$A$7,E2815&lt;Capa!$A$5,E2815&gt;Capa!$A$7,D2815&gt;E2815),"Erro","")</f>
        <v/>
      </c>
    </row>
    <row r="2816" spans="1:9" ht="45">
      <c r="A2816" s="345">
        <v>2813</v>
      </c>
      <c r="B2816" s="346" t="s">
        <v>286</v>
      </c>
      <c r="C2816" s="347">
        <v>1072.49</v>
      </c>
      <c r="D2816" s="348">
        <v>45658</v>
      </c>
      <c r="E2816" s="348">
        <v>45992</v>
      </c>
      <c r="F2816" s="346" t="s">
        <v>644</v>
      </c>
      <c r="G2816" s="350" t="s">
        <v>452</v>
      </c>
      <c r="H2816" s="351">
        <f t="shared" si="48"/>
        <v>12869.880000000001</v>
      </c>
      <c r="I2816" s="120" t="str">
        <f>IF(OR(D2816&lt;Capa!$A$5,D2816&gt;Capa!$A$7,E2816&lt;Capa!$A$5,E2816&gt;Capa!$A$7,D2816&gt;E2816),"Erro","")</f>
        <v/>
      </c>
    </row>
    <row r="2817" spans="1:9" ht="45">
      <c r="A2817" s="345">
        <v>2814</v>
      </c>
      <c r="B2817" s="346" t="s">
        <v>286</v>
      </c>
      <c r="C2817" s="347">
        <v>1135.1199999999999</v>
      </c>
      <c r="D2817" s="348">
        <v>46023</v>
      </c>
      <c r="E2817" s="348">
        <v>46357</v>
      </c>
      <c r="F2817" s="346" t="s">
        <v>644</v>
      </c>
      <c r="G2817" s="350" t="s">
        <v>452</v>
      </c>
      <c r="H2817" s="351">
        <f t="shared" si="48"/>
        <v>13621.439999999999</v>
      </c>
      <c r="I2817" s="120" t="str">
        <f>IF(OR(D2817&lt;Capa!$A$5,D2817&gt;Capa!$A$7,E2817&lt;Capa!$A$5,E2817&gt;Capa!$A$7,D2817&gt;E2817),"Erro","")</f>
        <v/>
      </c>
    </row>
    <row r="2818" spans="1:9" ht="45">
      <c r="A2818" s="345">
        <v>2815</v>
      </c>
      <c r="B2818" s="346" t="s">
        <v>286</v>
      </c>
      <c r="C2818" s="347">
        <v>1201.4100000000001</v>
      </c>
      <c r="D2818" s="348">
        <v>46388</v>
      </c>
      <c r="E2818" s="348">
        <v>46722</v>
      </c>
      <c r="F2818" s="346" t="s">
        <v>644</v>
      </c>
      <c r="G2818" s="350" t="s">
        <v>452</v>
      </c>
      <c r="H2818" s="351">
        <f t="shared" si="48"/>
        <v>14416.920000000002</v>
      </c>
      <c r="I2818" s="120" t="str">
        <f>IF(OR(D2818&lt;Capa!$A$5,D2818&gt;Capa!$A$7,E2818&lt;Capa!$A$5,E2818&gt;Capa!$A$7,D2818&gt;E2818),"Erro","")</f>
        <v/>
      </c>
    </row>
    <row r="2819" spans="1:9" ht="45">
      <c r="A2819" s="345">
        <v>2816</v>
      </c>
      <c r="B2819" s="346" t="s">
        <v>286</v>
      </c>
      <c r="C2819" s="347">
        <v>1271.57</v>
      </c>
      <c r="D2819" s="348">
        <v>46753</v>
      </c>
      <c r="E2819" s="348">
        <v>47058</v>
      </c>
      <c r="F2819" s="346" t="s">
        <v>644</v>
      </c>
      <c r="G2819" s="350" t="s">
        <v>452</v>
      </c>
      <c r="H2819" s="351">
        <f t="shared" si="48"/>
        <v>13987.269999999999</v>
      </c>
      <c r="I2819" s="120" t="str">
        <f>IF(OR(D2819&lt;Capa!$A$5,D2819&gt;Capa!$A$7,E2819&lt;Capa!$A$5,E2819&gt;Capa!$A$7,D2819&gt;E2819),"Erro","")</f>
        <v/>
      </c>
    </row>
    <row r="2820" spans="1:9" ht="45">
      <c r="A2820" s="345">
        <v>2817</v>
      </c>
      <c r="B2820" s="346" t="s">
        <v>288</v>
      </c>
      <c r="C2820" s="347">
        <v>200</v>
      </c>
      <c r="D2820" s="348">
        <v>45261</v>
      </c>
      <c r="E2820" s="348">
        <v>45627</v>
      </c>
      <c r="F2820" s="346" t="s">
        <v>644</v>
      </c>
      <c r="G2820" s="350" t="s">
        <v>453</v>
      </c>
      <c r="H2820" s="351">
        <f t="shared" si="48"/>
        <v>2600</v>
      </c>
      <c r="I2820" s="120" t="str">
        <f>IF(OR(D2820&lt;Capa!$A$5,D2820&gt;Capa!$A$7,E2820&lt;Capa!$A$5,E2820&gt;Capa!$A$7,D2820&gt;E2820),"Erro","")</f>
        <v/>
      </c>
    </row>
    <row r="2821" spans="1:9" ht="45">
      <c r="A2821" s="345">
        <v>2818</v>
      </c>
      <c r="B2821" s="346" t="s">
        <v>288</v>
      </c>
      <c r="C2821" s="347">
        <v>200</v>
      </c>
      <c r="D2821" s="348">
        <v>45658</v>
      </c>
      <c r="E2821" s="348">
        <v>45992</v>
      </c>
      <c r="F2821" s="346" t="s">
        <v>644</v>
      </c>
      <c r="G2821" s="350" t="s">
        <v>453</v>
      </c>
      <c r="H2821" s="351">
        <f t="shared" si="48"/>
        <v>2400</v>
      </c>
      <c r="I2821" s="120" t="str">
        <f>IF(OR(D2821&lt;Capa!$A$5,D2821&gt;Capa!$A$7,E2821&lt;Capa!$A$5,E2821&gt;Capa!$A$7,D2821&gt;E2821),"Erro","")</f>
        <v/>
      </c>
    </row>
    <row r="2822" spans="1:9" ht="45">
      <c r="A2822" s="345">
        <v>2819</v>
      </c>
      <c r="B2822" s="346" t="s">
        <v>288</v>
      </c>
      <c r="C2822" s="347">
        <v>200</v>
      </c>
      <c r="D2822" s="348">
        <v>46023</v>
      </c>
      <c r="E2822" s="348">
        <v>46357</v>
      </c>
      <c r="F2822" s="346" t="s">
        <v>644</v>
      </c>
      <c r="G2822" s="350" t="s">
        <v>453</v>
      </c>
      <c r="H2822" s="351">
        <f t="shared" si="48"/>
        <v>2400</v>
      </c>
      <c r="I2822" s="120" t="str">
        <f>IF(OR(D2822&lt;Capa!$A$5,D2822&gt;Capa!$A$7,E2822&lt;Capa!$A$5,E2822&gt;Capa!$A$7,D2822&gt;E2822),"Erro","")</f>
        <v/>
      </c>
    </row>
    <row r="2823" spans="1:9" ht="45">
      <c r="A2823" s="345">
        <v>2820</v>
      </c>
      <c r="B2823" s="346" t="s">
        <v>288</v>
      </c>
      <c r="C2823" s="347">
        <v>200</v>
      </c>
      <c r="D2823" s="348">
        <v>46388</v>
      </c>
      <c r="E2823" s="348">
        <v>46722</v>
      </c>
      <c r="F2823" s="346" t="s">
        <v>644</v>
      </c>
      <c r="G2823" s="350" t="s">
        <v>453</v>
      </c>
      <c r="H2823" s="351">
        <f t="shared" si="48"/>
        <v>2400</v>
      </c>
      <c r="I2823" s="120" t="str">
        <f>IF(OR(D2823&lt;Capa!$A$5,D2823&gt;Capa!$A$7,E2823&lt;Capa!$A$5,E2823&gt;Capa!$A$7,D2823&gt;E2823),"Erro","")</f>
        <v/>
      </c>
    </row>
    <row r="2824" spans="1:9" ht="45">
      <c r="A2824" s="345">
        <v>2821</v>
      </c>
      <c r="B2824" s="346" t="s">
        <v>288</v>
      </c>
      <c r="C2824" s="347">
        <v>200</v>
      </c>
      <c r="D2824" s="348">
        <v>46753</v>
      </c>
      <c r="E2824" s="348">
        <v>47058</v>
      </c>
      <c r="F2824" s="346" t="s">
        <v>644</v>
      </c>
      <c r="G2824" s="350" t="s">
        <v>453</v>
      </c>
      <c r="H2824" s="351">
        <f t="shared" si="48"/>
        <v>2200</v>
      </c>
      <c r="I2824" s="120" t="str">
        <f>IF(OR(D2824&lt;Capa!$A$5,D2824&gt;Capa!$A$7,E2824&lt;Capa!$A$5,E2824&gt;Capa!$A$7,D2824&gt;E2824),"Erro","")</f>
        <v/>
      </c>
    </row>
    <row r="2825" spans="1:9" ht="33.75">
      <c r="A2825" s="345">
        <v>2822</v>
      </c>
      <c r="B2825" s="346" t="s">
        <v>294</v>
      </c>
      <c r="C2825" s="347">
        <v>7000</v>
      </c>
      <c r="D2825" s="348">
        <v>45261</v>
      </c>
      <c r="E2825" s="348">
        <v>45627</v>
      </c>
      <c r="F2825" s="346" t="s">
        <v>644</v>
      </c>
      <c r="G2825" s="350" t="s">
        <v>454</v>
      </c>
      <c r="H2825" s="351">
        <f t="shared" si="48"/>
        <v>91000</v>
      </c>
      <c r="I2825" s="120" t="str">
        <f>IF(OR(D2825&lt;Capa!$A$5,D2825&gt;Capa!$A$7,E2825&lt;Capa!$A$5,E2825&gt;Capa!$A$7,D2825&gt;E2825),"Erro","")</f>
        <v/>
      </c>
    </row>
    <row r="2826" spans="1:9" ht="33.75">
      <c r="A2826" s="345">
        <v>2823</v>
      </c>
      <c r="B2826" s="346" t="s">
        <v>294</v>
      </c>
      <c r="C2826" s="347">
        <v>7408.8</v>
      </c>
      <c r="D2826" s="348">
        <v>45658</v>
      </c>
      <c r="E2826" s="348">
        <v>45992</v>
      </c>
      <c r="F2826" s="346" t="s">
        <v>644</v>
      </c>
      <c r="G2826" s="350" t="s">
        <v>454</v>
      </c>
      <c r="H2826" s="351">
        <f t="shared" si="48"/>
        <v>88905.600000000006</v>
      </c>
      <c r="I2826" s="120" t="str">
        <f>IF(OR(D2826&lt;Capa!$A$5,D2826&gt;Capa!$A$7,E2826&lt;Capa!$A$5,E2826&gt;Capa!$A$7,D2826&gt;E2826),"Erro","")</f>
        <v/>
      </c>
    </row>
    <row r="2827" spans="1:9" ht="33.75">
      <c r="A2827" s="345">
        <v>2824</v>
      </c>
      <c r="B2827" s="346" t="s">
        <v>294</v>
      </c>
      <c r="C2827" s="347">
        <v>7847.65</v>
      </c>
      <c r="D2827" s="348">
        <v>46023</v>
      </c>
      <c r="E2827" s="348">
        <v>46357</v>
      </c>
      <c r="F2827" s="346" t="s">
        <v>644</v>
      </c>
      <c r="G2827" s="350" t="s">
        <v>454</v>
      </c>
      <c r="H2827" s="351">
        <f t="shared" si="48"/>
        <v>94171.799999999988</v>
      </c>
      <c r="I2827" s="120" t="str">
        <f>IF(OR(D2827&lt;Capa!$A$5,D2827&gt;Capa!$A$7,E2827&lt;Capa!$A$5,E2827&gt;Capa!$A$7,D2827&gt;E2827),"Erro","")</f>
        <v/>
      </c>
    </row>
    <row r="2828" spans="1:9" ht="33.75">
      <c r="A2828" s="345">
        <v>2825</v>
      </c>
      <c r="B2828" s="346" t="s">
        <v>294</v>
      </c>
      <c r="C2828" s="347">
        <v>8305.9500000000007</v>
      </c>
      <c r="D2828" s="348">
        <v>46388</v>
      </c>
      <c r="E2828" s="348">
        <v>46722</v>
      </c>
      <c r="F2828" s="346" t="s">
        <v>644</v>
      </c>
      <c r="G2828" s="350" t="s">
        <v>454</v>
      </c>
      <c r="H2828" s="351">
        <f t="shared" si="48"/>
        <v>99671.400000000009</v>
      </c>
      <c r="I2828" s="120" t="str">
        <f>IF(OR(D2828&lt;Capa!$A$5,D2828&gt;Capa!$A$7,E2828&lt;Capa!$A$5,E2828&gt;Capa!$A$7,D2828&gt;E2828),"Erro","")</f>
        <v/>
      </c>
    </row>
    <row r="2829" spans="1:9" ht="33.75">
      <c r="A2829" s="345">
        <v>2826</v>
      </c>
      <c r="B2829" s="346" t="s">
        <v>294</v>
      </c>
      <c r="C2829" s="347">
        <v>8791.02</v>
      </c>
      <c r="D2829" s="348">
        <v>46753</v>
      </c>
      <c r="E2829" s="348">
        <v>47058</v>
      </c>
      <c r="F2829" s="346" t="s">
        <v>644</v>
      </c>
      <c r="G2829" s="350" t="s">
        <v>454</v>
      </c>
      <c r="H2829" s="351">
        <f t="shared" si="48"/>
        <v>96701.22</v>
      </c>
      <c r="I2829" s="120" t="str">
        <f>IF(OR(D2829&lt;Capa!$A$5,D2829&gt;Capa!$A$7,E2829&lt;Capa!$A$5,E2829&gt;Capa!$A$7,D2829&gt;E2829),"Erro","")</f>
        <v/>
      </c>
    </row>
    <row r="2830" spans="1:9" ht="22.5">
      <c r="A2830" s="345">
        <v>2827</v>
      </c>
      <c r="B2830" s="346" t="s">
        <v>302</v>
      </c>
      <c r="C2830" s="347">
        <v>250</v>
      </c>
      <c r="D2830" s="348">
        <v>45261</v>
      </c>
      <c r="E2830" s="348">
        <v>45627</v>
      </c>
      <c r="F2830" s="346" t="s">
        <v>644</v>
      </c>
      <c r="G2830" s="350" t="s">
        <v>455</v>
      </c>
      <c r="H2830" s="351">
        <f t="shared" si="48"/>
        <v>3250</v>
      </c>
      <c r="I2830" s="120" t="str">
        <f>IF(OR(D2830&lt;Capa!$A$5,D2830&gt;Capa!$A$7,E2830&lt;Capa!$A$5,E2830&gt;Capa!$A$7,D2830&gt;E2830),"Erro","")</f>
        <v/>
      </c>
    </row>
    <row r="2831" spans="1:9" ht="22.5">
      <c r="A2831" s="345">
        <v>2828</v>
      </c>
      <c r="B2831" s="346" t="s">
        <v>302</v>
      </c>
      <c r="C2831" s="347">
        <v>210</v>
      </c>
      <c r="D2831" s="348">
        <v>45658</v>
      </c>
      <c r="E2831" s="348">
        <v>45992</v>
      </c>
      <c r="F2831" s="346" t="s">
        <v>644</v>
      </c>
      <c r="G2831" s="350" t="s">
        <v>455</v>
      </c>
      <c r="H2831" s="351">
        <f t="shared" si="48"/>
        <v>2520</v>
      </c>
      <c r="I2831" s="120" t="str">
        <f>IF(OR(D2831&lt;Capa!$A$5,D2831&gt;Capa!$A$7,E2831&lt;Capa!$A$5,E2831&gt;Capa!$A$7,D2831&gt;E2831),"Erro","")</f>
        <v/>
      </c>
    </row>
    <row r="2832" spans="1:9" ht="22.5">
      <c r="A2832" s="345">
        <v>2829</v>
      </c>
      <c r="B2832" s="346" t="s">
        <v>302</v>
      </c>
      <c r="C2832" s="347">
        <v>210</v>
      </c>
      <c r="D2832" s="348">
        <v>46023</v>
      </c>
      <c r="E2832" s="348">
        <v>46357</v>
      </c>
      <c r="F2832" s="346" t="s">
        <v>644</v>
      </c>
      <c r="G2832" s="350" t="s">
        <v>455</v>
      </c>
      <c r="H2832" s="351">
        <f t="shared" si="48"/>
        <v>2520</v>
      </c>
      <c r="I2832" s="120" t="str">
        <f>IF(OR(D2832&lt;Capa!$A$5,D2832&gt;Capa!$A$7,E2832&lt;Capa!$A$5,E2832&gt;Capa!$A$7,D2832&gt;E2832),"Erro","")</f>
        <v/>
      </c>
    </row>
    <row r="2833" spans="1:9" ht="22.5">
      <c r="A2833" s="345">
        <v>2830</v>
      </c>
      <c r="B2833" s="346" t="s">
        <v>302</v>
      </c>
      <c r="C2833" s="347">
        <v>210</v>
      </c>
      <c r="D2833" s="348">
        <v>46388</v>
      </c>
      <c r="E2833" s="348">
        <v>46722</v>
      </c>
      <c r="F2833" s="346" t="s">
        <v>644</v>
      </c>
      <c r="G2833" s="350" t="s">
        <v>455</v>
      </c>
      <c r="H2833" s="351">
        <f t="shared" si="48"/>
        <v>2520</v>
      </c>
      <c r="I2833" s="120" t="str">
        <f>IF(OR(D2833&lt;Capa!$A$5,D2833&gt;Capa!$A$7,E2833&lt;Capa!$A$5,E2833&gt;Capa!$A$7,D2833&gt;E2833),"Erro","")</f>
        <v/>
      </c>
    </row>
    <row r="2834" spans="1:9" ht="22.5">
      <c r="A2834" s="345">
        <v>2831</v>
      </c>
      <c r="B2834" s="346" t="s">
        <v>302</v>
      </c>
      <c r="C2834" s="347">
        <v>210</v>
      </c>
      <c r="D2834" s="348">
        <v>46753</v>
      </c>
      <c r="E2834" s="348">
        <v>47058</v>
      </c>
      <c r="F2834" s="346" t="s">
        <v>644</v>
      </c>
      <c r="G2834" s="350" t="s">
        <v>455</v>
      </c>
      <c r="H2834" s="351">
        <f t="shared" si="48"/>
        <v>2310</v>
      </c>
      <c r="I2834" s="120" t="str">
        <f>IF(OR(D2834&lt;Capa!$A$5,D2834&gt;Capa!$A$7,E2834&lt;Capa!$A$5,E2834&gt;Capa!$A$7,D2834&gt;E2834),"Erro","")</f>
        <v/>
      </c>
    </row>
    <row r="2835" spans="1:9" ht="33.75">
      <c r="A2835" s="345">
        <v>2832</v>
      </c>
      <c r="B2835" s="346" t="s">
        <v>304</v>
      </c>
      <c r="C2835" s="347">
        <v>1800</v>
      </c>
      <c r="D2835" s="348">
        <v>45261</v>
      </c>
      <c r="E2835" s="348">
        <v>45627</v>
      </c>
      <c r="F2835" s="346" t="s">
        <v>644</v>
      </c>
      <c r="G2835" s="350" t="s">
        <v>456</v>
      </c>
      <c r="H2835" s="351">
        <f t="shared" si="48"/>
        <v>23400</v>
      </c>
      <c r="I2835" s="120" t="str">
        <f>IF(OR(D2835&lt;Capa!$A$5,D2835&gt;Capa!$A$7,E2835&lt;Capa!$A$5,E2835&gt;Capa!$A$7,D2835&gt;E2835),"Erro","")</f>
        <v/>
      </c>
    </row>
    <row r="2836" spans="1:9" ht="33.75">
      <c r="A2836" s="345">
        <v>2833</v>
      </c>
      <c r="B2836" s="346" t="s">
        <v>304</v>
      </c>
      <c r="C2836" s="347">
        <v>1905.12</v>
      </c>
      <c r="D2836" s="348">
        <v>45658</v>
      </c>
      <c r="E2836" s="348">
        <v>45992</v>
      </c>
      <c r="F2836" s="346" t="s">
        <v>644</v>
      </c>
      <c r="G2836" s="350" t="s">
        <v>456</v>
      </c>
      <c r="H2836" s="351">
        <f t="shared" si="48"/>
        <v>22861.439999999999</v>
      </c>
      <c r="I2836" s="120" t="str">
        <f>IF(OR(D2836&lt;Capa!$A$5,D2836&gt;Capa!$A$7,E2836&lt;Capa!$A$5,E2836&gt;Capa!$A$7,D2836&gt;E2836),"Erro","")</f>
        <v/>
      </c>
    </row>
    <row r="2837" spans="1:9" ht="33.75">
      <c r="A2837" s="345">
        <v>2834</v>
      </c>
      <c r="B2837" s="346" t="s">
        <v>304</v>
      </c>
      <c r="C2837" s="347">
        <v>2016.37</v>
      </c>
      <c r="D2837" s="348">
        <v>46023</v>
      </c>
      <c r="E2837" s="348">
        <v>46357</v>
      </c>
      <c r="F2837" s="346" t="s">
        <v>644</v>
      </c>
      <c r="G2837" s="350" t="s">
        <v>456</v>
      </c>
      <c r="H2837" s="351">
        <f t="shared" si="48"/>
        <v>24196.44</v>
      </c>
      <c r="I2837" s="120" t="str">
        <f>IF(OR(D2837&lt;Capa!$A$5,D2837&gt;Capa!$A$7,E2837&lt;Capa!$A$5,E2837&gt;Capa!$A$7,D2837&gt;E2837),"Erro","")</f>
        <v/>
      </c>
    </row>
    <row r="2838" spans="1:9" ht="33.75">
      <c r="A2838" s="345">
        <v>2835</v>
      </c>
      <c r="B2838" s="346" t="s">
        <v>304</v>
      </c>
      <c r="C2838" s="347">
        <v>2134.13</v>
      </c>
      <c r="D2838" s="348">
        <v>46388</v>
      </c>
      <c r="E2838" s="348">
        <v>46722</v>
      </c>
      <c r="F2838" s="346" t="s">
        <v>644</v>
      </c>
      <c r="G2838" s="350" t="s">
        <v>456</v>
      </c>
      <c r="H2838" s="351">
        <f t="shared" si="48"/>
        <v>25609.56</v>
      </c>
      <c r="I2838" s="120" t="str">
        <f>IF(OR(D2838&lt;Capa!$A$5,D2838&gt;Capa!$A$7,E2838&lt;Capa!$A$5,E2838&gt;Capa!$A$7,D2838&gt;E2838),"Erro","")</f>
        <v/>
      </c>
    </row>
    <row r="2839" spans="1:9" ht="33.75">
      <c r="A2839" s="345">
        <v>2836</v>
      </c>
      <c r="B2839" s="346" t="s">
        <v>304</v>
      </c>
      <c r="C2839" s="347">
        <v>2258.7600000000002</v>
      </c>
      <c r="D2839" s="348">
        <v>46753</v>
      </c>
      <c r="E2839" s="348">
        <v>47058</v>
      </c>
      <c r="F2839" s="346" t="s">
        <v>644</v>
      </c>
      <c r="G2839" s="350" t="s">
        <v>456</v>
      </c>
      <c r="H2839" s="351">
        <f t="shared" si="48"/>
        <v>24846.36</v>
      </c>
      <c r="I2839" s="120" t="str">
        <f>IF(OR(D2839&lt;Capa!$A$5,D2839&gt;Capa!$A$7,E2839&lt;Capa!$A$5,E2839&gt;Capa!$A$7,D2839&gt;E2839),"Erro","")</f>
        <v/>
      </c>
    </row>
    <row r="2840" spans="1:9" ht="33.75">
      <c r="A2840" s="345">
        <v>2837</v>
      </c>
      <c r="B2840" s="346" t="s">
        <v>312</v>
      </c>
      <c r="C2840" s="347">
        <v>280</v>
      </c>
      <c r="D2840" s="348">
        <v>45658</v>
      </c>
      <c r="E2840" s="348">
        <v>45992</v>
      </c>
      <c r="F2840" s="346" t="s">
        <v>644</v>
      </c>
      <c r="G2840" s="350" t="s">
        <v>593</v>
      </c>
      <c r="H2840" s="351">
        <f t="shared" si="48"/>
        <v>3360</v>
      </c>
      <c r="I2840" s="120" t="str">
        <f>IF(OR(D2840&lt;Capa!$A$5,D2840&gt;Capa!$A$7,E2840&lt;Capa!$A$5,E2840&gt;Capa!$A$7,D2840&gt;E2840),"Erro","")</f>
        <v/>
      </c>
    </row>
    <row r="2841" spans="1:9" ht="33.75">
      <c r="A2841" s="345">
        <v>2838</v>
      </c>
      <c r="B2841" s="346" t="s">
        <v>312</v>
      </c>
      <c r="C2841" s="347">
        <v>280</v>
      </c>
      <c r="D2841" s="348">
        <v>46023</v>
      </c>
      <c r="E2841" s="348">
        <v>46357</v>
      </c>
      <c r="F2841" s="346" t="s">
        <v>644</v>
      </c>
      <c r="G2841" s="350" t="s">
        <v>593</v>
      </c>
      <c r="H2841" s="351">
        <f t="shared" si="48"/>
        <v>3360</v>
      </c>
      <c r="I2841" s="120" t="str">
        <f>IF(OR(D2841&lt;Capa!$A$5,D2841&gt;Capa!$A$7,E2841&lt;Capa!$A$5,E2841&gt;Capa!$A$7,D2841&gt;E2841),"Erro","")</f>
        <v/>
      </c>
    </row>
    <row r="2842" spans="1:9" ht="33.75">
      <c r="A2842" s="345">
        <v>2839</v>
      </c>
      <c r="B2842" s="346" t="s">
        <v>312</v>
      </c>
      <c r="C2842" s="347">
        <v>280</v>
      </c>
      <c r="D2842" s="348">
        <v>46388</v>
      </c>
      <c r="E2842" s="348">
        <v>46722</v>
      </c>
      <c r="F2842" s="346" t="s">
        <v>644</v>
      </c>
      <c r="G2842" s="350" t="s">
        <v>593</v>
      </c>
      <c r="H2842" s="351">
        <f t="shared" si="48"/>
        <v>3360</v>
      </c>
      <c r="I2842" s="120" t="str">
        <f>IF(OR(D2842&lt;Capa!$A$5,D2842&gt;Capa!$A$7,E2842&lt;Capa!$A$5,E2842&gt;Capa!$A$7,D2842&gt;E2842),"Erro","")</f>
        <v/>
      </c>
    </row>
    <row r="2843" spans="1:9" ht="33.75">
      <c r="A2843" s="345">
        <v>2840</v>
      </c>
      <c r="B2843" s="346" t="s">
        <v>312</v>
      </c>
      <c r="C2843" s="347">
        <v>280</v>
      </c>
      <c r="D2843" s="348">
        <v>46753</v>
      </c>
      <c r="E2843" s="348">
        <v>47058</v>
      </c>
      <c r="F2843" s="346" t="s">
        <v>644</v>
      </c>
      <c r="G2843" s="350" t="s">
        <v>593</v>
      </c>
      <c r="H2843" s="351">
        <f t="shared" si="48"/>
        <v>3080</v>
      </c>
      <c r="I2843" s="120" t="str">
        <f>IF(OR(D2843&lt;Capa!$A$5,D2843&gt;Capa!$A$7,E2843&lt;Capa!$A$5,E2843&gt;Capa!$A$7,D2843&gt;E2843),"Erro","")</f>
        <v/>
      </c>
    </row>
    <row r="2844" spans="1:9" ht="67.5">
      <c r="A2844" s="345">
        <v>2841</v>
      </c>
      <c r="B2844" s="346" t="s">
        <v>316</v>
      </c>
      <c r="C2844" s="347">
        <v>1000</v>
      </c>
      <c r="D2844" s="348">
        <v>45261</v>
      </c>
      <c r="E2844" s="348">
        <v>45627</v>
      </c>
      <c r="F2844" s="346" t="s">
        <v>644</v>
      </c>
      <c r="G2844" s="350" t="s">
        <v>457</v>
      </c>
      <c r="H2844" s="351">
        <f t="shared" si="48"/>
        <v>13000</v>
      </c>
      <c r="I2844" s="120" t="str">
        <f>IF(OR(D2844&lt;Capa!$A$5,D2844&gt;Capa!$A$7,E2844&lt;Capa!$A$5,E2844&gt;Capa!$A$7,D2844&gt;E2844),"Erro","")</f>
        <v/>
      </c>
    </row>
    <row r="2845" spans="1:9" ht="67.5">
      <c r="A2845" s="345">
        <v>2842</v>
      </c>
      <c r="B2845" s="346" t="s">
        <v>316</v>
      </c>
      <c r="C2845" s="347">
        <v>1000</v>
      </c>
      <c r="D2845" s="348">
        <v>45658</v>
      </c>
      <c r="E2845" s="348">
        <v>45992</v>
      </c>
      <c r="F2845" s="346" t="s">
        <v>644</v>
      </c>
      <c r="G2845" s="350" t="s">
        <v>457</v>
      </c>
      <c r="H2845" s="351">
        <f t="shared" si="48"/>
        <v>12000</v>
      </c>
      <c r="I2845" s="120" t="str">
        <f>IF(OR(D2845&lt;Capa!$A$5,D2845&gt;Capa!$A$7,E2845&lt;Capa!$A$5,E2845&gt;Capa!$A$7,D2845&gt;E2845),"Erro","")</f>
        <v/>
      </c>
    </row>
    <row r="2846" spans="1:9" ht="67.5">
      <c r="A2846" s="345">
        <v>2843</v>
      </c>
      <c r="B2846" s="346" t="s">
        <v>316</v>
      </c>
      <c r="C2846" s="347">
        <v>1000</v>
      </c>
      <c r="D2846" s="348">
        <v>46023</v>
      </c>
      <c r="E2846" s="348">
        <v>46357</v>
      </c>
      <c r="F2846" s="346" t="s">
        <v>644</v>
      </c>
      <c r="G2846" s="350" t="s">
        <v>457</v>
      </c>
      <c r="H2846" s="351">
        <f t="shared" si="48"/>
        <v>12000</v>
      </c>
      <c r="I2846" s="120" t="str">
        <f>IF(OR(D2846&lt;Capa!$A$5,D2846&gt;Capa!$A$7,E2846&lt;Capa!$A$5,E2846&gt;Capa!$A$7,D2846&gt;E2846),"Erro","")</f>
        <v/>
      </c>
    </row>
    <row r="2847" spans="1:9" ht="67.5">
      <c r="A2847" s="345">
        <v>2844</v>
      </c>
      <c r="B2847" s="346" t="s">
        <v>316</v>
      </c>
      <c r="C2847" s="347">
        <v>1000</v>
      </c>
      <c r="D2847" s="348">
        <v>46388</v>
      </c>
      <c r="E2847" s="348">
        <v>46722</v>
      </c>
      <c r="F2847" s="346" t="s">
        <v>644</v>
      </c>
      <c r="G2847" s="350" t="s">
        <v>457</v>
      </c>
      <c r="H2847" s="351">
        <f t="shared" si="48"/>
        <v>12000</v>
      </c>
      <c r="I2847" s="120" t="str">
        <f>IF(OR(D2847&lt;Capa!$A$5,D2847&gt;Capa!$A$7,E2847&lt;Capa!$A$5,E2847&gt;Capa!$A$7,D2847&gt;E2847),"Erro","")</f>
        <v/>
      </c>
    </row>
    <row r="2848" spans="1:9" ht="67.5">
      <c r="A2848" s="345">
        <v>2845</v>
      </c>
      <c r="B2848" s="346" t="s">
        <v>316</v>
      </c>
      <c r="C2848" s="347">
        <v>1000</v>
      </c>
      <c r="D2848" s="348">
        <v>46753</v>
      </c>
      <c r="E2848" s="348">
        <v>47058</v>
      </c>
      <c r="F2848" s="346" t="s">
        <v>644</v>
      </c>
      <c r="G2848" s="350" t="s">
        <v>457</v>
      </c>
      <c r="H2848" s="351">
        <f t="shared" si="48"/>
        <v>11000</v>
      </c>
      <c r="I2848" s="120" t="str">
        <f>IF(OR(D2848&lt;Capa!$A$5,D2848&gt;Capa!$A$7,E2848&lt;Capa!$A$5,E2848&gt;Capa!$A$7,D2848&gt;E2848),"Erro","")</f>
        <v/>
      </c>
    </row>
    <row r="2849" spans="1:9" ht="56.25">
      <c r="A2849" s="345">
        <v>2846</v>
      </c>
      <c r="B2849" s="346" t="s">
        <v>318</v>
      </c>
      <c r="C2849" s="347">
        <v>1800</v>
      </c>
      <c r="D2849" s="348">
        <v>45261</v>
      </c>
      <c r="E2849" s="348">
        <v>45627</v>
      </c>
      <c r="F2849" s="346" t="s">
        <v>644</v>
      </c>
      <c r="G2849" s="350" t="s">
        <v>594</v>
      </c>
      <c r="H2849" s="351">
        <f t="shared" si="48"/>
        <v>23400</v>
      </c>
      <c r="I2849" s="120" t="str">
        <f>IF(OR(D2849&lt;Capa!$A$5,D2849&gt;Capa!$A$7,E2849&lt;Capa!$A$5,E2849&gt;Capa!$A$7,D2849&gt;E2849),"Erro","")</f>
        <v/>
      </c>
    </row>
    <row r="2850" spans="1:9" ht="56.25">
      <c r="A2850" s="345">
        <v>2847</v>
      </c>
      <c r="B2850" s="346" t="s">
        <v>318</v>
      </c>
      <c r="C2850" s="347">
        <v>1500</v>
      </c>
      <c r="D2850" s="348">
        <v>45658</v>
      </c>
      <c r="E2850" s="348">
        <v>45992</v>
      </c>
      <c r="F2850" s="346" t="s">
        <v>644</v>
      </c>
      <c r="G2850" s="350" t="s">
        <v>594</v>
      </c>
      <c r="H2850" s="351">
        <f t="shared" si="48"/>
        <v>18000</v>
      </c>
      <c r="I2850" s="120" t="str">
        <f>IF(OR(D2850&lt;Capa!$A$5,D2850&gt;Capa!$A$7,E2850&lt;Capa!$A$5,E2850&gt;Capa!$A$7,D2850&gt;E2850),"Erro","")</f>
        <v/>
      </c>
    </row>
    <row r="2851" spans="1:9" ht="56.25">
      <c r="A2851" s="345">
        <v>2848</v>
      </c>
      <c r="B2851" s="346" t="s">
        <v>318</v>
      </c>
      <c r="C2851" s="347">
        <v>1500</v>
      </c>
      <c r="D2851" s="348">
        <v>46023</v>
      </c>
      <c r="E2851" s="348">
        <v>46357</v>
      </c>
      <c r="F2851" s="346" t="s">
        <v>644</v>
      </c>
      <c r="G2851" s="350" t="s">
        <v>594</v>
      </c>
      <c r="H2851" s="351">
        <f t="shared" si="48"/>
        <v>18000</v>
      </c>
      <c r="I2851" s="120" t="str">
        <f>IF(OR(D2851&lt;Capa!$A$5,D2851&gt;Capa!$A$7,E2851&lt;Capa!$A$5,E2851&gt;Capa!$A$7,D2851&gt;E2851),"Erro","")</f>
        <v/>
      </c>
    </row>
    <row r="2852" spans="1:9" ht="56.25">
      <c r="A2852" s="345">
        <v>2849</v>
      </c>
      <c r="B2852" s="346" t="s">
        <v>318</v>
      </c>
      <c r="C2852" s="347">
        <v>1500</v>
      </c>
      <c r="D2852" s="348">
        <v>46388</v>
      </c>
      <c r="E2852" s="348">
        <v>46722</v>
      </c>
      <c r="F2852" s="346" t="s">
        <v>644</v>
      </c>
      <c r="G2852" s="350" t="s">
        <v>594</v>
      </c>
      <c r="H2852" s="351">
        <f t="shared" si="48"/>
        <v>18000</v>
      </c>
      <c r="I2852" s="120" t="str">
        <f>IF(OR(D2852&lt;Capa!$A$5,D2852&gt;Capa!$A$7,E2852&lt;Capa!$A$5,E2852&gt;Capa!$A$7,D2852&gt;E2852),"Erro","")</f>
        <v/>
      </c>
    </row>
    <row r="2853" spans="1:9" ht="56.25">
      <c r="A2853" s="345">
        <v>2850</v>
      </c>
      <c r="B2853" s="346" t="s">
        <v>318</v>
      </c>
      <c r="C2853" s="347">
        <v>1500</v>
      </c>
      <c r="D2853" s="348">
        <v>46753</v>
      </c>
      <c r="E2853" s="348">
        <v>47058</v>
      </c>
      <c r="F2853" s="346" t="s">
        <v>644</v>
      </c>
      <c r="G2853" s="350" t="s">
        <v>594</v>
      </c>
      <c r="H2853" s="351">
        <f t="shared" si="48"/>
        <v>16500</v>
      </c>
      <c r="I2853" s="120" t="str">
        <f>IF(OR(D2853&lt;Capa!$A$5,D2853&gt;Capa!$A$7,E2853&lt;Capa!$A$5,E2853&gt;Capa!$A$7,D2853&gt;E2853),"Erro","")</f>
        <v/>
      </c>
    </row>
    <row r="2854" spans="1:9" ht="67.5">
      <c r="A2854" s="345">
        <v>2851</v>
      </c>
      <c r="B2854" s="346" t="s">
        <v>318</v>
      </c>
      <c r="C2854" s="347">
        <v>1800</v>
      </c>
      <c r="D2854" s="348">
        <v>45261</v>
      </c>
      <c r="E2854" s="348">
        <v>45627</v>
      </c>
      <c r="F2854" s="346" t="s">
        <v>644</v>
      </c>
      <c r="G2854" s="350" t="s">
        <v>457</v>
      </c>
      <c r="H2854" s="351">
        <f t="shared" si="48"/>
        <v>23400</v>
      </c>
      <c r="I2854" s="120" t="str">
        <f>IF(OR(D2854&lt;Capa!$A$5,D2854&gt;Capa!$A$7,E2854&lt;Capa!$A$5,E2854&gt;Capa!$A$7,D2854&gt;E2854),"Erro","")</f>
        <v/>
      </c>
    </row>
    <row r="2855" spans="1:9" ht="67.5">
      <c r="A2855" s="345">
        <v>2852</v>
      </c>
      <c r="B2855" s="346" t="s">
        <v>318</v>
      </c>
      <c r="C2855" s="347">
        <v>1500</v>
      </c>
      <c r="D2855" s="348">
        <v>45658</v>
      </c>
      <c r="E2855" s="348">
        <v>45992</v>
      </c>
      <c r="F2855" s="346" t="s">
        <v>644</v>
      </c>
      <c r="G2855" s="350" t="s">
        <v>457</v>
      </c>
      <c r="H2855" s="351">
        <f t="shared" si="48"/>
        <v>18000</v>
      </c>
      <c r="I2855" s="120" t="str">
        <f>IF(OR(D2855&lt;Capa!$A$5,D2855&gt;Capa!$A$7,E2855&lt;Capa!$A$5,E2855&gt;Capa!$A$7,D2855&gt;E2855),"Erro","")</f>
        <v/>
      </c>
    </row>
    <row r="2856" spans="1:9" ht="67.5">
      <c r="A2856" s="345">
        <v>2853</v>
      </c>
      <c r="B2856" s="346" t="s">
        <v>318</v>
      </c>
      <c r="C2856" s="347">
        <v>1500</v>
      </c>
      <c r="D2856" s="348">
        <v>46023</v>
      </c>
      <c r="E2856" s="348">
        <v>46357</v>
      </c>
      <c r="F2856" s="346" t="s">
        <v>644</v>
      </c>
      <c r="G2856" s="350" t="s">
        <v>457</v>
      </c>
      <c r="H2856" s="351">
        <f t="shared" si="48"/>
        <v>18000</v>
      </c>
      <c r="I2856" s="120" t="str">
        <f>IF(OR(D2856&lt;Capa!$A$5,D2856&gt;Capa!$A$7,E2856&lt;Capa!$A$5,E2856&gt;Capa!$A$7,D2856&gt;E2856),"Erro","")</f>
        <v/>
      </c>
    </row>
    <row r="2857" spans="1:9" ht="67.5">
      <c r="A2857" s="345">
        <v>2854</v>
      </c>
      <c r="B2857" s="346" t="s">
        <v>318</v>
      </c>
      <c r="C2857" s="347">
        <v>1500</v>
      </c>
      <c r="D2857" s="348">
        <v>46388</v>
      </c>
      <c r="E2857" s="348">
        <v>46722</v>
      </c>
      <c r="F2857" s="346" t="s">
        <v>644</v>
      </c>
      <c r="G2857" s="350" t="s">
        <v>457</v>
      </c>
      <c r="H2857" s="351">
        <f t="shared" si="48"/>
        <v>18000</v>
      </c>
      <c r="I2857" s="120" t="str">
        <f>IF(OR(D2857&lt;Capa!$A$5,D2857&gt;Capa!$A$7,E2857&lt;Capa!$A$5,E2857&gt;Capa!$A$7,D2857&gt;E2857),"Erro","")</f>
        <v/>
      </c>
    </row>
    <row r="2858" spans="1:9" ht="67.5">
      <c r="A2858" s="345">
        <v>2855</v>
      </c>
      <c r="B2858" s="346" t="s">
        <v>318</v>
      </c>
      <c r="C2858" s="347">
        <v>1500</v>
      </c>
      <c r="D2858" s="348">
        <v>46753</v>
      </c>
      <c r="E2858" s="348">
        <v>47058</v>
      </c>
      <c r="F2858" s="346" t="s">
        <v>644</v>
      </c>
      <c r="G2858" s="350" t="s">
        <v>457</v>
      </c>
      <c r="H2858" s="351">
        <f t="shared" ref="H2858:H2936" si="49">IFERROR((DATEDIF(D2858,E2858,"M")+1)*C2858,0)</f>
        <v>16500</v>
      </c>
      <c r="I2858" s="120" t="str">
        <f>IF(OR(D2858&lt;Capa!$A$5,D2858&gt;Capa!$A$7,E2858&lt;Capa!$A$5,E2858&gt;Capa!$A$7,D2858&gt;E2858),"Erro","")</f>
        <v/>
      </c>
    </row>
    <row r="2859" spans="1:9" ht="22.5">
      <c r="A2859" s="345">
        <v>2856</v>
      </c>
      <c r="B2859" s="346" t="s">
        <v>298</v>
      </c>
      <c r="C2859" s="347">
        <v>2500</v>
      </c>
      <c r="D2859" s="348">
        <v>45261</v>
      </c>
      <c r="E2859" s="348">
        <v>45627</v>
      </c>
      <c r="F2859" s="346" t="s">
        <v>644</v>
      </c>
      <c r="G2859" s="350" t="s">
        <v>458</v>
      </c>
      <c r="H2859" s="351">
        <f t="shared" si="49"/>
        <v>32500</v>
      </c>
      <c r="I2859" s="120" t="str">
        <f>IF(OR(D2859&lt;Capa!$A$5,D2859&gt;Capa!$A$7,E2859&lt;Capa!$A$5,E2859&gt;Capa!$A$7,D2859&gt;E2859),"Erro","")</f>
        <v/>
      </c>
    </row>
    <row r="2860" spans="1:9" ht="22.5">
      <c r="A2860" s="345">
        <v>2857</v>
      </c>
      <c r="B2860" s="346" t="s">
        <v>298</v>
      </c>
      <c r="C2860" s="347">
        <v>2646</v>
      </c>
      <c r="D2860" s="348">
        <v>45658</v>
      </c>
      <c r="E2860" s="348">
        <v>45992</v>
      </c>
      <c r="F2860" s="346" t="s">
        <v>644</v>
      </c>
      <c r="G2860" s="350" t="s">
        <v>458</v>
      </c>
      <c r="H2860" s="351">
        <f t="shared" si="49"/>
        <v>31752</v>
      </c>
      <c r="I2860" s="120" t="str">
        <f>IF(OR(D2860&lt;Capa!$A$5,D2860&gt;Capa!$A$7,E2860&lt;Capa!$A$5,E2860&gt;Capa!$A$7,D2860&gt;E2860),"Erro","")</f>
        <v/>
      </c>
    </row>
    <row r="2861" spans="1:9" ht="22.5">
      <c r="A2861" s="345">
        <v>2858</v>
      </c>
      <c r="B2861" s="346" t="s">
        <v>298</v>
      </c>
      <c r="C2861" s="347">
        <v>2800.52</v>
      </c>
      <c r="D2861" s="348">
        <v>46023</v>
      </c>
      <c r="E2861" s="348">
        <v>46357</v>
      </c>
      <c r="F2861" s="346" t="s">
        <v>644</v>
      </c>
      <c r="G2861" s="350" t="s">
        <v>458</v>
      </c>
      <c r="H2861" s="351">
        <f t="shared" si="49"/>
        <v>33606.239999999998</v>
      </c>
      <c r="I2861" s="120" t="str">
        <f>IF(OR(D2861&lt;Capa!$A$5,D2861&gt;Capa!$A$7,E2861&lt;Capa!$A$5,E2861&gt;Capa!$A$7,D2861&gt;E2861),"Erro","")</f>
        <v/>
      </c>
    </row>
    <row r="2862" spans="1:9" ht="22.5">
      <c r="A2862" s="345">
        <v>2859</v>
      </c>
      <c r="B2862" s="346" t="s">
        <v>298</v>
      </c>
      <c r="C2862" s="347">
        <v>2964.07</v>
      </c>
      <c r="D2862" s="348">
        <v>46388</v>
      </c>
      <c r="E2862" s="348">
        <v>46722</v>
      </c>
      <c r="F2862" s="346" t="s">
        <v>644</v>
      </c>
      <c r="G2862" s="350" t="s">
        <v>458</v>
      </c>
      <c r="H2862" s="351">
        <f t="shared" si="49"/>
        <v>35568.840000000004</v>
      </c>
      <c r="I2862" s="120" t="str">
        <f>IF(OR(D2862&lt;Capa!$A$5,D2862&gt;Capa!$A$7,E2862&lt;Capa!$A$5,E2862&gt;Capa!$A$7,D2862&gt;E2862),"Erro","")</f>
        <v/>
      </c>
    </row>
    <row r="2863" spans="1:9" ht="22.5">
      <c r="A2863" s="345">
        <v>2860</v>
      </c>
      <c r="B2863" s="346" t="s">
        <v>298</v>
      </c>
      <c r="C2863" s="347">
        <v>3137.17</v>
      </c>
      <c r="D2863" s="348">
        <v>46753</v>
      </c>
      <c r="E2863" s="348">
        <v>47058</v>
      </c>
      <c r="F2863" s="346" t="s">
        <v>644</v>
      </c>
      <c r="G2863" s="350" t="s">
        <v>458</v>
      </c>
      <c r="H2863" s="351">
        <f t="shared" si="49"/>
        <v>34508.870000000003</v>
      </c>
      <c r="I2863" s="120" t="str">
        <f>IF(OR(D2863&lt;Capa!$A$5,D2863&gt;Capa!$A$7,E2863&lt;Capa!$A$5,E2863&gt;Capa!$A$7,D2863&gt;E2863),"Erro","")</f>
        <v/>
      </c>
    </row>
    <row r="2864" spans="1:9" ht="33.75">
      <c r="A2864" s="345">
        <v>2861</v>
      </c>
      <c r="B2864" s="346" t="s">
        <v>238</v>
      </c>
      <c r="C2864" s="347">
        <v>370.44</v>
      </c>
      <c r="D2864" s="348">
        <v>45658</v>
      </c>
      <c r="E2864" s="348">
        <v>45992</v>
      </c>
      <c r="F2864" s="346" t="s">
        <v>644</v>
      </c>
      <c r="G2864" s="350" t="s">
        <v>459</v>
      </c>
      <c r="H2864" s="351">
        <f t="shared" si="49"/>
        <v>4445.28</v>
      </c>
      <c r="I2864" s="120" t="str">
        <f>IF(OR(D2864&lt;Capa!$A$5,D2864&gt;Capa!$A$7,E2864&lt;Capa!$A$5,E2864&gt;Capa!$A$7,D2864&gt;E2864),"Erro","")</f>
        <v/>
      </c>
    </row>
    <row r="2865" spans="1:9" ht="33.75">
      <c r="A2865" s="345">
        <v>2862</v>
      </c>
      <c r="B2865" s="346" t="s">
        <v>238</v>
      </c>
      <c r="C2865" s="347">
        <v>392.07</v>
      </c>
      <c r="D2865" s="348">
        <v>46023</v>
      </c>
      <c r="E2865" s="348">
        <v>46357</v>
      </c>
      <c r="F2865" s="346" t="s">
        <v>644</v>
      </c>
      <c r="G2865" s="350" t="s">
        <v>459</v>
      </c>
      <c r="H2865" s="351">
        <f t="shared" si="49"/>
        <v>4704.84</v>
      </c>
      <c r="I2865" s="120" t="str">
        <f>IF(OR(D2865&lt;Capa!$A$5,D2865&gt;Capa!$A$7,E2865&lt;Capa!$A$5,E2865&gt;Capa!$A$7,D2865&gt;E2865),"Erro","")</f>
        <v/>
      </c>
    </row>
    <row r="2866" spans="1:9" ht="33.75">
      <c r="A2866" s="345">
        <v>2863</v>
      </c>
      <c r="B2866" s="346" t="s">
        <v>238</v>
      </c>
      <c r="C2866" s="347">
        <v>414.97</v>
      </c>
      <c r="D2866" s="348">
        <v>46388</v>
      </c>
      <c r="E2866" s="348">
        <v>46722</v>
      </c>
      <c r="F2866" s="346" t="s">
        <v>644</v>
      </c>
      <c r="G2866" s="350" t="s">
        <v>459</v>
      </c>
      <c r="H2866" s="351">
        <f t="shared" si="49"/>
        <v>4979.6400000000003</v>
      </c>
      <c r="I2866" s="120" t="str">
        <f>IF(OR(D2866&lt;Capa!$A$5,D2866&gt;Capa!$A$7,E2866&lt;Capa!$A$5,E2866&gt;Capa!$A$7,D2866&gt;E2866),"Erro","")</f>
        <v/>
      </c>
    </row>
    <row r="2867" spans="1:9" ht="33.75">
      <c r="A2867" s="345">
        <v>2864</v>
      </c>
      <c r="B2867" s="346" t="s">
        <v>238</v>
      </c>
      <c r="C2867" s="347">
        <v>439.21</v>
      </c>
      <c r="D2867" s="348">
        <v>46753</v>
      </c>
      <c r="E2867" s="348">
        <v>47058</v>
      </c>
      <c r="F2867" s="346" t="s">
        <v>644</v>
      </c>
      <c r="G2867" s="350" t="s">
        <v>459</v>
      </c>
      <c r="H2867" s="351">
        <f t="shared" si="49"/>
        <v>4831.3099999999995</v>
      </c>
      <c r="I2867" s="120" t="str">
        <f>IF(OR(D2867&lt;Capa!$A$5,D2867&gt;Capa!$A$7,E2867&lt;Capa!$A$5,E2867&gt;Capa!$A$7,D2867&gt;E2867),"Erro","")</f>
        <v/>
      </c>
    </row>
    <row r="2868" spans="1:9" ht="56.25">
      <c r="A2868" s="345">
        <v>2865</v>
      </c>
      <c r="B2868" s="346" t="s">
        <v>252</v>
      </c>
      <c r="C2868" s="347">
        <v>7000</v>
      </c>
      <c r="D2868" s="348">
        <v>45261</v>
      </c>
      <c r="E2868" s="348">
        <v>45627</v>
      </c>
      <c r="F2868" s="346" t="s">
        <v>644</v>
      </c>
      <c r="G2868" s="350" t="s">
        <v>460</v>
      </c>
      <c r="H2868" s="351">
        <f t="shared" si="49"/>
        <v>91000</v>
      </c>
      <c r="I2868" s="120" t="str">
        <f>IF(OR(D2868&lt;Capa!$A$5,D2868&gt;Capa!$A$7,E2868&lt;Capa!$A$5,E2868&gt;Capa!$A$7,D2868&gt;E2868),"Erro","")</f>
        <v/>
      </c>
    </row>
    <row r="2869" spans="1:9" ht="56.25">
      <c r="A2869" s="345">
        <v>2866</v>
      </c>
      <c r="B2869" s="346" t="s">
        <v>252</v>
      </c>
      <c r="C2869" s="347">
        <v>7408.8</v>
      </c>
      <c r="D2869" s="348">
        <v>45658</v>
      </c>
      <c r="E2869" s="348">
        <v>45992</v>
      </c>
      <c r="F2869" s="346" t="s">
        <v>644</v>
      </c>
      <c r="G2869" s="350" t="s">
        <v>460</v>
      </c>
      <c r="H2869" s="351">
        <f t="shared" si="49"/>
        <v>88905.600000000006</v>
      </c>
      <c r="I2869" s="120" t="str">
        <f>IF(OR(D2869&lt;Capa!$A$5,D2869&gt;Capa!$A$7,E2869&lt;Capa!$A$5,E2869&gt;Capa!$A$7,D2869&gt;E2869),"Erro","")</f>
        <v/>
      </c>
    </row>
    <row r="2870" spans="1:9" ht="56.25">
      <c r="A2870" s="345">
        <v>2867</v>
      </c>
      <c r="B2870" s="346" t="s">
        <v>252</v>
      </c>
      <c r="C2870" s="347">
        <v>7847.65</v>
      </c>
      <c r="D2870" s="348">
        <v>46023</v>
      </c>
      <c r="E2870" s="348">
        <v>46357</v>
      </c>
      <c r="F2870" s="346" t="s">
        <v>644</v>
      </c>
      <c r="G2870" s="350" t="s">
        <v>460</v>
      </c>
      <c r="H2870" s="351">
        <f t="shared" si="49"/>
        <v>94171.799999999988</v>
      </c>
      <c r="I2870" s="120" t="str">
        <f>IF(OR(D2870&lt;Capa!$A$5,D2870&gt;Capa!$A$7,E2870&lt;Capa!$A$5,E2870&gt;Capa!$A$7,D2870&gt;E2870),"Erro","")</f>
        <v/>
      </c>
    </row>
    <row r="2871" spans="1:9" ht="56.25">
      <c r="A2871" s="345">
        <v>2868</v>
      </c>
      <c r="B2871" s="346" t="s">
        <v>252</v>
      </c>
      <c r="C2871" s="347">
        <v>8305.9500000000007</v>
      </c>
      <c r="D2871" s="348">
        <v>46388</v>
      </c>
      <c r="E2871" s="348">
        <v>46722</v>
      </c>
      <c r="F2871" s="346" t="s">
        <v>644</v>
      </c>
      <c r="G2871" s="350" t="s">
        <v>460</v>
      </c>
      <c r="H2871" s="351">
        <f t="shared" si="49"/>
        <v>99671.400000000009</v>
      </c>
      <c r="I2871" s="120" t="str">
        <f>IF(OR(D2871&lt;Capa!$A$5,D2871&gt;Capa!$A$7,E2871&lt;Capa!$A$5,E2871&gt;Capa!$A$7,D2871&gt;E2871),"Erro","")</f>
        <v/>
      </c>
    </row>
    <row r="2872" spans="1:9" ht="56.25">
      <c r="A2872" s="345">
        <v>2869</v>
      </c>
      <c r="B2872" s="346" t="s">
        <v>252</v>
      </c>
      <c r="C2872" s="347">
        <v>8791.02</v>
      </c>
      <c r="D2872" s="348">
        <v>46753</v>
      </c>
      <c r="E2872" s="348">
        <v>47058</v>
      </c>
      <c r="F2872" s="346" t="s">
        <v>644</v>
      </c>
      <c r="G2872" s="350" t="s">
        <v>460</v>
      </c>
      <c r="H2872" s="351">
        <f t="shared" si="49"/>
        <v>96701.22</v>
      </c>
      <c r="I2872" s="120" t="str">
        <f>IF(OR(D2872&lt;Capa!$A$5,D2872&gt;Capa!$A$7,E2872&lt;Capa!$A$5,E2872&gt;Capa!$A$7,D2872&gt;E2872),"Erro","")</f>
        <v/>
      </c>
    </row>
    <row r="2873" spans="1:9" ht="45">
      <c r="A2873" s="345">
        <v>2870</v>
      </c>
      <c r="B2873" s="346" t="s">
        <v>320</v>
      </c>
      <c r="C2873" s="347">
        <v>4545.7737500000003</v>
      </c>
      <c r="D2873" s="348">
        <v>45778</v>
      </c>
      <c r="E2873" s="348">
        <v>45992</v>
      </c>
      <c r="F2873" s="346" t="s">
        <v>644</v>
      </c>
      <c r="G2873" s="350" t="s">
        <v>596</v>
      </c>
      <c r="H2873" s="351">
        <f t="shared" si="49"/>
        <v>36366.19</v>
      </c>
    </row>
    <row r="2874" spans="1:9" ht="45">
      <c r="A2874" s="345">
        <v>2871</v>
      </c>
      <c r="B2874" s="346" t="s">
        <v>320</v>
      </c>
      <c r="C2874" s="347">
        <v>250</v>
      </c>
      <c r="D2874" s="348">
        <v>45748</v>
      </c>
      <c r="E2874" s="348">
        <v>47058</v>
      </c>
      <c r="F2874" s="346" t="s">
        <v>644</v>
      </c>
      <c r="G2874" s="350" t="s">
        <v>596</v>
      </c>
      <c r="H2874" s="351">
        <f t="shared" si="49"/>
        <v>11000</v>
      </c>
      <c r="I2874" s="120" t="str">
        <f>IF(OR(D2874&lt;Capa!$A$5,D2874&gt;Capa!$A$7,E2874&lt;Capa!$A$5,E2874&gt;Capa!$A$7,D2874&gt;E2874),"Erro","")</f>
        <v/>
      </c>
    </row>
    <row r="2875" spans="1:9" ht="45">
      <c r="A2875" s="345">
        <v>2872</v>
      </c>
      <c r="B2875" s="346" t="s">
        <v>652</v>
      </c>
      <c r="C2875" s="347">
        <v>15000</v>
      </c>
      <c r="D2875" s="348">
        <v>45323</v>
      </c>
      <c r="E2875" s="348">
        <v>45323</v>
      </c>
      <c r="F2875" s="346" t="s">
        <v>644</v>
      </c>
      <c r="G2875" s="350" t="s">
        <v>624</v>
      </c>
      <c r="H2875" s="351">
        <f t="shared" si="49"/>
        <v>15000</v>
      </c>
      <c r="I2875" s="120" t="str">
        <f>IF(OR(D2875&lt;Capa!$A$5,D2875&gt;Capa!$A$7,E2875&lt;Capa!$A$5,E2875&gt;Capa!$A$7,D2875&gt;E2875),"Erro","")</f>
        <v/>
      </c>
    </row>
    <row r="2876" spans="1:9" ht="45">
      <c r="A2876" s="345">
        <v>2873</v>
      </c>
      <c r="B2876" s="346" t="s">
        <v>652</v>
      </c>
      <c r="C2876" s="347">
        <v>10000</v>
      </c>
      <c r="D2876" s="348">
        <v>46023</v>
      </c>
      <c r="E2876" s="348">
        <v>46023</v>
      </c>
      <c r="F2876" s="346" t="s">
        <v>644</v>
      </c>
      <c r="G2876" s="350" t="s">
        <v>624</v>
      </c>
      <c r="H2876" s="351">
        <f t="shared" si="49"/>
        <v>10000</v>
      </c>
      <c r="I2876" s="120" t="str">
        <f>IF(OR(D2876&lt;Capa!$A$5,D2876&gt;Capa!$A$7,E2876&lt;Capa!$A$5,E2876&gt;Capa!$A$7,D2876&gt;E2876),"Erro","")</f>
        <v/>
      </c>
    </row>
    <row r="2877" spans="1:9" ht="45">
      <c r="A2877" s="345">
        <v>2874</v>
      </c>
      <c r="B2877" s="346" t="s">
        <v>652</v>
      </c>
      <c r="C2877" s="347">
        <v>10000</v>
      </c>
      <c r="D2877" s="348">
        <v>46753</v>
      </c>
      <c r="E2877" s="348">
        <v>46753</v>
      </c>
      <c r="F2877" s="346" t="s">
        <v>644</v>
      </c>
      <c r="G2877" s="350" t="s">
        <v>624</v>
      </c>
      <c r="H2877" s="351">
        <f t="shared" si="49"/>
        <v>10000</v>
      </c>
      <c r="I2877" s="120" t="str">
        <f>IF(OR(D2877&lt;Capa!$A$5,D2877&gt;Capa!$A$7,E2877&lt;Capa!$A$5,E2877&gt;Capa!$A$7,D2877&gt;E2877),"Erro","")</f>
        <v/>
      </c>
    </row>
    <row r="2878" spans="1:9" ht="33.75">
      <c r="A2878" s="345">
        <v>2875</v>
      </c>
      <c r="B2878" s="346" t="s">
        <v>651</v>
      </c>
      <c r="C2878" s="347">
        <v>180</v>
      </c>
      <c r="D2878" s="348">
        <v>45261</v>
      </c>
      <c r="E2878" s="348">
        <v>47058</v>
      </c>
      <c r="F2878" s="346" t="s">
        <v>644</v>
      </c>
      <c r="G2878" s="350" t="s">
        <v>710</v>
      </c>
      <c r="H2878" s="351">
        <f t="shared" si="49"/>
        <v>10800</v>
      </c>
      <c r="I2878" s="120" t="str">
        <f>IF(OR(D2878&lt;Capa!$A$5,D2878&gt;Capa!$A$7,E2878&lt;Capa!$A$5,E2878&gt;Capa!$A$7,D2878&gt;E2878),"Erro","")</f>
        <v/>
      </c>
    </row>
    <row r="2879" spans="1:9" ht="22.5">
      <c r="A2879" s="345">
        <v>2876</v>
      </c>
      <c r="B2879" s="346" t="s">
        <v>653</v>
      </c>
      <c r="C2879" s="347">
        <v>1930</v>
      </c>
      <c r="D2879" s="348">
        <v>45292</v>
      </c>
      <c r="E2879" s="348">
        <v>45627</v>
      </c>
      <c r="F2879" s="346" t="s">
        <v>644</v>
      </c>
      <c r="G2879" s="350" t="s">
        <v>712</v>
      </c>
      <c r="H2879" s="351">
        <f t="shared" si="49"/>
        <v>23160</v>
      </c>
    </row>
    <row r="2880" spans="1:9" ht="22.5">
      <c r="A2880" s="345">
        <v>2877</v>
      </c>
      <c r="B2880" s="346" t="s">
        <v>653</v>
      </c>
      <c r="C2880" s="347">
        <v>1930</v>
      </c>
      <c r="D2880" s="348">
        <v>45658</v>
      </c>
      <c r="E2880" s="348">
        <v>47058</v>
      </c>
      <c r="F2880" s="346" t="s">
        <v>644</v>
      </c>
      <c r="G2880" s="350" t="s">
        <v>712</v>
      </c>
      <c r="H2880" s="351">
        <f t="shared" si="49"/>
        <v>90710</v>
      </c>
      <c r="I2880" s="120" t="str">
        <f>IF(OR(D2880&lt;Capa!$A$5,D2880&gt;Capa!$A$7,E2880&lt;Capa!$A$5,E2880&gt;Capa!$A$7,D2880&gt;E2880),"Erro","")</f>
        <v/>
      </c>
    </row>
    <row r="2881" spans="1:9" ht="33.75">
      <c r="A2881" s="345">
        <v>2878</v>
      </c>
      <c r="B2881" s="346" t="s">
        <v>648</v>
      </c>
      <c r="C2881" s="347">
        <v>1920</v>
      </c>
      <c r="D2881" s="348">
        <v>45323</v>
      </c>
      <c r="E2881" s="348">
        <v>45323</v>
      </c>
      <c r="F2881" s="346" t="s">
        <v>644</v>
      </c>
      <c r="G2881" s="350" t="s">
        <v>670</v>
      </c>
      <c r="H2881" s="351">
        <f t="shared" si="49"/>
        <v>1920</v>
      </c>
      <c r="I2881" s="120" t="str">
        <f>IF(OR(D2881&lt;Capa!$A$5,D2881&gt;Capa!$A$7,E2881&lt;Capa!$A$5,E2881&gt;Capa!$A$7,D2881&gt;E2881),"Erro","")</f>
        <v/>
      </c>
    </row>
    <row r="2882" spans="1:9" ht="33.75">
      <c r="A2882" s="345">
        <v>2879</v>
      </c>
      <c r="B2882" s="346" t="s">
        <v>648</v>
      </c>
      <c r="C2882" s="347">
        <v>2032.12</v>
      </c>
      <c r="D2882" s="348">
        <v>45658</v>
      </c>
      <c r="E2882" s="348">
        <v>45658</v>
      </c>
      <c r="F2882" s="346" t="s">
        <v>644</v>
      </c>
      <c r="G2882" s="350" t="s">
        <v>670</v>
      </c>
      <c r="H2882" s="351">
        <f t="shared" si="49"/>
        <v>2032.12</v>
      </c>
      <c r="I2882" s="120" t="str">
        <f>IF(OR(D2882&lt;Capa!$A$5,D2882&gt;Capa!$A$7,E2882&lt;Capa!$A$5,E2882&gt;Capa!$A$7,D2882&gt;E2882),"Erro","")</f>
        <v/>
      </c>
    </row>
    <row r="2883" spans="1:9" ht="33.75">
      <c r="A2883" s="345">
        <v>2880</v>
      </c>
      <c r="B2883" s="346" t="s">
        <v>648</v>
      </c>
      <c r="C2883" s="347">
        <v>2150.8000000000002</v>
      </c>
      <c r="D2883" s="348">
        <v>46023</v>
      </c>
      <c r="E2883" s="348">
        <v>46023</v>
      </c>
      <c r="F2883" s="346" t="s">
        <v>644</v>
      </c>
      <c r="G2883" s="350" t="s">
        <v>670</v>
      </c>
      <c r="H2883" s="351">
        <f t="shared" si="49"/>
        <v>2150.8000000000002</v>
      </c>
      <c r="I2883" s="120" t="str">
        <f>IF(OR(D2883&lt;Capa!$A$5,D2883&gt;Capa!$A$7,E2883&lt;Capa!$A$5,E2883&gt;Capa!$A$7,D2883&gt;E2883),"Erro","")</f>
        <v/>
      </c>
    </row>
    <row r="2884" spans="1:9" ht="33.75">
      <c r="A2884" s="345">
        <v>2881</v>
      </c>
      <c r="B2884" s="346" t="s">
        <v>648</v>
      </c>
      <c r="C2884" s="347">
        <v>2276.41</v>
      </c>
      <c r="D2884" s="348">
        <v>46388</v>
      </c>
      <c r="E2884" s="348">
        <v>46388</v>
      </c>
      <c r="F2884" s="346" t="s">
        <v>644</v>
      </c>
      <c r="G2884" s="350" t="s">
        <v>670</v>
      </c>
      <c r="H2884" s="351">
        <f t="shared" si="49"/>
        <v>2276.41</v>
      </c>
      <c r="I2884" s="120" t="str">
        <f>IF(OR(D2884&lt;Capa!$A$5,D2884&gt;Capa!$A$7,E2884&lt;Capa!$A$5,E2884&gt;Capa!$A$7,D2884&gt;E2884),"Erro","")</f>
        <v/>
      </c>
    </row>
    <row r="2885" spans="1:9" ht="33.75">
      <c r="A2885" s="345">
        <v>2882</v>
      </c>
      <c r="B2885" s="346" t="s">
        <v>648</v>
      </c>
      <c r="C2885" s="347">
        <v>2499.35</v>
      </c>
      <c r="D2885" s="348">
        <v>46753</v>
      </c>
      <c r="E2885" s="348">
        <v>46753</v>
      </c>
      <c r="F2885" s="346" t="s">
        <v>644</v>
      </c>
      <c r="G2885" s="350" t="s">
        <v>670</v>
      </c>
      <c r="H2885" s="351">
        <f t="shared" si="49"/>
        <v>2499.35</v>
      </c>
      <c r="I2885" s="120" t="str">
        <f>IF(OR(D2885&lt;Capa!$A$5,D2885&gt;Capa!$A$7,E2885&lt;Capa!$A$5,E2885&gt;Capa!$A$7,D2885&gt;E2885),"Erro","")</f>
        <v/>
      </c>
    </row>
    <row r="2886" spans="1:9" ht="22.5">
      <c r="A2886" s="345">
        <v>2883</v>
      </c>
      <c r="B2886" s="346" t="s">
        <v>649</v>
      </c>
      <c r="C2886" s="347">
        <v>70000</v>
      </c>
      <c r="D2886" s="348">
        <v>45748</v>
      </c>
      <c r="E2886" s="348">
        <v>45748</v>
      </c>
      <c r="F2886" s="346" t="s">
        <v>644</v>
      </c>
      <c r="G2886" s="350" t="s">
        <v>739</v>
      </c>
      <c r="H2886" s="351">
        <f t="shared" si="49"/>
        <v>70000</v>
      </c>
    </row>
    <row r="2887" spans="1:9" ht="33.75">
      <c r="A2887" s="345">
        <v>2884</v>
      </c>
      <c r="B2887" s="346" t="s">
        <v>649</v>
      </c>
      <c r="C2887" s="347">
        <v>1643</v>
      </c>
      <c r="D2887" s="348">
        <v>45292</v>
      </c>
      <c r="E2887" s="348">
        <v>47058</v>
      </c>
      <c r="F2887" s="346" t="s">
        <v>644</v>
      </c>
      <c r="G2887" s="350" t="s">
        <v>705</v>
      </c>
      <c r="H2887" s="351">
        <f t="shared" si="49"/>
        <v>96937</v>
      </c>
      <c r="I2887" s="120" t="str">
        <f>IF(OR(D2887&lt;Capa!$A$5,D2887&gt;Capa!$A$7,E2887&lt;Capa!$A$5,E2887&gt;Capa!$A$7,D2887&gt;E2887),"Erro","")</f>
        <v/>
      </c>
    </row>
    <row r="2888" spans="1:9" ht="33.75">
      <c r="A2888" s="345">
        <v>2885</v>
      </c>
      <c r="B2888" s="346" t="s">
        <v>654</v>
      </c>
      <c r="C2888" s="347">
        <v>600</v>
      </c>
      <c r="D2888" s="348">
        <v>45261</v>
      </c>
      <c r="E2888" s="348">
        <v>45627</v>
      </c>
      <c r="F2888" s="346" t="s">
        <v>644</v>
      </c>
      <c r="G2888" s="350" t="s">
        <v>706</v>
      </c>
      <c r="H2888" s="351">
        <f t="shared" si="49"/>
        <v>7800</v>
      </c>
    </row>
    <row r="2889" spans="1:9" ht="33.75">
      <c r="A2889" s="345">
        <v>2886</v>
      </c>
      <c r="B2889" s="346" t="s">
        <v>654</v>
      </c>
      <c r="C2889" s="347">
        <v>1100</v>
      </c>
      <c r="D2889" s="348">
        <v>45658</v>
      </c>
      <c r="E2889" s="348">
        <v>47058</v>
      </c>
      <c r="F2889" s="346" t="s">
        <v>644</v>
      </c>
      <c r="G2889" s="350" t="s">
        <v>706</v>
      </c>
      <c r="H2889" s="351">
        <f t="shared" si="49"/>
        <v>51700</v>
      </c>
      <c r="I2889" s="120" t="str">
        <f>IF(OR(D2889&lt;Capa!$A$5,D2889&gt;Capa!$A$7,E2889&lt;Capa!$A$5,E2889&gt;Capa!$A$7,D2889&gt;E2889),"Erro","")</f>
        <v/>
      </c>
    </row>
    <row r="2890" spans="1:9" ht="22.5">
      <c r="A2890" s="345">
        <v>2887</v>
      </c>
      <c r="B2890" s="346" t="s">
        <v>656</v>
      </c>
      <c r="C2890" s="347">
        <v>200</v>
      </c>
      <c r="D2890" s="348">
        <v>45261</v>
      </c>
      <c r="E2890" s="348">
        <v>47058</v>
      </c>
      <c r="F2890" s="346" t="s">
        <v>644</v>
      </c>
      <c r="G2890" s="350" t="s">
        <v>707</v>
      </c>
      <c r="H2890" s="351">
        <f t="shared" si="49"/>
        <v>12000</v>
      </c>
      <c r="I2890" s="120" t="str">
        <f>IF(OR(D2890&lt;Capa!$A$5,D2890&gt;Capa!$A$7,E2890&lt;Capa!$A$5,E2890&gt;Capa!$A$7,D2890&gt;E2890),"Erro","")</f>
        <v/>
      </c>
    </row>
    <row r="2891" spans="1:9" ht="22.5">
      <c r="A2891" s="345">
        <v>2888</v>
      </c>
      <c r="B2891" s="346" t="s">
        <v>658</v>
      </c>
      <c r="C2891" s="347">
        <v>50</v>
      </c>
      <c r="D2891" s="348">
        <v>45261</v>
      </c>
      <c r="E2891" s="348">
        <v>47058</v>
      </c>
      <c r="F2891" s="346" t="s">
        <v>644</v>
      </c>
      <c r="G2891" s="350" t="s">
        <v>709</v>
      </c>
      <c r="H2891" s="351">
        <f t="shared" si="49"/>
        <v>3000</v>
      </c>
      <c r="I2891" s="120" t="str">
        <f>IF(OR(D2891&lt;Capa!$A$5,D2891&gt;Capa!$A$7,E2891&lt;Capa!$A$5,E2891&gt;Capa!$A$7,D2891&gt;E2891),"Erro","")</f>
        <v/>
      </c>
    </row>
    <row r="2892" spans="1:9" ht="33.75">
      <c r="A2892" s="345">
        <v>2889</v>
      </c>
      <c r="B2892" s="346" t="s">
        <v>657</v>
      </c>
      <c r="C2892" s="347">
        <v>350</v>
      </c>
      <c r="D2892" s="348">
        <v>45658</v>
      </c>
      <c r="E2892" s="348">
        <v>47058</v>
      </c>
      <c r="F2892" s="346" t="s">
        <v>644</v>
      </c>
      <c r="G2892" s="350" t="s">
        <v>708</v>
      </c>
      <c r="H2892" s="351">
        <f t="shared" si="49"/>
        <v>16450</v>
      </c>
      <c r="I2892" s="120" t="str">
        <f>IF(OR(D2892&lt;Capa!$A$5,D2892&gt;Capa!$A$7,E2892&lt;Capa!$A$5,E2892&gt;Capa!$A$7,D2892&gt;E2892),"Erro","")</f>
        <v/>
      </c>
    </row>
    <row r="2893" spans="1:9" ht="33.75">
      <c r="A2893" s="345">
        <v>2890</v>
      </c>
      <c r="B2893" s="346" t="s">
        <v>650</v>
      </c>
      <c r="C2893" s="347">
        <v>70</v>
      </c>
      <c r="D2893" s="348">
        <v>45352</v>
      </c>
      <c r="E2893" s="348">
        <v>47058</v>
      </c>
      <c r="F2893" s="346" t="s">
        <v>644</v>
      </c>
      <c r="G2893" s="350" t="s">
        <v>711</v>
      </c>
      <c r="H2893" s="351">
        <f t="shared" si="49"/>
        <v>3990</v>
      </c>
      <c r="I2893" s="120" t="str">
        <f>IF(OR(D2893&lt;Capa!$A$5,D2893&gt;Capa!$A$7,E2893&lt;Capa!$A$5,E2893&gt;Capa!$A$7,D2893&gt;E2893),"Erro","")</f>
        <v/>
      </c>
    </row>
    <row r="2894" spans="1:9" ht="22.5">
      <c r="A2894" s="345">
        <v>2891</v>
      </c>
      <c r="B2894" s="346" t="s">
        <v>198</v>
      </c>
      <c r="C2894" s="347">
        <v>5500</v>
      </c>
      <c r="D2894" s="348">
        <v>45261</v>
      </c>
      <c r="E2894" s="348">
        <v>45627</v>
      </c>
      <c r="F2894" s="346" t="s">
        <v>645</v>
      </c>
      <c r="G2894" s="350" t="s">
        <v>438</v>
      </c>
      <c r="H2894" s="351">
        <f t="shared" si="49"/>
        <v>71500</v>
      </c>
      <c r="I2894" s="120" t="str">
        <f>IF(OR(D2894&lt;Capa!$A$5,D2894&gt;Capa!$A$7,E2894&lt;Capa!$A$5,E2894&gt;Capa!$A$7,D2894&gt;E2894),"Erro","")</f>
        <v/>
      </c>
    </row>
    <row r="2895" spans="1:9" ht="22.5">
      <c r="A2895" s="345">
        <v>2892</v>
      </c>
      <c r="B2895" s="346" t="s">
        <v>198</v>
      </c>
      <c r="C2895" s="347">
        <v>5821.2</v>
      </c>
      <c r="D2895" s="348">
        <v>45658</v>
      </c>
      <c r="E2895" s="348">
        <v>45992</v>
      </c>
      <c r="F2895" s="346" t="s">
        <v>645</v>
      </c>
      <c r="G2895" s="350" t="s">
        <v>438</v>
      </c>
      <c r="H2895" s="351">
        <f t="shared" si="49"/>
        <v>69854.399999999994</v>
      </c>
      <c r="I2895" s="120" t="str">
        <f>IF(OR(D2895&lt;Capa!$A$5,D2895&gt;Capa!$A$7,E2895&lt;Capa!$A$5,E2895&gt;Capa!$A$7,D2895&gt;E2895),"Erro","")</f>
        <v/>
      </c>
    </row>
    <row r="2896" spans="1:9" ht="22.5">
      <c r="A2896" s="345">
        <v>2893</v>
      </c>
      <c r="B2896" s="346" t="s">
        <v>198</v>
      </c>
      <c r="C2896" s="347">
        <v>6161.16</v>
      </c>
      <c r="D2896" s="348">
        <v>46023</v>
      </c>
      <c r="E2896" s="348">
        <v>46357</v>
      </c>
      <c r="F2896" s="346" t="s">
        <v>645</v>
      </c>
      <c r="G2896" s="350" t="s">
        <v>438</v>
      </c>
      <c r="H2896" s="351">
        <f t="shared" si="49"/>
        <v>73933.919999999998</v>
      </c>
      <c r="I2896" s="120" t="str">
        <f>IF(OR(D2896&lt;Capa!$A$5,D2896&gt;Capa!$A$7,E2896&lt;Capa!$A$5,E2896&gt;Capa!$A$7,D2896&gt;E2896),"Erro","")</f>
        <v/>
      </c>
    </row>
    <row r="2897" spans="1:9" ht="22.5">
      <c r="A2897" s="345">
        <v>2894</v>
      </c>
      <c r="B2897" s="346" t="s">
        <v>198</v>
      </c>
      <c r="C2897" s="347">
        <v>6520.97</v>
      </c>
      <c r="D2897" s="348">
        <v>46388</v>
      </c>
      <c r="E2897" s="348">
        <v>46722</v>
      </c>
      <c r="F2897" s="346" t="s">
        <v>645</v>
      </c>
      <c r="G2897" s="350" t="s">
        <v>438</v>
      </c>
      <c r="H2897" s="351">
        <f t="shared" si="49"/>
        <v>78251.64</v>
      </c>
      <c r="I2897" s="120" t="str">
        <f>IF(OR(D2897&lt;Capa!$A$5,D2897&gt;Capa!$A$7,E2897&lt;Capa!$A$5,E2897&gt;Capa!$A$7,D2897&gt;E2897),"Erro","")</f>
        <v/>
      </c>
    </row>
    <row r="2898" spans="1:9" ht="22.5">
      <c r="A2898" s="345">
        <v>2895</v>
      </c>
      <c r="B2898" s="346" t="s">
        <v>198</v>
      </c>
      <c r="C2898" s="347">
        <v>6901.79</v>
      </c>
      <c r="D2898" s="348">
        <v>46753</v>
      </c>
      <c r="E2898" s="348">
        <v>47058</v>
      </c>
      <c r="F2898" s="346" t="s">
        <v>645</v>
      </c>
      <c r="G2898" s="350" t="s">
        <v>438</v>
      </c>
      <c r="H2898" s="351">
        <f t="shared" si="49"/>
        <v>75919.69</v>
      </c>
      <c r="I2898" s="120" t="str">
        <f>IF(OR(D2898&lt;Capa!$A$5,D2898&gt;Capa!$A$7,E2898&lt;Capa!$A$5,E2898&gt;Capa!$A$7,D2898&gt;E2898),"Erro","")</f>
        <v/>
      </c>
    </row>
    <row r="2899" spans="1:9" ht="22.5">
      <c r="A2899" s="345">
        <v>2896</v>
      </c>
      <c r="B2899" s="346" t="s">
        <v>202</v>
      </c>
      <c r="C2899" s="347">
        <v>999.49</v>
      </c>
      <c r="D2899" s="348">
        <v>45292</v>
      </c>
      <c r="E2899" s="348">
        <v>45352</v>
      </c>
      <c r="F2899" s="346" t="s">
        <v>645</v>
      </c>
      <c r="G2899" s="350" t="s">
        <v>439</v>
      </c>
      <c r="H2899" s="351">
        <f t="shared" si="49"/>
        <v>2998.4700000000003</v>
      </c>
      <c r="I2899" s="120" t="str">
        <f>IF(OR(D2899&lt;Capa!$A$5,D2899&gt;Capa!$A$7,E2899&lt;Capa!$A$5,E2899&gt;Capa!$A$7,D2899&gt;E2899),"Erro","")</f>
        <v/>
      </c>
    </row>
    <row r="2900" spans="1:9" ht="22.5">
      <c r="A2900" s="345">
        <v>2897</v>
      </c>
      <c r="B2900" s="346" t="s">
        <v>202</v>
      </c>
      <c r="C2900" s="347">
        <v>1057.8499999999999</v>
      </c>
      <c r="D2900" s="348">
        <v>45658</v>
      </c>
      <c r="E2900" s="348">
        <v>45717</v>
      </c>
      <c r="F2900" s="346" t="s">
        <v>645</v>
      </c>
      <c r="G2900" s="350" t="s">
        <v>439</v>
      </c>
      <c r="H2900" s="351">
        <f t="shared" si="49"/>
        <v>3173.5499999999997</v>
      </c>
      <c r="I2900" s="120" t="str">
        <f>IF(OR(D2900&lt;Capa!$A$5,D2900&gt;Capa!$A$7,E2900&lt;Capa!$A$5,E2900&gt;Capa!$A$7,D2900&gt;E2900),"Erro","")</f>
        <v/>
      </c>
    </row>
    <row r="2901" spans="1:9" ht="22.5">
      <c r="A2901" s="345">
        <v>2898</v>
      </c>
      <c r="B2901" s="346" t="s">
        <v>202</v>
      </c>
      <c r="C2901" s="347">
        <v>1119.6400000000001</v>
      </c>
      <c r="D2901" s="348">
        <v>46023</v>
      </c>
      <c r="E2901" s="348">
        <v>46082</v>
      </c>
      <c r="F2901" s="346" t="s">
        <v>645</v>
      </c>
      <c r="G2901" s="350" t="s">
        <v>439</v>
      </c>
      <c r="H2901" s="351">
        <f t="shared" si="49"/>
        <v>3358.92</v>
      </c>
      <c r="I2901" s="120" t="str">
        <f>IF(OR(D2901&lt;Capa!$A$5,D2901&gt;Capa!$A$7,E2901&lt;Capa!$A$5,E2901&gt;Capa!$A$7,D2901&gt;E2901),"Erro","")</f>
        <v/>
      </c>
    </row>
    <row r="2902" spans="1:9" ht="22.5">
      <c r="A2902" s="345">
        <v>2899</v>
      </c>
      <c r="B2902" s="346" t="s">
        <v>202</v>
      </c>
      <c r="C2902" s="347">
        <v>1185.02</v>
      </c>
      <c r="D2902" s="348">
        <v>46388</v>
      </c>
      <c r="E2902" s="348">
        <v>46447</v>
      </c>
      <c r="F2902" s="346" t="s">
        <v>645</v>
      </c>
      <c r="G2902" s="350" t="s">
        <v>439</v>
      </c>
      <c r="H2902" s="351">
        <f t="shared" si="49"/>
        <v>3555.06</v>
      </c>
      <c r="I2902" s="120" t="str">
        <f>IF(OR(D2902&lt;Capa!$A$5,D2902&gt;Capa!$A$7,E2902&lt;Capa!$A$5,E2902&gt;Capa!$A$7,D2902&gt;E2902),"Erro","")</f>
        <v/>
      </c>
    </row>
    <row r="2903" spans="1:9" ht="22.5">
      <c r="A2903" s="345">
        <v>2900</v>
      </c>
      <c r="B2903" s="346" t="s">
        <v>202</v>
      </c>
      <c r="C2903" s="347">
        <v>1254.23</v>
      </c>
      <c r="D2903" s="348">
        <v>46753</v>
      </c>
      <c r="E2903" s="348">
        <v>46813</v>
      </c>
      <c r="F2903" s="346" t="s">
        <v>645</v>
      </c>
      <c r="G2903" s="350" t="s">
        <v>439</v>
      </c>
      <c r="H2903" s="351">
        <f t="shared" si="49"/>
        <v>3762.69</v>
      </c>
      <c r="I2903" s="120" t="str">
        <f>IF(OR(D2903&lt;Capa!$A$5,D2903&gt;Capa!$A$7,E2903&lt;Capa!$A$5,E2903&gt;Capa!$A$7,D2903&gt;E2903),"Erro","")</f>
        <v/>
      </c>
    </row>
    <row r="2904" spans="1:9" ht="22.5">
      <c r="A2904" s="345">
        <v>2901</v>
      </c>
      <c r="B2904" s="346" t="s">
        <v>204</v>
      </c>
      <c r="C2904" s="347">
        <v>1123.23</v>
      </c>
      <c r="D2904" s="348">
        <v>45292</v>
      </c>
      <c r="E2904" s="348">
        <v>45383</v>
      </c>
      <c r="F2904" s="346" t="s">
        <v>645</v>
      </c>
      <c r="G2904" s="350" t="s">
        <v>439</v>
      </c>
      <c r="H2904" s="351">
        <f t="shared" si="49"/>
        <v>4492.92</v>
      </c>
      <c r="I2904" s="120" t="str">
        <f>IF(OR(D2904&lt;Capa!$A$5,D2904&gt;Capa!$A$7,E2904&lt;Capa!$A$5,E2904&gt;Capa!$A$7,D2904&gt;E2904),"Erro","")</f>
        <v/>
      </c>
    </row>
    <row r="2905" spans="1:9" ht="22.5">
      <c r="A2905" s="345">
        <v>2902</v>
      </c>
      <c r="B2905" s="346" t="s">
        <v>204</v>
      </c>
      <c r="C2905" s="347">
        <v>1188.83</v>
      </c>
      <c r="D2905" s="348">
        <v>45658</v>
      </c>
      <c r="E2905" s="348">
        <v>45748</v>
      </c>
      <c r="F2905" s="346" t="s">
        <v>645</v>
      </c>
      <c r="G2905" s="350" t="s">
        <v>439</v>
      </c>
      <c r="H2905" s="351">
        <f t="shared" si="49"/>
        <v>4755.32</v>
      </c>
      <c r="I2905" s="120" t="str">
        <f>IF(OR(D2905&lt;Capa!$A$5,D2905&gt;Capa!$A$7,E2905&lt;Capa!$A$5,E2905&gt;Capa!$A$7,D2905&gt;E2905),"Erro","")</f>
        <v/>
      </c>
    </row>
    <row r="2906" spans="1:9" ht="22.5">
      <c r="A2906" s="345">
        <v>2903</v>
      </c>
      <c r="B2906" s="346" t="s">
        <v>204</v>
      </c>
      <c r="C2906" s="347">
        <v>1258.26</v>
      </c>
      <c r="D2906" s="348">
        <v>46023</v>
      </c>
      <c r="E2906" s="348">
        <v>46113</v>
      </c>
      <c r="F2906" s="346" t="s">
        <v>645</v>
      </c>
      <c r="G2906" s="350" t="s">
        <v>439</v>
      </c>
      <c r="H2906" s="351">
        <f t="shared" si="49"/>
        <v>5033.04</v>
      </c>
      <c r="I2906" s="120" t="str">
        <f>IF(OR(D2906&lt;Capa!$A$5,D2906&gt;Capa!$A$7,E2906&lt;Capa!$A$5,E2906&gt;Capa!$A$7,D2906&gt;E2906),"Erro","")</f>
        <v/>
      </c>
    </row>
    <row r="2907" spans="1:9" ht="22.5">
      <c r="A2907" s="345">
        <v>2904</v>
      </c>
      <c r="B2907" s="346" t="s">
        <v>204</v>
      </c>
      <c r="C2907" s="347">
        <v>1331.75</v>
      </c>
      <c r="D2907" s="348">
        <v>46388</v>
      </c>
      <c r="E2907" s="348">
        <v>46478</v>
      </c>
      <c r="F2907" s="346" t="s">
        <v>645</v>
      </c>
      <c r="G2907" s="350" t="s">
        <v>439</v>
      </c>
      <c r="H2907" s="351">
        <f t="shared" si="49"/>
        <v>5327</v>
      </c>
      <c r="I2907" s="120" t="str">
        <f>IF(OR(D2907&lt;Capa!$A$5,D2907&gt;Capa!$A$7,E2907&lt;Capa!$A$5,E2907&gt;Capa!$A$7,D2907&gt;E2907),"Erro","")</f>
        <v/>
      </c>
    </row>
    <row r="2908" spans="1:9" ht="22.5">
      <c r="A2908" s="345">
        <v>2905</v>
      </c>
      <c r="B2908" s="346" t="s">
        <v>204</v>
      </c>
      <c r="C2908" s="347">
        <v>1409.52</v>
      </c>
      <c r="D2908" s="348">
        <v>46753</v>
      </c>
      <c r="E2908" s="348">
        <v>46844</v>
      </c>
      <c r="F2908" s="346" t="s">
        <v>645</v>
      </c>
      <c r="G2908" s="350" t="s">
        <v>439</v>
      </c>
      <c r="H2908" s="351">
        <f t="shared" si="49"/>
        <v>5638.08</v>
      </c>
      <c r="I2908" s="120" t="str">
        <f>IF(OR(D2908&lt;Capa!$A$5,D2908&gt;Capa!$A$7,E2908&lt;Capa!$A$5,E2908&gt;Capa!$A$7,D2908&gt;E2908),"Erro","")</f>
        <v/>
      </c>
    </row>
    <row r="2909" spans="1:9" ht="22.5">
      <c r="A2909" s="345">
        <v>2906</v>
      </c>
      <c r="B2909" s="346" t="s">
        <v>206</v>
      </c>
      <c r="C2909" s="347">
        <v>1379.37</v>
      </c>
      <c r="D2909" s="348">
        <v>45261</v>
      </c>
      <c r="E2909" s="348">
        <v>45627</v>
      </c>
      <c r="F2909" s="346" t="s">
        <v>645</v>
      </c>
      <c r="G2909" s="350" t="s">
        <v>440</v>
      </c>
      <c r="H2909" s="351">
        <f t="shared" si="49"/>
        <v>17931.809999999998</v>
      </c>
      <c r="I2909" s="120" t="str">
        <f>IF(OR(D2909&lt;Capa!$A$5,D2909&gt;Capa!$A$7,E2909&lt;Capa!$A$5,E2909&gt;Capa!$A$7,D2909&gt;E2909),"Erro","")</f>
        <v/>
      </c>
    </row>
    <row r="2910" spans="1:9" ht="22.5">
      <c r="A2910" s="345">
        <v>2907</v>
      </c>
      <c r="B2910" s="346" t="s">
        <v>206</v>
      </c>
      <c r="C2910" s="347">
        <v>1459.93</v>
      </c>
      <c r="D2910" s="348">
        <v>45658</v>
      </c>
      <c r="E2910" s="348">
        <v>45992</v>
      </c>
      <c r="F2910" s="346" t="s">
        <v>645</v>
      </c>
      <c r="G2910" s="350" t="s">
        <v>440</v>
      </c>
      <c r="H2910" s="351">
        <f t="shared" si="49"/>
        <v>17519.16</v>
      </c>
      <c r="I2910" s="120" t="str">
        <f>IF(OR(D2910&lt;Capa!$A$5,D2910&gt;Capa!$A$7,E2910&lt;Capa!$A$5,E2910&gt;Capa!$A$7,D2910&gt;E2910),"Erro","")</f>
        <v/>
      </c>
    </row>
    <row r="2911" spans="1:9" ht="22.5">
      <c r="A2911" s="345">
        <v>2908</v>
      </c>
      <c r="B2911" s="346" t="s">
        <v>206</v>
      </c>
      <c r="C2911" s="347">
        <v>1545.94</v>
      </c>
      <c r="D2911" s="348">
        <v>46023</v>
      </c>
      <c r="E2911" s="348">
        <v>46357</v>
      </c>
      <c r="F2911" s="346" t="s">
        <v>645</v>
      </c>
      <c r="G2911" s="350" t="s">
        <v>440</v>
      </c>
      <c r="H2911" s="351">
        <f t="shared" si="49"/>
        <v>18551.28</v>
      </c>
      <c r="I2911" s="120" t="str">
        <f>IF(OR(D2911&lt;Capa!$A$5,D2911&gt;Capa!$A$7,E2911&lt;Capa!$A$5,E2911&gt;Capa!$A$7,D2911&gt;E2911),"Erro","")</f>
        <v/>
      </c>
    </row>
    <row r="2912" spans="1:9" ht="22.5">
      <c r="A2912" s="345">
        <v>2909</v>
      </c>
      <c r="B2912" s="346" t="s">
        <v>206</v>
      </c>
      <c r="C2912" s="347">
        <v>1635.43</v>
      </c>
      <c r="D2912" s="348">
        <v>46388</v>
      </c>
      <c r="E2912" s="348">
        <v>46722</v>
      </c>
      <c r="F2912" s="346" t="s">
        <v>645</v>
      </c>
      <c r="G2912" s="350" t="s">
        <v>440</v>
      </c>
      <c r="H2912" s="351">
        <f t="shared" si="49"/>
        <v>19625.16</v>
      </c>
      <c r="I2912" s="120" t="str">
        <f>IF(OR(D2912&lt;Capa!$A$5,D2912&gt;Capa!$A$7,E2912&lt;Capa!$A$5,E2912&gt;Capa!$A$7,D2912&gt;E2912),"Erro","")</f>
        <v/>
      </c>
    </row>
    <row r="2913" spans="1:9" ht="22.5">
      <c r="A2913" s="345">
        <v>2910</v>
      </c>
      <c r="B2913" s="346" t="s">
        <v>206</v>
      </c>
      <c r="C2913" s="347">
        <v>1730.94</v>
      </c>
      <c r="D2913" s="348">
        <v>46753</v>
      </c>
      <c r="E2913" s="348">
        <v>47058</v>
      </c>
      <c r="F2913" s="346" t="s">
        <v>645</v>
      </c>
      <c r="G2913" s="350" t="s">
        <v>440</v>
      </c>
      <c r="H2913" s="351">
        <f t="shared" si="49"/>
        <v>19040.34</v>
      </c>
      <c r="I2913" s="120" t="str">
        <f>IF(OR(D2913&lt;Capa!$A$5,D2913&gt;Capa!$A$7,E2913&lt;Capa!$A$5,E2913&gt;Capa!$A$7,D2913&gt;E2913),"Erro","")</f>
        <v/>
      </c>
    </row>
    <row r="2914" spans="1:9" ht="22.5">
      <c r="A2914" s="345">
        <v>2911</v>
      </c>
      <c r="B2914" s="346" t="s">
        <v>208</v>
      </c>
      <c r="C2914" s="347">
        <v>894.25</v>
      </c>
      <c r="D2914" s="348">
        <v>45261</v>
      </c>
      <c r="E2914" s="348">
        <v>45627</v>
      </c>
      <c r="F2914" s="346" t="s">
        <v>645</v>
      </c>
      <c r="G2914" s="350" t="s">
        <v>440</v>
      </c>
      <c r="H2914" s="351">
        <f t="shared" si="49"/>
        <v>11625.25</v>
      </c>
      <c r="I2914" s="120" t="str">
        <f>IF(OR(D2914&lt;Capa!$A$5,D2914&gt;Capa!$A$7,E2914&lt;Capa!$A$5,E2914&gt;Capa!$A$7,D2914&gt;E2914),"Erro","")</f>
        <v/>
      </c>
    </row>
    <row r="2915" spans="1:9" ht="22.5">
      <c r="A2915" s="345">
        <v>2912</v>
      </c>
      <c r="B2915" s="346" t="s">
        <v>208</v>
      </c>
      <c r="C2915" s="347">
        <v>946.47</v>
      </c>
      <c r="D2915" s="348">
        <v>45658</v>
      </c>
      <c r="E2915" s="348">
        <v>45992</v>
      </c>
      <c r="F2915" s="346" t="s">
        <v>645</v>
      </c>
      <c r="G2915" s="350" t="s">
        <v>440</v>
      </c>
      <c r="H2915" s="351">
        <f t="shared" si="49"/>
        <v>11357.64</v>
      </c>
      <c r="I2915" s="120" t="str">
        <f>IF(OR(D2915&lt;Capa!$A$5,D2915&gt;Capa!$A$7,E2915&lt;Capa!$A$5,E2915&gt;Capa!$A$7,D2915&gt;E2915),"Erro","")</f>
        <v/>
      </c>
    </row>
    <row r="2916" spans="1:9" ht="22.5">
      <c r="A2916" s="345">
        <v>2913</v>
      </c>
      <c r="B2916" s="346" t="s">
        <v>208</v>
      </c>
      <c r="C2916" s="347">
        <v>1001.74</v>
      </c>
      <c r="D2916" s="348">
        <v>46023</v>
      </c>
      <c r="E2916" s="348">
        <v>46357</v>
      </c>
      <c r="F2916" s="346" t="s">
        <v>645</v>
      </c>
      <c r="G2916" s="350" t="s">
        <v>440</v>
      </c>
      <c r="H2916" s="351">
        <f t="shared" si="49"/>
        <v>12020.880000000001</v>
      </c>
      <c r="I2916" s="120" t="str">
        <f>IF(OR(D2916&lt;Capa!$A$5,D2916&gt;Capa!$A$7,E2916&lt;Capa!$A$5,E2916&gt;Capa!$A$7,D2916&gt;E2916),"Erro","")</f>
        <v/>
      </c>
    </row>
    <row r="2917" spans="1:9" ht="22.5">
      <c r="A2917" s="345">
        <v>2914</v>
      </c>
      <c r="B2917" s="346" t="s">
        <v>208</v>
      </c>
      <c r="C2917" s="347">
        <v>1060.25</v>
      </c>
      <c r="D2917" s="348">
        <v>46388</v>
      </c>
      <c r="E2917" s="348">
        <v>46722</v>
      </c>
      <c r="F2917" s="346" t="s">
        <v>645</v>
      </c>
      <c r="G2917" s="350" t="s">
        <v>440</v>
      </c>
      <c r="H2917" s="351">
        <f t="shared" si="49"/>
        <v>12723</v>
      </c>
      <c r="I2917" s="120" t="str">
        <f>IF(OR(D2917&lt;Capa!$A$5,D2917&gt;Capa!$A$7,E2917&lt;Capa!$A$5,E2917&gt;Capa!$A$7,D2917&gt;E2917),"Erro","")</f>
        <v/>
      </c>
    </row>
    <row r="2918" spans="1:9" ht="22.5">
      <c r="A2918" s="345">
        <v>2915</v>
      </c>
      <c r="B2918" s="346" t="s">
        <v>208</v>
      </c>
      <c r="C2918" s="347">
        <v>1122.17</v>
      </c>
      <c r="D2918" s="348">
        <v>46753</v>
      </c>
      <c r="E2918" s="348">
        <v>47058</v>
      </c>
      <c r="F2918" s="346" t="s">
        <v>645</v>
      </c>
      <c r="G2918" s="350" t="s">
        <v>440</v>
      </c>
      <c r="H2918" s="351">
        <f t="shared" si="49"/>
        <v>12343.87</v>
      </c>
      <c r="I2918" s="120" t="str">
        <f>IF(OR(D2918&lt;Capa!$A$5,D2918&gt;Capa!$A$7,E2918&lt;Capa!$A$5,E2918&gt;Capa!$A$7,D2918&gt;E2918),"Erro","")</f>
        <v/>
      </c>
    </row>
    <row r="2919" spans="1:9" ht="22.5">
      <c r="A2919" s="345">
        <v>2916</v>
      </c>
      <c r="B2919" s="346" t="s">
        <v>210</v>
      </c>
      <c r="C2919" s="347">
        <v>55.27</v>
      </c>
      <c r="D2919" s="348">
        <v>45261</v>
      </c>
      <c r="E2919" s="348">
        <v>45627</v>
      </c>
      <c r="F2919" s="346" t="s">
        <v>645</v>
      </c>
      <c r="G2919" s="350" t="s">
        <v>440</v>
      </c>
      <c r="H2919" s="351">
        <f t="shared" si="49"/>
        <v>718.51</v>
      </c>
      <c r="I2919" s="120" t="str">
        <f>IF(OR(D2919&lt;Capa!$A$5,D2919&gt;Capa!$A$7,E2919&lt;Capa!$A$5,E2919&gt;Capa!$A$7,D2919&gt;E2919),"Erro","")</f>
        <v/>
      </c>
    </row>
    <row r="2920" spans="1:9" ht="22.5">
      <c r="A2920" s="345">
        <v>2917</v>
      </c>
      <c r="B2920" s="346" t="s">
        <v>210</v>
      </c>
      <c r="C2920" s="347">
        <v>58.44</v>
      </c>
      <c r="D2920" s="348">
        <v>45658</v>
      </c>
      <c r="E2920" s="348">
        <v>45992</v>
      </c>
      <c r="F2920" s="346" t="s">
        <v>645</v>
      </c>
      <c r="G2920" s="350" t="s">
        <v>440</v>
      </c>
      <c r="H2920" s="351">
        <f t="shared" si="49"/>
        <v>701.28</v>
      </c>
      <c r="I2920" s="120" t="str">
        <f>IF(OR(D2920&lt;Capa!$A$5,D2920&gt;Capa!$A$7,E2920&lt;Capa!$A$5,E2920&gt;Capa!$A$7,D2920&gt;E2920),"Erro","")</f>
        <v/>
      </c>
    </row>
    <row r="2921" spans="1:9" ht="22.5">
      <c r="A2921" s="345">
        <v>2918</v>
      </c>
      <c r="B2921" s="346" t="s">
        <v>210</v>
      </c>
      <c r="C2921" s="347">
        <v>61.91</v>
      </c>
      <c r="D2921" s="348">
        <v>46023</v>
      </c>
      <c r="E2921" s="348">
        <v>46357</v>
      </c>
      <c r="F2921" s="346" t="s">
        <v>645</v>
      </c>
      <c r="G2921" s="350" t="s">
        <v>440</v>
      </c>
      <c r="H2921" s="351">
        <f t="shared" si="49"/>
        <v>742.92</v>
      </c>
      <c r="I2921" s="120" t="str">
        <f>IF(OR(D2921&lt;Capa!$A$5,D2921&gt;Capa!$A$7,E2921&lt;Capa!$A$5,E2921&gt;Capa!$A$7,D2921&gt;E2921),"Erro","")</f>
        <v/>
      </c>
    </row>
    <row r="2922" spans="1:9" ht="22.5">
      <c r="A2922" s="345">
        <v>2919</v>
      </c>
      <c r="B2922" s="346" t="s">
        <v>210</v>
      </c>
      <c r="C2922" s="347">
        <v>65.53</v>
      </c>
      <c r="D2922" s="348">
        <v>46388</v>
      </c>
      <c r="E2922" s="348">
        <v>46722</v>
      </c>
      <c r="F2922" s="346" t="s">
        <v>645</v>
      </c>
      <c r="G2922" s="350" t="s">
        <v>440</v>
      </c>
      <c r="H2922" s="351">
        <f t="shared" si="49"/>
        <v>786.36</v>
      </c>
      <c r="I2922" s="120" t="str">
        <f>IF(OR(D2922&lt;Capa!$A$5,D2922&gt;Capa!$A$7,E2922&lt;Capa!$A$5,E2922&gt;Capa!$A$7,D2922&gt;E2922),"Erro","")</f>
        <v/>
      </c>
    </row>
    <row r="2923" spans="1:9" ht="22.5">
      <c r="A2923" s="345">
        <v>2920</v>
      </c>
      <c r="B2923" s="346" t="s">
        <v>210</v>
      </c>
      <c r="C2923" s="347">
        <v>69.36</v>
      </c>
      <c r="D2923" s="348">
        <v>46753</v>
      </c>
      <c r="E2923" s="348">
        <v>47058</v>
      </c>
      <c r="F2923" s="346" t="s">
        <v>645</v>
      </c>
      <c r="G2923" s="350" t="s">
        <v>440</v>
      </c>
      <c r="H2923" s="351">
        <f t="shared" si="49"/>
        <v>762.96</v>
      </c>
      <c r="I2923" s="120" t="str">
        <f>IF(OR(D2923&lt;Capa!$A$5,D2923&gt;Capa!$A$7,E2923&lt;Capa!$A$5,E2923&gt;Capa!$A$7,D2923&gt;E2923),"Erro","")</f>
        <v/>
      </c>
    </row>
    <row r="2924" spans="1:9" ht="22.5">
      <c r="A2924" s="345">
        <v>2921</v>
      </c>
      <c r="B2924" s="346" t="s">
        <v>214</v>
      </c>
      <c r="C2924" s="347">
        <v>116.9</v>
      </c>
      <c r="D2924" s="348">
        <v>45261</v>
      </c>
      <c r="E2924" s="348">
        <v>45627</v>
      </c>
      <c r="F2924" s="346" t="s">
        <v>645</v>
      </c>
      <c r="G2924" s="350" t="s">
        <v>440</v>
      </c>
      <c r="H2924" s="351">
        <f t="shared" si="49"/>
        <v>1519.7</v>
      </c>
      <c r="I2924" s="120" t="str">
        <f>IF(OR(D2924&lt;Capa!$A$5,D2924&gt;Capa!$A$7,E2924&lt;Capa!$A$5,E2924&gt;Capa!$A$7,D2924&gt;E2924),"Erro","")</f>
        <v/>
      </c>
    </row>
    <row r="2925" spans="1:9" ht="22.5">
      <c r="A2925" s="345">
        <v>2922</v>
      </c>
      <c r="B2925" s="346" t="s">
        <v>214</v>
      </c>
      <c r="C2925" s="347">
        <v>123.73</v>
      </c>
      <c r="D2925" s="348">
        <v>45658</v>
      </c>
      <c r="E2925" s="348">
        <v>45992</v>
      </c>
      <c r="F2925" s="346" t="s">
        <v>645</v>
      </c>
      <c r="G2925" s="350" t="s">
        <v>440</v>
      </c>
      <c r="H2925" s="351">
        <f t="shared" si="49"/>
        <v>1484.76</v>
      </c>
      <c r="I2925" s="120" t="str">
        <f>IF(OR(D2925&lt;Capa!$A$5,D2925&gt;Capa!$A$7,E2925&lt;Capa!$A$5,E2925&gt;Capa!$A$7,D2925&gt;E2925),"Erro","")</f>
        <v/>
      </c>
    </row>
    <row r="2926" spans="1:9" ht="22.5">
      <c r="A2926" s="345">
        <v>2923</v>
      </c>
      <c r="B2926" s="346" t="s">
        <v>214</v>
      </c>
      <c r="C2926" s="347">
        <v>130.94999999999999</v>
      </c>
      <c r="D2926" s="348">
        <v>46023</v>
      </c>
      <c r="E2926" s="348">
        <v>46357</v>
      </c>
      <c r="F2926" s="346" t="s">
        <v>645</v>
      </c>
      <c r="G2926" s="350" t="s">
        <v>440</v>
      </c>
      <c r="H2926" s="351">
        <f t="shared" si="49"/>
        <v>1571.3999999999999</v>
      </c>
      <c r="I2926" s="120" t="str">
        <f>IF(OR(D2926&lt;Capa!$A$5,D2926&gt;Capa!$A$7,E2926&lt;Capa!$A$5,E2926&gt;Capa!$A$7,D2926&gt;E2926),"Erro","")</f>
        <v/>
      </c>
    </row>
    <row r="2927" spans="1:9" ht="22.5">
      <c r="A2927" s="345">
        <v>2924</v>
      </c>
      <c r="B2927" s="346" t="s">
        <v>214</v>
      </c>
      <c r="C2927" s="347">
        <v>138.6</v>
      </c>
      <c r="D2927" s="348">
        <v>46388</v>
      </c>
      <c r="E2927" s="348">
        <v>46722</v>
      </c>
      <c r="F2927" s="346" t="s">
        <v>645</v>
      </c>
      <c r="G2927" s="350" t="s">
        <v>440</v>
      </c>
      <c r="H2927" s="351">
        <f t="shared" si="49"/>
        <v>1663.1999999999998</v>
      </c>
      <c r="I2927" s="120" t="str">
        <f>IF(OR(D2927&lt;Capa!$A$5,D2927&gt;Capa!$A$7,E2927&lt;Capa!$A$5,E2927&gt;Capa!$A$7,D2927&gt;E2927),"Erro","")</f>
        <v/>
      </c>
    </row>
    <row r="2928" spans="1:9" ht="22.5">
      <c r="A2928" s="345">
        <v>2925</v>
      </c>
      <c r="B2928" s="346" t="s">
        <v>214</v>
      </c>
      <c r="C2928" s="347">
        <v>146.69</v>
      </c>
      <c r="D2928" s="348">
        <v>46753</v>
      </c>
      <c r="E2928" s="348">
        <v>47058</v>
      </c>
      <c r="F2928" s="346" t="s">
        <v>645</v>
      </c>
      <c r="G2928" s="350" t="s">
        <v>440</v>
      </c>
      <c r="H2928" s="351">
        <f t="shared" si="49"/>
        <v>1613.59</v>
      </c>
      <c r="I2928" s="120" t="str">
        <f>IF(OR(D2928&lt;Capa!$A$5,D2928&gt;Capa!$A$7,E2928&lt;Capa!$A$5,E2928&gt;Capa!$A$7,D2928&gt;E2928),"Erro","")</f>
        <v/>
      </c>
    </row>
    <row r="2929" spans="1:9" ht="56.25">
      <c r="A2929" s="345">
        <v>2926</v>
      </c>
      <c r="B2929" s="346" t="s">
        <v>212</v>
      </c>
      <c r="C2929" s="347">
        <v>235.74</v>
      </c>
      <c r="D2929" s="348">
        <v>45261</v>
      </c>
      <c r="E2929" s="348">
        <v>45627</v>
      </c>
      <c r="F2929" s="346" t="s">
        <v>645</v>
      </c>
      <c r="G2929" s="350" t="s">
        <v>503</v>
      </c>
      <c r="H2929" s="351">
        <f t="shared" si="49"/>
        <v>3064.62</v>
      </c>
      <c r="I2929" s="120" t="str">
        <f>IF(OR(D2929&lt;Capa!$A$5,D2929&gt;Capa!$A$7,E2929&lt;Capa!$A$5,E2929&gt;Capa!$A$7,D2929&gt;E2929),"Erro","")</f>
        <v/>
      </c>
    </row>
    <row r="2930" spans="1:9" ht="56.25">
      <c r="A2930" s="345">
        <v>2927</v>
      </c>
      <c r="B2930" s="346" t="s">
        <v>212</v>
      </c>
      <c r="C2930" s="347">
        <v>249.5</v>
      </c>
      <c r="D2930" s="348">
        <v>45658</v>
      </c>
      <c r="E2930" s="348">
        <v>45992</v>
      </c>
      <c r="F2930" s="346" t="s">
        <v>645</v>
      </c>
      <c r="G2930" s="350" t="s">
        <v>503</v>
      </c>
      <c r="H2930" s="351">
        <f t="shared" si="49"/>
        <v>2994</v>
      </c>
      <c r="I2930" s="120" t="str">
        <f>IF(OR(D2930&lt;Capa!$A$5,D2930&gt;Capa!$A$7,E2930&lt;Capa!$A$5,E2930&gt;Capa!$A$7,D2930&gt;E2930),"Erro","")</f>
        <v/>
      </c>
    </row>
    <row r="2931" spans="1:9" ht="56.25">
      <c r="A2931" s="345">
        <v>2928</v>
      </c>
      <c r="B2931" s="346" t="s">
        <v>212</v>
      </c>
      <c r="C2931" s="347">
        <v>264.07</v>
      </c>
      <c r="D2931" s="348">
        <v>46023</v>
      </c>
      <c r="E2931" s="348">
        <v>46357</v>
      </c>
      <c r="F2931" s="346" t="s">
        <v>645</v>
      </c>
      <c r="G2931" s="350" t="s">
        <v>503</v>
      </c>
      <c r="H2931" s="351">
        <f t="shared" si="49"/>
        <v>3168.84</v>
      </c>
      <c r="I2931" s="120" t="str">
        <f>IF(OR(D2931&lt;Capa!$A$5,D2931&gt;Capa!$A$7,E2931&lt;Capa!$A$5,E2931&gt;Capa!$A$7,D2931&gt;E2931),"Erro","")</f>
        <v/>
      </c>
    </row>
    <row r="2932" spans="1:9" ht="56.25">
      <c r="A2932" s="345">
        <v>2929</v>
      </c>
      <c r="B2932" s="346" t="s">
        <v>212</v>
      </c>
      <c r="C2932" s="347">
        <v>279.5</v>
      </c>
      <c r="D2932" s="348">
        <v>46388</v>
      </c>
      <c r="E2932" s="348">
        <v>46722</v>
      </c>
      <c r="F2932" s="346" t="s">
        <v>645</v>
      </c>
      <c r="G2932" s="350" t="s">
        <v>503</v>
      </c>
      <c r="H2932" s="351">
        <f t="shared" si="49"/>
        <v>3354</v>
      </c>
      <c r="I2932" s="120" t="str">
        <f>IF(OR(D2932&lt;Capa!$A$5,D2932&gt;Capa!$A$7,E2932&lt;Capa!$A$5,E2932&gt;Capa!$A$7,D2932&gt;E2932),"Erro","")</f>
        <v/>
      </c>
    </row>
    <row r="2933" spans="1:9" ht="56.25">
      <c r="A2933" s="345">
        <v>2930</v>
      </c>
      <c r="B2933" s="346" t="s">
        <v>212</v>
      </c>
      <c r="C2933" s="347">
        <v>295.82</v>
      </c>
      <c r="D2933" s="348">
        <v>46753</v>
      </c>
      <c r="E2933" s="348">
        <v>47058</v>
      </c>
      <c r="F2933" s="346" t="s">
        <v>645</v>
      </c>
      <c r="G2933" s="350" t="s">
        <v>503</v>
      </c>
      <c r="H2933" s="351">
        <f t="shared" si="49"/>
        <v>3254.02</v>
      </c>
      <c r="I2933" s="120" t="str">
        <f>IF(OR(D2933&lt;Capa!$A$5,D2933&gt;Capa!$A$7,E2933&lt;Capa!$A$5,E2933&gt;Capa!$A$7,D2933&gt;E2933),"Erro","")</f>
        <v/>
      </c>
    </row>
    <row r="2934" spans="1:9" ht="45">
      <c r="A2934" s="345">
        <v>2931</v>
      </c>
      <c r="B2934" s="346" t="s">
        <v>248</v>
      </c>
      <c r="C2934" s="347">
        <v>846</v>
      </c>
      <c r="D2934" s="348">
        <v>45323</v>
      </c>
      <c r="E2934" s="348">
        <v>45444</v>
      </c>
      <c r="F2934" s="346" t="s">
        <v>645</v>
      </c>
      <c r="G2934" s="350" t="s">
        <v>441</v>
      </c>
      <c r="H2934" s="351">
        <f t="shared" si="49"/>
        <v>4230</v>
      </c>
      <c r="I2934" s="120" t="str">
        <f>IF(OR(D2934&lt;Capa!$A$5,D2934&gt;Capa!$A$7,E2934&lt;Capa!$A$5,E2934&gt;Capa!$A$7,D2934&gt;E2934),"Erro","")</f>
        <v/>
      </c>
    </row>
    <row r="2935" spans="1:9" ht="45">
      <c r="A2935" s="345">
        <v>2932</v>
      </c>
      <c r="B2935" s="346" t="s">
        <v>248</v>
      </c>
      <c r="C2935" s="347">
        <v>846</v>
      </c>
      <c r="D2935" s="348">
        <v>45658</v>
      </c>
      <c r="E2935" s="348">
        <v>45809</v>
      </c>
      <c r="F2935" s="346" t="s">
        <v>645</v>
      </c>
      <c r="G2935" s="350" t="s">
        <v>441</v>
      </c>
      <c r="H2935" s="351">
        <f t="shared" si="49"/>
        <v>5076</v>
      </c>
      <c r="I2935" s="120" t="str">
        <f>IF(OR(D2935&lt;Capa!$A$5,D2935&gt;Capa!$A$7,E2935&lt;Capa!$A$5,E2935&gt;Capa!$A$7,D2935&gt;E2935),"Erro","")</f>
        <v/>
      </c>
    </row>
    <row r="2936" spans="1:9" ht="45">
      <c r="A2936" s="345">
        <v>2933</v>
      </c>
      <c r="B2936" s="346" t="s">
        <v>248</v>
      </c>
      <c r="C2936" s="347">
        <v>846</v>
      </c>
      <c r="D2936" s="348">
        <v>46023</v>
      </c>
      <c r="E2936" s="348">
        <v>46174</v>
      </c>
      <c r="F2936" s="346" t="s">
        <v>645</v>
      </c>
      <c r="G2936" s="350" t="s">
        <v>441</v>
      </c>
      <c r="H2936" s="351">
        <f t="shared" si="49"/>
        <v>5076</v>
      </c>
      <c r="I2936" s="120" t="str">
        <f>IF(OR(D2936&lt;Capa!$A$5,D2936&gt;Capa!$A$7,E2936&lt;Capa!$A$5,E2936&gt;Capa!$A$7,D2936&gt;E2936),"Erro","")</f>
        <v/>
      </c>
    </row>
    <row r="2937" spans="1:9" ht="45">
      <c r="A2937" s="345">
        <v>2934</v>
      </c>
      <c r="B2937" s="346" t="s">
        <v>248</v>
      </c>
      <c r="C2937" s="347">
        <v>846</v>
      </c>
      <c r="D2937" s="348">
        <v>46388</v>
      </c>
      <c r="E2937" s="348">
        <v>46539</v>
      </c>
      <c r="F2937" s="346" t="s">
        <v>645</v>
      </c>
      <c r="G2937" s="350" t="s">
        <v>441</v>
      </c>
      <c r="H2937" s="351">
        <f t="shared" ref="H2937:H2999" si="50">IFERROR((DATEDIF(D2937,E2937,"M")+1)*C2937,0)</f>
        <v>5076</v>
      </c>
      <c r="I2937" s="120" t="str">
        <f>IF(OR(D2937&lt;Capa!$A$5,D2937&gt;Capa!$A$7,E2937&lt;Capa!$A$5,E2937&gt;Capa!$A$7,D2937&gt;E2937),"Erro","")</f>
        <v/>
      </c>
    </row>
    <row r="2938" spans="1:9" ht="45">
      <c r="A2938" s="345">
        <v>2935</v>
      </c>
      <c r="B2938" s="346" t="s">
        <v>248</v>
      </c>
      <c r="C2938" s="347">
        <v>846</v>
      </c>
      <c r="D2938" s="348">
        <v>46753</v>
      </c>
      <c r="E2938" s="348">
        <v>46905</v>
      </c>
      <c r="F2938" s="346" t="s">
        <v>645</v>
      </c>
      <c r="G2938" s="350" t="s">
        <v>441</v>
      </c>
      <c r="H2938" s="351">
        <f t="shared" si="50"/>
        <v>5076</v>
      </c>
      <c r="I2938" s="120" t="str">
        <f>IF(OR(D2938&lt;Capa!$A$5,D2938&gt;Capa!$A$7,E2938&lt;Capa!$A$5,E2938&gt;Capa!$A$7,D2938&gt;E2938),"Erro","")</f>
        <v/>
      </c>
    </row>
    <row r="2939" spans="1:9" ht="33.75">
      <c r="A2939" s="345">
        <v>2936</v>
      </c>
      <c r="B2939" s="346" t="s">
        <v>266</v>
      </c>
      <c r="C2939" s="347">
        <v>600</v>
      </c>
      <c r="D2939" s="348">
        <v>45323</v>
      </c>
      <c r="E2939" s="348">
        <v>45413</v>
      </c>
      <c r="F2939" s="346" t="s">
        <v>645</v>
      </c>
      <c r="G2939" s="350" t="s">
        <v>442</v>
      </c>
      <c r="H2939" s="351">
        <f t="shared" si="50"/>
        <v>2400</v>
      </c>
      <c r="I2939" s="120" t="str">
        <f>IF(OR(D2939&lt;Capa!$A$5,D2939&gt;Capa!$A$7,E2939&lt;Capa!$A$5,E2939&gt;Capa!$A$7,D2939&gt;E2939),"Erro","")</f>
        <v/>
      </c>
    </row>
    <row r="2940" spans="1:9" ht="33.75">
      <c r="A2940" s="345">
        <v>2937</v>
      </c>
      <c r="B2940" s="346" t="s">
        <v>266</v>
      </c>
      <c r="C2940" s="347">
        <v>600</v>
      </c>
      <c r="D2940" s="348">
        <v>45658</v>
      </c>
      <c r="E2940" s="348">
        <v>45717</v>
      </c>
      <c r="F2940" s="346" t="s">
        <v>645</v>
      </c>
      <c r="G2940" s="350" t="s">
        <v>442</v>
      </c>
      <c r="H2940" s="351">
        <f t="shared" si="50"/>
        <v>1800</v>
      </c>
      <c r="I2940" s="120" t="str">
        <f>IF(OR(D2940&lt;Capa!$A$5,D2940&gt;Capa!$A$7,E2940&lt;Capa!$A$5,E2940&gt;Capa!$A$7,D2940&gt;E2940),"Erro","")</f>
        <v/>
      </c>
    </row>
    <row r="2941" spans="1:9" ht="33.75">
      <c r="A2941" s="345">
        <v>2938</v>
      </c>
      <c r="B2941" s="346" t="s">
        <v>266</v>
      </c>
      <c r="C2941" s="347">
        <v>600</v>
      </c>
      <c r="D2941" s="348">
        <v>46023</v>
      </c>
      <c r="E2941" s="348">
        <v>46082</v>
      </c>
      <c r="F2941" s="346" t="s">
        <v>645</v>
      </c>
      <c r="G2941" s="350" t="s">
        <v>442</v>
      </c>
      <c r="H2941" s="351">
        <f t="shared" si="50"/>
        <v>1800</v>
      </c>
      <c r="I2941" s="120" t="str">
        <f>IF(OR(D2941&lt;Capa!$A$5,D2941&gt;Capa!$A$7,E2941&lt;Capa!$A$5,E2941&gt;Capa!$A$7,D2941&gt;E2941),"Erro","")</f>
        <v/>
      </c>
    </row>
    <row r="2942" spans="1:9" ht="33.75">
      <c r="A2942" s="345">
        <v>2939</v>
      </c>
      <c r="B2942" s="346" t="s">
        <v>266</v>
      </c>
      <c r="C2942" s="347">
        <v>600</v>
      </c>
      <c r="D2942" s="348">
        <v>46388</v>
      </c>
      <c r="E2942" s="348">
        <v>46447</v>
      </c>
      <c r="F2942" s="346" t="s">
        <v>645</v>
      </c>
      <c r="G2942" s="350" t="s">
        <v>442</v>
      </c>
      <c r="H2942" s="351">
        <f t="shared" si="50"/>
        <v>1800</v>
      </c>
      <c r="I2942" s="120" t="str">
        <f>IF(OR(D2942&lt;Capa!$A$5,D2942&gt;Capa!$A$7,E2942&lt;Capa!$A$5,E2942&gt;Capa!$A$7,D2942&gt;E2942),"Erro","")</f>
        <v/>
      </c>
    </row>
    <row r="2943" spans="1:9" ht="33.75">
      <c r="A2943" s="345">
        <v>2940</v>
      </c>
      <c r="B2943" s="346" t="s">
        <v>266</v>
      </c>
      <c r="C2943" s="347">
        <v>600</v>
      </c>
      <c r="D2943" s="348">
        <v>46753</v>
      </c>
      <c r="E2943" s="348">
        <v>46813</v>
      </c>
      <c r="F2943" s="346" t="s">
        <v>645</v>
      </c>
      <c r="G2943" s="350" t="s">
        <v>442</v>
      </c>
      <c r="H2943" s="351">
        <f t="shared" si="50"/>
        <v>1800</v>
      </c>
      <c r="I2943" s="120" t="str">
        <f>IF(OR(D2943&lt;Capa!$A$5,D2943&gt;Capa!$A$7,E2943&lt;Capa!$A$5,E2943&gt;Capa!$A$7,D2943&gt;E2943),"Erro","")</f>
        <v/>
      </c>
    </row>
    <row r="2944" spans="1:9" ht="22.5">
      <c r="A2944" s="345">
        <v>2941</v>
      </c>
      <c r="B2944" s="346" t="s">
        <v>274</v>
      </c>
      <c r="C2944" s="347">
        <v>1100</v>
      </c>
      <c r="D2944" s="348">
        <v>45261</v>
      </c>
      <c r="E2944" s="348">
        <v>45627</v>
      </c>
      <c r="F2944" s="346" t="s">
        <v>645</v>
      </c>
      <c r="G2944" s="350" t="s">
        <v>443</v>
      </c>
      <c r="H2944" s="351">
        <f t="shared" si="50"/>
        <v>14300</v>
      </c>
      <c r="I2944" s="120" t="str">
        <f>IF(OR(D2944&lt;Capa!$A$5,D2944&gt;Capa!$A$7,E2944&lt;Capa!$A$5,E2944&gt;Capa!$A$7,D2944&gt;E2944),"Erro","")</f>
        <v/>
      </c>
    </row>
    <row r="2945" spans="1:9" ht="22.5">
      <c r="A2945" s="345">
        <v>2942</v>
      </c>
      <c r="B2945" s="346" t="s">
        <v>274</v>
      </c>
      <c r="C2945" s="347">
        <v>1164.24</v>
      </c>
      <c r="D2945" s="348">
        <v>45658</v>
      </c>
      <c r="E2945" s="348">
        <v>45992</v>
      </c>
      <c r="F2945" s="346" t="s">
        <v>645</v>
      </c>
      <c r="G2945" s="350" t="s">
        <v>443</v>
      </c>
      <c r="H2945" s="351">
        <f t="shared" si="50"/>
        <v>13970.880000000001</v>
      </c>
      <c r="I2945" s="120" t="str">
        <f>IF(OR(D2945&lt;Capa!$A$5,D2945&gt;Capa!$A$7,E2945&lt;Capa!$A$5,E2945&gt;Capa!$A$7,D2945&gt;E2945),"Erro","")</f>
        <v/>
      </c>
    </row>
    <row r="2946" spans="1:9" ht="22.5">
      <c r="A2946" s="345">
        <v>2943</v>
      </c>
      <c r="B2946" s="346" t="s">
        <v>274</v>
      </c>
      <c r="C2946" s="347">
        <v>1232.23</v>
      </c>
      <c r="D2946" s="348">
        <v>46023</v>
      </c>
      <c r="E2946" s="348">
        <v>46357</v>
      </c>
      <c r="F2946" s="346" t="s">
        <v>645</v>
      </c>
      <c r="G2946" s="350" t="s">
        <v>443</v>
      </c>
      <c r="H2946" s="351">
        <f t="shared" si="50"/>
        <v>14786.76</v>
      </c>
      <c r="I2946" s="120" t="str">
        <f>IF(OR(D2946&lt;Capa!$A$5,D2946&gt;Capa!$A$7,E2946&lt;Capa!$A$5,E2946&gt;Capa!$A$7,D2946&gt;E2946),"Erro","")</f>
        <v/>
      </c>
    </row>
    <row r="2947" spans="1:9" ht="22.5">
      <c r="A2947" s="345">
        <v>2944</v>
      </c>
      <c r="B2947" s="346" t="s">
        <v>274</v>
      </c>
      <c r="C2947" s="347">
        <v>1304.19</v>
      </c>
      <c r="D2947" s="348">
        <v>46388</v>
      </c>
      <c r="E2947" s="348">
        <v>46722</v>
      </c>
      <c r="F2947" s="346" t="s">
        <v>645</v>
      </c>
      <c r="G2947" s="350" t="s">
        <v>443</v>
      </c>
      <c r="H2947" s="351">
        <f t="shared" si="50"/>
        <v>15650.28</v>
      </c>
      <c r="I2947" s="120" t="str">
        <f>IF(OR(D2947&lt;Capa!$A$5,D2947&gt;Capa!$A$7,E2947&lt;Capa!$A$5,E2947&gt;Capa!$A$7,D2947&gt;E2947),"Erro","")</f>
        <v/>
      </c>
    </row>
    <row r="2948" spans="1:9" ht="22.5">
      <c r="A2948" s="345">
        <v>2945</v>
      </c>
      <c r="B2948" s="346" t="s">
        <v>274</v>
      </c>
      <c r="C2948" s="347">
        <v>1380.35</v>
      </c>
      <c r="D2948" s="348">
        <v>46753</v>
      </c>
      <c r="E2948" s="348">
        <v>47058</v>
      </c>
      <c r="F2948" s="346" t="s">
        <v>645</v>
      </c>
      <c r="G2948" s="350" t="s">
        <v>443</v>
      </c>
      <c r="H2948" s="351">
        <f t="shared" si="50"/>
        <v>15183.849999999999</v>
      </c>
      <c r="I2948" s="120" t="str">
        <f>IF(OR(D2948&lt;Capa!$A$5,D2948&gt;Capa!$A$7,E2948&lt;Capa!$A$5,E2948&gt;Capa!$A$7,D2948&gt;E2948),"Erro","")</f>
        <v/>
      </c>
    </row>
    <row r="2949" spans="1:9" ht="56.25">
      <c r="A2949" s="345">
        <v>2946</v>
      </c>
      <c r="B2949" s="346" t="s">
        <v>236</v>
      </c>
      <c r="C2949" s="347">
        <v>690.19</v>
      </c>
      <c r="D2949" s="348">
        <v>45292</v>
      </c>
      <c r="E2949" s="348">
        <v>45627</v>
      </c>
      <c r="F2949" s="346" t="s">
        <v>645</v>
      </c>
      <c r="G2949" s="350" t="s">
        <v>444</v>
      </c>
      <c r="H2949" s="351">
        <f t="shared" si="50"/>
        <v>8282.2800000000007</v>
      </c>
      <c r="I2949" s="120" t="str">
        <f>IF(OR(D2949&lt;Capa!$A$5,D2949&gt;Capa!$A$7,E2949&lt;Capa!$A$5,E2949&gt;Capa!$A$7,D2949&gt;E2949),"Erro","")</f>
        <v/>
      </c>
    </row>
    <row r="2950" spans="1:9" ht="56.25">
      <c r="A2950" s="345">
        <v>2947</v>
      </c>
      <c r="B2950" s="346" t="s">
        <v>236</v>
      </c>
      <c r="C2950" s="347">
        <v>760.49</v>
      </c>
      <c r="D2950" s="348">
        <v>45658</v>
      </c>
      <c r="E2950" s="348">
        <v>45992</v>
      </c>
      <c r="F2950" s="346" t="s">
        <v>645</v>
      </c>
      <c r="G2950" s="350" t="s">
        <v>444</v>
      </c>
      <c r="H2950" s="351">
        <f t="shared" si="50"/>
        <v>9125.880000000001</v>
      </c>
      <c r="I2950" s="120" t="str">
        <f>IF(OR(D2950&lt;Capa!$A$5,D2950&gt;Capa!$A$7,E2950&lt;Capa!$A$5,E2950&gt;Capa!$A$7,D2950&gt;E2950),"Erro","")</f>
        <v/>
      </c>
    </row>
    <row r="2951" spans="1:9" ht="56.25">
      <c r="A2951" s="345">
        <v>2948</v>
      </c>
      <c r="B2951" s="346" t="s">
        <v>236</v>
      </c>
      <c r="C2951" s="347">
        <v>773.16</v>
      </c>
      <c r="D2951" s="348">
        <v>46023</v>
      </c>
      <c r="E2951" s="348">
        <v>46357</v>
      </c>
      <c r="F2951" s="346" t="s">
        <v>645</v>
      </c>
      <c r="G2951" s="350" t="s">
        <v>444</v>
      </c>
      <c r="H2951" s="351">
        <f t="shared" si="50"/>
        <v>9277.92</v>
      </c>
      <c r="I2951" s="120" t="str">
        <f>IF(OR(D2951&lt;Capa!$A$5,D2951&gt;Capa!$A$7,E2951&lt;Capa!$A$5,E2951&gt;Capa!$A$7,D2951&gt;E2951),"Erro","")</f>
        <v/>
      </c>
    </row>
    <row r="2952" spans="1:9" ht="56.25">
      <c r="A2952" s="345">
        <v>2949</v>
      </c>
      <c r="B2952" s="346" t="s">
        <v>236</v>
      </c>
      <c r="C2952" s="347">
        <v>818.31</v>
      </c>
      <c r="D2952" s="348">
        <v>46388</v>
      </c>
      <c r="E2952" s="348">
        <v>46722</v>
      </c>
      <c r="F2952" s="346" t="s">
        <v>645</v>
      </c>
      <c r="G2952" s="350" t="s">
        <v>444</v>
      </c>
      <c r="H2952" s="351">
        <f t="shared" si="50"/>
        <v>9819.7199999999993</v>
      </c>
      <c r="I2952" s="120" t="str">
        <f>IF(OR(D2952&lt;Capa!$A$5,D2952&gt;Capa!$A$7,E2952&lt;Capa!$A$5,E2952&gt;Capa!$A$7,D2952&gt;E2952),"Erro","")</f>
        <v/>
      </c>
    </row>
    <row r="2953" spans="1:9" ht="56.25">
      <c r="A2953" s="345">
        <v>2950</v>
      </c>
      <c r="B2953" s="346" t="s">
        <v>236</v>
      </c>
      <c r="C2953" s="347">
        <v>866.09</v>
      </c>
      <c r="D2953" s="348">
        <v>46753</v>
      </c>
      <c r="E2953" s="348">
        <v>47058</v>
      </c>
      <c r="F2953" s="346" t="s">
        <v>645</v>
      </c>
      <c r="G2953" s="350" t="s">
        <v>444</v>
      </c>
      <c r="H2953" s="351">
        <f t="shared" si="50"/>
        <v>9526.99</v>
      </c>
      <c r="I2953" s="120" t="str">
        <f>IF(OR(D2953&lt;Capa!$A$5,D2953&gt;Capa!$A$7,E2953&lt;Capa!$A$5,E2953&gt;Capa!$A$7,D2953&gt;E2953),"Erro","")</f>
        <v/>
      </c>
    </row>
    <row r="2954" spans="1:9" ht="33.75">
      <c r="A2954" s="345">
        <v>2951</v>
      </c>
      <c r="B2954" s="346" t="s">
        <v>240</v>
      </c>
      <c r="C2954" s="347">
        <v>50</v>
      </c>
      <c r="D2954" s="348">
        <v>45292</v>
      </c>
      <c r="E2954" s="348">
        <v>45627</v>
      </c>
      <c r="F2954" s="346" t="s">
        <v>645</v>
      </c>
      <c r="G2954" s="350" t="s">
        <v>445</v>
      </c>
      <c r="H2954" s="351">
        <f t="shared" si="50"/>
        <v>600</v>
      </c>
      <c r="I2954" s="120" t="str">
        <f>IF(OR(D2954&lt;Capa!$A$5,D2954&gt;Capa!$A$7,E2954&lt;Capa!$A$5,E2954&gt;Capa!$A$7,D2954&gt;E2954),"Erro","")</f>
        <v/>
      </c>
    </row>
    <row r="2955" spans="1:9" ht="33.75">
      <c r="A2955" s="345">
        <v>2952</v>
      </c>
      <c r="B2955" s="346" t="s">
        <v>240</v>
      </c>
      <c r="C2955" s="347">
        <v>50</v>
      </c>
      <c r="D2955" s="348">
        <v>45658</v>
      </c>
      <c r="E2955" s="348">
        <v>45992</v>
      </c>
      <c r="F2955" s="346" t="s">
        <v>645</v>
      </c>
      <c r="G2955" s="350" t="s">
        <v>445</v>
      </c>
      <c r="H2955" s="351">
        <f t="shared" si="50"/>
        <v>600</v>
      </c>
      <c r="I2955" s="120" t="str">
        <f>IF(OR(D2955&lt;Capa!$A$5,D2955&gt;Capa!$A$7,E2955&lt;Capa!$A$5,E2955&gt;Capa!$A$7,D2955&gt;E2955),"Erro","")</f>
        <v/>
      </c>
    </row>
    <row r="2956" spans="1:9" ht="33.75">
      <c r="A2956" s="345">
        <v>2953</v>
      </c>
      <c r="B2956" s="346" t="s">
        <v>240</v>
      </c>
      <c r="C2956" s="347">
        <v>50</v>
      </c>
      <c r="D2956" s="348">
        <v>46023</v>
      </c>
      <c r="E2956" s="348">
        <v>46357</v>
      </c>
      <c r="F2956" s="346" t="s">
        <v>645</v>
      </c>
      <c r="G2956" s="350" t="s">
        <v>445</v>
      </c>
      <c r="H2956" s="351">
        <f t="shared" si="50"/>
        <v>600</v>
      </c>
      <c r="I2956" s="120" t="str">
        <f>IF(OR(D2956&lt;Capa!$A$5,D2956&gt;Capa!$A$7,E2956&lt;Capa!$A$5,E2956&gt;Capa!$A$7,D2956&gt;E2956),"Erro","")</f>
        <v/>
      </c>
    </row>
    <row r="2957" spans="1:9" ht="33.75">
      <c r="A2957" s="345">
        <v>2954</v>
      </c>
      <c r="B2957" s="346" t="s">
        <v>240</v>
      </c>
      <c r="C2957" s="347">
        <v>50</v>
      </c>
      <c r="D2957" s="348">
        <v>46388</v>
      </c>
      <c r="E2957" s="348">
        <v>46722</v>
      </c>
      <c r="F2957" s="346" t="s">
        <v>645</v>
      </c>
      <c r="G2957" s="350" t="s">
        <v>445</v>
      </c>
      <c r="H2957" s="351">
        <f t="shared" si="50"/>
        <v>600</v>
      </c>
      <c r="I2957" s="120" t="str">
        <f>IF(OR(D2957&lt;Capa!$A$5,D2957&gt;Capa!$A$7,E2957&lt;Capa!$A$5,E2957&gt;Capa!$A$7,D2957&gt;E2957),"Erro","")</f>
        <v/>
      </c>
    </row>
    <row r="2958" spans="1:9" ht="33.75">
      <c r="A2958" s="345">
        <v>2955</v>
      </c>
      <c r="B2958" s="346" t="s">
        <v>240</v>
      </c>
      <c r="C2958" s="347">
        <v>50</v>
      </c>
      <c r="D2958" s="348">
        <v>46753</v>
      </c>
      <c r="E2958" s="348">
        <v>47058</v>
      </c>
      <c r="F2958" s="346" t="s">
        <v>645</v>
      </c>
      <c r="G2958" s="350" t="s">
        <v>445</v>
      </c>
      <c r="H2958" s="351">
        <f t="shared" si="50"/>
        <v>550</v>
      </c>
      <c r="I2958" s="120" t="str">
        <f>IF(OR(D2958&lt;Capa!$A$5,D2958&gt;Capa!$A$7,E2958&lt;Capa!$A$5,E2958&gt;Capa!$A$7,D2958&gt;E2958),"Erro","")</f>
        <v/>
      </c>
    </row>
    <row r="2959" spans="1:9" ht="45">
      <c r="A2959" s="345">
        <v>2956</v>
      </c>
      <c r="B2959" s="346" t="s">
        <v>244</v>
      </c>
      <c r="C2959" s="347">
        <v>300</v>
      </c>
      <c r="D2959" s="348">
        <v>45261</v>
      </c>
      <c r="E2959" s="348">
        <v>45627</v>
      </c>
      <c r="F2959" s="346" t="s">
        <v>645</v>
      </c>
      <c r="G2959" s="350" t="s">
        <v>446</v>
      </c>
      <c r="H2959" s="351">
        <f t="shared" si="50"/>
        <v>3900</v>
      </c>
      <c r="I2959" s="120" t="str">
        <f>IF(OR(D2959&lt;Capa!$A$5,D2959&gt;Capa!$A$7,E2959&lt;Capa!$A$5,E2959&gt;Capa!$A$7,D2959&gt;E2959),"Erro","")</f>
        <v/>
      </c>
    </row>
    <row r="2960" spans="1:9" ht="45">
      <c r="A2960" s="345">
        <v>2957</v>
      </c>
      <c r="B2960" s="346" t="s">
        <v>244</v>
      </c>
      <c r="C2960" s="347">
        <v>350</v>
      </c>
      <c r="D2960" s="348">
        <v>45658</v>
      </c>
      <c r="E2960" s="348">
        <v>45992</v>
      </c>
      <c r="F2960" s="346" t="s">
        <v>645</v>
      </c>
      <c r="G2960" s="350" t="s">
        <v>446</v>
      </c>
      <c r="H2960" s="351">
        <f t="shared" si="50"/>
        <v>4200</v>
      </c>
      <c r="I2960" s="120" t="str">
        <f>IF(OR(D2960&lt;Capa!$A$5,D2960&gt;Capa!$A$7,E2960&lt;Capa!$A$5,E2960&gt;Capa!$A$7,D2960&gt;E2960),"Erro","")</f>
        <v/>
      </c>
    </row>
    <row r="2961" spans="1:9" ht="45">
      <c r="A2961" s="345">
        <v>2958</v>
      </c>
      <c r="B2961" s="346" t="s">
        <v>244</v>
      </c>
      <c r="C2961" s="347">
        <v>350</v>
      </c>
      <c r="D2961" s="348">
        <v>46023</v>
      </c>
      <c r="E2961" s="348">
        <v>46357</v>
      </c>
      <c r="F2961" s="346" t="s">
        <v>645</v>
      </c>
      <c r="G2961" s="350" t="s">
        <v>446</v>
      </c>
      <c r="H2961" s="351">
        <f t="shared" si="50"/>
        <v>4200</v>
      </c>
      <c r="I2961" s="120" t="str">
        <f>IF(OR(D2961&lt;Capa!$A$5,D2961&gt;Capa!$A$7,E2961&lt;Capa!$A$5,E2961&gt;Capa!$A$7,D2961&gt;E2961),"Erro","")</f>
        <v/>
      </c>
    </row>
    <row r="2962" spans="1:9" ht="45">
      <c r="A2962" s="345">
        <v>2959</v>
      </c>
      <c r="B2962" s="346" t="s">
        <v>244</v>
      </c>
      <c r="C2962" s="347">
        <v>380</v>
      </c>
      <c r="D2962" s="348">
        <v>46388</v>
      </c>
      <c r="E2962" s="348">
        <v>46722</v>
      </c>
      <c r="F2962" s="346" t="s">
        <v>645</v>
      </c>
      <c r="G2962" s="350" t="s">
        <v>446</v>
      </c>
      <c r="H2962" s="351">
        <f t="shared" si="50"/>
        <v>4560</v>
      </c>
      <c r="I2962" s="120" t="str">
        <f>IF(OR(D2962&lt;Capa!$A$5,D2962&gt;Capa!$A$7,E2962&lt;Capa!$A$5,E2962&gt;Capa!$A$7,D2962&gt;E2962),"Erro","")</f>
        <v/>
      </c>
    </row>
    <row r="2963" spans="1:9" ht="45">
      <c r="A2963" s="345">
        <v>2960</v>
      </c>
      <c r="B2963" s="346" t="s">
        <v>244</v>
      </c>
      <c r="C2963" s="347">
        <v>380</v>
      </c>
      <c r="D2963" s="348">
        <v>46753</v>
      </c>
      <c r="E2963" s="348">
        <v>47058</v>
      </c>
      <c r="F2963" s="346" t="s">
        <v>645</v>
      </c>
      <c r="G2963" s="350" t="s">
        <v>446</v>
      </c>
      <c r="H2963" s="351">
        <f t="shared" si="50"/>
        <v>4180</v>
      </c>
      <c r="I2963" s="120" t="str">
        <f>IF(OR(D2963&lt;Capa!$A$5,D2963&gt;Capa!$A$7,E2963&lt;Capa!$A$5,E2963&gt;Capa!$A$7,D2963&gt;E2963),"Erro","")</f>
        <v/>
      </c>
    </row>
    <row r="2964" spans="1:9" ht="33.75">
      <c r="A2964" s="345">
        <v>2961</v>
      </c>
      <c r="B2964" s="346" t="s">
        <v>246</v>
      </c>
      <c r="C2964" s="347">
        <v>275.18</v>
      </c>
      <c r="D2964" s="348">
        <v>45658</v>
      </c>
      <c r="E2964" s="348">
        <v>45992</v>
      </c>
      <c r="F2964" s="346" t="s">
        <v>645</v>
      </c>
      <c r="G2964" s="350" t="s">
        <v>447</v>
      </c>
      <c r="H2964" s="351">
        <f t="shared" si="50"/>
        <v>3302.16</v>
      </c>
      <c r="I2964" s="120" t="str">
        <f>IF(OR(D2964&lt;Capa!$A$5,D2964&gt;Capa!$A$7,E2964&lt;Capa!$A$5,E2964&gt;Capa!$A$7,D2964&gt;E2964),"Erro","")</f>
        <v/>
      </c>
    </row>
    <row r="2965" spans="1:9" ht="33.75">
      <c r="A2965" s="345">
        <v>2962</v>
      </c>
      <c r="B2965" s="346" t="s">
        <v>246</v>
      </c>
      <c r="C2965" s="347">
        <v>291.25</v>
      </c>
      <c r="D2965" s="348">
        <v>46023</v>
      </c>
      <c r="E2965" s="348">
        <v>46357</v>
      </c>
      <c r="F2965" s="346" t="s">
        <v>645</v>
      </c>
      <c r="G2965" s="350" t="s">
        <v>447</v>
      </c>
      <c r="H2965" s="351">
        <f t="shared" si="50"/>
        <v>3495</v>
      </c>
      <c r="I2965" s="120" t="str">
        <f>IF(OR(D2965&lt;Capa!$A$5,D2965&gt;Capa!$A$7,E2965&lt;Capa!$A$5,E2965&gt;Capa!$A$7,D2965&gt;E2965),"Erro","")</f>
        <v/>
      </c>
    </row>
    <row r="2966" spans="1:9" ht="33.75">
      <c r="A2966" s="345">
        <v>2963</v>
      </c>
      <c r="B2966" s="346" t="s">
        <v>246</v>
      </c>
      <c r="C2966" s="347">
        <v>308.26</v>
      </c>
      <c r="D2966" s="348">
        <v>46388</v>
      </c>
      <c r="E2966" s="348">
        <v>46722</v>
      </c>
      <c r="F2966" s="346" t="s">
        <v>645</v>
      </c>
      <c r="G2966" s="350" t="s">
        <v>447</v>
      </c>
      <c r="H2966" s="351">
        <f t="shared" si="50"/>
        <v>3699.12</v>
      </c>
      <c r="I2966" s="120" t="str">
        <f>IF(OR(D2966&lt;Capa!$A$5,D2966&gt;Capa!$A$7,E2966&lt;Capa!$A$5,E2966&gt;Capa!$A$7,D2966&gt;E2966),"Erro","")</f>
        <v/>
      </c>
    </row>
    <row r="2967" spans="1:9" ht="33.75">
      <c r="A2967" s="345">
        <v>2964</v>
      </c>
      <c r="B2967" s="346" t="s">
        <v>246</v>
      </c>
      <c r="C2967" s="347">
        <v>326.26</v>
      </c>
      <c r="D2967" s="348">
        <v>46753</v>
      </c>
      <c r="E2967" s="348">
        <v>47058</v>
      </c>
      <c r="F2967" s="346" t="s">
        <v>645</v>
      </c>
      <c r="G2967" s="350" t="s">
        <v>447</v>
      </c>
      <c r="H2967" s="351">
        <f t="shared" si="50"/>
        <v>3588.8599999999997</v>
      </c>
      <c r="I2967" s="120" t="str">
        <f>IF(OR(D2967&lt;Capa!$A$5,D2967&gt;Capa!$A$7,E2967&lt;Capa!$A$5,E2967&gt;Capa!$A$7,D2967&gt;E2967),"Erro","")</f>
        <v/>
      </c>
    </row>
    <row r="2968" spans="1:9" ht="33.75">
      <c r="A2968" s="345">
        <v>2965</v>
      </c>
      <c r="B2968" s="346" t="s">
        <v>258</v>
      </c>
      <c r="C2968" s="347">
        <v>193.77</v>
      </c>
      <c r="D2968" s="348">
        <v>45261</v>
      </c>
      <c r="E2968" s="348">
        <v>45627</v>
      </c>
      <c r="F2968" s="346" t="s">
        <v>645</v>
      </c>
      <c r="G2968" s="350" t="s">
        <v>448</v>
      </c>
      <c r="H2968" s="351">
        <f t="shared" si="50"/>
        <v>2519.0100000000002</v>
      </c>
      <c r="I2968" s="120" t="str">
        <f>IF(OR(D2968&lt;Capa!$A$5,D2968&gt;Capa!$A$7,E2968&lt;Capa!$A$5,E2968&gt;Capa!$A$7,D2968&gt;E2968),"Erro","")</f>
        <v/>
      </c>
    </row>
    <row r="2969" spans="1:9" ht="33.75">
      <c r="A2969" s="345">
        <v>2966</v>
      </c>
      <c r="B2969" s="346" t="s">
        <v>258</v>
      </c>
      <c r="C2969" s="347">
        <v>205.08</v>
      </c>
      <c r="D2969" s="348">
        <v>45658</v>
      </c>
      <c r="E2969" s="348">
        <v>45992</v>
      </c>
      <c r="F2969" s="346" t="s">
        <v>645</v>
      </c>
      <c r="G2969" s="350" t="s">
        <v>448</v>
      </c>
      <c r="H2969" s="351">
        <f t="shared" si="50"/>
        <v>2460.96</v>
      </c>
      <c r="I2969" s="120" t="str">
        <f>IF(OR(D2969&lt;Capa!$A$5,D2969&gt;Capa!$A$7,E2969&lt;Capa!$A$5,E2969&gt;Capa!$A$7,D2969&gt;E2969),"Erro","")</f>
        <v/>
      </c>
    </row>
    <row r="2970" spans="1:9" ht="33.75">
      <c r="A2970" s="345">
        <v>2967</v>
      </c>
      <c r="B2970" s="346" t="s">
        <v>258</v>
      </c>
      <c r="C2970" s="347">
        <v>217.06</v>
      </c>
      <c r="D2970" s="348">
        <v>46023</v>
      </c>
      <c r="E2970" s="348">
        <v>46357</v>
      </c>
      <c r="F2970" s="346" t="s">
        <v>645</v>
      </c>
      <c r="G2970" s="350" t="s">
        <v>448</v>
      </c>
      <c r="H2970" s="351">
        <f t="shared" si="50"/>
        <v>2604.7200000000003</v>
      </c>
      <c r="I2970" s="120" t="str">
        <f>IF(OR(D2970&lt;Capa!$A$5,D2970&gt;Capa!$A$7,E2970&lt;Capa!$A$5,E2970&gt;Capa!$A$7,D2970&gt;E2970),"Erro","")</f>
        <v/>
      </c>
    </row>
    <row r="2971" spans="1:9" ht="33.75">
      <c r="A2971" s="345">
        <v>2968</v>
      </c>
      <c r="B2971" s="346" t="s">
        <v>258</v>
      </c>
      <c r="C2971" s="347">
        <v>229.74</v>
      </c>
      <c r="D2971" s="348">
        <v>46388</v>
      </c>
      <c r="E2971" s="348">
        <v>46722</v>
      </c>
      <c r="F2971" s="346" t="s">
        <v>645</v>
      </c>
      <c r="G2971" s="350" t="s">
        <v>448</v>
      </c>
      <c r="H2971" s="351">
        <f t="shared" si="50"/>
        <v>2756.88</v>
      </c>
      <c r="I2971" s="120" t="str">
        <f>IF(OR(D2971&lt;Capa!$A$5,D2971&gt;Capa!$A$7,E2971&lt;Capa!$A$5,E2971&gt;Capa!$A$7,D2971&gt;E2971),"Erro","")</f>
        <v/>
      </c>
    </row>
    <row r="2972" spans="1:9" ht="33.75">
      <c r="A2972" s="345">
        <v>2969</v>
      </c>
      <c r="B2972" s="346" t="s">
        <v>258</v>
      </c>
      <c r="C2972" s="347">
        <v>243.16</v>
      </c>
      <c r="D2972" s="348">
        <v>46753</v>
      </c>
      <c r="E2972" s="348">
        <v>47058</v>
      </c>
      <c r="F2972" s="346" t="s">
        <v>645</v>
      </c>
      <c r="G2972" s="350" t="s">
        <v>448</v>
      </c>
      <c r="H2972" s="351">
        <f t="shared" si="50"/>
        <v>2674.7599999999998</v>
      </c>
      <c r="I2972" s="120" t="str">
        <f>IF(OR(D2972&lt;Capa!$A$5,D2972&gt;Capa!$A$7,E2972&lt;Capa!$A$5,E2972&gt;Capa!$A$7,D2972&gt;E2972),"Erro","")</f>
        <v/>
      </c>
    </row>
    <row r="2973" spans="1:9" ht="56.25">
      <c r="A2973" s="345">
        <v>2970</v>
      </c>
      <c r="B2973" s="346" t="s">
        <v>276</v>
      </c>
      <c r="C2973" s="347">
        <v>670</v>
      </c>
      <c r="D2973" s="348">
        <v>45658</v>
      </c>
      <c r="E2973" s="348">
        <v>45992</v>
      </c>
      <c r="F2973" s="346" t="s">
        <v>645</v>
      </c>
      <c r="G2973" s="350" t="s">
        <v>449</v>
      </c>
      <c r="H2973" s="351">
        <f t="shared" si="50"/>
        <v>8040</v>
      </c>
      <c r="I2973" s="120" t="str">
        <f>IF(OR(D2973&lt;Capa!$A$5,D2973&gt;Capa!$A$7,E2973&lt;Capa!$A$5,E2973&gt;Capa!$A$7,D2973&gt;E2973),"Erro","")</f>
        <v/>
      </c>
    </row>
    <row r="2974" spans="1:9" ht="56.25">
      <c r="A2974" s="345">
        <v>2971</v>
      </c>
      <c r="B2974" s="346" t="s">
        <v>276</v>
      </c>
      <c r="C2974" s="347">
        <v>670</v>
      </c>
      <c r="D2974" s="348">
        <v>46023</v>
      </c>
      <c r="E2974" s="348">
        <v>46357</v>
      </c>
      <c r="F2974" s="346" t="s">
        <v>645</v>
      </c>
      <c r="G2974" s="350" t="s">
        <v>449</v>
      </c>
      <c r="H2974" s="351">
        <f t="shared" si="50"/>
        <v>8040</v>
      </c>
      <c r="I2974" s="120" t="str">
        <f>IF(OR(D2974&lt;Capa!$A$5,D2974&gt;Capa!$A$7,E2974&lt;Capa!$A$5,E2974&gt;Capa!$A$7,D2974&gt;E2974),"Erro","")</f>
        <v/>
      </c>
    </row>
    <row r="2975" spans="1:9" ht="56.25">
      <c r="A2975" s="345">
        <v>2972</v>
      </c>
      <c r="B2975" s="346" t="s">
        <v>276</v>
      </c>
      <c r="C2975" s="347">
        <v>670</v>
      </c>
      <c r="D2975" s="348">
        <v>46388</v>
      </c>
      <c r="E2975" s="348">
        <v>46722</v>
      </c>
      <c r="F2975" s="346" t="s">
        <v>645</v>
      </c>
      <c r="G2975" s="350" t="s">
        <v>449</v>
      </c>
      <c r="H2975" s="351">
        <f t="shared" si="50"/>
        <v>8040</v>
      </c>
      <c r="I2975" s="120" t="str">
        <f>IF(OR(D2975&lt;Capa!$A$5,D2975&gt;Capa!$A$7,E2975&lt;Capa!$A$5,E2975&gt;Capa!$A$7,D2975&gt;E2975),"Erro","")</f>
        <v/>
      </c>
    </row>
    <row r="2976" spans="1:9" ht="56.25">
      <c r="A2976" s="345">
        <v>2973</v>
      </c>
      <c r="B2976" s="346" t="s">
        <v>276</v>
      </c>
      <c r="C2976" s="347">
        <v>670</v>
      </c>
      <c r="D2976" s="348">
        <v>46753</v>
      </c>
      <c r="E2976" s="348">
        <v>47058</v>
      </c>
      <c r="F2976" s="346" t="s">
        <v>645</v>
      </c>
      <c r="G2976" s="350" t="s">
        <v>449</v>
      </c>
      <c r="H2976" s="351">
        <f t="shared" si="50"/>
        <v>7370</v>
      </c>
      <c r="I2976" s="120" t="str">
        <f>IF(OR(D2976&lt;Capa!$A$5,D2976&gt;Capa!$A$7,E2976&lt;Capa!$A$5,E2976&gt;Capa!$A$7,D2976&gt;E2976),"Erro","")</f>
        <v/>
      </c>
    </row>
    <row r="2977" spans="1:9" ht="45">
      <c r="A2977" s="345">
        <v>2974</v>
      </c>
      <c r="B2977" s="346" t="s">
        <v>278</v>
      </c>
      <c r="C2977" s="347">
        <v>17000</v>
      </c>
      <c r="D2977" s="348">
        <v>45261</v>
      </c>
      <c r="E2977" s="348">
        <v>45261</v>
      </c>
      <c r="F2977" s="346" t="s">
        <v>645</v>
      </c>
      <c r="G2977" s="350" t="s">
        <v>450</v>
      </c>
      <c r="H2977" s="351">
        <f t="shared" si="50"/>
        <v>17000</v>
      </c>
      <c r="I2977" s="120" t="str">
        <f>IF(OR(D2977&lt;Capa!$A$5,D2977&gt;Capa!$A$7,E2977&lt;Capa!$A$5,E2977&gt;Capa!$A$7,D2977&gt;E2977),"Erro","")</f>
        <v/>
      </c>
    </row>
    <row r="2978" spans="1:9" ht="45">
      <c r="A2978" s="345">
        <v>2975</v>
      </c>
      <c r="B2978" s="346" t="s">
        <v>278</v>
      </c>
      <c r="C2978" s="347">
        <v>36500</v>
      </c>
      <c r="D2978" s="348">
        <v>45292</v>
      </c>
      <c r="E2978" s="348">
        <v>45627</v>
      </c>
      <c r="F2978" s="346" t="s">
        <v>645</v>
      </c>
      <c r="G2978" s="350" t="s">
        <v>450</v>
      </c>
      <c r="H2978" s="351">
        <f t="shared" si="50"/>
        <v>438000</v>
      </c>
      <c r="I2978" s="120" t="str">
        <f>IF(OR(D2978&lt;Capa!$A$5,D2978&gt;Capa!$A$7,E2978&lt;Capa!$A$5,E2978&gt;Capa!$A$7,D2978&gt;E2978),"Erro","")</f>
        <v/>
      </c>
    </row>
    <row r="2979" spans="1:9" ht="45">
      <c r="A2979" s="345">
        <v>2976</v>
      </c>
      <c r="B2979" s="346" t="s">
        <v>278</v>
      </c>
      <c r="C2979" s="347">
        <v>39615</v>
      </c>
      <c r="D2979" s="348">
        <v>45658</v>
      </c>
      <c r="E2979" s="348">
        <v>45992</v>
      </c>
      <c r="F2979" s="346" t="s">
        <v>645</v>
      </c>
      <c r="G2979" s="350" t="s">
        <v>450</v>
      </c>
      <c r="H2979" s="351">
        <f t="shared" si="50"/>
        <v>475380</v>
      </c>
      <c r="I2979" s="120" t="str">
        <f>IF(OR(D2979&lt;Capa!$A$5,D2979&gt;Capa!$A$7,E2979&lt;Capa!$A$5,E2979&gt;Capa!$A$7,D2979&gt;E2979),"Erro","")</f>
        <v/>
      </c>
    </row>
    <row r="2980" spans="1:9" ht="45">
      <c r="A2980" s="345">
        <v>2977</v>
      </c>
      <c r="B2980" s="346" t="s">
        <v>278</v>
      </c>
      <c r="C2980" s="347">
        <v>41929</v>
      </c>
      <c r="D2980" s="348">
        <v>46023</v>
      </c>
      <c r="E2980" s="348">
        <v>46357</v>
      </c>
      <c r="F2980" s="346" t="s">
        <v>645</v>
      </c>
      <c r="G2980" s="350" t="s">
        <v>450</v>
      </c>
      <c r="H2980" s="351">
        <f t="shared" si="50"/>
        <v>503148</v>
      </c>
      <c r="I2980" s="120" t="str">
        <f>IF(OR(D2980&lt;Capa!$A$5,D2980&gt;Capa!$A$7,E2980&lt;Capa!$A$5,E2980&gt;Capa!$A$7,D2980&gt;E2980),"Erro","")</f>
        <v/>
      </c>
    </row>
    <row r="2981" spans="1:9" ht="45">
      <c r="A2981" s="345">
        <v>2978</v>
      </c>
      <c r="B2981" s="346" t="s">
        <v>278</v>
      </c>
      <c r="C2981" s="347">
        <v>44378</v>
      </c>
      <c r="D2981" s="348">
        <v>46388</v>
      </c>
      <c r="E2981" s="348">
        <v>46722</v>
      </c>
      <c r="F2981" s="346" t="s">
        <v>645</v>
      </c>
      <c r="G2981" s="350" t="s">
        <v>450</v>
      </c>
      <c r="H2981" s="351">
        <f t="shared" si="50"/>
        <v>532536</v>
      </c>
      <c r="I2981" s="120" t="str">
        <f>IF(OR(D2981&lt;Capa!$A$5,D2981&gt;Capa!$A$7,E2981&lt;Capa!$A$5,E2981&gt;Capa!$A$7,D2981&gt;E2981),"Erro","")</f>
        <v/>
      </c>
    </row>
    <row r="2982" spans="1:9" ht="45">
      <c r="A2982" s="345">
        <v>2979</v>
      </c>
      <c r="B2982" s="346" t="s">
        <v>278</v>
      </c>
      <c r="C2982" s="347">
        <v>46969</v>
      </c>
      <c r="D2982" s="348">
        <v>46753</v>
      </c>
      <c r="E2982" s="348">
        <v>47058</v>
      </c>
      <c r="F2982" s="346" t="s">
        <v>645</v>
      </c>
      <c r="G2982" s="350" t="s">
        <v>450</v>
      </c>
      <c r="H2982" s="351">
        <f t="shared" si="50"/>
        <v>516659</v>
      </c>
      <c r="I2982" s="120" t="str">
        <f>IF(OR(D2982&lt;Capa!$A$5,D2982&gt;Capa!$A$7,E2982&lt;Capa!$A$5,E2982&gt;Capa!$A$7,D2982&gt;E2982),"Erro","")</f>
        <v/>
      </c>
    </row>
    <row r="2983" spans="1:9" ht="56.25">
      <c r="A2983" s="345">
        <v>2980</v>
      </c>
      <c r="B2983" s="346" t="s">
        <v>280</v>
      </c>
      <c r="C2983" s="347">
        <v>100</v>
      </c>
      <c r="D2983" s="348">
        <v>45292</v>
      </c>
      <c r="E2983" s="348">
        <v>45627</v>
      </c>
      <c r="F2983" s="346" t="s">
        <v>645</v>
      </c>
      <c r="G2983" s="350" t="s">
        <v>451</v>
      </c>
      <c r="H2983" s="351">
        <f t="shared" si="50"/>
        <v>1200</v>
      </c>
      <c r="I2983" s="120" t="str">
        <f>IF(OR(D2983&lt;Capa!$A$5,D2983&gt;Capa!$A$7,E2983&lt;Capa!$A$5,E2983&gt;Capa!$A$7,D2983&gt;E2983),"Erro","")</f>
        <v/>
      </c>
    </row>
    <row r="2984" spans="1:9" ht="56.25">
      <c r="A2984" s="345">
        <v>2981</v>
      </c>
      <c r="B2984" s="346" t="s">
        <v>280</v>
      </c>
      <c r="C2984" s="347">
        <v>100</v>
      </c>
      <c r="D2984" s="348">
        <v>45658</v>
      </c>
      <c r="E2984" s="348">
        <v>45992</v>
      </c>
      <c r="F2984" s="346" t="s">
        <v>645</v>
      </c>
      <c r="G2984" s="350" t="s">
        <v>451</v>
      </c>
      <c r="H2984" s="351">
        <f t="shared" si="50"/>
        <v>1200</v>
      </c>
      <c r="I2984" s="120" t="str">
        <f>IF(OR(D2984&lt;Capa!$A$5,D2984&gt;Capa!$A$7,E2984&lt;Capa!$A$5,E2984&gt;Capa!$A$7,D2984&gt;E2984),"Erro","")</f>
        <v/>
      </c>
    </row>
    <row r="2985" spans="1:9" ht="56.25">
      <c r="A2985" s="345">
        <v>2982</v>
      </c>
      <c r="B2985" s="346" t="s">
        <v>280</v>
      </c>
      <c r="C2985" s="347">
        <v>100</v>
      </c>
      <c r="D2985" s="348">
        <v>46023</v>
      </c>
      <c r="E2985" s="348">
        <v>46357</v>
      </c>
      <c r="F2985" s="346" t="s">
        <v>645</v>
      </c>
      <c r="G2985" s="350" t="s">
        <v>451</v>
      </c>
      <c r="H2985" s="351">
        <f t="shared" si="50"/>
        <v>1200</v>
      </c>
      <c r="I2985" s="120" t="str">
        <f>IF(OR(D2985&lt;Capa!$A$5,D2985&gt;Capa!$A$7,E2985&lt;Capa!$A$5,E2985&gt;Capa!$A$7,D2985&gt;E2985),"Erro","")</f>
        <v/>
      </c>
    </row>
    <row r="2986" spans="1:9" ht="56.25">
      <c r="A2986" s="345">
        <v>2983</v>
      </c>
      <c r="B2986" s="346" t="s">
        <v>280</v>
      </c>
      <c r="C2986" s="347">
        <v>100</v>
      </c>
      <c r="D2986" s="348">
        <v>46388</v>
      </c>
      <c r="E2986" s="348">
        <v>46722</v>
      </c>
      <c r="F2986" s="346" t="s">
        <v>645</v>
      </c>
      <c r="G2986" s="350" t="s">
        <v>451</v>
      </c>
      <c r="H2986" s="351">
        <f t="shared" si="50"/>
        <v>1200</v>
      </c>
      <c r="I2986" s="120" t="str">
        <f>IF(OR(D2986&lt;Capa!$A$5,D2986&gt;Capa!$A$7,E2986&lt;Capa!$A$5,E2986&gt;Capa!$A$7,D2986&gt;E2986),"Erro","")</f>
        <v/>
      </c>
    </row>
    <row r="2987" spans="1:9" ht="56.25">
      <c r="A2987" s="345">
        <v>2984</v>
      </c>
      <c r="B2987" s="346" t="s">
        <v>280</v>
      </c>
      <c r="C2987" s="347">
        <v>100</v>
      </c>
      <c r="D2987" s="348">
        <v>46753</v>
      </c>
      <c r="E2987" s="348">
        <v>47058</v>
      </c>
      <c r="F2987" s="346" t="s">
        <v>645</v>
      </c>
      <c r="G2987" s="350" t="s">
        <v>451</v>
      </c>
      <c r="H2987" s="351">
        <f t="shared" si="50"/>
        <v>1100</v>
      </c>
      <c r="I2987" s="120" t="str">
        <f>IF(OR(D2987&lt;Capa!$A$5,D2987&gt;Capa!$A$7,E2987&lt;Capa!$A$5,E2987&gt;Capa!$A$7,D2987&gt;E2987),"Erro","")</f>
        <v/>
      </c>
    </row>
    <row r="2988" spans="1:9" ht="45">
      <c r="A2988" s="345">
        <v>2985</v>
      </c>
      <c r="B2988" s="346" t="s">
        <v>282</v>
      </c>
      <c r="C2988" s="347">
        <v>702.18</v>
      </c>
      <c r="D2988" s="348">
        <v>45261</v>
      </c>
      <c r="E2988" s="348">
        <v>45627</v>
      </c>
      <c r="F2988" s="346" t="s">
        <v>645</v>
      </c>
      <c r="G2988" s="350" t="s">
        <v>452</v>
      </c>
      <c r="H2988" s="351">
        <f t="shared" si="50"/>
        <v>9128.34</v>
      </c>
      <c r="I2988" s="120" t="str">
        <f>IF(OR(D2988&lt;Capa!$A$5,D2988&gt;Capa!$A$7,E2988&lt;Capa!$A$5,E2988&gt;Capa!$A$7,D2988&gt;E2988),"Erro","")</f>
        <v/>
      </c>
    </row>
    <row r="2989" spans="1:9" ht="45">
      <c r="A2989" s="345">
        <v>2986</v>
      </c>
      <c r="B2989" s="346" t="s">
        <v>282</v>
      </c>
      <c r="C2989" s="347">
        <v>743.18</v>
      </c>
      <c r="D2989" s="348">
        <v>45658</v>
      </c>
      <c r="E2989" s="348">
        <v>45992</v>
      </c>
      <c r="F2989" s="346" t="s">
        <v>645</v>
      </c>
      <c r="G2989" s="350" t="s">
        <v>452</v>
      </c>
      <c r="H2989" s="351">
        <f t="shared" si="50"/>
        <v>8918.16</v>
      </c>
      <c r="I2989" s="120" t="str">
        <f>IF(OR(D2989&lt;Capa!$A$5,D2989&gt;Capa!$A$7,E2989&lt;Capa!$A$5,E2989&gt;Capa!$A$7,D2989&gt;E2989),"Erro","")</f>
        <v/>
      </c>
    </row>
    <row r="2990" spans="1:9" ht="45">
      <c r="A2990" s="345">
        <v>2987</v>
      </c>
      <c r="B2990" s="346" t="s">
        <v>282</v>
      </c>
      <c r="C2990" s="347">
        <v>786.59</v>
      </c>
      <c r="D2990" s="348">
        <v>46023</v>
      </c>
      <c r="E2990" s="348">
        <v>46357</v>
      </c>
      <c r="F2990" s="346" t="s">
        <v>645</v>
      </c>
      <c r="G2990" s="350" t="s">
        <v>452</v>
      </c>
      <c r="H2990" s="351">
        <f t="shared" si="50"/>
        <v>9439.08</v>
      </c>
      <c r="I2990" s="120" t="str">
        <f>IF(OR(D2990&lt;Capa!$A$5,D2990&gt;Capa!$A$7,E2990&lt;Capa!$A$5,E2990&gt;Capa!$A$7,D2990&gt;E2990),"Erro","")</f>
        <v/>
      </c>
    </row>
    <row r="2991" spans="1:9" ht="45">
      <c r="A2991" s="345">
        <v>2988</v>
      </c>
      <c r="B2991" s="346" t="s">
        <v>282</v>
      </c>
      <c r="C2991" s="347">
        <v>832.52</v>
      </c>
      <c r="D2991" s="348">
        <v>46388</v>
      </c>
      <c r="E2991" s="348">
        <v>46722</v>
      </c>
      <c r="F2991" s="346" t="s">
        <v>645</v>
      </c>
      <c r="G2991" s="350" t="s">
        <v>452</v>
      </c>
      <c r="H2991" s="351">
        <f t="shared" si="50"/>
        <v>9990.24</v>
      </c>
      <c r="I2991" s="120" t="str">
        <f>IF(OR(D2991&lt;Capa!$A$5,D2991&gt;Capa!$A$7,E2991&lt;Capa!$A$5,E2991&gt;Capa!$A$7,D2991&gt;E2991),"Erro","")</f>
        <v/>
      </c>
    </row>
    <row r="2992" spans="1:9" ht="45">
      <c r="A2992" s="345">
        <v>2989</v>
      </c>
      <c r="B2992" s="346" t="s">
        <v>282</v>
      </c>
      <c r="C2992" s="347">
        <v>881.14</v>
      </c>
      <c r="D2992" s="348">
        <v>46753</v>
      </c>
      <c r="E2992" s="348">
        <v>47058</v>
      </c>
      <c r="F2992" s="346" t="s">
        <v>645</v>
      </c>
      <c r="G2992" s="350" t="s">
        <v>452</v>
      </c>
      <c r="H2992" s="351">
        <f t="shared" si="50"/>
        <v>9692.5399999999991</v>
      </c>
      <c r="I2992" s="120" t="str">
        <f>IF(OR(D2992&lt;Capa!$A$5,D2992&gt;Capa!$A$7,E2992&lt;Capa!$A$5,E2992&gt;Capa!$A$7,D2992&gt;E2992),"Erro","")</f>
        <v/>
      </c>
    </row>
    <row r="2993" spans="1:9" ht="45">
      <c r="A2993" s="345">
        <v>2990</v>
      </c>
      <c r="B2993" s="346" t="s">
        <v>284</v>
      </c>
      <c r="C2993" s="347">
        <v>1013.31</v>
      </c>
      <c r="D2993" s="348">
        <v>45261</v>
      </c>
      <c r="E2993" s="348">
        <v>45627</v>
      </c>
      <c r="F2993" s="346" t="s">
        <v>645</v>
      </c>
      <c r="G2993" s="350" t="s">
        <v>452</v>
      </c>
      <c r="H2993" s="351">
        <f t="shared" si="50"/>
        <v>13173.029999999999</v>
      </c>
      <c r="I2993" s="120" t="str">
        <f>IF(OR(D2993&lt;Capa!$A$5,D2993&gt;Capa!$A$7,E2993&lt;Capa!$A$5,E2993&gt;Capa!$A$7,D2993&gt;E2993),"Erro","")</f>
        <v/>
      </c>
    </row>
    <row r="2994" spans="1:9" ht="45">
      <c r="A2994" s="345">
        <v>2991</v>
      </c>
      <c r="B2994" s="346" t="s">
        <v>284</v>
      </c>
      <c r="C2994" s="347">
        <v>1072.49</v>
      </c>
      <c r="D2994" s="348">
        <v>45658</v>
      </c>
      <c r="E2994" s="348">
        <v>45992</v>
      </c>
      <c r="F2994" s="346" t="s">
        <v>645</v>
      </c>
      <c r="G2994" s="350" t="s">
        <v>452</v>
      </c>
      <c r="H2994" s="351">
        <f t="shared" si="50"/>
        <v>12869.880000000001</v>
      </c>
      <c r="I2994" s="120" t="str">
        <f>IF(OR(D2994&lt;Capa!$A$5,D2994&gt;Capa!$A$7,E2994&lt;Capa!$A$5,E2994&gt;Capa!$A$7,D2994&gt;E2994),"Erro","")</f>
        <v/>
      </c>
    </row>
    <row r="2995" spans="1:9" ht="45">
      <c r="A2995" s="345">
        <v>2992</v>
      </c>
      <c r="B2995" s="346" t="s">
        <v>284</v>
      </c>
      <c r="C2995" s="347">
        <v>1135.1199999999999</v>
      </c>
      <c r="D2995" s="348">
        <v>46023</v>
      </c>
      <c r="E2995" s="348">
        <v>46357</v>
      </c>
      <c r="F2995" s="346" t="s">
        <v>645</v>
      </c>
      <c r="G2995" s="350" t="s">
        <v>452</v>
      </c>
      <c r="H2995" s="351">
        <f t="shared" si="50"/>
        <v>13621.439999999999</v>
      </c>
      <c r="I2995" s="120" t="str">
        <f>IF(OR(D2995&lt;Capa!$A$5,D2995&gt;Capa!$A$7,E2995&lt;Capa!$A$5,E2995&gt;Capa!$A$7,D2995&gt;E2995),"Erro","")</f>
        <v/>
      </c>
    </row>
    <row r="2996" spans="1:9" ht="45">
      <c r="A2996" s="345">
        <v>2993</v>
      </c>
      <c r="B2996" s="346" t="s">
        <v>284</v>
      </c>
      <c r="C2996" s="347">
        <v>1201.42</v>
      </c>
      <c r="D2996" s="348">
        <v>46388</v>
      </c>
      <c r="E2996" s="348">
        <v>46722</v>
      </c>
      <c r="F2996" s="346" t="s">
        <v>645</v>
      </c>
      <c r="G2996" s="350" t="s">
        <v>452</v>
      </c>
      <c r="H2996" s="351">
        <f t="shared" si="50"/>
        <v>14417.04</v>
      </c>
      <c r="I2996" s="120" t="str">
        <f>IF(OR(D2996&lt;Capa!$A$5,D2996&gt;Capa!$A$7,E2996&lt;Capa!$A$5,E2996&gt;Capa!$A$7,D2996&gt;E2996),"Erro","")</f>
        <v/>
      </c>
    </row>
    <row r="2997" spans="1:9" ht="45">
      <c r="A2997" s="345">
        <v>2994</v>
      </c>
      <c r="B2997" s="346" t="s">
        <v>284</v>
      </c>
      <c r="C2997" s="347">
        <v>1271.58</v>
      </c>
      <c r="D2997" s="348">
        <v>46753</v>
      </c>
      <c r="E2997" s="348">
        <v>47058</v>
      </c>
      <c r="F2997" s="346" t="s">
        <v>645</v>
      </c>
      <c r="G2997" s="350" t="s">
        <v>452</v>
      </c>
      <c r="H2997" s="351">
        <f t="shared" si="50"/>
        <v>13987.38</v>
      </c>
      <c r="I2997" s="120" t="str">
        <f>IF(OR(D2997&lt;Capa!$A$5,D2997&gt;Capa!$A$7,E2997&lt;Capa!$A$5,E2997&gt;Capa!$A$7,D2997&gt;E2997),"Erro","")</f>
        <v/>
      </c>
    </row>
    <row r="2998" spans="1:9" ht="45">
      <c r="A2998" s="345">
        <v>2995</v>
      </c>
      <c r="B2998" s="346" t="s">
        <v>286</v>
      </c>
      <c r="C2998" s="347">
        <v>1013.31</v>
      </c>
      <c r="D2998" s="348">
        <v>45261</v>
      </c>
      <c r="E2998" s="348">
        <v>45627</v>
      </c>
      <c r="F2998" s="346" t="s">
        <v>645</v>
      </c>
      <c r="G2998" s="350" t="s">
        <v>452</v>
      </c>
      <c r="H2998" s="351">
        <f t="shared" si="50"/>
        <v>13173.029999999999</v>
      </c>
      <c r="I2998" s="120" t="str">
        <f>IF(OR(D2998&lt;Capa!$A$5,D2998&gt;Capa!$A$7,E2998&lt;Capa!$A$5,E2998&gt;Capa!$A$7,D2998&gt;E2998),"Erro","")</f>
        <v/>
      </c>
    </row>
    <row r="2999" spans="1:9" ht="45">
      <c r="A2999" s="345">
        <v>2996</v>
      </c>
      <c r="B2999" s="346" t="s">
        <v>286</v>
      </c>
      <c r="C2999" s="347">
        <v>1072.49</v>
      </c>
      <c r="D2999" s="348">
        <v>45658</v>
      </c>
      <c r="E2999" s="348">
        <v>45992</v>
      </c>
      <c r="F2999" s="346" t="s">
        <v>645</v>
      </c>
      <c r="G2999" s="350" t="s">
        <v>452</v>
      </c>
      <c r="H2999" s="351">
        <f t="shared" si="50"/>
        <v>12869.880000000001</v>
      </c>
      <c r="I2999" s="120" t="str">
        <f>IF(OR(D2999&lt;Capa!$A$5,D2999&gt;Capa!$A$7,E2999&lt;Capa!$A$5,E2999&gt;Capa!$A$7,D2999&gt;E2999),"Erro","")</f>
        <v/>
      </c>
    </row>
    <row r="3000" spans="1:9" ht="45">
      <c r="A3000" s="345">
        <v>2997</v>
      </c>
      <c r="B3000" s="346" t="s">
        <v>286</v>
      </c>
      <c r="C3000" s="347">
        <v>1135.1199999999999</v>
      </c>
      <c r="D3000" s="348">
        <v>46023</v>
      </c>
      <c r="E3000" s="348">
        <v>46357</v>
      </c>
      <c r="F3000" s="346" t="s">
        <v>645</v>
      </c>
      <c r="G3000" s="350" t="s">
        <v>452</v>
      </c>
      <c r="H3000" s="351">
        <f t="shared" ref="H3000:H3058" si="51">IFERROR((DATEDIF(D3000,E3000,"M")+1)*C3000,0)</f>
        <v>13621.439999999999</v>
      </c>
      <c r="I3000" s="120" t="str">
        <f>IF(OR(D3000&lt;Capa!$A$5,D3000&gt;Capa!$A$7,E3000&lt;Capa!$A$5,E3000&gt;Capa!$A$7,D3000&gt;E3000),"Erro","")</f>
        <v/>
      </c>
    </row>
    <row r="3001" spans="1:9" ht="45">
      <c r="A3001" s="345">
        <v>2998</v>
      </c>
      <c r="B3001" s="346" t="s">
        <v>286</v>
      </c>
      <c r="C3001" s="347">
        <v>1201.4100000000001</v>
      </c>
      <c r="D3001" s="348">
        <v>46388</v>
      </c>
      <c r="E3001" s="348">
        <v>46722</v>
      </c>
      <c r="F3001" s="346" t="s">
        <v>645</v>
      </c>
      <c r="G3001" s="350" t="s">
        <v>452</v>
      </c>
      <c r="H3001" s="351">
        <f t="shared" si="51"/>
        <v>14416.920000000002</v>
      </c>
      <c r="I3001" s="120" t="str">
        <f>IF(OR(D3001&lt;Capa!$A$5,D3001&gt;Capa!$A$7,E3001&lt;Capa!$A$5,E3001&gt;Capa!$A$7,D3001&gt;E3001),"Erro","")</f>
        <v/>
      </c>
    </row>
    <row r="3002" spans="1:9" ht="45">
      <c r="A3002" s="345">
        <v>2999</v>
      </c>
      <c r="B3002" s="346" t="s">
        <v>286</v>
      </c>
      <c r="C3002" s="347">
        <v>1271.57</v>
      </c>
      <c r="D3002" s="348">
        <v>46753</v>
      </c>
      <c r="E3002" s="348">
        <v>47058</v>
      </c>
      <c r="F3002" s="346" t="s">
        <v>645</v>
      </c>
      <c r="G3002" s="350" t="s">
        <v>452</v>
      </c>
      <c r="H3002" s="351">
        <f t="shared" si="51"/>
        <v>13987.269999999999</v>
      </c>
      <c r="I3002" s="120" t="str">
        <f>IF(OR(D3002&lt;Capa!$A$5,D3002&gt;Capa!$A$7,E3002&lt;Capa!$A$5,E3002&gt;Capa!$A$7,D3002&gt;E3002),"Erro","")</f>
        <v/>
      </c>
    </row>
    <row r="3003" spans="1:9" ht="45">
      <c r="A3003" s="345">
        <v>3000</v>
      </c>
      <c r="B3003" s="346" t="s">
        <v>288</v>
      </c>
      <c r="C3003" s="347">
        <v>200</v>
      </c>
      <c r="D3003" s="348">
        <v>45261</v>
      </c>
      <c r="E3003" s="348">
        <v>45627</v>
      </c>
      <c r="F3003" s="346" t="s">
        <v>645</v>
      </c>
      <c r="G3003" s="350" t="s">
        <v>453</v>
      </c>
      <c r="H3003" s="351">
        <f t="shared" si="51"/>
        <v>2600</v>
      </c>
      <c r="I3003" s="120" t="str">
        <f>IF(OR(D3003&lt;Capa!$A$5,D3003&gt;Capa!$A$7,E3003&lt;Capa!$A$5,E3003&gt;Capa!$A$7,D3003&gt;E3003),"Erro","")</f>
        <v/>
      </c>
    </row>
    <row r="3004" spans="1:9" ht="45">
      <c r="A3004" s="345">
        <v>3001</v>
      </c>
      <c r="B3004" s="346" t="s">
        <v>288</v>
      </c>
      <c r="C3004" s="347">
        <v>200</v>
      </c>
      <c r="D3004" s="348">
        <v>45658</v>
      </c>
      <c r="E3004" s="348">
        <v>45992</v>
      </c>
      <c r="F3004" s="346" t="s">
        <v>645</v>
      </c>
      <c r="G3004" s="350" t="s">
        <v>453</v>
      </c>
      <c r="H3004" s="351">
        <f t="shared" si="51"/>
        <v>2400</v>
      </c>
      <c r="I3004" s="120" t="str">
        <f>IF(OR(D3004&lt;Capa!$A$5,D3004&gt;Capa!$A$7,E3004&lt;Capa!$A$5,E3004&gt;Capa!$A$7,D3004&gt;E3004),"Erro","")</f>
        <v/>
      </c>
    </row>
    <row r="3005" spans="1:9" ht="45">
      <c r="A3005" s="345">
        <v>3002</v>
      </c>
      <c r="B3005" s="346" t="s">
        <v>288</v>
      </c>
      <c r="C3005" s="347">
        <v>200</v>
      </c>
      <c r="D3005" s="348">
        <v>46023</v>
      </c>
      <c r="E3005" s="348">
        <v>46357</v>
      </c>
      <c r="F3005" s="346" t="s">
        <v>645</v>
      </c>
      <c r="G3005" s="350" t="s">
        <v>453</v>
      </c>
      <c r="H3005" s="351">
        <f t="shared" si="51"/>
        <v>2400</v>
      </c>
      <c r="I3005" s="120" t="str">
        <f>IF(OR(D3005&lt;Capa!$A$5,D3005&gt;Capa!$A$7,E3005&lt;Capa!$A$5,E3005&gt;Capa!$A$7,D3005&gt;E3005),"Erro","")</f>
        <v/>
      </c>
    </row>
    <row r="3006" spans="1:9" ht="45">
      <c r="A3006" s="345">
        <v>3003</v>
      </c>
      <c r="B3006" s="346" t="s">
        <v>288</v>
      </c>
      <c r="C3006" s="347">
        <v>200</v>
      </c>
      <c r="D3006" s="348">
        <v>46388</v>
      </c>
      <c r="E3006" s="348">
        <v>46722</v>
      </c>
      <c r="F3006" s="346" t="s">
        <v>645</v>
      </c>
      <c r="G3006" s="350" t="s">
        <v>453</v>
      </c>
      <c r="H3006" s="351">
        <f t="shared" si="51"/>
        <v>2400</v>
      </c>
      <c r="I3006" s="120" t="str">
        <f>IF(OR(D3006&lt;Capa!$A$5,D3006&gt;Capa!$A$7,E3006&lt;Capa!$A$5,E3006&gt;Capa!$A$7,D3006&gt;E3006),"Erro","")</f>
        <v/>
      </c>
    </row>
    <row r="3007" spans="1:9" ht="45">
      <c r="A3007" s="345">
        <v>3004</v>
      </c>
      <c r="B3007" s="346" t="s">
        <v>288</v>
      </c>
      <c r="C3007" s="347">
        <v>200</v>
      </c>
      <c r="D3007" s="348">
        <v>46753</v>
      </c>
      <c r="E3007" s="348">
        <v>47058</v>
      </c>
      <c r="F3007" s="346" t="s">
        <v>645</v>
      </c>
      <c r="G3007" s="350" t="s">
        <v>453</v>
      </c>
      <c r="H3007" s="351">
        <f t="shared" si="51"/>
        <v>2200</v>
      </c>
      <c r="I3007" s="120" t="str">
        <f>IF(OR(D3007&lt;Capa!$A$5,D3007&gt;Capa!$A$7,E3007&lt;Capa!$A$5,E3007&gt;Capa!$A$7,D3007&gt;E3007),"Erro","")</f>
        <v/>
      </c>
    </row>
    <row r="3008" spans="1:9" ht="33.75">
      <c r="A3008" s="345">
        <v>3005</v>
      </c>
      <c r="B3008" s="346" t="s">
        <v>294</v>
      </c>
      <c r="C3008" s="347">
        <v>7000</v>
      </c>
      <c r="D3008" s="348">
        <v>45261</v>
      </c>
      <c r="E3008" s="348">
        <v>45627</v>
      </c>
      <c r="F3008" s="346" t="s">
        <v>645</v>
      </c>
      <c r="G3008" s="350" t="s">
        <v>454</v>
      </c>
      <c r="H3008" s="351">
        <f t="shared" si="51"/>
        <v>91000</v>
      </c>
      <c r="I3008" s="120" t="str">
        <f>IF(OR(D3008&lt;Capa!$A$5,D3008&gt;Capa!$A$7,E3008&lt;Capa!$A$5,E3008&gt;Capa!$A$7,D3008&gt;E3008),"Erro","")</f>
        <v/>
      </c>
    </row>
    <row r="3009" spans="1:9" ht="33.75">
      <c r="A3009" s="345">
        <v>3006</v>
      </c>
      <c r="B3009" s="346" t="s">
        <v>294</v>
      </c>
      <c r="C3009" s="347">
        <v>7408.8</v>
      </c>
      <c r="D3009" s="348">
        <v>45658</v>
      </c>
      <c r="E3009" s="348">
        <v>45992</v>
      </c>
      <c r="F3009" s="346" t="s">
        <v>645</v>
      </c>
      <c r="G3009" s="350" t="s">
        <v>454</v>
      </c>
      <c r="H3009" s="351">
        <f t="shared" si="51"/>
        <v>88905.600000000006</v>
      </c>
      <c r="I3009" s="120" t="str">
        <f>IF(OR(D3009&lt;Capa!$A$5,D3009&gt;Capa!$A$7,E3009&lt;Capa!$A$5,E3009&gt;Capa!$A$7,D3009&gt;E3009),"Erro","")</f>
        <v/>
      </c>
    </row>
    <row r="3010" spans="1:9" ht="33.75">
      <c r="A3010" s="345">
        <v>3007</v>
      </c>
      <c r="B3010" s="346" t="s">
        <v>294</v>
      </c>
      <c r="C3010" s="347">
        <v>7847.65</v>
      </c>
      <c r="D3010" s="348">
        <v>46023</v>
      </c>
      <c r="E3010" s="348">
        <v>46357</v>
      </c>
      <c r="F3010" s="346" t="s">
        <v>645</v>
      </c>
      <c r="G3010" s="350" t="s">
        <v>454</v>
      </c>
      <c r="H3010" s="351">
        <f t="shared" si="51"/>
        <v>94171.799999999988</v>
      </c>
      <c r="I3010" s="120" t="str">
        <f>IF(OR(D3010&lt;Capa!$A$5,D3010&gt;Capa!$A$7,E3010&lt;Capa!$A$5,E3010&gt;Capa!$A$7,D3010&gt;E3010),"Erro","")</f>
        <v/>
      </c>
    </row>
    <row r="3011" spans="1:9" ht="33.75">
      <c r="A3011" s="345">
        <v>3008</v>
      </c>
      <c r="B3011" s="346" t="s">
        <v>294</v>
      </c>
      <c r="C3011" s="347">
        <v>8305.9500000000007</v>
      </c>
      <c r="D3011" s="348">
        <v>46388</v>
      </c>
      <c r="E3011" s="348">
        <v>46722</v>
      </c>
      <c r="F3011" s="346" t="s">
        <v>645</v>
      </c>
      <c r="G3011" s="350" t="s">
        <v>454</v>
      </c>
      <c r="H3011" s="351">
        <f t="shared" si="51"/>
        <v>99671.400000000009</v>
      </c>
      <c r="I3011" s="120" t="str">
        <f>IF(OR(D3011&lt;Capa!$A$5,D3011&gt;Capa!$A$7,E3011&lt;Capa!$A$5,E3011&gt;Capa!$A$7,D3011&gt;E3011),"Erro","")</f>
        <v/>
      </c>
    </row>
    <row r="3012" spans="1:9" ht="33.75">
      <c r="A3012" s="345">
        <v>3009</v>
      </c>
      <c r="B3012" s="346" t="s">
        <v>294</v>
      </c>
      <c r="C3012" s="347">
        <v>8791.02</v>
      </c>
      <c r="D3012" s="348">
        <v>46753</v>
      </c>
      <c r="E3012" s="348">
        <v>47058</v>
      </c>
      <c r="F3012" s="346" t="s">
        <v>645</v>
      </c>
      <c r="G3012" s="350" t="s">
        <v>454</v>
      </c>
      <c r="H3012" s="351">
        <f t="shared" si="51"/>
        <v>96701.22</v>
      </c>
      <c r="I3012" s="120" t="str">
        <f>IF(OR(D3012&lt;Capa!$A$5,D3012&gt;Capa!$A$7,E3012&lt;Capa!$A$5,E3012&gt;Capa!$A$7,D3012&gt;E3012),"Erro","")</f>
        <v/>
      </c>
    </row>
    <row r="3013" spans="1:9" ht="22.5">
      <c r="A3013" s="345">
        <v>3010</v>
      </c>
      <c r="B3013" s="346" t="s">
        <v>302</v>
      </c>
      <c r="C3013" s="347">
        <v>200</v>
      </c>
      <c r="D3013" s="348">
        <v>45261</v>
      </c>
      <c r="E3013" s="348">
        <v>45627</v>
      </c>
      <c r="F3013" s="346" t="s">
        <v>645</v>
      </c>
      <c r="G3013" s="350" t="s">
        <v>455</v>
      </c>
      <c r="H3013" s="351">
        <f t="shared" si="51"/>
        <v>2600</v>
      </c>
      <c r="I3013" s="120" t="str">
        <f>IF(OR(D3013&lt;Capa!$A$5,D3013&gt;Capa!$A$7,E3013&lt;Capa!$A$5,E3013&gt;Capa!$A$7,D3013&gt;E3013),"Erro","")</f>
        <v/>
      </c>
    </row>
    <row r="3014" spans="1:9" ht="22.5">
      <c r="A3014" s="345">
        <v>3011</v>
      </c>
      <c r="B3014" s="346" t="s">
        <v>302</v>
      </c>
      <c r="C3014" s="347">
        <v>210</v>
      </c>
      <c r="D3014" s="348">
        <v>45658</v>
      </c>
      <c r="E3014" s="348">
        <v>45992</v>
      </c>
      <c r="F3014" s="346" t="s">
        <v>645</v>
      </c>
      <c r="G3014" s="350" t="s">
        <v>455</v>
      </c>
      <c r="H3014" s="351">
        <f t="shared" si="51"/>
        <v>2520</v>
      </c>
      <c r="I3014" s="120" t="str">
        <f>IF(OR(D3014&lt;Capa!$A$5,D3014&gt;Capa!$A$7,E3014&lt;Capa!$A$5,E3014&gt;Capa!$A$7,D3014&gt;E3014),"Erro","")</f>
        <v/>
      </c>
    </row>
    <row r="3015" spans="1:9" ht="22.5">
      <c r="A3015" s="345">
        <v>3012</v>
      </c>
      <c r="B3015" s="346" t="s">
        <v>302</v>
      </c>
      <c r="C3015" s="347">
        <v>210</v>
      </c>
      <c r="D3015" s="348">
        <v>46023</v>
      </c>
      <c r="E3015" s="348">
        <v>46357</v>
      </c>
      <c r="F3015" s="346" t="s">
        <v>645</v>
      </c>
      <c r="G3015" s="350" t="s">
        <v>455</v>
      </c>
      <c r="H3015" s="351">
        <f t="shared" si="51"/>
        <v>2520</v>
      </c>
      <c r="I3015" s="120" t="str">
        <f>IF(OR(D3015&lt;Capa!$A$5,D3015&gt;Capa!$A$7,E3015&lt;Capa!$A$5,E3015&gt;Capa!$A$7,D3015&gt;E3015),"Erro","")</f>
        <v/>
      </c>
    </row>
    <row r="3016" spans="1:9" ht="22.5">
      <c r="A3016" s="345">
        <v>3013</v>
      </c>
      <c r="B3016" s="346" t="s">
        <v>302</v>
      </c>
      <c r="C3016" s="347">
        <v>210</v>
      </c>
      <c r="D3016" s="348">
        <v>46388</v>
      </c>
      <c r="E3016" s="348">
        <v>46722</v>
      </c>
      <c r="F3016" s="346" t="s">
        <v>645</v>
      </c>
      <c r="G3016" s="350" t="s">
        <v>455</v>
      </c>
      <c r="H3016" s="351">
        <f t="shared" si="51"/>
        <v>2520</v>
      </c>
      <c r="I3016" s="120" t="str">
        <f>IF(OR(D3016&lt;Capa!$A$5,D3016&gt;Capa!$A$7,E3016&lt;Capa!$A$5,E3016&gt;Capa!$A$7,D3016&gt;E3016),"Erro","")</f>
        <v/>
      </c>
    </row>
    <row r="3017" spans="1:9" ht="22.5">
      <c r="A3017" s="345">
        <v>3014</v>
      </c>
      <c r="B3017" s="346" t="s">
        <v>302</v>
      </c>
      <c r="C3017" s="347">
        <v>210</v>
      </c>
      <c r="D3017" s="348">
        <v>46753</v>
      </c>
      <c r="E3017" s="348">
        <v>47058</v>
      </c>
      <c r="F3017" s="346" t="s">
        <v>645</v>
      </c>
      <c r="G3017" s="350" t="s">
        <v>455</v>
      </c>
      <c r="H3017" s="351">
        <f t="shared" si="51"/>
        <v>2310</v>
      </c>
      <c r="I3017" s="120" t="str">
        <f>IF(OR(D3017&lt;Capa!$A$5,D3017&gt;Capa!$A$7,E3017&lt;Capa!$A$5,E3017&gt;Capa!$A$7,D3017&gt;E3017),"Erro","")</f>
        <v/>
      </c>
    </row>
    <row r="3018" spans="1:9" ht="33.75">
      <c r="A3018" s="345">
        <v>3015</v>
      </c>
      <c r="B3018" s="346" t="s">
        <v>304</v>
      </c>
      <c r="C3018" s="347">
        <v>1800</v>
      </c>
      <c r="D3018" s="348">
        <v>45261</v>
      </c>
      <c r="E3018" s="348">
        <v>45627</v>
      </c>
      <c r="F3018" s="346" t="s">
        <v>645</v>
      </c>
      <c r="G3018" s="350" t="s">
        <v>456</v>
      </c>
      <c r="H3018" s="351">
        <f t="shared" si="51"/>
        <v>23400</v>
      </c>
      <c r="I3018" s="120" t="str">
        <f>IF(OR(D3018&lt;Capa!$A$5,D3018&gt;Capa!$A$7,E3018&lt;Capa!$A$5,E3018&gt;Capa!$A$7,D3018&gt;E3018),"Erro","")</f>
        <v/>
      </c>
    </row>
    <row r="3019" spans="1:9" ht="33.75">
      <c r="A3019" s="345">
        <v>3016</v>
      </c>
      <c r="B3019" s="346" t="s">
        <v>304</v>
      </c>
      <c r="C3019" s="347">
        <v>1905.12</v>
      </c>
      <c r="D3019" s="348">
        <v>45658</v>
      </c>
      <c r="E3019" s="348">
        <v>45992</v>
      </c>
      <c r="F3019" s="346" t="s">
        <v>645</v>
      </c>
      <c r="G3019" s="350" t="s">
        <v>456</v>
      </c>
      <c r="H3019" s="351">
        <f t="shared" si="51"/>
        <v>22861.439999999999</v>
      </c>
      <c r="I3019" s="120" t="str">
        <f>IF(OR(D3019&lt;Capa!$A$5,D3019&gt;Capa!$A$7,E3019&lt;Capa!$A$5,E3019&gt;Capa!$A$7,D3019&gt;E3019),"Erro","")</f>
        <v/>
      </c>
    </row>
    <row r="3020" spans="1:9" ht="33.75">
      <c r="A3020" s="345">
        <v>3017</v>
      </c>
      <c r="B3020" s="346" t="s">
        <v>304</v>
      </c>
      <c r="C3020" s="347">
        <v>2016.37</v>
      </c>
      <c r="D3020" s="348">
        <v>46023</v>
      </c>
      <c r="E3020" s="348">
        <v>46357</v>
      </c>
      <c r="F3020" s="346" t="s">
        <v>645</v>
      </c>
      <c r="G3020" s="350" t="s">
        <v>456</v>
      </c>
      <c r="H3020" s="351">
        <f t="shared" si="51"/>
        <v>24196.44</v>
      </c>
      <c r="I3020" s="120" t="str">
        <f>IF(OR(D3020&lt;Capa!$A$5,D3020&gt;Capa!$A$7,E3020&lt;Capa!$A$5,E3020&gt;Capa!$A$7,D3020&gt;E3020),"Erro","")</f>
        <v/>
      </c>
    </row>
    <row r="3021" spans="1:9" ht="33.75">
      <c r="A3021" s="345">
        <v>3018</v>
      </c>
      <c r="B3021" s="346" t="s">
        <v>304</v>
      </c>
      <c r="C3021" s="347">
        <v>2134.13</v>
      </c>
      <c r="D3021" s="348">
        <v>46388</v>
      </c>
      <c r="E3021" s="348">
        <v>46722</v>
      </c>
      <c r="F3021" s="346" t="s">
        <v>645</v>
      </c>
      <c r="G3021" s="350" t="s">
        <v>456</v>
      </c>
      <c r="H3021" s="351">
        <f t="shared" si="51"/>
        <v>25609.56</v>
      </c>
      <c r="I3021" s="120" t="str">
        <f>IF(OR(D3021&lt;Capa!$A$5,D3021&gt;Capa!$A$7,E3021&lt;Capa!$A$5,E3021&gt;Capa!$A$7,D3021&gt;E3021),"Erro","")</f>
        <v/>
      </c>
    </row>
    <row r="3022" spans="1:9" ht="33.75">
      <c r="A3022" s="345">
        <v>3019</v>
      </c>
      <c r="B3022" s="346" t="s">
        <v>304</v>
      </c>
      <c r="C3022" s="347">
        <v>2258.7600000000002</v>
      </c>
      <c r="D3022" s="348">
        <v>46753</v>
      </c>
      <c r="E3022" s="348">
        <v>47058</v>
      </c>
      <c r="F3022" s="346" t="s">
        <v>645</v>
      </c>
      <c r="G3022" s="350" t="s">
        <v>456</v>
      </c>
      <c r="H3022" s="351">
        <f t="shared" si="51"/>
        <v>24846.36</v>
      </c>
      <c r="I3022" s="120" t="str">
        <f>IF(OR(D3022&lt;Capa!$A$5,D3022&gt;Capa!$A$7,E3022&lt;Capa!$A$5,E3022&gt;Capa!$A$7,D3022&gt;E3022),"Erro","")</f>
        <v/>
      </c>
    </row>
    <row r="3023" spans="1:9" ht="33.75">
      <c r="A3023" s="345">
        <v>3020</v>
      </c>
      <c r="B3023" s="346" t="s">
        <v>312</v>
      </c>
      <c r="C3023" s="347">
        <v>280</v>
      </c>
      <c r="D3023" s="348">
        <v>45658</v>
      </c>
      <c r="E3023" s="348">
        <v>45992</v>
      </c>
      <c r="F3023" s="346" t="s">
        <v>645</v>
      </c>
      <c r="G3023" s="350" t="s">
        <v>593</v>
      </c>
      <c r="H3023" s="351">
        <f t="shared" si="51"/>
        <v>3360</v>
      </c>
      <c r="I3023" s="120" t="str">
        <f>IF(OR(D3023&lt;Capa!$A$5,D3023&gt;Capa!$A$7,E3023&lt;Capa!$A$5,E3023&gt;Capa!$A$7,D3023&gt;E3023),"Erro","")</f>
        <v/>
      </c>
    </row>
    <row r="3024" spans="1:9" ht="33.75">
      <c r="A3024" s="345">
        <v>3021</v>
      </c>
      <c r="B3024" s="346" t="s">
        <v>312</v>
      </c>
      <c r="C3024" s="347">
        <v>280</v>
      </c>
      <c r="D3024" s="348">
        <v>46023</v>
      </c>
      <c r="E3024" s="348">
        <v>46357</v>
      </c>
      <c r="F3024" s="346" t="s">
        <v>645</v>
      </c>
      <c r="G3024" s="350" t="s">
        <v>593</v>
      </c>
      <c r="H3024" s="351">
        <f t="shared" si="51"/>
        <v>3360</v>
      </c>
      <c r="I3024" s="120" t="str">
        <f>IF(OR(D3024&lt;Capa!$A$5,D3024&gt;Capa!$A$7,E3024&lt;Capa!$A$5,E3024&gt;Capa!$A$7,D3024&gt;E3024),"Erro","")</f>
        <v/>
      </c>
    </row>
    <row r="3025" spans="1:9" ht="33.75">
      <c r="A3025" s="345">
        <v>3022</v>
      </c>
      <c r="B3025" s="346" t="s">
        <v>312</v>
      </c>
      <c r="C3025" s="347">
        <v>280</v>
      </c>
      <c r="D3025" s="348">
        <v>46388</v>
      </c>
      <c r="E3025" s="348">
        <v>46722</v>
      </c>
      <c r="F3025" s="346" t="s">
        <v>645</v>
      </c>
      <c r="G3025" s="350" t="s">
        <v>593</v>
      </c>
      <c r="H3025" s="351">
        <f t="shared" si="51"/>
        <v>3360</v>
      </c>
      <c r="I3025" s="120" t="str">
        <f>IF(OR(D3025&lt;Capa!$A$5,D3025&gt;Capa!$A$7,E3025&lt;Capa!$A$5,E3025&gt;Capa!$A$7,D3025&gt;E3025),"Erro","")</f>
        <v/>
      </c>
    </row>
    <row r="3026" spans="1:9" ht="33.75">
      <c r="A3026" s="345">
        <v>3023</v>
      </c>
      <c r="B3026" s="346" t="s">
        <v>312</v>
      </c>
      <c r="C3026" s="347">
        <v>280</v>
      </c>
      <c r="D3026" s="348">
        <v>46753</v>
      </c>
      <c r="E3026" s="348">
        <v>47058</v>
      </c>
      <c r="F3026" s="346" t="s">
        <v>645</v>
      </c>
      <c r="G3026" s="350" t="s">
        <v>593</v>
      </c>
      <c r="H3026" s="351">
        <f t="shared" si="51"/>
        <v>3080</v>
      </c>
      <c r="I3026" s="120" t="str">
        <f>IF(OR(D3026&lt;Capa!$A$5,D3026&gt;Capa!$A$7,E3026&lt;Capa!$A$5,E3026&gt;Capa!$A$7,D3026&gt;E3026),"Erro","")</f>
        <v/>
      </c>
    </row>
    <row r="3027" spans="1:9" ht="67.5">
      <c r="A3027" s="345">
        <v>3024</v>
      </c>
      <c r="B3027" s="346" t="s">
        <v>316</v>
      </c>
      <c r="C3027" s="347">
        <v>1000</v>
      </c>
      <c r="D3027" s="348">
        <v>45261</v>
      </c>
      <c r="E3027" s="348">
        <v>45627</v>
      </c>
      <c r="F3027" s="346" t="s">
        <v>645</v>
      </c>
      <c r="G3027" s="350" t="s">
        <v>457</v>
      </c>
      <c r="H3027" s="351">
        <f t="shared" si="51"/>
        <v>13000</v>
      </c>
      <c r="I3027" s="120" t="str">
        <f>IF(OR(D3027&lt;Capa!$A$5,D3027&gt;Capa!$A$7,E3027&lt;Capa!$A$5,E3027&gt;Capa!$A$7,D3027&gt;E3027),"Erro","")</f>
        <v/>
      </c>
    </row>
    <row r="3028" spans="1:9" ht="67.5">
      <c r="A3028" s="345">
        <v>3025</v>
      </c>
      <c r="B3028" s="346" t="s">
        <v>316</v>
      </c>
      <c r="C3028" s="347">
        <v>1000</v>
      </c>
      <c r="D3028" s="348">
        <v>45658</v>
      </c>
      <c r="E3028" s="348">
        <v>45992</v>
      </c>
      <c r="F3028" s="346" t="s">
        <v>645</v>
      </c>
      <c r="G3028" s="350" t="s">
        <v>457</v>
      </c>
      <c r="H3028" s="351">
        <f t="shared" si="51"/>
        <v>12000</v>
      </c>
      <c r="I3028" s="120" t="str">
        <f>IF(OR(D3028&lt;Capa!$A$5,D3028&gt;Capa!$A$7,E3028&lt;Capa!$A$5,E3028&gt;Capa!$A$7,D3028&gt;E3028),"Erro","")</f>
        <v/>
      </c>
    </row>
    <row r="3029" spans="1:9" ht="67.5">
      <c r="A3029" s="345">
        <v>3026</v>
      </c>
      <c r="B3029" s="346" t="s">
        <v>316</v>
      </c>
      <c r="C3029" s="347">
        <v>1000</v>
      </c>
      <c r="D3029" s="348">
        <v>46023</v>
      </c>
      <c r="E3029" s="348">
        <v>46357</v>
      </c>
      <c r="F3029" s="346" t="s">
        <v>645</v>
      </c>
      <c r="G3029" s="350" t="s">
        <v>457</v>
      </c>
      <c r="H3029" s="351">
        <f t="shared" si="51"/>
        <v>12000</v>
      </c>
      <c r="I3029" s="120" t="str">
        <f>IF(OR(D3029&lt;Capa!$A$5,D3029&gt;Capa!$A$7,E3029&lt;Capa!$A$5,E3029&gt;Capa!$A$7,D3029&gt;E3029),"Erro","")</f>
        <v/>
      </c>
    </row>
    <row r="3030" spans="1:9" ht="67.5">
      <c r="A3030" s="345">
        <v>3027</v>
      </c>
      <c r="B3030" s="346" t="s">
        <v>316</v>
      </c>
      <c r="C3030" s="347">
        <v>1000</v>
      </c>
      <c r="D3030" s="348">
        <v>46388</v>
      </c>
      <c r="E3030" s="348">
        <v>46722</v>
      </c>
      <c r="F3030" s="346" t="s">
        <v>645</v>
      </c>
      <c r="G3030" s="350" t="s">
        <v>457</v>
      </c>
      <c r="H3030" s="351">
        <f t="shared" si="51"/>
        <v>12000</v>
      </c>
      <c r="I3030" s="120" t="str">
        <f>IF(OR(D3030&lt;Capa!$A$5,D3030&gt;Capa!$A$7,E3030&lt;Capa!$A$5,E3030&gt;Capa!$A$7,D3030&gt;E3030),"Erro","")</f>
        <v/>
      </c>
    </row>
    <row r="3031" spans="1:9" ht="67.5">
      <c r="A3031" s="345">
        <v>3028</v>
      </c>
      <c r="B3031" s="346" t="s">
        <v>316</v>
      </c>
      <c r="C3031" s="347">
        <v>1000</v>
      </c>
      <c r="D3031" s="348">
        <v>46753</v>
      </c>
      <c r="E3031" s="348">
        <v>47058</v>
      </c>
      <c r="F3031" s="346" t="s">
        <v>645</v>
      </c>
      <c r="G3031" s="350" t="s">
        <v>457</v>
      </c>
      <c r="H3031" s="351">
        <f t="shared" si="51"/>
        <v>11000</v>
      </c>
      <c r="I3031" s="120" t="str">
        <f>IF(OR(D3031&lt;Capa!$A$5,D3031&gt;Capa!$A$7,E3031&lt;Capa!$A$5,E3031&gt;Capa!$A$7,D3031&gt;E3031),"Erro","")</f>
        <v/>
      </c>
    </row>
    <row r="3032" spans="1:9" ht="56.25">
      <c r="A3032" s="345">
        <v>3029</v>
      </c>
      <c r="B3032" s="346" t="s">
        <v>318</v>
      </c>
      <c r="C3032" s="347">
        <v>1800</v>
      </c>
      <c r="D3032" s="348">
        <v>45261</v>
      </c>
      <c r="E3032" s="348">
        <v>45627</v>
      </c>
      <c r="F3032" s="346" t="s">
        <v>645</v>
      </c>
      <c r="G3032" s="350" t="s">
        <v>594</v>
      </c>
      <c r="H3032" s="351">
        <f t="shared" si="51"/>
        <v>23400</v>
      </c>
      <c r="I3032" s="120" t="str">
        <f>IF(OR(D3032&lt;Capa!$A$5,D3032&gt;Capa!$A$7,E3032&lt;Capa!$A$5,E3032&gt;Capa!$A$7,D3032&gt;E3032),"Erro","")</f>
        <v/>
      </c>
    </row>
    <row r="3033" spans="1:9" ht="56.25">
      <c r="A3033" s="345">
        <v>3030</v>
      </c>
      <c r="B3033" s="346" t="s">
        <v>318</v>
      </c>
      <c r="C3033" s="347">
        <v>1500</v>
      </c>
      <c r="D3033" s="348">
        <v>45658</v>
      </c>
      <c r="E3033" s="348">
        <v>45992</v>
      </c>
      <c r="F3033" s="346" t="s">
        <v>645</v>
      </c>
      <c r="G3033" s="350" t="s">
        <v>594</v>
      </c>
      <c r="H3033" s="351">
        <f t="shared" si="51"/>
        <v>18000</v>
      </c>
      <c r="I3033" s="120" t="str">
        <f>IF(OR(D3033&lt;Capa!$A$5,D3033&gt;Capa!$A$7,E3033&lt;Capa!$A$5,E3033&gt;Capa!$A$7,D3033&gt;E3033),"Erro","")</f>
        <v/>
      </c>
    </row>
    <row r="3034" spans="1:9" ht="56.25">
      <c r="A3034" s="345">
        <v>3031</v>
      </c>
      <c r="B3034" s="346" t="s">
        <v>318</v>
      </c>
      <c r="C3034" s="347">
        <v>1500</v>
      </c>
      <c r="D3034" s="348">
        <v>46023</v>
      </c>
      <c r="E3034" s="348">
        <v>46357</v>
      </c>
      <c r="F3034" s="346" t="s">
        <v>645</v>
      </c>
      <c r="G3034" s="350" t="s">
        <v>594</v>
      </c>
      <c r="H3034" s="351">
        <f t="shared" si="51"/>
        <v>18000</v>
      </c>
      <c r="I3034" s="120" t="str">
        <f>IF(OR(D3034&lt;Capa!$A$5,D3034&gt;Capa!$A$7,E3034&lt;Capa!$A$5,E3034&gt;Capa!$A$7,D3034&gt;E3034),"Erro","")</f>
        <v/>
      </c>
    </row>
    <row r="3035" spans="1:9" ht="56.25">
      <c r="A3035" s="345">
        <v>3032</v>
      </c>
      <c r="B3035" s="346" t="s">
        <v>318</v>
      </c>
      <c r="C3035" s="347">
        <v>1500</v>
      </c>
      <c r="D3035" s="348">
        <v>46388</v>
      </c>
      <c r="E3035" s="348">
        <v>46722</v>
      </c>
      <c r="F3035" s="346" t="s">
        <v>645</v>
      </c>
      <c r="G3035" s="350" t="s">
        <v>594</v>
      </c>
      <c r="H3035" s="351">
        <f t="shared" si="51"/>
        <v>18000</v>
      </c>
      <c r="I3035" s="120" t="str">
        <f>IF(OR(D3035&lt;Capa!$A$5,D3035&gt;Capa!$A$7,E3035&lt;Capa!$A$5,E3035&gt;Capa!$A$7,D3035&gt;E3035),"Erro","")</f>
        <v/>
      </c>
    </row>
    <row r="3036" spans="1:9" ht="56.25">
      <c r="A3036" s="345">
        <v>3033</v>
      </c>
      <c r="B3036" s="346" t="s">
        <v>318</v>
      </c>
      <c r="C3036" s="347">
        <v>1500</v>
      </c>
      <c r="D3036" s="348">
        <v>46753</v>
      </c>
      <c r="E3036" s="348">
        <v>47058</v>
      </c>
      <c r="F3036" s="346" t="s">
        <v>645</v>
      </c>
      <c r="G3036" s="350" t="s">
        <v>594</v>
      </c>
      <c r="H3036" s="351">
        <f t="shared" si="51"/>
        <v>16500</v>
      </c>
      <c r="I3036" s="120" t="str">
        <f>IF(OR(D3036&lt;Capa!$A$5,D3036&gt;Capa!$A$7,E3036&lt;Capa!$A$5,E3036&gt;Capa!$A$7,D3036&gt;E3036),"Erro","")</f>
        <v/>
      </c>
    </row>
    <row r="3037" spans="1:9" ht="67.5">
      <c r="A3037" s="345">
        <v>3034</v>
      </c>
      <c r="B3037" s="346" t="s">
        <v>318</v>
      </c>
      <c r="C3037" s="347">
        <v>1800</v>
      </c>
      <c r="D3037" s="348">
        <v>45261</v>
      </c>
      <c r="E3037" s="348">
        <v>45627</v>
      </c>
      <c r="F3037" s="346" t="s">
        <v>645</v>
      </c>
      <c r="G3037" s="350" t="s">
        <v>457</v>
      </c>
      <c r="H3037" s="351">
        <f t="shared" si="51"/>
        <v>23400</v>
      </c>
      <c r="I3037" s="120" t="str">
        <f>IF(OR(D3037&lt;Capa!$A$5,D3037&gt;Capa!$A$7,E3037&lt;Capa!$A$5,E3037&gt;Capa!$A$7,D3037&gt;E3037),"Erro","")</f>
        <v/>
      </c>
    </row>
    <row r="3038" spans="1:9" ht="67.5">
      <c r="A3038" s="345">
        <v>3035</v>
      </c>
      <c r="B3038" s="346" t="s">
        <v>318</v>
      </c>
      <c r="C3038" s="347">
        <v>1500</v>
      </c>
      <c r="D3038" s="348">
        <v>45658</v>
      </c>
      <c r="E3038" s="348">
        <v>45992</v>
      </c>
      <c r="F3038" s="346" t="s">
        <v>645</v>
      </c>
      <c r="G3038" s="350" t="s">
        <v>457</v>
      </c>
      <c r="H3038" s="351">
        <f t="shared" si="51"/>
        <v>18000</v>
      </c>
      <c r="I3038" s="120" t="str">
        <f>IF(OR(D3038&lt;Capa!$A$5,D3038&gt;Capa!$A$7,E3038&lt;Capa!$A$5,E3038&gt;Capa!$A$7,D3038&gt;E3038),"Erro","")</f>
        <v/>
      </c>
    </row>
    <row r="3039" spans="1:9" ht="67.5">
      <c r="A3039" s="345">
        <v>3036</v>
      </c>
      <c r="B3039" s="346" t="s">
        <v>318</v>
      </c>
      <c r="C3039" s="347">
        <v>1500</v>
      </c>
      <c r="D3039" s="348">
        <v>46023</v>
      </c>
      <c r="E3039" s="348">
        <v>46357</v>
      </c>
      <c r="F3039" s="346" t="s">
        <v>645</v>
      </c>
      <c r="G3039" s="350" t="s">
        <v>457</v>
      </c>
      <c r="H3039" s="351">
        <f t="shared" si="51"/>
        <v>18000</v>
      </c>
      <c r="I3039" s="120" t="str">
        <f>IF(OR(D3039&lt;Capa!$A$5,D3039&gt;Capa!$A$7,E3039&lt;Capa!$A$5,E3039&gt;Capa!$A$7,D3039&gt;E3039),"Erro","")</f>
        <v/>
      </c>
    </row>
    <row r="3040" spans="1:9" ht="67.5">
      <c r="A3040" s="345">
        <v>3037</v>
      </c>
      <c r="B3040" s="346" t="s">
        <v>318</v>
      </c>
      <c r="C3040" s="347">
        <v>1500</v>
      </c>
      <c r="D3040" s="348">
        <v>46388</v>
      </c>
      <c r="E3040" s="348">
        <v>46722</v>
      </c>
      <c r="F3040" s="346" t="s">
        <v>645</v>
      </c>
      <c r="G3040" s="350" t="s">
        <v>457</v>
      </c>
      <c r="H3040" s="351">
        <f t="shared" si="51"/>
        <v>18000</v>
      </c>
      <c r="I3040" s="120" t="str">
        <f>IF(OR(D3040&lt;Capa!$A$5,D3040&gt;Capa!$A$7,E3040&lt;Capa!$A$5,E3040&gt;Capa!$A$7,D3040&gt;E3040),"Erro","")</f>
        <v/>
      </c>
    </row>
    <row r="3041" spans="1:9" ht="67.5">
      <c r="A3041" s="345">
        <v>3038</v>
      </c>
      <c r="B3041" s="346" t="s">
        <v>318</v>
      </c>
      <c r="C3041" s="347">
        <v>1500</v>
      </c>
      <c r="D3041" s="348">
        <v>46753</v>
      </c>
      <c r="E3041" s="348">
        <v>47058</v>
      </c>
      <c r="F3041" s="346" t="s">
        <v>645</v>
      </c>
      <c r="G3041" s="350" t="s">
        <v>457</v>
      </c>
      <c r="H3041" s="351">
        <f t="shared" si="51"/>
        <v>16500</v>
      </c>
      <c r="I3041" s="120" t="str">
        <f>IF(OR(D3041&lt;Capa!$A$5,D3041&gt;Capa!$A$7,E3041&lt;Capa!$A$5,E3041&gt;Capa!$A$7,D3041&gt;E3041),"Erro","")</f>
        <v/>
      </c>
    </row>
    <row r="3042" spans="1:9" ht="22.5">
      <c r="A3042" s="345">
        <v>3039</v>
      </c>
      <c r="B3042" s="346" t="s">
        <v>298</v>
      </c>
      <c r="C3042" s="347">
        <v>2500</v>
      </c>
      <c r="D3042" s="348">
        <v>45261</v>
      </c>
      <c r="E3042" s="348">
        <v>45627</v>
      </c>
      <c r="F3042" s="346" t="s">
        <v>645</v>
      </c>
      <c r="G3042" s="350" t="s">
        <v>458</v>
      </c>
      <c r="H3042" s="351">
        <f t="shared" si="51"/>
        <v>32500</v>
      </c>
      <c r="I3042" s="120" t="str">
        <f>IF(OR(D3042&lt;Capa!$A$5,D3042&gt;Capa!$A$7,E3042&lt;Capa!$A$5,E3042&gt;Capa!$A$7,D3042&gt;E3042),"Erro","")</f>
        <v/>
      </c>
    </row>
    <row r="3043" spans="1:9" ht="22.5">
      <c r="A3043" s="345">
        <v>3040</v>
      </c>
      <c r="B3043" s="346" t="s">
        <v>298</v>
      </c>
      <c r="C3043" s="347">
        <v>2646</v>
      </c>
      <c r="D3043" s="348">
        <v>45658</v>
      </c>
      <c r="E3043" s="348">
        <v>45992</v>
      </c>
      <c r="F3043" s="346" t="s">
        <v>645</v>
      </c>
      <c r="G3043" s="350" t="s">
        <v>458</v>
      </c>
      <c r="H3043" s="351">
        <f t="shared" si="51"/>
        <v>31752</v>
      </c>
      <c r="I3043" s="120" t="str">
        <f>IF(OR(D3043&lt;Capa!$A$5,D3043&gt;Capa!$A$7,E3043&lt;Capa!$A$5,E3043&gt;Capa!$A$7,D3043&gt;E3043),"Erro","")</f>
        <v/>
      </c>
    </row>
    <row r="3044" spans="1:9" ht="22.5">
      <c r="A3044" s="345">
        <v>3041</v>
      </c>
      <c r="B3044" s="346" t="s">
        <v>298</v>
      </c>
      <c r="C3044" s="347">
        <v>2800.52</v>
      </c>
      <c r="D3044" s="348">
        <v>46023</v>
      </c>
      <c r="E3044" s="348">
        <v>46357</v>
      </c>
      <c r="F3044" s="346" t="s">
        <v>645</v>
      </c>
      <c r="G3044" s="350" t="s">
        <v>458</v>
      </c>
      <c r="H3044" s="351">
        <f t="shared" si="51"/>
        <v>33606.239999999998</v>
      </c>
      <c r="I3044" s="120" t="str">
        <f>IF(OR(D3044&lt;Capa!$A$5,D3044&gt;Capa!$A$7,E3044&lt;Capa!$A$5,E3044&gt;Capa!$A$7,D3044&gt;E3044),"Erro","")</f>
        <v/>
      </c>
    </row>
    <row r="3045" spans="1:9" ht="22.5">
      <c r="A3045" s="345">
        <v>3042</v>
      </c>
      <c r="B3045" s="346" t="s">
        <v>298</v>
      </c>
      <c r="C3045" s="347">
        <v>2964.07</v>
      </c>
      <c r="D3045" s="348">
        <v>46388</v>
      </c>
      <c r="E3045" s="348">
        <v>46722</v>
      </c>
      <c r="F3045" s="346" t="s">
        <v>645</v>
      </c>
      <c r="G3045" s="350" t="s">
        <v>458</v>
      </c>
      <c r="H3045" s="351">
        <f t="shared" si="51"/>
        <v>35568.840000000004</v>
      </c>
      <c r="I3045" s="120" t="str">
        <f>IF(OR(D3045&lt;Capa!$A$5,D3045&gt;Capa!$A$7,E3045&lt;Capa!$A$5,E3045&gt;Capa!$A$7,D3045&gt;E3045),"Erro","")</f>
        <v/>
      </c>
    </row>
    <row r="3046" spans="1:9" ht="22.5">
      <c r="A3046" s="345">
        <v>3043</v>
      </c>
      <c r="B3046" s="346" t="s">
        <v>298</v>
      </c>
      <c r="C3046" s="347">
        <v>3137.17</v>
      </c>
      <c r="D3046" s="348">
        <v>46753</v>
      </c>
      <c r="E3046" s="348">
        <v>47058</v>
      </c>
      <c r="F3046" s="346" t="s">
        <v>645</v>
      </c>
      <c r="G3046" s="350" t="s">
        <v>458</v>
      </c>
      <c r="H3046" s="351">
        <f t="shared" si="51"/>
        <v>34508.870000000003</v>
      </c>
      <c r="I3046" s="120" t="str">
        <f>IF(OR(D3046&lt;Capa!$A$5,D3046&gt;Capa!$A$7,E3046&lt;Capa!$A$5,E3046&gt;Capa!$A$7,D3046&gt;E3046),"Erro","")</f>
        <v/>
      </c>
    </row>
    <row r="3047" spans="1:9" ht="33.75">
      <c r="A3047" s="345">
        <v>3044</v>
      </c>
      <c r="B3047" s="346" t="s">
        <v>238</v>
      </c>
      <c r="C3047" s="347">
        <v>370.44</v>
      </c>
      <c r="D3047" s="348">
        <v>45658</v>
      </c>
      <c r="E3047" s="348">
        <v>45992</v>
      </c>
      <c r="F3047" s="346" t="s">
        <v>645</v>
      </c>
      <c r="G3047" s="350" t="s">
        <v>459</v>
      </c>
      <c r="H3047" s="351">
        <f t="shared" si="51"/>
        <v>4445.28</v>
      </c>
      <c r="I3047" s="120" t="str">
        <f>IF(OR(D3047&lt;Capa!$A$5,D3047&gt;Capa!$A$7,E3047&lt;Capa!$A$5,E3047&gt;Capa!$A$7,D3047&gt;E3047),"Erro","")</f>
        <v/>
      </c>
    </row>
    <row r="3048" spans="1:9" ht="33.75">
      <c r="A3048" s="345">
        <v>3045</v>
      </c>
      <c r="B3048" s="346" t="s">
        <v>238</v>
      </c>
      <c r="C3048" s="347">
        <v>392.07</v>
      </c>
      <c r="D3048" s="348">
        <v>46023</v>
      </c>
      <c r="E3048" s="348">
        <v>46357</v>
      </c>
      <c r="F3048" s="346" t="s">
        <v>645</v>
      </c>
      <c r="G3048" s="350" t="s">
        <v>459</v>
      </c>
      <c r="H3048" s="351">
        <f t="shared" si="51"/>
        <v>4704.84</v>
      </c>
      <c r="I3048" s="120" t="str">
        <f>IF(OR(D3048&lt;Capa!$A$5,D3048&gt;Capa!$A$7,E3048&lt;Capa!$A$5,E3048&gt;Capa!$A$7,D3048&gt;E3048),"Erro","")</f>
        <v/>
      </c>
    </row>
    <row r="3049" spans="1:9" ht="33.75">
      <c r="A3049" s="345">
        <v>3046</v>
      </c>
      <c r="B3049" s="346" t="s">
        <v>238</v>
      </c>
      <c r="C3049" s="347">
        <v>414.97</v>
      </c>
      <c r="D3049" s="348">
        <v>46388</v>
      </c>
      <c r="E3049" s="348">
        <v>46722</v>
      </c>
      <c r="F3049" s="346" t="s">
        <v>645</v>
      </c>
      <c r="G3049" s="350" t="s">
        <v>459</v>
      </c>
      <c r="H3049" s="351">
        <f t="shared" si="51"/>
        <v>4979.6400000000003</v>
      </c>
      <c r="I3049" s="120" t="str">
        <f>IF(OR(D3049&lt;Capa!$A$5,D3049&gt;Capa!$A$7,E3049&lt;Capa!$A$5,E3049&gt;Capa!$A$7,D3049&gt;E3049),"Erro","")</f>
        <v/>
      </c>
    </row>
    <row r="3050" spans="1:9" ht="33.75">
      <c r="A3050" s="345">
        <v>3047</v>
      </c>
      <c r="B3050" s="346" t="s">
        <v>238</v>
      </c>
      <c r="C3050" s="347">
        <v>439.21</v>
      </c>
      <c r="D3050" s="348">
        <v>46753</v>
      </c>
      <c r="E3050" s="348">
        <v>47058</v>
      </c>
      <c r="F3050" s="346" t="s">
        <v>645</v>
      </c>
      <c r="G3050" s="350" t="s">
        <v>459</v>
      </c>
      <c r="H3050" s="351">
        <f t="shared" si="51"/>
        <v>4831.3099999999995</v>
      </c>
      <c r="I3050" s="120" t="str">
        <f>IF(OR(D3050&lt;Capa!$A$5,D3050&gt;Capa!$A$7,E3050&lt;Capa!$A$5,E3050&gt;Capa!$A$7,D3050&gt;E3050),"Erro","")</f>
        <v/>
      </c>
    </row>
    <row r="3051" spans="1:9" ht="56.25">
      <c r="A3051" s="345">
        <v>3048</v>
      </c>
      <c r="B3051" s="346" t="s">
        <v>252</v>
      </c>
      <c r="C3051" s="347">
        <v>7000</v>
      </c>
      <c r="D3051" s="348">
        <v>45261</v>
      </c>
      <c r="E3051" s="348">
        <v>45627</v>
      </c>
      <c r="F3051" s="346" t="s">
        <v>645</v>
      </c>
      <c r="G3051" s="350" t="s">
        <v>460</v>
      </c>
      <c r="H3051" s="351">
        <f t="shared" si="51"/>
        <v>91000</v>
      </c>
      <c r="I3051" s="120" t="str">
        <f>IF(OR(D3051&lt;Capa!$A$5,D3051&gt;Capa!$A$7,E3051&lt;Capa!$A$5,E3051&gt;Capa!$A$7,D3051&gt;E3051),"Erro","")</f>
        <v/>
      </c>
    </row>
    <row r="3052" spans="1:9" ht="56.25">
      <c r="A3052" s="345">
        <v>3049</v>
      </c>
      <c r="B3052" s="346" t="s">
        <v>252</v>
      </c>
      <c r="C3052" s="347">
        <v>7408.8</v>
      </c>
      <c r="D3052" s="348">
        <v>45658</v>
      </c>
      <c r="E3052" s="348">
        <v>45992</v>
      </c>
      <c r="F3052" s="346" t="s">
        <v>645</v>
      </c>
      <c r="G3052" s="350" t="s">
        <v>460</v>
      </c>
      <c r="H3052" s="351">
        <f t="shared" si="51"/>
        <v>88905.600000000006</v>
      </c>
      <c r="I3052" s="120" t="str">
        <f>IF(OR(D3052&lt;Capa!$A$5,D3052&gt;Capa!$A$7,E3052&lt;Capa!$A$5,E3052&gt;Capa!$A$7,D3052&gt;E3052),"Erro","")</f>
        <v/>
      </c>
    </row>
    <row r="3053" spans="1:9" ht="56.25">
      <c r="A3053" s="345">
        <v>3050</v>
      </c>
      <c r="B3053" s="346" t="s">
        <v>252</v>
      </c>
      <c r="C3053" s="347">
        <v>7847.65</v>
      </c>
      <c r="D3053" s="348">
        <v>46023</v>
      </c>
      <c r="E3053" s="348">
        <v>46357</v>
      </c>
      <c r="F3053" s="346" t="s">
        <v>645</v>
      </c>
      <c r="G3053" s="350" t="s">
        <v>460</v>
      </c>
      <c r="H3053" s="351">
        <f t="shared" si="51"/>
        <v>94171.799999999988</v>
      </c>
      <c r="I3053" s="120" t="str">
        <f>IF(OR(D3053&lt;Capa!$A$5,D3053&gt;Capa!$A$7,E3053&lt;Capa!$A$5,E3053&gt;Capa!$A$7,D3053&gt;E3053),"Erro","")</f>
        <v/>
      </c>
    </row>
    <row r="3054" spans="1:9" ht="56.25">
      <c r="A3054" s="345">
        <v>3051</v>
      </c>
      <c r="B3054" s="346" t="s">
        <v>252</v>
      </c>
      <c r="C3054" s="347">
        <v>8305.9500000000007</v>
      </c>
      <c r="D3054" s="348">
        <v>46388</v>
      </c>
      <c r="E3054" s="348">
        <v>46722</v>
      </c>
      <c r="F3054" s="346" t="s">
        <v>645</v>
      </c>
      <c r="G3054" s="350" t="s">
        <v>460</v>
      </c>
      <c r="H3054" s="351">
        <f t="shared" si="51"/>
        <v>99671.400000000009</v>
      </c>
      <c r="I3054" s="120" t="str">
        <f>IF(OR(D3054&lt;Capa!$A$5,D3054&gt;Capa!$A$7,E3054&lt;Capa!$A$5,E3054&gt;Capa!$A$7,D3054&gt;E3054),"Erro","")</f>
        <v/>
      </c>
    </row>
    <row r="3055" spans="1:9" ht="56.25">
      <c r="A3055" s="345">
        <v>3052</v>
      </c>
      <c r="B3055" s="346" t="s">
        <v>252</v>
      </c>
      <c r="C3055" s="347">
        <v>8791.02</v>
      </c>
      <c r="D3055" s="348">
        <v>46753</v>
      </c>
      <c r="E3055" s="348">
        <v>47058</v>
      </c>
      <c r="F3055" s="346" t="s">
        <v>645</v>
      </c>
      <c r="G3055" s="350" t="s">
        <v>460</v>
      </c>
      <c r="H3055" s="351">
        <f t="shared" si="51"/>
        <v>96701.22</v>
      </c>
      <c r="I3055" s="120" t="str">
        <f>IF(OR(D3055&lt;Capa!$A$5,D3055&gt;Capa!$A$7,E3055&lt;Capa!$A$5,E3055&gt;Capa!$A$7,D3055&gt;E3055),"Erro","")</f>
        <v/>
      </c>
    </row>
    <row r="3056" spans="1:9" ht="45">
      <c r="A3056" s="345">
        <v>3053</v>
      </c>
      <c r="B3056" s="346" t="s">
        <v>320</v>
      </c>
      <c r="C3056" s="347">
        <v>4545.7737500000003</v>
      </c>
      <c r="D3056" s="348">
        <v>45778</v>
      </c>
      <c r="E3056" s="348">
        <v>45992</v>
      </c>
      <c r="F3056" s="346" t="s">
        <v>645</v>
      </c>
      <c r="G3056" s="350" t="s">
        <v>596</v>
      </c>
      <c r="H3056" s="351">
        <f t="shared" si="51"/>
        <v>36366.19</v>
      </c>
    </row>
    <row r="3057" spans="1:9" ht="45">
      <c r="A3057" s="345">
        <v>3054</v>
      </c>
      <c r="B3057" s="346" t="s">
        <v>320</v>
      </c>
      <c r="C3057" s="347">
        <v>250</v>
      </c>
      <c r="D3057" s="348">
        <v>45748</v>
      </c>
      <c r="E3057" s="348">
        <v>47058</v>
      </c>
      <c r="F3057" s="346" t="s">
        <v>645</v>
      </c>
      <c r="G3057" s="350" t="s">
        <v>596</v>
      </c>
      <c r="H3057" s="351">
        <f t="shared" si="51"/>
        <v>11000</v>
      </c>
      <c r="I3057" s="120" t="str">
        <f>IF(OR(D3057&lt;Capa!$A$5,D3057&gt;Capa!$A$7,E3057&lt;Capa!$A$5,E3057&gt;Capa!$A$7,D3057&gt;E3057),"Erro","")</f>
        <v/>
      </c>
    </row>
    <row r="3058" spans="1:9" ht="45">
      <c r="A3058" s="345">
        <v>3055</v>
      </c>
      <c r="B3058" s="346" t="s">
        <v>652</v>
      </c>
      <c r="C3058" s="347">
        <v>10000</v>
      </c>
      <c r="D3058" s="348">
        <v>45323</v>
      </c>
      <c r="E3058" s="348">
        <v>45323</v>
      </c>
      <c r="F3058" s="346" t="s">
        <v>645</v>
      </c>
      <c r="G3058" s="350" t="s">
        <v>624</v>
      </c>
      <c r="H3058" s="351">
        <f t="shared" si="51"/>
        <v>10000</v>
      </c>
      <c r="I3058" s="120" t="str">
        <f>IF(OR(D3058&lt;Capa!$A$5,D3058&gt;Capa!$A$7,E3058&lt;Capa!$A$5,E3058&gt;Capa!$A$7,D3058&gt;E3058),"Erro","")</f>
        <v/>
      </c>
    </row>
    <row r="3059" spans="1:9" ht="45">
      <c r="A3059" s="345">
        <v>3056</v>
      </c>
      <c r="B3059" s="346" t="s">
        <v>652</v>
      </c>
      <c r="C3059" s="347">
        <v>10000</v>
      </c>
      <c r="D3059" s="348">
        <v>46023</v>
      </c>
      <c r="E3059" s="348">
        <v>46023</v>
      </c>
      <c r="F3059" s="346" t="s">
        <v>645</v>
      </c>
      <c r="G3059" s="350" t="s">
        <v>624</v>
      </c>
      <c r="H3059" s="351">
        <f t="shared" ref="H3059:H3060" si="52">IFERROR((DATEDIF(D3059,E3059,"M")+1)*C3059,0)</f>
        <v>10000</v>
      </c>
      <c r="I3059" s="120" t="str">
        <f>IF(OR(D3059&lt;Capa!$A$5,D3059&gt;Capa!$A$7,E3059&lt;Capa!$A$5,E3059&gt;Capa!$A$7,D3059&gt;E3059),"Erro","")</f>
        <v/>
      </c>
    </row>
    <row r="3060" spans="1:9" ht="45">
      <c r="A3060" s="345">
        <v>3057</v>
      </c>
      <c r="B3060" s="346" t="s">
        <v>652</v>
      </c>
      <c r="C3060" s="347">
        <v>10000</v>
      </c>
      <c r="D3060" s="348">
        <v>46753</v>
      </c>
      <c r="E3060" s="348">
        <v>46753</v>
      </c>
      <c r="F3060" s="346" t="s">
        <v>645</v>
      </c>
      <c r="G3060" s="350" t="s">
        <v>624</v>
      </c>
      <c r="H3060" s="351">
        <f t="shared" si="52"/>
        <v>10000</v>
      </c>
      <c r="I3060" s="120" t="str">
        <f>IF(OR(D3060&lt;Capa!$A$5,D3060&gt;Capa!$A$7,E3060&lt;Capa!$A$5,E3060&gt;Capa!$A$7,D3060&gt;E3060),"Erro","")</f>
        <v/>
      </c>
    </row>
    <row r="3061" spans="1:9" ht="33.75">
      <c r="A3061" s="345">
        <v>3058</v>
      </c>
      <c r="B3061" s="346" t="s">
        <v>651</v>
      </c>
      <c r="C3061" s="347">
        <v>180</v>
      </c>
      <c r="D3061" s="348">
        <v>45261</v>
      </c>
      <c r="E3061" s="348">
        <v>47058</v>
      </c>
      <c r="F3061" s="346" t="s">
        <v>645</v>
      </c>
      <c r="G3061" s="350" t="s">
        <v>710</v>
      </c>
      <c r="H3061" s="351">
        <f t="shared" ref="H3061:H3136" si="53">IFERROR((DATEDIF(D3061,E3061,"M")+1)*C3061,0)</f>
        <v>10800</v>
      </c>
      <c r="I3061" s="120" t="str">
        <f>IF(OR(D3061&lt;Capa!$A$5,D3061&gt;Capa!$A$7,E3061&lt;Capa!$A$5,E3061&gt;Capa!$A$7,D3061&gt;E3061),"Erro","")</f>
        <v/>
      </c>
    </row>
    <row r="3062" spans="1:9" ht="22.5">
      <c r="A3062" s="345">
        <v>3059</v>
      </c>
      <c r="B3062" s="346" t="s">
        <v>653</v>
      </c>
      <c r="C3062" s="347">
        <v>1930</v>
      </c>
      <c r="D3062" s="348">
        <v>45292</v>
      </c>
      <c r="E3062" s="348">
        <v>45627</v>
      </c>
      <c r="F3062" s="346" t="s">
        <v>645</v>
      </c>
      <c r="G3062" s="350" t="s">
        <v>712</v>
      </c>
      <c r="H3062" s="351">
        <f t="shared" si="53"/>
        <v>23160</v>
      </c>
    </row>
    <row r="3063" spans="1:9" ht="22.5">
      <c r="A3063" s="345">
        <v>3060</v>
      </c>
      <c r="B3063" s="346" t="s">
        <v>653</v>
      </c>
      <c r="C3063" s="347">
        <v>1930</v>
      </c>
      <c r="D3063" s="348">
        <v>45658</v>
      </c>
      <c r="E3063" s="348">
        <v>47058</v>
      </c>
      <c r="F3063" s="346" t="s">
        <v>645</v>
      </c>
      <c r="G3063" s="350" t="s">
        <v>712</v>
      </c>
      <c r="H3063" s="351">
        <f t="shared" si="53"/>
        <v>90710</v>
      </c>
      <c r="I3063" s="120" t="str">
        <f>IF(OR(D3063&lt;Capa!$A$5,D3063&gt;Capa!$A$7,E3063&lt;Capa!$A$5,E3063&gt;Capa!$A$7,D3063&gt;E3063),"Erro","")</f>
        <v/>
      </c>
    </row>
    <row r="3064" spans="1:9" ht="33.75">
      <c r="A3064" s="345">
        <v>3061</v>
      </c>
      <c r="B3064" s="346" t="s">
        <v>650</v>
      </c>
      <c r="C3064" s="347">
        <v>70</v>
      </c>
      <c r="D3064" s="348">
        <v>45261</v>
      </c>
      <c r="E3064" s="348">
        <v>47058</v>
      </c>
      <c r="F3064" s="346" t="s">
        <v>645</v>
      </c>
      <c r="G3064" s="350" t="s">
        <v>670</v>
      </c>
      <c r="H3064" s="351">
        <f t="shared" si="53"/>
        <v>4200</v>
      </c>
      <c r="I3064" s="120" t="str">
        <f>IF(OR(D3064&lt;Capa!$A$5,D3064&gt;Capa!$A$7,E3064&lt;Capa!$A$5,E3064&gt;Capa!$A$7,D3064&gt;E3064),"Erro","")</f>
        <v/>
      </c>
    </row>
    <row r="3065" spans="1:9" ht="33.75">
      <c r="A3065" s="345">
        <v>3062</v>
      </c>
      <c r="B3065" s="346" t="s">
        <v>648</v>
      </c>
      <c r="C3065" s="347">
        <v>4028</v>
      </c>
      <c r="D3065" s="348">
        <v>45323</v>
      </c>
      <c r="E3065" s="348">
        <v>45323</v>
      </c>
      <c r="F3065" s="346" t="s">
        <v>645</v>
      </c>
      <c r="G3065" s="350" t="s">
        <v>670</v>
      </c>
      <c r="H3065" s="351">
        <f t="shared" si="53"/>
        <v>4028</v>
      </c>
      <c r="I3065" s="120" t="str">
        <f>IF(OR(D3065&lt;Capa!$A$5,D3065&gt;Capa!$A$7,E3065&lt;Capa!$A$5,E3065&gt;Capa!$A$7,D3065&gt;E3065),"Erro","")</f>
        <v/>
      </c>
    </row>
    <row r="3066" spans="1:9" ht="33.75">
      <c r="A3066" s="345">
        <v>3063</v>
      </c>
      <c r="B3066" s="346" t="s">
        <v>648</v>
      </c>
      <c r="C3066" s="347">
        <v>4028</v>
      </c>
      <c r="D3066" s="348">
        <v>45658</v>
      </c>
      <c r="E3066" s="348">
        <v>45658</v>
      </c>
      <c r="F3066" s="346" t="s">
        <v>645</v>
      </c>
      <c r="G3066" s="350" t="s">
        <v>670</v>
      </c>
      <c r="H3066" s="351">
        <f t="shared" si="53"/>
        <v>4028</v>
      </c>
      <c r="I3066" s="120" t="str">
        <f>IF(OR(D3066&lt;Capa!$A$5,D3066&gt;Capa!$A$7,E3066&lt;Capa!$A$5,E3066&gt;Capa!$A$7,D3066&gt;E3066),"Erro","")</f>
        <v/>
      </c>
    </row>
    <row r="3067" spans="1:9" ht="33.75">
      <c r="A3067" s="345">
        <v>3064</v>
      </c>
      <c r="B3067" s="346" t="s">
        <v>648</v>
      </c>
      <c r="C3067" s="347">
        <v>4269.68</v>
      </c>
      <c r="D3067" s="348">
        <v>46023</v>
      </c>
      <c r="E3067" s="348">
        <v>46023</v>
      </c>
      <c r="F3067" s="346" t="s">
        <v>645</v>
      </c>
      <c r="G3067" s="350" t="s">
        <v>670</v>
      </c>
      <c r="H3067" s="351">
        <f t="shared" si="53"/>
        <v>4269.68</v>
      </c>
      <c r="I3067" s="120" t="str">
        <f>IF(OR(D3067&lt;Capa!$A$5,D3067&gt;Capa!$A$7,E3067&lt;Capa!$A$5,E3067&gt;Capa!$A$7,D3067&gt;E3067),"Erro","")</f>
        <v/>
      </c>
    </row>
    <row r="3068" spans="1:9" ht="33.75">
      <c r="A3068" s="345">
        <v>3065</v>
      </c>
      <c r="B3068" s="346" t="s">
        <v>648</v>
      </c>
      <c r="C3068" s="347">
        <v>4525.8599999999997</v>
      </c>
      <c r="D3068" s="348">
        <v>46388</v>
      </c>
      <c r="E3068" s="348">
        <v>46388</v>
      </c>
      <c r="F3068" s="346" t="s">
        <v>645</v>
      </c>
      <c r="G3068" s="350" t="s">
        <v>670</v>
      </c>
      <c r="H3068" s="351">
        <f t="shared" si="53"/>
        <v>4525.8599999999997</v>
      </c>
      <c r="I3068" s="120" t="str">
        <f>IF(OR(D3068&lt;Capa!$A$5,D3068&gt;Capa!$A$7,E3068&lt;Capa!$A$5,E3068&gt;Capa!$A$7,D3068&gt;E3068),"Erro","")</f>
        <v/>
      </c>
    </row>
    <row r="3069" spans="1:9" ht="33.75">
      <c r="A3069" s="345">
        <v>3066</v>
      </c>
      <c r="B3069" s="346" t="s">
        <v>648</v>
      </c>
      <c r="C3069" s="347">
        <v>4797.41</v>
      </c>
      <c r="D3069" s="348">
        <v>46753</v>
      </c>
      <c r="E3069" s="348">
        <v>46753</v>
      </c>
      <c r="F3069" s="346" t="s">
        <v>645</v>
      </c>
      <c r="G3069" s="350" t="s">
        <v>670</v>
      </c>
      <c r="H3069" s="351">
        <f t="shared" si="53"/>
        <v>4797.41</v>
      </c>
      <c r="I3069" s="120" t="str">
        <f>IF(OR(D3069&lt;Capa!$A$5,D3069&gt;Capa!$A$7,E3069&lt;Capa!$A$5,E3069&gt;Capa!$A$7,D3069&gt;E3069),"Erro","")</f>
        <v/>
      </c>
    </row>
    <row r="3070" spans="1:9" ht="22.5">
      <c r="A3070" s="345">
        <v>3067</v>
      </c>
      <c r="B3070" s="346" t="s">
        <v>649</v>
      </c>
      <c r="C3070" s="347">
        <v>70000</v>
      </c>
      <c r="D3070" s="348">
        <v>45748</v>
      </c>
      <c r="E3070" s="348">
        <v>45748</v>
      </c>
      <c r="F3070" s="346" t="s">
        <v>645</v>
      </c>
      <c r="G3070" s="350" t="s">
        <v>739</v>
      </c>
      <c r="H3070" s="351">
        <f t="shared" si="53"/>
        <v>70000</v>
      </c>
    </row>
    <row r="3071" spans="1:9" ht="33.75">
      <c r="A3071" s="345">
        <v>3068</v>
      </c>
      <c r="B3071" s="346" t="s">
        <v>649</v>
      </c>
      <c r="C3071" s="347">
        <v>1643</v>
      </c>
      <c r="D3071" s="348">
        <v>45292</v>
      </c>
      <c r="E3071" s="348">
        <v>47058</v>
      </c>
      <c r="F3071" s="346" t="s">
        <v>645</v>
      </c>
      <c r="G3071" s="350" t="s">
        <v>705</v>
      </c>
      <c r="H3071" s="351">
        <f t="shared" si="53"/>
        <v>96937</v>
      </c>
      <c r="I3071" s="120" t="str">
        <f>IF(OR(D3071&lt;Capa!$A$5,D3071&gt;Capa!$A$7,E3071&lt;Capa!$A$5,E3071&gt;Capa!$A$7,D3071&gt;E3071),"Erro","")</f>
        <v/>
      </c>
    </row>
    <row r="3072" spans="1:9" ht="33.75">
      <c r="A3072" s="345">
        <v>3069</v>
      </c>
      <c r="B3072" s="346" t="s">
        <v>654</v>
      </c>
      <c r="C3072" s="347">
        <v>600</v>
      </c>
      <c r="D3072" s="348">
        <v>45261</v>
      </c>
      <c r="E3072" s="348">
        <v>45627</v>
      </c>
      <c r="F3072" s="346" t="s">
        <v>645</v>
      </c>
      <c r="G3072" s="350" t="s">
        <v>706</v>
      </c>
      <c r="H3072" s="351">
        <f t="shared" si="53"/>
        <v>7800</v>
      </c>
    </row>
    <row r="3073" spans="1:9" ht="33.75">
      <c r="A3073" s="345">
        <v>3070</v>
      </c>
      <c r="B3073" s="346" t="s">
        <v>654</v>
      </c>
      <c r="C3073" s="347">
        <v>1100</v>
      </c>
      <c r="D3073" s="348">
        <v>45658</v>
      </c>
      <c r="E3073" s="348">
        <v>47058</v>
      </c>
      <c r="F3073" s="346" t="s">
        <v>645</v>
      </c>
      <c r="G3073" s="350" t="s">
        <v>706</v>
      </c>
      <c r="H3073" s="351">
        <f t="shared" si="53"/>
        <v>51700</v>
      </c>
      <c r="I3073" s="120" t="str">
        <f>IF(OR(D3073&lt;Capa!$A$5,D3073&gt;Capa!$A$7,E3073&lt;Capa!$A$5,E3073&gt;Capa!$A$7,D3073&gt;E3073),"Erro","")</f>
        <v/>
      </c>
    </row>
    <row r="3074" spans="1:9" ht="22.5">
      <c r="A3074" s="345">
        <v>3071</v>
      </c>
      <c r="B3074" s="346" t="s">
        <v>656</v>
      </c>
      <c r="C3074" s="347">
        <v>200</v>
      </c>
      <c r="D3074" s="348">
        <v>45261</v>
      </c>
      <c r="E3074" s="348">
        <v>47058</v>
      </c>
      <c r="F3074" s="346" t="s">
        <v>645</v>
      </c>
      <c r="G3074" s="350" t="s">
        <v>707</v>
      </c>
      <c r="H3074" s="351">
        <f t="shared" si="53"/>
        <v>12000</v>
      </c>
      <c r="I3074" s="120" t="str">
        <f>IF(OR(D3074&lt;Capa!$A$5,D3074&gt;Capa!$A$7,E3074&lt;Capa!$A$5,E3074&gt;Capa!$A$7,D3074&gt;E3074),"Erro","")</f>
        <v/>
      </c>
    </row>
    <row r="3075" spans="1:9" ht="22.5">
      <c r="A3075" s="345">
        <v>3072</v>
      </c>
      <c r="B3075" s="346" t="s">
        <v>658</v>
      </c>
      <c r="C3075" s="347">
        <v>50</v>
      </c>
      <c r="D3075" s="348">
        <v>45261</v>
      </c>
      <c r="E3075" s="348">
        <v>47058</v>
      </c>
      <c r="F3075" s="346" t="s">
        <v>645</v>
      </c>
      <c r="G3075" s="350" t="s">
        <v>709</v>
      </c>
      <c r="H3075" s="351">
        <f t="shared" si="53"/>
        <v>3000</v>
      </c>
      <c r="I3075" s="120" t="str">
        <f>IF(OR(D3075&lt;Capa!$A$5,D3075&gt;Capa!$A$7,E3075&lt;Capa!$A$5,E3075&gt;Capa!$A$7,D3075&gt;E3075),"Erro","")</f>
        <v/>
      </c>
    </row>
    <row r="3076" spans="1:9" ht="33.75">
      <c r="A3076" s="345">
        <v>3073</v>
      </c>
      <c r="B3076" s="346" t="s">
        <v>657</v>
      </c>
      <c r="C3076" s="347">
        <v>350</v>
      </c>
      <c r="D3076" s="348">
        <v>45658</v>
      </c>
      <c r="E3076" s="348">
        <v>47058</v>
      </c>
      <c r="F3076" s="346" t="s">
        <v>645</v>
      </c>
      <c r="G3076" s="350" t="s">
        <v>708</v>
      </c>
      <c r="H3076" s="351">
        <f t="shared" si="53"/>
        <v>16450</v>
      </c>
      <c r="I3076" s="120" t="str">
        <f>IF(OR(D3076&lt;Capa!$A$5,D3076&gt;Capa!$A$7,E3076&lt;Capa!$A$5,E3076&gt;Capa!$A$7,D3076&gt;E3076),"Erro","")</f>
        <v/>
      </c>
    </row>
    <row r="3077" spans="1:9" ht="22.5">
      <c r="A3077" s="345">
        <v>3074</v>
      </c>
      <c r="B3077" s="346" t="s">
        <v>198</v>
      </c>
      <c r="C3077" s="347">
        <v>9000</v>
      </c>
      <c r="D3077" s="348">
        <v>45261</v>
      </c>
      <c r="E3077" s="348">
        <v>45627</v>
      </c>
      <c r="F3077" s="346" t="s">
        <v>646</v>
      </c>
      <c r="G3077" s="350" t="s">
        <v>438</v>
      </c>
      <c r="H3077" s="351">
        <f t="shared" si="53"/>
        <v>117000</v>
      </c>
      <c r="I3077" s="120" t="str">
        <f>IF(OR(D3077&lt;Capa!$A$5,D3077&gt;Capa!$A$7,E3077&lt;Capa!$A$5,E3077&gt;Capa!$A$7,D3077&gt;E3077),"Erro","")</f>
        <v/>
      </c>
    </row>
    <row r="3078" spans="1:9" ht="22.5">
      <c r="A3078" s="345">
        <v>3075</v>
      </c>
      <c r="B3078" s="346" t="s">
        <v>198</v>
      </c>
      <c r="C3078" s="347">
        <v>9525.6</v>
      </c>
      <c r="D3078" s="348">
        <v>45658</v>
      </c>
      <c r="E3078" s="348">
        <v>45992</v>
      </c>
      <c r="F3078" s="346" t="s">
        <v>646</v>
      </c>
      <c r="G3078" s="350" t="s">
        <v>438</v>
      </c>
      <c r="H3078" s="351">
        <f t="shared" si="53"/>
        <v>114307.20000000001</v>
      </c>
      <c r="I3078" s="120" t="str">
        <f>IF(OR(D3078&lt;Capa!$A$5,D3078&gt;Capa!$A$7,E3078&lt;Capa!$A$5,E3078&gt;Capa!$A$7,D3078&gt;E3078),"Erro","")</f>
        <v/>
      </c>
    </row>
    <row r="3079" spans="1:9" ht="22.5">
      <c r="A3079" s="345">
        <v>3076</v>
      </c>
      <c r="B3079" s="346" t="s">
        <v>198</v>
      </c>
      <c r="C3079" s="347">
        <v>10081.89</v>
      </c>
      <c r="D3079" s="348">
        <v>46023</v>
      </c>
      <c r="E3079" s="348">
        <v>46357</v>
      </c>
      <c r="F3079" s="346" t="s">
        <v>646</v>
      </c>
      <c r="G3079" s="350" t="s">
        <v>438</v>
      </c>
      <c r="H3079" s="351">
        <f t="shared" si="53"/>
        <v>120982.68</v>
      </c>
      <c r="I3079" s="120" t="str">
        <f>IF(OR(D3079&lt;Capa!$A$5,D3079&gt;Capa!$A$7,E3079&lt;Capa!$A$5,E3079&gt;Capa!$A$7,D3079&gt;E3079),"Erro","")</f>
        <v/>
      </c>
    </row>
    <row r="3080" spans="1:9" ht="22.5">
      <c r="A3080" s="345">
        <v>3077</v>
      </c>
      <c r="B3080" s="346" t="s">
        <v>198</v>
      </c>
      <c r="C3080" s="347">
        <v>10670.68</v>
      </c>
      <c r="D3080" s="348">
        <v>46388</v>
      </c>
      <c r="E3080" s="348">
        <v>46722</v>
      </c>
      <c r="F3080" s="346" t="s">
        <v>646</v>
      </c>
      <c r="G3080" s="350" t="s">
        <v>438</v>
      </c>
      <c r="H3080" s="351">
        <f t="shared" si="53"/>
        <v>128048.16</v>
      </c>
      <c r="I3080" s="120" t="str">
        <f>IF(OR(D3080&lt;Capa!$A$5,D3080&gt;Capa!$A$7,E3080&lt;Capa!$A$5,E3080&gt;Capa!$A$7,D3080&gt;E3080),"Erro","")</f>
        <v/>
      </c>
    </row>
    <row r="3081" spans="1:9" ht="22.5">
      <c r="A3081" s="345">
        <v>3078</v>
      </c>
      <c r="B3081" s="346" t="s">
        <v>198</v>
      </c>
      <c r="C3081" s="347">
        <v>11293.85</v>
      </c>
      <c r="D3081" s="348">
        <v>46753</v>
      </c>
      <c r="E3081" s="348">
        <v>47058</v>
      </c>
      <c r="F3081" s="346" t="s">
        <v>646</v>
      </c>
      <c r="G3081" s="350" t="s">
        <v>438</v>
      </c>
      <c r="H3081" s="351">
        <f t="shared" si="53"/>
        <v>124232.35</v>
      </c>
      <c r="I3081" s="120" t="str">
        <f>IF(OR(D3081&lt;Capa!$A$5,D3081&gt;Capa!$A$7,E3081&lt;Capa!$A$5,E3081&gt;Capa!$A$7,D3081&gt;E3081),"Erro","")</f>
        <v/>
      </c>
    </row>
    <row r="3082" spans="1:9" ht="22.5">
      <c r="A3082" s="345">
        <v>3079</v>
      </c>
      <c r="B3082" s="346" t="s">
        <v>202</v>
      </c>
      <c r="C3082" s="347">
        <v>1635.52</v>
      </c>
      <c r="D3082" s="348">
        <v>45292</v>
      </c>
      <c r="E3082" s="348">
        <v>45352</v>
      </c>
      <c r="F3082" s="346" t="s">
        <v>646</v>
      </c>
      <c r="G3082" s="350" t="s">
        <v>439</v>
      </c>
      <c r="H3082" s="351">
        <f t="shared" si="53"/>
        <v>4906.5599999999995</v>
      </c>
      <c r="I3082" s="120" t="str">
        <f>IF(OR(D3082&lt;Capa!$A$5,D3082&gt;Capa!$A$7,E3082&lt;Capa!$A$5,E3082&gt;Capa!$A$7,D3082&gt;E3082),"Erro","")</f>
        <v/>
      </c>
    </row>
    <row r="3083" spans="1:9" ht="22.5">
      <c r="A3083" s="345">
        <v>3080</v>
      </c>
      <c r="B3083" s="346" t="s">
        <v>202</v>
      </c>
      <c r="C3083" s="347">
        <v>1731.04</v>
      </c>
      <c r="D3083" s="348">
        <v>45658</v>
      </c>
      <c r="E3083" s="348">
        <v>45717</v>
      </c>
      <c r="F3083" s="346" t="s">
        <v>646</v>
      </c>
      <c r="G3083" s="350" t="s">
        <v>439</v>
      </c>
      <c r="H3083" s="351">
        <f t="shared" si="53"/>
        <v>5193.12</v>
      </c>
      <c r="I3083" s="120" t="str">
        <f>IF(OR(D3083&lt;Capa!$A$5,D3083&gt;Capa!$A$7,E3083&lt;Capa!$A$5,E3083&gt;Capa!$A$7,D3083&gt;E3083),"Erro","")</f>
        <v/>
      </c>
    </row>
    <row r="3084" spans="1:9" ht="22.5">
      <c r="A3084" s="345">
        <v>3081</v>
      </c>
      <c r="B3084" s="346" t="s">
        <v>202</v>
      </c>
      <c r="C3084" s="347">
        <v>1832.13</v>
      </c>
      <c r="D3084" s="348">
        <v>46023</v>
      </c>
      <c r="E3084" s="348">
        <v>46082</v>
      </c>
      <c r="F3084" s="346" t="s">
        <v>646</v>
      </c>
      <c r="G3084" s="350" t="s">
        <v>439</v>
      </c>
      <c r="H3084" s="351">
        <f t="shared" si="53"/>
        <v>5496.39</v>
      </c>
      <c r="I3084" s="120" t="str">
        <f>IF(OR(D3084&lt;Capa!$A$5,D3084&gt;Capa!$A$7,E3084&lt;Capa!$A$5,E3084&gt;Capa!$A$7,D3084&gt;E3084),"Erro","")</f>
        <v/>
      </c>
    </row>
    <row r="3085" spans="1:9" ht="22.5">
      <c r="A3085" s="345">
        <v>3082</v>
      </c>
      <c r="B3085" s="346" t="s">
        <v>202</v>
      </c>
      <c r="C3085" s="347">
        <v>1939.13</v>
      </c>
      <c r="D3085" s="348">
        <v>46388</v>
      </c>
      <c r="E3085" s="348">
        <v>46447</v>
      </c>
      <c r="F3085" s="346" t="s">
        <v>646</v>
      </c>
      <c r="G3085" s="350" t="s">
        <v>439</v>
      </c>
      <c r="H3085" s="351">
        <f t="shared" si="53"/>
        <v>5817.39</v>
      </c>
      <c r="I3085" s="120" t="str">
        <f>IF(OR(D3085&lt;Capa!$A$5,D3085&gt;Capa!$A$7,E3085&lt;Capa!$A$5,E3085&gt;Capa!$A$7,D3085&gt;E3085),"Erro","")</f>
        <v/>
      </c>
    </row>
    <row r="3086" spans="1:9" ht="22.5">
      <c r="A3086" s="345">
        <v>3083</v>
      </c>
      <c r="B3086" s="346" t="s">
        <v>202</v>
      </c>
      <c r="C3086" s="347">
        <v>2052.37</v>
      </c>
      <c r="D3086" s="348">
        <v>46753</v>
      </c>
      <c r="E3086" s="348">
        <v>46813</v>
      </c>
      <c r="F3086" s="346" t="s">
        <v>646</v>
      </c>
      <c r="G3086" s="350" t="s">
        <v>439</v>
      </c>
      <c r="H3086" s="351">
        <f t="shared" si="53"/>
        <v>6157.11</v>
      </c>
      <c r="I3086" s="120" t="str">
        <f>IF(OR(D3086&lt;Capa!$A$5,D3086&gt;Capa!$A$7,E3086&lt;Capa!$A$5,E3086&gt;Capa!$A$7,D3086&gt;E3086),"Erro","")</f>
        <v/>
      </c>
    </row>
    <row r="3087" spans="1:9" ht="22.5">
      <c r="A3087" s="345">
        <v>3084</v>
      </c>
      <c r="B3087" s="346" t="s">
        <v>204</v>
      </c>
      <c r="C3087" s="347">
        <v>1838.03</v>
      </c>
      <c r="D3087" s="348">
        <v>45292</v>
      </c>
      <c r="E3087" s="348">
        <v>45474</v>
      </c>
      <c r="F3087" s="346" t="s">
        <v>646</v>
      </c>
      <c r="G3087" s="350" t="s">
        <v>439</v>
      </c>
      <c r="H3087" s="351">
        <f t="shared" si="53"/>
        <v>12866.21</v>
      </c>
      <c r="I3087" s="120" t="str">
        <f>IF(OR(D3087&lt;Capa!$A$5,D3087&gt;Capa!$A$7,E3087&lt;Capa!$A$5,E3087&gt;Capa!$A$7,D3087&gt;E3087),"Erro","")</f>
        <v/>
      </c>
    </row>
    <row r="3088" spans="1:9" ht="22.5">
      <c r="A3088" s="345">
        <v>3085</v>
      </c>
      <c r="B3088" s="346" t="s">
        <v>204</v>
      </c>
      <c r="C3088" s="347">
        <v>1945.36</v>
      </c>
      <c r="D3088" s="348">
        <v>45658</v>
      </c>
      <c r="E3088" s="348">
        <v>45839</v>
      </c>
      <c r="F3088" s="346" t="s">
        <v>646</v>
      </c>
      <c r="G3088" s="350" t="s">
        <v>439</v>
      </c>
      <c r="H3088" s="351">
        <f t="shared" si="53"/>
        <v>13617.519999999999</v>
      </c>
      <c r="I3088" s="120" t="str">
        <f>IF(OR(D3088&lt;Capa!$A$5,D3088&gt;Capa!$A$7,E3088&lt;Capa!$A$5,E3088&gt;Capa!$A$7,D3088&gt;E3088),"Erro","")</f>
        <v/>
      </c>
    </row>
    <row r="3089" spans="1:9" ht="22.5">
      <c r="A3089" s="345">
        <v>3086</v>
      </c>
      <c r="B3089" s="346" t="s">
        <v>204</v>
      </c>
      <c r="C3089" s="347">
        <v>2058.98</v>
      </c>
      <c r="D3089" s="348">
        <v>46023</v>
      </c>
      <c r="E3089" s="348">
        <v>46204</v>
      </c>
      <c r="F3089" s="346" t="s">
        <v>646</v>
      </c>
      <c r="G3089" s="350" t="s">
        <v>439</v>
      </c>
      <c r="H3089" s="351">
        <f t="shared" si="53"/>
        <v>14412.86</v>
      </c>
      <c r="I3089" s="120" t="str">
        <f>IF(OR(D3089&lt;Capa!$A$5,D3089&gt;Capa!$A$7,E3089&lt;Capa!$A$5,E3089&gt;Capa!$A$7,D3089&gt;E3089),"Erro","")</f>
        <v/>
      </c>
    </row>
    <row r="3090" spans="1:9" ht="22.5">
      <c r="A3090" s="345">
        <v>3087</v>
      </c>
      <c r="B3090" s="346" t="s">
        <v>204</v>
      </c>
      <c r="C3090" s="347">
        <v>2179.2199999999998</v>
      </c>
      <c r="D3090" s="348">
        <v>46388</v>
      </c>
      <c r="E3090" s="348">
        <v>46569</v>
      </c>
      <c r="F3090" s="346" t="s">
        <v>646</v>
      </c>
      <c r="G3090" s="350" t="s">
        <v>439</v>
      </c>
      <c r="H3090" s="351">
        <f t="shared" si="53"/>
        <v>15254.539999999999</v>
      </c>
      <c r="I3090" s="120" t="str">
        <f>IF(OR(D3090&lt;Capa!$A$5,D3090&gt;Capa!$A$7,E3090&lt;Capa!$A$5,E3090&gt;Capa!$A$7,D3090&gt;E3090),"Erro","")</f>
        <v/>
      </c>
    </row>
    <row r="3091" spans="1:9" ht="22.5">
      <c r="A3091" s="345">
        <v>3088</v>
      </c>
      <c r="B3091" s="346" t="s">
        <v>204</v>
      </c>
      <c r="C3091" s="347">
        <v>2306.48</v>
      </c>
      <c r="D3091" s="348">
        <v>46753</v>
      </c>
      <c r="E3091" s="348">
        <v>46935</v>
      </c>
      <c r="F3091" s="346" t="s">
        <v>646</v>
      </c>
      <c r="G3091" s="350" t="s">
        <v>439</v>
      </c>
      <c r="H3091" s="351">
        <f t="shared" si="53"/>
        <v>16145.36</v>
      </c>
      <c r="I3091" s="120" t="str">
        <f>IF(OR(D3091&lt;Capa!$A$5,D3091&gt;Capa!$A$7,E3091&lt;Capa!$A$5,E3091&gt;Capa!$A$7,D3091&gt;E3091),"Erro","")</f>
        <v/>
      </c>
    </row>
    <row r="3092" spans="1:9" ht="22.5">
      <c r="A3092" s="345">
        <v>3089</v>
      </c>
      <c r="B3092" s="346" t="s">
        <v>206</v>
      </c>
      <c r="C3092" s="347">
        <v>1503.3</v>
      </c>
      <c r="D3092" s="348">
        <v>45261</v>
      </c>
      <c r="E3092" s="348">
        <v>45627</v>
      </c>
      <c r="F3092" s="346" t="s">
        <v>646</v>
      </c>
      <c r="G3092" s="350" t="s">
        <v>440</v>
      </c>
      <c r="H3092" s="351">
        <f t="shared" si="53"/>
        <v>19542.899999999998</v>
      </c>
      <c r="I3092" s="120" t="str">
        <f>IF(OR(D3092&lt;Capa!$A$5,D3092&gt;Capa!$A$7,E3092&lt;Capa!$A$5,E3092&gt;Capa!$A$7,D3092&gt;E3092),"Erro","")</f>
        <v/>
      </c>
    </row>
    <row r="3093" spans="1:9" ht="22.5">
      <c r="A3093" s="345">
        <v>3090</v>
      </c>
      <c r="B3093" s="346" t="s">
        <v>206</v>
      </c>
      <c r="C3093" s="347">
        <v>1591.09</v>
      </c>
      <c r="D3093" s="348">
        <v>45658</v>
      </c>
      <c r="E3093" s="348">
        <v>45992</v>
      </c>
      <c r="F3093" s="346" t="s">
        <v>646</v>
      </c>
      <c r="G3093" s="350" t="s">
        <v>440</v>
      </c>
      <c r="H3093" s="351">
        <f t="shared" si="53"/>
        <v>19093.079999999998</v>
      </c>
      <c r="I3093" s="120" t="str">
        <f>IF(OR(D3093&lt;Capa!$A$5,D3093&gt;Capa!$A$7,E3093&lt;Capa!$A$5,E3093&gt;Capa!$A$7,D3093&gt;E3093),"Erro","")</f>
        <v/>
      </c>
    </row>
    <row r="3094" spans="1:9" ht="22.5">
      <c r="A3094" s="345">
        <v>3091</v>
      </c>
      <c r="B3094" s="346" t="s">
        <v>206</v>
      </c>
      <c r="C3094" s="347">
        <v>1684.01</v>
      </c>
      <c r="D3094" s="348">
        <v>46023</v>
      </c>
      <c r="E3094" s="348">
        <v>46357</v>
      </c>
      <c r="F3094" s="346" t="s">
        <v>646</v>
      </c>
      <c r="G3094" s="350" t="s">
        <v>440</v>
      </c>
      <c r="H3094" s="351">
        <f t="shared" si="53"/>
        <v>20208.12</v>
      </c>
      <c r="I3094" s="120" t="str">
        <f>IF(OR(D3094&lt;Capa!$A$5,D3094&gt;Capa!$A$7,E3094&lt;Capa!$A$5,E3094&gt;Capa!$A$7,D3094&gt;E3094),"Erro","")</f>
        <v/>
      </c>
    </row>
    <row r="3095" spans="1:9" ht="22.5">
      <c r="A3095" s="345">
        <v>3092</v>
      </c>
      <c r="B3095" s="346" t="s">
        <v>206</v>
      </c>
      <c r="C3095" s="347">
        <v>1782.36</v>
      </c>
      <c r="D3095" s="348">
        <v>46388</v>
      </c>
      <c r="E3095" s="348">
        <v>46722</v>
      </c>
      <c r="F3095" s="346" t="s">
        <v>646</v>
      </c>
      <c r="G3095" s="350" t="s">
        <v>440</v>
      </c>
      <c r="H3095" s="351">
        <f t="shared" si="53"/>
        <v>21388.32</v>
      </c>
      <c r="I3095" s="120" t="str">
        <f>IF(OR(D3095&lt;Capa!$A$5,D3095&gt;Capa!$A$7,E3095&lt;Capa!$A$5,E3095&gt;Capa!$A$7,D3095&gt;E3095),"Erro","")</f>
        <v/>
      </c>
    </row>
    <row r="3096" spans="1:9" ht="22.5">
      <c r="A3096" s="345">
        <v>3093</v>
      </c>
      <c r="B3096" s="346" t="s">
        <v>206</v>
      </c>
      <c r="C3096" s="347">
        <v>1886.45</v>
      </c>
      <c r="D3096" s="348">
        <v>46753</v>
      </c>
      <c r="E3096" s="348">
        <v>47058</v>
      </c>
      <c r="F3096" s="346" t="s">
        <v>646</v>
      </c>
      <c r="G3096" s="350" t="s">
        <v>440</v>
      </c>
      <c r="H3096" s="351">
        <f t="shared" si="53"/>
        <v>20750.95</v>
      </c>
      <c r="I3096" s="120" t="str">
        <f>IF(OR(D3096&lt;Capa!$A$5,D3096&gt;Capa!$A$7,E3096&lt;Capa!$A$5,E3096&gt;Capa!$A$7,D3096&gt;E3096),"Erro","")</f>
        <v/>
      </c>
    </row>
    <row r="3097" spans="1:9" ht="22.5">
      <c r="A3097" s="345">
        <v>3094</v>
      </c>
      <c r="B3097" s="346" t="s">
        <v>208</v>
      </c>
      <c r="C3097" s="347">
        <v>1996.62</v>
      </c>
      <c r="D3097" s="348">
        <v>45261</v>
      </c>
      <c r="E3097" s="348">
        <v>45627</v>
      </c>
      <c r="F3097" s="346" t="s">
        <v>646</v>
      </c>
      <c r="G3097" s="350" t="s">
        <v>440</v>
      </c>
      <c r="H3097" s="351">
        <f t="shared" si="53"/>
        <v>25956.059999999998</v>
      </c>
      <c r="I3097" s="120" t="str">
        <f>IF(OR(D3097&lt;Capa!$A$5,D3097&gt;Capa!$A$7,E3097&lt;Capa!$A$5,E3097&gt;Capa!$A$7,D3097&gt;E3097),"Erro","")</f>
        <v/>
      </c>
    </row>
    <row r="3098" spans="1:9" ht="22.5">
      <c r="A3098" s="345">
        <v>3095</v>
      </c>
      <c r="B3098" s="346" t="s">
        <v>208</v>
      </c>
      <c r="C3098" s="347">
        <v>1018.24</v>
      </c>
      <c r="D3098" s="348">
        <v>45658</v>
      </c>
      <c r="E3098" s="348">
        <v>45992</v>
      </c>
      <c r="F3098" s="346" t="s">
        <v>646</v>
      </c>
      <c r="G3098" s="350" t="s">
        <v>440</v>
      </c>
      <c r="H3098" s="351">
        <f t="shared" si="53"/>
        <v>12218.880000000001</v>
      </c>
      <c r="I3098" s="120" t="str">
        <f>IF(OR(D3098&lt;Capa!$A$5,D3098&gt;Capa!$A$7,E3098&lt;Capa!$A$5,E3098&gt;Capa!$A$7,D3098&gt;E3098),"Erro","")</f>
        <v/>
      </c>
    </row>
    <row r="3099" spans="1:9" ht="22.5">
      <c r="A3099" s="345">
        <v>3096</v>
      </c>
      <c r="B3099" s="346" t="s">
        <v>208</v>
      </c>
      <c r="C3099" s="347">
        <v>1077.7</v>
      </c>
      <c r="D3099" s="348">
        <v>46023</v>
      </c>
      <c r="E3099" s="348">
        <v>46357</v>
      </c>
      <c r="F3099" s="346" t="s">
        <v>646</v>
      </c>
      <c r="G3099" s="350" t="s">
        <v>440</v>
      </c>
      <c r="H3099" s="351">
        <f t="shared" si="53"/>
        <v>12932.400000000001</v>
      </c>
      <c r="I3099" s="120" t="str">
        <f>IF(OR(D3099&lt;Capa!$A$5,D3099&gt;Capa!$A$7,E3099&lt;Capa!$A$5,E3099&gt;Capa!$A$7,D3099&gt;E3099),"Erro","")</f>
        <v/>
      </c>
    </row>
    <row r="3100" spans="1:9" ht="22.5">
      <c r="A3100" s="345">
        <v>3097</v>
      </c>
      <c r="B3100" s="346" t="s">
        <v>208</v>
      </c>
      <c r="C3100" s="347">
        <v>1140.6400000000001</v>
      </c>
      <c r="D3100" s="348">
        <v>46388</v>
      </c>
      <c r="E3100" s="348">
        <v>46722</v>
      </c>
      <c r="F3100" s="346" t="s">
        <v>646</v>
      </c>
      <c r="G3100" s="350" t="s">
        <v>440</v>
      </c>
      <c r="H3100" s="351">
        <f t="shared" si="53"/>
        <v>13687.68</v>
      </c>
      <c r="I3100" s="120" t="str">
        <f>IF(OR(D3100&lt;Capa!$A$5,D3100&gt;Capa!$A$7,E3100&lt;Capa!$A$5,E3100&gt;Capa!$A$7,D3100&gt;E3100),"Erro","")</f>
        <v/>
      </c>
    </row>
    <row r="3101" spans="1:9" ht="22.5">
      <c r="A3101" s="345">
        <v>3098</v>
      </c>
      <c r="B3101" s="346" t="s">
        <v>208</v>
      </c>
      <c r="C3101" s="347">
        <v>1207.25</v>
      </c>
      <c r="D3101" s="348">
        <v>46753</v>
      </c>
      <c r="E3101" s="348">
        <v>47058</v>
      </c>
      <c r="F3101" s="346" t="s">
        <v>646</v>
      </c>
      <c r="G3101" s="350" t="s">
        <v>440</v>
      </c>
      <c r="H3101" s="351">
        <f t="shared" si="53"/>
        <v>13279.75</v>
      </c>
      <c r="I3101" s="120" t="str">
        <f>IF(OR(D3101&lt;Capa!$A$5,D3101&gt;Capa!$A$7,E3101&lt;Capa!$A$5,E3101&gt;Capa!$A$7,D3101&gt;E3101),"Erro","")</f>
        <v/>
      </c>
    </row>
    <row r="3102" spans="1:9" ht="22.5">
      <c r="A3102" s="345">
        <v>3099</v>
      </c>
      <c r="B3102" s="346" t="s">
        <v>210</v>
      </c>
      <c r="C3102" s="347">
        <v>49.9</v>
      </c>
      <c r="D3102" s="348">
        <v>45261</v>
      </c>
      <c r="E3102" s="348">
        <v>45627</v>
      </c>
      <c r="F3102" s="346" t="s">
        <v>646</v>
      </c>
      <c r="G3102" s="350" t="s">
        <v>440</v>
      </c>
      <c r="H3102" s="351">
        <f t="shared" si="53"/>
        <v>648.69999999999993</v>
      </c>
      <c r="I3102" s="120" t="str">
        <f>IF(OR(D3102&lt;Capa!$A$5,D3102&gt;Capa!$A$7,E3102&lt;Capa!$A$5,E3102&gt;Capa!$A$7,D3102&gt;E3102),"Erro","")</f>
        <v/>
      </c>
    </row>
    <row r="3103" spans="1:9" ht="22.5">
      <c r="A3103" s="345">
        <v>3100</v>
      </c>
      <c r="B3103" s="346" t="s">
        <v>210</v>
      </c>
      <c r="C3103" s="347">
        <v>58.44</v>
      </c>
      <c r="D3103" s="348">
        <v>45658</v>
      </c>
      <c r="E3103" s="348">
        <v>45992</v>
      </c>
      <c r="F3103" s="346" t="s">
        <v>646</v>
      </c>
      <c r="G3103" s="350" t="s">
        <v>440</v>
      </c>
      <c r="H3103" s="351">
        <f t="shared" si="53"/>
        <v>701.28</v>
      </c>
      <c r="I3103" s="120" t="str">
        <f>IF(OR(D3103&lt;Capa!$A$5,D3103&gt;Capa!$A$7,E3103&lt;Capa!$A$5,E3103&gt;Capa!$A$7,D3103&gt;E3103),"Erro","")</f>
        <v/>
      </c>
    </row>
    <row r="3104" spans="1:9" ht="22.5">
      <c r="A3104" s="345">
        <v>3101</v>
      </c>
      <c r="B3104" s="346" t="s">
        <v>210</v>
      </c>
      <c r="C3104" s="347">
        <v>61.91</v>
      </c>
      <c r="D3104" s="348">
        <v>46023</v>
      </c>
      <c r="E3104" s="348">
        <v>46357</v>
      </c>
      <c r="F3104" s="346" t="s">
        <v>646</v>
      </c>
      <c r="G3104" s="350" t="s">
        <v>440</v>
      </c>
      <c r="H3104" s="351">
        <f t="shared" si="53"/>
        <v>742.92</v>
      </c>
      <c r="I3104" s="120" t="str">
        <f>IF(OR(D3104&lt;Capa!$A$5,D3104&gt;Capa!$A$7,E3104&lt;Capa!$A$5,E3104&gt;Capa!$A$7,D3104&gt;E3104),"Erro","")</f>
        <v/>
      </c>
    </row>
    <row r="3105" spans="1:9" ht="22.5">
      <c r="A3105" s="345">
        <v>3102</v>
      </c>
      <c r="B3105" s="346" t="s">
        <v>210</v>
      </c>
      <c r="C3105" s="347">
        <v>65.53</v>
      </c>
      <c r="D3105" s="348">
        <v>46388</v>
      </c>
      <c r="E3105" s="348">
        <v>46722</v>
      </c>
      <c r="F3105" s="346" t="s">
        <v>646</v>
      </c>
      <c r="G3105" s="350" t="s">
        <v>440</v>
      </c>
      <c r="H3105" s="351">
        <f t="shared" si="53"/>
        <v>786.36</v>
      </c>
      <c r="I3105" s="120" t="str">
        <f>IF(OR(D3105&lt;Capa!$A$5,D3105&gt;Capa!$A$7,E3105&lt;Capa!$A$5,E3105&gt;Capa!$A$7,D3105&gt;E3105),"Erro","")</f>
        <v/>
      </c>
    </row>
    <row r="3106" spans="1:9" ht="22.5">
      <c r="A3106" s="345">
        <v>3103</v>
      </c>
      <c r="B3106" s="346" t="s">
        <v>210</v>
      </c>
      <c r="C3106" s="347">
        <v>69.36</v>
      </c>
      <c r="D3106" s="348">
        <v>46753</v>
      </c>
      <c r="E3106" s="348">
        <v>47058</v>
      </c>
      <c r="F3106" s="346" t="s">
        <v>646</v>
      </c>
      <c r="G3106" s="350" t="s">
        <v>440</v>
      </c>
      <c r="H3106" s="351">
        <f t="shared" si="53"/>
        <v>762.96</v>
      </c>
      <c r="I3106" s="120" t="str">
        <f>IF(OR(D3106&lt;Capa!$A$5,D3106&gt;Capa!$A$7,E3106&lt;Capa!$A$5,E3106&gt;Capa!$A$7,D3106&gt;E3106),"Erro","")</f>
        <v/>
      </c>
    </row>
    <row r="3107" spans="1:9" ht="22.5">
      <c r="A3107" s="345">
        <v>3104</v>
      </c>
      <c r="B3107" s="346" t="s">
        <v>214</v>
      </c>
      <c r="C3107" s="347">
        <v>116.9</v>
      </c>
      <c r="D3107" s="348">
        <v>45261</v>
      </c>
      <c r="E3107" s="348">
        <v>45627</v>
      </c>
      <c r="F3107" s="346" t="s">
        <v>646</v>
      </c>
      <c r="G3107" s="350" t="s">
        <v>440</v>
      </c>
      <c r="H3107" s="351">
        <f t="shared" si="53"/>
        <v>1519.7</v>
      </c>
      <c r="I3107" s="120" t="str">
        <f>IF(OR(D3107&lt;Capa!$A$5,D3107&gt;Capa!$A$7,E3107&lt;Capa!$A$5,E3107&gt;Capa!$A$7,D3107&gt;E3107),"Erro","")</f>
        <v/>
      </c>
    </row>
    <row r="3108" spans="1:9" ht="22.5">
      <c r="A3108" s="345">
        <v>3105</v>
      </c>
      <c r="B3108" s="346" t="s">
        <v>214</v>
      </c>
      <c r="C3108" s="347">
        <v>123.73</v>
      </c>
      <c r="D3108" s="348">
        <v>45658</v>
      </c>
      <c r="E3108" s="348">
        <v>45992</v>
      </c>
      <c r="F3108" s="346" t="s">
        <v>646</v>
      </c>
      <c r="G3108" s="350" t="s">
        <v>440</v>
      </c>
      <c r="H3108" s="351">
        <f t="shared" si="53"/>
        <v>1484.76</v>
      </c>
      <c r="I3108" s="120" t="str">
        <f>IF(OR(D3108&lt;Capa!$A$5,D3108&gt;Capa!$A$7,E3108&lt;Capa!$A$5,E3108&gt;Capa!$A$7,D3108&gt;E3108),"Erro","")</f>
        <v/>
      </c>
    </row>
    <row r="3109" spans="1:9" ht="22.5">
      <c r="A3109" s="345">
        <v>3106</v>
      </c>
      <c r="B3109" s="346" t="s">
        <v>214</v>
      </c>
      <c r="C3109" s="347">
        <v>130.94999999999999</v>
      </c>
      <c r="D3109" s="348">
        <v>46023</v>
      </c>
      <c r="E3109" s="348">
        <v>46357</v>
      </c>
      <c r="F3109" s="346" t="s">
        <v>646</v>
      </c>
      <c r="G3109" s="350" t="s">
        <v>440</v>
      </c>
      <c r="H3109" s="351">
        <f t="shared" si="53"/>
        <v>1571.3999999999999</v>
      </c>
      <c r="I3109" s="120" t="str">
        <f>IF(OR(D3109&lt;Capa!$A$5,D3109&gt;Capa!$A$7,E3109&lt;Capa!$A$5,E3109&gt;Capa!$A$7,D3109&gt;E3109),"Erro","")</f>
        <v/>
      </c>
    </row>
    <row r="3110" spans="1:9" ht="22.5">
      <c r="A3110" s="345">
        <v>3107</v>
      </c>
      <c r="B3110" s="346" t="s">
        <v>214</v>
      </c>
      <c r="C3110" s="347">
        <v>138.6</v>
      </c>
      <c r="D3110" s="348">
        <v>46388</v>
      </c>
      <c r="E3110" s="348">
        <v>46722</v>
      </c>
      <c r="F3110" s="346" t="s">
        <v>646</v>
      </c>
      <c r="G3110" s="350" t="s">
        <v>440</v>
      </c>
      <c r="H3110" s="351">
        <f t="shared" si="53"/>
        <v>1663.1999999999998</v>
      </c>
      <c r="I3110" s="120" t="str">
        <f>IF(OR(D3110&lt;Capa!$A$5,D3110&gt;Capa!$A$7,E3110&lt;Capa!$A$5,E3110&gt;Capa!$A$7,D3110&gt;E3110),"Erro","")</f>
        <v/>
      </c>
    </row>
    <row r="3111" spans="1:9" ht="22.5">
      <c r="A3111" s="345">
        <v>3108</v>
      </c>
      <c r="B3111" s="346" t="s">
        <v>214</v>
      </c>
      <c r="C3111" s="347">
        <v>146.69</v>
      </c>
      <c r="D3111" s="348">
        <v>46753</v>
      </c>
      <c r="E3111" s="348">
        <v>47058</v>
      </c>
      <c r="F3111" s="346" t="s">
        <v>646</v>
      </c>
      <c r="G3111" s="350" t="s">
        <v>440</v>
      </c>
      <c r="H3111" s="351">
        <f t="shared" si="53"/>
        <v>1613.59</v>
      </c>
      <c r="I3111" s="120" t="str">
        <f>IF(OR(D3111&lt;Capa!$A$5,D3111&gt;Capa!$A$7,E3111&lt;Capa!$A$5,E3111&gt;Capa!$A$7,D3111&gt;E3111),"Erro","")</f>
        <v/>
      </c>
    </row>
    <row r="3112" spans="1:9" ht="56.25">
      <c r="A3112" s="345">
        <v>3109</v>
      </c>
      <c r="B3112" s="346" t="s">
        <v>212</v>
      </c>
      <c r="C3112" s="347">
        <v>235.74</v>
      </c>
      <c r="D3112" s="348">
        <v>45261</v>
      </c>
      <c r="E3112" s="348">
        <v>45627</v>
      </c>
      <c r="F3112" s="346" t="s">
        <v>646</v>
      </c>
      <c r="G3112" s="350" t="s">
        <v>503</v>
      </c>
      <c r="H3112" s="351">
        <f t="shared" si="53"/>
        <v>3064.62</v>
      </c>
      <c r="I3112" s="120" t="str">
        <f>IF(OR(D3112&lt;Capa!$A$5,D3112&gt;Capa!$A$7,E3112&lt;Capa!$A$5,E3112&gt;Capa!$A$7,D3112&gt;E3112),"Erro","")</f>
        <v/>
      </c>
    </row>
    <row r="3113" spans="1:9" ht="56.25">
      <c r="A3113" s="345">
        <v>3110</v>
      </c>
      <c r="B3113" s="346" t="s">
        <v>212</v>
      </c>
      <c r="C3113" s="347">
        <v>249.5</v>
      </c>
      <c r="D3113" s="348">
        <v>45658</v>
      </c>
      <c r="E3113" s="348">
        <v>45992</v>
      </c>
      <c r="F3113" s="346" t="s">
        <v>646</v>
      </c>
      <c r="G3113" s="350" t="s">
        <v>503</v>
      </c>
      <c r="H3113" s="351">
        <f t="shared" si="53"/>
        <v>2994</v>
      </c>
      <c r="I3113" s="120" t="str">
        <f>IF(OR(D3113&lt;Capa!$A$5,D3113&gt;Capa!$A$7,E3113&lt;Capa!$A$5,E3113&gt;Capa!$A$7,D3113&gt;E3113),"Erro","")</f>
        <v/>
      </c>
    </row>
    <row r="3114" spans="1:9" ht="56.25">
      <c r="A3114" s="345">
        <v>3111</v>
      </c>
      <c r="B3114" s="346" t="s">
        <v>212</v>
      </c>
      <c r="C3114" s="347">
        <v>264.07</v>
      </c>
      <c r="D3114" s="348">
        <v>46023</v>
      </c>
      <c r="E3114" s="348">
        <v>46357</v>
      </c>
      <c r="F3114" s="346" t="s">
        <v>646</v>
      </c>
      <c r="G3114" s="350" t="s">
        <v>503</v>
      </c>
      <c r="H3114" s="351">
        <f t="shared" si="53"/>
        <v>3168.84</v>
      </c>
      <c r="I3114" s="120" t="str">
        <f>IF(OR(D3114&lt;Capa!$A$5,D3114&gt;Capa!$A$7,E3114&lt;Capa!$A$5,E3114&gt;Capa!$A$7,D3114&gt;E3114),"Erro","")</f>
        <v/>
      </c>
    </row>
    <row r="3115" spans="1:9" ht="56.25">
      <c r="A3115" s="345">
        <v>3112</v>
      </c>
      <c r="B3115" s="346" t="s">
        <v>212</v>
      </c>
      <c r="C3115" s="347">
        <v>279.5</v>
      </c>
      <c r="D3115" s="348">
        <v>46388</v>
      </c>
      <c r="E3115" s="348">
        <v>46722</v>
      </c>
      <c r="F3115" s="346" t="s">
        <v>646</v>
      </c>
      <c r="G3115" s="350" t="s">
        <v>503</v>
      </c>
      <c r="H3115" s="351">
        <f t="shared" si="53"/>
        <v>3354</v>
      </c>
      <c r="I3115" s="120" t="str">
        <f>IF(OR(D3115&lt;Capa!$A$5,D3115&gt;Capa!$A$7,E3115&lt;Capa!$A$5,E3115&gt;Capa!$A$7,D3115&gt;E3115),"Erro","")</f>
        <v/>
      </c>
    </row>
    <row r="3116" spans="1:9" ht="56.25">
      <c r="A3116" s="345">
        <v>3113</v>
      </c>
      <c r="B3116" s="346" t="s">
        <v>212</v>
      </c>
      <c r="C3116" s="347">
        <v>295.82</v>
      </c>
      <c r="D3116" s="348">
        <v>46753</v>
      </c>
      <c r="E3116" s="348">
        <v>47058</v>
      </c>
      <c r="F3116" s="346" t="s">
        <v>646</v>
      </c>
      <c r="G3116" s="350" t="s">
        <v>503</v>
      </c>
      <c r="H3116" s="351">
        <f t="shared" si="53"/>
        <v>3254.02</v>
      </c>
      <c r="I3116" s="120" t="str">
        <f>IF(OR(D3116&lt;Capa!$A$5,D3116&gt;Capa!$A$7,E3116&lt;Capa!$A$5,E3116&gt;Capa!$A$7,D3116&gt;E3116),"Erro","")</f>
        <v/>
      </c>
    </row>
    <row r="3117" spans="1:9" ht="45">
      <c r="A3117" s="345">
        <v>3114</v>
      </c>
      <c r="B3117" s="346" t="s">
        <v>248</v>
      </c>
      <c r="C3117" s="347">
        <v>846</v>
      </c>
      <c r="D3117" s="348">
        <v>45261</v>
      </c>
      <c r="E3117" s="348">
        <v>45444</v>
      </c>
      <c r="F3117" s="346" t="s">
        <v>646</v>
      </c>
      <c r="G3117" s="350" t="s">
        <v>441</v>
      </c>
      <c r="H3117" s="351">
        <f t="shared" si="53"/>
        <v>5922</v>
      </c>
      <c r="I3117" s="120" t="str">
        <f>IF(OR(D3117&lt;Capa!$A$5,D3117&gt;Capa!$A$7,E3117&lt;Capa!$A$5,E3117&gt;Capa!$A$7,D3117&gt;E3117),"Erro","")</f>
        <v/>
      </c>
    </row>
    <row r="3118" spans="1:9" ht="45">
      <c r="A3118" s="345">
        <v>3115</v>
      </c>
      <c r="B3118" s="346" t="s">
        <v>248</v>
      </c>
      <c r="C3118" s="347">
        <v>846</v>
      </c>
      <c r="D3118" s="348">
        <v>45658</v>
      </c>
      <c r="E3118" s="348">
        <v>45809</v>
      </c>
      <c r="F3118" s="346" t="s">
        <v>646</v>
      </c>
      <c r="G3118" s="350" t="s">
        <v>441</v>
      </c>
      <c r="H3118" s="351">
        <f t="shared" si="53"/>
        <v>5076</v>
      </c>
      <c r="I3118" s="120" t="str">
        <f>IF(OR(D3118&lt;Capa!$A$5,D3118&gt;Capa!$A$7,E3118&lt;Capa!$A$5,E3118&gt;Capa!$A$7,D3118&gt;E3118),"Erro","")</f>
        <v/>
      </c>
    </row>
    <row r="3119" spans="1:9" ht="45">
      <c r="A3119" s="345">
        <v>3116</v>
      </c>
      <c r="B3119" s="346" t="s">
        <v>248</v>
      </c>
      <c r="C3119" s="347">
        <v>846</v>
      </c>
      <c r="D3119" s="348">
        <v>46023</v>
      </c>
      <c r="E3119" s="348">
        <v>46174</v>
      </c>
      <c r="F3119" s="346" t="s">
        <v>646</v>
      </c>
      <c r="G3119" s="350" t="s">
        <v>441</v>
      </c>
      <c r="H3119" s="351">
        <f t="shared" si="53"/>
        <v>5076</v>
      </c>
      <c r="I3119" s="120" t="str">
        <f>IF(OR(D3119&lt;Capa!$A$5,D3119&gt;Capa!$A$7,E3119&lt;Capa!$A$5,E3119&gt;Capa!$A$7,D3119&gt;E3119),"Erro","")</f>
        <v/>
      </c>
    </row>
    <row r="3120" spans="1:9" ht="45">
      <c r="A3120" s="345">
        <v>3117</v>
      </c>
      <c r="B3120" s="346" t="s">
        <v>248</v>
      </c>
      <c r="C3120" s="347">
        <v>846</v>
      </c>
      <c r="D3120" s="348">
        <v>46388</v>
      </c>
      <c r="E3120" s="348">
        <v>46539</v>
      </c>
      <c r="F3120" s="346" t="s">
        <v>646</v>
      </c>
      <c r="G3120" s="350" t="s">
        <v>441</v>
      </c>
      <c r="H3120" s="351">
        <f t="shared" si="53"/>
        <v>5076</v>
      </c>
      <c r="I3120" s="120" t="str">
        <f>IF(OR(D3120&lt;Capa!$A$5,D3120&gt;Capa!$A$7,E3120&lt;Capa!$A$5,E3120&gt;Capa!$A$7,D3120&gt;E3120),"Erro","")</f>
        <v/>
      </c>
    </row>
    <row r="3121" spans="1:9" ht="45">
      <c r="A3121" s="345">
        <v>3118</v>
      </c>
      <c r="B3121" s="346" t="s">
        <v>248</v>
      </c>
      <c r="C3121" s="347">
        <v>846</v>
      </c>
      <c r="D3121" s="348">
        <v>46753</v>
      </c>
      <c r="E3121" s="348">
        <v>46905</v>
      </c>
      <c r="F3121" s="346" t="s">
        <v>646</v>
      </c>
      <c r="G3121" s="350" t="s">
        <v>441</v>
      </c>
      <c r="H3121" s="351">
        <f t="shared" si="53"/>
        <v>5076</v>
      </c>
      <c r="I3121" s="120" t="str">
        <f>IF(OR(D3121&lt;Capa!$A$5,D3121&gt;Capa!$A$7,E3121&lt;Capa!$A$5,E3121&gt;Capa!$A$7,D3121&gt;E3121),"Erro","")</f>
        <v/>
      </c>
    </row>
    <row r="3122" spans="1:9" ht="33.75">
      <c r="A3122" s="345">
        <v>3119</v>
      </c>
      <c r="B3122" s="346" t="s">
        <v>266</v>
      </c>
      <c r="C3122" s="347">
        <v>600</v>
      </c>
      <c r="D3122" s="348">
        <v>45261</v>
      </c>
      <c r="E3122" s="348">
        <v>45352</v>
      </c>
      <c r="F3122" s="346" t="s">
        <v>646</v>
      </c>
      <c r="G3122" s="350" t="s">
        <v>442</v>
      </c>
      <c r="H3122" s="351">
        <f t="shared" si="53"/>
        <v>2400</v>
      </c>
      <c r="I3122" s="120" t="str">
        <f>IF(OR(D3122&lt;Capa!$A$5,D3122&gt;Capa!$A$7,E3122&lt;Capa!$A$5,E3122&gt;Capa!$A$7,D3122&gt;E3122),"Erro","")</f>
        <v/>
      </c>
    </row>
    <row r="3123" spans="1:9" ht="33.75">
      <c r="A3123" s="345">
        <v>3120</v>
      </c>
      <c r="B3123" s="346" t="s">
        <v>266</v>
      </c>
      <c r="C3123" s="347">
        <v>600</v>
      </c>
      <c r="D3123" s="348">
        <v>45658</v>
      </c>
      <c r="E3123" s="348">
        <v>45748</v>
      </c>
      <c r="F3123" s="346" t="s">
        <v>646</v>
      </c>
      <c r="G3123" s="350" t="s">
        <v>442</v>
      </c>
      <c r="H3123" s="351">
        <f t="shared" si="53"/>
        <v>2400</v>
      </c>
      <c r="I3123" s="120" t="str">
        <f>IF(OR(D3123&lt;Capa!$A$5,D3123&gt;Capa!$A$7,E3123&lt;Capa!$A$5,E3123&gt;Capa!$A$7,D3123&gt;E3123),"Erro","")</f>
        <v/>
      </c>
    </row>
    <row r="3124" spans="1:9" ht="33.75">
      <c r="A3124" s="345">
        <v>3121</v>
      </c>
      <c r="B3124" s="346" t="s">
        <v>266</v>
      </c>
      <c r="C3124" s="347">
        <v>600</v>
      </c>
      <c r="D3124" s="348">
        <v>46023</v>
      </c>
      <c r="E3124" s="348">
        <v>46113</v>
      </c>
      <c r="F3124" s="346" t="s">
        <v>646</v>
      </c>
      <c r="G3124" s="350" t="s">
        <v>442</v>
      </c>
      <c r="H3124" s="351">
        <f t="shared" si="53"/>
        <v>2400</v>
      </c>
      <c r="I3124" s="120" t="str">
        <f>IF(OR(D3124&lt;Capa!$A$5,D3124&gt;Capa!$A$7,E3124&lt;Capa!$A$5,E3124&gt;Capa!$A$7,D3124&gt;E3124),"Erro","")</f>
        <v/>
      </c>
    </row>
    <row r="3125" spans="1:9" ht="33.75">
      <c r="A3125" s="345">
        <v>3122</v>
      </c>
      <c r="B3125" s="346" t="s">
        <v>266</v>
      </c>
      <c r="C3125" s="347">
        <v>600</v>
      </c>
      <c r="D3125" s="348">
        <v>46388</v>
      </c>
      <c r="E3125" s="348">
        <v>46478</v>
      </c>
      <c r="F3125" s="346" t="s">
        <v>646</v>
      </c>
      <c r="G3125" s="350" t="s">
        <v>442</v>
      </c>
      <c r="H3125" s="351">
        <f t="shared" si="53"/>
        <v>2400</v>
      </c>
      <c r="I3125" s="120" t="str">
        <f>IF(OR(D3125&lt;Capa!$A$5,D3125&gt;Capa!$A$7,E3125&lt;Capa!$A$5,E3125&gt;Capa!$A$7,D3125&gt;E3125),"Erro","")</f>
        <v/>
      </c>
    </row>
    <row r="3126" spans="1:9" ht="33.75">
      <c r="A3126" s="345">
        <v>3123</v>
      </c>
      <c r="B3126" s="346" t="s">
        <v>266</v>
      </c>
      <c r="C3126" s="347">
        <v>600</v>
      </c>
      <c r="D3126" s="348">
        <v>46753</v>
      </c>
      <c r="E3126" s="348">
        <v>46844</v>
      </c>
      <c r="F3126" s="346" t="s">
        <v>646</v>
      </c>
      <c r="G3126" s="350" t="s">
        <v>442</v>
      </c>
      <c r="H3126" s="351">
        <f t="shared" si="53"/>
        <v>2400</v>
      </c>
      <c r="I3126" s="120" t="str">
        <f>IF(OR(D3126&lt;Capa!$A$5,D3126&gt;Capa!$A$7,E3126&lt;Capa!$A$5,E3126&gt;Capa!$A$7,D3126&gt;E3126),"Erro","")</f>
        <v/>
      </c>
    </row>
    <row r="3127" spans="1:9" ht="22.5">
      <c r="A3127" s="345">
        <v>3124</v>
      </c>
      <c r="B3127" s="346" t="s">
        <v>274</v>
      </c>
      <c r="C3127" s="347">
        <v>1100</v>
      </c>
      <c r="D3127" s="348">
        <v>45261</v>
      </c>
      <c r="E3127" s="348">
        <v>45627</v>
      </c>
      <c r="F3127" s="346" t="s">
        <v>646</v>
      </c>
      <c r="G3127" s="350" t="s">
        <v>443</v>
      </c>
      <c r="H3127" s="351">
        <f t="shared" si="53"/>
        <v>14300</v>
      </c>
      <c r="I3127" s="120" t="str">
        <f>IF(OR(D3127&lt;Capa!$A$5,D3127&gt;Capa!$A$7,E3127&lt;Capa!$A$5,E3127&gt;Capa!$A$7,D3127&gt;E3127),"Erro","")</f>
        <v/>
      </c>
    </row>
    <row r="3128" spans="1:9" ht="22.5">
      <c r="A3128" s="345">
        <v>3125</v>
      </c>
      <c r="B3128" s="346" t="s">
        <v>274</v>
      </c>
      <c r="C3128" s="347">
        <v>1164.24</v>
      </c>
      <c r="D3128" s="348">
        <v>45658</v>
      </c>
      <c r="E3128" s="348">
        <v>45992</v>
      </c>
      <c r="F3128" s="346" t="s">
        <v>646</v>
      </c>
      <c r="G3128" s="350" t="s">
        <v>443</v>
      </c>
      <c r="H3128" s="351">
        <f t="shared" si="53"/>
        <v>13970.880000000001</v>
      </c>
      <c r="I3128" s="120" t="str">
        <f>IF(OR(D3128&lt;Capa!$A$5,D3128&gt;Capa!$A$7,E3128&lt;Capa!$A$5,E3128&gt;Capa!$A$7,D3128&gt;E3128),"Erro","")</f>
        <v/>
      </c>
    </row>
    <row r="3129" spans="1:9" ht="22.5">
      <c r="A3129" s="345">
        <v>3126</v>
      </c>
      <c r="B3129" s="346" t="s">
        <v>274</v>
      </c>
      <c r="C3129" s="347">
        <v>1232.23</v>
      </c>
      <c r="D3129" s="348">
        <v>46023</v>
      </c>
      <c r="E3129" s="348">
        <v>46357</v>
      </c>
      <c r="F3129" s="346" t="s">
        <v>646</v>
      </c>
      <c r="G3129" s="350" t="s">
        <v>443</v>
      </c>
      <c r="H3129" s="351">
        <f t="shared" si="53"/>
        <v>14786.76</v>
      </c>
      <c r="I3129" s="120" t="str">
        <f>IF(OR(D3129&lt;Capa!$A$5,D3129&gt;Capa!$A$7,E3129&lt;Capa!$A$5,E3129&gt;Capa!$A$7,D3129&gt;E3129),"Erro","")</f>
        <v/>
      </c>
    </row>
    <row r="3130" spans="1:9" ht="22.5">
      <c r="A3130" s="345">
        <v>3127</v>
      </c>
      <c r="B3130" s="346" t="s">
        <v>274</v>
      </c>
      <c r="C3130" s="347">
        <v>1304.19</v>
      </c>
      <c r="D3130" s="348">
        <v>46388</v>
      </c>
      <c r="E3130" s="348">
        <v>46722</v>
      </c>
      <c r="F3130" s="346" t="s">
        <v>646</v>
      </c>
      <c r="G3130" s="350" t="s">
        <v>443</v>
      </c>
      <c r="H3130" s="351">
        <f t="shared" si="53"/>
        <v>15650.28</v>
      </c>
      <c r="I3130" s="120" t="str">
        <f>IF(OR(D3130&lt;Capa!$A$5,D3130&gt;Capa!$A$7,E3130&lt;Capa!$A$5,E3130&gt;Capa!$A$7,D3130&gt;E3130),"Erro","")</f>
        <v/>
      </c>
    </row>
    <row r="3131" spans="1:9" ht="22.5">
      <c r="A3131" s="345">
        <v>3128</v>
      </c>
      <c r="B3131" s="346" t="s">
        <v>274</v>
      </c>
      <c r="C3131" s="347">
        <v>1380.35</v>
      </c>
      <c r="D3131" s="348">
        <v>46753</v>
      </c>
      <c r="E3131" s="348">
        <v>47058</v>
      </c>
      <c r="F3131" s="346" t="s">
        <v>646</v>
      </c>
      <c r="G3131" s="350" t="s">
        <v>443</v>
      </c>
      <c r="H3131" s="351">
        <f t="shared" si="53"/>
        <v>15183.849999999999</v>
      </c>
      <c r="I3131" s="120" t="str">
        <f>IF(OR(D3131&lt;Capa!$A$5,D3131&gt;Capa!$A$7,E3131&lt;Capa!$A$5,E3131&gt;Capa!$A$7,D3131&gt;E3131),"Erro","")</f>
        <v/>
      </c>
    </row>
    <row r="3132" spans="1:9" ht="56.25">
      <c r="A3132" s="345">
        <v>3129</v>
      </c>
      <c r="B3132" s="346" t="s">
        <v>236</v>
      </c>
      <c r="C3132" s="347">
        <v>690.19</v>
      </c>
      <c r="D3132" s="348">
        <v>45292</v>
      </c>
      <c r="E3132" s="348">
        <v>45627</v>
      </c>
      <c r="F3132" s="346" t="s">
        <v>646</v>
      </c>
      <c r="G3132" s="350" t="s">
        <v>444</v>
      </c>
      <c r="H3132" s="351">
        <f t="shared" si="53"/>
        <v>8282.2800000000007</v>
      </c>
      <c r="I3132" s="120" t="str">
        <f>IF(OR(D3132&lt;Capa!$A$5,D3132&gt;Capa!$A$7,E3132&lt;Capa!$A$5,E3132&gt;Capa!$A$7,D3132&gt;E3132),"Erro","")</f>
        <v/>
      </c>
    </row>
    <row r="3133" spans="1:9" ht="56.25">
      <c r="A3133" s="345">
        <v>3130</v>
      </c>
      <c r="B3133" s="346" t="s">
        <v>236</v>
      </c>
      <c r="C3133" s="347">
        <v>760.49</v>
      </c>
      <c r="D3133" s="348">
        <v>45658</v>
      </c>
      <c r="E3133" s="348">
        <v>45992</v>
      </c>
      <c r="F3133" s="346" t="s">
        <v>646</v>
      </c>
      <c r="G3133" s="350" t="s">
        <v>444</v>
      </c>
      <c r="H3133" s="351">
        <f t="shared" si="53"/>
        <v>9125.880000000001</v>
      </c>
      <c r="I3133" s="120" t="str">
        <f>IF(OR(D3133&lt;Capa!$A$5,D3133&gt;Capa!$A$7,E3133&lt;Capa!$A$5,E3133&gt;Capa!$A$7,D3133&gt;E3133),"Erro","")</f>
        <v/>
      </c>
    </row>
    <row r="3134" spans="1:9" ht="56.25">
      <c r="A3134" s="345">
        <v>3131</v>
      </c>
      <c r="B3134" s="346" t="s">
        <v>236</v>
      </c>
      <c r="C3134" s="347">
        <v>773.16</v>
      </c>
      <c r="D3134" s="348">
        <v>46023</v>
      </c>
      <c r="E3134" s="348">
        <v>46357</v>
      </c>
      <c r="F3134" s="346" t="s">
        <v>646</v>
      </c>
      <c r="G3134" s="350" t="s">
        <v>444</v>
      </c>
      <c r="H3134" s="351">
        <f t="shared" si="53"/>
        <v>9277.92</v>
      </c>
      <c r="I3134" s="120" t="str">
        <f>IF(OR(D3134&lt;Capa!$A$5,D3134&gt;Capa!$A$7,E3134&lt;Capa!$A$5,E3134&gt;Capa!$A$7,D3134&gt;E3134),"Erro","")</f>
        <v/>
      </c>
    </row>
    <row r="3135" spans="1:9" ht="56.25">
      <c r="A3135" s="345">
        <v>3132</v>
      </c>
      <c r="B3135" s="346" t="s">
        <v>236</v>
      </c>
      <c r="C3135" s="347">
        <v>818.31</v>
      </c>
      <c r="D3135" s="348">
        <v>46388</v>
      </c>
      <c r="E3135" s="348">
        <v>46722</v>
      </c>
      <c r="F3135" s="346" t="s">
        <v>646</v>
      </c>
      <c r="G3135" s="350" t="s">
        <v>444</v>
      </c>
      <c r="H3135" s="351">
        <f t="shared" si="53"/>
        <v>9819.7199999999993</v>
      </c>
      <c r="I3135" s="120" t="str">
        <f>IF(OR(D3135&lt;Capa!$A$5,D3135&gt;Capa!$A$7,E3135&lt;Capa!$A$5,E3135&gt;Capa!$A$7,D3135&gt;E3135),"Erro","")</f>
        <v/>
      </c>
    </row>
    <row r="3136" spans="1:9" ht="56.25">
      <c r="A3136" s="345">
        <v>3133</v>
      </c>
      <c r="B3136" s="346" t="s">
        <v>236</v>
      </c>
      <c r="C3136" s="347">
        <v>866.09</v>
      </c>
      <c r="D3136" s="348">
        <v>46753</v>
      </c>
      <c r="E3136" s="348">
        <v>47058</v>
      </c>
      <c r="F3136" s="346" t="s">
        <v>646</v>
      </c>
      <c r="G3136" s="350" t="s">
        <v>444</v>
      </c>
      <c r="H3136" s="351">
        <f t="shared" si="53"/>
        <v>9526.99</v>
      </c>
      <c r="I3136" s="120" t="str">
        <f>IF(OR(D3136&lt;Capa!$A$5,D3136&gt;Capa!$A$7,E3136&lt;Capa!$A$5,E3136&gt;Capa!$A$7,D3136&gt;E3136),"Erro","")</f>
        <v/>
      </c>
    </row>
    <row r="3137" spans="1:9" ht="33.75">
      <c r="A3137" s="345">
        <v>3134</v>
      </c>
      <c r="B3137" s="346" t="s">
        <v>240</v>
      </c>
      <c r="C3137" s="347">
        <v>50</v>
      </c>
      <c r="D3137" s="348">
        <v>45292</v>
      </c>
      <c r="E3137" s="348">
        <v>45627</v>
      </c>
      <c r="F3137" s="346" t="s">
        <v>646</v>
      </c>
      <c r="G3137" s="350" t="s">
        <v>445</v>
      </c>
      <c r="H3137" s="351">
        <f t="shared" ref="H3137:H3199" si="54">IFERROR((DATEDIF(D3137,E3137,"M")+1)*C3137,0)</f>
        <v>600</v>
      </c>
      <c r="I3137" s="120" t="str">
        <f>IF(OR(D3137&lt;Capa!$A$5,D3137&gt;Capa!$A$7,E3137&lt;Capa!$A$5,E3137&gt;Capa!$A$7,D3137&gt;E3137),"Erro","")</f>
        <v/>
      </c>
    </row>
    <row r="3138" spans="1:9" ht="33.75">
      <c r="A3138" s="345">
        <v>3135</v>
      </c>
      <c r="B3138" s="346" t="s">
        <v>240</v>
      </c>
      <c r="C3138" s="347">
        <v>50</v>
      </c>
      <c r="D3138" s="348">
        <v>45658</v>
      </c>
      <c r="E3138" s="348">
        <v>45992</v>
      </c>
      <c r="F3138" s="346" t="s">
        <v>646</v>
      </c>
      <c r="G3138" s="350" t="s">
        <v>445</v>
      </c>
      <c r="H3138" s="351">
        <f t="shared" si="54"/>
        <v>600</v>
      </c>
      <c r="I3138" s="120" t="str">
        <f>IF(OR(D3138&lt;Capa!$A$5,D3138&gt;Capa!$A$7,E3138&lt;Capa!$A$5,E3138&gt;Capa!$A$7,D3138&gt;E3138),"Erro","")</f>
        <v/>
      </c>
    </row>
    <row r="3139" spans="1:9" ht="33.75">
      <c r="A3139" s="345">
        <v>3136</v>
      </c>
      <c r="B3139" s="346" t="s">
        <v>240</v>
      </c>
      <c r="C3139" s="347">
        <v>50</v>
      </c>
      <c r="D3139" s="348">
        <v>46023</v>
      </c>
      <c r="E3139" s="348">
        <v>46357</v>
      </c>
      <c r="F3139" s="346" t="s">
        <v>646</v>
      </c>
      <c r="G3139" s="350" t="s">
        <v>445</v>
      </c>
      <c r="H3139" s="351">
        <f t="shared" si="54"/>
        <v>600</v>
      </c>
      <c r="I3139" s="120" t="str">
        <f>IF(OR(D3139&lt;Capa!$A$5,D3139&gt;Capa!$A$7,E3139&lt;Capa!$A$5,E3139&gt;Capa!$A$7,D3139&gt;E3139),"Erro","")</f>
        <v/>
      </c>
    </row>
    <row r="3140" spans="1:9" ht="33.75">
      <c r="A3140" s="345">
        <v>3137</v>
      </c>
      <c r="B3140" s="346" t="s">
        <v>240</v>
      </c>
      <c r="C3140" s="347">
        <v>50</v>
      </c>
      <c r="D3140" s="348">
        <v>46388</v>
      </c>
      <c r="E3140" s="348">
        <v>46722</v>
      </c>
      <c r="F3140" s="346" t="s">
        <v>646</v>
      </c>
      <c r="G3140" s="350" t="s">
        <v>445</v>
      </c>
      <c r="H3140" s="351">
        <f t="shared" si="54"/>
        <v>600</v>
      </c>
      <c r="I3140" s="120" t="str">
        <f>IF(OR(D3140&lt;Capa!$A$5,D3140&gt;Capa!$A$7,E3140&lt;Capa!$A$5,E3140&gt;Capa!$A$7,D3140&gt;E3140),"Erro","")</f>
        <v/>
      </c>
    </row>
    <row r="3141" spans="1:9" ht="33.75">
      <c r="A3141" s="345">
        <v>3138</v>
      </c>
      <c r="B3141" s="346" t="s">
        <v>240</v>
      </c>
      <c r="C3141" s="347">
        <v>50</v>
      </c>
      <c r="D3141" s="348">
        <v>46753</v>
      </c>
      <c r="E3141" s="348">
        <v>47058</v>
      </c>
      <c r="F3141" s="346" t="s">
        <v>646</v>
      </c>
      <c r="G3141" s="350" t="s">
        <v>445</v>
      </c>
      <c r="H3141" s="351">
        <f t="shared" si="54"/>
        <v>550</v>
      </c>
      <c r="I3141" s="120" t="str">
        <f>IF(OR(D3141&lt;Capa!$A$5,D3141&gt;Capa!$A$7,E3141&lt;Capa!$A$5,E3141&gt;Capa!$A$7,D3141&gt;E3141),"Erro","")</f>
        <v/>
      </c>
    </row>
    <row r="3142" spans="1:9" ht="45">
      <c r="A3142" s="345">
        <v>3139</v>
      </c>
      <c r="B3142" s="346" t="s">
        <v>244</v>
      </c>
      <c r="C3142" s="347">
        <v>250</v>
      </c>
      <c r="D3142" s="348">
        <v>45261</v>
      </c>
      <c r="E3142" s="348">
        <v>45627</v>
      </c>
      <c r="F3142" s="346" t="s">
        <v>646</v>
      </c>
      <c r="G3142" s="350" t="s">
        <v>446</v>
      </c>
      <c r="H3142" s="351">
        <f t="shared" si="54"/>
        <v>3250</v>
      </c>
      <c r="I3142" s="120" t="str">
        <f>IF(OR(D3142&lt;Capa!$A$5,D3142&gt;Capa!$A$7,E3142&lt;Capa!$A$5,E3142&gt;Capa!$A$7,D3142&gt;E3142),"Erro","")</f>
        <v/>
      </c>
    </row>
    <row r="3143" spans="1:9" ht="45">
      <c r="A3143" s="345">
        <v>3140</v>
      </c>
      <c r="B3143" s="346" t="s">
        <v>244</v>
      </c>
      <c r="C3143" s="347">
        <v>300</v>
      </c>
      <c r="D3143" s="348">
        <v>45658</v>
      </c>
      <c r="E3143" s="348">
        <v>45992</v>
      </c>
      <c r="F3143" s="346" t="s">
        <v>646</v>
      </c>
      <c r="G3143" s="350" t="s">
        <v>446</v>
      </c>
      <c r="H3143" s="351">
        <f t="shared" si="54"/>
        <v>3600</v>
      </c>
      <c r="I3143" s="120" t="str">
        <f>IF(OR(D3143&lt;Capa!$A$5,D3143&gt;Capa!$A$7,E3143&lt;Capa!$A$5,E3143&gt;Capa!$A$7,D3143&gt;E3143),"Erro","")</f>
        <v/>
      </c>
    </row>
    <row r="3144" spans="1:9" ht="45">
      <c r="A3144" s="345">
        <v>3141</v>
      </c>
      <c r="B3144" s="346" t="s">
        <v>244</v>
      </c>
      <c r="C3144" s="347">
        <v>300</v>
      </c>
      <c r="D3144" s="348">
        <v>46023</v>
      </c>
      <c r="E3144" s="348">
        <v>46357</v>
      </c>
      <c r="F3144" s="346" t="s">
        <v>646</v>
      </c>
      <c r="G3144" s="350" t="s">
        <v>446</v>
      </c>
      <c r="H3144" s="351">
        <f t="shared" si="54"/>
        <v>3600</v>
      </c>
      <c r="I3144" s="120" t="str">
        <f>IF(OR(D3144&lt;Capa!$A$5,D3144&gt;Capa!$A$7,E3144&lt;Capa!$A$5,E3144&gt;Capa!$A$7,D3144&gt;E3144),"Erro","")</f>
        <v/>
      </c>
    </row>
    <row r="3145" spans="1:9" ht="45">
      <c r="A3145" s="345">
        <v>3142</v>
      </c>
      <c r="B3145" s="346" t="s">
        <v>244</v>
      </c>
      <c r="C3145" s="347">
        <v>350</v>
      </c>
      <c r="D3145" s="348">
        <v>46388</v>
      </c>
      <c r="E3145" s="348">
        <v>46722</v>
      </c>
      <c r="F3145" s="346" t="s">
        <v>646</v>
      </c>
      <c r="G3145" s="350" t="s">
        <v>446</v>
      </c>
      <c r="H3145" s="351">
        <f t="shared" si="54"/>
        <v>4200</v>
      </c>
      <c r="I3145" s="120" t="str">
        <f>IF(OR(D3145&lt;Capa!$A$5,D3145&gt;Capa!$A$7,E3145&lt;Capa!$A$5,E3145&gt;Capa!$A$7,D3145&gt;E3145),"Erro","")</f>
        <v/>
      </c>
    </row>
    <row r="3146" spans="1:9" ht="45">
      <c r="A3146" s="345">
        <v>3143</v>
      </c>
      <c r="B3146" s="346" t="s">
        <v>244</v>
      </c>
      <c r="C3146" s="347">
        <v>350</v>
      </c>
      <c r="D3146" s="348">
        <v>46753</v>
      </c>
      <c r="E3146" s="348">
        <v>47058</v>
      </c>
      <c r="F3146" s="346" t="s">
        <v>646</v>
      </c>
      <c r="G3146" s="350" t="s">
        <v>446</v>
      </c>
      <c r="H3146" s="351">
        <f t="shared" si="54"/>
        <v>3850</v>
      </c>
      <c r="I3146" s="120" t="str">
        <f>IF(OR(D3146&lt;Capa!$A$5,D3146&gt;Capa!$A$7,E3146&lt;Capa!$A$5,E3146&gt;Capa!$A$7,D3146&gt;E3146),"Erro","")</f>
        <v/>
      </c>
    </row>
    <row r="3147" spans="1:9" ht="33.75">
      <c r="A3147" s="345">
        <v>3144</v>
      </c>
      <c r="B3147" s="346" t="s">
        <v>246</v>
      </c>
      <c r="C3147" s="347">
        <v>275.18</v>
      </c>
      <c r="D3147" s="348">
        <v>45658</v>
      </c>
      <c r="E3147" s="348">
        <v>45992</v>
      </c>
      <c r="F3147" s="346" t="s">
        <v>646</v>
      </c>
      <c r="G3147" s="350" t="s">
        <v>447</v>
      </c>
      <c r="H3147" s="351">
        <f t="shared" si="54"/>
        <v>3302.16</v>
      </c>
      <c r="I3147" s="120" t="str">
        <f>IF(OR(D3147&lt;Capa!$A$5,D3147&gt;Capa!$A$7,E3147&lt;Capa!$A$5,E3147&gt;Capa!$A$7,D3147&gt;E3147),"Erro","")</f>
        <v/>
      </c>
    </row>
    <row r="3148" spans="1:9" ht="33.75">
      <c r="A3148" s="345">
        <v>3145</v>
      </c>
      <c r="B3148" s="346" t="s">
        <v>246</v>
      </c>
      <c r="C3148" s="347">
        <v>291.25</v>
      </c>
      <c r="D3148" s="348">
        <v>46023</v>
      </c>
      <c r="E3148" s="348">
        <v>46357</v>
      </c>
      <c r="F3148" s="346" t="s">
        <v>646</v>
      </c>
      <c r="G3148" s="350" t="s">
        <v>447</v>
      </c>
      <c r="H3148" s="351">
        <f t="shared" si="54"/>
        <v>3495</v>
      </c>
      <c r="I3148" s="120" t="str">
        <f>IF(OR(D3148&lt;Capa!$A$5,D3148&gt;Capa!$A$7,E3148&lt;Capa!$A$5,E3148&gt;Capa!$A$7,D3148&gt;E3148),"Erro","")</f>
        <v/>
      </c>
    </row>
    <row r="3149" spans="1:9" ht="33.75">
      <c r="A3149" s="345">
        <v>3146</v>
      </c>
      <c r="B3149" s="346" t="s">
        <v>246</v>
      </c>
      <c r="C3149" s="347">
        <v>308.26</v>
      </c>
      <c r="D3149" s="348">
        <v>46388</v>
      </c>
      <c r="E3149" s="348">
        <v>46722</v>
      </c>
      <c r="F3149" s="346" t="s">
        <v>646</v>
      </c>
      <c r="G3149" s="350" t="s">
        <v>447</v>
      </c>
      <c r="H3149" s="351">
        <f t="shared" si="54"/>
        <v>3699.12</v>
      </c>
      <c r="I3149" s="120" t="str">
        <f>IF(OR(D3149&lt;Capa!$A$5,D3149&gt;Capa!$A$7,E3149&lt;Capa!$A$5,E3149&gt;Capa!$A$7,D3149&gt;E3149),"Erro","")</f>
        <v/>
      </c>
    </row>
    <row r="3150" spans="1:9" ht="33.75">
      <c r="A3150" s="345">
        <v>3147</v>
      </c>
      <c r="B3150" s="346" t="s">
        <v>246</v>
      </c>
      <c r="C3150" s="347">
        <v>326.26</v>
      </c>
      <c r="D3150" s="348">
        <v>46753</v>
      </c>
      <c r="E3150" s="348">
        <v>47058</v>
      </c>
      <c r="F3150" s="346" t="s">
        <v>646</v>
      </c>
      <c r="G3150" s="350" t="s">
        <v>447</v>
      </c>
      <c r="H3150" s="351">
        <f t="shared" si="54"/>
        <v>3588.8599999999997</v>
      </c>
      <c r="I3150" s="120" t="str">
        <f>IF(OR(D3150&lt;Capa!$A$5,D3150&gt;Capa!$A$7,E3150&lt;Capa!$A$5,E3150&gt;Capa!$A$7,D3150&gt;E3150),"Erro","")</f>
        <v/>
      </c>
    </row>
    <row r="3151" spans="1:9" ht="33.75">
      <c r="A3151" s="345">
        <v>3148</v>
      </c>
      <c r="B3151" s="346" t="s">
        <v>258</v>
      </c>
      <c r="C3151" s="347">
        <v>193.77</v>
      </c>
      <c r="D3151" s="348">
        <v>45261</v>
      </c>
      <c r="E3151" s="348">
        <v>45627</v>
      </c>
      <c r="F3151" s="346" t="s">
        <v>646</v>
      </c>
      <c r="G3151" s="350" t="s">
        <v>448</v>
      </c>
      <c r="H3151" s="351">
        <f t="shared" si="54"/>
        <v>2519.0100000000002</v>
      </c>
      <c r="I3151" s="120" t="str">
        <f>IF(OR(D3151&lt;Capa!$A$5,D3151&gt;Capa!$A$7,E3151&lt;Capa!$A$5,E3151&gt;Capa!$A$7,D3151&gt;E3151),"Erro","")</f>
        <v/>
      </c>
    </row>
    <row r="3152" spans="1:9" ht="33.75">
      <c r="A3152" s="345">
        <v>3149</v>
      </c>
      <c r="B3152" s="346" t="s">
        <v>258</v>
      </c>
      <c r="C3152" s="347">
        <v>205.08</v>
      </c>
      <c r="D3152" s="348">
        <v>45658</v>
      </c>
      <c r="E3152" s="348">
        <v>45992</v>
      </c>
      <c r="F3152" s="346" t="s">
        <v>646</v>
      </c>
      <c r="G3152" s="350" t="s">
        <v>448</v>
      </c>
      <c r="H3152" s="351">
        <f t="shared" si="54"/>
        <v>2460.96</v>
      </c>
      <c r="I3152" s="120" t="str">
        <f>IF(OR(D3152&lt;Capa!$A$5,D3152&gt;Capa!$A$7,E3152&lt;Capa!$A$5,E3152&gt;Capa!$A$7,D3152&gt;E3152),"Erro","")</f>
        <v/>
      </c>
    </row>
    <row r="3153" spans="1:9" ht="33.75">
      <c r="A3153" s="345">
        <v>3150</v>
      </c>
      <c r="B3153" s="346" t="s">
        <v>258</v>
      </c>
      <c r="C3153" s="347">
        <v>217.06</v>
      </c>
      <c r="D3153" s="348">
        <v>46023</v>
      </c>
      <c r="E3153" s="348">
        <v>46357</v>
      </c>
      <c r="F3153" s="346" t="s">
        <v>646</v>
      </c>
      <c r="G3153" s="350" t="s">
        <v>448</v>
      </c>
      <c r="H3153" s="351">
        <f t="shared" si="54"/>
        <v>2604.7200000000003</v>
      </c>
      <c r="I3153" s="120" t="str">
        <f>IF(OR(D3153&lt;Capa!$A$5,D3153&gt;Capa!$A$7,E3153&lt;Capa!$A$5,E3153&gt;Capa!$A$7,D3153&gt;E3153),"Erro","")</f>
        <v/>
      </c>
    </row>
    <row r="3154" spans="1:9" ht="33.75">
      <c r="A3154" s="345">
        <v>3151</v>
      </c>
      <c r="B3154" s="346" t="s">
        <v>258</v>
      </c>
      <c r="C3154" s="347">
        <v>229.74</v>
      </c>
      <c r="D3154" s="348">
        <v>46388</v>
      </c>
      <c r="E3154" s="348">
        <v>46722</v>
      </c>
      <c r="F3154" s="346" t="s">
        <v>646</v>
      </c>
      <c r="G3154" s="350" t="s">
        <v>448</v>
      </c>
      <c r="H3154" s="351">
        <f t="shared" si="54"/>
        <v>2756.88</v>
      </c>
      <c r="I3154" s="120" t="str">
        <f>IF(OR(D3154&lt;Capa!$A$5,D3154&gt;Capa!$A$7,E3154&lt;Capa!$A$5,E3154&gt;Capa!$A$7,D3154&gt;E3154),"Erro","")</f>
        <v/>
      </c>
    </row>
    <row r="3155" spans="1:9" ht="33.75">
      <c r="A3155" s="345">
        <v>3152</v>
      </c>
      <c r="B3155" s="346" t="s">
        <v>258</v>
      </c>
      <c r="C3155" s="347">
        <v>243.16</v>
      </c>
      <c r="D3155" s="348">
        <v>46753</v>
      </c>
      <c r="E3155" s="348">
        <v>47058</v>
      </c>
      <c r="F3155" s="346" t="s">
        <v>646</v>
      </c>
      <c r="G3155" s="350" t="s">
        <v>448</v>
      </c>
      <c r="H3155" s="351">
        <f t="shared" si="54"/>
        <v>2674.7599999999998</v>
      </c>
      <c r="I3155" s="120" t="str">
        <f>IF(OR(D3155&lt;Capa!$A$5,D3155&gt;Capa!$A$7,E3155&lt;Capa!$A$5,E3155&gt;Capa!$A$7,D3155&gt;E3155),"Erro","")</f>
        <v/>
      </c>
    </row>
    <row r="3156" spans="1:9" ht="56.25">
      <c r="A3156" s="345">
        <v>3153</v>
      </c>
      <c r="B3156" s="346" t="s">
        <v>276</v>
      </c>
      <c r="C3156" s="347">
        <v>670</v>
      </c>
      <c r="D3156" s="348">
        <v>45658</v>
      </c>
      <c r="E3156" s="348">
        <v>45992</v>
      </c>
      <c r="F3156" s="346" t="s">
        <v>646</v>
      </c>
      <c r="G3156" s="350" t="s">
        <v>449</v>
      </c>
      <c r="H3156" s="351">
        <f t="shared" si="54"/>
        <v>8040</v>
      </c>
      <c r="I3156" s="120" t="str">
        <f>IF(OR(D3156&lt;Capa!$A$5,D3156&gt;Capa!$A$7,E3156&lt;Capa!$A$5,E3156&gt;Capa!$A$7,D3156&gt;E3156),"Erro","")</f>
        <v/>
      </c>
    </row>
    <row r="3157" spans="1:9" ht="56.25">
      <c r="A3157" s="345">
        <v>3154</v>
      </c>
      <c r="B3157" s="346" t="s">
        <v>276</v>
      </c>
      <c r="C3157" s="347">
        <v>670</v>
      </c>
      <c r="D3157" s="348">
        <v>46023</v>
      </c>
      <c r="E3157" s="348">
        <v>46357</v>
      </c>
      <c r="F3157" s="346" t="s">
        <v>646</v>
      </c>
      <c r="G3157" s="350" t="s">
        <v>449</v>
      </c>
      <c r="H3157" s="351">
        <f t="shared" si="54"/>
        <v>8040</v>
      </c>
      <c r="I3157" s="120" t="str">
        <f>IF(OR(D3157&lt;Capa!$A$5,D3157&gt;Capa!$A$7,E3157&lt;Capa!$A$5,E3157&gt;Capa!$A$7,D3157&gt;E3157),"Erro","")</f>
        <v/>
      </c>
    </row>
    <row r="3158" spans="1:9" ht="56.25">
      <c r="A3158" s="345">
        <v>3155</v>
      </c>
      <c r="B3158" s="346" t="s">
        <v>276</v>
      </c>
      <c r="C3158" s="347">
        <v>670</v>
      </c>
      <c r="D3158" s="348">
        <v>46388</v>
      </c>
      <c r="E3158" s="348">
        <v>46722</v>
      </c>
      <c r="F3158" s="346" t="s">
        <v>646</v>
      </c>
      <c r="G3158" s="350" t="s">
        <v>449</v>
      </c>
      <c r="H3158" s="351">
        <f t="shared" si="54"/>
        <v>8040</v>
      </c>
      <c r="I3158" s="120" t="str">
        <f>IF(OR(D3158&lt;Capa!$A$5,D3158&gt;Capa!$A$7,E3158&lt;Capa!$A$5,E3158&gt;Capa!$A$7,D3158&gt;E3158),"Erro","")</f>
        <v/>
      </c>
    </row>
    <row r="3159" spans="1:9" ht="56.25">
      <c r="A3159" s="345">
        <v>3156</v>
      </c>
      <c r="B3159" s="346" t="s">
        <v>276</v>
      </c>
      <c r="C3159" s="347">
        <v>670</v>
      </c>
      <c r="D3159" s="348">
        <v>46753</v>
      </c>
      <c r="E3159" s="348">
        <v>47058</v>
      </c>
      <c r="F3159" s="346" t="s">
        <v>646</v>
      </c>
      <c r="G3159" s="350" t="s">
        <v>449</v>
      </c>
      <c r="H3159" s="351">
        <f t="shared" si="54"/>
        <v>7370</v>
      </c>
      <c r="I3159" s="120" t="str">
        <f>IF(OR(D3159&lt;Capa!$A$5,D3159&gt;Capa!$A$7,E3159&lt;Capa!$A$5,E3159&gt;Capa!$A$7,D3159&gt;E3159),"Erro","")</f>
        <v/>
      </c>
    </row>
    <row r="3160" spans="1:9" ht="45">
      <c r="A3160" s="345">
        <v>3157</v>
      </c>
      <c r="B3160" s="346" t="s">
        <v>278</v>
      </c>
      <c r="C3160" s="347">
        <v>17000</v>
      </c>
      <c r="D3160" s="348">
        <v>45261</v>
      </c>
      <c r="E3160" s="348">
        <v>45261</v>
      </c>
      <c r="F3160" s="346" t="s">
        <v>646</v>
      </c>
      <c r="G3160" s="350" t="s">
        <v>450</v>
      </c>
      <c r="H3160" s="351">
        <f t="shared" si="54"/>
        <v>17000</v>
      </c>
      <c r="I3160" s="120" t="str">
        <f>IF(OR(D3160&lt;Capa!$A$5,D3160&gt;Capa!$A$7,E3160&lt;Capa!$A$5,E3160&gt;Capa!$A$7,D3160&gt;E3160),"Erro","")</f>
        <v/>
      </c>
    </row>
    <row r="3161" spans="1:9" ht="45">
      <c r="A3161" s="345">
        <v>3158</v>
      </c>
      <c r="B3161" s="346" t="s">
        <v>278</v>
      </c>
      <c r="C3161" s="347">
        <v>37430</v>
      </c>
      <c r="D3161" s="348">
        <v>45292</v>
      </c>
      <c r="E3161" s="348">
        <v>45627</v>
      </c>
      <c r="F3161" s="346" t="s">
        <v>646</v>
      </c>
      <c r="G3161" s="350" t="s">
        <v>450</v>
      </c>
      <c r="H3161" s="351">
        <f t="shared" si="54"/>
        <v>449160</v>
      </c>
      <c r="I3161" s="120" t="str">
        <f>IF(OR(D3161&lt;Capa!$A$5,D3161&gt;Capa!$A$7,E3161&lt;Capa!$A$5,E3161&gt;Capa!$A$7,D3161&gt;E3161),"Erro","")</f>
        <v/>
      </c>
    </row>
    <row r="3162" spans="1:9" ht="45">
      <c r="A3162" s="345">
        <v>3159</v>
      </c>
      <c r="B3162" s="346" t="s">
        <v>278</v>
      </c>
      <c r="C3162" s="347">
        <v>39615</v>
      </c>
      <c r="D3162" s="348">
        <v>45658</v>
      </c>
      <c r="E3162" s="348">
        <v>45992</v>
      </c>
      <c r="F3162" s="346" t="s">
        <v>646</v>
      </c>
      <c r="G3162" s="350" t="s">
        <v>450</v>
      </c>
      <c r="H3162" s="351">
        <f t="shared" si="54"/>
        <v>475380</v>
      </c>
      <c r="I3162" s="120" t="str">
        <f>IF(OR(D3162&lt;Capa!$A$5,D3162&gt;Capa!$A$7,E3162&lt;Capa!$A$5,E3162&gt;Capa!$A$7,D3162&gt;E3162),"Erro","")</f>
        <v/>
      </c>
    </row>
    <row r="3163" spans="1:9" ht="45">
      <c r="A3163" s="345">
        <v>3160</v>
      </c>
      <c r="B3163" s="346" t="s">
        <v>278</v>
      </c>
      <c r="C3163" s="347">
        <v>41929</v>
      </c>
      <c r="D3163" s="348">
        <v>46023</v>
      </c>
      <c r="E3163" s="348">
        <v>46357</v>
      </c>
      <c r="F3163" s="346" t="s">
        <v>646</v>
      </c>
      <c r="G3163" s="350" t="s">
        <v>450</v>
      </c>
      <c r="H3163" s="351">
        <f t="shared" si="54"/>
        <v>503148</v>
      </c>
      <c r="I3163" s="120" t="str">
        <f>IF(OR(D3163&lt;Capa!$A$5,D3163&gt;Capa!$A$7,E3163&lt;Capa!$A$5,E3163&gt;Capa!$A$7,D3163&gt;E3163),"Erro","")</f>
        <v/>
      </c>
    </row>
    <row r="3164" spans="1:9" ht="45">
      <c r="A3164" s="345">
        <v>3161</v>
      </c>
      <c r="B3164" s="346" t="s">
        <v>278</v>
      </c>
      <c r="C3164" s="347">
        <v>44378</v>
      </c>
      <c r="D3164" s="348">
        <v>46388</v>
      </c>
      <c r="E3164" s="348">
        <v>46722</v>
      </c>
      <c r="F3164" s="346" t="s">
        <v>646</v>
      </c>
      <c r="G3164" s="350" t="s">
        <v>450</v>
      </c>
      <c r="H3164" s="351">
        <f t="shared" si="54"/>
        <v>532536</v>
      </c>
      <c r="I3164" s="120" t="str">
        <f>IF(OR(D3164&lt;Capa!$A$5,D3164&gt;Capa!$A$7,E3164&lt;Capa!$A$5,E3164&gt;Capa!$A$7,D3164&gt;E3164),"Erro","")</f>
        <v/>
      </c>
    </row>
    <row r="3165" spans="1:9" ht="45">
      <c r="A3165" s="345">
        <v>3162</v>
      </c>
      <c r="B3165" s="346" t="s">
        <v>278</v>
      </c>
      <c r="C3165" s="347">
        <v>46969</v>
      </c>
      <c r="D3165" s="348">
        <v>46753</v>
      </c>
      <c r="E3165" s="348">
        <v>47058</v>
      </c>
      <c r="F3165" s="346" t="s">
        <v>646</v>
      </c>
      <c r="G3165" s="350" t="s">
        <v>450</v>
      </c>
      <c r="H3165" s="351">
        <f t="shared" si="54"/>
        <v>516659</v>
      </c>
      <c r="I3165" s="120" t="str">
        <f>IF(OR(D3165&lt;Capa!$A$5,D3165&gt;Capa!$A$7,E3165&lt;Capa!$A$5,E3165&gt;Capa!$A$7,D3165&gt;E3165),"Erro","")</f>
        <v/>
      </c>
    </row>
    <row r="3166" spans="1:9" ht="56.25">
      <c r="A3166" s="345">
        <v>3163</v>
      </c>
      <c r="B3166" s="346" t="s">
        <v>280</v>
      </c>
      <c r="C3166" s="347">
        <v>100</v>
      </c>
      <c r="D3166" s="348">
        <v>45292</v>
      </c>
      <c r="E3166" s="348">
        <v>45627</v>
      </c>
      <c r="F3166" s="346" t="s">
        <v>646</v>
      </c>
      <c r="G3166" s="350" t="s">
        <v>451</v>
      </c>
      <c r="H3166" s="351">
        <f t="shared" si="54"/>
        <v>1200</v>
      </c>
      <c r="I3166" s="120" t="str">
        <f>IF(OR(D3166&lt;Capa!$A$5,D3166&gt;Capa!$A$7,E3166&lt;Capa!$A$5,E3166&gt;Capa!$A$7,D3166&gt;E3166),"Erro","")</f>
        <v/>
      </c>
    </row>
    <row r="3167" spans="1:9" ht="56.25">
      <c r="A3167" s="345">
        <v>3164</v>
      </c>
      <c r="B3167" s="346" t="s">
        <v>280</v>
      </c>
      <c r="C3167" s="347">
        <v>100</v>
      </c>
      <c r="D3167" s="348">
        <v>45658</v>
      </c>
      <c r="E3167" s="348">
        <v>45992</v>
      </c>
      <c r="F3167" s="346" t="s">
        <v>646</v>
      </c>
      <c r="G3167" s="350" t="s">
        <v>451</v>
      </c>
      <c r="H3167" s="351">
        <f t="shared" si="54"/>
        <v>1200</v>
      </c>
      <c r="I3167" s="120" t="str">
        <f>IF(OR(D3167&lt;Capa!$A$5,D3167&gt;Capa!$A$7,E3167&lt;Capa!$A$5,E3167&gt;Capa!$A$7,D3167&gt;E3167),"Erro","")</f>
        <v/>
      </c>
    </row>
    <row r="3168" spans="1:9" ht="56.25">
      <c r="A3168" s="345">
        <v>3165</v>
      </c>
      <c r="B3168" s="346" t="s">
        <v>280</v>
      </c>
      <c r="C3168" s="347">
        <v>100</v>
      </c>
      <c r="D3168" s="348">
        <v>46023</v>
      </c>
      <c r="E3168" s="348">
        <v>46357</v>
      </c>
      <c r="F3168" s="346" t="s">
        <v>646</v>
      </c>
      <c r="G3168" s="350" t="s">
        <v>451</v>
      </c>
      <c r="H3168" s="351">
        <f t="shared" si="54"/>
        <v>1200</v>
      </c>
      <c r="I3168" s="120" t="str">
        <f>IF(OR(D3168&lt;Capa!$A$5,D3168&gt;Capa!$A$7,E3168&lt;Capa!$A$5,E3168&gt;Capa!$A$7,D3168&gt;E3168),"Erro","")</f>
        <v/>
      </c>
    </row>
    <row r="3169" spans="1:9" ht="56.25">
      <c r="A3169" s="345">
        <v>3166</v>
      </c>
      <c r="B3169" s="346" t="s">
        <v>280</v>
      </c>
      <c r="C3169" s="347">
        <v>100</v>
      </c>
      <c r="D3169" s="348">
        <v>46388</v>
      </c>
      <c r="E3169" s="348">
        <v>46722</v>
      </c>
      <c r="F3169" s="346" t="s">
        <v>646</v>
      </c>
      <c r="G3169" s="350" t="s">
        <v>451</v>
      </c>
      <c r="H3169" s="351">
        <f t="shared" si="54"/>
        <v>1200</v>
      </c>
      <c r="I3169" s="120" t="str">
        <f>IF(OR(D3169&lt;Capa!$A$5,D3169&gt;Capa!$A$7,E3169&lt;Capa!$A$5,E3169&gt;Capa!$A$7,D3169&gt;E3169),"Erro","")</f>
        <v/>
      </c>
    </row>
    <row r="3170" spans="1:9" ht="56.25">
      <c r="A3170" s="345">
        <v>3167</v>
      </c>
      <c r="B3170" s="346" t="s">
        <v>280</v>
      </c>
      <c r="C3170" s="347">
        <v>100</v>
      </c>
      <c r="D3170" s="348">
        <v>46388</v>
      </c>
      <c r="E3170" s="348">
        <v>47058</v>
      </c>
      <c r="F3170" s="346" t="s">
        <v>646</v>
      </c>
      <c r="G3170" s="350" t="s">
        <v>451</v>
      </c>
      <c r="H3170" s="351">
        <f t="shared" si="54"/>
        <v>2300</v>
      </c>
      <c r="I3170" s="120" t="str">
        <f>IF(OR(D3170&lt;Capa!$A$5,D3170&gt;Capa!$A$7,E3170&lt;Capa!$A$5,E3170&gt;Capa!$A$7,D3170&gt;E3170),"Erro","")</f>
        <v/>
      </c>
    </row>
    <row r="3171" spans="1:9" ht="45">
      <c r="A3171" s="345">
        <v>3168</v>
      </c>
      <c r="B3171" s="346" t="s">
        <v>282</v>
      </c>
      <c r="C3171" s="347">
        <v>702.18</v>
      </c>
      <c r="D3171" s="348">
        <v>45261</v>
      </c>
      <c r="E3171" s="348">
        <v>45627</v>
      </c>
      <c r="F3171" s="346" t="s">
        <v>646</v>
      </c>
      <c r="G3171" s="350" t="s">
        <v>452</v>
      </c>
      <c r="H3171" s="351">
        <f t="shared" si="54"/>
        <v>9128.34</v>
      </c>
      <c r="I3171" s="120" t="str">
        <f>IF(OR(D3171&lt;Capa!$A$5,D3171&gt;Capa!$A$7,E3171&lt;Capa!$A$5,E3171&gt;Capa!$A$7,D3171&gt;E3171),"Erro","")</f>
        <v/>
      </c>
    </row>
    <row r="3172" spans="1:9" ht="45">
      <c r="A3172" s="345">
        <v>3169</v>
      </c>
      <c r="B3172" s="346" t="s">
        <v>282</v>
      </c>
      <c r="C3172" s="347">
        <v>743.18</v>
      </c>
      <c r="D3172" s="348">
        <v>45658</v>
      </c>
      <c r="E3172" s="348">
        <v>45992</v>
      </c>
      <c r="F3172" s="346" t="s">
        <v>646</v>
      </c>
      <c r="G3172" s="350" t="s">
        <v>452</v>
      </c>
      <c r="H3172" s="351">
        <f t="shared" si="54"/>
        <v>8918.16</v>
      </c>
      <c r="I3172" s="120" t="str">
        <f>IF(OR(D3172&lt;Capa!$A$5,D3172&gt;Capa!$A$7,E3172&lt;Capa!$A$5,E3172&gt;Capa!$A$7,D3172&gt;E3172),"Erro","")</f>
        <v/>
      </c>
    </row>
    <row r="3173" spans="1:9" ht="45">
      <c r="A3173" s="345">
        <v>3170</v>
      </c>
      <c r="B3173" s="346" t="s">
        <v>282</v>
      </c>
      <c r="C3173" s="347">
        <v>786.59</v>
      </c>
      <c r="D3173" s="348">
        <v>46023</v>
      </c>
      <c r="E3173" s="348">
        <v>46357</v>
      </c>
      <c r="F3173" s="346" t="s">
        <v>646</v>
      </c>
      <c r="G3173" s="350" t="s">
        <v>452</v>
      </c>
      <c r="H3173" s="351">
        <f t="shared" si="54"/>
        <v>9439.08</v>
      </c>
      <c r="I3173" s="120" t="str">
        <f>IF(OR(D3173&lt;Capa!$A$5,D3173&gt;Capa!$A$7,E3173&lt;Capa!$A$5,E3173&gt;Capa!$A$7,D3173&gt;E3173),"Erro","")</f>
        <v/>
      </c>
    </row>
    <row r="3174" spans="1:9" ht="45">
      <c r="A3174" s="345">
        <v>3171</v>
      </c>
      <c r="B3174" s="346" t="s">
        <v>282</v>
      </c>
      <c r="C3174" s="347">
        <v>832.52</v>
      </c>
      <c r="D3174" s="348">
        <v>46388</v>
      </c>
      <c r="E3174" s="348">
        <v>46722</v>
      </c>
      <c r="F3174" s="346" t="s">
        <v>646</v>
      </c>
      <c r="G3174" s="350" t="s">
        <v>452</v>
      </c>
      <c r="H3174" s="351">
        <f t="shared" si="54"/>
        <v>9990.24</v>
      </c>
      <c r="I3174" s="120" t="str">
        <f>IF(OR(D3174&lt;Capa!$A$5,D3174&gt;Capa!$A$7,E3174&lt;Capa!$A$5,E3174&gt;Capa!$A$7,D3174&gt;E3174),"Erro","")</f>
        <v/>
      </c>
    </row>
    <row r="3175" spans="1:9" ht="45">
      <c r="A3175" s="345">
        <v>3172</v>
      </c>
      <c r="B3175" s="346" t="s">
        <v>282</v>
      </c>
      <c r="C3175" s="347">
        <v>881.14</v>
      </c>
      <c r="D3175" s="348">
        <v>46388</v>
      </c>
      <c r="E3175" s="348">
        <v>47058</v>
      </c>
      <c r="F3175" s="346" t="s">
        <v>646</v>
      </c>
      <c r="G3175" s="350" t="s">
        <v>452</v>
      </c>
      <c r="H3175" s="351">
        <f t="shared" si="54"/>
        <v>20266.22</v>
      </c>
      <c r="I3175" s="120" t="str">
        <f>IF(OR(D3175&lt;Capa!$A$5,D3175&gt;Capa!$A$7,E3175&lt;Capa!$A$5,E3175&gt;Capa!$A$7,D3175&gt;E3175),"Erro","")</f>
        <v/>
      </c>
    </row>
    <row r="3176" spans="1:9" ht="45">
      <c r="A3176" s="345">
        <v>3173</v>
      </c>
      <c r="B3176" s="346" t="s">
        <v>284</v>
      </c>
      <c r="C3176" s="347">
        <v>1013.31</v>
      </c>
      <c r="D3176" s="348">
        <v>45261</v>
      </c>
      <c r="E3176" s="348">
        <v>45627</v>
      </c>
      <c r="F3176" s="346" t="s">
        <v>646</v>
      </c>
      <c r="G3176" s="350" t="s">
        <v>452</v>
      </c>
      <c r="H3176" s="351">
        <f t="shared" si="54"/>
        <v>13173.029999999999</v>
      </c>
      <c r="I3176" s="120" t="str">
        <f>IF(OR(D3176&lt;Capa!$A$5,D3176&gt;Capa!$A$7,E3176&lt;Capa!$A$5,E3176&gt;Capa!$A$7,D3176&gt;E3176),"Erro","")</f>
        <v/>
      </c>
    </row>
    <row r="3177" spans="1:9" ht="45">
      <c r="A3177" s="345">
        <v>3174</v>
      </c>
      <c r="B3177" s="346" t="s">
        <v>284</v>
      </c>
      <c r="C3177" s="347">
        <v>1072.49</v>
      </c>
      <c r="D3177" s="348">
        <v>45658</v>
      </c>
      <c r="E3177" s="348">
        <v>45992</v>
      </c>
      <c r="F3177" s="346" t="s">
        <v>646</v>
      </c>
      <c r="G3177" s="350" t="s">
        <v>452</v>
      </c>
      <c r="H3177" s="351">
        <f t="shared" si="54"/>
        <v>12869.880000000001</v>
      </c>
      <c r="I3177" s="120" t="str">
        <f>IF(OR(D3177&lt;Capa!$A$5,D3177&gt;Capa!$A$7,E3177&lt;Capa!$A$5,E3177&gt;Capa!$A$7,D3177&gt;E3177),"Erro","")</f>
        <v/>
      </c>
    </row>
    <row r="3178" spans="1:9" ht="45">
      <c r="A3178" s="345">
        <v>3175</v>
      </c>
      <c r="B3178" s="346" t="s">
        <v>284</v>
      </c>
      <c r="C3178" s="347">
        <v>1135.1199999999999</v>
      </c>
      <c r="D3178" s="348">
        <v>46023</v>
      </c>
      <c r="E3178" s="348">
        <v>46357</v>
      </c>
      <c r="F3178" s="346" t="s">
        <v>646</v>
      </c>
      <c r="G3178" s="350" t="s">
        <v>452</v>
      </c>
      <c r="H3178" s="351">
        <f t="shared" si="54"/>
        <v>13621.439999999999</v>
      </c>
      <c r="I3178" s="120" t="str">
        <f>IF(OR(D3178&lt;Capa!$A$5,D3178&gt;Capa!$A$7,E3178&lt;Capa!$A$5,E3178&gt;Capa!$A$7,D3178&gt;E3178),"Erro","")</f>
        <v/>
      </c>
    </row>
    <row r="3179" spans="1:9" ht="45">
      <c r="A3179" s="345">
        <v>3176</v>
      </c>
      <c r="B3179" s="346" t="s">
        <v>284</v>
      </c>
      <c r="C3179" s="347">
        <v>1201.42</v>
      </c>
      <c r="D3179" s="348">
        <v>46388</v>
      </c>
      <c r="E3179" s="348">
        <v>46722</v>
      </c>
      <c r="F3179" s="346" t="s">
        <v>646</v>
      </c>
      <c r="G3179" s="350" t="s">
        <v>452</v>
      </c>
      <c r="H3179" s="351">
        <f t="shared" si="54"/>
        <v>14417.04</v>
      </c>
      <c r="I3179" s="120" t="str">
        <f>IF(OR(D3179&lt;Capa!$A$5,D3179&gt;Capa!$A$7,E3179&lt;Capa!$A$5,E3179&gt;Capa!$A$7,D3179&gt;E3179),"Erro","")</f>
        <v/>
      </c>
    </row>
    <row r="3180" spans="1:9" ht="45">
      <c r="A3180" s="345">
        <v>3177</v>
      </c>
      <c r="B3180" s="346" t="s">
        <v>284</v>
      </c>
      <c r="C3180" s="347">
        <v>1271.58</v>
      </c>
      <c r="D3180" s="348">
        <v>46388</v>
      </c>
      <c r="E3180" s="348">
        <v>47058</v>
      </c>
      <c r="F3180" s="346" t="s">
        <v>646</v>
      </c>
      <c r="G3180" s="350" t="s">
        <v>452</v>
      </c>
      <c r="H3180" s="351">
        <f t="shared" si="54"/>
        <v>29246.339999999997</v>
      </c>
      <c r="I3180" s="120" t="str">
        <f>IF(OR(D3180&lt;Capa!$A$5,D3180&gt;Capa!$A$7,E3180&lt;Capa!$A$5,E3180&gt;Capa!$A$7,D3180&gt;E3180),"Erro","")</f>
        <v/>
      </c>
    </row>
    <row r="3181" spans="1:9" ht="45">
      <c r="A3181" s="345">
        <v>3178</v>
      </c>
      <c r="B3181" s="346" t="s">
        <v>286</v>
      </c>
      <c r="C3181" s="347">
        <v>1013.31</v>
      </c>
      <c r="D3181" s="348">
        <v>45261</v>
      </c>
      <c r="E3181" s="348">
        <v>45627</v>
      </c>
      <c r="F3181" s="346" t="s">
        <v>646</v>
      </c>
      <c r="G3181" s="350" t="s">
        <v>452</v>
      </c>
      <c r="H3181" s="351">
        <f t="shared" si="54"/>
        <v>13173.029999999999</v>
      </c>
      <c r="I3181" s="120" t="str">
        <f>IF(OR(D3181&lt;Capa!$A$5,D3181&gt;Capa!$A$7,E3181&lt;Capa!$A$5,E3181&gt;Capa!$A$7,D3181&gt;E3181),"Erro","")</f>
        <v/>
      </c>
    </row>
    <row r="3182" spans="1:9" ht="45">
      <c r="A3182" s="345">
        <v>3179</v>
      </c>
      <c r="B3182" s="346" t="s">
        <v>286</v>
      </c>
      <c r="C3182" s="347">
        <v>1072.49</v>
      </c>
      <c r="D3182" s="348">
        <v>45658</v>
      </c>
      <c r="E3182" s="348">
        <v>45992</v>
      </c>
      <c r="F3182" s="346" t="s">
        <v>646</v>
      </c>
      <c r="G3182" s="350" t="s">
        <v>452</v>
      </c>
      <c r="H3182" s="351">
        <f t="shared" si="54"/>
        <v>12869.880000000001</v>
      </c>
      <c r="I3182" s="120" t="str">
        <f>IF(OR(D3182&lt;Capa!$A$5,D3182&gt;Capa!$A$7,E3182&lt;Capa!$A$5,E3182&gt;Capa!$A$7,D3182&gt;E3182),"Erro","")</f>
        <v/>
      </c>
    </row>
    <row r="3183" spans="1:9" ht="45">
      <c r="A3183" s="345">
        <v>3180</v>
      </c>
      <c r="B3183" s="346" t="s">
        <v>286</v>
      </c>
      <c r="C3183" s="347">
        <v>1135.1199999999999</v>
      </c>
      <c r="D3183" s="348">
        <v>46023</v>
      </c>
      <c r="E3183" s="348">
        <v>46357</v>
      </c>
      <c r="F3183" s="346" t="s">
        <v>646</v>
      </c>
      <c r="G3183" s="350" t="s">
        <v>452</v>
      </c>
      <c r="H3183" s="351">
        <f t="shared" si="54"/>
        <v>13621.439999999999</v>
      </c>
      <c r="I3183" s="120" t="str">
        <f>IF(OR(D3183&lt;Capa!$A$5,D3183&gt;Capa!$A$7,E3183&lt;Capa!$A$5,E3183&gt;Capa!$A$7,D3183&gt;E3183),"Erro","")</f>
        <v/>
      </c>
    </row>
    <row r="3184" spans="1:9" ht="45">
      <c r="A3184" s="345">
        <v>3181</v>
      </c>
      <c r="B3184" s="346" t="s">
        <v>286</v>
      </c>
      <c r="C3184" s="347">
        <v>1201.4100000000001</v>
      </c>
      <c r="D3184" s="348">
        <v>46388</v>
      </c>
      <c r="E3184" s="348">
        <v>46722</v>
      </c>
      <c r="F3184" s="346" t="s">
        <v>646</v>
      </c>
      <c r="G3184" s="350" t="s">
        <v>452</v>
      </c>
      <c r="H3184" s="351">
        <f t="shared" si="54"/>
        <v>14416.920000000002</v>
      </c>
      <c r="I3184" s="120" t="str">
        <f>IF(OR(D3184&lt;Capa!$A$5,D3184&gt;Capa!$A$7,E3184&lt;Capa!$A$5,E3184&gt;Capa!$A$7,D3184&gt;E3184),"Erro","")</f>
        <v/>
      </c>
    </row>
    <row r="3185" spans="1:9" ht="45">
      <c r="A3185" s="345">
        <v>3182</v>
      </c>
      <c r="B3185" s="346" t="s">
        <v>286</v>
      </c>
      <c r="C3185" s="347">
        <v>1271.57</v>
      </c>
      <c r="D3185" s="348">
        <v>46388</v>
      </c>
      <c r="E3185" s="348">
        <v>47058</v>
      </c>
      <c r="F3185" s="346" t="s">
        <v>646</v>
      </c>
      <c r="G3185" s="350" t="s">
        <v>452</v>
      </c>
      <c r="H3185" s="351">
        <f t="shared" si="54"/>
        <v>29246.109999999997</v>
      </c>
      <c r="I3185" s="120" t="str">
        <f>IF(OR(D3185&lt;Capa!$A$5,D3185&gt;Capa!$A$7,E3185&lt;Capa!$A$5,E3185&gt;Capa!$A$7,D3185&gt;E3185),"Erro","")</f>
        <v/>
      </c>
    </row>
    <row r="3186" spans="1:9" ht="45">
      <c r="A3186" s="345">
        <v>3183</v>
      </c>
      <c r="B3186" s="346" t="s">
        <v>288</v>
      </c>
      <c r="C3186" s="347">
        <v>200</v>
      </c>
      <c r="D3186" s="348">
        <v>45261</v>
      </c>
      <c r="E3186" s="348">
        <v>45627</v>
      </c>
      <c r="F3186" s="346" t="s">
        <v>646</v>
      </c>
      <c r="G3186" s="350" t="s">
        <v>453</v>
      </c>
      <c r="H3186" s="351">
        <f t="shared" si="54"/>
        <v>2600</v>
      </c>
      <c r="I3186" s="120" t="str">
        <f>IF(OR(D3186&lt;Capa!$A$5,D3186&gt;Capa!$A$7,E3186&lt;Capa!$A$5,E3186&gt;Capa!$A$7,D3186&gt;E3186),"Erro","")</f>
        <v/>
      </c>
    </row>
    <row r="3187" spans="1:9" ht="45">
      <c r="A3187" s="345">
        <v>3184</v>
      </c>
      <c r="B3187" s="346" t="s">
        <v>288</v>
      </c>
      <c r="C3187" s="347">
        <v>200</v>
      </c>
      <c r="D3187" s="348">
        <v>45658</v>
      </c>
      <c r="E3187" s="348">
        <v>45992</v>
      </c>
      <c r="F3187" s="346" t="s">
        <v>646</v>
      </c>
      <c r="G3187" s="350" t="s">
        <v>453</v>
      </c>
      <c r="H3187" s="351">
        <f t="shared" si="54"/>
        <v>2400</v>
      </c>
      <c r="I3187" s="120" t="str">
        <f>IF(OR(D3187&lt;Capa!$A$5,D3187&gt;Capa!$A$7,E3187&lt;Capa!$A$5,E3187&gt;Capa!$A$7,D3187&gt;E3187),"Erro","")</f>
        <v/>
      </c>
    </row>
    <row r="3188" spans="1:9" ht="45">
      <c r="A3188" s="345">
        <v>3185</v>
      </c>
      <c r="B3188" s="346" t="s">
        <v>288</v>
      </c>
      <c r="C3188" s="347">
        <v>200</v>
      </c>
      <c r="D3188" s="348">
        <v>46023</v>
      </c>
      <c r="E3188" s="348">
        <v>46357</v>
      </c>
      <c r="F3188" s="346" t="s">
        <v>646</v>
      </c>
      <c r="G3188" s="350" t="s">
        <v>453</v>
      </c>
      <c r="H3188" s="351">
        <f t="shared" si="54"/>
        <v>2400</v>
      </c>
      <c r="I3188" s="120" t="str">
        <f>IF(OR(D3188&lt;Capa!$A$5,D3188&gt;Capa!$A$7,E3188&lt;Capa!$A$5,E3188&gt;Capa!$A$7,D3188&gt;E3188),"Erro","")</f>
        <v/>
      </c>
    </row>
    <row r="3189" spans="1:9" ht="45">
      <c r="A3189" s="345">
        <v>3186</v>
      </c>
      <c r="B3189" s="346" t="s">
        <v>288</v>
      </c>
      <c r="C3189" s="347">
        <v>200</v>
      </c>
      <c r="D3189" s="348">
        <v>46388</v>
      </c>
      <c r="E3189" s="348">
        <v>46722</v>
      </c>
      <c r="F3189" s="346" t="s">
        <v>646</v>
      </c>
      <c r="G3189" s="350" t="s">
        <v>453</v>
      </c>
      <c r="H3189" s="351">
        <f t="shared" si="54"/>
        <v>2400</v>
      </c>
      <c r="I3189" s="120" t="str">
        <f>IF(OR(D3189&lt;Capa!$A$5,D3189&gt;Capa!$A$7,E3189&lt;Capa!$A$5,E3189&gt;Capa!$A$7,D3189&gt;E3189),"Erro","")</f>
        <v/>
      </c>
    </row>
    <row r="3190" spans="1:9" ht="45">
      <c r="A3190" s="345">
        <v>3187</v>
      </c>
      <c r="B3190" s="346" t="s">
        <v>288</v>
      </c>
      <c r="C3190" s="347">
        <v>200</v>
      </c>
      <c r="D3190" s="348">
        <v>46388</v>
      </c>
      <c r="E3190" s="348">
        <v>47058</v>
      </c>
      <c r="F3190" s="346" t="s">
        <v>646</v>
      </c>
      <c r="G3190" s="350" t="s">
        <v>453</v>
      </c>
      <c r="H3190" s="351">
        <f t="shared" si="54"/>
        <v>4600</v>
      </c>
      <c r="I3190" s="120" t="str">
        <f>IF(OR(D3190&lt;Capa!$A$5,D3190&gt;Capa!$A$7,E3190&lt;Capa!$A$5,E3190&gt;Capa!$A$7,D3190&gt;E3190),"Erro","")</f>
        <v/>
      </c>
    </row>
    <row r="3191" spans="1:9" ht="33.75">
      <c r="A3191" s="345">
        <v>3188</v>
      </c>
      <c r="B3191" s="346" t="s">
        <v>294</v>
      </c>
      <c r="C3191" s="347">
        <v>7000</v>
      </c>
      <c r="D3191" s="348">
        <v>45261</v>
      </c>
      <c r="E3191" s="348">
        <v>45627</v>
      </c>
      <c r="F3191" s="346" t="s">
        <v>646</v>
      </c>
      <c r="G3191" s="350" t="s">
        <v>454</v>
      </c>
      <c r="H3191" s="351">
        <f t="shared" si="54"/>
        <v>91000</v>
      </c>
      <c r="I3191" s="120" t="str">
        <f>IF(OR(D3191&lt;Capa!$A$5,D3191&gt;Capa!$A$7,E3191&lt;Capa!$A$5,E3191&gt;Capa!$A$7,D3191&gt;E3191),"Erro","")</f>
        <v/>
      </c>
    </row>
    <row r="3192" spans="1:9" ht="33.75">
      <c r="A3192" s="345">
        <v>3189</v>
      </c>
      <c r="B3192" s="346" t="s">
        <v>294</v>
      </c>
      <c r="C3192" s="347">
        <v>7408.8</v>
      </c>
      <c r="D3192" s="348">
        <v>45658</v>
      </c>
      <c r="E3192" s="348">
        <v>45992</v>
      </c>
      <c r="F3192" s="346" t="s">
        <v>646</v>
      </c>
      <c r="G3192" s="350" t="s">
        <v>454</v>
      </c>
      <c r="H3192" s="351">
        <f t="shared" si="54"/>
        <v>88905.600000000006</v>
      </c>
      <c r="I3192" s="120" t="str">
        <f>IF(OR(D3192&lt;Capa!$A$5,D3192&gt;Capa!$A$7,E3192&lt;Capa!$A$5,E3192&gt;Capa!$A$7,D3192&gt;E3192),"Erro","")</f>
        <v/>
      </c>
    </row>
    <row r="3193" spans="1:9" ht="33.75">
      <c r="A3193" s="345">
        <v>3190</v>
      </c>
      <c r="B3193" s="346" t="s">
        <v>294</v>
      </c>
      <c r="C3193" s="347">
        <v>7847.65</v>
      </c>
      <c r="D3193" s="348">
        <v>46023</v>
      </c>
      <c r="E3193" s="348">
        <v>46357</v>
      </c>
      <c r="F3193" s="346" t="s">
        <v>646</v>
      </c>
      <c r="G3193" s="350" t="s">
        <v>454</v>
      </c>
      <c r="H3193" s="351">
        <f t="shared" si="54"/>
        <v>94171.799999999988</v>
      </c>
      <c r="I3193" s="120" t="str">
        <f>IF(OR(D3193&lt;Capa!$A$5,D3193&gt;Capa!$A$7,E3193&lt;Capa!$A$5,E3193&gt;Capa!$A$7,D3193&gt;E3193),"Erro","")</f>
        <v/>
      </c>
    </row>
    <row r="3194" spans="1:9" ht="33.75">
      <c r="A3194" s="345">
        <v>3191</v>
      </c>
      <c r="B3194" s="346" t="s">
        <v>294</v>
      </c>
      <c r="C3194" s="347">
        <v>8305.9500000000007</v>
      </c>
      <c r="D3194" s="348">
        <v>46388</v>
      </c>
      <c r="E3194" s="348">
        <v>46722</v>
      </c>
      <c r="F3194" s="346" t="s">
        <v>646</v>
      </c>
      <c r="G3194" s="350" t="s">
        <v>454</v>
      </c>
      <c r="H3194" s="351">
        <f t="shared" si="54"/>
        <v>99671.400000000009</v>
      </c>
      <c r="I3194" s="120" t="str">
        <f>IF(OR(D3194&lt;Capa!$A$5,D3194&gt;Capa!$A$7,E3194&lt;Capa!$A$5,E3194&gt;Capa!$A$7,D3194&gt;E3194),"Erro","")</f>
        <v/>
      </c>
    </row>
    <row r="3195" spans="1:9" ht="33.75">
      <c r="A3195" s="345">
        <v>3192</v>
      </c>
      <c r="B3195" s="346" t="s">
        <v>294</v>
      </c>
      <c r="C3195" s="347">
        <v>8791.02</v>
      </c>
      <c r="D3195" s="348">
        <v>46388</v>
      </c>
      <c r="E3195" s="348">
        <v>47058</v>
      </c>
      <c r="F3195" s="346" t="s">
        <v>646</v>
      </c>
      <c r="G3195" s="350" t="s">
        <v>454</v>
      </c>
      <c r="H3195" s="351">
        <f t="shared" si="54"/>
        <v>202193.46000000002</v>
      </c>
      <c r="I3195" s="120" t="str">
        <f>IF(OR(D3195&lt;Capa!$A$5,D3195&gt;Capa!$A$7,E3195&lt;Capa!$A$5,E3195&gt;Capa!$A$7,D3195&gt;E3195),"Erro","")</f>
        <v/>
      </c>
    </row>
    <row r="3196" spans="1:9" ht="22.5">
      <c r="A3196" s="345">
        <v>3193</v>
      </c>
      <c r="B3196" s="346" t="s">
        <v>302</v>
      </c>
      <c r="C3196" s="347">
        <v>500</v>
      </c>
      <c r="D3196" s="348">
        <v>45261</v>
      </c>
      <c r="E3196" s="348">
        <v>45627</v>
      </c>
      <c r="F3196" s="346" t="s">
        <v>646</v>
      </c>
      <c r="G3196" s="350" t="s">
        <v>611</v>
      </c>
      <c r="H3196" s="351">
        <f t="shared" si="54"/>
        <v>6500</v>
      </c>
      <c r="I3196" s="120" t="str">
        <f>IF(OR(D3196&lt;Capa!$A$5,D3196&gt;Capa!$A$7,E3196&lt;Capa!$A$5,E3196&gt;Capa!$A$7,D3196&gt;E3196),"Erro","")</f>
        <v/>
      </c>
    </row>
    <row r="3197" spans="1:9" ht="22.5">
      <c r="A3197" s="345">
        <v>3194</v>
      </c>
      <c r="B3197" s="346" t="s">
        <v>302</v>
      </c>
      <c r="C3197" s="347">
        <v>210</v>
      </c>
      <c r="D3197" s="348">
        <v>45658</v>
      </c>
      <c r="E3197" s="348">
        <v>45992</v>
      </c>
      <c r="F3197" s="346" t="s">
        <v>646</v>
      </c>
      <c r="G3197" s="350" t="s">
        <v>455</v>
      </c>
      <c r="H3197" s="351">
        <f t="shared" si="54"/>
        <v>2520</v>
      </c>
      <c r="I3197" s="120" t="str">
        <f>IF(OR(D3197&lt;Capa!$A$5,D3197&gt;Capa!$A$7,E3197&lt;Capa!$A$5,E3197&gt;Capa!$A$7,D3197&gt;E3197),"Erro","")</f>
        <v/>
      </c>
    </row>
    <row r="3198" spans="1:9" ht="22.5">
      <c r="A3198" s="345">
        <v>3195</v>
      </c>
      <c r="B3198" s="346" t="s">
        <v>302</v>
      </c>
      <c r="C3198" s="347">
        <v>210</v>
      </c>
      <c r="D3198" s="348">
        <v>46023</v>
      </c>
      <c r="E3198" s="348">
        <v>46357</v>
      </c>
      <c r="F3198" s="346" t="s">
        <v>646</v>
      </c>
      <c r="G3198" s="350" t="s">
        <v>455</v>
      </c>
      <c r="H3198" s="351">
        <f t="shared" si="54"/>
        <v>2520</v>
      </c>
      <c r="I3198" s="120" t="str">
        <f>IF(OR(D3198&lt;Capa!$A$5,D3198&gt;Capa!$A$7,E3198&lt;Capa!$A$5,E3198&gt;Capa!$A$7,D3198&gt;E3198),"Erro","")</f>
        <v/>
      </c>
    </row>
    <row r="3199" spans="1:9" ht="22.5">
      <c r="A3199" s="345">
        <v>3196</v>
      </c>
      <c r="B3199" s="346" t="s">
        <v>302</v>
      </c>
      <c r="C3199" s="347">
        <v>210</v>
      </c>
      <c r="D3199" s="348">
        <v>46388</v>
      </c>
      <c r="E3199" s="348">
        <v>46722</v>
      </c>
      <c r="F3199" s="346" t="s">
        <v>646</v>
      </c>
      <c r="G3199" s="350" t="s">
        <v>455</v>
      </c>
      <c r="H3199" s="351">
        <f t="shared" si="54"/>
        <v>2520</v>
      </c>
      <c r="I3199" s="120" t="str">
        <f>IF(OR(D3199&lt;Capa!$A$5,D3199&gt;Capa!$A$7,E3199&lt;Capa!$A$5,E3199&gt;Capa!$A$7,D3199&gt;E3199),"Erro","")</f>
        <v/>
      </c>
    </row>
    <row r="3200" spans="1:9" ht="22.5">
      <c r="A3200" s="345">
        <v>3197</v>
      </c>
      <c r="B3200" s="346" t="s">
        <v>302</v>
      </c>
      <c r="C3200" s="347">
        <v>210</v>
      </c>
      <c r="D3200" s="348">
        <v>46388</v>
      </c>
      <c r="E3200" s="348">
        <v>47058</v>
      </c>
      <c r="F3200" s="346" t="s">
        <v>646</v>
      </c>
      <c r="G3200" s="350" t="s">
        <v>455</v>
      </c>
      <c r="H3200" s="351">
        <f t="shared" ref="H3200:H3273" si="55">IFERROR((DATEDIF(D3200,E3200,"M")+1)*C3200,0)</f>
        <v>4830</v>
      </c>
      <c r="I3200" s="120" t="str">
        <f>IF(OR(D3200&lt;Capa!$A$5,D3200&gt;Capa!$A$7,E3200&lt;Capa!$A$5,E3200&gt;Capa!$A$7,D3200&gt;E3200),"Erro","")</f>
        <v/>
      </c>
    </row>
    <row r="3201" spans="1:9" ht="33.75">
      <c r="A3201" s="345">
        <v>3198</v>
      </c>
      <c r="B3201" s="346" t="s">
        <v>304</v>
      </c>
      <c r="C3201" s="347">
        <v>1800</v>
      </c>
      <c r="D3201" s="348">
        <v>45261</v>
      </c>
      <c r="E3201" s="348">
        <v>45627</v>
      </c>
      <c r="F3201" s="346" t="s">
        <v>646</v>
      </c>
      <c r="G3201" s="350" t="s">
        <v>456</v>
      </c>
      <c r="H3201" s="351">
        <f t="shared" si="55"/>
        <v>23400</v>
      </c>
      <c r="I3201" s="120" t="str">
        <f>IF(OR(D3201&lt;Capa!$A$5,D3201&gt;Capa!$A$7,E3201&lt;Capa!$A$5,E3201&gt;Capa!$A$7,D3201&gt;E3201),"Erro","")</f>
        <v/>
      </c>
    </row>
    <row r="3202" spans="1:9" ht="33.75">
      <c r="A3202" s="345">
        <v>3199</v>
      </c>
      <c r="B3202" s="346" t="s">
        <v>304</v>
      </c>
      <c r="C3202" s="347">
        <v>1905.12</v>
      </c>
      <c r="D3202" s="348">
        <v>45658</v>
      </c>
      <c r="E3202" s="348">
        <v>45992</v>
      </c>
      <c r="F3202" s="346" t="s">
        <v>646</v>
      </c>
      <c r="G3202" s="350" t="s">
        <v>456</v>
      </c>
      <c r="H3202" s="351">
        <f t="shared" si="55"/>
        <v>22861.439999999999</v>
      </c>
      <c r="I3202" s="120" t="str">
        <f>IF(OR(D3202&lt;Capa!$A$5,D3202&gt;Capa!$A$7,E3202&lt;Capa!$A$5,E3202&gt;Capa!$A$7,D3202&gt;E3202),"Erro","")</f>
        <v/>
      </c>
    </row>
    <row r="3203" spans="1:9" ht="33.75">
      <c r="A3203" s="345">
        <v>3200</v>
      </c>
      <c r="B3203" s="346" t="s">
        <v>304</v>
      </c>
      <c r="C3203" s="347">
        <v>2016.37</v>
      </c>
      <c r="D3203" s="348">
        <v>46023</v>
      </c>
      <c r="E3203" s="348">
        <v>46357</v>
      </c>
      <c r="F3203" s="346" t="s">
        <v>646</v>
      </c>
      <c r="G3203" s="350" t="s">
        <v>456</v>
      </c>
      <c r="H3203" s="351">
        <f t="shared" si="55"/>
        <v>24196.44</v>
      </c>
      <c r="I3203" s="120" t="str">
        <f>IF(OR(D3203&lt;Capa!$A$5,D3203&gt;Capa!$A$7,E3203&lt;Capa!$A$5,E3203&gt;Capa!$A$7,D3203&gt;E3203),"Erro","")</f>
        <v/>
      </c>
    </row>
    <row r="3204" spans="1:9" ht="33.75">
      <c r="A3204" s="345">
        <v>3201</v>
      </c>
      <c r="B3204" s="346" t="s">
        <v>304</v>
      </c>
      <c r="C3204" s="347">
        <v>2134.13</v>
      </c>
      <c r="D3204" s="348">
        <v>46388</v>
      </c>
      <c r="E3204" s="348">
        <v>46722</v>
      </c>
      <c r="F3204" s="346" t="s">
        <v>646</v>
      </c>
      <c r="G3204" s="350" t="s">
        <v>456</v>
      </c>
      <c r="H3204" s="351">
        <f t="shared" si="55"/>
        <v>25609.56</v>
      </c>
      <c r="I3204" s="120" t="str">
        <f>IF(OR(D3204&lt;Capa!$A$5,D3204&gt;Capa!$A$7,E3204&lt;Capa!$A$5,E3204&gt;Capa!$A$7,D3204&gt;E3204),"Erro","")</f>
        <v/>
      </c>
    </row>
    <row r="3205" spans="1:9" ht="33.75">
      <c r="A3205" s="345">
        <v>3202</v>
      </c>
      <c r="B3205" s="346" t="s">
        <v>304</v>
      </c>
      <c r="C3205" s="347">
        <v>2258.7600000000002</v>
      </c>
      <c r="D3205" s="348">
        <v>46388</v>
      </c>
      <c r="E3205" s="348">
        <v>47058</v>
      </c>
      <c r="F3205" s="346" t="s">
        <v>646</v>
      </c>
      <c r="G3205" s="350" t="s">
        <v>456</v>
      </c>
      <c r="H3205" s="351">
        <f t="shared" si="55"/>
        <v>51951.48</v>
      </c>
      <c r="I3205" s="120" t="str">
        <f>IF(OR(D3205&lt;Capa!$A$5,D3205&gt;Capa!$A$7,E3205&lt;Capa!$A$5,E3205&gt;Capa!$A$7,D3205&gt;E3205),"Erro","")</f>
        <v/>
      </c>
    </row>
    <row r="3206" spans="1:9" ht="33.75">
      <c r="A3206" s="345">
        <v>3203</v>
      </c>
      <c r="B3206" s="346" t="s">
        <v>312</v>
      </c>
      <c r="C3206" s="347">
        <v>280</v>
      </c>
      <c r="D3206" s="348">
        <v>45658</v>
      </c>
      <c r="E3206" s="348">
        <v>45992</v>
      </c>
      <c r="F3206" s="346" t="s">
        <v>646</v>
      </c>
      <c r="G3206" s="350" t="s">
        <v>593</v>
      </c>
      <c r="H3206" s="351">
        <f t="shared" si="55"/>
        <v>3360</v>
      </c>
      <c r="I3206" s="120" t="str">
        <f>IF(OR(D3206&lt;Capa!$A$5,D3206&gt;Capa!$A$7,E3206&lt;Capa!$A$5,E3206&gt;Capa!$A$7,D3206&gt;E3206),"Erro","")</f>
        <v/>
      </c>
    </row>
    <row r="3207" spans="1:9" ht="33.75">
      <c r="A3207" s="345">
        <v>3204</v>
      </c>
      <c r="B3207" s="346" t="s">
        <v>312</v>
      </c>
      <c r="C3207" s="347">
        <v>280</v>
      </c>
      <c r="D3207" s="348">
        <v>46023</v>
      </c>
      <c r="E3207" s="348">
        <v>46357</v>
      </c>
      <c r="F3207" s="346" t="s">
        <v>646</v>
      </c>
      <c r="G3207" s="350" t="s">
        <v>593</v>
      </c>
      <c r="H3207" s="351">
        <f t="shared" si="55"/>
        <v>3360</v>
      </c>
      <c r="I3207" s="120" t="str">
        <f>IF(OR(D3207&lt;Capa!$A$5,D3207&gt;Capa!$A$7,E3207&lt;Capa!$A$5,E3207&gt;Capa!$A$7,D3207&gt;E3207),"Erro","")</f>
        <v/>
      </c>
    </row>
    <row r="3208" spans="1:9" ht="33.75">
      <c r="A3208" s="345">
        <v>3205</v>
      </c>
      <c r="B3208" s="346" t="s">
        <v>312</v>
      </c>
      <c r="C3208" s="347">
        <v>280</v>
      </c>
      <c r="D3208" s="348">
        <v>46388</v>
      </c>
      <c r="E3208" s="348">
        <v>46722</v>
      </c>
      <c r="F3208" s="346" t="s">
        <v>646</v>
      </c>
      <c r="G3208" s="350" t="s">
        <v>593</v>
      </c>
      <c r="H3208" s="351">
        <f t="shared" si="55"/>
        <v>3360</v>
      </c>
      <c r="I3208" s="120" t="str">
        <f>IF(OR(D3208&lt;Capa!$A$5,D3208&gt;Capa!$A$7,E3208&lt;Capa!$A$5,E3208&gt;Capa!$A$7,D3208&gt;E3208),"Erro","")</f>
        <v/>
      </c>
    </row>
    <row r="3209" spans="1:9" ht="33.75">
      <c r="A3209" s="345">
        <v>3206</v>
      </c>
      <c r="B3209" s="346" t="s">
        <v>312</v>
      </c>
      <c r="C3209" s="347">
        <v>280</v>
      </c>
      <c r="D3209" s="348">
        <v>46388</v>
      </c>
      <c r="E3209" s="348">
        <v>47058</v>
      </c>
      <c r="F3209" s="346" t="s">
        <v>646</v>
      </c>
      <c r="G3209" s="350" t="s">
        <v>593</v>
      </c>
      <c r="H3209" s="351">
        <f t="shared" si="55"/>
        <v>6440</v>
      </c>
      <c r="I3209" s="120" t="str">
        <f>IF(OR(D3209&lt;Capa!$A$5,D3209&gt;Capa!$A$7,E3209&lt;Capa!$A$5,E3209&gt;Capa!$A$7,D3209&gt;E3209),"Erro","")</f>
        <v/>
      </c>
    </row>
    <row r="3210" spans="1:9" ht="67.5">
      <c r="A3210" s="345">
        <v>3207</v>
      </c>
      <c r="B3210" s="346" t="s">
        <v>316</v>
      </c>
      <c r="C3210" s="347">
        <v>1000</v>
      </c>
      <c r="D3210" s="348">
        <v>45261</v>
      </c>
      <c r="E3210" s="348">
        <v>45627</v>
      </c>
      <c r="F3210" s="346" t="s">
        <v>646</v>
      </c>
      <c r="G3210" s="350" t="s">
        <v>457</v>
      </c>
      <c r="H3210" s="351">
        <f t="shared" si="55"/>
        <v>13000</v>
      </c>
      <c r="I3210" s="120" t="str">
        <f>IF(OR(D3210&lt;Capa!$A$5,D3210&gt;Capa!$A$7,E3210&lt;Capa!$A$5,E3210&gt;Capa!$A$7,D3210&gt;E3210),"Erro","")</f>
        <v/>
      </c>
    </row>
    <row r="3211" spans="1:9" ht="67.5">
      <c r="A3211" s="345">
        <v>3208</v>
      </c>
      <c r="B3211" s="346" t="s">
        <v>316</v>
      </c>
      <c r="C3211" s="347">
        <v>1000</v>
      </c>
      <c r="D3211" s="348">
        <v>45658</v>
      </c>
      <c r="E3211" s="348">
        <v>45992</v>
      </c>
      <c r="F3211" s="346" t="s">
        <v>646</v>
      </c>
      <c r="G3211" s="350" t="s">
        <v>457</v>
      </c>
      <c r="H3211" s="351">
        <f t="shared" si="55"/>
        <v>12000</v>
      </c>
      <c r="I3211" s="120" t="str">
        <f>IF(OR(D3211&lt;Capa!$A$5,D3211&gt;Capa!$A$7,E3211&lt;Capa!$A$5,E3211&gt;Capa!$A$7,D3211&gt;E3211),"Erro","")</f>
        <v/>
      </c>
    </row>
    <row r="3212" spans="1:9" ht="67.5">
      <c r="A3212" s="345">
        <v>3209</v>
      </c>
      <c r="B3212" s="346" t="s">
        <v>316</v>
      </c>
      <c r="C3212" s="347">
        <v>1000</v>
      </c>
      <c r="D3212" s="348">
        <v>46023</v>
      </c>
      <c r="E3212" s="348">
        <v>46357</v>
      </c>
      <c r="F3212" s="346" t="s">
        <v>646</v>
      </c>
      <c r="G3212" s="350" t="s">
        <v>457</v>
      </c>
      <c r="H3212" s="351">
        <f t="shared" si="55"/>
        <v>12000</v>
      </c>
      <c r="I3212" s="120" t="str">
        <f>IF(OR(D3212&lt;Capa!$A$5,D3212&gt;Capa!$A$7,E3212&lt;Capa!$A$5,E3212&gt;Capa!$A$7,D3212&gt;E3212),"Erro","")</f>
        <v/>
      </c>
    </row>
    <row r="3213" spans="1:9" ht="67.5">
      <c r="A3213" s="345">
        <v>3210</v>
      </c>
      <c r="B3213" s="346" t="s">
        <v>316</v>
      </c>
      <c r="C3213" s="347">
        <v>1000</v>
      </c>
      <c r="D3213" s="348">
        <v>46388</v>
      </c>
      <c r="E3213" s="348">
        <v>46722</v>
      </c>
      <c r="F3213" s="346" t="s">
        <v>646</v>
      </c>
      <c r="G3213" s="350" t="s">
        <v>457</v>
      </c>
      <c r="H3213" s="351">
        <f t="shared" si="55"/>
        <v>12000</v>
      </c>
      <c r="I3213" s="120" t="str">
        <f>IF(OR(D3213&lt;Capa!$A$5,D3213&gt;Capa!$A$7,E3213&lt;Capa!$A$5,E3213&gt;Capa!$A$7,D3213&gt;E3213),"Erro","")</f>
        <v/>
      </c>
    </row>
    <row r="3214" spans="1:9" ht="67.5">
      <c r="A3214" s="345">
        <v>3211</v>
      </c>
      <c r="B3214" s="346" t="s">
        <v>316</v>
      </c>
      <c r="C3214" s="347">
        <v>1000</v>
      </c>
      <c r="D3214" s="348">
        <v>46388</v>
      </c>
      <c r="E3214" s="348">
        <v>47058</v>
      </c>
      <c r="F3214" s="346" t="s">
        <v>646</v>
      </c>
      <c r="G3214" s="350" t="s">
        <v>457</v>
      </c>
      <c r="H3214" s="351">
        <f t="shared" si="55"/>
        <v>23000</v>
      </c>
      <c r="I3214" s="120" t="str">
        <f>IF(OR(D3214&lt;Capa!$A$5,D3214&gt;Capa!$A$7,E3214&lt;Capa!$A$5,E3214&gt;Capa!$A$7,D3214&gt;E3214),"Erro","")</f>
        <v/>
      </c>
    </row>
    <row r="3215" spans="1:9" ht="56.25">
      <c r="A3215" s="345">
        <v>3212</v>
      </c>
      <c r="B3215" s="346" t="s">
        <v>318</v>
      </c>
      <c r="C3215" s="347">
        <v>1800</v>
      </c>
      <c r="D3215" s="348">
        <v>45261</v>
      </c>
      <c r="E3215" s="348">
        <v>45627</v>
      </c>
      <c r="F3215" s="346" t="s">
        <v>646</v>
      </c>
      <c r="G3215" s="350" t="s">
        <v>594</v>
      </c>
      <c r="H3215" s="351">
        <f t="shared" si="55"/>
        <v>23400</v>
      </c>
      <c r="I3215" s="120" t="str">
        <f>IF(OR(D3215&lt;Capa!$A$5,D3215&gt;Capa!$A$7,E3215&lt;Capa!$A$5,E3215&gt;Capa!$A$7,D3215&gt;E3215),"Erro","")</f>
        <v/>
      </c>
    </row>
    <row r="3216" spans="1:9" ht="56.25">
      <c r="A3216" s="345">
        <v>3213</v>
      </c>
      <c r="B3216" s="346" t="s">
        <v>318</v>
      </c>
      <c r="C3216" s="347">
        <v>1500</v>
      </c>
      <c r="D3216" s="348">
        <v>45658</v>
      </c>
      <c r="E3216" s="348">
        <v>45992</v>
      </c>
      <c r="F3216" s="346" t="s">
        <v>646</v>
      </c>
      <c r="G3216" s="350" t="s">
        <v>594</v>
      </c>
      <c r="H3216" s="351">
        <f t="shared" si="55"/>
        <v>18000</v>
      </c>
      <c r="I3216" s="120" t="str">
        <f>IF(OR(D3216&lt;Capa!$A$5,D3216&gt;Capa!$A$7,E3216&lt;Capa!$A$5,E3216&gt;Capa!$A$7,D3216&gt;E3216),"Erro","")</f>
        <v/>
      </c>
    </row>
    <row r="3217" spans="1:9" ht="56.25">
      <c r="A3217" s="345">
        <v>3214</v>
      </c>
      <c r="B3217" s="346" t="s">
        <v>318</v>
      </c>
      <c r="C3217" s="347">
        <v>1500</v>
      </c>
      <c r="D3217" s="348">
        <v>46023</v>
      </c>
      <c r="E3217" s="348">
        <v>46357</v>
      </c>
      <c r="F3217" s="346" t="s">
        <v>646</v>
      </c>
      <c r="G3217" s="350" t="s">
        <v>594</v>
      </c>
      <c r="H3217" s="351">
        <f t="shared" si="55"/>
        <v>18000</v>
      </c>
      <c r="I3217" s="120" t="str">
        <f>IF(OR(D3217&lt;Capa!$A$5,D3217&gt;Capa!$A$7,E3217&lt;Capa!$A$5,E3217&gt;Capa!$A$7,D3217&gt;E3217),"Erro","")</f>
        <v/>
      </c>
    </row>
    <row r="3218" spans="1:9" ht="56.25">
      <c r="A3218" s="345">
        <v>3215</v>
      </c>
      <c r="B3218" s="346" t="s">
        <v>318</v>
      </c>
      <c r="C3218" s="347">
        <v>1500</v>
      </c>
      <c r="D3218" s="348">
        <v>46388</v>
      </c>
      <c r="E3218" s="348">
        <v>46722</v>
      </c>
      <c r="F3218" s="346" t="s">
        <v>646</v>
      </c>
      <c r="G3218" s="350" t="s">
        <v>594</v>
      </c>
      <c r="H3218" s="351">
        <f t="shared" si="55"/>
        <v>18000</v>
      </c>
      <c r="I3218" s="120" t="str">
        <f>IF(OR(D3218&lt;Capa!$A$5,D3218&gt;Capa!$A$7,E3218&lt;Capa!$A$5,E3218&gt;Capa!$A$7,D3218&gt;E3218),"Erro","")</f>
        <v/>
      </c>
    </row>
    <row r="3219" spans="1:9" ht="56.25">
      <c r="A3219" s="345">
        <v>3216</v>
      </c>
      <c r="B3219" s="346" t="s">
        <v>318</v>
      </c>
      <c r="C3219" s="347">
        <v>1500</v>
      </c>
      <c r="D3219" s="348">
        <v>46388</v>
      </c>
      <c r="E3219" s="348">
        <v>47058</v>
      </c>
      <c r="F3219" s="346" t="s">
        <v>646</v>
      </c>
      <c r="G3219" s="350" t="s">
        <v>594</v>
      </c>
      <c r="H3219" s="351">
        <f t="shared" si="55"/>
        <v>34500</v>
      </c>
      <c r="I3219" s="120" t="str">
        <f>IF(OR(D3219&lt;Capa!$A$5,D3219&gt;Capa!$A$7,E3219&lt;Capa!$A$5,E3219&gt;Capa!$A$7,D3219&gt;E3219),"Erro","")</f>
        <v/>
      </c>
    </row>
    <row r="3220" spans="1:9" ht="67.5">
      <c r="A3220" s="345">
        <v>3217</v>
      </c>
      <c r="B3220" s="346" t="s">
        <v>318</v>
      </c>
      <c r="C3220" s="347">
        <v>1800</v>
      </c>
      <c r="D3220" s="348">
        <v>45261</v>
      </c>
      <c r="E3220" s="348">
        <v>45627</v>
      </c>
      <c r="F3220" s="346" t="s">
        <v>646</v>
      </c>
      <c r="G3220" s="350" t="s">
        <v>457</v>
      </c>
      <c r="H3220" s="351">
        <f t="shared" si="55"/>
        <v>23400</v>
      </c>
      <c r="I3220" s="120" t="str">
        <f>IF(OR(D3220&lt;Capa!$A$5,D3220&gt;Capa!$A$7,E3220&lt;Capa!$A$5,E3220&gt;Capa!$A$7,D3220&gt;E3220),"Erro","")</f>
        <v/>
      </c>
    </row>
    <row r="3221" spans="1:9" ht="67.5">
      <c r="A3221" s="345">
        <v>3218</v>
      </c>
      <c r="B3221" s="346" t="s">
        <v>318</v>
      </c>
      <c r="C3221" s="347">
        <v>1500</v>
      </c>
      <c r="D3221" s="348">
        <v>45658</v>
      </c>
      <c r="E3221" s="348">
        <v>45992</v>
      </c>
      <c r="F3221" s="346" t="s">
        <v>646</v>
      </c>
      <c r="G3221" s="350" t="s">
        <v>457</v>
      </c>
      <c r="H3221" s="351">
        <f t="shared" si="55"/>
        <v>18000</v>
      </c>
      <c r="I3221" s="120" t="str">
        <f>IF(OR(D3221&lt;Capa!$A$5,D3221&gt;Capa!$A$7,E3221&lt;Capa!$A$5,E3221&gt;Capa!$A$7,D3221&gt;E3221),"Erro","")</f>
        <v/>
      </c>
    </row>
    <row r="3222" spans="1:9" ht="67.5">
      <c r="A3222" s="345">
        <v>3219</v>
      </c>
      <c r="B3222" s="346" t="s">
        <v>318</v>
      </c>
      <c r="C3222" s="347">
        <v>1500</v>
      </c>
      <c r="D3222" s="348">
        <v>46023</v>
      </c>
      <c r="E3222" s="348">
        <v>46357</v>
      </c>
      <c r="F3222" s="346" t="s">
        <v>646</v>
      </c>
      <c r="G3222" s="350" t="s">
        <v>457</v>
      </c>
      <c r="H3222" s="351">
        <f t="shared" si="55"/>
        <v>18000</v>
      </c>
      <c r="I3222" s="120" t="str">
        <f>IF(OR(D3222&lt;Capa!$A$5,D3222&gt;Capa!$A$7,E3222&lt;Capa!$A$5,E3222&gt;Capa!$A$7,D3222&gt;E3222),"Erro","")</f>
        <v/>
      </c>
    </row>
    <row r="3223" spans="1:9" ht="67.5">
      <c r="A3223" s="345">
        <v>3220</v>
      </c>
      <c r="B3223" s="346" t="s">
        <v>318</v>
      </c>
      <c r="C3223" s="347">
        <v>1500</v>
      </c>
      <c r="D3223" s="348">
        <v>46388</v>
      </c>
      <c r="E3223" s="348">
        <v>46722</v>
      </c>
      <c r="F3223" s="346" t="s">
        <v>646</v>
      </c>
      <c r="G3223" s="350" t="s">
        <v>457</v>
      </c>
      <c r="H3223" s="351">
        <f t="shared" si="55"/>
        <v>18000</v>
      </c>
      <c r="I3223" s="120" t="str">
        <f>IF(OR(D3223&lt;Capa!$A$5,D3223&gt;Capa!$A$7,E3223&lt;Capa!$A$5,E3223&gt;Capa!$A$7,D3223&gt;E3223),"Erro","")</f>
        <v/>
      </c>
    </row>
    <row r="3224" spans="1:9" ht="67.5">
      <c r="A3224" s="345">
        <v>3221</v>
      </c>
      <c r="B3224" s="346" t="s">
        <v>318</v>
      </c>
      <c r="C3224" s="347">
        <v>1500</v>
      </c>
      <c r="D3224" s="348">
        <v>46388</v>
      </c>
      <c r="E3224" s="348">
        <v>47058</v>
      </c>
      <c r="F3224" s="346" t="s">
        <v>646</v>
      </c>
      <c r="G3224" s="350" t="s">
        <v>457</v>
      </c>
      <c r="H3224" s="351">
        <f t="shared" si="55"/>
        <v>34500</v>
      </c>
      <c r="I3224" s="120" t="str">
        <f>IF(OR(D3224&lt;Capa!$A$5,D3224&gt;Capa!$A$7,E3224&lt;Capa!$A$5,E3224&gt;Capa!$A$7,D3224&gt;E3224),"Erro","")</f>
        <v/>
      </c>
    </row>
    <row r="3225" spans="1:9" ht="22.5">
      <c r="A3225" s="345">
        <v>3222</v>
      </c>
      <c r="B3225" s="346" t="s">
        <v>298</v>
      </c>
      <c r="C3225" s="347">
        <v>2500</v>
      </c>
      <c r="D3225" s="348">
        <v>45261</v>
      </c>
      <c r="E3225" s="348">
        <v>45627</v>
      </c>
      <c r="F3225" s="346" t="s">
        <v>646</v>
      </c>
      <c r="G3225" s="350" t="s">
        <v>458</v>
      </c>
      <c r="H3225" s="351">
        <f t="shared" si="55"/>
        <v>32500</v>
      </c>
      <c r="I3225" s="120" t="str">
        <f>IF(OR(D3225&lt;Capa!$A$5,D3225&gt;Capa!$A$7,E3225&lt;Capa!$A$5,E3225&gt;Capa!$A$7,D3225&gt;E3225),"Erro","")</f>
        <v/>
      </c>
    </row>
    <row r="3226" spans="1:9" ht="22.5">
      <c r="A3226" s="345">
        <v>3223</v>
      </c>
      <c r="B3226" s="346" t="s">
        <v>298</v>
      </c>
      <c r="C3226" s="347">
        <v>2646</v>
      </c>
      <c r="D3226" s="348">
        <v>45658</v>
      </c>
      <c r="E3226" s="348">
        <v>45992</v>
      </c>
      <c r="F3226" s="346" t="s">
        <v>646</v>
      </c>
      <c r="G3226" s="350" t="s">
        <v>458</v>
      </c>
      <c r="H3226" s="351">
        <f t="shared" si="55"/>
        <v>31752</v>
      </c>
      <c r="I3226" s="120" t="str">
        <f>IF(OR(D3226&lt;Capa!$A$5,D3226&gt;Capa!$A$7,E3226&lt;Capa!$A$5,E3226&gt;Capa!$A$7,D3226&gt;E3226),"Erro","")</f>
        <v/>
      </c>
    </row>
    <row r="3227" spans="1:9" ht="22.5">
      <c r="A3227" s="345">
        <v>3224</v>
      </c>
      <c r="B3227" s="346" t="s">
        <v>298</v>
      </c>
      <c r="C3227" s="347">
        <v>2800.52</v>
      </c>
      <c r="D3227" s="348">
        <v>46023</v>
      </c>
      <c r="E3227" s="348">
        <v>46357</v>
      </c>
      <c r="F3227" s="346" t="s">
        <v>646</v>
      </c>
      <c r="G3227" s="350" t="s">
        <v>458</v>
      </c>
      <c r="H3227" s="351">
        <f t="shared" si="55"/>
        <v>33606.239999999998</v>
      </c>
      <c r="I3227" s="120" t="str">
        <f>IF(OR(D3227&lt;Capa!$A$5,D3227&gt;Capa!$A$7,E3227&lt;Capa!$A$5,E3227&gt;Capa!$A$7,D3227&gt;E3227),"Erro","")</f>
        <v/>
      </c>
    </row>
    <row r="3228" spans="1:9" ht="22.5">
      <c r="A3228" s="345">
        <v>3225</v>
      </c>
      <c r="B3228" s="346" t="s">
        <v>298</v>
      </c>
      <c r="C3228" s="347">
        <v>2964.07</v>
      </c>
      <c r="D3228" s="348">
        <v>46388</v>
      </c>
      <c r="E3228" s="348">
        <v>46722</v>
      </c>
      <c r="F3228" s="346" t="s">
        <v>646</v>
      </c>
      <c r="G3228" s="350" t="s">
        <v>458</v>
      </c>
      <c r="H3228" s="351">
        <f t="shared" si="55"/>
        <v>35568.840000000004</v>
      </c>
      <c r="I3228" s="120" t="str">
        <f>IF(OR(D3228&lt;Capa!$A$5,D3228&gt;Capa!$A$7,E3228&lt;Capa!$A$5,E3228&gt;Capa!$A$7,D3228&gt;E3228),"Erro","")</f>
        <v/>
      </c>
    </row>
    <row r="3229" spans="1:9" ht="22.5">
      <c r="A3229" s="345">
        <v>3226</v>
      </c>
      <c r="B3229" s="346" t="s">
        <v>298</v>
      </c>
      <c r="C3229" s="347">
        <v>3137.17</v>
      </c>
      <c r="D3229" s="348">
        <v>46388</v>
      </c>
      <c r="E3229" s="348">
        <v>47058</v>
      </c>
      <c r="F3229" s="346" t="s">
        <v>646</v>
      </c>
      <c r="G3229" s="350" t="s">
        <v>458</v>
      </c>
      <c r="H3229" s="351">
        <f t="shared" si="55"/>
        <v>72154.91</v>
      </c>
      <c r="I3229" s="120" t="str">
        <f>IF(OR(D3229&lt;Capa!$A$5,D3229&gt;Capa!$A$7,E3229&lt;Capa!$A$5,E3229&gt;Capa!$A$7,D3229&gt;E3229),"Erro","")</f>
        <v/>
      </c>
    </row>
    <row r="3230" spans="1:9" ht="33.75">
      <c r="A3230" s="345">
        <v>3227</v>
      </c>
      <c r="B3230" s="346" t="s">
        <v>238</v>
      </c>
      <c r="C3230" s="347">
        <v>370.44</v>
      </c>
      <c r="D3230" s="348">
        <v>45658</v>
      </c>
      <c r="E3230" s="348">
        <v>45992</v>
      </c>
      <c r="F3230" s="346" t="s">
        <v>646</v>
      </c>
      <c r="G3230" s="350" t="s">
        <v>459</v>
      </c>
      <c r="H3230" s="351">
        <f t="shared" si="55"/>
        <v>4445.28</v>
      </c>
      <c r="I3230" s="120" t="str">
        <f>IF(OR(D3230&lt;Capa!$A$5,D3230&gt;Capa!$A$7,E3230&lt;Capa!$A$5,E3230&gt;Capa!$A$7,D3230&gt;E3230),"Erro","")</f>
        <v/>
      </c>
    </row>
    <row r="3231" spans="1:9" ht="33.75">
      <c r="A3231" s="345">
        <v>3228</v>
      </c>
      <c r="B3231" s="346" t="s">
        <v>238</v>
      </c>
      <c r="C3231" s="347">
        <v>392.07</v>
      </c>
      <c r="D3231" s="348">
        <v>46023</v>
      </c>
      <c r="E3231" s="348">
        <v>46357</v>
      </c>
      <c r="F3231" s="346" t="s">
        <v>646</v>
      </c>
      <c r="G3231" s="350" t="s">
        <v>459</v>
      </c>
      <c r="H3231" s="351">
        <f t="shared" si="55"/>
        <v>4704.84</v>
      </c>
      <c r="I3231" s="120" t="str">
        <f>IF(OR(D3231&lt;Capa!$A$5,D3231&gt;Capa!$A$7,E3231&lt;Capa!$A$5,E3231&gt;Capa!$A$7,D3231&gt;E3231),"Erro","")</f>
        <v/>
      </c>
    </row>
    <row r="3232" spans="1:9" ht="33.75">
      <c r="A3232" s="345">
        <v>3229</v>
      </c>
      <c r="B3232" s="346" t="s">
        <v>238</v>
      </c>
      <c r="C3232" s="347">
        <v>414.97</v>
      </c>
      <c r="D3232" s="348">
        <v>46388</v>
      </c>
      <c r="E3232" s="348">
        <v>46722</v>
      </c>
      <c r="F3232" s="346" t="s">
        <v>646</v>
      </c>
      <c r="G3232" s="350" t="s">
        <v>459</v>
      </c>
      <c r="H3232" s="351">
        <f t="shared" si="55"/>
        <v>4979.6400000000003</v>
      </c>
      <c r="I3232" s="120" t="str">
        <f>IF(OR(D3232&lt;Capa!$A$5,D3232&gt;Capa!$A$7,E3232&lt;Capa!$A$5,E3232&gt;Capa!$A$7,D3232&gt;E3232),"Erro","")</f>
        <v/>
      </c>
    </row>
    <row r="3233" spans="1:9" ht="33.75">
      <c r="A3233" s="345">
        <v>3230</v>
      </c>
      <c r="B3233" s="346" t="s">
        <v>238</v>
      </c>
      <c r="C3233" s="347">
        <v>439.21</v>
      </c>
      <c r="D3233" s="348">
        <v>46388</v>
      </c>
      <c r="E3233" s="348">
        <v>47058</v>
      </c>
      <c r="F3233" s="346" t="s">
        <v>646</v>
      </c>
      <c r="G3233" s="350" t="s">
        <v>459</v>
      </c>
      <c r="H3233" s="351">
        <f t="shared" si="55"/>
        <v>10101.83</v>
      </c>
      <c r="I3233" s="120" t="str">
        <f>IF(OR(D3233&lt;Capa!$A$5,D3233&gt;Capa!$A$7,E3233&lt;Capa!$A$5,E3233&gt;Capa!$A$7,D3233&gt;E3233),"Erro","")</f>
        <v/>
      </c>
    </row>
    <row r="3234" spans="1:9" ht="56.25">
      <c r="A3234" s="345">
        <v>3231</v>
      </c>
      <c r="B3234" s="346" t="s">
        <v>252</v>
      </c>
      <c r="C3234" s="347">
        <v>7000</v>
      </c>
      <c r="D3234" s="348">
        <v>45261</v>
      </c>
      <c r="E3234" s="348">
        <v>45627</v>
      </c>
      <c r="F3234" s="346" t="s">
        <v>646</v>
      </c>
      <c r="G3234" s="350" t="s">
        <v>460</v>
      </c>
      <c r="H3234" s="351">
        <f t="shared" si="55"/>
        <v>91000</v>
      </c>
      <c r="I3234" s="120" t="str">
        <f>IF(OR(D3234&lt;Capa!$A$5,D3234&gt;Capa!$A$7,E3234&lt;Capa!$A$5,E3234&gt;Capa!$A$7,D3234&gt;E3234),"Erro","")</f>
        <v/>
      </c>
    </row>
    <row r="3235" spans="1:9" ht="56.25">
      <c r="A3235" s="345">
        <v>3232</v>
      </c>
      <c r="B3235" s="346" t="s">
        <v>252</v>
      </c>
      <c r="C3235" s="347">
        <v>7408.8</v>
      </c>
      <c r="D3235" s="348">
        <v>45658</v>
      </c>
      <c r="E3235" s="348">
        <v>45992</v>
      </c>
      <c r="F3235" s="346" t="s">
        <v>646</v>
      </c>
      <c r="G3235" s="350" t="s">
        <v>460</v>
      </c>
      <c r="H3235" s="351">
        <f t="shared" si="55"/>
        <v>88905.600000000006</v>
      </c>
      <c r="I3235" s="120" t="str">
        <f>IF(OR(D3235&lt;Capa!$A$5,D3235&gt;Capa!$A$7,E3235&lt;Capa!$A$5,E3235&gt;Capa!$A$7,D3235&gt;E3235),"Erro","")</f>
        <v/>
      </c>
    </row>
    <row r="3236" spans="1:9" ht="56.25">
      <c r="A3236" s="345">
        <v>3233</v>
      </c>
      <c r="B3236" s="346" t="s">
        <v>252</v>
      </c>
      <c r="C3236" s="347">
        <v>7847.65</v>
      </c>
      <c r="D3236" s="348">
        <v>46023</v>
      </c>
      <c r="E3236" s="348">
        <v>46357</v>
      </c>
      <c r="F3236" s="346" t="s">
        <v>646</v>
      </c>
      <c r="G3236" s="350" t="s">
        <v>460</v>
      </c>
      <c r="H3236" s="351">
        <f t="shared" si="55"/>
        <v>94171.799999999988</v>
      </c>
      <c r="I3236" s="120" t="str">
        <f>IF(OR(D3236&lt;Capa!$A$5,D3236&gt;Capa!$A$7,E3236&lt;Capa!$A$5,E3236&gt;Capa!$A$7,D3236&gt;E3236),"Erro","")</f>
        <v/>
      </c>
    </row>
    <row r="3237" spans="1:9" ht="56.25">
      <c r="A3237" s="345">
        <v>3234</v>
      </c>
      <c r="B3237" s="346" t="s">
        <v>252</v>
      </c>
      <c r="C3237" s="347">
        <v>8305.9500000000007</v>
      </c>
      <c r="D3237" s="348">
        <v>46388</v>
      </c>
      <c r="E3237" s="348">
        <v>46722</v>
      </c>
      <c r="F3237" s="346" t="s">
        <v>646</v>
      </c>
      <c r="G3237" s="350" t="s">
        <v>460</v>
      </c>
      <c r="H3237" s="351">
        <f t="shared" si="55"/>
        <v>99671.400000000009</v>
      </c>
      <c r="I3237" s="120" t="str">
        <f>IF(OR(D3237&lt;Capa!$A$5,D3237&gt;Capa!$A$7,E3237&lt;Capa!$A$5,E3237&gt;Capa!$A$7,D3237&gt;E3237),"Erro","")</f>
        <v/>
      </c>
    </row>
    <row r="3238" spans="1:9" ht="56.25">
      <c r="A3238" s="345">
        <v>3235</v>
      </c>
      <c r="B3238" s="346" t="s">
        <v>252</v>
      </c>
      <c r="C3238" s="347">
        <v>8791.02</v>
      </c>
      <c r="D3238" s="348">
        <v>46388</v>
      </c>
      <c r="E3238" s="348">
        <v>47058</v>
      </c>
      <c r="F3238" s="346" t="s">
        <v>646</v>
      </c>
      <c r="G3238" s="350" t="s">
        <v>460</v>
      </c>
      <c r="H3238" s="351">
        <f t="shared" si="55"/>
        <v>202193.46000000002</v>
      </c>
      <c r="I3238" s="120" t="str">
        <f>IF(OR(D3238&lt;Capa!$A$5,D3238&gt;Capa!$A$7,E3238&lt;Capa!$A$5,E3238&gt;Capa!$A$7,D3238&gt;E3238),"Erro","")</f>
        <v/>
      </c>
    </row>
    <row r="3239" spans="1:9" ht="45">
      <c r="A3239" s="345">
        <v>3236</v>
      </c>
      <c r="B3239" s="346" t="s">
        <v>320</v>
      </c>
      <c r="C3239" s="347">
        <v>4545.7737500000003</v>
      </c>
      <c r="D3239" s="348">
        <v>45778</v>
      </c>
      <c r="E3239" s="348">
        <v>45992</v>
      </c>
      <c r="F3239" s="346" t="s">
        <v>646</v>
      </c>
      <c r="G3239" s="350" t="s">
        <v>596</v>
      </c>
      <c r="H3239" s="351">
        <f t="shared" si="55"/>
        <v>36366.19</v>
      </c>
    </row>
    <row r="3240" spans="1:9" ht="45">
      <c r="A3240" s="345">
        <v>3237</v>
      </c>
      <c r="B3240" s="346" t="s">
        <v>320</v>
      </c>
      <c r="C3240" s="347">
        <v>250</v>
      </c>
      <c r="D3240" s="348">
        <v>45748</v>
      </c>
      <c r="E3240" s="348">
        <v>47058</v>
      </c>
      <c r="F3240" s="346" t="s">
        <v>646</v>
      </c>
      <c r="G3240" s="350" t="s">
        <v>596</v>
      </c>
      <c r="H3240" s="351">
        <f t="shared" si="55"/>
        <v>11000</v>
      </c>
      <c r="I3240" s="120" t="str">
        <f>IF(OR(D3240&lt;Capa!$A$5,D3240&gt;Capa!$A$7,E3240&lt;Capa!$A$5,E3240&gt;Capa!$A$7,D3240&gt;E3240),"Erro","")</f>
        <v/>
      </c>
    </row>
    <row r="3241" spans="1:9" ht="56.25">
      <c r="A3241" s="345">
        <v>3238</v>
      </c>
      <c r="B3241" s="346" t="s">
        <v>320</v>
      </c>
      <c r="C3241" s="347">
        <v>230000</v>
      </c>
      <c r="D3241" s="348">
        <v>45323</v>
      </c>
      <c r="E3241" s="348">
        <v>45323</v>
      </c>
      <c r="F3241" s="346" t="s">
        <v>646</v>
      </c>
      <c r="G3241" s="350" t="s">
        <v>618</v>
      </c>
      <c r="H3241" s="351">
        <f t="shared" si="55"/>
        <v>230000</v>
      </c>
      <c r="I3241" s="120" t="str">
        <f>IF(OR(D3241&lt;Capa!$A$5,D3241&gt;Capa!$A$7,E3241&lt;Capa!$A$5,E3241&gt;Capa!$A$7,D3241&gt;E3241),"Erro","")</f>
        <v/>
      </c>
    </row>
    <row r="3242" spans="1:9" ht="45">
      <c r="A3242" s="345">
        <v>3239</v>
      </c>
      <c r="B3242" s="346" t="s">
        <v>652</v>
      </c>
      <c r="C3242" s="347">
        <v>15000</v>
      </c>
      <c r="D3242" s="348">
        <v>45323</v>
      </c>
      <c r="E3242" s="348">
        <v>45323</v>
      </c>
      <c r="F3242" s="346" t="s">
        <v>646</v>
      </c>
      <c r="G3242" s="350" t="s">
        <v>624</v>
      </c>
      <c r="H3242" s="351">
        <f t="shared" si="55"/>
        <v>15000</v>
      </c>
      <c r="I3242" s="120" t="str">
        <f>IF(OR(D3242&lt;Capa!$A$5,D3242&gt;Capa!$A$7,E3242&lt;Capa!$A$5,E3242&gt;Capa!$A$7,D3242&gt;E3242),"Erro","")</f>
        <v/>
      </c>
    </row>
    <row r="3243" spans="1:9" ht="45">
      <c r="A3243" s="345">
        <v>3240</v>
      </c>
      <c r="B3243" s="346" t="s">
        <v>652</v>
      </c>
      <c r="C3243" s="347">
        <v>10000</v>
      </c>
      <c r="D3243" s="348">
        <v>46023</v>
      </c>
      <c r="E3243" s="348">
        <v>46023</v>
      </c>
      <c r="F3243" s="346" t="s">
        <v>646</v>
      </c>
      <c r="G3243" s="350" t="s">
        <v>624</v>
      </c>
      <c r="H3243" s="351">
        <f t="shared" si="55"/>
        <v>10000</v>
      </c>
      <c r="I3243" s="120" t="str">
        <f>IF(OR(D3243&lt;Capa!$A$5,D3243&gt;Capa!$A$7,E3243&lt;Capa!$A$5,E3243&gt;Capa!$A$7,D3243&gt;E3243),"Erro","")</f>
        <v/>
      </c>
    </row>
    <row r="3244" spans="1:9" ht="45">
      <c r="A3244" s="345">
        <v>3241</v>
      </c>
      <c r="B3244" s="346" t="s">
        <v>652</v>
      </c>
      <c r="C3244" s="347">
        <v>10000</v>
      </c>
      <c r="D3244" s="348">
        <v>46753</v>
      </c>
      <c r="E3244" s="348">
        <v>46753</v>
      </c>
      <c r="F3244" s="346" t="s">
        <v>646</v>
      </c>
      <c r="G3244" s="350" t="s">
        <v>624</v>
      </c>
      <c r="H3244" s="351">
        <f t="shared" si="55"/>
        <v>10000</v>
      </c>
      <c r="I3244" s="120" t="str">
        <f>IF(OR(D3244&lt;Capa!$A$5,D3244&gt;Capa!$A$7,E3244&lt;Capa!$A$5,E3244&gt;Capa!$A$7,D3244&gt;E3244),"Erro","")</f>
        <v/>
      </c>
    </row>
    <row r="3245" spans="1:9" ht="33.75">
      <c r="A3245" s="345">
        <v>3242</v>
      </c>
      <c r="B3245" s="346" t="s">
        <v>651</v>
      </c>
      <c r="C3245" s="347">
        <v>180</v>
      </c>
      <c r="D3245" s="348">
        <v>45261</v>
      </c>
      <c r="E3245" s="348">
        <v>47058</v>
      </c>
      <c r="F3245" s="346" t="s">
        <v>646</v>
      </c>
      <c r="G3245" s="350" t="s">
        <v>710</v>
      </c>
      <c r="H3245" s="351">
        <f t="shared" si="55"/>
        <v>10800</v>
      </c>
      <c r="I3245" s="120" t="str">
        <f>IF(OR(D3245&lt;Capa!$A$5,D3245&gt;Capa!$A$7,E3245&lt;Capa!$A$5,E3245&gt;Capa!$A$7,D3245&gt;E3245),"Erro","")</f>
        <v/>
      </c>
    </row>
    <row r="3246" spans="1:9" ht="22.5">
      <c r="A3246" s="345">
        <v>3243</v>
      </c>
      <c r="B3246" s="346" t="s">
        <v>653</v>
      </c>
      <c r="C3246" s="347">
        <v>1930</v>
      </c>
      <c r="D3246" s="348">
        <v>45292</v>
      </c>
      <c r="E3246" s="348">
        <v>45627</v>
      </c>
      <c r="F3246" s="346" t="s">
        <v>646</v>
      </c>
      <c r="G3246" s="350" t="s">
        <v>712</v>
      </c>
      <c r="H3246" s="351">
        <f t="shared" si="55"/>
        <v>23160</v>
      </c>
    </row>
    <row r="3247" spans="1:9" ht="22.5">
      <c r="A3247" s="345">
        <v>3244</v>
      </c>
      <c r="B3247" s="346" t="s">
        <v>653</v>
      </c>
      <c r="C3247" s="347">
        <v>1930</v>
      </c>
      <c r="D3247" s="348">
        <v>45658</v>
      </c>
      <c r="E3247" s="348">
        <v>47058</v>
      </c>
      <c r="F3247" s="346" t="s">
        <v>646</v>
      </c>
      <c r="G3247" s="350" t="s">
        <v>712</v>
      </c>
      <c r="H3247" s="351">
        <f t="shared" si="55"/>
        <v>90710</v>
      </c>
      <c r="I3247" s="120" t="str">
        <f>IF(OR(D3247&lt;Capa!$A$5,D3247&gt;Capa!$A$7,E3247&lt;Capa!$A$5,E3247&gt;Capa!$A$7,D3247&gt;E3247),"Erro","")</f>
        <v/>
      </c>
    </row>
    <row r="3248" spans="1:9" ht="33.75">
      <c r="A3248" s="345">
        <v>3245</v>
      </c>
      <c r="B3248" s="346" t="s">
        <v>648</v>
      </c>
      <c r="C3248" s="347">
        <v>2120</v>
      </c>
      <c r="D3248" s="348">
        <v>45323</v>
      </c>
      <c r="E3248" s="348">
        <v>45323</v>
      </c>
      <c r="F3248" s="346" t="s">
        <v>646</v>
      </c>
      <c r="G3248" s="350" t="s">
        <v>670</v>
      </c>
      <c r="H3248" s="351">
        <f t="shared" si="55"/>
        <v>2120</v>
      </c>
      <c r="I3248" s="120" t="str">
        <f>IF(OR(D3248&lt;Capa!$A$5,D3248&gt;Capa!$A$7,E3248&lt;Capa!$A$5,E3248&gt;Capa!$A$7,D3248&gt;E3248),"Erro","")</f>
        <v/>
      </c>
    </row>
    <row r="3249" spans="1:9" ht="33.75">
      <c r="A3249" s="345">
        <v>3246</v>
      </c>
      <c r="B3249" s="346" t="s">
        <v>648</v>
      </c>
      <c r="C3249" s="347">
        <v>2243.8000000000002</v>
      </c>
      <c r="D3249" s="348">
        <v>45658</v>
      </c>
      <c r="E3249" s="348">
        <v>45658</v>
      </c>
      <c r="F3249" s="346" t="s">
        <v>646</v>
      </c>
      <c r="G3249" s="350" t="s">
        <v>670</v>
      </c>
      <c r="H3249" s="351">
        <f t="shared" si="55"/>
        <v>2243.8000000000002</v>
      </c>
      <c r="I3249" s="120" t="str">
        <f>IF(OR(D3249&lt;Capa!$A$5,D3249&gt;Capa!$A$7,E3249&lt;Capa!$A$5,E3249&gt;Capa!$A$7,D3249&gt;E3249),"Erro","")</f>
        <v/>
      </c>
    </row>
    <row r="3250" spans="1:9" ht="33.75">
      <c r="A3250" s="345">
        <v>3247</v>
      </c>
      <c r="B3250" s="346" t="s">
        <v>648</v>
      </c>
      <c r="C3250" s="347">
        <v>2374.84</v>
      </c>
      <c r="D3250" s="348">
        <v>46023</v>
      </c>
      <c r="E3250" s="348">
        <v>46023</v>
      </c>
      <c r="F3250" s="346" t="s">
        <v>646</v>
      </c>
      <c r="G3250" s="350" t="s">
        <v>670</v>
      </c>
      <c r="H3250" s="351">
        <f t="shared" si="55"/>
        <v>2374.84</v>
      </c>
      <c r="I3250" s="120" t="str">
        <f>IF(OR(D3250&lt;Capa!$A$5,D3250&gt;Capa!$A$7,E3250&lt;Capa!$A$5,E3250&gt;Capa!$A$7,D3250&gt;E3250),"Erro","")</f>
        <v/>
      </c>
    </row>
    <row r="3251" spans="1:9" ht="33.75">
      <c r="A3251" s="345">
        <v>3248</v>
      </c>
      <c r="B3251" s="346" t="s">
        <v>648</v>
      </c>
      <c r="C3251" s="347">
        <v>2513.5300000000002</v>
      </c>
      <c r="D3251" s="348">
        <v>46388</v>
      </c>
      <c r="E3251" s="348">
        <v>46388</v>
      </c>
      <c r="F3251" s="346" t="s">
        <v>646</v>
      </c>
      <c r="G3251" s="350" t="s">
        <v>670</v>
      </c>
      <c r="H3251" s="351">
        <f t="shared" si="55"/>
        <v>2513.5300000000002</v>
      </c>
      <c r="I3251" s="120" t="str">
        <f>IF(OR(D3251&lt;Capa!$A$5,D3251&gt;Capa!$A$7,E3251&lt;Capa!$A$5,E3251&gt;Capa!$A$7,D3251&gt;E3251),"Erro","")</f>
        <v/>
      </c>
    </row>
    <row r="3252" spans="1:9" ht="33.75">
      <c r="A3252" s="345">
        <v>3249</v>
      </c>
      <c r="B3252" s="346" t="s">
        <v>648</v>
      </c>
      <c r="C3252" s="347">
        <v>2660.32</v>
      </c>
      <c r="D3252" s="348">
        <v>46753</v>
      </c>
      <c r="E3252" s="348">
        <v>46753</v>
      </c>
      <c r="F3252" s="346" t="s">
        <v>646</v>
      </c>
      <c r="G3252" s="350" t="s">
        <v>670</v>
      </c>
      <c r="H3252" s="351">
        <f t="shared" si="55"/>
        <v>2660.32</v>
      </c>
      <c r="I3252" s="120" t="str">
        <f>IF(OR(D3252&lt;Capa!$A$5,D3252&gt;Capa!$A$7,E3252&lt;Capa!$A$5,E3252&gt;Capa!$A$7,D3252&gt;E3252),"Erro","")</f>
        <v/>
      </c>
    </row>
    <row r="3253" spans="1:9" ht="22.5">
      <c r="A3253" s="345">
        <v>3250</v>
      </c>
      <c r="B3253" s="346" t="s">
        <v>649</v>
      </c>
      <c r="C3253" s="347">
        <v>70000</v>
      </c>
      <c r="D3253" s="348">
        <v>45748</v>
      </c>
      <c r="E3253" s="348">
        <v>45748</v>
      </c>
      <c r="F3253" s="346" t="s">
        <v>646</v>
      </c>
      <c r="G3253" s="350" t="s">
        <v>739</v>
      </c>
      <c r="H3253" s="351">
        <f t="shared" si="55"/>
        <v>70000</v>
      </c>
    </row>
    <row r="3254" spans="1:9" ht="33.75">
      <c r="A3254" s="345">
        <v>3251</v>
      </c>
      <c r="B3254" s="346" t="s">
        <v>649</v>
      </c>
      <c r="C3254" s="347">
        <v>1643</v>
      </c>
      <c r="D3254" s="348">
        <v>45292</v>
      </c>
      <c r="E3254" s="348">
        <v>47058</v>
      </c>
      <c r="F3254" s="346" t="s">
        <v>646</v>
      </c>
      <c r="G3254" s="350" t="s">
        <v>705</v>
      </c>
      <c r="H3254" s="351">
        <f t="shared" si="55"/>
        <v>96937</v>
      </c>
      <c r="I3254" s="120" t="str">
        <f>IF(OR(D3254&lt;Capa!$A$5,D3254&gt;Capa!$A$7,E3254&lt;Capa!$A$5,E3254&gt;Capa!$A$7,D3254&gt;E3254),"Erro","")</f>
        <v/>
      </c>
    </row>
    <row r="3255" spans="1:9" ht="33.75">
      <c r="A3255" s="345">
        <v>3252</v>
      </c>
      <c r="B3255" s="346" t="s">
        <v>654</v>
      </c>
      <c r="C3255" s="347">
        <v>600</v>
      </c>
      <c r="D3255" s="348">
        <v>45261</v>
      </c>
      <c r="E3255" s="348">
        <v>45627</v>
      </c>
      <c r="F3255" s="346" t="s">
        <v>646</v>
      </c>
      <c r="G3255" s="350" t="s">
        <v>706</v>
      </c>
      <c r="H3255" s="351">
        <f t="shared" si="55"/>
        <v>7800</v>
      </c>
    </row>
    <row r="3256" spans="1:9" ht="33.75">
      <c r="A3256" s="345">
        <v>3253</v>
      </c>
      <c r="B3256" s="346" t="s">
        <v>654</v>
      </c>
      <c r="C3256" s="347">
        <v>1100</v>
      </c>
      <c r="D3256" s="348">
        <v>45658</v>
      </c>
      <c r="E3256" s="348">
        <v>47058</v>
      </c>
      <c r="F3256" s="346" t="s">
        <v>646</v>
      </c>
      <c r="G3256" s="350" t="s">
        <v>706</v>
      </c>
      <c r="H3256" s="351">
        <f t="shared" si="55"/>
        <v>51700</v>
      </c>
      <c r="I3256" s="120" t="str">
        <f>IF(OR(D3256&lt;Capa!$A$5,D3256&gt;Capa!$A$7,E3256&lt;Capa!$A$5,E3256&gt;Capa!$A$7,D3256&gt;E3256),"Erro","")</f>
        <v/>
      </c>
    </row>
    <row r="3257" spans="1:9" ht="22.5">
      <c r="A3257" s="345">
        <v>3254</v>
      </c>
      <c r="B3257" s="346" t="s">
        <v>656</v>
      </c>
      <c r="C3257" s="347">
        <v>200</v>
      </c>
      <c r="D3257" s="348">
        <v>45261</v>
      </c>
      <c r="E3257" s="348">
        <v>47058</v>
      </c>
      <c r="F3257" s="346" t="s">
        <v>646</v>
      </c>
      <c r="G3257" s="350" t="s">
        <v>707</v>
      </c>
      <c r="H3257" s="351">
        <f t="shared" si="55"/>
        <v>12000</v>
      </c>
      <c r="I3257" s="120" t="str">
        <f>IF(OR(D3257&lt;Capa!$A$5,D3257&gt;Capa!$A$7,E3257&lt;Capa!$A$5,E3257&gt;Capa!$A$7,D3257&gt;E3257),"Erro","")</f>
        <v/>
      </c>
    </row>
    <row r="3258" spans="1:9" ht="22.5">
      <c r="A3258" s="345">
        <v>3255</v>
      </c>
      <c r="B3258" s="346" t="s">
        <v>658</v>
      </c>
      <c r="C3258" s="347">
        <v>50</v>
      </c>
      <c r="D3258" s="348">
        <v>45261</v>
      </c>
      <c r="E3258" s="348">
        <v>47058</v>
      </c>
      <c r="F3258" s="346" t="s">
        <v>646</v>
      </c>
      <c r="G3258" s="350" t="s">
        <v>709</v>
      </c>
      <c r="H3258" s="351">
        <f t="shared" si="55"/>
        <v>3000</v>
      </c>
      <c r="I3258" s="120" t="str">
        <f>IF(OR(D3258&lt;Capa!$A$5,D3258&gt;Capa!$A$7,E3258&lt;Capa!$A$5,E3258&gt;Capa!$A$7,D3258&gt;E3258),"Erro","")</f>
        <v/>
      </c>
    </row>
    <row r="3259" spans="1:9" ht="33.75">
      <c r="A3259" s="345">
        <v>3256</v>
      </c>
      <c r="B3259" s="346" t="s">
        <v>657</v>
      </c>
      <c r="C3259" s="347">
        <v>350</v>
      </c>
      <c r="D3259" s="348">
        <v>45658</v>
      </c>
      <c r="E3259" s="348">
        <v>47058</v>
      </c>
      <c r="F3259" s="346" t="s">
        <v>646</v>
      </c>
      <c r="G3259" s="350" t="s">
        <v>708</v>
      </c>
      <c r="H3259" s="351">
        <f t="shared" si="55"/>
        <v>16450</v>
      </c>
      <c r="I3259" s="120" t="str">
        <f>IF(OR(D3259&lt;Capa!$A$5,D3259&gt;Capa!$A$7,E3259&lt;Capa!$A$5,E3259&gt;Capa!$A$7,D3259&gt;E3259),"Erro","")</f>
        <v/>
      </c>
    </row>
    <row r="3260" spans="1:9" ht="33.75">
      <c r="A3260" s="345">
        <v>3257</v>
      </c>
      <c r="B3260" s="346" t="s">
        <v>650</v>
      </c>
      <c r="C3260" s="347">
        <v>70</v>
      </c>
      <c r="D3260" s="348">
        <v>45261</v>
      </c>
      <c r="E3260" s="348">
        <v>47058</v>
      </c>
      <c r="F3260" s="346" t="s">
        <v>646</v>
      </c>
      <c r="G3260" s="350" t="s">
        <v>711</v>
      </c>
      <c r="H3260" s="351">
        <f t="shared" si="55"/>
        <v>4200</v>
      </c>
      <c r="I3260" s="120" t="str">
        <f>IF(OR(D3260&lt;Capa!$A$5,D3260&gt;Capa!$A$7,E3260&lt;Capa!$A$5,E3260&gt;Capa!$A$7,D3260&gt;E3260),"Erro","")</f>
        <v/>
      </c>
    </row>
    <row r="3261" spans="1:9" ht="22.5">
      <c r="A3261" s="345">
        <v>3258</v>
      </c>
      <c r="B3261" s="346" t="s">
        <v>198</v>
      </c>
      <c r="C3261" s="347">
        <v>5000</v>
      </c>
      <c r="D3261" s="348">
        <v>45261</v>
      </c>
      <c r="E3261" s="348">
        <v>45627</v>
      </c>
      <c r="F3261" s="346" t="s">
        <v>647</v>
      </c>
      <c r="G3261" s="350" t="s">
        <v>438</v>
      </c>
      <c r="H3261" s="351">
        <f t="shared" si="55"/>
        <v>65000</v>
      </c>
      <c r="I3261" s="120" t="str">
        <f>IF(OR(D3261&lt;Capa!$A$5,D3261&gt;Capa!$A$7,E3261&lt;Capa!$A$5,E3261&gt;Capa!$A$7,D3261&gt;E3261),"Erro","")</f>
        <v/>
      </c>
    </row>
    <row r="3262" spans="1:9" ht="22.5">
      <c r="A3262" s="345">
        <v>3259</v>
      </c>
      <c r="B3262" s="346" t="s">
        <v>198</v>
      </c>
      <c r="C3262" s="347">
        <v>5292</v>
      </c>
      <c r="D3262" s="348">
        <v>45658</v>
      </c>
      <c r="E3262" s="348">
        <v>45992</v>
      </c>
      <c r="F3262" s="346" t="s">
        <v>647</v>
      </c>
      <c r="G3262" s="350" t="s">
        <v>438</v>
      </c>
      <c r="H3262" s="351">
        <f t="shared" si="55"/>
        <v>63504</v>
      </c>
      <c r="I3262" s="120" t="str">
        <f>IF(OR(D3262&lt;Capa!$A$5,D3262&gt;Capa!$A$7,E3262&lt;Capa!$A$5,E3262&gt;Capa!$A$7,D3262&gt;E3262),"Erro","")</f>
        <v/>
      </c>
    </row>
    <row r="3263" spans="1:9" ht="22.5">
      <c r="A3263" s="345">
        <v>3260</v>
      </c>
      <c r="B3263" s="346" t="s">
        <v>198</v>
      </c>
      <c r="C3263" s="347">
        <v>5601.05</v>
      </c>
      <c r="D3263" s="348">
        <v>46023</v>
      </c>
      <c r="E3263" s="348">
        <v>46357</v>
      </c>
      <c r="F3263" s="346" t="s">
        <v>647</v>
      </c>
      <c r="G3263" s="350" t="s">
        <v>438</v>
      </c>
      <c r="H3263" s="351">
        <f t="shared" si="55"/>
        <v>67212.600000000006</v>
      </c>
      <c r="I3263" s="120" t="str">
        <f>IF(OR(D3263&lt;Capa!$A$5,D3263&gt;Capa!$A$7,E3263&lt;Capa!$A$5,E3263&gt;Capa!$A$7,D3263&gt;E3263),"Erro","")</f>
        <v/>
      </c>
    </row>
    <row r="3264" spans="1:9" ht="22.5">
      <c r="A3264" s="345">
        <v>3261</v>
      </c>
      <c r="B3264" s="346" t="s">
        <v>198</v>
      </c>
      <c r="C3264" s="347">
        <v>5928.15</v>
      </c>
      <c r="D3264" s="348">
        <v>46388</v>
      </c>
      <c r="E3264" s="348">
        <v>46722</v>
      </c>
      <c r="F3264" s="346" t="s">
        <v>647</v>
      </c>
      <c r="G3264" s="350" t="s">
        <v>438</v>
      </c>
      <c r="H3264" s="351">
        <f t="shared" si="55"/>
        <v>71137.799999999988</v>
      </c>
      <c r="I3264" s="120" t="str">
        <f>IF(OR(D3264&lt;Capa!$A$5,D3264&gt;Capa!$A$7,E3264&lt;Capa!$A$5,E3264&gt;Capa!$A$7,D3264&gt;E3264),"Erro","")</f>
        <v/>
      </c>
    </row>
    <row r="3265" spans="1:9" ht="22.5">
      <c r="A3265" s="345">
        <v>3262</v>
      </c>
      <c r="B3265" s="346" t="s">
        <v>198</v>
      </c>
      <c r="C3265" s="347">
        <v>6274.36</v>
      </c>
      <c r="D3265" s="348">
        <v>46753</v>
      </c>
      <c r="E3265" s="348">
        <v>47058</v>
      </c>
      <c r="F3265" s="346" t="s">
        <v>647</v>
      </c>
      <c r="G3265" s="350" t="s">
        <v>438</v>
      </c>
      <c r="H3265" s="351">
        <f t="shared" si="55"/>
        <v>69017.959999999992</v>
      </c>
      <c r="I3265" s="120" t="str">
        <f>IF(OR(D3265&lt;Capa!$A$5,D3265&gt;Capa!$A$7,E3265&lt;Capa!$A$5,E3265&gt;Capa!$A$7,D3265&gt;E3265),"Erro","")</f>
        <v/>
      </c>
    </row>
    <row r="3266" spans="1:9" ht="22.5">
      <c r="A3266" s="345">
        <v>3263</v>
      </c>
      <c r="B3266" s="346" t="s">
        <v>202</v>
      </c>
      <c r="C3266" s="347">
        <v>908.63</v>
      </c>
      <c r="D3266" s="348">
        <v>45292</v>
      </c>
      <c r="E3266" s="348">
        <v>45352</v>
      </c>
      <c r="F3266" s="346" t="s">
        <v>647</v>
      </c>
      <c r="G3266" s="350" t="s">
        <v>439</v>
      </c>
      <c r="H3266" s="351">
        <f t="shared" si="55"/>
        <v>2725.89</v>
      </c>
      <c r="I3266" s="120" t="str">
        <f>IF(OR(D3266&lt;Capa!$A$5,D3266&gt;Capa!$A$7,E3266&lt;Capa!$A$5,E3266&gt;Capa!$A$7,D3266&gt;E3266),"Erro","")</f>
        <v/>
      </c>
    </row>
    <row r="3267" spans="1:9" ht="22.5">
      <c r="A3267" s="345">
        <v>3264</v>
      </c>
      <c r="B3267" s="346" t="s">
        <v>202</v>
      </c>
      <c r="C3267" s="347">
        <v>961.69</v>
      </c>
      <c r="D3267" s="348">
        <v>45658</v>
      </c>
      <c r="E3267" s="348">
        <v>45717</v>
      </c>
      <c r="F3267" s="346" t="s">
        <v>647</v>
      </c>
      <c r="G3267" s="350" t="s">
        <v>439</v>
      </c>
      <c r="H3267" s="351">
        <f t="shared" si="55"/>
        <v>2885.07</v>
      </c>
      <c r="I3267" s="120" t="str">
        <f>IF(OR(D3267&lt;Capa!$A$5,D3267&gt;Capa!$A$7,E3267&lt;Capa!$A$5,E3267&gt;Capa!$A$7,D3267&gt;E3267),"Erro","")</f>
        <v/>
      </c>
    </row>
    <row r="3268" spans="1:9" ht="22.5">
      <c r="A3268" s="345">
        <v>3265</v>
      </c>
      <c r="B3268" s="346" t="s">
        <v>202</v>
      </c>
      <c r="C3268" s="347">
        <v>1017.85</v>
      </c>
      <c r="D3268" s="348">
        <v>46023</v>
      </c>
      <c r="E3268" s="348">
        <v>46082</v>
      </c>
      <c r="F3268" s="346" t="s">
        <v>647</v>
      </c>
      <c r="G3268" s="350" t="s">
        <v>439</v>
      </c>
      <c r="H3268" s="351">
        <f t="shared" si="55"/>
        <v>3053.55</v>
      </c>
      <c r="I3268" s="120" t="str">
        <f>IF(OR(D3268&lt;Capa!$A$5,D3268&gt;Capa!$A$7,E3268&lt;Capa!$A$5,E3268&gt;Capa!$A$7,D3268&gt;E3268),"Erro","")</f>
        <v/>
      </c>
    </row>
    <row r="3269" spans="1:9" ht="22.5">
      <c r="A3269" s="345">
        <v>3266</v>
      </c>
      <c r="B3269" s="346" t="s">
        <v>202</v>
      </c>
      <c r="C3269" s="347">
        <v>1077.29</v>
      </c>
      <c r="D3269" s="348">
        <v>46388</v>
      </c>
      <c r="E3269" s="348">
        <v>46447</v>
      </c>
      <c r="F3269" s="346" t="s">
        <v>647</v>
      </c>
      <c r="G3269" s="350" t="s">
        <v>439</v>
      </c>
      <c r="H3269" s="351">
        <f t="shared" si="55"/>
        <v>3231.87</v>
      </c>
      <c r="I3269" s="120" t="str">
        <f>IF(OR(D3269&lt;Capa!$A$5,D3269&gt;Capa!$A$7,E3269&lt;Capa!$A$5,E3269&gt;Capa!$A$7,D3269&gt;E3269),"Erro","")</f>
        <v/>
      </c>
    </row>
    <row r="3270" spans="1:9" ht="22.5">
      <c r="A3270" s="345">
        <v>3267</v>
      </c>
      <c r="B3270" s="346" t="s">
        <v>202</v>
      </c>
      <c r="C3270" s="347">
        <v>1140.21</v>
      </c>
      <c r="D3270" s="348">
        <v>46753</v>
      </c>
      <c r="E3270" s="348">
        <v>46813</v>
      </c>
      <c r="F3270" s="346" t="s">
        <v>647</v>
      </c>
      <c r="G3270" s="350" t="s">
        <v>439</v>
      </c>
      <c r="H3270" s="351">
        <f t="shared" si="55"/>
        <v>3420.63</v>
      </c>
      <c r="I3270" s="120" t="str">
        <f>IF(OR(D3270&lt;Capa!$A$5,D3270&gt;Capa!$A$7,E3270&lt;Capa!$A$5,E3270&gt;Capa!$A$7,D3270&gt;E3270),"Erro","")</f>
        <v/>
      </c>
    </row>
    <row r="3271" spans="1:9" ht="22.5">
      <c r="A3271" s="345">
        <v>3268</v>
      </c>
      <c r="B3271" s="346" t="s">
        <v>204</v>
      </c>
      <c r="C3271" s="347">
        <v>1021.13</v>
      </c>
      <c r="D3271" s="348">
        <v>45292</v>
      </c>
      <c r="E3271" s="348">
        <v>45383</v>
      </c>
      <c r="F3271" s="346" t="s">
        <v>647</v>
      </c>
      <c r="G3271" s="350" t="s">
        <v>439</v>
      </c>
      <c r="H3271" s="351">
        <f t="shared" si="55"/>
        <v>4084.52</v>
      </c>
      <c r="I3271" s="120" t="str">
        <f>IF(OR(D3271&lt;Capa!$A$5,D3271&gt;Capa!$A$7,E3271&lt;Capa!$A$5,E3271&gt;Capa!$A$7,D3271&gt;E3271),"Erro","")</f>
        <v/>
      </c>
    </row>
    <row r="3272" spans="1:9" ht="22.5">
      <c r="A3272" s="345">
        <v>3269</v>
      </c>
      <c r="B3272" s="346" t="s">
        <v>204</v>
      </c>
      <c r="C3272" s="347">
        <v>1080.76</v>
      </c>
      <c r="D3272" s="348">
        <v>45658</v>
      </c>
      <c r="E3272" s="348">
        <v>45748</v>
      </c>
      <c r="F3272" s="346" t="s">
        <v>647</v>
      </c>
      <c r="G3272" s="350" t="s">
        <v>439</v>
      </c>
      <c r="H3272" s="351">
        <f t="shared" si="55"/>
        <v>4323.04</v>
      </c>
      <c r="I3272" s="120" t="str">
        <f>IF(OR(D3272&lt;Capa!$A$5,D3272&gt;Capa!$A$7,E3272&lt;Capa!$A$5,E3272&gt;Capa!$A$7,D3272&gt;E3272),"Erro","")</f>
        <v/>
      </c>
    </row>
    <row r="3273" spans="1:9" ht="22.5">
      <c r="A3273" s="345">
        <v>3270</v>
      </c>
      <c r="B3273" s="346" t="s">
        <v>204</v>
      </c>
      <c r="C3273" s="347">
        <v>1143.8800000000001</v>
      </c>
      <c r="D3273" s="348">
        <v>46023</v>
      </c>
      <c r="E3273" s="348">
        <v>46113</v>
      </c>
      <c r="F3273" s="346" t="s">
        <v>647</v>
      </c>
      <c r="G3273" s="350" t="s">
        <v>439</v>
      </c>
      <c r="H3273" s="351">
        <f t="shared" si="55"/>
        <v>4575.5200000000004</v>
      </c>
      <c r="I3273" s="120" t="str">
        <f>IF(OR(D3273&lt;Capa!$A$5,D3273&gt;Capa!$A$7,E3273&lt;Capa!$A$5,E3273&gt;Capa!$A$7,D3273&gt;E3273),"Erro","")</f>
        <v/>
      </c>
    </row>
    <row r="3274" spans="1:9" ht="22.5">
      <c r="A3274" s="345">
        <v>3271</v>
      </c>
      <c r="B3274" s="346" t="s">
        <v>204</v>
      </c>
      <c r="C3274" s="347">
        <v>1210.68</v>
      </c>
      <c r="D3274" s="348">
        <v>46388</v>
      </c>
      <c r="E3274" s="348">
        <v>46478</v>
      </c>
      <c r="F3274" s="346" t="s">
        <v>647</v>
      </c>
      <c r="G3274" s="350" t="s">
        <v>439</v>
      </c>
      <c r="H3274" s="351">
        <f t="shared" ref="H3274:H3335" si="56">IFERROR((DATEDIF(D3274,E3274,"M")+1)*C3274,0)</f>
        <v>4842.72</v>
      </c>
      <c r="I3274" s="120" t="str">
        <f>IF(OR(D3274&lt;Capa!$A$5,D3274&gt;Capa!$A$7,E3274&lt;Capa!$A$5,E3274&gt;Capa!$A$7,D3274&gt;E3274),"Erro","")</f>
        <v/>
      </c>
    </row>
    <row r="3275" spans="1:9" ht="22.5">
      <c r="A3275" s="345">
        <v>3272</v>
      </c>
      <c r="B3275" s="346" t="s">
        <v>204</v>
      </c>
      <c r="C3275" s="347">
        <v>1281.3800000000001</v>
      </c>
      <c r="D3275" s="348">
        <v>46753</v>
      </c>
      <c r="E3275" s="348">
        <v>46844</v>
      </c>
      <c r="F3275" s="346" t="s">
        <v>647</v>
      </c>
      <c r="G3275" s="350" t="s">
        <v>439</v>
      </c>
      <c r="H3275" s="351">
        <f t="shared" si="56"/>
        <v>5125.5200000000004</v>
      </c>
      <c r="I3275" s="120" t="str">
        <f>IF(OR(D3275&lt;Capa!$A$5,D3275&gt;Capa!$A$7,E3275&lt;Capa!$A$5,E3275&gt;Capa!$A$7,D3275&gt;E3275),"Erro","")</f>
        <v/>
      </c>
    </row>
    <row r="3276" spans="1:9" ht="22.5">
      <c r="A3276" s="345">
        <v>3273</v>
      </c>
      <c r="B3276" s="346" t="s">
        <v>206</v>
      </c>
      <c r="C3276" s="347">
        <v>1187.95</v>
      </c>
      <c r="D3276" s="348">
        <v>45261</v>
      </c>
      <c r="E3276" s="348">
        <v>45627</v>
      </c>
      <c r="F3276" s="346" t="s">
        <v>647</v>
      </c>
      <c r="G3276" s="350" t="s">
        <v>440</v>
      </c>
      <c r="H3276" s="351">
        <f t="shared" si="56"/>
        <v>15443.35</v>
      </c>
      <c r="I3276" s="120" t="str">
        <f>IF(OR(D3276&lt;Capa!$A$5,D3276&gt;Capa!$A$7,E3276&lt;Capa!$A$5,E3276&gt;Capa!$A$7,D3276&gt;E3276),"Erro","")</f>
        <v/>
      </c>
    </row>
    <row r="3277" spans="1:9" ht="22.5">
      <c r="A3277" s="345">
        <v>3274</v>
      </c>
      <c r="B3277" s="346" t="s">
        <v>206</v>
      </c>
      <c r="C3277" s="347">
        <v>1257.32</v>
      </c>
      <c r="D3277" s="348">
        <v>45658</v>
      </c>
      <c r="E3277" s="348">
        <v>45992</v>
      </c>
      <c r="F3277" s="346" t="s">
        <v>647</v>
      </c>
      <c r="G3277" s="350" t="s">
        <v>440</v>
      </c>
      <c r="H3277" s="351">
        <f t="shared" si="56"/>
        <v>15087.84</v>
      </c>
      <c r="I3277" s="120" t="str">
        <f>IF(OR(D3277&lt;Capa!$A$5,D3277&gt;Capa!$A$7,E3277&lt;Capa!$A$5,E3277&gt;Capa!$A$7,D3277&gt;E3277),"Erro","")</f>
        <v/>
      </c>
    </row>
    <row r="3278" spans="1:9" ht="22.5">
      <c r="A3278" s="345">
        <v>3275</v>
      </c>
      <c r="B3278" s="346" t="s">
        <v>206</v>
      </c>
      <c r="C3278" s="347">
        <v>1330.75</v>
      </c>
      <c r="D3278" s="348">
        <v>46023</v>
      </c>
      <c r="E3278" s="348">
        <v>46357</v>
      </c>
      <c r="F3278" s="346" t="s">
        <v>647</v>
      </c>
      <c r="G3278" s="350" t="s">
        <v>440</v>
      </c>
      <c r="H3278" s="351">
        <f t="shared" si="56"/>
        <v>15969</v>
      </c>
      <c r="I3278" s="120" t="str">
        <f>IF(OR(D3278&lt;Capa!$A$5,D3278&gt;Capa!$A$7,E3278&lt;Capa!$A$5,E3278&gt;Capa!$A$7,D3278&gt;E3278),"Erro","")</f>
        <v/>
      </c>
    </row>
    <row r="3279" spans="1:9" ht="22.5">
      <c r="A3279" s="345">
        <v>3276</v>
      </c>
      <c r="B3279" s="346" t="s">
        <v>206</v>
      </c>
      <c r="C3279" s="347">
        <v>1408.47</v>
      </c>
      <c r="D3279" s="348">
        <v>46388</v>
      </c>
      <c r="E3279" s="348">
        <v>46722</v>
      </c>
      <c r="F3279" s="346" t="s">
        <v>647</v>
      </c>
      <c r="G3279" s="350" t="s">
        <v>440</v>
      </c>
      <c r="H3279" s="351">
        <f t="shared" si="56"/>
        <v>16901.64</v>
      </c>
      <c r="I3279" s="120" t="str">
        <f>IF(OR(D3279&lt;Capa!$A$5,D3279&gt;Capa!$A$7,E3279&lt;Capa!$A$5,E3279&gt;Capa!$A$7,D3279&gt;E3279),"Erro","")</f>
        <v/>
      </c>
    </row>
    <row r="3280" spans="1:9" ht="22.5">
      <c r="A3280" s="345">
        <v>3277</v>
      </c>
      <c r="B3280" s="346" t="s">
        <v>206</v>
      </c>
      <c r="C3280" s="347">
        <v>1490.72</v>
      </c>
      <c r="D3280" s="348">
        <v>46753</v>
      </c>
      <c r="E3280" s="348">
        <v>47058</v>
      </c>
      <c r="F3280" s="346" t="s">
        <v>647</v>
      </c>
      <c r="G3280" s="350" t="s">
        <v>440</v>
      </c>
      <c r="H3280" s="351">
        <f t="shared" si="56"/>
        <v>16397.920000000002</v>
      </c>
      <c r="I3280" s="120" t="str">
        <f>IF(OR(D3280&lt;Capa!$A$5,D3280&gt;Capa!$A$7,E3280&lt;Capa!$A$5,E3280&gt;Capa!$A$7,D3280&gt;E3280),"Erro","")</f>
        <v/>
      </c>
    </row>
    <row r="3281" spans="1:9" ht="22.5">
      <c r="A3281" s="345">
        <v>3278</v>
      </c>
      <c r="B3281" s="346" t="s">
        <v>208</v>
      </c>
      <c r="C3281" s="347">
        <v>1172.5999999999999</v>
      </c>
      <c r="D3281" s="348">
        <v>45261</v>
      </c>
      <c r="E3281" s="348">
        <v>45627</v>
      </c>
      <c r="F3281" s="346" t="s">
        <v>647</v>
      </c>
      <c r="G3281" s="350" t="s">
        <v>440</v>
      </c>
      <c r="H3281" s="351">
        <f t="shared" si="56"/>
        <v>15243.8</v>
      </c>
      <c r="I3281" s="120" t="str">
        <f>IF(OR(D3281&lt;Capa!$A$5,D3281&gt;Capa!$A$7,E3281&lt;Capa!$A$5,E3281&gt;Capa!$A$7,D3281&gt;E3281),"Erro","")</f>
        <v/>
      </c>
    </row>
    <row r="3282" spans="1:9" ht="22.5">
      <c r="A3282" s="345">
        <v>3279</v>
      </c>
      <c r="B3282" s="346" t="s">
        <v>208</v>
      </c>
      <c r="C3282" s="347">
        <v>1241.07</v>
      </c>
      <c r="D3282" s="348">
        <v>45658</v>
      </c>
      <c r="E3282" s="348">
        <v>45992</v>
      </c>
      <c r="F3282" s="346" t="s">
        <v>647</v>
      </c>
      <c r="G3282" s="350" t="s">
        <v>440</v>
      </c>
      <c r="H3282" s="351">
        <f t="shared" si="56"/>
        <v>14892.84</v>
      </c>
      <c r="I3282" s="120" t="str">
        <f>IF(OR(D3282&lt;Capa!$A$5,D3282&gt;Capa!$A$7,E3282&lt;Capa!$A$5,E3282&gt;Capa!$A$7,D3282&gt;E3282),"Erro","")</f>
        <v/>
      </c>
    </row>
    <row r="3283" spans="1:9" ht="22.5">
      <c r="A3283" s="345">
        <v>3280</v>
      </c>
      <c r="B3283" s="346" t="s">
        <v>208</v>
      </c>
      <c r="C3283" s="347">
        <v>1313.55</v>
      </c>
      <c r="D3283" s="348">
        <v>46023</v>
      </c>
      <c r="E3283" s="348">
        <v>46357</v>
      </c>
      <c r="F3283" s="346" t="s">
        <v>647</v>
      </c>
      <c r="G3283" s="350" t="s">
        <v>440</v>
      </c>
      <c r="H3283" s="351">
        <f t="shared" si="56"/>
        <v>15762.599999999999</v>
      </c>
      <c r="I3283" s="120" t="str">
        <f>IF(OR(D3283&lt;Capa!$A$5,D3283&gt;Capa!$A$7,E3283&lt;Capa!$A$5,E3283&gt;Capa!$A$7,D3283&gt;E3283),"Erro","")</f>
        <v/>
      </c>
    </row>
    <row r="3284" spans="1:9" ht="22.5">
      <c r="A3284" s="345">
        <v>3281</v>
      </c>
      <c r="B3284" s="346" t="s">
        <v>208</v>
      </c>
      <c r="C3284" s="347">
        <v>1390.27</v>
      </c>
      <c r="D3284" s="348">
        <v>46388</v>
      </c>
      <c r="E3284" s="348">
        <v>46722</v>
      </c>
      <c r="F3284" s="346" t="s">
        <v>647</v>
      </c>
      <c r="G3284" s="350" t="s">
        <v>440</v>
      </c>
      <c r="H3284" s="351">
        <f t="shared" si="56"/>
        <v>16683.239999999998</v>
      </c>
      <c r="I3284" s="120" t="str">
        <f>IF(OR(D3284&lt;Capa!$A$5,D3284&gt;Capa!$A$7,E3284&lt;Capa!$A$5,E3284&gt;Capa!$A$7,D3284&gt;E3284),"Erro","")</f>
        <v/>
      </c>
    </row>
    <row r="3285" spans="1:9" ht="22.5">
      <c r="A3285" s="345">
        <v>3282</v>
      </c>
      <c r="B3285" s="346" t="s">
        <v>208</v>
      </c>
      <c r="C3285" s="347">
        <v>1471.46</v>
      </c>
      <c r="D3285" s="348">
        <v>46753</v>
      </c>
      <c r="E3285" s="348">
        <v>47058</v>
      </c>
      <c r="F3285" s="346" t="s">
        <v>647</v>
      </c>
      <c r="G3285" s="350" t="s">
        <v>440</v>
      </c>
      <c r="H3285" s="351">
        <f t="shared" si="56"/>
        <v>16186.060000000001</v>
      </c>
      <c r="I3285" s="120" t="str">
        <f>IF(OR(D3285&lt;Capa!$A$5,D3285&gt;Capa!$A$7,E3285&lt;Capa!$A$5,E3285&gt;Capa!$A$7,D3285&gt;E3285),"Erro","")</f>
        <v/>
      </c>
    </row>
    <row r="3286" spans="1:9" ht="22.5">
      <c r="A3286" s="345">
        <v>3283</v>
      </c>
      <c r="B3286" s="346" t="s">
        <v>210</v>
      </c>
      <c r="C3286" s="347">
        <v>55.27</v>
      </c>
      <c r="D3286" s="348">
        <v>45261</v>
      </c>
      <c r="E3286" s="348">
        <v>45627</v>
      </c>
      <c r="F3286" s="346" t="s">
        <v>647</v>
      </c>
      <c r="G3286" s="350" t="s">
        <v>440</v>
      </c>
      <c r="H3286" s="351">
        <f t="shared" si="56"/>
        <v>718.51</v>
      </c>
      <c r="I3286" s="120" t="str">
        <f>IF(OR(D3286&lt;Capa!$A$5,D3286&gt;Capa!$A$7,E3286&lt;Capa!$A$5,E3286&gt;Capa!$A$7,D3286&gt;E3286),"Erro","")</f>
        <v/>
      </c>
    </row>
    <row r="3287" spans="1:9" ht="22.5">
      <c r="A3287" s="345">
        <v>3284</v>
      </c>
      <c r="B3287" s="346" t="s">
        <v>210</v>
      </c>
      <c r="C3287" s="347">
        <v>58.44</v>
      </c>
      <c r="D3287" s="348">
        <v>45658</v>
      </c>
      <c r="E3287" s="348">
        <v>45992</v>
      </c>
      <c r="F3287" s="346" t="s">
        <v>647</v>
      </c>
      <c r="G3287" s="350" t="s">
        <v>440</v>
      </c>
      <c r="H3287" s="351">
        <f t="shared" si="56"/>
        <v>701.28</v>
      </c>
      <c r="I3287" s="120" t="str">
        <f>IF(OR(D3287&lt;Capa!$A$5,D3287&gt;Capa!$A$7,E3287&lt;Capa!$A$5,E3287&gt;Capa!$A$7,D3287&gt;E3287),"Erro","")</f>
        <v/>
      </c>
    </row>
    <row r="3288" spans="1:9" ht="22.5">
      <c r="A3288" s="345">
        <v>3285</v>
      </c>
      <c r="B3288" s="346" t="s">
        <v>210</v>
      </c>
      <c r="C3288" s="347">
        <v>61.91</v>
      </c>
      <c r="D3288" s="348">
        <v>46023</v>
      </c>
      <c r="E3288" s="348">
        <v>46357</v>
      </c>
      <c r="F3288" s="346" t="s">
        <v>647</v>
      </c>
      <c r="G3288" s="350" t="s">
        <v>440</v>
      </c>
      <c r="H3288" s="351">
        <f t="shared" si="56"/>
        <v>742.92</v>
      </c>
      <c r="I3288" s="120" t="str">
        <f>IF(OR(D3288&lt;Capa!$A$5,D3288&gt;Capa!$A$7,E3288&lt;Capa!$A$5,E3288&gt;Capa!$A$7,D3288&gt;E3288),"Erro","")</f>
        <v/>
      </c>
    </row>
    <row r="3289" spans="1:9" ht="22.5">
      <c r="A3289" s="345">
        <v>3286</v>
      </c>
      <c r="B3289" s="346" t="s">
        <v>210</v>
      </c>
      <c r="C3289" s="347">
        <v>65.53</v>
      </c>
      <c r="D3289" s="348">
        <v>46388</v>
      </c>
      <c r="E3289" s="348">
        <v>46722</v>
      </c>
      <c r="F3289" s="346" t="s">
        <v>647</v>
      </c>
      <c r="G3289" s="350" t="s">
        <v>440</v>
      </c>
      <c r="H3289" s="351">
        <f t="shared" si="56"/>
        <v>786.36</v>
      </c>
      <c r="I3289" s="120" t="str">
        <f>IF(OR(D3289&lt;Capa!$A$5,D3289&gt;Capa!$A$7,E3289&lt;Capa!$A$5,E3289&gt;Capa!$A$7,D3289&gt;E3289),"Erro","")</f>
        <v/>
      </c>
    </row>
    <row r="3290" spans="1:9" ht="22.5">
      <c r="A3290" s="345">
        <v>3287</v>
      </c>
      <c r="B3290" s="346" t="s">
        <v>210</v>
      </c>
      <c r="C3290" s="347">
        <v>69.36</v>
      </c>
      <c r="D3290" s="348">
        <v>46753</v>
      </c>
      <c r="E3290" s="348">
        <v>47058</v>
      </c>
      <c r="F3290" s="346" t="s">
        <v>647</v>
      </c>
      <c r="G3290" s="350" t="s">
        <v>440</v>
      </c>
      <c r="H3290" s="351">
        <f t="shared" si="56"/>
        <v>762.96</v>
      </c>
      <c r="I3290" s="120" t="str">
        <f>IF(OR(D3290&lt;Capa!$A$5,D3290&gt;Capa!$A$7,E3290&lt;Capa!$A$5,E3290&gt;Capa!$A$7,D3290&gt;E3290),"Erro","")</f>
        <v/>
      </c>
    </row>
    <row r="3291" spans="1:9" ht="22.5">
      <c r="A3291" s="345">
        <v>3288</v>
      </c>
      <c r="B3291" s="346" t="s">
        <v>214</v>
      </c>
      <c r="C3291" s="347">
        <v>116.9</v>
      </c>
      <c r="D3291" s="348">
        <v>45261</v>
      </c>
      <c r="E3291" s="348">
        <v>45627</v>
      </c>
      <c r="F3291" s="346" t="s">
        <v>647</v>
      </c>
      <c r="G3291" s="350" t="s">
        <v>440</v>
      </c>
      <c r="H3291" s="351">
        <f t="shared" si="56"/>
        <v>1519.7</v>
      </c>
      <c r="I3291" s="120" t="str">
        <f>IF(OR(D3291&lt;Capa!$A$5,D3291&gt;Capa!$A$7,E3291&lt;Capa!$A$5,E3291&gt;Capa!$A$7,D3291&gt;E3291),"Erro","")</f>
        <v/>
      </c>
    </row>
    <row r="3292" spans="1:9" ht="22.5">
      <c r="A3292" s="345">
        <v>3289</v>
      </c>
      <c r="B3292" s="346" t="s">
        <v>214</v>
      </c>
      <c r="C3292" s="347">
        <v>123.73</v>
      </c>
      <c r="D3292" s="348">
        <v>45658</v>
      </c>
      <c r="E3292" s="348">
        <v>45992</v>
      </c>
      <c r="F3292" s="346" t="s">
        <v>647</v>
      </c>
      <c r="G3292" s="350" t="s">
        <v>440</v>
      </c>
      <c r="H3292" s="351">
        <f t="shared" si="56"/>
        <v>1484.76</v>
      </c>
      <c r="I3292" s="120" t="str">
        <f>IF(OR(D3292&lt;Capa!$A$5,D3292&gt;Capa!$A$7,E3292&lt;Capa!$A$5,E3292&gt;Capa!$A$7,D3292&gt;E3292),"Erro","")</f>
        <v/>
      </c>
    </row>
    <row r="3293" spans="1:9" ht="22.5">
      <c r="A3293" s="345">
        <v>3290</v>
      </c>
      <c r="B3293" s="346" t="s">
        <v>214</v>
      </c>
      <c r="C3293" s="347">
        <v>130.94999999999999</v>
      </c>
      <c r="D3293" s="348">
        <v>46023</v>
      </c>
      <c r="E3293" s="348">
        <v>46357</v>
      </c>
      <c r="F3293" s="346" t="s">
        <v>647</v>
      </c>
      <c r="G3293" s="350" t="s">
        <v>440</v>
      </c>
      <c r="H3293" s="351">
        <f t="shared" si="56"/>
        <v>1571.3999999999999</v>
      </c>
      <c r="I3293" s="120" t="str">
        <f>IF(OR(D3293&lt;Capa!$A$5,D3293&gt;Capa!$A$7,E3293&lt;Capa!$A$5,E3293&gt;Capa!$A$7,D3293&gt;E3293),"Erro","")</f>
        <v/>
      </c>
    </row>
    <row r="3294" spans="1:9" ht="22.5">
      <c r="A3294" s="345">
        <v>3291</v>
      </c>
      <c r="B3294" s="346" t="s">
        <v>214</v>
      </c>
      <c r="C3294" s="347">
        <v>138.6</v>
      </c>
      <c r="D3294" s="348">
        <v>46388</v>
      </c>
      <c r="E3294" s="348">
        <v>46722</v>
      </c>
      <c r="F3294" s="346" t="s">
        <v>647</v>
      </c>
      <c r="G3294" s="350" t="s">
        <v>440</v>
      </c>
      <c r="H3294" s="351">
        <f t="shared" si="56"/>
        <v>1663.1999999999998</v>
      </c>
      <c r="I3294" s="120" t="str">
        <f>IF(OR(D3294&lt;Capa!$A$5,D3294&gt;Capa!$A$7,E3294&lt;Capa!$A$5,E3294&gt;Capa!$A$7,D3294&gt;E3294),"Erro","")</f>
        <v/>
      </c>
    </row>
    <row r="3295" spans="1:9" ht="22.5">
      <c r="A3295" s="345">
        <v>3292</v>
      </c>
      <c r="B3295" s="346" t="s">
        <v>214</v>
      </c>
      <c r="C3295" s="347">
        <v>146.69</v>
      </c>
      <c r="D3295" s="348">
        <v>46753</v>
      </c>
      <c r="E3295" s="348">
        <v>47058</v>
      </c>
      <c r="F3295" s="346" t="s">
        <v>647</v>
      </c>
      <c r="G3295" s="350" t="s">
        <v>440</v>
      </c>
      <c r="H3295" s="351">
        <f t="shared" si="56"/>
        <v>1613.59</v>
      </c>
      <c r="I3295" s="120" t="str">
        <f>IF(OR(D3295&lt;Capa!$A$5,D3295&gt;Capa!$A$7,E3295&lt;Capa!$A$5,E3295&gt;Capa!$A$7,D3295&gt;E3295),"Erro","")</f>
        <v/>
      </c>
    </row>
    <row r="3296" spans="1:9" ht="56.25">
      <c r="A3296" s="345">
        <v>3293</v>
      </c>
      <c r="B3296" s="346" t="s">
        <v>212</v>
      </c>
      <c r="C3296" s="347">
        <v>235.74</v>
      </c>
      <c r="D3296" s="348">
        <v>45261</v>
      </c>
      <c r="E3296" s="348">
        <v>45627</v>
      </c>
      <c r="F3296" s="346" t="s">
        <v>647</v>
      </c>
      <c r="G3296" s="350" t="s">
        <v>503</v>
      </c>
      <c r="H3296" s="351">
        <f t="shared" si="56"/>
        <v>3064.62</v>
      </c>
      <c r="I3296" s="120" t="str">
        <f>IF(OR(D3296&lt;Capa!$A$5,D3296&gt;Capa!$A$7,E3296&lt;Capa!$A$5,E3296&gt;Capa!$A$7,D3296&gt;E3296),"Erro","")</f>
        <v/>
      </c>
    </row>
    <row r="3297" spans="1:9" ht="56.25">
      <c r="A3297" s="345">
        <v>3294</v>
      </c>
      <c r="B3297" s="346" t="s">
        <v>212</v>
      </c>
      <c r="C3297" s="347">
        <v>249.5</v>
      </c>
      <c r="D3297" s="348">
        <v>45658</v>
      </c>
      <c r="E3297" s="348">
        <v>45992</v>
      </c>
      <c r="F3297" s="346" t="s">
        <v>647</v>
      </c>
      <c r="G3297" s="350" t="s">
        <v>503</v>
      </c>
      <c r="H3297" s="351">
        <f t="shared" si="56"/>
        <v>2994</v>
      </c>
      <c r="I3297" s="120" t="str">
        <f>IF(OR(D3297&lt;Capa!$A$5,D3297&gt;Capa!$A$7,E3297&lt;Capa!$A$5,E3297&gt;Capa!$A$7,D3297&gt;E3297),"Erro","")</f>
        <v/>
      </c>
    </row>
    <row r="3298" spans="1:9" ht="56.25">
      <c r="A3298" s="345">
        <v>3295</v>
      </c>
      <c r="B3298" s="346" t="s">
        <v>212</v>
      </c>
      <c r="C3298" s="347">
        <v>264.07</v>
      </c>
      <c r="D3298" s="348">
        <v>46023</v>
      </c>
      <c r="E3298" s="348">
        <v>46357</v>
      </c>
      <c r="F3298" s="346" t="s">
        <v>647</v>
      </c>
      <c r="G3298" s="350" t="s">
        <v>503</v>
      </c>
      <c r="H3298" s="351">
        <f t="shared" si="56"/>
        <v>3168.84</v>
      </c>
      <c r="I3298" s="120" t="str">
        <f>IF(OR(D3298&lt;Capa!$A$5,D3298&gt;Capa!$A$7,E3298&lt;Capa!$A$5,E3298&gt;Capa!$A$7,D3298&gt;E3298),"Erro","")</f>
        <v/>
      </c>
    </row>
    <row r="3299" spans="1:9" ht="56.25">
      <c r="A3299" s="345">
        <v>3296</v>
      </c>
      <c r="B3299" s="346" t="s">
        <v>212</v>
      </c>
      <c r="C3299" s="347">
        <v>279.5</v>
      </c>
      <c r="D3299" s="348">
        <v>46388</v>
      </c>
      <c r="E3299" s="348">
        <v>46722</v>
      </c>
      <c r="F3299" s="346" t="s">
        <v>647</v>
      </c>
      <c r="G3299" s="350" t="s">
        <v>503</v>
      </c>
      <c r="H3299" s="351">
        <f t="shared" si="56"/>
        <v>3354</v>
      </c>
      <c r="I3299" s="120" t="str">
        <f>IF(OR(D3299&lt;Capa!$A$5,D3299&gt;Capa!$A$7,E3299&lt;Capa!$A$5,E3299&gt;Capa!$A$7,D3299&gt;E3299),"Erro","")</f>
        <v/>
      </c>
    </row>
    <row r="3300" spans="1:9" ht="56.25">
      <c r="A3300" s="345">
        <v>3297</v>
      </c>
      <c r="B3300" s="346" t="s">
        <v>212</v>
      </c>
      <c r="C3300" s="347">
        <v>295.82</v>
      </c>
      <c r="D3300" s="348">
        <v>46753</v>
      </c>
      <c r="E3300" s="348">
        <v>47058</v>
      </c>
      <c r="F3300" s="346" t="s">
        <v>647</v>
      </c>
      <c r="G3300" s="350" t="s">
        <v>503</v>
      </c>
      <c r="H3300" s="351">
        <f t="shared" si="56"/>
        <v>3254.02</v>
      </c>
      <c r="I3300" s="120" t="str">
        <f>IF(OR(D3300&lt;Capa!$A$5,D3300&gt;Capa!$A$7,E3300&lt;Capa!$A$5,E3300&gt;Capa!$A$7,D3300&gt;E3300),"Erro","")</f>
        <v/>
      </c>
    </row>
    <row r="3301" spans="1:9" ht="45">
      <c r="A3301" s="345">
        <v>3298</v>
      </c>
      <c r="B3301" s="346" t="s">
        <v>248</v>
      </c>
      <c r="C3301" s="347">
        <v>846</v>
      </c>
      <c r="D3301" s="348">
        <v>45323</v>
      </c>
      <c r="E3301" s="348">
        <v>45444</v>
      </c>
      <c r="F3301" s="346" t="s">
        <v>647</v>
      </c>
      <c r="G3301" s="350" t="s">
        <v>441</v>
      </c>
      <c r="H3301" s="351">
        <f t="shared" si="56"/>
        <v>4230</v>
      </c>
      <c r="I3301" s="120" t="str">
        <f>IF(OR(D3301&lt;Capa!$A$5,D3301&gt;Capa!$A$7,E3301&lt;Capa!$A$5,E3301&gt;Capa!$A$7,D3301&gt;E3301),"Erro","")</f>
        <v/>
      </c>
    </row>
    <row r="3302" spans="1:9" ht="45">
      <c r="A3302" s="345">
        <v>3299</v>
      </c>
      <c r="B3302" s="346" t="s">
        <v>248</v>
      </c>
      <c r="C3302" s="347">
        <v>846</v>
      </c>
      <c r="D3302" s="348">
        <v>45597</v>
      </c>
      <c r="E3302" s="348">
        <v>45809</v>
      </c>
      <c r="F3302" s="346" t="s">
        <v>647</v>
      </c>
      <c r="G3302" s="350" t="s">
        <v>441</v>
      </c>
      <c r="H3302" s="351">
        <f t="shared" si="56"/>
        <v>6768</v>
      </c>
      <c r="I3302" s="120" t="str">
        <f>IF(OR(D3302&lt;Capa!$A$5,D3302&gt;Capa!$A$7,E3302&lt;Capa!$A$5,E3302&gt;Capa!$A$7,D3302&gt;E3302),"Erro","")</f>
        <v/>
      </c>
    </row>
    <row r="3303" spans="1:9" ht="45">
      <c r="A3303" s="345">
        <v>3300</v>
      </c>
      <c r="B3303" s="346" t="s">
        <v>248</v>
      </c>
      <c r="C3303" s="347">
        <v>846</v>
      </c>
      <c r="D3303" s="348">
        <v>45962</v>
      </c>
      <c r="E3303" s="348">
        <v>46174</v>
      </c>
      <c r="F3303" s="346" t="s">
        <v>647</v>
      </c>
      <c r="G3303" s="350" t="s">
        <v>441</v>
      </c>
      <c r="H3303" s="351">
        <f t="shared" si="56"/>
        <v>6768</v>
      </c>
      <c r="I3303" s="120" t="str">
        <f>IF(OR(D3303&lt;Capa!$A$5,D3303&gt;Capa!$A$7,E3303&lt;Capa!$A$5,E3303&gt;Capa!$A$7,D3303&gt;E3303),"Erro","")</f>
        <v/>
      </c>
    </row>
    <row r="3304" spans="1:9" ht="45">
      <c r="A3304" s="345">
        <v>3301</v>
      </c>
      <c r="B3304" s="346" t="s">
        <v>248</v>
      </c>
      <c r="C3304" s="347">
        <v>846</v>
      </c>
      <c r="D3304" s="348">
        <v>46327</v>
      </c>
      <c r="E3304" s="348">
        <v>46539</v>
      </c>
      <c r="F3304" s="346" t="s">
        <v>647</v>
      </c>
      <c r="G3304" s="350" t="s">
        <v>441</v>
      </c>
      <c r="H3304" s="351">
        <f t="shared" si="56"/>
        <v>6768</v>
      </c>
      <c r="I3304" s="120" t="str">
        <f>IF(OR(D3304&lt;Capa!$A$5,D3304&gt;Capa!$A$7,E3304&lt;Capa!$A$5,E3304&gt;Capa!$A$7,D3304&gt;E3304),"Erro","")</f>
        <v/>
      </c>
    </row>
    <row r="3305" spans="1:9" ht="45">
      <c r="A3305" s="345">
        <v>3302</v>
      </c>
      <c r="B3305" s="346" t="s">
        <v>248</v>
      </c>
      <c r="C3305" s="347">
        <v>846</v>
      </c>
      <c r="D3305" s="348">
        <v>46692</v>
      </c>
      <c r="E3305" s="348">
        <v>46905</v>
      </c>
      <c r="F3305" s="346" t="s">
        <v>647</v>
      </c>
      <c r="G3305" s="350" t="s">
        <v>441</v>
      </c>
      <c r="H3305" s="351">
        <f t="shared" si="56"/>
        <v>6768</v>
      </c>
      <c r="I3305" s="120" t="str">
        <f>IF(OR(D3305&lt;Capa!$A$5,D3305&gt;Capa!$A$7,E3305&lt;Capa!$A$5,E3305&gt;Capa!$A$7,D3305&gt;E3305),"Erro","")</f>
        <v/>
      </c>
    </row>
    <row r="3306" spans="1:9" ht="33.75">
      <c r="A3306" s="345">
        <v>3303</v>
      </c>
      <c r="B3306" s="346" t="s">
        <v>266</v>
      </c>
      <c r="C3306" s="347">
        <v>600</v>
      </c>
      <c r="D3306" s="348">
        <v>45658</v>
      </c>
      <c r="E3306" s="348">
        <v>45717</v>
      </c>
      <c r="F3306" s="346" t="s">
        <v>647</v>
      </c>
      <c r="G3306" s="350" t="s">
        <v>442</v>
      </c>
      <c r="H3306" s="351">
        <f t="shared" si="56"/>
        <v>1800</v>
      </c>
      <c r="I3306" s="120" t="str">
        <f>IF(OR(D3306&lt;Capa!$A$5,D3306&gt;Capa!$A$7,E3306&lt;Capa!$A$5,E3306&gt;Capa!$A$7,D3306&gt;E3306),"Erro","")</f>
        <v/>
      </c>
    </row>
    <row r="3307" spans="1:9" ht="33.75">
      <c r="A3307" s="345">
        <v>3304</v>
      </c>
      <c r="B3307" s="346" t="s">
        <v>266</v>
      </c>
      <c r="C3307" s="347">
        <v>600</v>
      </c>
      <c r="D3307" s="348">
        <v>46023</v>
      </c>
      <c r="E3307" s="348">
        <v>46082</v>
      </c>
      <c r="F3307" s="346" t="s">
        <v>647</v>
      </c>
      <c r="G3307" s="350" t="s">
        <v>442</v>
      </c>
      <c r="H3307" s="351">
        <f t="shared" si="56"/>
        <v>1800</v>
      </c>
      <c r="I3307" s="120" t="str">
        <f>IF(OR(D3307&lt;Capa!$A$5,D3307&gt;Capa!$A$7,E3307&lt;Capa!$A$5,E3307&gt;Capa!$A$7,D3307&gt;E3307),"Erro","")</f>
        <v/>
      </c>
    </row>
    <row r="3308" spans="1:9" ht="33.75">
      <c r="A3308" s="345">
        <v>3305</v>
      </c>
      <c r="B3308" s="346" t="s">
        <v>266</v>
      </c>
      <c r="C3308" s="347">
        <v>600</v>
      </c>
      <c r="D3308" s="348">
        <v>46388</v>
      </c>
      <c r="E3308" s="348">
        <v>46447</v>
      </c>
      <c r="F3308" s="346" t="s">
        <v>647</v>
      </c>
      <c r="G3308" s="350" t="s">
        <v>442</v>
      </c>
      <c r="H3308" s="351">
        <f t="shared" si="56"/>
        <v>1800</v>
      </c>
      <c r="I3308" s="120" t="str">
        <f>IF(OR(D3308&lt;Capa!$A$5,D3308&gt;Capa!$A$7,E3308&lt;Capa!$A$5,E3308&gt;Capa!$A$7,D3308&gt;E3308),"Erro","")</f>
        <v/>
      </c>
    </row>
    <row r="3309" spans="1:9" ht="33.75">
      <c r="A3309" s="345">
        <v>3306</v>
      </c>
      <c r="B3309" s="346" t="s">
        <v>266</v>
      </c>
      <c r="C3309" s="347">
        <v>600</v>
      </c>
      <c r="D3309" s="348">
        <v>46753</v>
      </c>
      <c r="E3309" s="348">
        <v>46813</v>
      </c>
      <c r="F3309" s="346" t="s">
        <v>647</v>
      </c>
      <c r="G3309" s="350" t="s">
        <v>442</v>
      </c>
      <c r="H3309" s="351">
        <f t="shared" si="56"/>
        <v>1800</v>
      </c>
      <c r="I3309" s="120" t="str">
        <f>IF(OR(D3309&lt;Capa!$A$5,D3309&gt;Capa!$A$7,E3309&lt;Capa!$A$5,E3309&gt;Capa!$A$7,D3309&gt;E3309),"Erro","")</f>
        <v/>
      </c>
    </row>
    <row r="3310" spans="1:9" ht="22.5">
      <c r="A3310" s="345">
        <v>3307</v>
      </c>
      <c r="B3310" s="346" t="s">
        <v>274</v>
      </c>
      <c r="C3310" s="347">
        <v>1100</v>
      </c>
      <c r="D3310" s="348">
        <v>45261</v>
      </c>
      <c r="E3310" s="348">
        <v>45627</v>
      </c>
      <c r="F3310" s="346" t="s">
        <v>647</v>
      </c>
      <c r="G3310" s="350" t="s">
        <v>443</v>
      </c>
      <c r="H3310" s="351">
        <f t="shared" si="56"/>
        <v>14300</v>
      </c>
      <c r="I3310" s="120" t="str">
        <f>IF(OR(D3310&lt;Capa!$A$5,D3310&gt;Capa!$A$7,E3310&lt;Capa!$A$5,E3310&gt;Capa!$A$7,D3310&gt;E3310),"Erro","")</f>
        <v/>
      </c>
    </row>
    <row r="3311" spans="1:9" ht="22.5">
      <c r="A3311" s="345">
        <v>3308</v>
      </c>
      <c r="B3311" s="346" t="s">
        <v>274</v>
      </c>
      <c r="C3311" s="347">
        <v>1164.24</v>
      </c>
      <c r="D3311" s="348">
        <v>45658</v>
      </c>
      <c r="E3311" s="348">
        <v>45992</v>
      </c>
      <c r="F3311" s="346" t="s">
        <v>647</v>
      </c>
      <c r="G3311" s="350" t="s">
        <v>443</v>
      </c>
      <c r="H3311" s="351">
        <f t="shared" si="56"/>
        <v>13970.880000000001</v>
      </c>
      <c r="I3311" s="120" t="str">
        <f>IF(OR(D3311&lt;Capa!$A$5,D3311&gt;Capa!$A$7,E3311&lt;Capa!$A$5,E3311&gt;Capa!$A$7,D3311&gt;E3311),"Erro","")</f>
        <v/>
      </c>
    </row>
    <row r="3312" spans="1:9" ht="22.5">
      <c r="A3312" s="345">
        <v>3309</v>
      </c>
      <c r="B3312" s="346" t="s">
        <v>274</v>
      </c>
      <c r="C3312" s="347">
        <v>1232.23</v>
      </c>
      <c r="D3312" s="348">
        <v>46023</v>
      </c>
      <c r="E3312" s="348">
        <v>46357</v>
      </c>
      <c r="F3312" s="346" t="s">
        <v>647</v>
      </c>
      <c r="G3312" s="350" t="s">
        <v>443</v>
      </c>
      <c r="H3312" s="351">
        <f t="shared" si="56"/>
        <v>14786.76</v>
      </c>
      <c r="I3312" s="120" t="str">
        <f>IF(OR(D3312&lt;Capa!$A$5,D3312&gt;Capa!$A$7,E3312&lt;Capa!$A$5,E3312&gt;Capa!$A$7,D3312&gt;E3312),"Erro","")</f>
        <v/>
      </c>
    </row>
    <row r="3313" spans="1:9" ht="22.5">
      <c r="A3313" s="345">
        <v>3310</v>
      </c>
      <c r="B3313" s="346" t="s">
        <v>274</v>
      </c>
      <c r="C3313" s="347">
        <v>1304.19</v>
      </c>
      <c r="D3313" s="348">
        <v>46388</v>
      </c>
      <c r="E3313" s="348">
        <v>46722</v>
      </c>
      <c r="F3313" s="346" t="s">
        <v>647</v>
      </c>
      <c r="G3313" s="350" t="s">
        <v>443</v>
      </c>
      <c r="H3313" s="351">
        <f t="shared" si="56"/>
        <v>15650.28</v>
      </c>
      <c r="I3313" s="120" t="str">
        <f>IF(OR(D3313&lt;Capa!$A$5,D3313&gt;Capa!$A$7,E3313&lt;Capa!$A$5,E3313&gt;Capa!$A$7,D3313&gt;E3313),"Erro","")</f>
        <v/>
      </c>
    </row>
    <row r="3314" spans="1:9" ht="22.5">
      <c r="A3314" s="345">
        <v>3311</v>
      </c>
      <c r="B3314" s="346" t="s">
        <v>274</v>
      </c>
      <c r="C3314" s="347">
        <v>1380.35</v>
      </c>
      <c r="D3314" s="348">
        <v>46753</v>
      </c>
      <c r="E3314" s="348">
        <v>47058</v>
      </c>
      <c r="F3314" s="346" t="s">
        <v>647</v>
      </c>
      <c r="G3314" s="350" t="s">
        <v>443</v>
      </c>
      <c r="H3314" s="351">
        <f t="shared" si="56"/>
        <v>15183.849999999999</v>
      </c>
      <c r="I3314" s="120" t="str">
        <f>IF(OR(D3314&lt;Capa!$A$5,D3314&gt;Capa!$A$7,E3314&lt;Capa!$A$5,E3314&gt;Capa!$A$7,D3314&gt;E3314),"Erro","")</f>
        <v/>
      </c>
    </row>
    <row r="3315" spans="1:9" ht="56.25">
      <c r="A3315" s="345">
        <v>3312</v>
      </c>
      <c r="B3315" s="346" t="s">
        <v>236</v>
      </c>
      <c r="C3315" s="347">
        <v>690.19</v>
      </c>
      <c r="D3315" s="348">
        <v>45292</v>
      </c>
      <c r="E3315" s="348">
        <v>45627</v>
      </c>
      <c r="F3315" s="346" t="s">
        <v>647</v>
      </c>
      <c r="G3315" s="350" t="s">
        <v>444</v>
      </c>
      <c r="H3315" s="351">
        <f t="shared" si="56"/>
        <v>8282.2800000000007</v>
      </c>
      <c r="I3315" s="120" t="str">
        <f>IF(OR(D3315&lt;Capa!$A$5,D3315&gt;Capa!$A$7,E3315&lt;Capa!$A$5,E3315&gt;Capa!$A$7,D3315&gt;E3315),"Erro","")</f>
        <v/>
      </c>
    </row>
    <row r="3316" spans="1:9" ht="56.25">
      <c r="A3316" s="345">
        <v>3313</v>
      </c>
      <c r="B3316" s="346" t="s">
        <v>236</v>
      </c>
      <c r="C3316" s="347">
        <v>760.49</v>
      </c>
      <c r="D3316" s="348">
        <v>45658</v>
      </c>
      <c r="E3316" s="348">
        <v>45992</v>
      </c>
      <c r="F3316" s="346" t="s">
        <v>647</v>
      </c>
      <c r="G3316" s="350" t="s">
        <v>444</v>
      </c>
      <c r="H3316" s="351">
        <f t="shared" si="56"/>
        <v>9125.880000000001</v>
      </c>
      <c r="I3316" s="120" t="str">
        <f>IF(OR(D3316&lt;Capa!$A$5,D3316&gt;Capa!$A$7,E3316&lt;Capa!$A$5,E3316&gt;Capa!$A$7,D3316&gt;E3316),"Erro","")</f>
        <v/>
      </c>
    </row>
    <row r="3317" spans="1:9" ht="56.25">
      <c r="A3317" s="345">
        <v>3314</v>
      </c>
      <c r="B3317" s="346" t="s">
        <v>236</v>
      </c>
      <c r="C3317" s="347">
        <v>773.16</v>
      </c>
      <c r="D3317" s="348">
        <v>46023</v>
      </c>
      <c r="E3317" s="348">
        <v>46357</v>
      </c>
      <c r="F3317" s="346" t="s">
        <v>647</v>
      </c>
      <c r="G3317" s="350" t="s">
        <v>444</v>
      </c>
      <c r="H3317" s="351">
        <f t="shared" si="56"/>
        <v>9277.92</v>
      </c>
      <c r="I3317" s="120" t="str">
        <f>IF(OR(D3317&lt;Capa!$A$5,D3317&gt;Capa!$A$7,E3317&lt;Capa!$A$5,E3317&gt;Capa!$A$7,D3317&gt;E3317),"Erro","")</f>
        <v/>
      </c>
    </row>
    <row r="3318" spans="1:9" ht="56.25">
      <c r="A3318" s="345">
        <v>3315</v>
      </c>
      <c r="B3318" s="346" t="s">
        <v>236</v>
      </c>
      <c r="C3318" s="347">
        <v>818.31</v>
      </c>
      <c r="D3318" s="348">
        <v>46388</v>
      </c>
      <c r="E3318" s="348">
        <v>46722</v>
      </c>
      <c r="F3318" s="346" t="s">
        <v>647</v>
      </c>
      <c r="G3318" s="350" t="s">
        <v>444</v>
      </c>
      <c r="H3318" s="351">
        <f t="shared" si="56"/>
        <v>9819.7199999999993</v>
      </c>
      <c r="I3318" s="120" t="str">
        <f>IF(OR(D3318&lt;Capa!$A$5,D3318&gt;Capa!$A$7,E3318&lt;Capa!$A$5,E3318&gt;Capa!$A$7,D3318&gt;E3318),"Erro","")</f>
        <v/>
      </c>
    </row>
    <row r="3319" spans="1:9" ht="56.25">
      <c r="A3319" s="345">
        <v>3316</v>
      </c>
      <c r="B3319" s="346" t="s">
        <v>236</v>
      </c>
      <c r="C3319" s="347">
        <v>866.09</v>
      </c>
      <c r="D3319" s="348">
        <v>46753</v>
      </c>
      <c r="E3319" s="348">
        <v>47058</v>
      </c>
      <c r="F3319" s="346" t="s">
        <v>647</v>
      </c>
      <c r="G3319" s="350" t="s">
        <v>444</v>
      </c>
      <c r="H3319" s="351">
        <f t="shared" si="56"/>
        <v>9526.99</v>
      </c>
      <c r="I3319" s="120" t="str">
        <f>IF(OR(D3319&lt;Capa!$A$5,D3319&gt;Capa!$A$7,E3319&lt;Capa!$A$5,E3319&gt;Capa!$A$7,D3319&gt;E3319),"Erro","")</f>
        <v/>
      </c>
    </row>
    <row r="3320" spans="1:9" ht="33.75">
      <c r="A3320" s="345">
        <v>3317</v>
      </c>
      <c r="B3320" s="346" t="s">
        <v>240</v>
      </c>
      <c r="C3320" s="347">
        <v>50</v>
      </c>
      <c r="D3320" s="348">
        <v>45292</v>
      </c>
      <c r="E3320" s="348">
        <v>45627</v>
      </c>
      <c r="F3320" s="346" t="s">
        <v>647</v>
      </c>
      <c r="G3320" s="350" t="s">
        <v>445</v>
      </c>
      <c r="H3320" s="351">
        <f t="shared" si="56"/>
        <v>600</v>
      </c>
      <c r="I3320" s="120" t="str">
        <f>IF(OR(D3320&lt;Capa!$A$5,D3320&gt;Capa!$A$7,E3320&lt;Capa!$A$5,E3320&gt;Capa!$A$7,D3320&gt;E3320),"Erro","")</f>
        <v/>
      </c>
    </row>
    <row r="3321" spans="1:9" ht="33.75">
      <c r="A3321" s="345">
        <v>3318</v>
      </c>
      <c r="B3321" s="346" t="s">
        <v>240</v>
      </c>
      <c r="C3321" s="347">
        <v>50</v>
      </c>
      <c r="D3321" s="348">
        <v>45658</v>
      </c>
      <c r="E3321" s="348">
        <v>45992</v>
      </c>
      <c r="F3321" s="346" t="s">
        <v>647</v>
      </c>
      <c r="G3321" s="350" t="s">
        <v>445</v>
      </c>
      <c r="H3321" s="351">
        <f t="shared" si="56"/>
        <v>600</v>
      </c>
      <c r="I3321" s="120" t="str">
        <f>IF(OR(D3321&lt;Capa!$A$5,D3321&gt;Capa!$A$7,E3321&lt;Capa!$A$5,E3321&gt;Capa!$A$7,D3321&gt;E3321),"Erro","")</f>
        <v/>
      </c>
    </row>
    <row r="3322" spans="1:9" ht="33.75">
      <c r="A3322" s="345">
        <v>3319</v>
      </c>
      <c r="B3322" s="346" t="s">
        <v>240</v>
      </c>
      <c r="C3322" s="347">
        <v>50</v>
      </c>
      <c r="D3322" s="348">
        <v>46023</v>
      </c>
      <c r="E3322" s="348">
        <v>46357</v>
      </c>
      <c r="F3322" s="346" t="s">
        <v>647</v>
      </c>
      <c r="G3322" s="350" t="s">
        <v>445</v>
      </c>
      <c r="H3322" s="351">
        <f t="shared" si="56"/>
        <v>600</v>
      </c>
      <c r="I3322" s="120" t="str">
        <f>IF(OR(D3322&lt;Capa!$A$5,D3322&gt;Capa!$A$7,E3322&lt;Capa!$A$5,E3322&gt;Capa!$A$7,D3322&gt;E3322),"Erro","")</f>
        <v/>
      </c>
    </row>
    <row r="3323" spans="1:9" ht="33.75">
      <c r="A3323" s="345">
        <v>3320</v>
      </c>
      <c r="B3323" s="346" t="s">
        <v>240</v>
      </c>
      <c r="C3323" s="347">
        <v>50</v>
      </c>
      <c r="D3323" s="348">
        <v>46388</v>
      </c>
      <c r="E3323" s="348">
        <v>46722</v>
      </c>
      <c r="F3323" s="346" t="s">
        <v>647</v>
      </c>
      <c r="G3323" s="350" t="s">
        <v>445</v>
      </c>
      <c r="H3323" s="351">
        <f t="shared" si="56"/>
        <v>600</v>
      </c>
      <c r="I3323" s="120" t="str">
        <f>IF(OR(D3323&lt;Capa!$A$5,D3323&gt;Capa!$A$7,E3323&lt;Capa!$A$5,E3323&gt;Capa!$A$7,D3323&gt;E3323),"Erro","")</f>
        <v/>
      </c>
    </row>
    <row r="3324" spans="1:9" ht="33.75">
      <c r="A3324" s="345">
        <v>3321</v>
      </c>
      <c r="B3324" s="346" t="s">
        <v>240</v>
      </c>
      <c r="C3324" s="347">
        <v>50</v>
      </c>
      <c r="D3324" s="348">
        <v>46753</v>
      </c>
      <c r="E3324" s="348">
        <v>47058</v>
      </c>
      <c r="F3324" s="346" t="s">
        <v>647</v>
      </c>
      <c r="G3324" s="350" t="s">
        <v>445</v>
      </c>
      <c r="H3324" s="351">
        <f t="shared" si="56"/>
        <v>550</v>
      </c>
      <c r="I3324" s="120" t="str">
        <f>IF(OR(D3324&lt;Capa!$A$5,D3324&gt;Capa!$A$7,E3324&lt;Capa!$A$5,E3324&gt;Capa!$A$7,D3324&gt;E3324),"Erro","")</f>
        <v/>
      </c>
    </row>
    <row r="3325" spans="1:9" ht="45">
      <c r="A3325" s="345">
        <v>3322</v>
      </c>
      <c r="B3325" s="346" t="s">
        <v>244</v>
      </c>
      <c r="C3325" s="347">
        <v>300</v>
      </c>
      <c r="D3325" s="348">
        <v>45261</v>
      </c>
      <c r="E3325" s="348">
        <v>45627</v>
      </c>
      <c r="F3325" s="346" t="s">
        <v>647</v>
      </c>
      <c r="G3325" s="350" t="s">
        <v>446</v>
      </c>
      <c r="H3325" s="351">
        <f t="shared" si="56"/>
        <v>3900</v>
      </c>
      <c r="I3325" s="120" t="str">
        <f>IF(OR(D3325&lt;Capa!$A$5,D3325&gt;Capa!$A$7,E3325&lt;Capa!$A$5,E3325&gt;Capa!$A$7,D3325&gt;E3325),"Erro","")</f>
        <v/>
      </c>
    </row>
    <row r="3326" spans="1:9" ht="45">
      <c r="A3326" s="345">
        <v>3323</v>
      </c>
      <c r="B3326" s="346" t="s">
        <v>244</v>
      </c>
      <c r="C3326" s="347">
        <v>300</v>
      </c>
      <c r="D3326" s="348">
        <v>45658</v>
      </c>
      <c r="E3326" s="348">
        <v>45992</v>
      </c>
      <c r="F3326" s="346" t="s">
        <v>647</v>
      </c>
      <c r="G3326" s="350" t="s">
        <v>446</v>
      </c>
      <c r="H3326" s="351">
        <f t="shared" si="56"/>
        <v>3600</v>
      </c>
      <c r="I3326" s="120" t="str">
        <f>IF(OR(D3326&lt;Capa!$A$5,D3326&gt;Capa!$A$7,E3326&lt;Capa!$A$5,E3326&gt;Capa!$A$7,D3326&gt;E3326),"Erro","")</f>
        <v/>
      </c>
    </row>
    <row r="3327" spans="1:9" ht="45">
      <c r="A3327" s="345">
        <v>3324</v>
      </c>
      <c r="B3327" s="346" t="s">
        <v>244</v>
      </c>
      <c r="C3327" s="347">
        <v>350</v>
      </c>
      <c r="D3327" s="348">
        <v>46023</v>
      </c>
      <c r="E3327" s="348">
        <v>46357</v>
      </c>
      <c r="F3327" s="346" t="s">
        <v>647</v>
      </c>
      <c r="G3327" s="350" t="s">
        <v>446</v>
      </c>
      <c r="H3327" s="351">
        <f t="shared" si="56"/>
        <v>4200</v>
      </c>
      <c r="I3327" s="120" t="str">
        <f>IF(OR(D3327&lt;Capa!$A$5,D3327&gt;Capa!$A$7,E3327&lt;Capa!$A$5,E3327&gt;Capa!$A$7,D3327&gt;E3327),"Erro","")</f>
        <v/>
      </c>
    </row>
    <row r="3328" spans="1:9" ht="45">
      <c r="A3328" s="345">
        <v>3325</v>
      </c>
      <c r="B3328" s="346" t="s">
        <v>244</v>
      </c>
      <c r="C3328" s="347">
        <v>350</v>
      </c>
      <c r="D3328" s="348">
        <v>46388</v>
      </c>
      <c r="E3328" s="348">
        <v>46722</v>
      </c>
      <c r="F3328" s="346" t="s">
        <v>647</v>
      </c>
      <c r="G3328" s="350" t="s">
        <v>446</v>
      </c>
      <c r="H3328" s="351">
        <f t="shared" si="56"/>
        <v>4200</v>
      </c>
      <c r="I3328" s="120" t="str">
        <f>IF(OR(D3328&lt;Capa!$A$5,D3328&gt;Capa!$A$7,E3328&lt;Capa!$A$5,E3328&gt;Capa!$A$7,D3328&gt;E3328),"Erro","")</f>
        <v/>
      </c>
    </row>
    <row r="3329" spans="1:9" ht="45">
      <c r="A3329" s="345">
        <v>3326</v>
      </c>
      <c r="B3329" s="346" t="s">
        <v>244</v>
      </c>
      <c r="C3329" s="347">
        <v>380</v>
      </c>
      <c r="D3329" s="348">
        <v>46753</v>
      </c>
      <c r="E3329" s="348">
        <v>47058</v>
      </c>
      <c r="F3329" s="346" t="s">
        <v>647</v>
      </c>
      <c r="G3329" s="350" t="s">
        <v>446</v>
      </c>
      <c r="H3329" s="351">
        <f t="shared" si="56"/>
        <v>4180</v>
      </c>
      <c r="I3329" s="120" t="str">
        <f>IF(OR(D3329&lt;Capa!$A$5,D3329&gt;Capa!$A$7,E3329&lt;Capa!$A$5,E3329&gt;Capa!$A$7,D3329&gt;E3329),"Erro","")</f>
        <v/>
      </c>
    </row>
    <row r="3330" spans="1:9" ht="33.75">
      <c r="A3330" s="345">
        <v>3327</v>
      </c>
      <c r="B3330" s="346" t="s">
        <v>246</v>
      </c>
      <c r="C3330" s="347">
        <v>275.18</v>
      </c>
      <c r="D3330" s="348">
        <v>45658</v>
      </c>
      <c r="E3330" s="348">
        <v>45992</v>
      </c>
      <c r="F3330" s="346" t="s">
        <v>647</v>
      </c>
      <c r="G3330" s="350" t="s">
        <v>447</v>
      </c>
      <c r="H3330" s="351">
        <f t="shared" si="56"/>
        <v>3302.16</v>
      </c>
      <c r="I3330" s="120" t="str">
        <f>IF(OR(D3330&lt;Capa!$A$5,D3330&gt;Capa!$A$7,E3330&lt;Capa!$A$5,E3330&gt;Capa!$A$7,D3330&gt;E3330),"Erro","")</f>
        <v/>
      </c>
    </row>
    <row r="3331" spans="1:9" ht="33.75">
      <c r="A3331" s="345">
        <v>3328</v>
      </c>
      <c r="B3331" s="346" t="s">
        <v>246</v>
      </c>
      <c r="C3331" s="347">
        <v>291.25</v>
      </c>
      <c r="D3331" s="348">
        <v>46023</v>
      </c>
      <c r="E3331" s="348">
        <v>46357</v>
      </c>
      <c r="F3331" s="346" t="s">
        <v>647</v>
      </c>
      <c r="G3331" s="350" t="s">
        <v>447</v>
      </c>
      <c r="H3331" s="351">
        <f t="shared" si="56"/>
        <v>3495</v>
      </c>
      <c r="I3331" s="120" t="str">
        <f>IF(OR(D3331&lt;Capa!$A$5,D3331&gt;Capa!$A$7,E3331&lt;Capa!$A$5,E3331&gt;Capa!$A$7,D3331&gt;E3331),"Erro","")</f>
        <v/>
      </c>
    </row>
    <row r="3332" spans="1:9" ht="33.75">
      <c r="A3332" s="345">
        <v>3329</v>
      </c>
      <c r="B3332" s="346" t="s">
        <v>246</v>
      </c>
      <c r="C3332" s="347">
        <v>308.26</v>
      </c>
      <c r="D3332" s="348">
        <v>46388</v>
      </c>
      <c r="E3332" s="348">
        <v>46722</v>
      </c>
      <c r="F3332" s="346" t="s">
        <v>647</v>
      </c>
      <c r="G3332" s="350" t="s">
        <v>447</v>
      </c>
      <c r="H3332" s="351">
        <f t="shared" si="56"/>
        <v>3699.12</v>
      </c>
      <c r="I3332" s="120" t="str">
        <f>IF(OR(D3332&lt;Capa!$A$5,D3332&gt;Capa!$A$7,E3332&lt;Capa!$A$5,E3332&gt;Capa!$A$7,D3332&gt;E3332),"Erro","")</f>
        <v/>
      </c>
    </row>
    <row r="3333" spans="1:9" ht="33.75">
      <c r="A3333" s="345">
        <v>3330</v>
      </c>
      <c r="B3333" s="346" t="s">
        <v>246</v>
      </c>
      <c r="C3333" s="347">
        <v>326.26</v>
      </c>
      <c r="D3333" s="348">
        <v>46753</v>
      </c>
      <c r="E3333" s="348">
        <v>47058</v>
      </c>
      <c r="F3333" s="346" t="s">
        <v>647</v>
      </c>
      <c r="G3333" s="350" t="s">
        <v>447</v>
      </c>
      <c r="H3333" s="351">
        <f t="shared" si="56"/>
        <v>3588.8599999999997</v>
      </c>
      <c r="I3333" s="120" t="str">
        <f>IF(OR(D3333&lt;Capa!$A$5,D3333&gt;Capa!$A$7,E3333&lt;Capa!$A$5,E3333&gt;Capa!$A$7,D3333&gt;E3333),"Erro","")</f>
        <v/>
      </c>
    </row>
    <row r="3334" spans="1:9" ht="33.75">
      <c r="A3334" s="345">
        <v>3331</v>
      </c>
      <c r="B3334" s="346" t="s">
        <v>258</v>
      </c>
      <c r="C3334" s="347">
        <v>193.77</v>
      </c>
      <c r="D3334" s="348">
        <v>45261</v>
      </c>
      <c r="E3334" s="348">
        <v>45627</v>
      </c>
      <c r="F3334" s="346" t="s">
        <v>647</v>
      </c>
      <c r="G3334" s="350" t="s">
        <v>448</v>
      </c>
      <c r="H3334" s="351">
        <f t="shared" si="56"/>
        <v>2519.0100000000002</v>
      </c>
      <c r="I3334" s="120" t="str">
        <f>IF(OR(D3334&lt;Capa!$A$5,D3334&gt;Capa!$A$7,E3334&lt;Capa!$A$5,E3334&gt;Capa!$A$7,D3334&gt;E3334),"Erro","")</f>
        <v/>
      </c>
    </row>
    <row r="3335" spans="1:9" ht="33.75">
      <c r="A3335" s="345">
        <v>3332</v>
      </c>
      <c r="B3335" s="346" t="s">
        <v>258</v>
      </c>
      <c r="C3335" s="347">
        <v>205.08</v>
      </c>
      <c r="D3335" s="348">
        <v>45658</v>
      </c>
      <c r="E3335" s="348">
        <v>45992</v>
      </c>
      <c r="F3335" s="346" t="s">
        <v>647</v>
      </c>
      <c r="G3335" s="350" t="s">
        <v>448</v>
      </c>
      <c r="H3335" s="351">
        <f t="shared" si="56"/>
        <v>2460.96</v>
      </c>
      <c r="I3335" s="120" t="str">
        <f>IF(OR(D3335&lt;Capa!$A$5,D3335&gt;Capa!$A$7,E3335&lt;Capa!$A$5,E3335&gt;Capa!$A$7,D3335&gt;E3335),"Erro","")</f>
        <v/>
      </c>
    </row>
    <row r="3336" spans="1:9" ht="33.75">
      <c r="A3336" s="345">
        <v>3333</v>
      </c>
      <c r="B3336" s="346" t="s">
        <v>258</v>
      </c>
      <c r="C3336" s="347">
        <v>217.06</v>
      </c>
      <c r="D3336" s="348">
        <v>46023</v>
      </c>
      <c r="E3336" s="348">
        <v>46357</v>
      </c>
      <c r="F3336" s="346" t="s">
        <v>647</v>
      </c>
      <c r="G3336" s="350" t="s">
        <v>448</v>
      </c>
      <c r="H3336" s="351">
        <f t="shared" ref="H3336:H3388" si="57">IFERROR((DATEDIF(D3336,E3336,"M")+1)*C3336,0)</f>
        <v>2604.7200000000003</v>
      </c>
      <c r="I3336" s="120" t="str">
        <f>IF(OR(D3336&lt;Capa!$A$5,D3336&gt;Capa!$A$7,E3336&lt;Capa!$A$5,E3336&gt;Capa!$A$7,D3336&gt;E3336),"Erro","")</f>
        <v/>
      </c>
    </row>
    <row r="3337" spans="1:9" ht="33.75">
      <c r="A3337" s="345">
        <v>3334</v>
      </c>
      <c r="B3337" s="346" t="s">
        <v>258</v>
      </c>
      <c r="C3337" s="347">
        <v>229.74</v>
      </c>
      <c r="D3337" s="348">
        <v>46388</v>
      </c>
      <c r="E3337" s="348">
        <v>46722</v>
      </c>
      <c r="F3337" s="346" t="s">
        <v>647</v>
      </c>
      <c r="G3337" s="350" t="s">
        <v>448</v>
      </c>
      <c r="H3337" s="351">
        <f t="shared" si="57"/>
        <v>2756.88</v>
      </c>
      <c r="I3337" s="120" t="str">
        <f>IF(OR(D3337&lt;Capa!$A$5,D3337&gt;Capa!$A$7,E3337&lt;Capa!$A$5,E3337&gt;Capa!$A$7,D3337&gt;E3337),"Erro","")</f>
        <v/>
      </c>
    </row>
    <row r="3338" spans="1:9" ht="33.75">
      <c r="A3338" s="345">
        <v>3335</v>
      </c>
      <c r="B3338" s="346" t="s">
        <v>258</v>
      </c>
      <c r="C3338" s="347">
        <v>243.16</v>
      </c>
      <c r="D3338" s="348">
        <v>46753</v>
      </c>
      <c r="E3338" s="348">
        <v>47058</v>
      </c>
      <c r="F3338" s="346" t="s">
        <v>647</v>
      </c>
      <c r="G3338" s="350" t="s">
        <v>448</v>
      </c>
      <c r="H3338" s="351">
        <f t="shared" si="57"/>
        <v>2674.7599999999998</v>
      </c>
      <c r="I3338" s="120" t="str">
        <f>IF(OR(D3338&lt;Capa!$A$5,D3338&gt;Capa!$A$7,E3338&lt;Capa!$A$5,E3338&gt;Capa!$A$7,D3338&gt;E3338),"Erro","")</f>
        <v/>
      </c>
    </row>
    <row r="3339" spans="1:9" ht="56.25">
      <c r="A3339" s="345">
        <v>3336</v>
      </c>
      <c r="B3339" s="346" t="s">
        <v>276</v>
      </c>
      <c r="C3339" s="347">
        <v>670</v>
      </c>
      <c r="D3339" s="348">
        <v>45658</v>
      </c>
      <c r="E3339" s="348">
        <v>45992</v>
      </c>
      <c r="F3339" s="346" t="s">
        <v>647</v>
      </c>
      <c r="G3339" s="350" t="s">
        <v>449</v>
      </c>
      <c r="H3339" s="351">
        <f t="shared" si="57"/>
        <v>8040</v>
      </c>
      <c r="I3339" s="120" t="str">
        <f>IF(OR(D3339&lt;Capa!$A$5,D3339&gt;Capa!$A$7,E3339&lt;Capa!$A$5,E3339&gt;Capa!$A$7,D3339&gt;E3339),"Erro","")</f>
        <v/>
      </c>
    </row>
    <row r="3340" spans="1:9" ht="56.25">
      <c r="A3340" s="345">
        <v>3337</v>
      </c>
      <c r="B3340" s="346" t="s">
        <v>276</v>
      </c>
      <c r="C3340" s="347">
        <v>670</v>
      </c>
      <c r="D3340" s="348">
        <v>46023</v>
      </c>
      <c r="E3340" s="348">
        <v>46357</v>
      </c>
      <c r="F3340" s="346" t="s">
        <v>647</v>
      </c>
      <c r="G3340" s="350" t="s">
        <v>449</v>
      </c>
      <c r="H3340" s="351">
        <f t="shared" si="57"/>
        <v>8040</v>
      </c>
      <c r="I3340" s="120" t="str">
        <f>IF(OR(D3340&lt;Capa!$A$5,D3340&gt;Capa!$A$7,E3340&lt;Capa!$A$5,E3340&gt;Capa!$A$7,D3340&gt;E3340),"Erro","")</f>
        <v/>
      </c>
    </row>
    <row r="3341" spans="1:9" ht="56.25">
      <c r="A3341" s="345">
        <v>3338</v>
      </c>
      <c r="B3341" s="346" t="s">
        <v>276</v>
      </c>
      <c r="C3341" s="347">
        <v>670</v>
      </c>
      <c r="D3341" s="348">
        <v>46388</v>
      </c>
      <c r="E3341" s="348">
        <v>46722</v>
      </c>
      <c r="F3341" s="346" t="s">
        <v>647</v>
      </c>
      <c r="G3341" s="350" t="s">
        <v>449</v>
      </c>
      <c r="H3341" s="351">
        <f t="shared" si="57"/>
        <v>8040</v>
      </c>
      <c r="I3341" s="120" t="str">
        <f>IF(OR(D3341&lt;Capa!$A$5,D3341&gt;Capa!$A$7,E3341&lt;Capa!$A$5,E3341&gt;Capa!$A$7,D3341&gt;E3341),"Erro","")</f>
        <v/>
      </c>
    </row>
    <row r="3342" spans="1:9" ht="56.25">
      <c r="A3342" s="345">
        <v>3339</v>
      </c>
      <c r="B3342" s="346" t="s">
        <v>276</v>
      </c>
      <c r="C3342" s="347">
        <v>670</v>
      </c>
      <c r="D3342" s="348">
        <v>46753</v>
      </c>
      <c r="E3342" s="348">
        <v>47058</v>
      </c>
      <c r="F3342" s="346" t="s">
        <v>647</v>
      </c>
      <c r="G3342" s="350" t="s">
        <v>449</v>
      </c>
      <c r="H3342" s="351">
        <f t="shared" si="57"/>
        <v>7370</v>
      </c>
      <c r="I3342" s="120" t="str">
        <f>IF(OR(D3342&lt;Capa!$A$5,D3342&gt;Capa!$A$7,E3342&lt;Capa!$A$5,E3342&gt;Capa!$A$7,D3342&gt;E3342),"Erro","")</f>
        <v/>
      </c>
    </row>
    <row r="3343" spans="1:9" ht="45">
      <c r="A3343" s="345">
        <v>3340</v>
      </c>
      <c r="B3343" s="346" t="s">
        <v>278</v>
      </c>
      <c r="C3343" s="347">
        <v>19500</v>
      </c>
      <c r="D3343" s="348">
        <v>45261</v>
      </c>
      <c r="E3343" s="348">
        <v>45261</v>
      </c>
      <c r="F3343" s="346" t="s">
        <v>647</v>
      </c>
      <c r="G3343" s="350" t="s">
        <v>450</v>
      </c>
      <c r="H3343" s="351">
        <f t="shared" si="57"/>
        <v>19500</v>
      </c>
      <c r="I3343" s="120" t="str">
        <f>IF(OR(D3343&lt;Capa!$A$5,D3343&gt;Capa!$A$7,E3343&lt;Capa!$A$5,E3343&gt;Capa!$A$7,D3343&gt;E3343),"Erro","")</f>
        <v/>
      </c>
    </row>
    <row r="3344" spans="1:9" ht="45">
      <c r="A3344" s="345">
        <v>3341</v>
      </c>
      <c r="B3344" s="346" t="s">
        <v>278</v>
      </c>
      <c r="C3344" s="347">
        <v>37430</v>
      </c>
      <c r="D3344" s="348">
        <v>45292</v>
      </c>
      <c r="E3344" s="348">
        <v>45627</v>
      </c>
      <c r="F3344" s="346" t="s">
        <v>647</v>
      </c>
      <c r="G3344" s="350" t="s">
        <v>450</v>
      </c>
      <c r="H3344" s="351">
        <f t="shared" si="57"/>
        <v>449160</v>
      </c>
      <c r="I3344" s="120" t="str">
        <f>IF(OR(D3344&lt;Capa!$A$5,D3344&gt;Capa!$A$7,E3344&lt;Capa!$A$5,E3344&gt;Capa!$A$7,D3344&gt;E3344),"Erro","")</f>
        <v/>
      </c>
    </row>
    <row r="3345" spans="1:9" ht="45">
      <c r="A3345" s="345">
        <v>3342</v>
      </c>
      <c r="B3345" s="346" t="s">
        <v>278</v>
      </c>
      <c r="C3345" s="347">
        <v>39615</v>
      </c>
      <c r="D3345" s="348">
        <v>45658</v>
      </c>
      <c r="E3345" s="348">
        <v>45992</v>
      </c>
      <c r="F3345" s="346" t="s">
        <v>647</v>
      </c>
      <c r="G3345" s="350" t="s">
        <v>450</v>
      </c>
      <c r="H3345" s="351">
        <f t="shared" si="57"/>
        <v>475380</v>
      </c>
      <c r="I3345" s="120" t="str">
        <f>IF(OR(D3345&lt;Capa!$A$5,D3345&gt;Capa!$A$7,E3345&lt;Capa!$A$5,E3345&gt;Capa!$A$7,D3345&gt;E3345),"Erro","")</f>
        <v/>
      </c>
    </row>
    <row r="3346" spans="1:9" ht="45">
      <c r="A3346" s="345">
        <v>3343</v>
      </c>
      <c r="B3346" s="346" t="s">
        <v>278</v>
      </c>
      <c r="C3346" s="347">
        <v>41929</v>
      </c>
      <c r="D3346" s="348">
        <v>46023</v>
      </c>
      <c r="E3346" s="348">
        <v>46357</v>
      </c>
      <c r="F3346" s="346" t="s">
        <v>647</v>
      </c>
      <c r="G3346" s="350" t="s">
        <v>450</v>
      </c>
      <c r="H3346" s="351">
        <f t="shared" si="57"/>
        <v>503148</v>
      </c>
      <c r="I3346" s="120" t="str">
        <f>IF(OR(D3346&lt;Capa!$A$5,D3346&gt;Capa!$A$7,E3346&lt;Capa!$A$5,E3346&gt;Capa!$A$7,D3346&gt;E3346),"Erro","")</f>
        <v/>
      </c>
    </row>
    <row r="3347" spans="1:9" ht="45">
      <c r="A3347" s="345">
        <v>3344</v>
      </c>
      <c r="B3347" s="346" t="s">
        <v>278</v>
      </c>
      <c r="C3347" s="347">
        <v>44378</v>
      </c>
      <c r="D3347" s="348">
        <v>46388</v>
      </c>
      <c r="E3347" s="348">
        <v>46722</v>
      </c>
      <c r="F3347" s="346" t="s">
        <v>647</v>
      </c>
      <c r="G3347" s="350" t="s">
        <v>450</v>
      </c>
      <c r="H3347" s="351">
        <f t="shared" si="57"/>
        <v>532536</v>
      </c>
      <c r="I3347" s="120" t="str">
        <f>IF(OR(D3347&lt;Capa!$A$5,D3347&gt;Capa!$A$7,E3347&lt;Capa!$A$5,E3347&gt;Capa!$A$7,D3347&gt;E3347),"Erro","")</f>
        <v/>
      </c>
    </row>
    <row r="3348" spans="1:9" ht="45">
      <c r="A3348" s="345">
        <v>3345</v>
      </c>
      <c r="B3348" s="346" t="s">
        <v>278</v>
      </c>
      <c r="C3348" s="347">
        <v>46969</v>
      </c>
      <c r="D3348" s="348">
        <v>46753</v>
      </c>
      <c r="E3348" s="348">
        <v>47058</v>
      </c>
      <c r="F3348" s="346" t="s">
        <v>647</v>
      </c>
      <c r="G3348" s="350" t="s">
        <v>450</v>
      </c>
      <c r="H3348" s="351">
        <f t="shared" si="57"/>
        <v>516659</v>
      </c>
      <c r="I3348" s="120" t="str">
        <f>IF(OR(D3348&lt;Capa!$A$5,D3348&gt;Capa!$A$7,E3348&lt;Capa!$A$5,E3348&gt;Capa!$A$7,D3348&gt;E3348),"Erro","")</f>
        <v/>
      </c>
    </row>
    <row r="3349" spans="1:9" ht="56.25">
      <c r="A3349" s="345">
        <v>3346</v>
      </c>
      <c r="B3349" s="346" t="s">
        <v>280</v>
      </c>
      <c r="C3349" s="347">
        <v>100</v>
      </c>
      <c r="D3349" s="348">
        <v>45292</v>
      </c>
      <c r="E3349" s="348">
        <v>45627</v>
      </c>
      <c r="F3349" s="346" t="s">
        <v>647</v>
      </c>
      <c r="G3349" s="350" t="s">
        <v>451</v>
      </c>
      <c r="H3349" s="351">
        <f t="shared" si="57"/>
        <v>1200</v>
      </c>
      <c r="I3349" s="120" t="str">
        <f>IF(OR(D3349&lt;Capa!$A$5,D3349&gt;Capa!$A$7,E3349&lt;Capa!$A$5,E3349&gt;Capa!$A$7,D3349&gt;E3349),"Erro","")</f>
        <v/>
      </c>
    </row>
    <row r="3350" spans="1:9" ht="56.25">
      <c r="A3350" s="345">
        <v>3347</v>
      </c>
      <c r="B3350" s="346" t="s">
        <v>280</v>
      </c>
      <c r="C3350" s="347">
        <v>100</v>
      </c>
      <c r="D3350" s="348">
        <v>45658</v>
      </c>
      <c r="E3350" s="348">
        <v>45992</v>
      </c>
      <c r="F3350" s="346" t="s">
        <v>647</v>
      </c>
      <c r="G3350" s="350" t="s">
        <v>451</v>
      </c>
      <c r="H3350" s="351">
        <f t="shared" si="57"/>
        <v>1200</v>
      </c>
      <c r="I3350" s="120" t="str">
        <f>IF(OR(D3350&lt;Capa!$A$5,D3350&gt;Capa!$A$7,E3350&lt;Capa!$A$5,E3350&gt;Capa!$A$7,D3350&gt;E3350),"Erro","")</f>
        <v/>
      </c>
    </row>
    <row r="3351" spans="1:9" ht="56.25">
      <c r="A3351" s="345">
        <v>3348</v>
      </c>
      <c r="B3351" s="346" t="s">
        <v>280</v>
      </c>
      <c r="C3351" s="347">
        <v>100</v>
      </c>
      <c r="D3351" s="348">
        <v>46023</v>
      </c>
      <c r="E3351" s="348">
        <v>46357</v>
      </c>
      <c r="F3351" s="346" t="s">
        <v>647</v>
      </c>
      <c r="G3351" s="350" t="s">
        <v>451</v>
      </c>
      <c r="H3351" s="351">
        <f t="shared" si="57"/>
        <v>1200</v>
      </c>
      <c r="I3351" s="120" t="str">
        <f>IF(OR(D3351&lt;Capa!$A$5,D3351&gt;Capa!$A$7,E3351&lt;Capa!$A$5,E3351&gt;Capa!$A$7,D3351&gt;E3351),"Erro","")</f>
        <v/>
      </c>
    </row>
    <row r="3352" spans="1:9" ht="56.25">
      <c r="A3352" s="345">
        <v>3349</v>
      </c>
      <c r="B3352" s="346" t="s">
        <v>280</v>
      </c>
      <c r="C3352" s="347">
        <v>100</v>
      </c>
      <c r="D3352" s="348">
        <v>46388</v>
      </c>
      <c r="E3352" s="348">
        <v>46722</v>
      </c>
      <c r="F3352" s="346" t="s">
        <v>647</v>
      </c>
      <c r="G3352" s="350" t="s">
        <v>451</v>
      </c>
      <c r="H3352" s="351">
        <f t="shared" si="57"/>
        <v>1200</v>
      </c>
      <c r="I3352" s="120" t="str">
        <f>IF(OR(D3352&lt;Capa!$A$5,D3352&gt;Capa!$A$7,E3352&lt;Capa!$A$5,E3352&gt;Capa!$A$7,D3352&gt;E3352),"Erro","")</f>
        <v/>
      </c>
    </row>
    <row r="3353" spans="1:9" ht="56.25">
      <c r="A3353" s="345">
        <v>3350</v>
      </c>
      <c r="B3353" s="346" t="s">
        <v>280</v>
      </c>
      <c r="C3353" s="347">
        <v>100</v>
      </c>
      <c r="D3353" s="348">
        <v>46753</v>
      </c>
      <c r="E3353" s="348">
        <v>47058</v>
      </c>
      <c r="F3353" s="346" t="s">
        <v>647</v>
      </c>
      <c r="G3353" s="350" t="s">
        <v>451</v>
      </c>
      <c r="H3353" s="351">
        <f t="shared" si="57"/>
        <v>1100</v>
      </c>
      <c r="I3353" s="120" t="str">
        <f>IF(OR(D3353&lt;Capa!$A$5,D3353&gt;Capa!$A$7,E3353&lt;Capa!$A$5,E3353&gt;Capa!$A$7,D3353&gt;E3353),"Erro","")</f>
        <v/>
      </c>
    </row>
    <row r="3354" spans="1:9" ht="45">
      <c r="A3354" s="345">
        <v>3351</v>
      </c>
      <c r="B3354" s="346" t="s">
        <v>282</v>
      </c>
      <c r="C3354" s="347">
        <v>702.18</v>
      </c>
      <c r="D3354" s="348">
        <v>45261</v>
      </c>
      <c r="E3354" s="348">
        <v>45627</v>
      </c>
      <c r="F3354" s="346" t="s">
        <v>647</v>
      </c>
      <c r="G3354" s="350" t="s">
        <v>452</v>
      </c>
      <c r="H3354" s="351">
        <f t="shared" si="57"/>
        <v>9128.34</v>
      </c>
      <c r="I3354" s="120" t="str">
        <f>IF(OR(D3354&lt;Capa!$A$5,D3354&gt;Capa!$A$7,E3354&lt;Capa!$A$5,E3354&gt;Capa!$A$7,D3354&gt;E3354),"Erro","")</f>
        <v/>
      </c>
    </row>
    <row r="3355" spans="1:9" ht="45">
      <c r="A3355" s="345">
        <v>3352</v>
      </c>
      <c r="B3355" s="346" t="s">
        <v>282</v>
      </c>
      <c r="C3355" s="347">
        <v>743.18</v>
      </c>
      <c r="D3355" s="348">
        <v>45658</v>
      </c>
      <c r="E3355" s="348">
        <v>45992</v>
      </c>
      <c r="F3355" s="346" t="s">
        <v>647</v>
      </c>
      <c r="G3355" s="350" t="s">
        <v>452</v>
      </c>
      <c r="H3355" s="351">
        <f t="shared" si="57"/>
        <v>8918.16</v>
      </c>
      <c r="I3355" s="120" t="str">
        <f>IF(OR(D3355&lt;Capa!$A$5,D3355&gt;Capa!$A$7,E3355&lt;Capa!$A$5,E3355&gt;Capa!$A$7,D3355&gt;E3355),"Erro","")</f>
        <v/>
      </c>
    </row>
    <row r="3356" spans="1:9" ht="45">
      <c r="A3356" s="345">
        <v>3353</v>
      </c>
      <c r="B3356" s="346" t="s">
        <v>282</v>
      </c>
      <c r="C3356" s="347">
        <v>786.59</v>
      </c>
      <c r="D3356" s="348">
        <v>46023</v>
      </c>
      <c r="E3356" s="348">
        <v>46357</v>
      </c>
      <c r="F3356" s="346" t="s">
        <v>647</v>
      </c>
      <c r="G3356" s="350" t="s">
        <v>452</v>
      </c>
      <c r="H3356" s="351">
        <f t="shared" si="57"/>
        <v>9439.08</v>
      </c>
      <c r="I3356" s="120" t="str">
        <f>IF(OR(D3356&lt;Capa!$A$5,D3356&gt;Capa!$A$7,E3356&lt;Capa!$A$5,E3356&gt;Capa!$A$7,D3356&gt;E3356),"Erro","")</f>
        <v/>
      </c>
    </row>
    <row r="3357" spans="1:9" ht="45">
      <c r="A3357" s="345">
        <v>3354</v>
      </c>
      <c r="B3357" s="346" t="s">
        <v>282</v>
      </c>
      <c r="C3357" s="347">
        <v>832.52</v>
      </c>
      <c r="D3357" s="348">
        <v>46388</v>
      </c>
      <c r="E3357" s="348">
        <v>46722</v>
      </c>
      <c r="F3357" s="346" t="s">
        <v>647</v>
      </c>
      <c r="G3357" s="350" t="s">
        <v>452</v>
      </c>
      <c r="H3357" s="351">
        <f t="shared" si="57"/>
        <v>9990.24</v>
      </c>
      <c r="I3357" s="120" t="str">
        <f>IF(OR(D3357&lt;Capa!$A$5,D3357&gt;Capa!$A$7,E3357&lt;Capa!$A$5,E3357&gt;Capa!$A$7,D3357&gt;E3357),"Erro","")</f>
        <v/>
      </c>
    </row>
    <row r="3358" spans="1:9" ht="45">
      <c r="A3358" s="345">
        <v>3355</v>
      </c>
      <c r="B3358" s="346" t="s">
        <v>282</v>
      </c>
      <c r="C3358" s="347">
        <v>881.14</v>
      </c>
      <c r="D3358" s="348">
        <v>46753</v>
      </c>
      <c r="E3358" s="348">
        <v>47058</v>
      </c>
      <c r="F3358" s="346" t="s">
        <v>647</v>
      </c>
      <c r="G3358" s="350" t="s">
        <v>452</v>
      </c>
      <c r="H3358" s="351">
        <f t="shared" si="57"/>
        <v>9692.5399999999991</v>
      </c>
      <c r="I3358" s="120" t="str">
        <f>IF(OR(D3358&lt;Capa!$A$5,D3358&gt;Capa!$A$7,E3358&lt;Capa!$A$5,E3358&gt;Capa!$A$7,D3358&gt;E3358),"Erro","")</f>
        <v/>
      </c>
    </row>
    <row r="3359" spans="1:9" ht="45">
      <c r="A3359" s="345">
        <v>3356</v>
      </c>
      <c r="B3359" s="346" t="s">
        <v>284</v>
      </c>
      <c r="C3359" s="347">
        <v>1013.31</v>
      </c>
      <c r="D3359" s="348">
        <v>45261</v>
      </c>
      <c r="E3359" s="348">
        <v>45627</v>
      </c>
      <c r="F3359" s="346" t="s">
        <v>647</v>
      </c>
      <c r="G3359" s="350" t="s">
        <v>452</v>
      </c>
      <c r="H3359" s="351">
        <f t="shared" si="57"/>
        <v>13173.029999999999</v>
      </c>
      <c r="I3359" s="120" t="str">
        <f>IF(OR(D3359&lt;Capa!$A$5,D3359&gt;Capa!$A$7,E3359&lt;Capa!$A$5,E3359&gt;Capa!$A$7,D3359&gt;E3359),"Erro","")</f>
        <v/>
      </c>
    </row>
    <row r="3360" spans="1:9" ht="45">
      <c r="A3360" s="345">
        <v>3357</v>
      </c>
      <c r="B3360" s="346" t="s">
        <v>284</v>
      </c>
      <c r="C3360" s="347">
        <v>1072.49</v>
      </c>
      <c r="D3360" s="348">
        <v>45658</v>
      </c>
      <c r="E3360" s="348">
        <v>45992</v>
      </c>
      <c r="F3360" s="346" t="s">
        <v>647</v>
      </c>
      <c r="G3360" s="350" t="s">
        <v>452</v>
      </c>
      <c r="H3360" s="351">
        <f t="shared" si="57"/>
        <v>12869.880000000001</v>
      </c>
      <c r="I3360" s="120" t="str">
        <f>IF(OR(D3360&lt;Capa!$A$5,D3360&gt;Capa!$A$7,E3360&lt;Capa!$A$5,E3360&gt;Capa!$A$7,D3360&gt;E3360),"Erro","")</f>
        <v/>
      </c>
    </row>
    <row r="3361" spans="1:9" ht="45">
      <c r="A3361" s="345">
        <v>3358</v>
      </c>
      <c r="B3361" s="346" t="s">
        <v>284</v>
      </c>
      <c r="C3361" s="347">
        <v>1135.1199999999999</v>
      </c>
      <c r="D3361" s="348">
        <v>46023</v>
      </c>
      <c r="E3361" s="348">
        <v>46357</v>
      </c>
      <c r="F3361" s="346" t="s">
        <v>647</v>
      </c>
      <c r="G3361" s="350" t="s">
        <v>452</v>
      </c>
      <c r="H3361" s="351">
        <f t="shared" si="57"/>
        <v>13621.439999999999</v>
      </c>
      <c r="I3361" s="120" t="str">
        <f>IF(OR(D3361&lt;Capa!$A$5,D3361&gt;Capa!$A$7,E3361&lt;Capa!$A$5,E3361&gt;Capa!$A$7,D3361&gt;E3361),"Erro","")</f>
        <v/>
      </c>
    </row>
    <row r="3362" spans="1:9" ht="45">
      <c r="A3362" s="345">
        <v>3359</v>
      </c>
      <c r="B3362" s="346" t="s">
        <v>284</v>
      </c>
      <c r="C3362" s="347">
        <v>1201.42</v>
      </c>
      <c r="D3362" s="348">
        <v>46388</v>
      </c>
      <c r="E3362" s="348">
        <v>46722</v>
      </c>
      <c r="F3362" s="346" t="s">
        <v>647</v>
      </c>
      <c r="G3362" s="350" t="s">
        <v>452</v>
      </c>
      <c r="H3362" s="351">
        <f t="shared" si="57"/>
        <v>14417.04</v>
      </c>
      <c r="I3362" s="120" t="str">
        <f>IF(OR(D3362&lt;Capa!$A$5,D3362&gt;Capa!$A$7,E3362&lt;Capa!$A$5,E3362&gt;Capa!$A$7,D3362&gt;E3362),"Erro","")</f>
        <v/>
      </c>
    </row>
    <row r="3363" spans="1:9" ht="45">
      <c r="A3363" s="345">
        <v>3360</v>
      </c>
      <c r="B3363" s="346" t="s">
        <v>284</v>
      </c>
      <c r="C3363" s="347">
        <v>1271.58</v>
      </c>
      <c r="D3363" s="348">
        <v>46753</v>
      </c>
      <c r="E3363" s="348">
        <v>47058</v>
      </c>
      <c r="F3363" s="346" t="s">
        <v>647</v>
      </c>
      <c r="G3363" s="350" t="s">
        <v>452</v>
      </c>
      <c r="H3363" s="351">
        <f t="shared" si="57"/>
        <v>13987.38</v>
      </c>
      <c r="I3363" s="120" t="str">
        <f>IF(OR(D3363&lt;Capa!$A$5,D3363&gt;Capa!$A$7,E3363&lt;Capa!$A$5,E3363&gt;Capa!$A$7,D3363&gt;E3363),"Erro","")</f>
        <v/>
      </c>
    </row>
    <row r="3364" spans="1:9" ht="45">
      <c r="A3364" s="345">
        <v>3361</v>
      </c>
      <c r="B3364" s="346" t="s">
        <v>286</v>
      </c>
      <c r="C3364" s="347">
        <v>1013.31</v>
      </c>
      <c r="D3364" s="348">
        <v>45261</v>
      </c>
      <c r="E3364" s="348">
        <v>45627</v>
      </c>
      <c r="F3364" s="346" t="s">
        <v>647</v>
      </c>
      <c r="G3364" s="350" t="s">
        <v>452</v>
      </c>
      <c r="H3364" s="351">
        <f t="shared" si="57"/>
        <v>13173.029999999999</v>
      </c>
      <c r="I3364" s="120" t="str">
        <f>IF(OR(D3364&lt;Capa!$A$5,D3364&gt;Capa!$A$7,E3364&lt;Capa!$A$5,E3364&gt;Capa!$A$7,D3364&gt;E3364),"Erro","")</f>
        <v/>
      </c>
    </row>
    <row r="3365" spans="1:9" ht="45">
      <c r="A3365" s="345">
        <v>3362</v>
      </c>
      <c r="B3365" s="346" t="s">
        <v>286</v>
      </c>
      <c r="C3365" s="347">
        <v>1072.49</v>
      </c>
      <c r="D3365" s="348">
        <v>45658</v>
      </c>
      <c r="E3365" s="348">
        <v>45992</v>
      </c>
      <c r="F3365" s="346" t="s">
        <v>647</v>
      </c>
      <c r="G3365" s="350" t="s">
        <v>452</v>
      </c>
      <c r="H3365" s="351">
        <f t="shared" si="57"/>
        <v>12869.880000000001</v>
      </c>
      <c r="I3365" s="120" t="str">
        <f>IF(OR(D3365&lt;Capa!$A$5,D3365&gt;Capa!$A$7,E3365&lt;Capa!$A$5,E3365&gt;Capa!$A$7,D3365&gt;E3365),"Erro","")</f>
        <v/>
      </c>
    </row>
    <row r="3366" spans="1:9" ht="45">
      <c r="A3366" s="345">
        <v>3363</v>
      </c>
      <c r="B3366" s="346" t="s">
        <v>286</v>
      </c>
      <c r="C3366" s="347">
        <v>1135.1199999999999</v>
      </c>
      <c r="D3366" s="348">
        <v>46023</v>
      </c>
      <c r="E3366" s="348">
        <v>46357</v>
      </c>
      <c r="F3366" s="346" t="s">
        <v>647</v>
      </c>
      <c r="G3366" s="350" t="s">
        <v>452</v>
      </c>
      <c r="H3366" s="351">
        <f t="shared" si="57"/>
        <v>13621.439999999999</v>
      </c>
      <c r="I3366" s="120" t="str">
        <f>IF(OR(D3366&lt;Capa!$A$5,D3366&gt;Capa!$A$7,E3366&lt;Capa!$A$5,E3366&gt;Capa!$A$7,D3366&gt;E3366),"Erro","")</f>
        <v/>
      </c>
    </row>
    <row r="3367" spans="1:9" ht="45">
      <c r="A3367" s="345">
        <v>3364</v>
      </c>
      <c r="B3367" s="346" t="s">
        <v>286</v>
      </c>
      <c r="C3367" s="347">
        <v>1201.4100000000001</v>
      </c>
      <c r="D3367" s="348">
        <v>46388</v>
      </c>
      <c r="E3367" s="348">
        <v>46722</v>
      </c>
      <c r="F3367" s="346" t="s">
        <v>647</v>
      </c>
      <c r="G3367" s="350" t="s">
        <v>452</v>
      </c>
      <c r="H3367" s="351">
        <f t="shared" si="57"/>
        <v>14416.920000000002</v>
      </c>
      <c r="I3367" s="120" t="str">
        <f>IF(OR(D3367&lt;Capa!$A$5,D3367&gt;Capa!$A$7,E3367&lt;Capa!$A$5,E3367&gt;Capa!$A$7,D3367&gt;E3367),"Erro","")</f>
        <v/>
      </c>
    </row>
    <row r="3368" spans="1:9" ht="45">
      <c r="A3368" s="345">
        <v>3365</v>
      </c>
      <c r="B3368" s="346" t="s">
        <v>286</v>
      </c>
      <c r="C3368" s="347">
        <v>1271.57</v>
      </c>
      <c r="D3368" s="348">
        <v>46753</v>
      </c>
      <c r="E3368" s="348">
        <v>47058</v>
      </c>
      <c r="F3368" s="346" t="s">
        <v>647</v>
      </c>
      <c r="G3368" s="350" t="s">
        <v>452</v>
      </c>
      <c r="H3368" s="351">
        <f t="shared" si="57"/>
        <v>13987.269999999999</v>
      </c>
      <c r="I3368" s="120" t="str">
        <f>IF(OR(D3368&lt;Capa!$A$5,D3368&gt;Capa!$A$7,E3368&lt;Capa!$A$5,E3368&gt;Capa!$A$7,D3368&gt;E3368),"Erro","")</f>
        <v/>
      </c>
    </row>
    <row r="3369" spans="1:9" ht="45">
      <c r="A3369" s="345">
        <v>3366</v>
      </c>
      <c r="B3369" s="346" t="s">
        <v>288</v>
      </c>
      <c r="C3369" s="347">
        <v>200</v>
      </c>
      <c r="D3369" s="348">
        <v>45261</v>
      </c>
      <c r="E3369" s="348">
        <v>45627</v>
      </c>
      <c r="F3369" s="346" t="s">
        <v>647</v>
      </c>
      <c r="G3369" s="350" t="s">
        <v>453</v>
      </c>
      <c r="H3369" s="351">
        <f t="shared" si="57"/>
        <v>2600</v>
      </c>
      <c r="I3369" s="120" t="str">
        <f>IF(OR(D3369&lt;Capa!$A$5,D3369&gt;Capa!$A$7,E3369&lt;Capa!$A$5,E3369&gt;Capa!$A$7,D3369&gt;E3369),"Erro","")</f>
        <v/>
      </c>
    </row>
    <row r="3370" spans="1:9" ht="45">
      <c r="A3370" s="345">
        <v>3367</v>
      </c>
      <c r="B3370" s="346" t="s">
        <v>288</v>
      </c>
      <c r="C3370" s="347">
        <v>200</v>
      </c>
      <c r="D3370" s="348">
        <v>45658</v>
      </c>
      <c r="E3370" s="348">
        <v>45992</v>
      </c>
      <c r="F3370" s="346" t="s">
        <v>647</v>
      </c>
      <c r="G3370" s="350" t="s">
        <v>453</v>
      </c>
      <c r="H3370" s="351">
        <f t="shared" si="57"/>
        <v>2400</v>
      </c>
      <c r="I3370" s="120" t="str">
        <f>IF(OR(D3370&lt;Capa!$A$5,D3370&gt;Capa!$A$7,E3370&lt;Capa!$A$5,E3370&gt;Capa!$A$7,D3370&gt;E3370),"Erro","")</f>
        <v/>
      </c>
    </row>
    <row r="3371" spans="1:9" ht="45">
      <c r="A3371" s="345">
        <v>3368</v>
      </c>
      <c r="B3371" s="346" t="s">
        <v>288</v>
      </c>
      <c r="C3371" s="347">
        <v>200</v>
      </c>
      <c r="D3371" s="348">
        <v>46023</v>
      </c>
      <c r="E3371" s="348">
        <v>46357</v>
      </c>
      <c r="F3371" s="346" t="s">
        <v>647</v>
      </c>
      <c r="G3371" s="350" t="s">
        <v>453</v>
      </c>
      <c r="H3371" s="351">
        <f t="shared" si="57"/>
        <v>2400</v>
      </c>
      <c r="I3371" s="120" t="str">
        <f>IF(OR(D3371&lt;Capa!$A$5,D3371&gt;Capa!$A$7,E3371&lt;Capa!$A$5,E3371&gt;Capa!$A$7,D3371&gt;E3371),"Erro","")</f>
        <v/>
      </c>
    </row>
    <row r="3372" spans="1:9" ht="45">
      <c r="A3372" s="345">
        <v>3369</v>
      </c>
      <c r="B3372" s="346" t="s">
        <v>288</v>
      </c>
      <c r="C3372" s="347">
        <v>200</v>
      </c>
      <c r="D3372" s="348">
        <v>46388</v>
      </c>
      <c r="E3372" s="348">
        <v>46722</v>
      </c>
      <c r="F3372" s="346" t="s">
        <v>647</v>
      </c>
      <c r="G3372" s="350" t="s">
        <v>453</v>
      </c>
      <c r="H3372" s="351">
        <f t="shared" si="57"/>
        <v>2400</v>
      </c>
      <c r="I3372" s="120" t="str">
        <f>IF(OR(D3372&lt;Capa!$A$5,D3372&gt;Capa!$A$7,E3372&lt;Capa!$A$5,E3372&gt;Capa!$A$7,D3372&gt;E3372),"Erro","")</f>
        <v/>
      </c>
    </row>
    <row r="3373" spans="1:9" ht="45">
      <c r="A3373" s="345">
        <v>3370</v>
      </c>
      <c r="B3373" s="346" t="s">
        <v>288</v>
      </c>
      <c r="C3373" s="347">
        <v>200</v>
      </c>
      <c r="D3373" s="348">
        <v>46753</v>
      </c>
      <c r="E3373" s="348">
        <v>47058</v>
      </c>
      <c r="F3373" s="346" t="s">
        <v>647</v>
      </c>
      <c r="G3373" s="350" t="s">
        <v>453</v>
      </c>
      <c r="H3373" s="351">
        <f t="shared" si="57"/>
        <v>2200</v>
      </c>
      <c r="I3373" s="120" t="str">
        <f>IF(OR(D3373&lt;Capa!$A$5,D3373&gt;Capa!$A$7,E3373&lt;Capa!$A$5,E3373&gt;Capa!$A$7,D3373&gt;E3373),"Erro","")</f>
        <v/>
      </c>
    </row>
    <row r="3374" spans="1:9" ht="33.75">
      <c r="A3374" s="345">
        <v>3371</v>
      </c>
      <c r="B3374" s="346" t="s">
        <v>294</v>
      </c>
      <c r="C3374" s="347">
        <v>7000</v>
      </c>
      <c r="D3374" s="348">
        <v>45261</v>
      </c>
      <c r="E3374" s="348">
        <v>45627</v>
      </c>
      <c r="F3374" s="346" t="s">
        <v>647</v>
      </c>
      <c r="G3374" s="350" t="s">
        <v>454</v>
      </c>
      <c r="H3374" s="351">
        <f t="shared" si="57"/>
        <v>91000</v>
      </c>
      <c r="I3374" s="120" t="str">
        <f>IF(OR(D3374&lt;Capa!$A$5,D3374&gt;Capa!$A$7,E3374&lt;Capa!$A$5,E3374&gt;Capa!$A$7,D3374&gt;E3374),"Erro","")</f>
        <v/>
      </c>
    </row>
    <row r="3375" spans="1:9" ht="33.75">
      <c r="A3375" s="345">
        <v>3372</v>
      </c>
      <c r="B3375" s="346" t="s">
        <v>294</v>
      </c>
      <c r="C3375" s="347">
        <v>7408.8</v>
      </c>
      <c r="D3375" s="348">
        <v>45658</v>
      </c>
      <c r="E3375" s="348">
        <v>45992</v>
      </c>
      <c r="F3375" s="346" t="s">
        <v>647</v>
      </c>
      <c r="G3375" s="350" t="s">
        <v>454</v>
      </c>
      <c r="H3375" s="351">
        <f t="shared" si="57"/>
        <v>88905.600000000006</v>
      </c>
      <c r="I3375" s="120" t="str">
        <f>IF(OR(D3375&lt;Capa!$A$5,D3375&gt;Capa!$A$7,E3375&lt;Capa!$A$5,E3375&gt;Capa!$A$7,D3375&gt;E3375),"Erro","")</f>
        <v/>
      </c>
    </row>
    <row r="3376" spans="1:9" ht="33.75">
      <c r="A3376" s="345">
        <v>3373</v>
      </c>
      <c r="B3376" s="346" t="s">
        <v>294</v>
      </c>
      <c r="C3376" s="347">
        <v>7847.65</v>
      </c>
      <c r="D3376" s="348">
        <v>46023</v>
      </c>
      <c r="E3376" s="348">
        <v>46357</v>
      </c>
      <c r="F3376" s="346" t="s">
        <v>647</v>
      </c>
      <c r="G3376" s="350" t="s">
        <v>454</v>
      </c>
      <c r="H3376" s="351">
        <f t="shared" si="57"/>
        <v>94171.799999999988</v>
      </c>
      <c r="I3376" s="120" t="str">
        <f>IF(OR(D3376&lt;Capa!$A$5,D3376&gt;Capa!$A$7,E3376&lt;Capa!$A$5,E3376&gt;Capa!$A$7,D3376&gt;E3376),"Erro","")</f>
        <v/>
      </c>
    </row>
    <row r="3377" spans="1:9" ht="33.75">
      <c r="A3377" s="345">
        <v>3374</v>
      </c>
      <c r="B3377" s="346" t="s">
        <v>294</v>
      </c>
      <c r="C3377" s="347">
        <v>8305.9500000000007</v>
      </c>
      <c r="D3377" s="348">
        <v>46388</v>
      </c>
      <c r="E3377" s="348">
        <v>46722</v>
      </c>
      <c r="F3377" s="346" t="s">
        <v>647</v>
      </c>
      <c r="G3377" s="350" t="s">
        <v>454</v>
      </c>
      <c r="H3377" s="351">
        <f t="shared" si="57"/>
        <v>99671.400000000009</v>
      </c>
      <c r="I3377" s="120" t="str">
        <f>IF(OR(D3377&lt;Capa!$A$5,D3377&gt;Capa!$A$7,E3377&lt;Capa!$A$5,E3377&gt;Capa!$A$7,D3377&gt;E3377),"Erro","")</f>
        <v/>
      </c>
    </row>
    <row r="3378" spans="1:9" ht="33.75">
      <c r="A3378" s="345">
        <v>3375</v>
      </c>
      <c r="B3378" s="346" t="s">
        <v>294</v>
      </c>
      <c r="C3378" s="347">
        <v>8791.02</v>
      </c>
      <c r="D3378" s="348">
        <v>46753</v>
      </c>
      <c r="E3378" s="348">
        <v>47058</v>
      </c>
      <c r="F3378" s="346" t="s">
        <v>647</v>
      </c>
      <c r="G3378" s="350" t="s">
        <v>454</v>
      </c>
      <c r="H3378" s="351">
        <f t="shared" si="57"/>
        <v>96701.22</v>
      </c>
      <c r="I3378" s="120" t="str">
        <f>IF(OR(D3378&lt;Capa!$A$5,D3378&gt;Capa!$A$7,E3378&lt;Capa!$A$5,E3378&gt;Capa!$A$7,D3378&gt;E3378),"Erro","")</f>
        <v/>
      </c>
    </row>
    <row r="3379" spans="1:9" ht="22.5">
      <c r="A3379" s="345">
        <v>3376</v>
      </c>
      <c r="B3379" s="346" t="s">
        <v>302</v>
      </c>
      <c r="C3379" s="347">
        <v>200</v>
      </c>
      <c r="D3379" s="348">
        <v>45261</v>
      </c>
      <c r="E3379" s="348">
        <v>45627</v>
      </c>
      <c r="F3379" s="346" t="s">
        <v>647</v>
      </c>
      <c r="G3379" s="350" t="s">
        <v>455</v>
      </c>
      <c r="H3379" s="351">
        <f t="shared" si="57"/>
        <v>2600</v>
      </c>
      <c r="I3379" s="120" t="str">
        <f>IF(OR(D3379&lt;Capa!$A$5,D3379&gt;Capa!$A$7,E3379&lt;Capa!$A$5,E3379&gt;Capa!$A$7,D3379&gt;E3379),"Erro","")</f>
        <v/>
      </c>
    </row>
    <row r="3380" spans="1:9" ht="22.5">
      <c r="A3380" s="345">
        <v>3377</v>
      </c>
      <c r="B3380" s="346" t="s">
        <v>302</v>
      </c>
      <c r="C3380" s="347">
        <v>210</v>
      </c>
      <c r="D3380" s="348">
        <v>45658</v>
      </c>
      <c r="E3380" s="348">
        <v>45992</v>
      </c>
      <c r="F3380" s="346" t="s">
        <v>647</v>
      </c>
      <c r="G3380" s="350" t="s">
        <v>455</v>
      </c>
      <c r="H3380" s="351">
        <f t="shared" si="57"/>
        <v>2520</v>
      </c>
      <c r="I3380" s="120" t="str">
        <f>IF(OR(D3380&lt;Capa!$A$5,D3380&gt;Capa!$A$7,E3380&lt;Capa!$A$5,E3380&gt;Capa!$A$7,D3380&gt;E3380),"Erro","")</f>
        <v/>
      </c>
    </row>
    <row r="3381" spans="1:9" ht="22.5">
      <c r="A3381" s="345">
        <v>3378</v>
      </c>
      <c r="B3381" s="346" t="s">
        <v>302</v>
      </c>
      <c r="C3381" s="347">
        <v>210</v>
      </c>
      <c r="D3381" s="348">
        <v>46023</v>
      </c>
      <c r="E3381" s="348">
        <v>46357</v>
      </c>
      <c r="F3381" s="346" t="s">
        <v>647</v>
      </c>
      <c r="G3381" s="350" t="s">
        <v>455</v>
      </c>
      <c r="H3381" s="351">
        <f t="shared" si="57"/>
        <v>2520</v>
      </c>
      <c r="I3381" s="120" t="str">
        <f>IF(OR(D3381&lt;Capa!$A$5,D3381&gt;Capa!$A$7,E3381&lt;Capa!$A$5,E3381&gt;Capa!$A$7,D3381&gt;E3381),"Erro","")</f>
        <v/>
      </c>
    </row>
    <row r="3382" spans="1:9" ht="22.5">
      <c r="A3382" s="345">
        <v>3379</v>
      </c>
      <c r="B3382" s="346" t="s">
        <v>302</v>
      </c>
      <c r="C3382" s="347">
        <v>210</v>
      </c>
      <c r="D3382" s="348">
        <v>46388</v>
      </c>
      <c r="E3382" s="348">
        <v>46722</v>
      </c>
      <c r="F3382" s="346" t="s">
        <v>647</v>
      </c>
      <c r="G3382" s="350" t="s">
        <v>455</v>
      </c>
      <c r="H3382" s="351">
        <f t="shared" si="57"/>
        <v>2520</v>
      </c>
      <c r="I3382" s="120" t="str">
        <f>IF(OR(D3382&lt;Capa!$A$5,D3382&gt;Capa!$A$7,E3382&lt;Capa!$A$5,E3382&gt;Capa!$A$7,D3382&gt;E3382),"Erro","")</f>
        <v/>
      </c>
    </row>
    <row r="3383" spans="1:9" ht="22.5">
      <c r="A3383" s="345">
        <v>3380</v>
      </c>
      <c r="B3383" s="346" t="s">
        <v>302</v>
      </c>
      <c r="C3383" s="347">
        <v>210</v>
      </c>
      <c r="D3383" s="348">
        <v>46753</v>
      </c>
      <c r="E3383" s="348">
        <v>47058</v>
      </c>
      <c r="F3383" s="346" t="s">
        <v>647</v>
      </c>
      <c r="G3383" s="350" t="s">
        <v>455</v>
      </c>
      <c r="H3383" s="351">
        <f t="shared" si="57"/>
        <v>2310</v>
      </c>
      <c r="I3383" s="120" t="str">
        <f>IF(OR(D3383&lt;Capa!$A$5,D3383&gt;Capa!$A$7,E3383&lt;Capa!$A$5,E3383&gt;Capa!$A$7,D3383&gt;E3383),"Erro","")</f>
        <v/>
      </c>
    </row>
    <row r="3384" spans="1:9" ht="33.75">
      <c r="A3384" s="345">
        <v>3381</v>
      </c>
      <c r="B3384" s="346" t="s">
        <v>304</v>
      </c>
      <c r="C3384" s="347">
        <v>1800</v>
      </c>
      <c r="D3384" s="348">
        <v>45261</v>
      </c>
      <c r="E3384" s="348">
        <v>45627</v>
      </c>
      <c r="F3384" s="346" t="s">
        <v>647</v>
      </c>
      <c r="G3384" s="350" t="s">
        <v>456</v>
      </c>
      <c r="H3384" s="351">
        <f t="shared" si="57"/>
        <v>23400</v>
      </c>
      <c r="I3384" s="120" t="str">
        <f>IF(OR(D3384&lt;Capa!$A$5,D3384&gt;Capa!$A$7,E3384&lt;Capa!$A$5,E3384&gt;Capa!$A$7,D3384&gt;E3384),"Erro","")</f>
        <v/>
      </c>
    </row>
    <row r="3385" spans="1:9" ht="33.75">
      <c r="A3385" s="345">
        <v>3382</v>
      </c>
      <c r="B3385" s="346" t="s">
        <v>304</v>
      </c>
      <c r="C3385" s="347">
        <v>1905.12</v>
      </c>
      <c r="D3385" s="348">
        <v>45658</v>
      </c>
      <c r="E3385" s="348">
        <v>45992</v>
      </c>
      <c r="F3385" s="346" t="s">
        <v>647</v>
      </c>
      <c r="G3385" s="350" t="s">
        <v>456</v>
      </c>
      <c r="H3385" s="351">
        <f t="shared" si="57"/>
        <v>22861.439999999999</v>
      </c>
      <c r="I3385" s="120" t="str">
        <f>IF(OR(D3385&lt;Capa!$A$5,D3385&gt;Capa!$A$7,E3385&lt;Capa!$A$5,E3385&gt;Capa!$A$7,D3385&gt;E3385),"Erro","")</f>
        <v/>
      </c>
    </row>
    <row r="3386" spans="1:9" ht="33.75">
      <c r="A3386" s="345">
        <v>3383</v>
      </c>
      <c r="B3386" s="346" t="s">
        <v>304</v>
      </c>
      <c r="C3386" s="347">
        <v>2016.37</v>
      </c>
      <c r="D3386" s="348">
        <v>46023</v>
      </c>
      <c r="E3386" s="348">
        <v>46357</v>
      </c>
      <c r="F3386" s="346" t="s">
        <v>647</v>
      </c>
      <c r="G3386" s="350" t="s">
        <v>456</v>
      </c>
      <c r="H3386" s="351">
        <f t="shared" si="57"/>
        <v>24196.44</v>
      </c>
      <c r="I3386" s="120" t="str">
        <f>IF(OR(D3386&lt;Capa!$A$5,D3386&gt;Capa!$A$7,E3386&lt;Capa!$A$5,E3386&gt;Capa!$A$7,D3386&gt;E3386),"Erro","")</f>
        <v/>
      </c>
    </row>
    <row r="3387" spans="1:9" ht="33.75">
      <c r="A3387" s="345">
        <v>3384</v>
      </c>
      <c r="B3387" s="346" t="s">
        <v>304</v>
      </c>
      <c r="C3387" s="347">
        <v>2134.13</v>
      </c>
      <c r="D3387" s="348">
        <v>46388</v>
      </c>
      <c r="E3387" s="348">
        <v>46722</v>
      </c>
      <c r="F3387" s="346" t="s">
        <v>647</v>
      </c>
      <c r="G3387" s="350" t="s">
        <v>456</v>
      </c>
      <c r="H3387" s="351">
        <f t="shared" si="57"/>
        <v>25609.56</v>
      </c>
      <c r="I3387" s="120" t="str">
        <f>IF(OR(D3387&lt;Capa!$A$5,D3387&gt;Capa!$A$7,E3387&lt;Capa!$A$5,E3387&gt;Capa!$A$7,D3387&gt;E3387),"Erro","")</f>
        <v/>
      </c>
    </row>
    <row r="3388" spans="1:9" ht="33.75">
      <c r="A3388" s="345">
        <v>3385</v>
      </c>
      <c r="B3388" s="346" t="s">
        <v>304</v>
      </c>
      <c r="C3388" s="347">
        <v>2258.7600000000002</v>
      </c>
      <c r="D3388" s="348">
        <v>46753</v>
      </c>
      <c r="E3388" s="348">
        <v>47058</v>
      </c>
      <c r="F3388" s="346" t="s">
        <v>647</v>
      </c>
      <c r="G3388" s="350" t="s">
        <v>456</v>
      </c>
      <c r="H3388" s="351">
        <f t="shared" si="57"/>
        <v>24846.36</v>
      </c>
      <c r="I3388" s="120" t="str">
        <f>IF(OR(D3388&lt;Capa!$A$5,D3388&gt;Capa!$A$7,E3388&lt;Capa!$A$5,E3388&gt;Capa!$A$7,D3388&gt;E3388),"Erro","")</f>
        <v/>
      </c>
    </row>
    <row r="3389" spans="1:9" ht="33.75">
      <c r="A3389" s="345">
        <v>3386</v>
      </c>
      <c r="B3389" s="346" t="s">
        <v>312</v>
      </c>
      <c r="C3389" s="347">
        <v>280</v>
      </c>
      <c r="D3389" s="348">
        <v>45658</v>
      </c>
      <c r="E3389" s="348">
        <v>45992</v>
      </c>
      <c r="F3389" s="346" t="s">
        <v>647</v>
      </c>
      <c r="G3389" s="350" t="s">
        <v>593</v>
      </c>
      <c r="H3389" s="351">
        <f t="shared" ref="H3389:H3467" si="58">IFERROR((DATEDIF(D3389,E3389,"M")+1)*C3389,0)</f>
        <v>3360</v>
      </c>
      <c r="I3389" s="120" t="str">
        <f>IF(OR(D3389&lt;Capa!$A$5,D3389&gt;Capa!$A$7,E3389&lt;Capa!$A$5,E3389&gt;Capa!$A$7,D3389&gt;E3389),"Erro","")</f>
        <v/>
      </c>
    </row>
    <row r="3390" spans="1:9" ht="33.75">
      <c r="A3390" s="345">
        <v>3387</v>
      </c>
      <c r="B3390" s="346" t="s">
        <v>312</v>
      </c>
      <c r="C3390" s="347">
        <v>280</v>
      </c>
      <c r="D3390" s="348">
        <v>46023</v>
      </c>
      <c r="E3390" s="348">
        <v>46357</v>
      </c>
      <c r="F3390" s="346" t="s">
        <v>647</v>
      </c>
      <c r="G3390" s="350" t="s">
        <v>593</v>
      </c>
      <c r="H3390" s="351">
        <f t="shared" si="58"/>
        <v>3360</v>
      </c>
      <c r="I3390" s="120" t="str">
        <f>IF(OR(D3390&lt;Capa!$A$5,D3390&gt;Capa!$A$7,E3390&lt;Capa!$A$5,E3390&gt;Capa!$A$7,D3390&gt;E3390),"Erro","")</f>
        <v/>
      </c>
    </row>
    <row r="3391" spans="1:9" ht="33.75">
      <c r="A3391" s="345">
        <v>3388</v>
      </c>
      <c r="B3391" s="346" t="s">
        <v>312</v>
      </c>
      <c r="C3391" s="347">
        <v>280</v>
      </c>
      <c r="D3391" s="348">
        <v>46388</v>
      </c>
      <c r="E3391" s="348">
        <v>46722</v>
      </c>
      <c r="F3391" s="346" t="s">
        <v>647</v>
      </c>
      <c r="G3391" s="350" t="s">
        <v>593</v>
      </c>
      <c r="H3391" s="351">
        <f t="shared" si="58"/>
        <v>3360</v>
      </c>
      <c r="I3391" s="120" t="str">
        <f>IF(OR(D3391&lt;Capa!$A$5,D3391&gt;Capa!$A$7,E3391&lt;Capa!$A$5,E3391&gt;Capa!$A$7,D3391&gt;E3391),"Erro","")</f>
        <v/>
      </c>
    </row>
    <row r="3392" spans="1:9" ht="33.75">
      <c r="A3392" s="345">
        <v>3389</v>
      </c>
      <c r="B3392" s="346" t="s">
        <v>312</v>
      </c>
      <c r="C3392" s="347">
        <v>280</v>
      </c>
      <c r="D3392" s="348">
        <v>46753</v>
      </c>
      <c r="E3392" s="348">
        <v>47058</v>
      </c>
      <c r="F3392" s="346" t="s">
        <v>647</v>
      </c>
      <c r="G3392" s="350" t="s">
        <v>593</v>
      </c>
      <c r="H3392" s="351">
        <f t="shared" si="58"/>
        <v>3080</v>
      </c>
      <c r="I3392" s="120" t="str">
        <f>IF(OR(D3392&lt;Capa!$A$5,D3392&gt;Capa!$A$7,E3392&lt;Capa!$A$5,E3392&gt;Capa!$A$7,D3392&gt;E3392),"Erro","")</f>
        <v/>
      </c>
    </row>
    <row r="3393" spans="1:9" ht="67.5">
      <c r="A3393" s="345">
        <v>3390</v>
      </c>
      <c r="B3393" s="346" t="s">
        <v>316</v>
      </c>
      <c r="C3393" s="347">
        <v>1000</v>
      </c>
      <c r="D3393" s="348">
        <v>45261</v>
      </c>
      <c r="E3393" s="348">
        <v>45627</v>
      </c>
      <c r="F3393" s="346" t="s">
        <v>647</v>
      </c>
      <c r="G3393" s="350" t="s">
        <v>457</v>
      </c>
      <c r="H3393" s="351">
        <f t="shared" si="58"/>
        <v>13000</v>
      </c>
      <c r="I3393" s="120" t="str">
        <f>IF(OR(D3393&lt;Capa!$A$5,D3393&gt;Capa!$A$7,E3393&lt;Capa!$A$5,E3393&gt;Capa!$A$7,D3393&gt;E3393),"Erro","")</f>
        <v/>
      </c>
    </row>
    <row r="3394" spans="1:9" ht="67.5">
      <c r="A3394" s="345">
        <v>3391</v>
      </c>
      <c r="B3394" s="346" t="s">
        <v>316</v>
      </c>
      <c r="C3394" s="347">
        <v>1000</v>
      </c>
      <c r="D3394" s="348">
        <v>45658</v>
      </c>
      <c r="E3394" s="348">
        <v>45992</v>
      </c>
      <c r="F3394" s="346" t="s">
        <v>647</v>
      </c>
      <c r="G3394" s="350" t="s">
        <v>457</v>
      </c>
      <c r="H3394" s="351">
        <f t="shared" si="58"/>
        <v>12000</v>
      </c>
      <c r="I3394" s="120" t="str">
        <f>IF(OR(D3394&lt;Capa!$A$5,D3394&gt;Capa!$A$7,E3394&lt;Capa!$A$5,E3394&gt;Capa!$A$7,D3394&gt;E3394),"Erro","")</f>
        <v/>
      </c>
    </row>
    <row r="3395" spans="1:9" ht="67.5">
      <c r="A3395" s="345">
        <v>3392</v>
      </c>
      <c r="B3395" s="346" t="s">
        <v>316</v>
      </c>
      <c r="C3395" s="347">
        <v>1000</v>
      </c>
      <c r="D3395" s="348">
        <v>46023</v>
      </c>
      <c r="E3395" s="348">
        <v>46357</v>
      </c>
      <c r="F3395" s="346" t="s">
        <v>647</v>
      </c>
      <c r="G3395" s="350" t="s">
        <v>457</v>
      </c>
      <c r="H3395" s="351">
        <f t="shared" si="58"/>
        <v>12000</v>
      </c>
      <c r="I3395" s="120" t="str">
        <f>IF(OR(D3395&lt;Capa!$A$5,D3395&gt;Capa!$A$7,E3395&lt;Capa!$A$5,E3395&gt;Capa!$A$7,D3395&gt;E3395),"Erro","")</f>
        <v/>
      </c>
    </row>
    <row r="3396" spans="1:9" ht="67.5">
      <c r="A3396" s="345">
        <v>3393</v>
      </c>
      <c r="B3396" s="346" t="s">
        <v>316</v>
      </c>
      <c r="C3396" s="347">
        <v>1000</v>
      </c>
      <c r="D3396" s="348">
        <v>46388</v>
      </c>
      <c r="E3396" s="348">
        <v>46722</v>
      </c>
      <c r="F3396" s="346" t="s">
        <v>647</v>
      </c>
      <c r="G3396" s="350" t="s">
        <v>457</v>
      </c>
      <c r="H3396" s="351">
        <f t="shared" si="58"/>
        <v>12000</v>
      </c>
      <c r="I3396" s="120" t="str">
        <f>IF(OR(D3396&lt;Capa!$A$5,D3396&gt;Capa!$A$7,E3396&lt;Capa!$A$5,E3396&gt;Capa!$A$7,D3396&gt;E3396),"Erro","")</f>
        <v/>
      </c>
    </row>
    <row r="3397" spans="1:9" ht="67.5">
      <c r="A3397" s="345">
        <v>3394</v>
      </c>
      <c r="B3397" s="346" t="s">
        <v>316</v>
      </c>
      <c r="C3397" s="347">
        <v>1000</v>
      </c>
      <c r="D3397" s="348">
        <v>46753</v>
      </c>
      <c r="E3397" s="348">
        <v>47058</v>
      </c>
      <c r="F3397" s="346" t="s">
        <v>647</v>
      </c>
      <c r="G3397" s="350" t="s">
        <v>457</v>
      </c>
      <c r="H3397" s="351">
        <f t="shared" si="58"/>
        <v>11000</v>
      </c>
      <c r="I3397" s="120" t="str">
        <f>IF(OR(D3397&lt;Capa!$A$5,D3397&gt;Capa!$A$7,E3397&lt;Capa!$A$5,E3397&gt;Capa!$A$7,D3397&gt;E3397),"Erro","")</f>
        <v/>
      </c>
    </row>
    <row r="3398" spans="1:9" ht="67.5">
      <c r="A3398" s="345">
        <v>3395</v>
      </c>
      <c r="B3398" s="346" t="s">
        <v>318</v>
      </c>
      <c r="C3398" s="347">
        <v>1800</v>
      </c>
      <c r="D3398" s="348">
        <v>45261</v>
      </c>
      <c r="E3398" s="348">
        <v>45627</v>
      </c>
      <c r="F3398" s="346" t="s">
        <v>647</v>
      </c>
      <c r="G3398" s="350" t="s">
        <v>457</v>
      </c>
      <c r="H3398" s="351">
        <f t="shared" si="58"/>
        <v>23400</v>
      </c>
      <c r="I3398" s="120" t="str">
        <f>IF(OR(D3398&lt;Capa!$A$5,D3398&gt;Capa!$A$7,E3398&lt;Capa!$A$5,E3398&gt;Capa!$A$7,D3398&gt;E3398),"Erro","")</f>
        <v/>
      </c>
    </row>
    <row r="3399" spans="1:9" ht="67.5">
      <c r="A3399" s="345">
        <v>3396</v>
      </c>
      <c r="B3399" s="346" t="s">
        <v>318</v>
      </c>
      <c r="C3399" s="347">
        <v>1500</v>
      </c>
      <c r="D3399" s="348">
        <v>45658</v>
      </c>
      <c r="E3399" s="348">
        <v>45992</v>
      </c>
      <c r="F3399" s="346" t="s">
        <v>647</v>
      </c>
      <c r="G3399" s="350" t="s">
        <v>457</v>
      </c>
      <c r="H3399" s="351">
        <f t="shared" si="58"/>
        <v>18000</v>
      </c>
      <c r="I3399" s="120" t="str">
        <f>IF(OR(D3399&lt;Capa!$A$5,D3399&gt;Capa!$A$7,E3399&lt;Capa!$A$5,E3399&gt;Capa!$A$7,D3399&gt;E3399),"Erro","")</f>
        <v/>
      </c>
    </row>
    <row r="3400" spans="1:9" ht="67.5">
      <c r="A3400" s="345">
        <v>3397</v>
      </c>
      <c r="B3400" s="346" t="s">
        <v>318</v>
      </c>
      <c r="C3400" s="347">
        <v>1500</v>
      </c>
      <c r="D3400" s="348">
        <v>46023</v>
      </c>
      <c r="E3400" s="348">
        <v>46357</v>
      </c>
      <c r="F3400" s="346" t="s">
        <v>647</v>
      </c>
      <c r="G3400" s="350" t="s">
        <v>457</v>
      </c>
      <c r="H3400" s="351">
        <f t="shared" si="58"/>
        <v>18000</v>
      </c>
      <c r="I3400" s="120" t="str">
        <f>IF(OR(D3400&lt;Capa!$A$5,D3400&gt;Capa!$A$7,E3400&lt;Capa!$A$5,E3400&gt;Capa!$A$7,D3400&gt;E3400),"Erro","")</f>
        <v/>
      </c>
    </row>
    <row r="3401" spans="1:9" ht="67.5">
      <c r="A3401" s="345">
        <v>3398</v>
      </c>
      <c r="B3401" s="346" t="s">
        <v>318</v>
      </c>
      <c r="C3401" s="347">
        <v>1500</v>
      </c>
      <c r="D3401" s="348">
        <v>46388</v>
      </c>
      <c r="E3401" s="348">
        <v>46722</v>
      </c>
      <c r="F3401" s="346" t="s">
        <v>647</v>
      </c>
      <c r="G3401" s="350" t="s">
        <v>457</v>
      </c>
      <c r="H3401" s="351">
        <f t="shared" si="58"/>
        <v>18000</v>
      </c>
      <c r="I3401" s="120" t="str">
        <f>IF(OR(D3401&lt;Capa!$A$5,D3401&gt;Capa!$A$7,E3401&lt;Capa!$A$5,E3401&gt;Capa!$A$7,D3401&gt;E3401),"Erro","")</f>
        <v/>
      </c>
    </row>
    <row r="3402" spans="1:9" ht="67.5">
      <c r="A3402" s="345">
        <v>3399</v>
      </c>
      <c r="B3402" s="346" t="s">
        <v>318</v>
      </c>
      <c r="C3402" s="347">
        <v>1500</v>
      </c>
      <c r="D3402" s="348">
        <v>46753</v>
      </c>
      <c r="E3402" s="348">
        <v>47058</v>
      </c>
      <c r="F3402" s="346" t="s">
        <v>647</v>
      </c>
      <c r="G3402" s="350" t="s">
        <v>457</v>
      </c>
      <c r="H3402" s="351">
        <f t="shared" si="58"/>
        <v>16500</v>
      </c>
      <c r="I3402" s="120" t="str">
        <f>IF(OR(D3402&lt;Capa!$A$5,D3402&gt;Capa!$A$7,E3402&lt;Capa!$A$5,E3402&gt;Capa!$A$7,D3402&gt;E3402),"Erro","")</f>
        <v/>
      </c>
    </row>
    <row r="3403" spans="1:9" ht="56.25">
      <c r="A3403" s="345">
        <v>3400</v>
      </c>
      <c r="B3403" s="346" t="s">
        <v>318</v>
      </c>
      <c r="C3403" s="347">
        <v>1800</v>
      </c>
      <c r="D3403" s="348">
        <v>45261</v>
      </c>
      <c r="E3403" s="348">
        <v>45627</v>
      </c>
      <c r="F3403" s="346" t="s">
        <v>647</v>
      </c>
      <c r="G3403" s="350" t="s">
        <v>594</v>
      </c>
      <c r="H3403" s="351">
        <f t="shared" si="58"/>
        <v>23400</v>
      </c>
      <c r="I3403" s="120" t="str">
        <f>IF(OR(D3403&lt;Capa!$A$5,D3403&gt;Capa!$A$7,E3403&lt;Capa!$A$5,E3403&gt;Capa!$A$7,D3403&gt;E3403),"Erro","")</f>
        <v/>
      </c>
    </row>
    <row r="3404" spans="1:9" ht="56.25">
      <c r="A3404" s="345">
        <v>3401</v>
      </c>
      <c r="B3404" s="346" t="s">
        <v>318</v>
      </c>
      <c r="C3404" s="347">
        <v>1500</v>
      </c>
      <c r="D3404" s="348">
        <v>45658</v>
      </c>
      <c r="E3404" s="348">
        <v>45992</v>
      </c>
      <c r="F3404" s="346" t="s">
        <v>647</v>
      </c>
      <c r="G3404" s="350" t="s">
        <v>594</v>
      </c>
      <c r="H3404" s="351">
        <f t="shared" si="58"/>
        <v>18000</v>
      </c>
      <c r="I3404" s="120" t="str">
        <f>IF(OR(D3404&lt;Capa!$A$5,D3404&gt;Capa!$A$7,E3404&lt;Capa!$A$5,E3404&gt;Capa!$A$7,D3404&gt;E3404),"Erro","")</f>
        <v/>
      </c>
    </row>
    <row r="3405" spans="1:9" ht="56.25">
      <c r="A3405" s="345">
        <v>3402</v>
      </c>
      <c r="B3405" s="346" t="s">
        <v>318</v>
      </c>
      <c r="C3405" s="347">
        <v>1500</v>
      </c>
      <c r="D3405" s="348">
        <v>46023</v>
      </c>
      <c r="E3405" s="348">
        <v>46357</v>
      </c>
      <c r="F3405" s="346" t="s">
        <v>647</v>
      </c>
      <c r="G3405" s="350" t="s">
        <v>594</v>
      </c>
      <c r="H3405" s="351">
        <f t="shared" si="58"/>
        <v>18000</v>
      </c>
      <c r="I3405" s="120" t="str">
        <f>IF(OR(D3405&lt;Capa!$A$5,D3405&gt;Capa!$A$7,E3405&lt;Capa!$A$5,E3405&gt;Capa!$A$7,D3405&gt;E3405),"Erro","")</f>
        <v/>
      </c>
    </row>
    <row r="3406" spans="1:9" ht="56.25">
      <c r="A3406" s="345">
        <v>3403</v>
      </c>
      <c r="B3406" s="346" t="s">
        <v>318</v>
      </c>
      <c r="C3406" s="347">
        <v>1500</v>
      </c>
      <c r="D3406" s="348">
        <v>46388</v>
      </c>
      <c r="E3406" s="348">
        <v>46722</v>
      </c>
      <c r="F3406" s="346" t="s">
        <v>647</v>
      </c>
      <c r="G3406" s="350" t="s">
        <v>594</v>
      </c>
      <c r="H3406" s="351">
        <f t="shared" si="58"/>
        <v>18000</v>
      </c>
      <c r="I3406" s="120" t="str">
        <f>IF(OR(D3406&lt;Capa!$A$5,D3406&gt;Capa!$A$7,E3406&lt;Capa!$A$5,E3406&gt;Capa!$A$7,D3406&gt;E3406),"Erro","")</f>
        <v/>
      </c>
    </row>
    <row r="3407" spans="1:9" ht="56.25">
      <c r="A3407" s="345">
        <v>3404</v>
      </c>
      <c r="B3407" s="346" t="s">
        <v>318</v>
      </c>
      <c r="C3407" s="347">
        <v>1500</v>
      </c>
      <c r="D3407" s="348">
        <v>46753</v>
      </c>
      <c r="E3407" s="348">
        <v>47058</v>
      </c>
      <c r="F3407" s="346" t="s">
        <v>647</v>
      </c>
      <c r="G3407" s="350" t="s">
        <v>594</v>
      </c>
      <c r="H3407" s="351">
        <f t="shared" si="58"/>
        <v>16500</v>
      </c>
      <c r="I3407" s="120" t="str">
        <f>IF(OR(D3407&lt;Capa!$A$5,D3407&gt;Capa!$A$7,E3407&lt;Capa!$A$5,E3407&gt;Capa!$A$7,D3407&gt;E3407),"Erro","")</f>
        <v/>
      </c>
    </row>
    <row r="3408" spans="1:9" ht="22.5">
      <c r="A3408" s="345">
        <v>3405</v>
      </c>
      <c r="B3408" s="346" t="s">
        <v>298</v>
      </c>
      <c r="C3408" s="347">
        <v>2500</v>
      </c>
      <c r="D3408" s="348">
        <v>45261</v>
      </c>
      <c r="E3408" s="348">
        <v>45627</v>
      </c>
      <c r="F3408" s="346" t="s">
        <v>647</v>
      </c>
      <c r="G3408" s="350" t="s">
        <v>458</v>
      </c>
      <c r="H3408" s="351">
        <f t="shared" si="58"/>
        <v>32500</v>
      </c>
      <c r="I3408" s="120" t="str">
        <f>IF(OR(D3408&lt;Capa!$A$5,D3408&gt;Capa!$A$7,E3408&lt;Capa!$A$5,E3408&gt;Capa!$A$7,D3408&gt;E3408),"Erro","")</f>
        <v/>
      </c>
    </row>
    <row r="3409" spans="1:9" ht="22.5">
      <c r="A3409" s="345">
        <v>3406</v>
      </c>
      <c r="B3409" s="346" t="s">
        <v>298</v>
      </c>
      <c r="C3409" s="347">
        <v>2646</v>
      </c>
      <c r="D3409" s="348">
        <v>45658</v>
      </c>
      <c r="E3409" s="348">
        <v>45992</v>
      </c>
      <c r="F3409" s="346" t="s">
        <v>647</v>
      </c>
      <c r="G3409" s="350" t="s">
        <v>458</v>
      </c>
      <c r="H3409" s="351">
        <f t="shared" si="58"/>
        <v>31752</v>
      </c>
      <c r="I3409" s="120" t="str">
        <f>IF(OR(D3409&lt;Capa!$A$5,D3409&gt;Capa!$A$7,E3409&lt;Capa!$A$5,E3409&gt;Capa!$A$7,D3409&gt;E3409),"Erro","")</f>
        <v/>
      </c>
    </row>
    <row r="3410" spans="1:9" ht="22.5">
      <c r="A3410" s="345">
        <v>3407</v>
      </c>
      <c r="B3410" s="346" t="s">
        <v>298</v>
      </c>
      <c r="C3410" s="347">
        <v>2800.52</v>
      </c>
      <c r="D3410" s="348">
        <v>46023</v>
      </c>
      <c r="E3410" s="348">
        <v>46357</v>
      </c>
      <c r="F3410" s="346" t="s">
        <v>647</v>
      </c>
      <c r="G3410" s="350" t="s">
        <v>458</v>
      </c>
      <c r="H3410" s="351">
        <f t="shared" si="58"/>
        <v>33606.239999999998</v>
      </c>
      <c r="I3410" s="120" t="str">
        <f>IF(OR(D3410&lt;Capa!$A$5,D3410&gt;Capa!$A$7,E3410&lt;Capa!$A$5,E3410&gt;Capa!$A$7,D3410&gt;E3410),"Erro","")</f>
        <v/>
      </c>
    </row>
    <row r="3411" spans="1:9" ht="22.5">
      <c r="A3411" s="345">
        <v>3408</v>
      </c>
      <c r="B3411" s="346" t="s">
        <v>298</v>
      </c>
      <c r="C3411" s="347">
        <v>2964.07</v>
      </c>
      <c r="D3411" s="348">
        <v>46388</v>
      </c>
      <c r="E3411" s="348">
        <v>46722</v>
      </c>
      <c r="F3411" s="346" t="s">
        <v>647</v>
      </c>
      <c r="G3411" s="350" t="s">
        <v>458</v>
      </c>
      <c r="H3411" s="351">
        <f t="shared" si="58"/>
        <v>35568.840000000004</v>
      </c>
      <c r="I3411" s="120" t="str">
        <f>IF(OR(D3411&lt;Capa!$A$5,D3411&gt;Capa!$A$7,E3411&lt;Capa!$A$5,E3411&gt;Capa!$A$7,D3411&gt;E3411),"Erro","")</f>
        <v/>
      </c>
    </row>
    <row r="3412" spans="1:9" ht="22.5">
      <c r="A3412" s="345">
        <v>3409</v>
      </c>
      <c r="B3412" s="346" t="s">
        <v>298</v>
      </c>
      <c r="C3412" s="347">
        <v>3137.17</v>
      </c>
      <c r="D3412" s="348">
        <v>46753</v>
      </c>
      <c r="E3412" s="348">
        <v>47058</v>
      </c>
      <c r="F3412" s="346" t="s">
        <v>647</v>
      </c>
      <c r="G3412" s="350" t="s">
        <v>458</v>
      </c>
      <c r="H3412" s="351">
        <f t="shared" si="58"/>
        <v>34508.870000000003</v>
      </c>
      <c r="I3412" s="120" t="str">
        <f>IF(OR(D3412&lt;Capa!$A$5,D3412&gt;Capa!$A$7,E3412&lt;Capa!$A$5,E3412&gt;Capa!$A$7,D3412&gt;E3412),"Erro","")</f>
        <v/>
      </c>
    </row>
    <row r="3413" spans="1:9" ht="33.75">
      <c r="A3413" s="345">
        <v>3410</v>
      </c>
      <c r="B3413" s="346" t="s">
        <v>238</v>
      </c>
      <c r="C3413" s="347">
        <v>370.44</v>
      </c>
      <c r="D3413" s="348">
        <v>45658</v>
      </c>
      <c r="E3413" s="348">
        <v>45992</v>
      </c>
      <c r="F3413" s="346" t="s">
        <v>647</v>
      </c>
      <c r="G3413" s="350" t="s">
        <v>459</v>
      </c>
      <c r="H3413" s="351">
        <f t="shared" si="58"/>
        <v>4445.28</v>
      </c>
      <c r="I3413" s="120" t="str">
        <f>IF(OR(D3413&lt;Capa!$A$5,D3413&gt;Capa!$A$7,E3413&lt;Capa!$A$5,E3413&gt;Capa!$A$7,D3413&gt;E3413),"Erro","")</f>
        <v/>
      </c>
    </row>
    <row r="3414" spans="1:9" ht="33.75">
      <c r="A3414" s="345">
        <v>3411</v>
      </c>
      <c r="B3414" s="346" t="s">
        <v>238</v>
      </c>
      <c r="C3414" s="347">
        <v>392.07</v>
      </c>
      <c r="D3414" s="348">
        <v>46023</v>
      </c>
      <c r="E3414" s="348">
        <v>46357</v>
      </c>
      <c r="F3414" s="346" t="s">
        <v>647</v>
      </c>
      <c r="G3414" s="350" t="s">
        <v>459</v>
      </c>
      <c r="H3414" s="351">
        <f t="shared" si="58"/>
        <v>4704.84</v>
      </c>
      <c r="I3414" s="120" t="str">
        <f>IF(OR(D3414&lt;Capa!$A$5,D3414&gt;Capa!$A$7,E3414&lt;Capa!$A$5,E3414&gt;Capa!$A$7,D3414&gt;E3414),"Erro","")</f>
        <v/>
      </c>
    </row>
    <row r="3415" spans="1:9" ht="33.75">
      <c r="A3415" s="345">
        <v>3412</v>
      </c>
      <c r="B3415" s="346" t="s">
        <v>238</v>
      </c>
      <c r="C3415" s="347">
        <v>414.97</v>
      </c>
      <c r="D3415" s="348">
        <v>46388</v>
      </c>
      <c r="E3415" s="348">
        <v>46722</v>
      </c>
      <c r="F3415" s="346" t="s">
        <v>647</v>
      </c>
      <c r="G3415" s="350" t="s">
        <v>459</v>
      </c>
      <c r="H3415" s="351">
        <f t="shared" si="58"/>
        <v>4979.6400000000003</v>
      </c>
      <c r="I3415" s="120" t="str">
        <f>IF(OR(D3415&lt;Capa!$A$5,D3415&gt;Capa!$A$7,E3415&lt;Capa!$A$5,E3415&gt;Capa!$A$7,D3415&gt;E3415),"Erro","")</f>
        <v/>
      </c>
    </row>
    <row r="3416" spans="1:9" ht="33.75">
      <c r="A3416" s="345">
        <v>3413</v>
      </c>
      <c r="B3416" s="346" t="s">
        <v>238</v>
      </c>
      <c r="C3416" s="347">
        <v>439.21</v>
      </c>
      <c r="D3416" s="348">
        <v>46753</v>
      </c>
      <c r="E3416" s="348">
        <v>47058</v>
      </c>
      <c r="F3416" s="346" t="s">
        <v>647</v>
      </c>
      <c r="G3416" s="350" t="s">
        <v>459</v>
      </c>
      <c r="H3416" s="351">
        <f t="shared" si="58"/>
        <v>4831.3099999999995</v>
      </c>
      <c r="I3416" s="120" t="str">
        <f>IF(OR(D3416&lt;Capa!$A$5,D3416&gt;Capa!$A$7,E3416&lt;Capa!$A$5,E3416&gt;Capa!$A$7,D3416&gt;E3416),"Erro","")</f>
        <v/>
      </c>
    </row>
    <row r="3417" spans="1:9" ht="56.25">
      <c r="A3417" s="345">
        <v>3414</v>
      </c>
      <c r="B3417" s="346" t="s">
        <v>252</v>
      </c>
      <c r="C3417" s="347">
        <v>7000</v>
      </c>
      <c r="D3417" s="348">
        <v>45261</v>
      </c>
      <c r="E3417" s="348">
        <v>45627</v>
      </c>
      <c r="F3417" s="346" t="s">
        <v>647</v>
      </c>
      <c r="G3417" s="350" t="s">
        <v>460</v>
      </c>
      <c r="H3417" s="351">
        <f t="shared" si="58"/>
        <v>91000</v>
      </c>
      <c r="I3417" s="120" t="str">
        <f>IF(OR(D3417&lt;Capa!$A$5,D3417&gt;Capa!$A$7,E3417&lt;Capa!$A$5,E3417&gt;Capa!$A$7,D3417&gt;E3417),"Erro","")</f>
        <v/>
      </c>
    </row>
    <row r="3418" spans="1:9" ht="56.25">
      <c r="A3418" s="345">
        <v>3415</v>
      </c>
      <c r="B3418" s="346" t="s">
        <v>252</v>
      </c>
      <c r="C3418" s="347">
        <v>7408.8</v>
      </c>
      <c r="D3418" s="348">
        <v>45658</v>
      </c>
      <c r="E3418" s="348">
        <v>45992</v>
      </c>
      <c r="F3418" s="346" t="s">
        <v>647</v>
      </c>
      <c r="G3418" s="350" t="s">
        <v>460</v>
      </c>
      <c r="H3418" s="351">
        <f t="shared" si="58"/>
        <v>88905.600000000006</v>
      </c>
      <c r="I3418" s="120" t="str">
        <f>IF(OR(D3418&lt;Capa!$A$5,D3418&gt;Capa!$A$7,E3418&lt;Capa!$A$5,E3418&gt;Capa!$A$7,D3418&gt;E3418),"Erro","")</f>
        <v/>
      </c>
    </row>
    <row r="3419" spans="1:9" ht="56.25">
      <c r="A3419" s="345">
        <v>3416</v>
      </c>
      <c r="B3419" s="346" t="s">
        <v>252</v>
      </c>
      <c r="C3419" s="347">
        <v>7847.65</v>
      </c>
      <c r="D3419" s="348">
        <v>46023</v>
      </c>
      <c r="E3419" s="348">
        <v>46357</v>
      </c>
      <c r="F3419" s="346" t="s">
        <v>647</v>
      </c>
      <c r="G3419" s="350" t="s">
        <v>460</v>
      </c>
      <c r="H3419" s="351">
        <f t="shared" si="58"/>
        <v>94171.799999999988</v>
      </c>
      <c r="I3419" s="120" t="str">
        <f>IF(OR(D3419&lt;Capa!$A$5,D3419&gt;Capa!$A$7,E3419&lt;Capa!$A$5,E3419&gt;Capa!$A$7,D3419&gt;E3419),"Erro","")</f>
        <v/>
      </c>
    </row>
    <row r="3420" spans="1:9" ht="56.25">
      <c r="A3420" s="345">
        <v>3417</v>
      </c>
      <c r="B3420" s="346" t="s">
        <v>252</v>
      </c>
      <c r="C3420" s="347">
        <v>8305.9500000000007</v>
      </c>
      <c r="D3420" s="348">
        <v>46388</v>
      </c>
      <c r="E3420" s="348">
        <v>46722</v>
      </c>
      <c r="F3420" s="346" t="s">
        <v>647</v>
      </c>
      <c r="G3420" s="350" t="s">
        <v>460</v>
      </c>
      <c r="H3420" s="351">
        <f t="shared" si="58"/>
        <v>99671.400000000009</v>
      </c>
      <c r="I3420" s="120" t="str">
        <f>IF(OR(D3420&lt;Capa!$A$5,D3420&gt;Capa!$A$7,E3420&lt;Capa!$A$5,E3420&gt;Capa!$A$7,D3420&gt;E3420),"Erro","")</f>
        <v/>
      </c>
    </row>
    <row r="3421" spans="1:9" ht="56.25">
      <c r="A3421" s="345">
        <v>3418</v>
      </c>
      <c r="B3421" s="346" t="s">
        <v>252</v>
      </c>
      <c r="C3421" s="347">
        <v>8791.02</v>
      </c>
      <c r="D3421" s="348">
        <v>46753</v>
      </c>
      <c r="E3421" s="348">
        <v>47058</v>
      </c>
      <c r="F3421" s="346" t="s">
        <v>647</v>
      </c>
      <c r="G3421" s="350" t="s">
        <v>460</v>
      </c>
      <c r="H3421" s="351">
        <f t="shared" si="58"/>
        <v>96701.22</v>
      </c>
      <c r="I3421" s="120" t="str">
        <f>IF(OR(D3421&lt;Capa!$A$5,D3421&gt;Capa!$A$7,E3421&lt;Capa!$A$5,E3421&gt;Capa!$A$7,D3421&gt;E3421),"Erro","")</f>
        <v/>
      </c>
    </row>
    <row r="3422" spans="1:9" ht="45">
      <c r="A3422" s="345">
        <v>3419</v>
      </c>
      <c r="B3422" s="346" t="s">
        <v>320</v>
      </c>
      <c r="C3422" s="347">
        <v>4545.7737500000003</v>
      </c>
      <c r="D3422" s="348">
        <v>45778</v>
      </c>
      <c r="E3422" s="348">
        <v>45992</v>
      </c>
      <c r="F3422" s="346" t="s">
        <v>647</v>
      </c>
      <c r="G3422" s="350" t="s">
        <v>596</v>
      </c>
      <c r="H3422" s="351">
        <f t="shared" si="58"/>
        <v>36366.19</v>
      </c>
    </row>
    <row r="3423" spans="1:9" ht="45">
      <c r="A3423" s="345">
        <v>3420</v>
      </c>
      <c r="B3423" s="346" t="s">
        <v>320</v>
      </c>
      <c r="C3423" s="347">
        <v>250</v>
      </c>
      <c r="D3423" s="348">
        <v>45748</v>
      </c>
      <c r="E3423" s="348">
        <v>47058</v>
      </c>
      <c r="F3423" s="346" t="s">
        <v>647</v>
      </c>
      <c r="G3423" s="350" t="s">
        <v>596</v>
      </c>
      <c r="H3423" s="351">
        <f t="shared" si="58"/>
        <v>11000</v>
      </c>
      <c r="I3423" s="120" t="str">
        <f>IF(OR(D3423&lt;Capa!$A$5,D3423&gt;Capa!$A$7,E3423&lt;Capa!$A$5,E3423&gt;Capa!$A$7,D3423&gt;E3423),"Erro","")</f>
        <v/>
      </c>
    </row>
    <row r="3424" spans="1:9" ht="45">
      <c r="A3424" s="345">
        <v>3421</v>
      </c>
      <c r="B3424" s="346" t="s">
        <v>652</v>
      </c>
      <c r="C3424" s="347">
        <v>10000</v>
      </c>
      <c r="D3424" s="348">
        <v>45323</v>
      </c>
      <c r="E3424" s="348">
        <v>45323</v>
      </c>
      <c r="F3424" s="346" t="s">
        <v>647</v>
      </c>
      <c r="G3424" s="350" t="s">
        <v>624</v>
      </c>
      <c r="H3424" s="351">
        <f t="shared" si="58"/>
        <v>10000</v>
      </c>
      <c r="I3424" s="120" t="str">
        <f>IF(OR(D3424&lt;Capa!$A$5,D3424&gt;Capa!$A$7,E3424&lt;Capa!$A$5,E3424&gt;Capa!$A$7,D3424&gt;E3424),"Erro","")</f>
        <v/>
      </c>
    </row>
    <row r="3425" spans="1:9" ht="45">
      <c r="A3425" s="345">
        <v>3422</v>
      </c>
      <c r="B3425" s="346" t="s">
        <v>652</v>
      </c>
      <c r="C3425" s="347">
        <v>10000</v>
      </c>
      <c r="D3425" s="348">
        <v>46023</v>
      </c>
      <c r="E3425" s="348">
        <v>46023</v>
      </c>
      <c r="F3425" s="346" t="s">
        <v>647</v>
      </c>
      <c r="G3425" s="350" t="s">
        <v>624</v>
      </c>
      <c r="H3425" s="351">
        <f t="shared" si="58"/>
        <v>10000</v>
      </c>
      <c r="I3425" s="120" t="str">
        <f>IF(OR(D3425&lt;Capa!$A$5,D3425&gt;Capa!$A$7,E3425&lt;Capa!$A$5,E3425&gt;Capa!$A$7,D3425&gt;E3425),"Erro","")</f>
        <v/>
      </c>
    </row>
    <row r="3426" spans="1:9" ht="45">
      <c r="A3426" s="345">
        <v>3423</v>
      </c>
      <c r="B3426" s="346" t="s">
        <v>652</v>
      </c>
      <c r="C3426" s="347">
        <v>15000</v>
      </c>
      <c r="D3426" s="348">
        <v>46753</v>
      </c>
      <c r="E3426" s="348">
        <v>46753</v>
      </c>
      <c r="F3426" s="346" t="s">
        <v>647</v>
      </c>
      <c r="G3426" s="350" t="s">
        <v>624</v>
      </c>
      <c r="H3426" s="351">
        <f t="shared" si="58"/>
        <v>15000</v>
      </c>
      <c r="I3426" s="120" t="str">
        <f>IF(OR(D3426&lt;Capa!$A$5,D3426&gt;Capa!$A$7,E3426&lt;Capa!$A$5,E3426&gt;Capa!$A$7,D3426&gt;E3426),"Erro","")</f>
        <v/>
      </c>
    </row>
    <row r="3427" spans="1:9" ht="33.75">
      <c r="A3427" s="345">
        <v>3424</v>
      </c>
      <c r="B3427" s="346" t="s">
        <v>651</v>
      </c>
      <c r="C3427" s="347">
        <v>180</v>
      </c>
      <c r="D3427" s="348">
        <v>45261</v>
      </c>
      <c r="E3427" s="348">
        <v>47058</v>
      </c>
      <c r="F3427" s="346" t="s">
        <v>647</v>
      </c>
      <c r="G3427" s="350" t="s">
        <v>710</v>
      </c>
      <c r="H3427" s="351">
        <f t="shared" si="58"/>
        <v>10800</v>
      </c>
      <c r="I3427" s="120" t="str">
        <f>IF(OR(D3427&lt;Capa!$A$5,D3427&gt;Capa!$A$7,E3427&lt;Capa!$A$5,E3427&gt;Capa!$A$7,D3427&gt;E3427),"Erro","")</f>
        <v/>
      </c>
    </row>
    <row r="3428" spans="1:9" ht="22.5">
      <c r="A3428" s="345">
        <v>3425</v>
      </c>
      <c r="B3428" s="346" t="s">
        <v>653</v>
      </c>
      <c r="C3428" s="347">
        <v>1930</v>
      </c>
      <c r="D3428" s="348">
        <v>45292</v>
      </c>
      <c r="E3428" s="348">
        <v>45627</v>
      </c>
      <c r="F3428" s="346" t="s">
        <v>647</v>
      </c>
      <c r="G3428" s="350" t="s">
        <v>712</v>
      </c>
      <c r="H3428" s="351">
        <f t="shared" si="58"/>
        <v>23160</v>
      </c>
    </row>
    <row r="3429" spans="1:9" ht="22.5">
      <c r="A3429" s="345">
        <v>3426</v>
      </c>
      <c r="B3429" s="346" t="s">
        <v>653</v>
      </c>
      <c r="C3429" s="347">
        <v>1930</v>
      </c>
      <c r="D3429" s="348">
        <v>45658</v>
      </c>
      <c r="E3429" s="348">
        <v>47058</v>
      </c>
      <c r="F3429" s="346" t="s">
        <v>647</v>
      </c>
      <c r="G3429" s="350" t="s">
        <v>712</v>
      </c>
      <c r="H3429" s="351">
        <f t="shared" si="58"/>
        <v>90710</v>
      </c>
      <c r="I3429" s="120" t="str">
        <f>IF(OR(D3429&lt;Capa!$A$5,D3429&gt;Capa!$A$7,E3429&lt;Capa!$A$5,E3429&gt;Capa!$A$7,D3429&gt;E3429),"Erro","")</f>
        <v/>
      </c>
    </row>
    <row r="3430" spans="1:9" ht="33.75">
      <c r="A3430" s="345">
        <v>3427</v>
      </c>
      <c r="B3430" s="346" t="s">
        <v>648</v>
      </c>
      <c r="C3430" s="347">
        <v>2120</v>
      </c>
      <c r="D3430" s="348">
        <v>45323</v>
      </c>
      <c r="E3430" s="348">
        <v>45323</v>
      </c>
      <c r="F3430" s="346" t="s">
        <v>647</v>
      </c>
      <c r="G3430" s="350" t="s">
        <v>670</v>
      </c>
      <c r="H3430" s="351">
        <f t="shared" si="58"/>
        <v>2120</v>
      </c>
      <c r="I3430" s="120" t="str">
        <f>IF(OR(D3430&lt;Capa!$A$5,D3430&gt;Capa!$A$7,E3430&lt;Capa!$A$5,E3430&gt;Capa!$A$7,D3430&gt;E3430),"Erro","")</f>
        <v/>
      </c>
    </row>
    <row r="3431" spans="1:9" ht="33.75">
      <c r="A3431" s="345">
        <v>3428</v>
      </c>
      <c r="B3431" s="346" t="s">
        <v>648</v>
      </c>
      <c r="C3431" s="347">
        <v>2243.8000000000002</v>
      </c>
      <c r="D3431" s="348">
        <v>45658</v>
      </c>
      <c r="E3431" s="348">
        <v>45658</v>
      </c>
      <c r="F3431" s="346" t="s">
        <v>647</v>
      </c>
      <c r="G3431" s="350" t="s">
        <v>670</v>
      </c>
      <c r="H3431" s="351">
        <f t="shared" si="58"/>
        <v>2243.8000000000002</v>
      </c>
      <c r="I3431" s="120" t="str">
        <f>IF(OR(D3431&lt;Capa!$A$5,D3431&gt;Capa!$A$7,E3431&lt;Capa!$A$5,E3431&gt;Capa!$A$7,D3431&gt;E3431),"Erro","")</f>
        <v/>
      </c>
    </row>
    <row r="3432" spans="1:9" ht="33.75">
      <c r="A3432" s="345">
        <v>3429</v>
      </c>
      <c r="B3432" s="346" t="s">
        <v>648</v>
      </c>
      <c r="C3432" s="347">
        <v>2374.84</v>
      </c>
      <c r="D3432" s="348">
        <v>46023</v>
      </c>
      <c r="E3432" s="348">
        <v>46023</v>
      </c>
      <c r="F3432" s="346" t="s">
        <v>647</v>
      </c>
      <c r="G3432" s="350" t="s">
        <v>670</v>
      </c>
      <c r="H3432" s="351">
        <f t="shared" si="58"/>
        <v>2374.84</v>
      </c>
      <c r="I3432" s="120" t="str">
        <f>IF(OR(D3432&lt;Capa!$A$5,D3432&gt;Capa!$A$7,E3432&lt;Capa!$A$5,E3432&gt;Capa!$A$7,D3432&gt;E3432),"Erro","")</f>
        <v/>
      </c>
    </row>
    <row r="3433" spans="1:9" ht="33.75">
      <c r="A3433" s="345">
        <v>3430</v>
      </c>
      <c r="B3433" s="346" t="s">
        <v>648</v>
      </c>
      <c r="C3433" s="347">
        <v>2513.5300000000002</v>
      </c>
      <c r="D3433" s="348">
        <v>46388</v>
      </c>
      <c r="E3433" s="348">
        <v>46388</v>
      </c>
      <c r="F3433" s="346" t="s">
        <v>647</v>
      </c>
      <c r="G3433" s="350" t="s">
        <v>670</v>
      </c>
      <c r="H3433" s="351">
        <f t="shared" si="58"/>
        <v>2513.5300000000002</v>
      </c>
      <c r="I3433" s="120" t="str">
        <f>IF(OR(D3433&lt;Capa!$A$5,D3433&gt;Capa!$A$7,E3433&lt;Capa!$A$5,E3433&gt;Capa!$A$7,D3433&gt;E3433),"Erro","")</f>
        <v/>
      </c>
    </row>
    <row r="3434" spans="1:9" ht="33.75">
      <c r="A3434" s="345">
        <v>3431</v>
      </c>
      <c r="B3434" s="346" t="s">
        <v>648</v>
      </c>
      <c r="C3434" s="347">
        <v>2660.32</v>
      </c>
      <c r="D3434" s="348">
        <v>46753</v>
      </c>
      <c r="E3434" s="348">
        <v>46753</v>
      </c>
      <c r="F3434" s="346" t="s">
        <v>647</v>
      </c>
      <c r="G3434" s="350" t="s">
        <v>670</v>
      </c>
      <c r="H3434" s="351">
        <f t="shared" si="58"/>
        <v>2660.32</v>
      </c>
      <c r="I3434" s="120" t="str">
        <f>IF(OR(D3434&lt;Capa!$A$5,D3434&gt;Capa!$A$7,E3434&lt;Capa!$A$5,E3434&gt;Capa!$A$7,D3434&gt;E3434),"Erro","")</f>
        <v/>
      </c>
    </row>
    <row r="3435" spans="1:9" ht="22.5">
      <c r="A3435" s="345">
        <v>3432</v>
      </c>
      <c r="B3435" s="346" t="s">
        <v>649</v>
      </c>
      <c r="C3435" s="347">
        <v>70000</v>
      </c>
      <c r="D3435" s="348">
        <v>45748</v>
      </c>
      <c r="E3435" s="348">
        <v>45748</v>
      </c>
      <c r="F3435" s="346" t="s">
        <v>647</v>
      </c>
      <c r="G3435" s="350" t="s">
        <v>739</v>
      </c>
      <c r="H3435" s="351">
        <f t="shared" si="58"/>
        <v>70000</v>
      </c>
    </row>
    <row r="3436" spans="1:9" ht="33.75">
      <c r="A3436" s="345">
        <v>3433</v>
      </c>
      <c r="B3436" s="346" t="s">
        <v>649</v>
      </c>
      <c r="C3436" s="347">
        <v>1643</v>
      </c>
      <c r="D3436" s="348">
        <v>45292</v>
      </c>
      <c r="E3436" s="348">
        <v>47058</v>
      </c>
      <c r="F3436" s="346" t="s">
        <v>647</v>
      </c>
      <c r="G3436" s="350" t="s">
        <v>705</v>
      </c>
      <c r="H3436" s="351">
        <f t="shared" si="58"/>
        <v>96937</v>
      </c>
      <c r="I3436" s="120" t="str">
        <f>IF(OR(D3436&lt;Capa!$A$5,D3436&gt;Capa!$A$7,E3436&lt;Capa!$A$5,E3436&gt;Capa!$A$7,D3436&gt;E3436),"Erro","")</f>
        <v/>
      </c>
    </row>
    <row r="3437" spans="1:9" ht="33.75">
      <c r="A3437" s="345">
        <v>3434</v>
      </c>
      <c r="B3437" s="346" t="s">
        <v>654</v>
      </c>
      <c r="C3437" s="347">
        <v>600</v>
      </c>
      <c r="D3437" s="348">
        <v>45261</v>
      </c>
      <c r="E3437" s="348">
        <v>45627</v>
      </c>
      <c r="F3437" s="346" t="s">
        <v>647</v>
      </c>
      <c r="G3437" s="350" t="s">
        <v>706</v>
      </c>
      <c r="H3437" s="351">
        <f t="shared" si="58"/>
        <v>7800</v>
      </c>
    </row>
    <row r="3438" spans="1:9" ht="33.75">
      <c r="A3438" s="345">
        <v>3435</v>
      </c>
      <c r="B3438" s="346" t="s">
        <v>654</v>
      </c>
      <c r="C3438" s="347">
        <v>1100</v>
      </c>
      <c r="D3438" s="348">
        <v>45658</v>
      </c>
      <c r="E3438" s="348">
        <v>47058</v>
      </c>
      <c r="F3438" s="346" t="s">
        <v>647</v>
      </c>
      <c r="G3438" s="350" t="s">
        <v>706</v>
      </c>
      <c r="H3438" s="351">
        <f t="shared" si="58"/>
        <v>51700</v>
      </c>
      <c r="I3438" s="120" t="str">
        <f>IF(OR(D3438&lt;Capa!$A$5,D3438&gt;Capa!$A$7,E3438&lt;Capa!$A$5,E3438&gt;Capa!$A$7,D3438&gt;E3438),"Erro","")</f>
        <v/>
      </c>
    </row>
    <row r="3439" spans="1:9" ht="22.5">
      <c r="A3439" s="345">
        <v>3436</v>
      </c>
      <c r="B3439" s="346" t="s">
        <v>656</v>
      </c>
      <c r="C3439" s="347">
        <v>200</v>
      </c>
      <c r="D3439" s="348">
        <v>45261</v>
      </c>
      <c r="E3439" s="348">
        <v>47058</v>
      </c>
      <c r="F3439" s="346" t="s">
        <v>647</v>
      </c>
      <c r="G3439" s="350" t="s">
        <v>707</v>
      </c>
      <c r="H3439" s="351">
        <f t="shared" si="58"/>
        <v>12000</v>
      </c>
      <c r="I3439" s="120" t="str">
        <f>IF(OR(D3439&lt;Capa!$A$5,D3439&gt;Capa!$A$7,E3439&lt;Capa!$A$5,E3439&gt;Capa!$A$7,D3439&gt;E3439),"Erro","")</f>
        <v/>
      </c>
    </row>
    <row r="3440" spans="1:9" ht="22.5">
      <c r="A3440" s="345">
        <v>3437</v>
      </c>
      <c r="B3440" s="346" t="s">
        <v>658</v>
      </c>
      <c r="C3440" s="347">
        <v>50</v>
      </c>
      <c r="D3440" s="348">
        <v>45261</v>
      </c>
      <c r="E3440" s="348">
        <v>47058</v>
      </c>
      <c r="F3440" s="346" t="s">
        <v>647</v>
      </c>
      <c r="G3440" s="350" t="s">
        <v>709</v>
      </c>
      <c r="H3440" s="351">
        <f t="shared" si="58"/>
        <v>3000</v>
      </c>
      <c r="I3440" s="120" t="str">
        <f>IF(OR(D3440&lt;Capa!$A$5,D3440&gt;Capa!$A$7,E3440&lt;Capa!$A$5,E3440&gt;Capa!$A$7,D3440&gt;E3440),"Erro","")</f>
        <v/>
      </c>
    </row>
    <row r="3441" spans="1:9" ht="33.75">
      <c r="A3441" s="345">
        <v>3438</v>
      </c>
      <c r="B3441" s="346" t="s">
        <v>657</v>
      </c>
      <c r="C3441" s="347">
        <v>350</v>
      </c>
      <c r="D3441" s="348">
        <v>45658</v>
      </c>
      <c r="E3441" s="348">
        <v>47058</v>
      </c>
      <c r="F3441" s="346" t="s">
        <v>647</v>
      </c>
      <c r="G3441" s="350" t="s">
        <v>708</v>
      </c>
      <c r="H3441" s="351">
        <f t="shared" si="58"/>
        <v>16450</v>
      </c>
      <c r="I3441" s="120" t="str">
        <f>IF(OR(D3441&lt;Capa!$A$5,D3441&gt;Capa!$A$7,E3441&lt;Capa!$A$5,E3441&gt;Capa!$A$7,D3441&gt;E3441),"Erro","")</f>
        <v/>
      </c>
    </row>
    <row r="3442" spans="1:9" ht="33.75">
      <c r="A3442" s="345">
        <v>3439</v>
      </c>
      <c r="B3442" s="346" t="s">
        <v>650</v>
      </c>
      <c r="C3442" s="347">
        <v>70</v>
      </c>
      <c r="D3442" s="348">
        <v>45261</v>
      </c>
      <c r="E3442" s="348">
        <v>47058</v>
      </c>
      <c r="F3442" s="346" t="s">
        <v>647</v>
      </c>
      <c r="G3442" s="350" t="s">
        <v>711</v>
      </c>
      <c r="H3442" s="351">
        <f t="shared" si="58"/>
        <v>4200</v>
      </c>
      <c r="I3442" s="120" t="str">
        <f>IF(OR(D3442&lt;Capa!$A$5,D3442&gt;Capa!$A$7,E3442&lt;Capa!$A$5,E3442&gt;Capa!$A$7,D3442&gt;E3442),"Erro","")</f>
        <v/>
      </c>
    </row>
    <row r="3443" spans="1:9" ht="56.25">
      <c r="A3443" s="345">
        <v>3440</v>
      </c>
      <c r="B3443" s="346" t="s">
        <v>198</v>
      </c>
      <c r="C3443" s="347">
        <v>10000</v>
      </c>
      <c r="D3443" s="348">
        <v>45261</v>
      </c>
      <c r="E3443" s="348">
        <v>45627</v>
      </c>
      <c r="F3443" s="346" t="s">
        <v>101</v>
      </c>
      <c r="G3443" s="350" t="s">
        <v>506</v>
      </c>
      <c r="H3443" s="351">
        <f t="shared" si="58"/>
        <v>130000</v>
      </c>
      <c r="I3443" s="120" t="str">
        <f>IF(OR(D3443&lt;Capa!$A$5,D3443&gt;Capa!$A$7,E3443&lt;Capa!$A$5,E3443&gt;Capa!$A$7,D3443&gt;E3443),"Erro","")</f>
        <v/>
      </c>
    </row>
    <row r="3444" spans="1:9" ht="56.25">
      <c r="A3444" s="345">
        <v>3441</v>
      </c>
      <c r="B3444" s="346" t="s">
        <v>198</v>
      </c>
      <c r="C3444" s="347">
        <v>10584</v>
      </c>
      <c r="D3444" s="348">
        <v>45658</v>
      </c>
      <c r="E3444" s="348">
        <v>45992</v>
      </c>
      <c r="F3444" s="346" t="s">
        <v>101</v>
      </c>
      <c r="G3444" s="350" t="s">
        <v>506</v>
      </c>
      <c r="H3444" s="351">
        <f t="shared" si="58"/>
        <v>127008</v>
      </c>
      <c r="I3444" s="120" t="str">
        <f>IF(OR(D3444&lt;Capa!$A$5,D3444&gt;Capa!$A$7,E3444&lt;Capa!$A$5,E3444&gt;Capa!$A$7,D3444&gt;E3444),"Erro","")</f>
        <v/>
      </c>
    </row>
    <row r="3445" spans="1:9" ht="56.25">
      <c r="A3445" s="345">
        <v>3442</v>
      </c>
      <c r="B3445" s="346" t="s">
        <v>198</v>
      </c>
      <c r="C3445" s="347">
        <v>11202.1</v>
      </c>
      <c r="D3445" s="348">
        <v>46023</v>
      </c>
      <c r="E3445" s="348">
        <v>46357</v>
      </c>
      <c r="F3445" s="346" t="s">
        <v>101</v>
      </c>
      <c r="G3445" s="350" t="s">
        <v>506</v>
      </c>
      <c r="H3445" s="351">
        <f t="shared" si="58"/>
        <v>134425.20000000001</v>
      </c>
      <c r="I3445" s="120" t="str">
        <f>IF(OR(D3445&lt;Capa!$A$5,D3445&gt;Capa!$A$7,E3445&lt;Capa!$A$5,E3445&gt;Capa!$A$7,D3445&gt;E3445),"Erro","")</f>
        <v/>
      </c>
    </row>
    <row r="3446" spans="1:9" ht="56.25">
      <c r="A3446" s="345">
        <v>3443</v>
      </c>
      <c r="B3446" s="346" t="s">
        <v>198</v>
      </c>
      <c r="C3446" s="347">
        <v>11856.3</v>
      </c>
      <c r="D3446" s="348">
        <v>46388</v>
      </c>
      <c r="E3446" s="348">
        <v>46722</v>
      </c>
      <c r="F3446" s="346" t="s">
        <v>101</v>
      </c>
      <c r="G3446" s="350" t="s">
        <v>506</v>
      </c>
      <c r="H3446" s="351">
        <f t="shared" si="58"/>
        <v>142275.59999999998</v>
      </c>
      <c r="I3446" s="120" t="str">
        <f>IF(OR(D3446&lt;Capa!$A$5,D3446&gt;Capa!$A$7,E3446&lt;Capa!$A$5,E3446&gt;Capa!$A$7,D3446&gt;E3446),"Erro","")</f>
        <v/>
      </c>
    </row>
    <row r="3447" spans="1:9" ht="56.25">
      <c r="A3447" s="345">
        <v>3444</v>
      </c>
      <c r="B3447" s="346" t="s">
        <v>198</v>
      </c>
      <c r="C3447" s="347">
        <v>12548.71</v>
      </c>
      <c r="D3447" s="348">
        <v>46753</v>
      </c>
      <c r="E3447" s="348">
        <v>47058</v>
      </c>
      <c r="F3447" s="346" t="s">
        <v>101</v>
      </c>
      <c r="G3447" s="350" t="s">
        <v>506</v>
      </c>
      <c r="H3447" s="351">
        <f t="shared" si="58"/>
        <v>138035.81</v>
      </c>
      <c r="I3447" s="120" t="str">
        <f>IF(OR(D3447&lt;Capa!$A$5,D3447&gt;Capa!$A$7,E3447&lt;Capa!$A$5,E3447&gt;Capa!$A$7,D3447&gt;E3447),"Erro","")</f>
        <v/>
      </c>
    </row>
    <row r="3448" spans="1:9" ht="56.25">
      <c r="A3448" s="345">
        <v>3445</v>
      </c>
      <c r="B3448" s="346" t="s">
        <v>200</v>
      </c>
      <c r="C3448" s="347">
        <v>1980</v>
      </c>
      <c r="D3448" s="348">
        <v>45261</v>
      </c>
      <c r="E3448" s="348">
        <v>45627</v>
      </c>
      <c r="F3448" s="346" t="s">
        <v>101</v>
      </c>
      <c r="G3448" s="350" t="s">
        <v>506</v>
      </c>
      <c r="H3448" s="351">
        <f t="shared" si="58"/>
        <v>25740</v>
      </c>
      <c r="I3448" s="120" t="str">
        <f>IF(OR(D3448&lt;Capa!$A$5,D3448&gt;Capa!$A$7,E3448&lt;Capa!$A$5,E3448&gt;Capa!$A$7,D3448&gt;E3448),"Erro","")</f>
        <v/>
      </c>
    </row>
    <row r="3449" spans="1:9" ht="56.25">
      <c r="A3449" s="345">
        <v>3446</v>
      </c>
      <c r="B3449" s="346" t="s">
        <v>200</v>
      </c>
      <c r="C3449" s="347">
        <v>2095.63</v>
      </c>
      <c r="D3449" s="348">
        <v>45658</v>
      </c>
      <c r="E3449" s="348">
        <v>45992</v>
      </c>
      <c r="F3449" s="346" t="s">
        <v>101</v>
      </c>
      <c r="G3449" s="350" t="s">
        <v>507</v>
      </c>
      <c r="H3449" s="351">
        <f t="shared" si="58"/>
        <v>25147.56</v>
      </c>
      <c r="I3449" s="120" t="str">
        <f>IF(OR(D3449&lt;Capa!$A$5,D3449&gt;Capa!$A$7,E3449&lt;Capa!$A$5,E3449&gt;Capa!$A$7,D3449&gt;E3449),"Erro","")</f>
        <v/>
      </c>
    </row>
    <row r="3450" spans="1:9" ht="56.25">
      <c r="A3450" s="345">
        <v>3447</v>
      </c>
      <c r="B3450" s="346" t="s">
        <v>200</v>
      </c>
      <c r="C3450" s="347">
        <v>2218.0100000000002</v>
      </c>
      <c r="D3450" s="348">
        <v>46023</v>
      </c>
      <c r="E3450" s="348">
        <v>46357</v>
      </c>
      <c r="F3450" s="346" t="s">
        <v>101</v>
      </c>
      <c r="G3450" s="350" t="s">
        <v>507</v>
      </c>
      <c r="H3450" s="351">
        <f t="shared" si="58"/>
        <v>26616.120000000003</v>
      </c>
      <c r="I3450" s="120" t="str">
        <f>IF(OR(D3450&lt;Capa!$A$5,D3450&gt;Capa!$A$7,E3450&lt;Capa!$A$5,E3450&gt;Capa!$A$7,D3450&gt;E3450),"Erro","")</f>
        <v/>
      </c>
    </row>
    <row r="3451" spans="1:9" ht="56.25">
      <c r="A3451" s="345">
        <v>3448</v>
      </c>
      <c r="B3451" s="346" t="s">
        <v>200</v>
      </c>
      <c r="C3451" s="347">
        <v>2347.54</v>
      </c>
      <c r="D3451" s="348">
        <v>46388</v>
      </c>
      <c r="E3451" s="348">
        <v>46722</v>
      </c>
      <c r="F3451" s="346" t="s">
        <v>101</v>
      </c>
      <c r="G3451" s="350" t="s">
        <v>507</v>
      </c>
      <c r="H3451" s="351">
        <f t="shared" si="58"/>
        <v>28170.48</v>
      </c>
      <c r="I3451" s="120" t="str">
        <f>IF(OR(D3451&lt;Capa!$A$5,D3451&gt;Capa!$A$7,E3451&lt;Capa!$A$5,E3451&gt;Capa!$A$7,D3451&gt;E3451),"Erro","")</f>
        <v/>
      </c>
    </row>
    <row r="3452" spans="1:9" ht="56.25">
      <c r="A3452" s="345">
        <v>3449</v>
      </c>
      <c r="B3452" s="346" t="s">
        <v>200</v>
      </c>
      <c r="C3452" s="347">
        <v>2484.63</v>
      </c>
      <c r="D3452" s="348">
        <v>46753</v>
      </c>
      <c r="E3452" s="348">
        <v>47058</v>
      </c>
      <c r="F3452" s="346" t="s">
        <v>101</v>
      </c>
      <c r="G3452" s="350" t="s">
        <v>507</v>
      </c>
      <c r="H3452" s="351">
        <f t="shared" si="58"/>
        <v>27330.93</v>
      </c>
      <c r="I3452" s="120" t="str">
        <f>IF(OR(D3452&lt;Capa!$A$5,D3452&gt;Capa!$A$7,E3452&lt;Capa!$A$5,E3452&gt;Capa!$A$7,D3452&gt;E3452),"Erro","")</f>
        <v/>
      </c>
    </row>
    <row r="3453" spans="1:9" ht="56.25">
      <c r="A3453" s="345">
        <v>3450</v>
      </c>
      <c r="B3453" s="346" t="s">
        <v>202</v>
      </c>
      <c r="C3453" s="347">
        <v>2089.83</v>
      </c>
      <c r="D3453" s="348">
        <v>45323</v>
      </c>
      <c r="E3453" s="348">
        <v>45352</v>
      </c>
      <c r="F3453" s="346" t="s">
        <v>101</v>
      </c>
      <c r="G3453" s="350" t="s">
        <v>508</v>
      </c>
      <c r="H3453" s="351">
        <f t="shared" si="58"/>
        <v>4179.66</v>
      </c>
      <c r="I3453" s="120" t="str">
        <f>IF(OR(D3453&lt;Capa!$A$5,D3453&gt;Capa!$A$7,E3453&lt;Capa!$A$5,E3453&gt;Capa!$A$7,D3453&gt;E3453),"Erro","")</f>
        <v/>
      </c>
    </row>
    <row r="3454" spans="1:9" ht="56.25">
      <c r="A3454" s="345">
        <v>3451</v>
      </c>
      <c r="B3454" s="346" t="s">
        <v>202</v>
      </c>
      <c r="C3454" s="347">
        <v>2211.88</v>
      </c>
      <c r="D3454" s="348">
        <v>45689</v>
      </c>
      <c r="E3454" s="348">
        <v>45717</v>
      </c>
      <c r="F3454" s="346" t="s">
        <v>101</v>
      </c>
      <c r="G3454" s="350" t="s">
        <v>508</v>
      </c>
      <c r="H3454" s="351">
        <f t="shared" si="58"/>
        <v>4423.76</v>
      </c>
      <c r="I3454" s="120" t="str">
        <f>IF(OR(D3454&lt;Capa!$A$5,D3454&gt;Capa!$A$7,E3454&lt;Capa!$A$5,E3454&gt;Capa!$A$7,D3454&gt;E3454),"Erro","")</f>
        <v/>
      </c>
    </row>
    <row r="3455" spans="1:9" ht="56.25">
      <c r="A3455" s="345">
        <v>3452</v>
      </c>
      <c r="B3455" s="346" t="s">
        <v>202</v>
      </c>
      <c r="C3455" s="347">
        <v>2341.06</v>
      </c>
      <c r="D3455" s="348">
        <v>46054</v>
      </c>
      <c r="E3455" s="348">
        <v>46054</v>
      </c>
      <c r="F3455" s="346" t="s">
        <v>101</v>
      </c>
      <c r="G3455" s="350" t="s">
        <v>508</v>
      </c>
      <c r="H3455" s="351">
        <f t="shared" si="58"/>
        <v>2341.06</v>
      </c>
      <c r="I3455" s="120" t="str">
        <f>IF(OR(D3455&lt;Capa!$A$5,D3455&gt;Capa!$A$7,E3455&lt;Capa!$A$5,E3455&gt;Capa!$A$7,D3455&gt;E3455),"Erro","")</f>
        <v/>
      </c>
    </row>
    <row r="3456" spans="1:9" ht="56.25">
      <c r="A3456" s="345">
        <v>3453</v>
      </c>
      <c r="B3456" s="346" t="s">
        <v>202</v>
      </c>
      <c r="C3456" s="347">
        <v>2477.7800000000002</v>
      </c>
      <c r="D3456" s="348">
        <v>46419</v>
      </c>
      <c r="E3456" s="348">
        <v>46419</v>
      </c>
      <c r="F3456" s="346" t="s">
        <v>101</v>
      </c>
      <c r="G3456" s="350" t="s">
        <v>508</v>
      </c>
      <c r="H3456" s="351">
        <f t="shared" si="58"/>
        <v>2477.7800000000002</v>
      </c>
      <c r="I3456" s="120" t="str">
        <f>IF(OR(D3456&lt;Capa!$A$5,D3456&gt;Capa!$A$7,E3456&lt;Capa!$A$5,E3456&gt;Capa!$A$7,D3456&gt;E3456),"Erro","")</f>
        <v/>
      </c>
    </row>
    <row r="3457" spans="1:9" ht="56.25">
      <c r="A3457" s="345">
        <v>3454</v>
      </c>
      <c r="B3457" s="346" t="s">
        <v>202</v>
      </c>
      <c r="C3457" s="347">
        <v>2622.48</v>
      </c>
      <c r="D3457" s="348">
        <v>46784</v>
      </c>
      <c r="E3457" s="348">
        <v>46784</v>
      </c>
      <c r="F3457" s="346" t="s">
        <v>101</v>
      </c>
      <c r="G3457" s="350" t="s">
        <v>508</v>
      </c>
      <c r="H3457" s="351">
        <f t="shared" si="58"/>
        <v>2622.48</v>
      </c>
      <c r="I3457" s="120" t="str">
        <f>IF(OR(D3457&lt;Capa!$A$5,D3457&gt;Capa!$A$7,E3457&lt;Capa!$A$5,E3457&gt;Capa!$A$7,D3457&gt;E3457),"Erro","")</f>
        <v/>
      </c>
    </row>
    <row r="3458" spans="1:9" ht="78.75">
      <c r="A3458" s="345">
        <v>3455</v>
      </c>
      <c r="B3458" s="346" t="s">
        <v>204</v>
      </c>
      <c r="C3458" s="347">
        <v>2061.09</v>
      </c>
      <c r="D3458" s="348">
        <v>45323</v>
      </c>
      <c r="E3458" s="348">
        <v>45352</v>
      </c>
      <c r="F3458" s="346" t="s">
        <v>101</v>
      </c>
      <c r="G3458" s="350" t="s">
        <v>509</v>
      </c>
      <c r="H3458" s="351">
        <f t="shared" si="58"/>
        <v>4122.18</v>
      </c>
      <c r="I3458" s="120" t="str">
        <f>IF(OR(D3458&lt;Capa!$A$5,D3458&gt;Capa!$A$7,E3458&lt;Capa!$A$5,E3458&gt;Capa!$A$7,D3458&gt;E3458),"Erro","")</f>
        <v/>
      </c>
    </row>
    <row r="3459" spans="1:9" ht="78.75">
      <c r="A3459" s="345">
        <v>3456</v>
      </c>
      <c r="B3459" s="346" t="s">
        <v>204</v>
      </c>
      <c r="C3459" s="347">
        <v>2181.46</v>
      </c>
      <c r="D3459" s="348">
        <v>45689</v>
      </c>
      <c r="E3459" s="348">
        <v>45717</v>
      </c>
      <c r="F3459" s="346" t="s">
        <v>101</v>
      </c>
      <c r="G3459" s="350" t="s">
        <v>509</v>
      </c>
      <c r="H3459" s="351">
        <f t="shared" si="58"/>
        <v>4362.92</v>
      </c>
      <c r="I3459" s="120" t="str">
        <f>IF(OR(D3459&lt;Capa!$A$5,D3459&gt;Capa!$A$7,E3459&lt;Capa!$A$5,E3459&gt;Capa!$A$7,D3459&gt;E3459),"Erro","")</f>
        <v/>
      </c>
    </row>
    <row r="3460" spans="1:9" ht="78.75">
      <c r="A3460" s="345">
        <v>3457</v>
      </c>
      <c r="B3460" s="346" t="s">
        <v>204</v>
      </c>
      <c r="C3460" s="347">
        <v>2308.85</v>
      </c>
      <c r="D3460" s="348">
        <v>46054</v>
      </c>
      <c r="E3460" s="348">
        <v>46054</v>
      </c>
      <c r="F3460" s="346" t="s">
        <v>101</v>
      </c>
      <c r="G3460" s="350" t="s">
        <v>509</v>
      </c>
      <c r="H3460" s="351">
        <f t="shared" si="58"/>
        <v>2308.85</v>
      </c>
      <c r="I3460" s="120" t="str">
        <f>IF(OR(D3460&lt;Capa!$A$5,D3460&gt;Capa!$A$7,E3460&lt;Capa!$A$5,E3460&gt;Capa!$A$7,D3460&gt;E3460),"Erro","")</f>
        <v/>
      </c>
    </row>
    <row r="3461" spans="1:9" ht="78.75">
      <c r="A3461" s="345">
        <v>3458</v>
      </c>
      <c r="B3461" s="346" t="s">
        <v>204</v>
      </c>
      <c r="C3461" s="347">
        <v>2443.69</v>
      </c>
      <c r="D3461" s="348">
        <v>46419</v>
      </c>
      <c r="E3461" s="348">
        <v>46419</v>
      </c>
      <c r="F3461" s="346" t="s">
        <v>101</v>
      </c>
      <c r="G3461" s="350" t="s">
        <v>509</v>
      </c>
      <c r="H3461" s="351">
        <f t="shared" si="58"/>
        <v>2443.69</v>
      </c>
      <c r="I3461" s="120" t="str">
        <f>IF(OR(D3461&lt;Capa!$A$5,D3461&gt;Capa!$A$7,E3461&lt;Capa!$A$5,E3461&gt;Capa!$A$7,D3461&gt;E3461),"Erro","")</f>
        <v/>
      </c>
    </row>
    <row r="3462" spans="1:9" ht="78.75">
      <c r="A3462" s="345">
        <v>3459</v>
      </c>
      <c r="B3462" s="346" t="s">
        <v>204</v>
      </c>
      <c r="C3462" s="347">
        <v>2586.4</v>
      </c>
      <c r="D3462" s="348">
        <v>46784</v>
      </c>
      <c r="E3462" s="348">
        <v>46784</v>
      </c>
      <c r="F3462" s="346" t="s">
        <v>101</v>
      </c>
      <c r="G3462" s="350" t="s">
        <v>509</v>
      </c>
      <c r="H3462" s="351">
        <f t="shared" si="58"/>
        <v>2586.4</v>
      </c>
      <c r="I3462" s="120" t="str">
        <f>IF(OR(D3462&lt;Capa!$A$5,D3462&gt;Capa!$A$7,E3462&lt;Capa!$A$5,E3462&gt;Capa!$A$7,D3462&gt;E3462),"Erro","")</f>
        <v/>
      </c>
    </row>
    <row r="3463" spans="1:9" ht="67.5">
      <c r="A3463" s="345">
        <v>3460</v>
      </c>
      <c r="B3463" s="346" t="s">
        <v>206</v>
      </c>
      <c r="C3463" s="347">
        <v>1100</v>
      </c>
      <c r="D3463" s="348">
        <v>45261</v>
      </c>
      <c r="E3463" s="348">
        <v>45627</v>
      </c>
      <c r="F3463" s="346" t="s">
        <v>101</v>
      </c>
      <c r="G3463" s="350" t="s">
        <v>510</v>
      </c>
      <c r="H3463" s="351">
        <f t="shared" si="58"/>
        <v>14300</v>
      </c>
      <c r="I3463" s="120" t="str">
        <f>IF(OR(D3463&lt;Capa!$A$5,D3463&gt;Capa!$A$7,E3463&lt;Capa!$A$5,E3463&gt;Capa!$A$7,D3463&gt;E3463),"Erro","")</f>
        <v/>
      </c>
    </row>
    <row r="3464" spans="1:9" ht="67.5">
      <c r="A3464" s="345">
        <v>3461</v>
      </c>
      <c r="B3464" s="346" t="s">
        <v>206</v>
      </c>
      <c r="C3464" s="347">
        <v>1164</v>
      </c>
      <c r="D3464" s="348">
        <v>45658</v>
      </c>
      <c r="E3464" s="348">
        <v>45992</v>
      </c>
      <c r="F3464" s="346" t="s">
        <v>101</v>
      </c>
      <c r="G3464" s="350" t="s">
        <v>510</v>
      </c>
      <c r="H3464" s="351">
        <f t="shared" si="58"/>
        <v>13968</v>
      </c>
      <c r="I3464" s="120" t="str">
        <f>IF(OR(D3464&lt;Capa!$A$5,D3464&gt;Capa!$A$7,E3464&lt;Capa!$A$5,E3464&gt;Capa!$A$7,D3464&gt;E3464),"Erro","")</f>
        <v/>
      </c>
    </row>
    <row r="3465" spans="1:9" ht="67.5">
      <c r="A3465" s="345">
        <v>3462</v>
      </c>
      <c r="B3465" s="346" t="s">
        <v>206</v>
      </c>
      <c r="C3465" s="347">
        <v>1232</v>
      </c>
      <c r="D3465" s="348">
        <v>46023</v>
      </c>
      <c r="E3465" s="348">
        <v>46357</v>
      </c>
      <c r="F3465" s="346" t="s">
        <v>101</v>
      </c>
      <c r="G3465" s="350" t="s">
        <v>510</v>
      </c>
      <c r="H3465" s="351">
        <f t="shared" si="58"/>
        <v>14784</v>
      </c>
      <c r="I3465" s="120" t="str">
        <f>IF(OR(D3465&lt;Capa!$A$5,D3465&gt;Capa!$A$7,E3465&lt;Capa!$A$5,E3465&gt;Capa!$A$7,D3465&gt;E3465),"Erro","")</f>
        <v/>
      </c>
    </row>
    <row r="3466" spans="1:9" ht="67.5">
      <c r="A3466" s="345">
        <v>3463</v>
      </c>
      <c r="B3466" s="346" t="s">
        <v>206</v>
      </c>
      <c r="C3466" s="347">
        <v>1304</v>
      </c>
      <c r="D3466" s="348">
        <v>46388</v>
      </c>
      <c r="E3466" s="348">
        <v>46722</v>
      </c>
      <c r="F3466" s="346" t="s">
        <v>101</v>
      </c>
      <c r="G3466" s="350" t="s">
        <v>510</v>
      </c>
      <c r="H3466" s="351">
        <f t="shared" si="58"/>
        <v>15648</v>
      </c>
      <c r="I3466" s="120" t="str">
        <f>IF(OR(D3466&lt;Capa!$A$5,D3466&gt;Capa!$A$7,E3466&lt;Capa!$A$5,E3466&gt;Capa!$A$7,D3466&gt;E3466),"Erro","")</f>
        <v/>
      </c>
    </row>
    <row r="3467" spans="1:9" ht="67.5">
      <c r="A3467" s="345">
        <v>3464</v>
      </c>
      <c r="B3467" s="346" t="s">
        <v>206</v>
      </c>
      <c r="C3467" s="347">
        <v>1380</v>
      </c>
      <c r="D3467" s="348">
        <v>46753</v>
      </c>
      <c r="E3467" s="348">
        <v>47058</v>
      </c>
      <c r="F3467" s="346" t="s">
        <v>101</v>
      </c>
      <c r="G3467" s="350" t="s">
        <v>510</v>
      </c>
      <c r="H3467" s="351">
        <f t="shared" si="58"/>
        <v>15180</v>
      </c>
      <c r="I3467" s="120" t="str">
        <f>IF(OR(D3467&lt;Capa!$A$5,D3467&gt;Capa!$A$7,E3467&lt;Capa!$A$5,E3467&gt;Capa!$A$7,D3467&gt;E3467),"Erro","")</f>
        <v/>
      </c>
    </row>
    <row r="3468" spans="1:9" ht="33.75">
      <c r="A3468" s="345">
        <v>3465</v>
      </c>
      <c r="B3468" s="346" t="s">
        <v>210</v>
      </c>
      <c r="C3468" s="347">
        <v>179.7</v>
      </c>
      <c r="D3468" s="348">
        <v>45261</v>
      </c>
      <c r="E3468" s="348">
        <v>45627</v>
      </c>
      <c r="F3468" s="346" t="s">
        <v>101</v>
      </c>
      <c r="G3468" s="350" t="s">
        <v>511</v>
      </c>
      <c r="H3468" s="351">
        <f t="shared" ref="H3468:H3511" si="59">IFERROR((DATEDIF(D3468,E3468,"M")+1)*C3468,0)</f>
        <v>2336.1</v>
      </c>
      <c r="I3468" s="120" t="str">
        <f>IF(OR(D3468&lt;Capa!$A$5,D3468&gt;Capa!$A$7,E3468&lt;Capa!$A$5,E3468&gt;Capa!$A$7,D3468&gt;E3468),"Erro","")</f>
        <v/>
      </c>
    </row>
    <row r="3469" spans="1:9" ht="33.75">
      <c r="A3469" s="345">
        <v>3466</v>
      </c>
      <c r="B3469" s="346" t="s">
        <v>210</v>
      </c>
      <c r="C3469" s="347">
        <v>190</v>
      </c>
      <c r="D3469" s="348">
        <v>45658</v>
      </c>
      <c r="E3469" s="348">
        <v>45992</v>
      </c>
      <c r="F3469" s="346" t="s">
        <v>101</v>
      </c>
      <c r="G3469" s="350" t="s">
        <v>511</v>
      </c>
      <c r="H3469" s="351">
        <f t="shared" si="59"/>
        <v>2280</v>
      </c>
      <c r="I3469" s="120" t="str">
        <f>IF(OR(D3469&lt;Capa!$A$5,D3469&gt;Capa!$A$7,E3469&lt;Capa!$A$5,E3469&gt;Capa!$A$7,D3469&gt;E3469),"Erro","")</f>
        <v/>
      </c>
    </row>
    <row r="3470" spans="1:9" ht="33.75">
      <c r="A3470" s="345">
        <v>3467</v>
      </c>
      <c r="B3470" s="346" t="s">
        <v>210</v>
      </c>
      <c r="C3470" s="347">
        <v>201</v>
      </c>
      <c r="D3470" s="348">
        <v>46023</v>
      </c>
      <c r="E3470" s="348">
        <v>46357</v>
      </c>
      <c r="F3470" s="346" t="s">
        <v>101</v>
      </c>
      <c r="G3470" s="350" t="s">
        <v>511</v>
      </c>
      <c r="H3470" s="351">
        <f t="shared" si="59"/>
        <v>2412</v>
      </c>
      <c r="I3470" s="120" t="str">
        <f>IF(OR(D3470&lt;Capa!$A$5,D3470&gt;Capa!$A$7,E3470&lt;Capa!$A$5,E3470&gt;Capa!$A$7,D3470&gt;E3470),"Erro","")</f>
        <v/>
      </c>
    </row>
    <row r="3471" spans="1:9" ht="33.75">
      <c r="A3471" s="345">
        <v>3468</v>
      </c>
      <c r="B3471" s="346" t="s">
        <v>210</v>
      </c>
      <c r="C3471" s="347">
        <v>213</v>
      </c>
      <c r="D3471" s="348">
        <v>46388</v>
      </c>
      <c r="E3471" s="348">
        <v>46722</v>
      </c>
      <c r="F3471" s="346" t="s">
        <v>101</v>
      </c>
      <c r="G3471" s="350" t="s">
        <v>511</v>
      </c>
      <c r="H3471" s="351">
        <f t="shared" si="59"/>
        <v>2556</v>
      </c>
      <c r="I3471" s="120" t="str">
        <f>IF(OR(D3471&lt;Capa!$A$5,D3471&gt;Capa!$A$7,E3471&lt;Capa!$A$5,E3471&gt;Capa!$A$7,D3471&gt;E3471),"Erro","")</f>
        <v/>
      </c>
    </row>
    <row r="3472" spans="1:9" ht="33.75">
      <c r="A3472" s="345">
        <v>3469</v>
      </c>
      <c r="B3472" s="346" t="s">
        <v>210</v>
      </c>
      <c r="C3472" s="347">
        <v>225.5</v>
      </c>
      <c r="D3472" s="348">
        <v>46753</v>
      </c>
      <c r="E3472" s="348">
        <v>47058</v>
      </c>
      <c r="F3472" s="346" t="s">
        <v>101</v>
      </c>
      <c r="G3472" s="350" t="s">
        <v>511</v>
      </c>
      <c r="H3472" s="351">
        <f t="shared" si="59"/>
        <v>2480.5</v>
      </c>
      <c r="I3472" s="120" t="str">
        <f>IF(OR(D3472&lt;Capa!$A$5,D3472&gt;Capa!$A$7,E3472&lt;Capa!$A$5,E3472&gt;Capa!$A$7,D3472&gt;E3472),"Erro","")</f>
        <v/>
      </c>
    </row>
    <row r="3473" spans="1:9" ht="33.75">
      <c r="A3473" s="345">
        <v>3470</v>
      </c>
      <c r="B3473" s="346" t="s">
        <v>212</v>
      </c>
      <c r="C3473" s="347">
        <v>471.48</v>
      </c>
      <c r="D3473" s="348">
        <v>45261</v>
      </c>
      <c r="E3473" s="348">
        <v>45627</v>
      </c>
      <c r="F3473" s="346" t="s">
        <v>101</v>
      </c>
      <c r="G3473" s="350" t="s">
        <v>511</v>
      </c>
      <c r="H3473" s="351">
        <f t="shared" si="59"/>
        <v>6129.24</v>
      </c>
      <c r="I3473" s="120" t="str">
        <f>IF(OR(D3473&lt;Capa!$A$5,D3473&gt;Capa!$A$7,E3473&lt;Capa!$A$5,E3473&gt;Capa!$A$7,D3473&gt;E3473),"Erro","")</f>
        <v/>
      </c>
    </row>
    <row r="3474" spans="1:9" ht="33.75">
      <c r="A3474" s="345">
        <v>3471</v>
      </c>
      <c r="B3474" s="346" t="s">
        <v>212</v>
      </c>
      <c r="C3474" s="347">
        <v>499.01</v>
      </c>
      <c r="D3474" s="348">
        <v>45658</v>
      </c>
      <c r="E3474" s="348">
        <v>45992</v>
      </c>
      <c r="F3474" s="346" t="s">
        <v>101</v>
      </c>
      <c r="G3474" s="350" t="s">
        <v>511</v>
      </c>
      <c r="H3474" s="351">
        <f t="shared" si="59"/>
        <v>5988.12</v>
      </c>
      <c r="I3474" s="120" t="str">
        <f>IF(OR(D3474&lt;Capa!$A$5,D3474&gt;Capa!$A$7,E3474&lt;Capa!$A$5,E3474&gt;Capa!$A$7,D3474&gt;E3474),"Erro","")</f>
        <v/>
      </c>
    </row>
    <row r="3475" spans="1:9" ht="33.75">
      <c r="A3475" s="345">
        <v>3472</v>
      </c>
      <c r="B3475" s="346" t="s">
        <v>212</v>
      </c>
      <c r="C3475" s="347">
        <v>528.15</v>
      </c>
      <c r="D3475" s="348">
        <v>46023</v>
      </c>
      <c r="E3475" s="348">
        <v>46357</v>
      </c>
      <c r="F3475" s="346" t="s">
        <v>101</v>
      </c>
      <c r="G3475" s="350" t="s">
        <v>511</v>
      </c>
      <c r="H3475" s="351">
        <f t="shared" si="59"/>
        <v>6337.7999999999993</v>
      </c>
      <c r="I3475" s="120" t="str">
        <f>IF(OR(D3475&lt;Capa!$A$5,D3475&gt;Capa!$A$7,E3475&lt;Capa!$A$5,E3475&gt;Capa!$A$7,D3475&gt;E3475),"Erro","")</f>
        <v/>
      </c>
    </row>
    <row r="3476" spans="1:9" ht="33.75">
      <c r="A3476" s="345">
        <v>3473</v>
      </c>
      <c r="B3476" s="346" t="s">
        <v>212</v>
      </c>
      <c r="C3476" s="347">
        <v>559</v>
      </c>
      <c r="D3476" s="348">
        <v>46388</v>
      </c>
      <c r="E3476" s="348">
        <v>46722</v>
      </c>
      <c r="F3476" s="346" t="s">
        <v>101</v>
      </c>
      <c r="G3476" s="350" t="s">
        <v>511</v>
      </c>
      <c r="H3476" s="351">
        <f t="shared" si="59"/>
        <v>6708</v>
      </c>
      <c r="I3476" s="120" t="str">
        <f>IF(OR(D3476&lt;Capa!$A$5,D3476&gt;Capa!$A$7,E3476&lt;Capa!$A$5,E3476&gt;Capa!$A$7,D3476&gt;E3476),"Erro","")</f>
        <v/>
      </c>
    </row>
    <row r="3477" spans="1:9" ht="33.75">
      <c r="A3477" s="345">
        <v>3474</v>
      </c>
      <c r="B3477" s="346" t="s">
        <v>212</v>
      </c>
      <c r="C3477" s="347">
        <v>591.64</v>
      </c>
      <c r="D3477" s="348">
        <v>46753</v>
      </c>
      <c r="E3477" s="348">
        <v>47058</v>
      </c>
      <c r="F3477" s="346" t="s">
        <v>101</v>
      </c>
      <c r="G3477" s="350" t="s">
        <v>511</v>
      </c>
      <c r="H3477" s="351">
        <f t="shared" si="59"/>
        <v>6508.04</v>
      </c>
      <c r="I3477" s="120" t="str">
        <f>IF(OR(D3477&lt;Capa!$A$5,D3477&gt;Capa!$A$7,E3477&lt;Capa!$A$5,E3477&gt;Capa!$A$7,D3477&gt;E3477),"Erro","")</f>
        <v/>
      </c>
    </row>
    <row r="3478" spans="1:9" ht="33.75">
      <c r="A3478" s="345">
        <v>3475</v>
      </c>
      <c r="B3478" s="346" t="s">
        <v>214</v>
      </c>
      <c r="C3478" s="347">
        <v>389.7</v>
      </c>
      <c r="D3478" s="348">
        <v>45261</v>
      </c>
      <c r="E3478" s="348">
        <v>45627</v>
      </c>
      <c r="F3478" s="346" t="s">
        <v>101</v>
      </c>
      <c r="G3478" s="350" t="s">
        <v>511</v>
      </c>
      <c r="H3478" s="351">
        <f t="shared" si="59"/>
        <v>5066.0999999999995</v>
      </c>
      <c r="I3478" s="120" t="str">
        <f>IF(OR(D3478&lt;Capa!$A$5,D3478&gt;Capa!$A$7,E3478&lt;Capa!$A$5,E3478&gt;Capa!$A$7,D3478&gt;E3478),"Erro","")</f>
        <v/>
      </c>
    </row>
    <row r="3479" spans="1:9" ht="33.75">
      <c r="A3479" s="345">
        <v>3476</v>
      </c>
      <c r="B3479" s="346" t="s">
        <v>214</v>
      </c>
      <c r="C3479" s="347">
        <v>412.45</v>
      </c>
      <c r="D3479" s="348">
        <v>45658</v>
      </c>
      <c r="E3479" s="348">
        <v>45992</v>
      </c>
      <c r="F3479" s="346" t="s">
        <v>101</v>
      </c>
      <c r="G3479" s="350" t="s">
        <v>511</v>
      </c>
      <c r="H3479" s="351">
        <f t="shared" si="59"/>
        <v>4949.3999999999996</v>
      </c>
      <c r="I3479" s="120" t="str">
        <f>IF(OR(D3479&lt;Capa!$A$5,D3479&gt;Capa!$A$7,E3479&lt;Capa!$A$5,E3479&gt;Capa!$A$7,D3479&gt;E3479),"Erro","")</f>
        <v/>
      </c>
    </row>
    <row r="3480" spans="1:9" ht="33.75">
      <c r="A3480" s="345">
        <v>3477</v>
      </c>
      <c r="B3480" s="346" t="s">
        <v>214</v>
      </c>
      <c r="C3480" s="347">
        <v>436.54</v>
      </c>
      <c r="D3480" s="348">
        <v>46023</v>
      </c>
      <c r="E3480" s="348">
        <v>46357</v>
      </c>
      <c r="F3480" s="346" t="s">
        <v>101</v>
      </c>
      <c r="G3480" s="350" t="s">
        <v>511</v>
      </c>
      <c r="H3480" s="351">
        <f t="shared" si="59"/>
        <v>5238.4800000000005</v>
      </c>
      <c r="I3480" s="120" t="str">
        <f>IF(OR(D3480&lt;Capa!$A$5,D3480&gt;Capa!$A$7,E3480&lt;Capa!$A$5,E3480&gt;Capa!$A$7,D3480&gt;E3480),"Erro","")</f>
        <v/>
      </c>
    </row>
    <row r="3481" spans="1:9" ht="33.75">
      <c r="A3481" s="345">
        <v>3478</v>
      </c>
      <c r="B3481" s="346" t="s">
        <v>214</v>
      </c>
      <c r="C3481" s="347">
        <v>462.04</v>
      </c>
      <c r="D3481" s="348">
        <v>46388</v>
      </c>
      <c r="E3481" s="348">
        <v>46722</v>
      </c>
      <c r="F3481" s="346" t="s">
        <v>101</v>
      </c>
      <c r="G3481" s="350" t="s">
        <v>511</v>
      </c>
      <c r="H3481" s="351">
        <f t="shared" si="59"/>
        <v>5544.4800000000005</v>
      </c>
      <c r="I3481" s="120" t="str">
        <f>IF(OR(D3481&lt;Capa!$A$5,D3481&gt;Capa!$A$7,E3481&lt;Capa!$A$5,E3481&gt;Capa!$A$7,D3481&gt;E3481),"Erro","")</f>
        <v/>
      </c>
    </row>
    <row r="3482" spans="1:9" ht="33.75">
      <c r="A3482" s="345">
        <v>3479</v>
      </c>
      <c r="B3482" s="346" t="s">
        <v>214</v>
      </c>
      <c r="C3482" s="347">
        <v>489.02</v>
      </c>
      <c r="D3482" s="348">
        <v>46753</v>
      </c>
      <c r="E3482" s="348">
        <v>47058</v>
      </c>
      <c r="F3482" s="346" t="s">
        <v>101</v>
      </c>
      <c r="G3482" s="350" t="s">
        <v>511</v>
      </c>
      <c r="H3482" s="351">
        <f t="shared" si="59"/>
        <v>5379.2199999999993</v>
      </c>
      <c r="I3482" s="120" t="str">
        <f>IF(OR(D3482&lt;Capa!$A$5,D3482&gt;Capa!$A$7,E3482&lt;Capa!$A$5,E3482&gt;Capa!$A$7,D3482&gt;E3482),"Erro","")</f>
        <v/>
      </c>
    </row>
    <row r="3483" spans="1:9" ht="56.25">
      <c r="A3483" s="345">
        <v>3480</v>
      </c>
      <c r="B3483" s="346" t="s">
        <v>216</v>
      </c>
      <c r="C3483" s="347">
        <v>2030</v>
      </c>
      <c r="D3483" s="348">
        <v>45261</v>
      </c>
      <c r="E3483" s="348">
        <v>45627</v>
      </c>
      <c r="F3483" s="346" t="s">
        <v>101</v>
      </c>
      <c r="G3483" s="350" t="s">
        <v>505</v>
      </c>
      <c r="H3483" s="351">
        <f t="shared" si="59"/>
        <v>26390</v>
      </c>
      <c r="I3483" s="120" t="str">
        <f>IF(OR(D3483&lt;Capa!$A$5,D3483&gt;Capa!$A$7,E3483&lt;Capa!$A$5,E3483&gt;Capa!$A$7,D3483&gt;E3483),"Erro","")</f>
        <v/>
      </c>
    </row>
    <row r="3484" spans="1:9" ht="56.25">
      <c r="A3484" s="345">
        <v>3481</v>
      </c>
      <c r="B3484" s="346" t="s">
        <v>216</v>
      </c>
      <c r="C3484" s="347">
        <v>2148.54</v>
      </c>
      <c r="D3484" s="348">
        <v>45658</v>
      </c>
      <c r="E3484" s="348">
        <v>45992</v>
      </c>
      <c r="F3484" s="346" t="s">
        <v>101</v>
      </c>
      <c r="G3484" s="350" t="s">
        <v>505</v>
      </c>
      <c r="H3484" s="351">
        <f t="shared" si="59"/>
        <v>25782.48</v>
      </c>
      <c r="I3484" s="120" t="str">
        <f>IF(OR(D3484&lt;Capa!$A$5,D3484&gt;Capa!$A$7,E3484&lt;Capa!$A$5,E3484&gt;Capa!$A$7,D3484&gt;E3484),"Erro","")</f>
        <v/>
      </c>
    </row>
    <row r="3485" spans="1:9" ht="56.25">
      <c r="A3485" s="345">
        <v>3482</v>
      </c>
      <c r="B3485" s="346" t="s">
        <v>216</v>
      </c>
      <c r="C3485" s="347">
        <v>2274</v>
      </c>
      <c r="D3485" s="348">
        <v>46023</v>
      </c>
      <c r="E3485" s="348">
        <v>46357</v>
      </c>
      <c r="F3485" s="346" t="s">
        <v>101</v>
      </c>
      <c r="G3485" s="350" t="s">
        <v>505</v>
      </c>
      <c r="H3485" s="351">
        <f t="shared" si="59"/>
        <v>27288</v>
      </c>
      <c r="I3485" s="120" t="str">
        <f>IF(OR(D3485&lt;Capa!$A$5,D3485&gt;Capa!$A$7,E3485&lt;Capa!$A$5,E3485&gt;Capa!$A$7,D3485&gt;E3485),"Erro","")</f>
        <v/>
      </c>
    </row>
    <row r="3486" spans="1:9" ht="56.25">
      <c r="A3486" s="345">
        <v>3483</v>
      </c>
      <c r="B3486" s="346" t="s">
        <v>216</v>
      </c>
      <c r="C3486" s="347">
        <v>2406</v>
      </c>
      <c r="D3486" s="348">
        <v>46388</v>
      </c>
      <c r="E3486" s="348">
        <v>46722</v>
      </c>
      <c r="F3486" s="346" t="s">
        <v>101</v>
      </c>
      <c r="G3486" s="350" t="s">
        <v>505</v>
      </c>
      <c r="H3486" s="351">
        <f t="shared" si="59"/>
        <v>28872</v>
      </c>
      <c r="I3486" s="120" t="str">
        <f>IF(OR(D3486&lt;Capa!$A$5,D3486&gt;Capa!$A$7,E3486&lt;Capa!$A$5,E3486&gt;Capa!$A$7,D3486&gt;E3486),"Erro","")</f>
        <v/>
      </c>
    </row>
    <row r="3487" spans="1:9" ht="56.25">
      <c r="A3487" s="345">
        <v>3484</v>
      </c>
      <c r="B3487" s="346" t="s">
        <v>216</v>
      </c>
      <c r="C3487" s="347">
        <v>2547.37</v>
      </c>
      <c r="D3487" s="348">
        <v>46753</v>
      </c>
      <c r="E3487" s="348">
        <v>47058</v>
      </c>
      <c r="F3487" s="346" t="s">
        <v>101</v>
      </c>
      <c r="G3487" s="350" t="s">
        <v>505</v>
      </c>
      <c r="H3487" s="351">
        <f t="shared" si="59"/>
        <v>28021.07</v>
      </c>
      <c r="I3487" s="120" t="str">
        <f>IF(OR(D3487&lt;Capa!$A$5,D3487&gt;Capa!$A$7,E3487&lt;Capa!$A$5,E3487&gt;Capa!$A$7,D3487&gt;E3487),"Erro","")</f>
        <v/>
      </c>
    </row>
    <row r="3488" spans="1:9" ht="33.75">
      <c r="A3488" s="345">
        <v>3485</v>
      </c>
      <c r="B3488" s="346" t="s">
        <v>218</v>
      </c>
      <c r="C3488" s="347">
        <v>16000</v>
      </c>
      <c r="D3488" s="348">
        <v>45261</v>
      </c>
      <c r="E3488" s="348">
        <v>45261</v>
      </c>
      <c r="F3488" s="346" t="s">
        <v>101</v>
      </c>
      <c r="G3488" s="350" t="s">
        <v>512</v>
      </c>
      <c r="H3488" s="351">
        <f t="shared" si="59"/>
        <v>16000</v>
      </c>
      <c r="I3488" s="120" t="str">
        <f>IF(OR(D3488&lt;Capa!$A$5,D3488&gt;Capa!$A$7,E3488&lt;Capa!$A$5,E3488&gt;Capa!$A$7,D3488&gt;E3488),"Erro","")</f>
        <v/>
      </c>
    </row>
    <row r="3489" spans="1:9" ht="33.75">
      <c r="A3489" s="345">
        <v>3486</v>
      </c>
      <c r="B3489" s="346" t="s">
        <v>218</v>
      </c>
      <c r="C3489" s="347">
        <v>16000</v>
      </c>
      <c r="D3489" s="348">
        <v>45292</v>
      </c>
      <c r="E3489" s="348">
        <v>45627</v>
      </c>
      <c r="F3489" s="346" t="s">
        <v>101</v>
      </c>
      <c r="G3489" s="350" t="s">
        <v>512</v>
      </c>
      <c r="H3489" s="351">
        <f t="shared" si="59"/>
        <v>192000</v>
      </c>
      <c r="I3489" s="120" t="str">
        <f>IF(OR(D3489&lt;Capa!$A$5,D3489&gt;Capa!$A$7,E3489&lt;Capa!$A$5,E3489&gt;Capa!$A$7,D3489&gt;E3489),"Erro","")</f>
        <v/>
      </c>
    </row>
    <row r="3490" spans="1:9" ht="33.75">
      <c r="A3490" s="345">
        <v>3487</v>
      </c>
      <c r="B3490" s="346" t="s">
        <v>218</v>
      </c>
      <c r="C3490" s="347">
        <v>16934.400000000001</v>
      </c>
      <c r="D3490" s="348">
        <v>45658</v>
      </c>
      <c r="E3490" s="348">
        <v>45992</v>
      </c>
      <c r="F3490" s="346" t="s">
        <v>101</v>
      </c>
      <c r="G3490" s="350" t="s">
        <v>512</v>
      </c>
      <c r="H3490" s="351">
        <f t="shared" si="59"/>
        <v>203212.80000000002</v>
      </c>
      <c r="I3490" s="120" t="str">
        <f>IF(OR(D3490&lt;Capa!$A$5,D3490&gt;Capa!$A$7,E3490&lt;Capa!$A$5,E3490&gt;Capa!$A$7,D3490&gt;E3490),"Erro","")</f>
        <v/>
      </c>
    </row>
    <row r="3491" spans="1:9" ht="33.75">
      <c r="A3491" s="345">
        <v>3488</v>
      </c>
      <c r="B3491" s="346" t="s">
        <v>218</v>
      </c>
      <c r="C3491" s="347">
        <v>17923.37</v>
      </c>
      <c r="D3491" s="348">
        <v>46023</v>
      </c>
      <c r="E3491" s="348">
        <v>46357</v>
      </c>
      <c r="F3491" s="346" t="s">
        <v>101</v>
      </c>
      <c r="G3491" s="350" t="s">
        <v>512</v>
      </c>
      <c r="H3491" s="351">
        <f t="shared" si="59"/>
        <v>215080.44</v>
      </c>
      <c r="I3491" s="120" t="str">
        <f>IF(OR(D3491&lt;Capa!$A$5,D3491&gt;Capa!$A$7,E3491&lt;Capa!$A$5,E3491&gt;Capa!$A$7,D3491&gt;E3491),"Erro","")</f>
        <v/>
      </c>
    </row>
    <row r="3492" spans="1:9" ht="33.75">
      <c r="A3492" s="345">
        <v>3489</v>
      </c>
      <c r="B3492" s="346" t="s">
        <v>218</v>
      </c>
      <c r="C3492" s="347">
        <v>18970.09</v>
      </c>
      <c r="D3492" s="348">
        <v>46388</v>
      </c>
      <c r="E3492" s="348">
        <v>46722</v>
      </c>
      <c r="F3492" s="346" t="s">
        <v>101</v>
      </c>
      <c r="G3492" s="350" t="s">
        <v>512</v>
      </c>
      <c r="H3492" s="351">
        <f t="shared" si="59"/>
        <v>227641.08000000002</v>
      </c>
      <c r="I3492" s="120" t="str">
        <f>IF(OR(D3492&lt;Capa!$A$5,D3492&gt;Capa!$A$7,E3492&lt;Capa!$A$5,E3492&gt;Capa!$A$7,D3492&gt;E3492),"Erro","")</f>
        <v/>
      </c>
    </row>
    <row r="3493" spans="1:9" ht="33.75">
      <c r="A3493" s="345">
        <v>3490</v>
      </c>
      <c r="B3493" s="346" t="s">
        <v>218</v>
      </c>
      <c r="C3493" s="347">
        <v>20077.939999999999</v>
      </c>
      <c r="D3493" s="348">
        <v>46753</v>
      </c>
      <c r="E3493" s="348">
        <v>47058</v>
      </c>
      <c r="F3493" s="346" t="s">
        <v>101</v>
      </c>
      <c r="G3493" s="350" t="s">
        <v>512</v>
      </c>
      <c r="H3493" s="351">
        <f t="shared" si="59"/>
        <v>220857.34</v>
      </c>
      <c r="I3493" s="120" t="str">
        <f>IF(OR(D3493&lt;Capa!$A$5,D3493&gt;Capa!$A$7,E3493&lt;Capa!$A$5,E3493&gt;Capa!$A$7,D3493&gt;E3493),"Erro","")</f>
        <v/>
      </c>
    </row>
    <row r="3494" spans="1:9" ht="90">
      <c r="A3494" s="345">
        <v>3491</v>
      </c>
      <c r="B3494" s="346" t="s">
        <v>220</v>
      </c>
      <c r="C3494" s="347">
        <v>12000</v>
      </c>
      <c r="D3494" s="348">
        <v>45292</v>
      </c>
      <c r="E3494" s="348">
        <v>45627</v>
      </c>
      <c r="F3494" s="346" t="s">
        <v>101</v>
      </c>
      <c r="G3494" s="350" t="s">
        <v>590</v>
      </c>
      <c r="H3494" s="351">
        <f t="shared" si="59"/>
        <v>144000</v>
      </c>
      <c r="I3494" s="120" t="str">
        <f>IF(OR(D3494&lt;Capa!$A$5,D3494&gt;Capa!$A$7,E3494&lt;Capa!$A$5,E3494&gt;Capa!$A$7,D3494&gt;E3494),"Erro","")</f>
        <v/>
      </c>
    </row>
    <row r="3495" spans="1:9" ht="90">
      <c r="A3495" s="345">
        <v>3492</v>
      </c>
      <c r="B3495" s="346" t="s">
        <v>220</v>
      </c>
      <c r="C3495" s="347">
        <v>12700.8</v>
      </c>
      <c r="D3495" s="348">
        <v>45658</v>
      </c>
      <c r="E3495" s="348">
        <v>45992</v>
      </c>
      <c r="F3495" s="346" t="s">
        <v>101</v>
      </c>
      <c r="G3495" s="350" t="s">
        <v>590</v>
      </c>
      <c r="H3495" s="351">
        <f t="shared" si="59"/>
        <v>152409.59999999998</v>
      </c>
      <c r="I3495" s="120" t="str">
        <f>IF(OR(D3495&lt;Capa!$A$5,D3495&gt;Capa!$A$7,E3495&lt;Capa!$A$5,E3495&gt;Capa!$A$7,D3495&gt;E3495),"Erro","")</f>
        <v/>
      </c>
    </row>
    <row r="3496" spans="1:9" ht="90">
      <c r="A3496" s="345">
        <v>3493</v>
      </c>
      <c r="B3496" s="346" t="s">
        <v>220</v>
      </c>
      <c r="C3496" s="347">
        <v>13442.52</v>
      </c>
      <c r="D3496" s="348">
        <v>46023</v>
      </c>
      <c r="E3496" s="348">
        <v>46357</v>
      </c>
      <c r="F3496" s="346" t="s">
        <v>101</v>
      </c>
      <c r="G3496" s="350" t="s">
        <v>590</v>
      </c>
      <c r="H3496" s="351">
        <f t="shared" si="59"/>
        <v>161310.24</v>
      </c>
      <c r="I3496" s="120" t="str">
        <f>IF(OR(D3496&lt;Capa!$A$5,D3496&gt;Capa!$A$7,E3496&lt;Capa!$A$5,E3496&gt;Capa!$A$7,D3496&gt;E3496),"Erro","")</f>
        <v/>
      </c>
    </row>
    <row r="3497" spans="1:9" ht="90">
      <c r="A3497" s="345">
        <v>3494</v>
      </c>
      <c r="B3497" s="346" t="s">
        <v>220</v>
      </c>
      <c r="C3497" s="347">
        <v>14227.57</v>
      </c>
      <c r="D3497" s="348">
        <v>46388</v>
      </c>
      <c r="E3497" s="348">
        <v>46722</v>
      </c>
      <c r="F3497" s="346" t="s">
        <v>101</v>
      </c>
      <c r="G3497" s="350" t="s">
        <v>590</v>
      </c>
      <c r="H3497" s="351">
        <f t="shared" si="59"/>
        <v>170730.84</v>
      </c>
      <c r="I3497" s="120" t="str">
        <f>IF(OR(D3497&lt;Capa!$A$5,D3497&gt;Capa!$A$7,E3497&lt;Capa!$A$5,E3497&gt;Capa!$A$7,D3497&gt;E3497),"Erro","")</f>
        <v/>
      </c>
    </row>
    <row r="3498" spans="1:9" ht="90">
      <c r="A3498" s="345">
        <v>3495</v>
      </c>
      <c r="B3498" s="346" t="s">
        <v>220</v>
      </c>
      <c r="C3498" s="347">
        <v>15058.46</v>
      </c>
      <c r="D3498" s="348">
        <v>46753</v>
      </c>
      <c r="E3498" s="348">
        <v>47058</v>
      </c>
      <c r="F3498" s="346" t="s">
        <v>101</v>
      </c>
      <c r="G3498" s="350" t="s">
        <v>590</v>
      </c>
      <c r="H3498" s="351">
        <f t="shared" si="59"/>
        <v>165643.06</v>
      </c>
      <c r="I3498" s="120" t="str">
        <f>IF(OR(D3498&lt;Capa!$A$5,D3498&gt;Capa!$A$7,E3498&lt;Capa!$A$5,E3498&gt;Capa!$A$7,D3498&gt;E3498),"Erro","")</f>
        <v/>
      </c>
    </row>
    <row r="3499" spans="1:9" ht="101.25">
      <c r="A3499" s="345">
        <v>3496</v>
      </c>
      <c r="B3499" s="346" t="s">
        <v>222</v>
      </c>
      <c r="C3499" s="347">
        <v>3500</v>
      </c>
      <c r="D3499" s="348">
        <v>45323</v>
      </c>
      <c r="E3499" s="348">
        <v>45627</v>
      </c>
      <c r="F3499" s="346" t="s">
        <v>101</v>
      </c>
      <c r="G3499" s="350" t="s">
        <v>591</v>
      </c>
      <c r="H3499" s="351">
        <f t="shared" si="59"/>
        <v>38500</v>
      </c>
      <c r="I3499" s="120" t="str">
        <f>IF(OR(D3499&lt;Capa!$A$5,D3499&gt;Capa!$A$7,E3499&lt;Capa!$A$5,E3499&gt;Capa!$A$7,D3499&gt;E3499),"Erro","")</f>
        <v/>
      </c>
    </row>
    <row r="3500" spans="1:9" ht="101.25">
      <c r="A3500" s="345">
        <v>3497</v>
      </c>
      <c r="B3500" s="346" t="s">
        <v>222</v>
      </c>
      <c r="C3500" s="347">
        <v>3704.45</v>
      </c>
      <c r="D3500" s="348">
        <v>45658</v>
      </c>
      <c r="E3500" s="348">
        <v>45992</v>
      </c>
      <c r="F3500" s="346" t="s">
        <v>101</v>
      </c>
      <c r="G3500" s="350" t="s">
        <v>591</v>
      </c>
      <c r="H3500" s="351">
        <f t="shared" si="59"/>
        <v>44453.399999999994</v>
      </c>
      <c r="I3500" s="120" t="str">
        <f>IF(OR(D3500&lt;Capa!$A$5,D3500&gt;Capa!$A$7,E3500&lt;Capa!$A$5,E3500&gt;Capa!$A$7,D3500&gt;E3500),"Erro","")</f>
        <v/>
      </c>
    </row>
    <row r="3501" spans="1:9" ht="101.25">
      <c r="A3501" s="345">
        <v>3498</v>
      </c>
      <c r="B3501" s="346" t="s">
        <v>222</v>
      </c>
      <c r="C3501" s="347">
        <v>3920.73</v>
      </c>
      <c r="D3501" s="348">
        <v>46023</v>
      </c>
      <c r="E3501" s="348">
        <v>46357</v>
      </c>
      <c r="F3501" s="346" t="s">
        <v>101</v>
      </c>
      <c r="G3501" s="350" t="s">
        <v>591</v>
      </c>
      <c r="H3501" s="351">
        <f t="shared" si="59"/>
        <v>47048.76</v>
      </c>
      <c r="I3501" s="120" t="str">
        <f>IF(OR(D3501&lt;Capa!$A$5,D3501&gt;Capa!$A$7,E3501&lt;Capa!$A$5,E3501&gt;Capa!$A$7,D3501&gt;E3501),"Erro","")</f>
        <v/>
      </c>
    </row>
    <row r="3502" spans="1:9" ht="101.25">
      <c r="A3502" s="345">
        <v>3499</v>
      </c>
      <c r="B3502" s="346" t="s">
        <v>222</v>
      </c>
      <c r="C3502" s="347">
        <v>4149.7</v>
      </c>
      <c r="D3502" s="348">
        <v>46388</v>
      </c>
      <c r="E3502" s="348">
        <v>46722</v>
      </c>
      <c r="F3502" s="346" t="s">
        <v>101</v>
      </c>
      <c r="G3502" s="350" t="s">
        <v>591</v>
      </c>
      <c r="H3502" s="351">
        <f t="shared" si="59"/>
        <v>49796.399999999994</v>
      </c>
      <c r="I3502" s="120" t="str">
        <f>IF(OR(D3502&lt;Capa!$A$5,D3502&gt;Capa!$A$7,E3502&lt;Capa!$A$5,E3502&gt;Capa!$A$7,D3502&gt;E3502),"Erro","")</f>
        <v/>
      </c>
    </row>
    <row r="3503" spans="1:9" ht="101.25">
      <c r="A3503" s="345">
        <v>3500</v>
      </c>
      <c r="B3503" s="346" t="s">
        <v>222</v>
      </c>
      <c r="C3503" s="347">
        <v>4392.05</v>
      </c>
      <c r="D3503" s="348">
        <v>46753</v>
      </c>
      <c r="E3503" s="348">
        <v>47058</v>
      </c>
      <c r="F3503" s="346" t="s">
        <v>101</v>
      </c>
      <c r="G3503" s="350" t="s">
        <v>591</v>
      </c>
      <c r="H3503" s="351">
        <f t="shared" si="59"/>
        <v>48312.55</v>
      </c>
      <c r="I3503" s="120" t="str">
        <f>IF(OR(D3503&lt;Capa!$A$5,D3503&gt;Capa!$A$7,E3503&lt;Capa!$A$5,E3503&gt;Capa!$A$7,D3503&gt;E3503),"Erro","")</f>
        <v/>
      </c>
    </row>
    <row r="3504" spans="1:9" ht="22.5">
      <c r="A3504" s="345">
        <v>3501</v>
      </c>
      <c r="B3504" s="346" t="s">
        <v>226</v>
      </c>
      <c r="C3504" s="347">
        <v>600</v>
      </c>
      <c r="D3504" s="348">
        <v>45261</v>
      </c>
      <c r="E3504" s="348">
        <v>47058</v>
      </c>
      <c r="F3504" s="346" t="s">
        <v>101</v>
      </c>
      <c r="G3504" s="350" t="s">
        <v>566</v>
      </c>
      <c r="H3504" s="351">
        <f t="shared" si="59"/>
        <v>36000</v>
      </c>
      <c r="I3504" s="120" t="str">
        <f>IF(OR(D3504&lt;Capa!$A$5,D3504&gt;Capa!$A$7,E3504&lt;Capa!$A$5,E3504&gt;Capa!$A$7,D3504&gt;E3504),"Erro","")</f>
        <v/>
      </c>
    </row>
    <row r="3505" spans="1:9" ht="33.75">
      <c r="A3505" s="345">
        <v>3502</v>
      </c>
      <c r="B3505" s="346" t="s">
        <v>236</v>
      </c>
      <c r="C3505" s="347">
        <v>850</v>
      </c>
      <c r="D3505" s="348">
        <v>45292</v>
      </c>
      <c r="E3505" s="348">
        <v>45566</v>
      </c>
      <c r="F3505" s="346" t="s">
        <v>101</v>
      </c>
      <c r="G3505" s="350" t="s">
        <v>571</v>
      </c>
      <c r="H3505" s="351">
        <f t="shared" si="59"/>
        <v>8500</v>
      </c>
      <c r="I3505" s="120" t="str">
        <f>IF(OR(D3505&lt;Capa!$A$5,D3505&gt;Capa!$A$7,E3505&lt;Capa!$A$5,E3505&gt;Capa!$A$7,D3505&gt;E3505),"Erro","")</f>
        <v/>
      </c>
    </row>
    <row r="3506" spans="1:9" ht="33.75">
      <c r="A3506" s="345">
        <v>3503</v>
      </c>
      <c r="B3506" s="346" t="s">
        <v>236</v>
      </c>
      <c r="C3506" s="347">
        <v>899.64</v>
      </c>
      <c r="D3506" s="348">
        <v>45597</v>
      </c>
      <c r="E3506" s="348">
        <v>45931</v>
      </c>
      <c r="F3506" s="346" t="s">
        <v>101</v>
      </c>
      <c r="G3506" s="350" t="s">
        <v>571</v>
      </c>
      <c r="H3506" s="351">
        <f t="shared" si="59"/>
        <v>10795.68</v>
      </c>
      <c r="I3506" s="120" t="str">
        <f>IF(OR(D3506&lt;Capa!$A$5,D3506&gt;Capa!$A$7,E3506&lt;Capa!$A$5,E3506&gt;Capa!$A$7,D3506&gt;E3506),"Erro","")</f>
        <v/>
      </c>
    </row>
    <row r="3507" spans="1:9" ht="33.75">
      <c r="A3507" s="345">
        <v>3504</v>
      </c>
      <c r="B3507" s="346" t="s">
        <v>236</v>
      </c>
      <c r="C3507" s="347">
        <v>952.17</v>
      </c>
      <c r="D3507" s="348">
        <v>45962</v>
      </c>
      <c r="E3507" s="348">
        <v>46296</v>
      </c>
      <c r="F3507" s="346" t="s">
        <v>101</v>
      </c>
      <c r="G3507" s="350" t="s">
        <v>571</v>
      </c>
      <c r="H3507" s="351">
        <f t="shared" si="59"/>
        <v>11426.039999999999</v>
      </c>
      <c r="I3507" s="120" t="str">
        <f>IF(OR(D3507&lt;Capa!$A$5,D3507&gt;Capa!$A$7,E3507&lt;Capa!$A$5,E3507&gt;Capa!$A$7,D3507&gt;E3507),"Erro","")</f>
        <v/>
      </c>
    </row>
    <row r="3508" spans="1:9" ht="33.75">
      <c r="A3508" s="345">
        <v>3505</v>
      </c>
      <c r="B3508" s="346" t="s">
        <v>236</v>
      </c>
      <c r="C3508" s="347">
        <v>1007.78</v>
      </c>
      <c r="D3508" s="348">
        <v>46327</v>
      </c>
      <c r="E3508" s="348">
        <v>46661</v>
      </c>
      <c r="F3508" s="346" t="s">
        <v>101</v>
      </c>
      <c r="G3508" s="350" t="s">
        <v>571</v>
      </c>
      <c r="H3508" s="351">
        <f t="shared" si="59"/>
        <v>12093.36</v>
      </c>
      <c r="I3508" s="120" t="str">
        <f>IF(OR(D3508&lt;Capa!$A$5,D3508&gt;Capa!$A$7,E3508&lt;Capa!$A$5,E3508&gt;Capa!$A$7,D3508&gt;E3508),"Erro","")</f>
        <v/>
      </c>
    </row>
    <row r="3509" spans="1:9" ht="33.75">
      <c r="A3509" s="345">
        <v>3506</v>
      </c>
      <c r="B3509" s="346" t="s">
        <v>236</v>
      </c>
      <c r="C3509" s="347">
        <v>1066.6400000000001</v>
      </c>
      <c r="D3509" s="348">
        <v>46692</v>
      </c>
      <c r="E3509" s="348">
        <v>47058</v>
      </c>
      <c r="F3509" s="346" t="s">
        <v>101</v>
      </c>
      <c r="G3509" s="350" t="s">
        <v>571</v>
      </c>
      <c r="H3509" s="351">
        <f t="shared" si="59"/>
        <v>13866.320000000002</v>
      </c>
      <c r="I3509" s="120" t="str">
        <f>IF(OR(D3509&lt;Capa!$A$5,D3509&gt;Capa!$A$7,E3509&lt;Capa!$A$5,E3509&gt;Capa!$A$7,D3509&gt;E3509),"Erro","")</f>
        <v/>
      </c>
    </row>
    <row r="3510" spans="1:9" ht="33.75">
      <c r="A3510" s="345">
        <v>3507</v>
      </c>
      <c r="B3510" s="346" t="s">
        <v>238</v>
      </c>
      <c r="C3510" s="347">
        <v>800</v>
      </c>
      <c r="D3510" s="348">
        <v>45597</v>
      </c>
      <c r="E3510" s="348">
        <v>45931</v>
      </c>
      <c r="F3510" s="346" t="s">
        <v>101</v>
      </c>
      <c r="G3510" s="350" t="s">
        <v>571</v>
      </c>
      <c r="H3510" s="351">
        <f t="shared" si="59"/>
        <v>9600</v>
      </c>
      <c r="I3510" s="120" t="str">
        <f>IF(OR(D3510&lt;Capa!$A$5,D3510&gt;Capa!$A$7,E3510&lt;Capa!$A$5,E3510&gt;Capa!$A$7,D3510&gt;E3510),"Erro","")</f>
        <v/>
      </c>
    </row>
    <row r="3511" spans="1:9" ht="33.75">
      <c r="A3511" s="345">
        <v>3508</v>
      </c>
      <c r="B3511" s="346" t="s">
        <v>238</v>
      </c>
      <c r="C3511" s="347">
        <v>800</v>
      </c>
      <c r="D3511" s="348">
        <v>45962</v>
      </c>
      <c r="E3511" s="348">
        <v>46296</v>
      </c>
      <c r="F3511" s="346" t="s">
        <v>101</v>
      </c>
      <c r="G3511" s="350" t="s">
        <v>571</v>
      </c>
      <c r="H3511" s="351">
        <f t="shared" si="59"/>
        <v>9600</v>
      </c>
      <c r="I3511" s="120" t="str">
        <f>IF(OR(D3511&lt;Capa!$A$5,D3511&gt;Capa!$A$7,E3511&lt;Capa!$A$5,E3511&gt;Capa!$A$7,D3511&gt;E3511),"Erro","")</f>
        <v/>
      </c>
    </row>
    <row r="3512" spans="1:9" ht="33.75">
      <c r="A3512" s="345">
        <v>3509</v>
      </c>
      <c r="B3512" s="346" t="s">
        <v>238</v>
      </c>
      <c r="C3512" s="347">
        <v>800</v>
      </c>
      <c r="D3512" s="348">
        <v>46327</v>
      </c>
      <c r="E3512" s="348">
        <v>46661</v>
      </c>
      <c r="F3512" s="346" t="s">
        <v>101</v>
      </c>
      <c r="G3512" s="350" t="s">
        <v>571</v>
      </c>
      <c r="H3512" s="351">
        <f t="shared" ref="H3512:H3559" si="60">IFERROR((DATEDIF(D3512,E3512,"M")+1)*C3512,0)</f>
        <v>9600</v>
      </c>
      <c r="I3512" s="120" t="str">
        <f>IF(OR(D3512&lt;Capa!$A$5,D3512&gt;Capa!$A$7,E3512&lt;Capa!$A$5,E3512&gt;Capa!$A$7,D3512&gt;E3512),"Erro","")</f>
        <v/>
      </c>
    </row>
    <row r="3513" spans="1:9" ht="33.75">
      <c r="A3513" s="345">
        <v>3510</v>
      </c>
      <c r="B3513" s="346" t="s">
        <v>238</v>
      </c>
      <c r="C3513" s="347">
        <v>800</v>
      </c>
      <c r="D3513" s="348">
        <v>46692</v>
      </c>
      <c r="E3513" s="348">
        <v>47058</v>
      </c>
      <c r="F3513" s="346" t="s">
        <v>101</v>
      </c>
      <c r="G3513" s="350" t="s">
        <v>571</v>
      </c>
      <c r="H3513" s="351">
        <f t="shared" si="60"/>
        <v>10400</v>
      </c>
      <c r="I3513" s="120" t="str">
        <f>IF(OR(D3513&lt;Capa!$A$5,D3513&gt;Capa!$A$7,E3513&lt;Capa!$A$5,E3513&gt;Capa!$A$7,D3513&gt;E3513),"Erro","")</f>
        <v/>
      </c>
    </row>
    <row r="3514" spans="1:9" ht="33.75">
      <c r="A3514" s="345">
        <v>3511</v>
      </c>
      <c r="B3514" s="346" t="s">
        <v>240</v>
      </c>
      <c r="C3514" s="347">
        <v>300</v>
      </c>
      <c r="D3514" s="348">
        <v>45444</v>
      </c>
      <c r="E3514" s="348">
        <v>45566</v>
      </c>
      <c r="F3514" s="346" t="s">
        <v>101</v>
      </c>
      <c r="G3514" s="350" t="s">
        <v>571</v>
      </c>
      <c r="H3514" s="351">
        <f t="shared" si="60"/>
        <v>1500</v>
      </c>
      <c r="I3514" s="120" t="str">
        <f>IF(OR(D3514&lt;Capa!$A$5,D3514&gt;Capa!$A$7,E3514&lt;Capa!$A$5,E3514&gt;Capa!$A$7,D3514&gt;E3514),"Erro","")</f>
        <v/>
      </c>
    </row>
    <row r="3515" spans="1:9" ht="33.75">
      <c r="A3515" s="345">
        <v>3512</v>
      </c>
      <c r="B3515" s="346" t="s">
        <v>240</v>
      </c>
      <c r="C3515" s="347">
        <v>300</v>
      </c>
      <c r="D3515" s="348">
        <v>45809</v>
      </c>
      <c r="E3515" s="348">
        <v>45931</v>
      </c>
      <c r="F3515" s="346" t="s">
        <v>101</v>
      </c>
      <c r="G3515" s="350" t="s">
        <v>571</v>
      </c>
      <c r="H3515" s="351">
        <f t="shared" si="60"/>
        <v>1500</v>
      </c>
      <c r="I3515" s="120" t="str">
        <f>IF(OR(D3515&lt;Capa!$A$5,D3515&gt;Capa!$A$7,E3515&lt;Capa!$A$5,E3515&gt;Capa!$A$7,D3515&gt;E3515),"Erro","")</f>
        <v/>
      </c>
    </row>
    <row r="3516" spans="1:9" ht="33.75">
      <c r="A3516" s="345">
        <v>3513</v>
      </c>
      <c r="B3516" s="346" t="s">
        <v>240</v>
      </c>
      <c r="C3516" s="347">
        <v>300</v>
      </c>
      <c r="D3516" s="348">
        <v>46174</v>
      </c>
      <c r="E3516" s="348">
        <v>46296</v>
      </c>
      <c r="F3516" s="346" t="s">
        <v>101</v>
      </c>
      <c r="G3516" s="350" t="s">
        <v>571</v>
      </c>
      <c r="H3516" s="351">
        <f t="shared" si="60"/>
        <v>1500</v>
      </c>
      <c r="I3516" s="120" t="str">
        <f>IF(OR(D3516&lt;Capa!$A$5,D3516&gt;Capa!$A$7,E3516&lt;Capa!$A$5,E3516&gt;Capa!$A$7,D3516&gt;E3516),"Erro","")</f>
        <v/>
      </c>
    </row>
    <row r="3517" spans="1:9" ht="33.75">
      <c r="A3517" s="345">
        <v>3514</v>
      </c>
      <c r="B3517" s="346" t="s">
        <v>240</v>
      </c>
      <c r="C3517" s="347">
        <v>300</v>
      </c>
      <c r="D3517" s="348">
        <v>46539</v>
      </c>
      <c r="E3517" s="348">
        <v>46661</v>
      </c>
      <c r="F3517" s="346" t="s">
        <v>101</v>
      </c>
      <c r="G3517" s="350" t="s">
        <v>571</v>
      </c>
      <c r="H3517" s="351">
        <f t="shared" si="60"/>
        <v>1500</v>
      </c>
      <c r="I3517" s="120" t="str">
        <f>IF(OR(D3517&lt;Capa!$A$5,D3517&gt;Capa!$A$7,E3517&lt;Capa!$A$5,E3517&gt;Capa!$A$7,D3517&gt;E3517),"Erro","")</f>
        <v/>
      </c>
    </row>
    <row r="3518" spans="1:9" ht="33.75">
      <c r="A3518" s="345">
        <v>3515</v>
      </c>
      <c r="B3518" s="346" t="s">
        <v>240</v>
      </c>
      <c r="C3518" s="347">
        <v>300</v>
      </c>
      <c r="D3518" s="348">
        <v>46905</v>
      </c>
      <c r="E3518" s="348">
        <v>47058</v>
      </c>
      <c r="F3518" s="346" t="s">
        <v>101</v>
      </c>
      <c r="G3518" s="350" t="s">
        <v>571</v>
      </c>
      <c r="H3518" s="351">
        <f t="shared" si="60"/>
        <v>1800</v>
      </c>
      <c r="I3518" s="120" t="str">
        <f>IF(OR(D3518&lt;Capa!$A$5,D3518&gt;Capa!$A$7,E3518&lt;Capa!$A$5,E3518&gt;Capa!$A$7,D3518&gt;E3518),"Erro","")</f>
        <v/>
      </c>
    </row>
    <row r="3519" spans="1:9" ht="22.5">
      <c r="A3519" s="345">
        <v>3516</v>
      </c>
      <c r="B3519" s="346" t="s">
        <v>242</v>
      </c>
      <c r="C3519" s="347">
        <v>1000</v>
      </c>
      <c r="D3519" s="348">
        <v>46966</v>
      </c>
      <c r="E3519" s="348">
        <v>47058</v>
      </c>
      <c r="F3519" s="346" t="s">
        <v>101</v>
      </c>
      <c r="G3519" s="350" t="s">
        <v>567</v>
      </c>
      <c r="H3519" s="351">
        <f t="shared" si="60"/>
        <v>4000</v>
      </c>
      <c r="I3519" s="120" t="str">
        <f>IF(OR(D3519&lt;Capa!$A$5,D3519&gt;Capa!$A$7,E3519&lt;Capa!$A$5,E3519&gt;Capa!$A$7,D3519&gt;E3519),"Erro","")</f>
        <v/>
      </c>
    </row>
    <row r="3520" spans="1:9" ht="33.75">
      <c r="A3520" s="345">
        <v>3517</v>
      </c>
      <c r="B3520" s="346" t="s">
        <v>244</v>
      </c>
      <c r="C3520" s="347">
        <v>750</v>
      </c>
      <c r="D3520" s="348">
        <v>45292</v>
      </c>
      <c r="E3520" s="348">
        <v>45566</v>
      </c>
      <c r="F3520" s="346" t="s">
        <v>101</v>
      </c>
      <c r="G3520" s="350" t="s">
        <v>568</v>
      </c>
      <c r="H3520" s="351">
        <f t="shared" si="60"/>
        <v>7500</v>
      </c>
      <c r="I3520" s="120" t="str">
        <f>IF(OR(D3520&lt;Capa!$A$5,D3520&gt;Capa!$A$7,E3520&lt;Capa!$A$5,E3520&gt;Capa!$A$7,D3520&gt;E3520),"Erro","")</f>
        <v/>
      </c>
    </row>
    <row r="3521" spans="1:9" ht="33.75">
      <c r="A3521" s="345">
        <v>3518</v>
      </c>
      <c r="B3521" s="346" t="s">
        <v>244</v>
      </c>
      <c r="C3521" s="347">
        <v>793.8</v>
      </c>
      <c r="D3521" s="348">
        <v>45597</v>
      </c>
      <c r="E3521" s="348">
        <v>45931</v>
      </c>
      <c r="F3521" s="346" t="s">
        <v>101</v>
      </c>
      <c r="G3521" s="350" t="s">
        <v>568</v>
      </c>
      <c r="H3521" s="351">
        <f t="shared" si="60"/>
        <v>9525.5999999999985</v>
      </c>
      <c r="I3521" s="120" t="str">
        <f>IF(OR(D3521&lt;Capa!$A$5,D3521&gt;Capa!$A$7,E3521&lt;Capa!$A$5,E3521&gt;Capa!$A$7,D3521&gt;E3521),"Erro","")</f>
        <v/>
      </c>
    </row>
    <row r="3522" spans="1:9" ht="33.75">
      <c r="A3522" s="345">
        <v>3519</v>
      </c>
      <c r="B3522" s="346" t="s">
        <v>244</v>
      </c>
      <c r="C3522" s="347">
        <v>840.15</v>
      </c>
      <c r="D3522" s="348">
        <v>45962</v>
      </c>
      <c r="E3522" s="348">
        <v>46296</v>
      </c>
      <c r="F3522" s="346" t="s">
        <v>101</v>
      </c>
      <c r="G3522" s="350" t="s">
        <v>568</v>
      </c>
      <c r="H3522" s="351">
        <f t="shared" si="60"/>
        <v>10081.799999999999</v>
      </c>
      <c r="I3522" s="120" t="str">
        <f>IF(OR(D3522&lt;Capa!$A$5,D3522&gt;Capa!$A$7,E3522&lt;Capa!$A$5,E3522&gt;Capa!$A$7,D3522&gt;E3522),"Erro","")</f>
        <v/>
      </c>
    </row>
    <row r="3523" spans="1:9" ht="33.75">
      <c r="A3523" s="345">
        <v>3520</v>
      </c>
      <c r="B3523" s="346" t="s">
        <v>244</v>
      </c>
      <c r="C3523" s="347">
        <v>889.22</v>
      </c>
      <c r="D3523" s="348">
        <v>46327</v>
      </c>
      <c r="E3523" s="348">
        <v>46661</v>
      </c>
      <c r="F3523" s="346" t="s">
        <v>101</v>
      </c>
      <c r="G3523" s="350" t="s">
        <v>568</v>
      </c>
      <c r="H3523" s="351">
        <f t="shared" si="60"/>
        <v>10670.64</v>
      </c>
      <c r="I3523" s="120" t="str">
        <f>IF(OR(D3523&lt;Capa!$A$5,D3523&gt;Capa!$A$7,E3523&lt;Capa!$A$5,E3523&gt;Capa!$A$7,D3523&gt;E3523),"Erro","")</f>
        <v/>
      </c>
    </row>
    <row r="3524" spans="1:9" ht="33.75">
      <c r="A3524" s="345">
        <v>3521</v>
      </c>
      <c r="B3524" s="346" t="s">
        <v>244</v>
      </c>
      <c r="C3524" s="347">
        <v>941.15</v>
      </c>
      <c r="D3524" s="348">
        <v>46692</v>
      </c>
      <c r="E3524" s="348">
        <v>47058</v>
      </c>
      <c r="F3524" s="346" t="s">
        <v>101</v>
      </c>
      <c r="G3524" s="350" t="s">
        <v>568</v>
      </c>
      <c r="H3524" s="351">
        <f t="shared" si="60"/>
        <v>12234.949999999999</v>
      </c>
      <c r="I3524" s="120" t="str">
        <f>IF(OR(D3524&lt;Capa!$A$5,D3524&gt;Capa!$A$7,E3524&lt;Capa!$A$5,E3524&gt;Capa!$A$7,D3524&gt;E3524),"Erro","")</f>
        <v/>
      </c>
    </row>
    <row r="3525" spans="1:9" ht="22.5">
      <c r="A3525" s="345">
        <v>3522</v>
      </c>
      <c r="B3525" s="346" t="s">
        <v>246</v>
      </c>
      <c r="C3525" s="347">
        <v>300</v>
      </c>
      <c r="D3525" s="348">
        <v>45597</v>
      </c>
      <c r="E3525" s="348">
        <v>45931</v>
      </c>
      <c r="F3525" s="346" t="s">
        <v>101</v>
      </c>
      <c r="G3525" s="350" t="s">
        <v>570</v>
      </c>
      <c r="H3525" s="351">
        <f t="shared" si="60"/>
        <v>3600</v>
      </c>
      <c r="I3525" s="120" t="str">
        <f>IF(OR(D3525&lt;Capa!$A$5,D3525&gt;Capa!$A$7,E3525&lt;Capa!$A$5,E3525&gt;Capa!$A$7,D3525&gt;E3525),"Erro","")</f>
        <v/>
      </c>
    </row>
    <row r="3526" spans="1:9" ht="22.5">
      <c r="A3526" s="345">
        <v>3523</v>
      </c>
      <c r="B3526" s="346" t="s">
        <v>246</v>
      </c>
      <c r="C3526" s="347">
        <v>300</v>
      </c>
      <c r="D3526" s="348">
        <v>45962</v>
      </c>
      <c r="E3526" s="348">
        <v>46296</v>
      </c>
      <c r="F3526" s="346" t="s">
        <v>101</v>
      </c>
      <c r="G3526" s="350" t="s">
        <v>570</v>
      </c>
      <c r="H3526" s="351">
        <f t="shared" si="60"/>
        <v>3600</v>
      </c>
      <c r="I3526" s="120" t="str">
        <f>IF(OR(D3526&lt;Capa!$A$5,D3526&gt;Capa!$A$7,E3526&lt;Capa!$A$5,E3526&gt;Capa!$A$7,D3526&gt;E3526),"Erro","")</f>
        <v/>
      </c>
    </row>
    <row r="3527" spans="1:9" ht="22.5">
      <c r="A3527" s="345">
        <v>3524</v>
      </c>
      <c r="B3527" s="346" t="s">
        <v>246</v>
      </c>
      <c r="C3527" s="347">
        <v>300</v>
      </c>
      <c r="D3527" s="348">
        <v>46327</v>
      </c>
      <c r="E3527" s="348">
        <v>46661</v>
      </c>
      <c r="F3527" s="346" t="s">
        <v>101</v>
      </c>
      <c r="G3527" s="350" t="s">
        <v>570</v>
      </c>
      <c r="H3527" s="351">
        <f t="shared" si="60"/>
        <v>3600</v>
      </c>
      <c r="I3527" s="120" t="str">
        <f>IF(OR(D3527&lt;Capa!$A$5,D3527&gt;Capa!$A$7,E3527&lt;Capa!$A$5,E3527&gt;Capa!$A$7,D3527&gt;E3527),"Erro","")</f>
        <v/>
      </c>
    </row>
    <row r="3528" spans="1:9" ht="22.5">
      <c r="A3528" s="345">
        <v>3525</v>
      </c>
      <c r="B3528" s="346" t="s">
        <v>246</v>
      </c>
      <c r="C3528" s="347">
        <v>300</v>
      </c>
      <c r="D3528" s="348">
        <v>46692</v>
      </c>
      <c r="E3528" s="348">
        <v>47058</v>
      </c>
      <c r="F3528" s="346" t="s">
        <v>101</v>
      </c>
      <c r="G3528" s="350" t="s">
        <v>570</v>
      </c>
      <c r="H3528" s="351">
        <f t="shared" si="60"/>
        <v>3900</v>
      </c>
      <c r="I3528" s="120" t="str">
        <f>IF(OR(D3528&lt;Capa!$A$5,D3528&gt;Capa!$A$7,E3528&lt;Capa!$A$5,E3528&gt;Capa!$A$7,D3528&gt;E3528),"Erro","")</f>
        <v/>
      </c>
    </row>
    <row r="3529" spans="1:9" ht="45">
      <c r="A3529" s="345">
        <v>3526</v>
      </c>
      <c r="B3529" s="346" t="s">
        <v>248</v>
      </c>
      <c r="C3529" s="347">
        <v>12378.6</v>
      </c>
      <c r="D3529" s="348">
        <v>45292</v>
      </c>
      <c r="E3529" s="348">
        <v>45444</v>
      </c>
      <c r="F3529" s="346" t="s">
        <v>101</v>
      </c>
      <c r="G3529" s="350" t="s">
        <v>569</v>
      </c>
      <c r="H3529" s="351">
        <f t="shared" si="60"/>
        <v>74271.600000000006</v>
      </c>
      <c r="I3529" s="120" t="str">
        <f>IF(OR(D3529&lt;Capa!$A$5,D3529&gt;Capa!$A$7,E3529&lt;Capa!$A$5,E3529&gt;Capa!$A$7,D3529&gt;E3529),"Erro","")</f>
        <v/>
      </c>
    </row>
    <row r="3530" spans="1:9" ht="45">
      <c r="A3530" s="345">
        <v>3527</v>
      </c>
      <c r="B3530" s="346" t="s">
        <v>248</v>
      </c>
      <c r="C3530" s="347">
        <v>6046.85</v>
      </c>
      <c r="D3530" s="348">
        <v>45658</v>
      </c>
      <c r="E3530" s="348">
        <v>46357</v>
      </c>
      <c r="F3530" s="346" t="s">
        <v>101</v>
      </c>
      <c r="G3530" s="350" t="s">
        <v>569</v>
      </c>
      <c r="H3530" s="351">
        <f t="shared" si="60"/>
        <v>145124.40000000002</v>
      </c>
      <c r="I3530" s="120" t="str">
        <f>IF(OR(D3530&lt;Capa!$A$5,D3530&gt;Capa!$A$7,E3530&lt;Capa!$A$5,E3530&gt;Capa!$A$7,D3530&gt;E3530),"Erro","")</f>
        <v/>
      </c>
    </row>
    <row r="3531" spans="1:9" ht="45">
      <c r="A3531" s="345">
        <v>3528</v>
      </c>
      <c r="B3531" s="346" t="s">
        <v>248</v>
      </c>
      <c r="C3531" s="347">
        <v>6399.98</v>
      </c>
      <c r="D3531" s="348">
        <v>46388</v>
      </c>
      <c r="E3531" s="348">
        <v>47058</v>
      </c>
      <c r="F3531" s="346" t="s">
        <v>101</v>
      </c>
      <c r="G3531" s="350" t="s">
        <v>569</v>
      </c>
      <c r="H3531" s="351">
        <f t="shared" si="60"/>
        <v>147199.53999999998</v>
      </c>
      <c r="I3531" s="120" t="str">
        <f>IF(OR(D3531&lt;Capa!$A$5,D3531&gt;Capa!$A$7,E3531&lt;Capa!$A$5,E3531&gt;Capa!$A$7,D3531&gt;E3531),"Erro","")</f>
        <v/>
      </c>
    </row>
    <row r="3532" spans="1:9">
      <c r="A3532" s="345">
        <v>3529</v>
      </c>
      <c r="B3532" s="346" t="s">
        <v>258</v>
      </c>
      <c r="C3532" s="347">
        <v>3330.62</v>
      </c>
      <c r="D3532" s="348">
        <v>45261</v>
      </c>
      <c r="E3532" s="348">
        <v>45566</v>
      </c>
      <c r="F3532" s="346" t="s">
        <v>101</v>
      </c>
      <c r="G3532" s="350" t="s">
        <v>572</v>
      </c>
      <c r="H3532" s="351">
        <f t="shared" si="60"/>
        <v>36636.82</v>
      </c>
      <c r="I3532" s="120" t="str">
        <f>IF(OR(D3532&lt;Capa!$A$5,D3532&gt;Capa!$A$7,E3532&lt;Capa!$A$5,E3532&gt;Capa!$A$7,D3532&gt;E3532),"Erro","")</f>
        <v/>
      </c>
    </row>
    <row r="3533" spans="1:9">
      <c r="A3533" s="345">
        <v>3530</v>
      </c>
      <c r="B3533" s="346" t="s">
        <v>258</v>
      </c>
      <c r="C3533" s="347">
        <v>3525.13</v>
      </c>
      <c r="D3533" s="348">
        <v>45597</v>
      </c>
      <c r="E3533" s="348">
        <v>45931</v>
      </c>
      <c r="F3533" s="346" t="s">
        <v>101</v>
      </c>
      <c r="G3533" s="350" t="s">
        <v>572</v>
      </c>
      <c r="H3533" s="351">
        <f t="shared" si="60"/>
        <v>42301.56</v>
      </c>
      <c r="I3533" s="120" t="str">
        <f>IF(OR(D3533&lt;Capa!$A$5,D3533&gt;Capa!$A$7,E3533&lt;Capa!$A$5,E3533&gt;Capa!$A$7,D3533&gt;E3533),"Erro","")</f>
        <v/>
      </c>
    </row>
    <row r="3534" spans="1:9">
      <c r="A3534" s="345">
        <v>3531</v>
      </c>
      <c r="B3534" s="346" t="s">
        <v>258</v>
      </c>
      <c r="C3534" s="347">
        <v>3731</v>
      </c>
      <c r="D3534" s="348">
        <v>45962</v>
      </c>
      <c r="E3534" s="348">
        <v>46296</v>
      </c>
      <c r="F3534" s="346" t="s">
        <v>101</v>
      </c>
      <c r="G3534" s="350" t="s">
        <v>572</v>
      </c>
      <c r="H3534" s="351">
        <f t="shared" si="60"/>
        <v>44772</v>
      </c>
      <c r="I3534" s="120" t="str">
        <f>IF(OR(D3534&lt;Capa!$A$5,D3534&gt;Capa!$A$7,E3534&lt;Capa!$A$5,E3534&gt;Capa!$A$7,D3534&gt;E3534),"Erro","")</f>
        <v/>
      </c>
    </row>
    <row r="3535" spans="1:9">
      <c r="A3535" s="345">
        <v>3532</v>
      </c>
      <c r="B3535" s="346" t="s">
        <v>258</v>
      </c>
      <c r="C3535" s="347">
        <v>3948.89</v>
      </c>
      <c r="D3535" s="348">
        <v>46327</v>
      </c>
      <c r="E3535" s="348">
        <v>46661</v>
      </c>
      <c r="F3535" s="346" t="s">
        <v>101</v>
      </c>
      <c r="G3535" s="350" t="s">
        <v>572</v>
      </c>
      <c r="H3535" s="351">
        <f t="shared" si="60"/>
        <v>47386.68</v>
      </c>
      <c r="I3535" s="120" t="str">
        <f>IF(OR(D3535&lt;Capa!$A$5,D3535&gt;Capa!$A$7,E3535&lt;Capa!$A$5,E3535&gt;Capa!$A$7,D3535&gt;E3535),"Erro","")</f>
        <v/>
      </c>
    </row>
    <row r="3536" spans="1:9">
      <c r="A3536" s="345">
        <v>3533</v>
      </c>
      <c r="B3536" s="346" t="s">
        <v>258</v>
      </c>
      <c r="C3536" s="347">
        <v>4179.51</v>
      </c>
      <c r="D3536" s="348">
        <v>46692</v>
      </c>
      <c r="E3536" s="348">
        <v>47058</v>
      </c>
      <c r="F3536" s="346" t="s">
        <v>101</v>
      </c>
      <c r="G3536" s="350" t="s">
        <v>572</v>
      </c>
      <c r="H3536" s="351">
        <f t="shared" si="60"/>
        <v>54333.630000000005</v>
      </c>
      <c r="I3536" s="120" t="str">
        <f>IF(OR(D3536&lt;Capa!$A$5,D3536&gt;Capa!$A$7,E3536&lt;Capa!$A$5,E3536&gt;Capa!$A$7,D3536&gt;E3536),"Erro","")</f>
        <v/>
      </c>
    </row>
    <row r="3537" spans="1:9">
      <c r="A3537" s="345">
        <v>3534</v>
      </c>
      <c r="B3537" s="346" t="s">
        <v>260</v>
      </c>
      <c r="C3537" s="347">
        <v>350</v>
      </c>
      <c r="D3537" s="348">
        <v>45261</v>
      </c>
      <c r="E3537" s="348">
        <v>45444</v>
      </c>
      <c r="F3537" s="346" t="s">
        <v>101</v>
      </c>
      <c r="G3537" s="350" t="s">
        <v>573</v>
      </c>
      <c r="H3537" s="351">
        <f t="shared" si="60"/>
        <v>2450</v>
      </c>
      <c r="I3537" s="120" t="str">
        <f>IF(OR(D3537&lt;Capa!$A$5,D3537&gt;Capa!$A$7,E3537&lt;Capa!$A$5,E3537&gt;Capa!$A$7,D3537&gt;E3537),"Erro","")</f>
        <v/>
      </c>
    </row>
    <row r="3538" spans="1:9">
      <c r="A3538" s="345">
        <v>3535</v>
      </c>
      <c r="B3538" s="346" t="s">
        <v>260</v>
      </c>
      <c r="C3538" s="347">
        <v>200</v>
      </c>
      <c r="D3538" s="348">
        <v>45474</v>
      </c>
      <c r="E3538" s="348">
        <v>46235</v>
      </c>
      <c r="F3538" s="346" t="s">
        <v>101</v>
      </c>
      <c r="G3538" s="350" t="s">
        <v>573</v>
      </c>
      <c r="H3538" s="351">
        <f t="shared" si="60"/>
        <v>5200</v>
      </c>
      <c r="I3538" s="120" t="str">
        <f>IF(OR(D3538&lt;Capa!$A$5,D3538&gt;Capa!$A$7,E3538&lt;Capa!$A$5,E3538&gt;Capa!$A$7,D3538&gt;E3538),"Erro","")</f>
        <v/>
      </c>
    </row>
    <row r="3539" spans="1:9">
      <c r="A3539" s="345">
        <v>3536</v>
      </c>
      <c r="B3539" s="346" t="s">
        <v>260</v>
      </c>
      <c r="C3539" s="347">
        <v>550</v>
      </c>
      <c r="D3539" s="348">
        <v>46266</v>
      </c>
      <c r="E3539" s="348">
        <v>47058</v>
      </c>
      <c r="F3539" s="346" t="s">
        <v>101</v>
      </c>
      <c r="G3539" s="350" t="s">
        <v>573</v>
      </c>
      <c r="H3539" s="351">
        <f t="shared" si="60"/>
        <v>14850</v>
      </c>
      <c r="I3539" s="120" t="str">
        <f>IF(OR(D3539&lt;Capa!$A$5,D3539&gt;Capa!$A$7,E3539&lt;Capa!$A$5,E3539&gt;Capa!$A$7,D3539&gt;E3539),"Erro","")</f>
        <v/>
      </c>
    </row>
    <row r="3540" spans="1:9" ht="33.75">
      <c r="A3540" s="345">
        <v>3537</v>
      </c>
      <c r="B3540" s="346" t="s">
        <v>262</v>
      </c>
      <c r="C3540" s="347">
        <v>100</v>
      </c>
      <c r="D3540" s="348">
        <v>45261</v>
      </c>
      <c r="E3540" s="348">
        <v>47058</v>
      </c>
      <c r="F3540" s="346" t="s">
        <v>101</v>
      </c>
      <c r="G3540" s="350" t="s">
        <v>574</v>
      </c>
      <c r="H3540" s="351">
        <f t="shared" si="60"/>
        <v>6000</v>
      </c>
      <c r="I3540" s="120" t="str">
        <f>IF(OR(D3540&lt;Capa!$A$5,D3540&gt;Capa!$A$7,E3540&lt;Capa!$A$5,E3540&gt;Capa!$A$7,D3540&gt;E3540),"Erro","")</f>
        <v/>
      </c>
    </row>
    <row r="3541" spans="1:9" ht="33.75">
      <c r="A3541" s="345">
        <v>3538</v>
      </c>
      <c r="B3541" s="346" t="s">
        <v>266</v>
      </c>
      <c r="C3541" s="347">
        <v>500</v>
      </c>
      <c r="D3541" s="348">
        <v>45261</v>
      </c>
      <c r="E3541" s="348">
        <v>47058</v>
      </c>
      <c r="F3541" s="346" t="s">
        <v>101</v>
      </c>
      <c r="G3541" s="350" t="s">
        <v>575</v>
      </c>
      <c r="H3541" s="351">
        <f t="shared" si="60"/>
        <v>30000</v>
      </c>
      <c r="I3541" s="120" t="str">
        <f>IF(OR(D3541&lt;Capa!$A$5,D3541&gt;Capa!$A$7,E3541&lt;Capa!$A$5,E3541&gt;Capa!$A$7,D3541&gt;E3541),"Erro","")</f>
        <v/>
      </c>
    </row>
    <row r="3542" spans="1:9" ht="22.5">
      <c r="A3542" s="345">
        <v>3539</v>
      </c>
      <c r="B3542" s="346" t="s">
        <v>274</v>
      </c>
      <c r="C3542" s="347">
        <v>200</v>
      </c>
      <c r="D3542" s="348">
        <v>45261</v>
      </c>
      <c r="E3542" s="348">
        <v>45566</v>
      </c>
      <c r="F3542" s="346" t="s">
        <v>101</v>
      </c>
      <c r="G3542" s="350" t="s">
        <v>576</v>
      </c>
      <c r="H3542" s="351">
        <f t="shared" si="60"/>
        <v>2200</v>
      </c>
      <c r="I3542" s="120" t="str">
        <f>IF(OR(D3542&lt;Capa!$A$5,D3542&gt;Capa!$A$7,E3542&lt;Capa!$A$5,E3542&gt;Capa!$A$7,D3542&gt;E3542),"Erro","")</f>
        <v/>
      </c>
    </row>
    <row r="3543" spans="1:9" ht="22.5">
      <c r="A3543" s="345">
        <v>3540</v>
      </c>
      <c r="B3543" s="346" t="s">
        <v>274</v>
      </c>
      <c r="C3543" s="347">
        <v>200</v>
      </c>
      <c r="D3543" s="348">
        <v>45597</v>
      </c>
      <c r="E3543" s="348">
        <v>45931</v>
      </c>
      <c r="F3543" s="346" t="s">
        <v>101</v>
      </c>
      <c r="G3543" s="350" t="s">
        <v>576</v>
      </c>
      <c r="H3543" s="351">
        <f t="shared" si="60"/>
        <v>2400</v>
      </c>
      <c r="I3543" s="120" t="str">
        <f>IF(OR(D3543&lt;Capa!$A$5,D3543&gt;Capa!$A$7,E3543&lt;Capa!$A$5,E3543&gt;Capa!$A$7,D3543&gt;E3543),"Erro","")</f>
        <v/>
      </c>
    </row>
    <row r="3544" spans="1:9" ht="22.5">
      <c r="A3544" s="345">
        <v>3541</v>
      </c>
      <c r="B3544" s="346" t="s">
        <v>274</v>
      </c>
      <c r="C3544" s="347">
        <v>200</v>
      </c>
      <c r="D3544" s="348">
        <v>45962</v>
      </c>
      <c r="E3544" s="348">
        <v>46296</v>
      </c>
      <c r="F3544" s="346" t="s">
        <v>101</v>
      </c>
      <c r="G3544" s="350" t="s">
        <v>576</v>
      </c>
      <c r="H3544" s="351">
        <f t="shared" si="60"/>
        <v>2400</v>
      </c>
      <c r="I3544" s="120" t="str">
        <f>IF(OR(D3544&lt;Capa!$A$5,D3544&gt;Capa!$A$7,E3544&lt;Capa!$A$5,E3544&gt;Capa!$A$7,D3544&gt;E3544),"Erro","")</f>
        <v/>
      </c>
    </row>
    <row r="3545" spans="1:9" ht="22.5">
      <c r="A3545" s="345">
        <v>3542</v>
      </c>
      <c r="B3545" s="346" t="s">
        <v>274</v>
      </c>
      <c r="C3545" s="347">
        <v>200</v>
      </c>
      <c r="D3545" s="348">
        <v>46327</v>
      </c>
      <c r="E3545" s="348">
        <v>46661</v>
      </c>
      <c r="F3545" s="346" t="s">
        <v>101</v>
      </c>
      <c r="G3545" s="350" t="s">
        <v>576</v>
      </c>
      <c r="H3545" s="351">
        <f t="shared" si="60"/>
        <v>2400</v>
      </c>
      <c r="I3545" s="120" t="str">
        <f>IF(OR(D3545&lt;Capa!$A$5,D3545&gt;Capa!$A$7,E3545&lt;Capa!$A$5,E3545&gt;Capa!$A$7,D3545&gt;E3545),"Erro","")</f>
        <v/>
      </c>
    </row>
    <row r="3546" spans="1:9" ht="22.5">
      <c r="A3546" s="345">
        <v>3543</v>
      </c>
      <c r="B3546" s="346" t="s">
        <v>274</v>
      </c>
      <c r="C3546" s="347">
        <v>200</v>
      </c>
      <c r="D3546" s="348">
        <v>46692</v>
      </c>
      <c r="E3546" s="348">
        <v>47058</v>
      </c>
      <c r="F3546" s="346" t="s">
        <v>101</v>
      </c>
      <c r="G3546" s="350" t="s">
        <v>576</v>
      </c>
      <c r="H3546" s="351">
        <f t="shared" si="60"/>
        <v>2600</v>
      </c>
      <c r="I3546" s="120" t="str">
        <f>IF(OR(D3546&lt;Capa!$A$5,D3546&gt;Capa!$A$7,E3546&lt;Capa!$A$5,E3546&gt;Capa!$A$7,D3546&gt;E3546),"Erro","")</f>
        <v/>
      </c>
    </row>
    <row r="3547" spans="1:9" ht="22.5">
      <c r="A3547" s="345">
        <v>3544</v>
      </c>
      <c r="B3547" s="346" t="s">
        <v>654</v>
      </c>
      <c r="C3547" s="347">
        <v>250</v>
      </c>
      <c r="D3547" s="348">
        <v>45261</v>
      </c>
      <c r="E3547" s="348">
        <v>47058</v>
      </c>
      <c r="F3547" s="346" t="s">
        <v>101</v>
      </c>
      <c r="G3547" s="350" t="s">
        <v>735</v>
      </c>
      <c r="H3547" s="351">
        <f t="shared" si="60"/>
        <v>15000</v>
      </c>
      <c r="I3547" s="120" t="str">
        <f>IF(OR(D3547&lt;Capa!$A$5,D3547&gt;Capa!$A$7,E3547&lt;Capa!$A$5,E3547&gt;Capa!$A$7,D3547&gt;E3547),"Erro","")</f>
        <v/>
      </c>
    </row>
    <row r="3548" spans="1:9" ht="22.5">
      <c r="A3548" s="345">
        <v>3545</v>
      </c>
      <c r="B3548" s="346" t="s">
        <v>276</v>
      </c>
      <c r="C3548" s="347">
        <v>350</v>
      </c>
      <c r="D3548" s="348">
        <v>45261</v>
      </c>
      <c r="E3548" s="348">
        <v>47058</v>
      </c>
      <c r="F3548" s="346" t="s">
        <v>101</v>
      </c>
      <c r="G3548" s="350" t="s">
        <v>577</v>
      </c>
      <c r="H3548" s="351">
        <f t="shared" si="60"/>
        <v>21000</v>
      </c>
      <c r="I3548" s="120" t="str">
        <f>IF(OR(D3548&lt;Capa!$A$5,D3548&gt;Capa!$A$7,E3548&lt;Capa!$A$5,E3548&gt;Capa!$A$7,D3548&gt;E3548),"Erro","")</f>
        <v/>
      </c>
    </row>
    <row r="3549" spans="1:9" ht="45">
      <c r="A3549" s="345">
        <v>3546</v>
      </c>
      <c r="B3549" s="346" t="s">
        <v>278</v>
      </c>
      <c r="C3549" s="347">
        <v>5500</v>
      </c>
      <c r="D3549" s="348">
        <v>45261</v>
      </c>
      <c r="E3549" s="348">
        <v>47058</v>
      </c>
      <c r="F3549" s="346" t="s">
        <v>101</v>
      </c>
      <c r="G3549" s="350" t="s">
        <v>578</v>
      </c>
      <c r="H3549" s="351">
        <f t="shared" si="60"/>
        <v>330000</v>
      </c>
      <c r="I3549" s="120" t="str">
        <f>IF(OR(D3549&lt;Capa!$A$5,D3549&gt;Capa!$A$7,E3549&lt;Capa!$A$5,E3549&gt;Capa!$A$7,D3549&gt;E3549),"Erro","")</f>
        <v/>
      </c>
    </row>
    <row r="3550" spans="1:9">
      <c r="A3550" s="345">
        <v>3547</v>
      </c>
      <c r="B3550" s="346" t="s">
        <v>280</v>
      </c>
      <c r="C3550" s="347">
        <v>600</v>
      </c>
      <c r="D3550" s="348">
        <v>45261</v>
      </c>
      <c r="E3550" s="348">
        <v>47058</v>
      </c>
      <c r="F3550" s="346" t="s">
        <v>101</v>
      </c>
      <c r="G3550" s="350" t="s">
        <v>579</v>
      </c>
      <c r="H3550" s="351">
        <f t="shared" si="60"/>
        <v>36000</v>
      </c>
      <c r="I3550" s="120" t="str">
        <f>IF(OR(D3550&lt;Capa!$A$5,D3550&gt;Capa!$A$7,E3550&lt;Capa!$A$5,E3550&gt;Capa!$A$7,D3550&gt;E3550),"Erro","")</f>
        <v/>
      </c>
    </row>
    <row r="3551" spans="1:9" ht="33.75">
      <c r="A3551" s="345">
        <v>3548</v>
      </c>
      <c r="B3551" s="346" t="s">
        <v>282</v>
      </c>
      <c r="C3551" s="347">
        <v>750</v>
      </c>
      <c r="D3551" s="348">
        <v>45261</v>
      </c>
      <c r="E3551" s="348">
        <v>45566</v>
      </c>
      <c r="F3551" s="346" t="s">
        <v>101</v>
      </c>
      <c r="G3551" s="350" t="s">
        <v>580</v>
      </c>
      <c r="H3551" s="351">
        <f t="shared" si="60"/>
        <v>8250</v>
      </c>
      <c r="I3551" s="120" t="str">
        <f>IF(OR(D3551&lt;Capa!$A$5,D3551&gt;Capa!$A$7,E3551&lt;Capa!$A$5,E3551&gt;Capa!$A$7,D3551&gt;E3551),"Erro","")</f>
        <v/>
      </c>
    </row>
    <row r="3552" spans="1:9" ht="33.75">
      <c r="A3552" s="345">
        <v>3549</v>
      </c>
      <c r="B3552" s="346" t="s">
        <v>282</v>
      </c>
      <c r="C3552" s="347">
        <v>750</v>
      </c>
      <c r="D3552" s="348">
        <v>45597</v>
      </c>
      <c r="E3552" s="348">
        <v>45931</v>
      </c>
      <c r="F3552" s="346" t="s">
        <v>101</v>
      </c>
      <c r="G3552" s="350" t="s">
        <v>580</v>
      </c>
      <c r="H3552" s="351">
        <f t="shared" si="60"/>
        <v>9000</v>
      </c>
      <c r="I3552" s="120" t="str">
        <f>IF(OR(D3552&lt;Capa!$A$5,D3552&gt;Capa!$A$7,E3552&lt;Capa!$A$5,E3552&gt;Capa!$A$7,D3552&gt;E3552),"Erro","")</f>
        <v/>
      </c>
    </row>
    <row r="3553" spans="1:9" ht="33.75">
      <c r="A3553" s="345">
        <v>3550</v>
      </c>
      <c r="B3553" s="346" t="s">
        <v>282</v>
      </c>
      <c r="C3553" s="347">
        <v>750</v>
      </c>
      <c r="D3553" s="348">
        <v>45962</v>
      </c>
      <c r="E3553" s="348">
        <v>46296</v>
      </c>
      <c r="F3553" s="346" t="s">
        <v>101</v>
      </c>
      <c r="G3553" s="350" t="s">
        <v>580</v>
      </c>
      <c r="H3553" s="351">
        <f t="shared" si="60"/>
        <v>9000</v>
      </c>
      <c r="I3553" s="120" t="str">
        <f>IF(OR(D3553&lt;Capa!$A$5,D3553&gt;Capa!$A$7,E3553&lt;Capa!$A$5,E3553&gt;Capa!$A$7,D3553&gt;E3553),"Erro","")</f>
        <v/>
      </c>
    </row>
    <row r="3554" spans="1:9" ht="33.75">
      <c r="A3554" s="345">
        <v>3551</v>
      </c>
      <c r="B3554" s="346" t="s">
        <v>282</v>
      </c>
      <c r="C3554" s="347">
        <v>750</v>
      </c>
      <c r="D3554" s="348">
        <v>46327</v>
      </c>
      <c r="E3554" s="348">
        <v>46661</v>
      </c>
      <c r="F3554" s="346" t="s">
        <v>101</v>
      </c>
      <c r="G3554" s="350" t="s">
        <v>580</v>
      </c>
      <c r="H3554" s="351">
        <f t="shared" si="60"/>
        <v>9000</v>
      </c>
      <c r="I3554" s="120" t="str">
        <f>IF(OR(D3554&lt;Capa!$A$5,D3554&gt;Capa!$A$7,E3554&lt;Capa!$A$5,E3554&gt;Capa!$A$7,D3554&gt;E3554),"Erro","")</f>
        <v/>
      </c>
    </row>
    <row r="3555" spans="1:9" ht="33.75">
      <c r="A3555" s="345">
        <v>3552</v>
      </c>
      <c r="B3555" s="346" t="s">
        <v>282</v>
      </c>
      <c r="C3555" s="347">
        <v>750</v>
      </c>
      <c r="D3555" s="348">
        <v>46692</v>
      </c>
      <c r="E3555" s="348">
        <v>47058</v>
      </c>
      <c r="F3555" s="346" t="s">
        <v>101</v>
      </c>
      <c r="G3555" s="350" t="s">
        <v>580</v>
      </c>
      <c r="H3555" s="351">
        <f t="shared" si="60"/>
        <v>9750</v>
      </c>
      <c r="I3555" s="120" t="str">
        <f>IF(OR(D3555&lt;Capa!$A$5,D3555&gt;Capa!$A$7,E3555&lt;Capa!$A$5,E3555&gt;Capa!$A$7,D3555&gt;E3555),"Erro","")</f>
        <v/>
      </c>
    </row>
    <row r="3556" spans="1:9" ht="22.5">
      <c r="A3556" s="345">
        <v>3553</v>
      </c>
      <c r="B3556" s="346" t="s">
        <v>284</v>
      </c>
      <c r="C3556" s="347">
        <v>10000</v>
      </c>
      <c r="D3556" s="348">
        <v>45292</v>
      </c>
      <c r="E3556" s="348">
        <v>45292</v>
      </c>
      <c r="F3556" s="346" t="s">
        <v>101</v>
      </c>
      <c r="G3556" s="350" t="s">
        <v>581</v>
      </c>
      <c r="H3556" s="351">
        <f t="shared" si="60"/>
        <v>10000</v>
      </c>
      <c r="I3556" s="120" t="str">
        <f>IF(OR(D3556&lt;Capa!$A$5,D3556&gt;Capa!$A$7,E3556&lt;Capa!$A$5,E3556&gt;Capa!$A$7,D3556&gt;E3556),"Erro","")</f>
        <v/>
      </c>
    </row>
    <row r="3557" spans="1:9" ht="22.5">
      <c r="A3557" s="345">
        <v>3554</v>
      </c>
      <c r="B3557" s="346" t="s">
        <v>284</v>
      </c>
      <c r="C3557" s="347">
        <v>1700</v>
      </c>
      <c r="D3557" s="348">
        <v>45292</v>
      </c>
      <c r="E3557" s="348">
        <v>45627</v>
      </c>
      <c r="F3557" s="346" t="s">
        <v>101</v>
      </c>
      <c r="G3557" s="350" t="s">
        <v>581</v>
      </c>
      <c r="H3557" s="351">
        <f t="shared" si="60"/>
        <v>20400</v>
      </c>
      <c r="I3557" s="120" t="str">
        <f>IF(OR(D3557&lt;Capa!$A$5,D3557&gt;Capa!$A$7,E3557&lt;Capa!$A$5,E3557&gt;Capa!$A$7,D3557&gt;E3557),"Erro","")</f>
        <v/>
      </c>
    </row>
    <row r="3558" spans="1:9" ht="22.5">
      <c r="A3558" s="345">
        <v>3555</v>
      </c>
      <c r="B3558" s="346" t="s">
        <v>284</v>
      </c>
      <c r="C3558" s="347">
        <v>1700</v>
      </c>
      <c r="D3558" s="348">
        <v>45689</v>
      </c>
      <c r="E3558" s="348">
        <v>45992</v>
      </c>
      <c r="F3558" s="346" t="s">
        <v>101</v>
      </c>
      <c r="G3558" s="350" t="s">
        <v>581</v>
      </c>
      <c r="H3558" s="351">
        <f t="shared" si="60"/>
        <v>18700</v>
      </c>
      <c r="I3558" s="120" t="str">
        <f>IF(OR(D3558&lt;Capa!$A$5,D3558&gt;Capa!$A$7,E3558&lt;Capa!$A$5,E3558&gt;Capa!$A$7,D3558&gt;E3558),"Erro","")</f>
        <v/>
      </c>
    </row>
    <row r="3559" spans="1:9" ht="22.5">
      <c r="A3559" s="345">
        <v>3556</v>
      </c>
      <c r="B3559" s="346" t="s">
        <v>284</v>
      </c>
      <c r="C3559" s="347">
        <v>1700</v>
      </c>
      <c r="D3559" s="348">
        <v>46327</v>
      </c>
      <c r="E3559" s="348">
        <v>46661</v>
      </c>
      <c r="F3559" s="346" t="s">
        <v>101</v>
      </c>
      <c r="G3559" s="350" t="s">
        <v>581</v>
      </c>
      <c r="H3559" s="351">
        <f t="shared" si="60"/>
        <v>20400</v>
      </c>
      <c r="I3559" s="120" t="str">
        <f>IF(OR(D3559&lt;Capa!$A$5,D3559&gt;Capa!$A$7,E3559&lt;Capa!$A$5,E3559&gt;Capa!$A$7,D3559&gt;E3559),"Erro","")</f>
        <v/>
      </c>
    </row>
    <row r="3560" spans="1:9" ht="22.5">
      <c r="A3560" s="345">
        <v>3557</v>
      </c>
      <c r="B3560" s="346" t="s">
        <v>284</v>
      </c>
      <c r="C3560" s="347">
        <v>1700</v>
      </c>
      <c r="D3560" s="348">
        <v>46692</v>
      </c>
      <c r="E3560" s="348">
        <v>47058</v>
      </c>
      <c r="F3560" s="346" t="s">
        <v>101</v>
      </c>
      <c r="G3560" s="350" t="s">
        <v>581</v>
      </c>
      <c r="H3560" s="351">
        <f t="shared" ref="H3560:H3632" si="61">IFERROR((DATEDIF(D3560,E3560,"M")+1)*C3560,0)</f>
        <v>22100</v>
      </c>
      <c r="I3560" s="120" t="str">
        <f>IF(OR(D3560&lt;Capa!$A$5,D3560&gt;Capa!$A$7,E3560&lt;Capa!$A$5,E3560&gt;Capa!$A$7,D3560&gt;E3560),"Erro","")</f>
        <v/>
      </c>
    </row>
    <row r="3561" spans="1:9" ht="33.75">
      <c r="A3561" s="345">
        <v>3558</v>
      </c>
      <c r="B3561" s="346" t="s">
        <v>288</v>
      </c>
      <c r="C3561" s="347">
        <v>1500</v>
      </c>
      <c r="D3561" s="348">
        <v>45261</v>
      </c>
      <c r="E3561" s="348">
        <v>47058</v>
      </c>
      <c r="F3561" s="346" t="s">
        <v>101</v>
      </c>
      <c r="G3561" s="350" t="s">
        <v>582</v>
      </c>
      <c r="H3561" s="351">
        <f>IFERROR((DATEDIF(D3561,E3561,"M")+1)*C3561,0)</f>
        <v>90000</v>
      </c>
      <c r="I3561" s="120" t="str">
        <f>IF(OR(D3561&lt;Capa!$A$5,D3561&gt;Capa!$A$7,E3561&lt;Capa!$A$5,E3561&gt;Capa!$A$7,D3561&gt;E3561),"Erro","")</f>
        <v/>
      </c>
    </row>
    <row r="3562" spans="1:9" ht="33.75">
      <c r="A3562" s="345">
        <v>3559</v>
      </c>
      <c r="B3562" s="346" t="s">
        <v>290</v>
      </c>
      <c r="C3562" s="347">
        <v>1200</v>
      </c>
      <c r="D3562" s="348">
        <v>45261</v>
      </c>
      <c r="E3562" s="348">
        <v>47058</v>
      </c>
      <c r="F3562" s="346" t="s">
        <v>101</v>
      </c>
      <c r="G3562" s="350" t="s">
        <v>582</v>
      </c>
      <c r="H3562" s="351">
        <f>IFERROR((DATEDIF(D3562,E3562,"M")+1)*C3562,0)</f>
        <v>72000</v>
      </c>
      <c r="I3562" s="120" t="str">
        <f>IF(OR(D3562&lt;Capa!$A$5,D3562&gt;Capa!$A$7,E3562&lt;Capa!$A$5,E3562&gt;Capa!$A$7,D3562&gt;E3562),"Erro","")</f>
        <v/>
      </c>
    </row>
    <row r="3563" spans="1:9" ht="33.75">
      <c r="A3563" s="345">
        <v>3560</v>
      </c>
      <c r="B3563" s="346" t="s">
        <v>292</v>
      </c>
      <c r="C3563" s="347">
        <v>1500</v>
      </c>
      <c r="D3563" s="348">
        <v>45261</v>
      </c>
      <c r="E3563" s="348">
        <v>47058</v>
      </c>
      <c r="F3563" s="346" t="s">
        <v>101</v>
      </c>
      <c r="G3563" s="350" t="s">
        <v>582</v>
      </c>
      <c r="H3563" s="351">
        <f t="shared" si="61"/>
        <v>90000</v>
      </c>
      <c r="I3563" s="120" t="str">
        <f>IF(OR(D3563&lt;Capa!$A$5,D3563&gt;Capa!$A$7,E3563&lt;Capa!$A$5,E3563&gt;Capa!$A$7,D3563&gt;E3563),"Erro","")</f>
        <v/>
      </c>
    </row>
    <row r="3564" spans="1:9" ht="56.25">
      <c r="A3564" s="345">
        <v>3561</v>
      </c>
      <c r="B3564" s="346" t="s">
        <v>296</v>
      </c>
      <c r="C3564" s="347">
        <v>100</v>
      </c>
      <c r="D3564" s="348">
        <v>45261</v>
      </c>
      <c r="E3564" s="348">
        <v>47058</v>
      </c>
      <c r="F3564" s="346" t="s">
        <v>101</v>
      </c>
      <c r="G3564" s="350" t="s">
        <v>583</v>
      </c>
      <c r="H3564" s="351">
        <f t="shared" si="61"/>
        <v>6000</v>
      </c>
      <c r="I3564" s="120" t="str">
        <f>IF(OR(D3564&lt;Capa!$A$5,D3564&gt;Capa!$A$7,E3564&lt;Capa!$A$5,E3564&gt;Capa!$A$7,D3564&gt;E3564),"Erro","")</f>
        <v/>
      </c>
    </row>
    <row r="3565" spans="1:9" ht="45">
      <c r="A3565" s="345">
        <v>3562</v>
      </c>
      <c r="B3565" s="346" t="s">
        <v>298</v>
      </c>
      <c r="C3565" s="347">
        <v>6600</v>
      </c>
      <c r="D3565" s="348">
        <v>45261</v>
      </c>
      <c r="E3565" s="348">
        <v>45566</v>
      </c>
      <c r="F3565" s="346" t="s">
        <v>101</v>
      </c>
      <c r="G3565" s="350" t="s">
        <v>584</v>
      </c>
      <c r="H3565" s="351">
        <f t="shared" si="61"/>
        <v>72600</v>
      </c>
      <c r="I3565" s="120" t="str">
        <f>IF(OR(D3565&lt;Capa!$A$5,D3565&gt;Capa!$A$7,E3565&lt;Capa!$A$5,E3565&gt;Capa!$A$7,D3565&gt;E3565),"Erro","")</f>
        <v/>
      </c>
    </row>
    <row r="3566" spans="1:9" ht="45">
      <c r="A3566" s="345">
        <v>3563</v>
      </c>
      <c r="B3566" s="346" t="s">
        <v>298</v>
      </c>
      <c r="C3566" s="347">
        <v>6985.44</v>
      </c>
      <c r="D3566" s="348">
        <v>45597</v>
      </c>
      <c r="E3566" s="348">
        <v>45931</v>
      </c>
      <c r="F3566" s="346" t="s">
        <v>101</v>
      </c>
      <c r="G3566" s="350" t="s">
        <v>584</v>
      </c>
      <c r="H3566" s="351">
        <f t="shared" si="61"/>
        <v>83825.279999999999</v>
      </c>
      <c r="I3566" s="120" t="str">
        <f>IF(OR(D3566&lt;Capa!$A$5,D3566&gt;Capa!$A$7,E3566&lt;Capa!$A$5,E3566&gt;Capa!$A$7,D3566&gt;E3566),"Erro","")</f>
        <v/>
      </c>
    </row>
    <row r="3567" spans="1:9" ht="45">
      <c r="A3567" s="345">
        <v>3564</v>
      </c>
      <c r="B3567" s="346" t="s">
        <v>298</v>
      </c>
      <c r="C3567" s="347">
        <v>7393.38</v>
      </c>
      <c r="D3567" s="348">
        <v>45962</v>
      </c>
      <c r="E3567" s="348">
        <v>46296</v>
      </c>
      <c r="F3567" s="346" t="s">
        <v>101</v>
      </c>
      <c r="G3567" s="350" t="s">
        <v>584</v>
      </c>
      <c r="H3567" s="351">
        <f t="shared" si="61"/>
        <v>88720.56</v>
      </c>
      <c r="I3567" s="120" t="str">
        <f>IF(OR(D3567&lt;Capa!$A$5,D3567&gt;Capa!$A$7,E3567&lt;Capa!$A$5,E3567&gt;Capa!$A$7,D3567&gt;E3567),"Erro","")</f>
        <v/>
      </c>
    </row>
    <row r="3568" spans="1:9" ht="45">
      <c r="A3568" s="345">
        <v>3565</v>
      </c>
      <c r="B3568" s="346" t="s">
        <v>298</v>
      </c>
      <c r="C3568" s="347">
        <v>7825.16</v>
      </c>
      <c r="D3568" s="348">
        <v>46327</v>
      </c>
      <c r="E3568" s="348">
        <v>46661</v>
      </c>
      <c r="F3568" s="346" t="s">
        <v>101</v>
      </c>
      <c r="G3568" s="350" t="s">
        <v>584</v>
      </c>
      <c r="H3568" s="351">
        <f t="shared" si="61"/>
        <v>93901.92</v>
      </c>
      <c r="I3568" s="120" t="str">
        <f>IF(OR(D3568&lt;Capa!$A$5,D3568&gt;Capa!$A$7,E3568&lt;Capa!$A$5,E3568&gt;Capa!$A$7,D3568&gt;E3568),"Erro","")</f>
        <v/>
      </c>
    </row>
    <row r="3569" spans="1:9" ht="45">
      <c r="A3569" s="345">
        <v>3566</v>
      </c>
      <c r="B3569" s="346" t="s">
        <v>298</v>
      </c>
      <c r="C3569" s="347">
        <v>8282.15</v>
      </c>
      <c r="D3569" s="348">
        <v>46692</v>
      </c>
      <c r="E3569" s="348">
        <v>47058</v>
      </c>
      <c r="F3569" s="346" t="s">
        <v>101</v>
      </c>
      <c r="G3569" s="350" t="s">
        <v>584</v>
      </c>
      <c r="H3569" s="351">
        <f t="shared" si="61"/>
        <v>107667.95</v>
      </c>
      <c r="I3569" s="120" t="str">
        <f>IF(OR(D3569&lt;Capa!$A$5,D3569&gt;Capa!$A$7,E3569&lt;Capa!$A$5,E3569&gt;Capa!$A$7,D3569&gt;E3569),"Erro","")</f>
        <v/>
      </c>
    </row>
    <row r="3570" spans="1:9" ht="22.5">
      <c r="A3570" s="345">
        <v>3567</v>
      </c>
      <c r="B3570" s="346" t="s">
        <v>302</v>
      </c>
      <c r="C3570" s="347">
        <v>200</v>
      </c>
      <c r="D3570" s="348">
        <v>45261</v>
      </c>
      <c r="E3570" s="348">
        <v>47058</v>
      </c>
      <c r="F3570" s="346" t="s">
        <v>101</v>
      </c>
      <c r="G3570" s="350" t="s">
        <v>585</v>
      </c>
      <c r="H3570" s="351">
        <f t="shared" si="61"/>
        <v>12000</v>
      </c>
      <c r="I3570" s="120" t="str">
        <f>IF(OR(D3570&lt;Capa!$A$5,D3570&gt;Capa!$A$7,E3570&lt;Capa!$A$5,E3570&gt;Capa!$A$7,D3570&gt;E3570),"Erro","")</f>
        <v/>
      </c>
    </row>
    <row r="3571" spans="1:9" ht="45">
      <c r="A3571" s="345">
        <v>3568</v>
      </c>
      <c r="B3571" s="346" t="s">
        <v>304</v>
      </c>
      <c r="C3571" s="347">
        <v>3480</v>
      </c>
      <c r="D3571" s="348">
        <v>45261</v>
      </c>
      <c r="E3571" s="348">
        <v>45566</v>
      </c>
      <c r="F3571" s="346" t="s">
        <v>101</v>
      </c>
      <c r="G3571" s="350" t="s">
        <v>586</v>
      </c>
      <c r="H3571" s="351">
        <f t="shared" si="61"/>
        <v>38280</v>
      </c>
      <c r="I3571" s="120" t="str">
        <f>IF(OR(D3571&lt;Capa!$A$5,D3571&gt;Capa!$A$7,E3571&lt;Capa!$A$5,E3571&gt;Capa!$A$7,D3571&gt;E3571),"Erro","")</f>
        <v/>
      </c>
    </row>
    <row r="3572" spans="1:9" ht="45">
      <c r="A3572" s="345">
        <v>3569</v>
      </c>
      <c r="B3572" s="346" t="s">
        <v>304</v>
      </c>
      <c r="C3572" s="347">
        <v>3683.23</v>
      </c>
      <c r="D3572" s="348">
        <v>45597</v>
      </c>
      <c r="E3572" s="348">
        <v>45931</v>
      </c>
      <c r="F3572" s="346" t="s">
        <v>101</v>
      </c>
      <c r="G3572" s="350" t="s">
        <v>586</v>
      </c>
      <c r="H3572" s="351">
        <f t="shared" si="61"/>
        <v>44198.76</v>
      </c>
      <c r="I3572" s="120" t="str">
        <f>IF(OR(D3572&lt;Capa!$A$5,D3572&gt;Capa!$A$7,E3572&lt;Capa!$A$5,E3572&gt;Capa!$A$7,D3572&gt;E3572),"Erro","")</f>
        <v/>
      </c>
    </row>
    <row r="3573" spans="1:9" ht="45">
      <c r="A3573" s="345">
        <v>3570</v>
      </c>
      <c r="B3573" s="346" t="s">
        <v>304</v>
      </c>
      <c r="C3573" s="347">
        <v>3898.33</v>
      </c>
      <c r="D3573" s="348">
        <v>45962</v>
      </c>
      <c r="E3573" s="348">
        <v>46296</v>
      </c>
      <c r="F3573" s="346" t="s">
        <v>101</v>
      </c>
      <c r="G3573" s="350" t="s">
        <v>586</v>
      </c>
      <c r="H3573" s="351">
        <f t="shared" si="61"/>
        <v>46779.96</v>
      </c>
      <c r="I3573" s="120" t="str">
        <f>IF(OR(D3573&lt;Capa!$A$5,D3573&gt;Capa!$A$7,E3573&lt;Capa!$A$5,E3573&gt;Capa!$A$7,D3573&gt;E3573),"Erro","")</f>
        <v/>
      </c>
    </row>
    <row r="3574" spans="1:9" ht="45">
      <c r="A3574" s="345">
        <v>3571</v>
      </c>
      <c r="B3574" s="346" t="s">
        <v>304</v>
      </c>
      <c r="C3574" s="347">
        <v>4125.99</v>
      </c>
      <c r="D3574" s="348">
        <v>46327</v>
      </c>
      <c r="E3574" s="348">
        <v>46661</v>
      </c>
      <c r="F3574" s="346" t="s">
        <v>101</v>
      </c>
      <c r="G3574" s="350" t="s">
        <v>586</v>
      </c>
      <c r="H3574" s="351">
        <f t="shared" si="61"/>
        <v>49511.88</v>
      </c>
      <c r="I3574" s="120" t="str">
        <f>IF(OR(D3574&lt;Capa!$A$5,D3574&gt;Capa!$A$7,E3574&lt;Capa!$A$5,E3574&gt;Capa!$A$7,D3574&gt;E3574),"Erro","")</f>
        <v/>
      </c>
    </row>
    <row r="3575" spans="1:9" ht="45">
      <c r="A3575" s="345">
        <v>3572</v>
      </c>
      <c r="B3575" s="346" t="s">
        <v>304</v>
      </c>
      <c r="C3575" s="347">
        <v>4366.95</v>
      </c>
      <c r="D3575" s="348">
        <v>46692</v>
      </c>
      <c r="E3575" s="348">
        <v>47058</v>
      </c>
      <c r="F3575" s="346" t="s">
        <v>101</v>
      </c>
      <c r="G3575" s="350" t="s">
        <v>586</v>
      </c>
      <c r="H3575" s="351">
        <f t="shared" si="61"/>
        <v>56770.35</v>
      </c>
      <c r="I3575" s="120" t="str">
        <f>IF(OR(D3575&lt;Capa!$A$5,D3575&gt;Capa!$A$7,E3575&lt;Capa!$A$5,E3575&gt;Capa!$A$7,D3575&gt;E3575),"Erro","")</f>
        <v/>
      </c>
    </row>
    <row r="3576" spans="1:9" ht="56.25">
      <c r="A3576" s="345">
        <v>3573</v>
      </c>
      <c r="B3576" s="346" t="s">
        <v>306</v>
      </c>
      <c r="C3576" s="347">
        <v>100</v>
      </c>
      <c r="D3576" s="348">
        <v>45261</v>
      </c>
      <c r="E3576" s="348">
        <v>47058</v>
      </c>
      <c r="F3576" s="346" t="s">
        <v>101</v>
      </c>
      <c r="G3576" s="350" t="s">
        <v>587</v>
      </c>
      <c r="H3576" s="351">
        <f t="shared" si="61"/>
        <v>6000</v>
      </c>
      <c r="I3576" s="120" t="str">
        <f>IF(OR(D3576&lt;Capa!$A$5,D3576&gt;Capa!$A$7,E3576&lt;Capa!$A$5,E3576&gt;Capa!$A$7,D3576&gt;E3576),"Erro","")</f>
        <v/>
      </c>
    </row>
    <row r="3577" spans="1:9" ht="33.75">
      <c r="A3577" s="345">
        <v>3574</v>
      </c>
      <c r="B3577" s="346" t="s">
        <v>310</v>
      </c>
      <c r="C3577" s="347">
        <v>2475</v>
      </c>
      <c r="D3577" s="348">
        <v>45292</v>
      </c>
      <c r="E3577" s="348">
        <v>45383</v>
      </c>
      <c r="F3577" s="346" t="s">
        <v>101</v>
      </c>
      <c r="G3577" s="350" t="s">
        <v>588</v>
      </c>
      <c r="H3577" s="351">
        <f t="shared" si="61"/>
        <v>9900</v>
      </c>
      <c r="I3577" s="120" t="str">
        <f>IF(OR(D3577&lt;Capa!$A$5,D3577&gt;Capa!$A$7,E3577&lt;Capa!$A$5,E3577&gt;Capa!$A$7,D3577&gt;E3577),"Erro","")</f>
        <v/>
      </c>
    </row>
    <row r="3578" spans="1:9" ht="33.75">
      <c r="A3578" s="345">
        <v>3575</v>
      </c>
      <c r="B3578" s="346" t="s">
        <v>310</v>
      </c>
      <c r="C3578" s="347">
        <v>2619.54</v>
      </c>
      <c r="D3578" s="348">
        <v>45658</v>
      </c>
      <c r="E3578" s="348">
        <v>45748</v>
      </c>
      <c r="F3578" s="346" t="s">
        <v>101</v>
      </c>
      <c r="G3578" s="350" t="s">
        <v>588</v>
      </c>
      <c r="H3578" s="351">
        <f t="shared" si="61"/>
        <v>10478.16</v>
      </c>
      <c r="I3578" s="120" t="str">
        <f>IF(OR(D3578&lt;Capa!$A$5,D3578&gt;Capa!$A$7,E3578&lt;Capa!$A$5,E3578&gt;Capa!$A$7,D3578&gt;E3578),"Erro","")</f>
        <v/>
      </c>
    </row>
    <row r="3579" spans="1:9" ht="33.75">
      <c r="A3579" s="345">
        <v>3576</v>
      </c>
      <c r="B3579" s="346" t="s">
        <v>310</v>
      </c>
      <c r="C3579" s="347">
        <v>2772.52</v>
      </c>
      <c r="D3579" s="348">
        <v>46023</v>
      </c>
      <c r="E3579" s="348">
        <v>46113</v>
      </c>
      <c r="F3579" s="346" t="s">
        <v>101</v>
      </c>
      <c r="G3579" s="350" t="s">
        <v>588</v>
      </c>
      <c r="H3579" s="351">
        <f t="shared" si="61"/>
        <v>11090.08</v>
      </c>
      <c r="I3579" s="120" t="str">
        <f>IF(OR(D3579&lt;Capa!$A$5,D3579&gt;Capa!$A$7,E3579&lt;Capa!$A$5,E3579&gt;Capa!$A$7,D3579&gt;E3579),"Erro","")</f>
        <v/>
      </c>
    </row>
    <row r="3580" spans="1:9" ht="33.75">
      <c r="A3580" s="345">
        <v>3577</v>
      </c>
      <c r="B3580" s="346" t="s">
        <v>310</v>
      </c>
      <c r="C3580" s="347">
        <v>2934.43</v>
      </c>
      <c r="D3580" s="348">
        <v>46388</v>
      </c>
      <c r="E3580" s="348">
        <v>46478</v>
      </c>
      <c r="F3580" s="346" t="s">
        <v>101</v>
      </c>
      <c r="G3580" s="350" t="s">
        <v>588</v>
      </c>
      <c r="H3580" s="351">
        <f t="shared" si="61"/>
        <v>11737.72</v>
      </c>
      <c r="I3580" s="120" t="str">
        <f>IF(OR(D3580&lt;Capa!$A$5,D3580&gt;Capa!$A$7,E3580&lt;Capa!$A$5,E3580&gt;Capa!$A$7,D3580&gt;E3580),"Erro","")</f>
        <v/>
      </c>
    </row>
    <row r="3581" spans="1:9" ht="33.75">
      <c r="A3581" s="345">
        <v>3578</v>
      </c>
      <c r="B3581" s="346" t="s">
        <v>310</v>
      </c>
      <c r="C3581" s="347">
        <v>3105.8</v>
      </c>
      <c r="D3581" s="348">
        <v>46753</v>
      </c>
      <c r="E3581" s="348">
        <v>46844</v>
      </c>
      <c r="F3581" s="346" t="s">
        <v>101</v>
      </c>
      <c r="G3581" s="350" t="s">
        <v>588</v>
      </c>
      <c r="H3581" s="351">
        <f t="shared" si="61"/>
        <v>12423.2</v>
      </c>
      <c r="I3581" s="120" t="str">
        <f>IF(OR(D3581&lt;Capa!$A$5,D3581&gt;Capa!$A$7,E3581&lt;Capa!$A$5,E3581&gt;Capa!$A$7,D3581&gt;E3581),"Erro","")</f>
        <v/>
      </c>
    </row>
    <row r="3582" spans="1:9" ht="22.5">
      <c r="A3582" s="345">
        <v>3579</v>
      </c>
      <c r="B3582" s="346" t="s">
        <v>308</v>
      </c>
      <c r="C3582" s="347">
        <v>26</v>
      </c>
      <c r="D3582" s="348">
        <v>45292</v>
      </c>
      <c r="E3582" s="348">
        <v>47058</v>
      </c>
      <c r="F3582" s="346" t="s">
        <v>101</v>
      </c>
      <c r="G3582" s="350" t="s">
        <v>713</v>
      </c>
      <c r="H3582" s="351">
        <f t="shared" si="61"/>
        <v>1534</v>
      </c>
      <c r="I3582" s="120" t="str">
        <f>IF(OR(D3582&lt;Capa!$A$5,D3582&gt;Capa!$A$7,E3582&lt;Capa!$A$5,E3582&gt;Capa!$A$7,D3582&gt;E3582),"Erro","")</f>
        <v/>
      </c>
    </row>
    <row r="3583" spans="1:9" ht="33.75">
      <c r="A3583" s="345">
        <v>3580</v>
      </c>
      <c r="B3583" s="346" t="s">
        <v>312</v>
      </c>
      <c r="C3583" s="347">
        <v>720</v>
      </c>
      <c r="D3583" s="348">
        <v>45261</v>
      </c>
      <c r="E3583" s="348">
        <v>45566</v>
      </c>
      <c r="F3583" s="346" t="s">
        <v>101</v>
      </c>
      <c r="G3583" s="350" t="s">
        <v>588</v>
      </c>
      <c r="H3583" s="351">
        <f t="shared" si="61"/>
        <v>7920</v>
      </c>
      <c r="I3583" s="120" t="str">
        <f>IF(OR(D3583&lt;Capa!$A$5,D3583&gt;Capa!$A$7,E3583&lt;Capa!$A$5,E3583&gt;Capa!$A$7,D3583&gt;E3583),"Erro","")</f>
        <v/>
      </c>
    </row>
    <row r="3584" spans="1:9" ht="33.75">
      <c r="A3584" s="345">
        <v>3581</v>
      </c>
      <c r="B3584" s="346" t="s">
        <v>312</v>
      </c>
      <c r="C3584" s="347">
        <v>720</v>
      </c>
      <c r="D3584" s="348">
        <v>45597</v>
      </c>
      <c r="E3584" s="348">
        <v>45931</v>
      </c>
      <c r="F3584" s="346" t="s">
        <v>101</v>
      </c>
      <c r="G3584" s="350" t="s">
        <v>588</v>
      </c>
      <c r="H3584" s="351">
        <f t="shared" si="61"/>
        <v>8640</v>
      </c>
      <c r="I3584" s="120" t="str">
        <f>IF(OR(D3584&lt;Capa!$A$5,D3584&gt;Capa!$A$7,E3584&lt;Capa!$A$5,E3584&gt;Capa!$A$7,D3584&gt;E3584),"Erro","")</f>
        <v/>
      </c>
    </row>
    <row r="3585" spans="1:9" ht="33.75">
      <c r="A3585" s="345">
        <v>3582</v>
      </c>
      <c r="B3585" s="346" t="s">
        <v>312</v>
      </c>
      <c r="C3585" s="347">
        <v>720</v>
      </c>
      <c r="D3585" s="348">
        <v>45962</v>
      </c>
      <c r="E3585" s="348">
        <v>46296</v>
      </c>
      <c r="F3585" s="346" t="s">
        <v>101</v>
      </c>
      <c r="G3585" s="350" t="s">
        <v>588</v>
      </c>
      <c r="H3585" s="351">
        <f t="shared" si="61"/>
        <v>8640</v>
      </c>
      <c r="I3585" s="120" t="str">
        <f>IF(OR(D3585&lt;Capa!$A$5,D3585&gt;Capa!$A$7,E3585&lt;Capa!$A$5,E3585&gt;Capa!$A$7,D3585&gt;E3585),"Erro","")</f>
        <v/>
      </c>
    </row>
    <row r="3586" spans="1:9" ht="33.75">
      <c r="A3586" s="345">
        <v>3583</v>
      </c>
      <c r="B3586" s="346" t="s">
        <v>312</v>
      </c>
      <c r="C3586" s="347">
        <v>720</v>
      </c>
      <c r="D3586" s="348">
        <v>46327</v>
      </c>
      <c r="E3586" s="348">
        <v>46661</v>
      </c>
      <c r="F3586" s="346" t="s">
        <v>101</v>
      </c>
      <c r="G3586" s="350" t="s">
        <v>588</v>
      </c>
      <c r="H3586" s="351">
        <f t="shared" si="61"/>
        <v>8640</v>
      </c>
      <c r="I3586" s="120" t="str">
        <f>IF(OR(D3586&lt;Capa!$A$5,D3586&gt;Capa!$A$7,E3586&lt;Capa!$A$5,E3586&gt;Capa!$A$7,D3586&gt;E3586),"Erro","")</f>
        <v/>
      </c>
    </row>
    <row r="3587" spans="1:9" ht="33.75">
      <c r="A3587" s="345">
        <v>3584</v>
      </c>
      <c r="B3587" s="346" t="s">
        <v>312</v>
      </c>
      <c r="C3587" s="347">
        <v>720</v>
      </c>
      <c r="D3587" s="348">
        <v>46692</v>
      </c>
      <c r="E3587" s="348">
        <v>47058</v>
      </c>
      <c r="F3587" s="346" t="s">
        <v>101</v>
      </c>
      <c r="G3587" s="350" t="s">
        <v>588</v>
      </c>
      <c r="H3587" s="351">
        <f t="shared" si="61"/>
        <v>9360</v>
      </c>
      <c r="I3587" s="120" t="str">
        <f>IF(OR(D3587&lt;Capa!$A$5,D3587&gt;Capa!$A$7,E3587&lt;Capa!$A$5,E3587&gt;Capa!$A$7,D3587&gt;E3587),"Erro","")</f>
        <v/>
      </c>
    </row>
    <row r="3588" spans="1:9" ht="56.25">
      <c r="A3588" s="345">
        <v>3585</v>
      </c>
      <c r="B3588" s="346" t="s">
        <v>314</v>
      </c>
      <c r="C3588" s="347">
        <v>1000</v>
      </c>
      <c r="D3588" s="348">
        <v>45261</v>
      </c>
      <c r="E3588" s="348">
        <v>47058</v>
      </c>
      <c r="F3588" s="346" t="s">
        <v>101</v>
      </c>
      <c r="G3588" s="350" t="s">
        <v>589</v>
      </c>
      <c r="H3588" s="351">
        <f t="shared" si="61"/>
        <v>60000</v>
      </c>
      <c r="I3588" s="120" t="str">
        <f>IF(OR(D3588&lt;Capa!$A$5,D3588&gt;Capa!$A$7,E3588&lt;Capa!$A$5,E3588&gt;Capa!$A$7,D3588&gt;E3588),"Erro","")</f>
        <v/>
      </c>
    </row>
    <row r="3589" spans="1:9" ht="56.25">
      <c r="A3589" s="345">
        <v>3586</v>
      </c>
      <c r="B3589" s="346" t="s">
        <v>316</v>
      </c>
      <c r="C3589" s="347">
        <v>1800</v>
      </c>
      <c r="D3589" s="348">
        <v>45261</v>
      </c>
      <c r="E3589" s="348">
        <v>47058</v>
      </c>
      <c r="F3589" s="346" t="s">
        <v>101</v>
      </c>
      <c r="G3589" s="350" t="s">
        <v>589</v>
      </c>
      <c r="H3589" s="351">
        <f t="shared" si="61"/>
        <v>108000</v>
      </c>
      <c r="I3589" s="120" t="str">
        <f>IF(OR(D3589&lt;Capa!$A$5,D3589&gt;Capa!$A$7,E3589&lt;Capa!$A$5,E3589&gt;Capa!$A$7,D3589&gt;E3589),"Erro","")</f>
        <v/>
      </c>
    </row>
    <row r="3590" spans="1:9" ht="67.5">
      <c r="A3590" s="345">
        <v>3587</v>
      </c>
      <c r="B3590" s="346" t="s">
        <v>318</v>
      </c>
      <c r="C3590" s="347">
        <v>4200</v>
      </c>
      <c r="D3590" s="348">
        <v>45261</v>
      </c>
      <c r="E3590" s="348">
        <v>45566</v>
      </c>
      <c r="F3590" s="346" t="s">
        <v>101</v>
      </c>
      <c r="G3590" s="350" t="s">
        <v>727</v>
      </c>
      <c r="H3590" s="351">
        <f t="shared" si="61"/>
        <v>46200</v>
      </c>
      <c r="I3590" s="120" t="str">
        <f>IF(OR(D3590&lt;Capa!$A$5,D3590&gt;Capa!$A$7,E3590&lt;Capa!$A$5,E3590&gt;Capa!$A$7,D3590&gt;E3590),"Erro","")</f>
        <v/>
      </c>
    </row>
    <row r="3591" spans="1:9" ht="67.5">
      <c r="A3591" s="345">
        <v>3588</v>
      </c>
      <c r="B3591" s="346" t="s">
        <v>318</v>
      </c>
      <c r="C3591" s="347">
        <v>4445.28</v>
      </c>
      <c r="D3591" s="348">
        <v>45597</v>
      </c>
      <c r="E3591" s="348">
        <v>45931</v>
      </c>
      <c r="F3591" s="346" t="s">
        <v>101</v>
      </c>
      <c r="G3591" s="350" t="s">
        <v>727</v>
      </c>
      <c r="H3591" s="351">
        <f t="shared" si="61"/>
        <v>53343.360000000001</v>
      </c>
      <c r="I3591" s="120" t="str">
        <f>IF(OR(D3591&lt;Capa!$A$5,D3591&gt;Capa!$A$7,E3591&lt;Capa!$A$5,E3591&gt;Capa!$A$7,D3591&gt;E3591),"Erro","")</f>
        <v/>
      </c>
    </row>
    <row r="3592" spans="1:9" ht="67.5">
      <c r="A3592" s="345">
        <v>3589</v>
      </c>
      <c r="B3592" s="346" t="s">
        <v>318</v>
      </c>
      <c r="C3592" s="347">
        <v>4704.88</v>
      </c>
      <c r="D3592" s="348">
        <v>45962</v>
      </c>
      <c r="E3592" s="348">
        <v>46296</v>
      </c>
      <c r="F3592" s="346" t="s">
        <v>101</v>
      </c>
      <c r="G3592" s="350" t="s">
        <v>727</v>
      </c>
      <c r="H3592" s="351">
        <f t="shared" si="61"/>
        <v>56458.559999999998</v>
      </c>
      <c r="I3592" s="120" t="str">
        <f>IF(OR(D3592&lt;Capa!$A$5,D3592&gt;Capa!$A$7,E3592&lt;Capa!$A$5,E3592&gt;Capa!$A$7,D3592&gt;E3592),"Erro","")</f>
        <v/>
      </c>
    </row>
    <row r="3593" spans="1:9" ht="67.5">
      <c r="A3593" s="345">
        <v>3590</v>
      </c>
      <c r="B3593" s="346" t="s">
        <v>318</v>
      </c>
      <c r="C3593" s="347">
        <v>4979.6400000000003</v>
      </c>
      <c r="D3593" s="348">
        <v>46327</v>
      </c>
      <c r="E3593" s="348">
        <v>46661</v>
      </c>
      <c r="F3593" s="346" t="s">
        <v>101</v>
      </c>
      <c r="G3593" s="350" t="s">
        <v>727</v>
      </c>
      <c r="H3593" s="351">
        <f t="shared" si="61"/>
        <v>59755.680000000008</v>
      </c>
      <c r="I3593" s="120" t="str">
        <f>IF(OR(D3593&lt;Capa!$A$5,D3593&gt;Capa!$A$7,E3593&lt;Capa!$A$5,E3593&gt;Capa!$A$7,D3593&gt;E3593),"Erro","")</f>
        <v/>
      </c>
    </row>
    <row r="3594" spans="1:9" ht="67.5">
      <c r="A3594" s="345">
        <v>3591</v>
      </c>
      <c r="B3594" s="346" t="s">
        <v>318</v>
      </c>
      <c r="C3594" s="347">
        <v>5270.46</v>
      </c>
      <c r="D3594" s="348">
        <v>46692</v>
      </c>
      <c r="E3594" s="348">
        <v>47058</v>
      </c>
      <c r="F3594" s="346" t="s">
        <v>101</v>
      </c>
      <c r="G3594" s="350" t="s">
        <v>727</v>
      </c>
      <c r="H3594" s="351">
        <f t="shared" si="61"/>
        <v>68515.98</v>
      </c>
      <c r="I3594" s="120" t="str">
        <f>IF(OR(D3594&lt;Capa!$A$5,D3594&gt;Capa!$A$7,E3594&lt;Capa!$A$5,E3594&gt;Capa!$A$7,D3594&gt;E3594),"Erro","")</f>
        <v/>
      </c>
    </row>
    <row r="3595" spans="1:9" ht="67.5">
      <c r="A3595" s="345">
        <v>3592</v>
      </c>
      <c r="B3595" s="346" t="s">
        <v>320</v>
      </c>
      <c r="C3595" s="347">
        <v>123500</v>
      </c>
      <c r="D3595" s="348">
        <v>45261</v>
      </c>
      <c r="E3595" s="348">
        <v>45291</v>
      </c>
      <c r="F3595" s="346" t="s">
        <v>101</v>
      </c>
      <c r="G3595" s="350" t="s">
        <v>736</v>
      </c>
      <c r="H3595" s="351">
        <f t="shared" si="61"/>
        <v>123500</v>
      </c>
      <c r="I3595" s="120" t="str">
        <f>IF(OR(D3595&lt;Capa!$A$5,D3595&gt;Capa!$A$7,E3595&lt;Capa!$A$5,E3595&gt;Capa!$A$7,D3595&gt;E3595),"Erro","")</f>
        <v/>
      </c>
    </row>
    <row r="3596" spans="1:9" ht="56.25">
      <c r="A3596" s="345">
        <v>3593</v>
      </c>
      <c r="B3596" s="346" t="s">
        <v>320</v>
      </c>
      <c r="C3596" s="347">
        <v>10500</v>
      </c>
      <c r="D3596" s="348">
        <v>45352</v>
      </c>
      <c r="E3596" s="348">
        <v>45627</v>
      </c>
      <c r="F3596" s="346" t="s">
        <v>101</v>
      </c>
      <c r="G3596" s="350" t="s">
        <v>737</v>
      </c>
      <c r="H3596" s="351">
        <f t="shared" si="61"/>
        <v>105000</v>
      </c>
      <c r="I3596" s="120" t="str">
        <f>IF(OR(D3596&lt;Capa!$A$5,D3596&gt;Capa!$A$7,E3596&lt;Capa!$A$5,E3596&gt;Capa!$A$7,D3596&gt;E3596),"Erro","")</f>
        <v/>
      </c>
    </row>
    <row r="3597" spans="1:9" ht="56.25">
      <c r="A3597" s="345">
        <v>3594</v>
      </c>
      <c r="B3597" s="346" t="s">
        <v>320</v>
      </c>
      <c r="C3597" s="347">
        <v>11113.2</v>
      </c>
      <c r="D3597" s="348">
        <v>45658</v>
      </c>
      <c r="E3597" s="348">
        <v>45992</v>
      </c>
      <c r="F3597" s="346" t="s">
        <v>101</v>
      </c>
      <c r="G3597" s="350" t="s">
        <v>737</v>
      </c>
      <c r="H3597" s="351">
        <f t="shared" si="61"/>
        <v>133358.40000000002</v>
      </c>
      <c r="I3597" s="120" t="str">
        <f>IF(OR(D3597&lt;Capa!$A$5,D3597&gt;Capa!$A$7,E3597&lt;Capa!$A$5,E3597&gt;Capa!$A$7,D3597&gt;E3597),"Erro","")</f>
        <v/>
      </c>
    </row>
    <row r="3598" spans="1:9" ht="56.25">
      <c r="A3598" s="345">
        <v>3595</v>
      </c>
      <c r="B3598" s="346" t="s">
        <v>320</v>
      </c>
      <c r="C3598" s="347">
        <v>11762.21</v>
      </c>
      <c r="D3598" s="348">
        <v>46023</v>
      </c>
      <c r="E3598" s="348">
        <v>46357</v>
      </c>
      <c r="F3598" s="346" t="s">
        <v>101</v>
      </c>
      <c r="G3598" s="350" t="s">
        <v>737</v>
      </c>
      <c r="H3598" s="351">
        <f t="shared" si="61"/>
        <v>141146.51999999999</v>
      </c>
      <c r="I3598" s="120" t="str">
        <f>IF(OR(D3598&lt;Capa!$A$5,D3598&gt;Capa!$A$7,E3598&lt;Capa!$A$5,E3598&gt;Capa!$A$7,D3598&gt;E3598),"Erro","")</f>
        <v/>
      </c>
    </row>
    <row r="3599" spans="1:9" ht="56.25">
      <c r="A3599" s="345">
        <v>3596</v>
      </c>
      <c r="B3599" s="346" t="s">
        <v>320</v>
      </c>
      <c r="C3599" s="347">
        <v>12449.12</v>
      </c>
      <c r="D3599" s="348">
        <v>46388</v>
      </c>
      <c r="E3599" s="348">
        <v>46722</v>
      </c>
      <c r="F3599" s="346" t="s">
        <v>101</v>
      </c>
      <c r="G3599" s="350" t="s">
        <v>737</v>
      </c>
      <c r="H3599" s="351">
        <f t="shared" si="61"/>
        <v>149389.44</v>
      </c>
      <c r="I3599" s="120" t="str">
        <f>IF(OR(D3599&lt;Capa!$A$5,D3599&gt;Capa!$A$7,E3599&lt;Capa!$A$5,E3599&gt;Capa!$A$7,D3599&gt;E3599),"Erro","")</f>
        <v/>
      </c>
    </row>
    <row r="3600" spans="1:9" ht="56.25">
      <c r="A3600" s="345">
        <v>3597</v>
      </c>
      <c r="B3600" s="346" t="s">
        <v>320</v>
      </c>
      <c r="C3600" s="347">
        <v>13176.15</v>
      </c>
      <c r="D3600" s="348">
        <v>46753</v>
      </c>
      <c r="E3600" s="348">
        <v>47058</v>
      </c>
      <c r="F3600" s="346" t="s">
        <v>101</v>
      </c>
      <c r="G3600" s="350" t="s">
        <v>737</v>
      </c>
      <c r="H3600" s="351">
        <f t="shared" si="61"/>
        <v>144937.65</v>
      </c>
      <c r="I3600" s="120" t="str">
        <f>IF(OR(D3600&lt;Capa!$A$5,D3600&gt;Capa!$A$7,E3600&lt;Capa!$A$5,E3600&gt;Capa!$A$7,D3600&gt;E3600),"Erro","")</f>
        <v/>
      </c>
    </row>
    <row r="3601" spans="1:9" ht="90">
      <c r="A3601" s="345">
        <v>3598</v>
      </c>
      <c r="B3601" s="346" t="s">
        <v>320</v>
      </c>
      <c r="C3601" s="347">
        <v>12000</v>
      </c>
      <c r="D3601" s="348">
        <v>45261</v>
      </c>
      <c r="E3601" s="348">
        <v>45566</v>
      </c>
      <c r="F3601" s="346" t="s">
        <v>101</v>
      </c>
      <c r="G3601" s="350" t="s">
        <v>714</v>
      </c>
      <c r="H3601" s="351">
        <f t="shared" si="61"/>
        <v>132000</v>
      </c>
      <c r="I3601" s="120" t="str">
        <f>IF(OR(D3601&lt;Capa!$A$5,D3601&gt;Capa!$A$7,E3601&lt;Capa!$A$5,E3601&gt;Capa!$A$7,D3601&gt;E3601),"Erro","")</f>
        <v/>
      </c>
    </row>
    <row r="3602" spans="1:9" ht="56.25">
      <c r="A3602" s="345">
        <v>3599</v>
      </c>
      <c r="B3602" s="346" t="s">
        <v>320</v>
      </c>
      <c r="C3602" s="347">
        <v>24000</v>
      </c>
      <c r="D3602" s="348">
        <v>45261</v>
      </c>
      <c r="E3602" s="348">
        <v>45566</v>
      </c>
      <c r="F3602" s="346" t="s">
        <v>101</v>
      </c>
      <c r="G3602" s="350" t="s">
        <v>715</v>
      </c>
      <c r="H3602" s="351">
        <f t="shared" si="61"/>
        <v>264000</v>
      </c>
      <c r="I3602" s="120" t="str">
        <f>IF(OR(D3602&lt;Capa!$A$5,D3602&gt;Capa!$A$7,E3602&lt;Capa!$A$5,E3602&gt;Capa!$A$7,D3602&gt;E3602),"Erro","")</f>
        <v/>
      </c>
    </row>
    <row r="3603" spans="1:9" ht="90">
      <c r="A3603" s="345">
        <v>3600</v>
      </c>
      <c r="B3603" s="346" t="s">
        <v>320</v>
      </c>
      <c r="C3603" s="347">
        <v>12700.8</v>
      </c>
      <c r="D3603" s="348">
        <v>45597</v>
      </c>
      <c r="E3603" s="348">
        <v>45931</v>
      </c>
      <c r="F3603" s="346" t="s">
        <v>101</v>
      </c>
      <c r="G3603" s="350" t="s">
        <v>714</v>
      </c>
      <c r="H3603" s="351">
        <f t="shared" si="61"/>
        <v>152409.59999999998</v>
      </c>
      <c r="I3603" s="120" t="str">
        <f>IF(OR(D3603&lt;Capa!$A$5,D3603&gt;Capa!$A$7,E3603&lt;Capa!$A$5,E3603&gt;Capa!$A$7,D3603&gt;E3603),"Erro","")</f>
        <v/>
      </c>
    </row>
    <row r="3604" spans="1:9" ht="56.25">
      <c r="A3604" s="345">
        <v>3601</v>
      </c>
      <c r="B3604" s="346" t="s">
        <v>320</v>
      </c>
      <c r="C3604" s="347">
        <v>25401.599999999999</v>
      </c>
      <c r="D3604" s="348">
        <v>45597</v>
      </c>
      <c r="E3604" s="348">
        <v>45931</v>
      </c>
      <c r="F3604" s="346" t="s">
        <v>101</v>
      </c>
      <c r="G3604" s="350" t="s">
        <v>715</v>
      </c>
      <c r="H3604" s="351">
        <f t="shared" si="61"/>
        <v>304819.19999999995</v>
      </c>
      <c r="I3604" s="120" t="str">
        <f>IF(OR(D3604&lt;Capa!$A$5,D3604&gt;Capa!$A$7,E3604&lt;Capa!$A$5,E3604&gt;Capa!$A$7,D3604&gt;E3604),"Erro","")</f>
        <v/>
      </c>
    </row>
    <row r="3605" spans="1:9" ht="90">
      <c r="A3605" s="345">
        <v>3602</v>
      </c>
      <c r="B3605" s="346" t="s">
        <v>320</v>
      </c>
      <c r="C3605" s="347">
        <v>13441.68</v>
      </c>
      <c r="D3605" s="348">
        <v>45962</v>
      </c>
      <c r="E3605" s="348">
        <v>46296</v>
      </c>
      <c r="F3605" s="346" t="s">
        <v>101</v>
      </c>
      <c r="G3605" s="350" t="s">
        <v>714</v>
      </c>
      <c r="H3605" s="351">
        <f t="shared" si="61"/>
        <v>161300.16</v>
      </c>
      <c r="I3605" s="120" t="str">
        <f>IF(OR(D3605&lt;Capa!$A$5,D3605&gt;Capa!$A$7,E3605&lt;Capa!$A$5,E3605&gt;Capa!$A$7,D3605&gt;E3605),"Erro","")</f>
        <v/>
      </c>
    </row>
    <row r="3606" spans="1:9" ht="56.25">
      <c r="A3606" s="345">
        <v>3603</v>
      </c>
      <c r="B3606" s="346" t="s">
        <v>320</v>
      </c>
      <c r="C3606" s="347">
        <v>26885.05</v>
      </c>
      <c r="D3606" s="348">
        <v>45962</v>
      </c>
      <c r="E3606" s="348">
        <v>46296</v>
      </c>
      <c r="F3606" s="346" t="s">
        <v>101</v>
      </c>
      <c r="G3606" s="350" t="s">
        <v>715</v>
      </c>
      <c r="H3606" s="351">
        <f t="shared" si="61"/>
        <v>322620.59999999998</v>
      </c>
      <c r="I3606" s="120" t="str">
        <f>IF(OR(D3606&lt;Capa!$A$5,D3606&gt;Capa!$A$7,E3606&lt;Capa!$A$5,E3606&gt;Capa!$A$7,D3606&gt;E3606),"Erro","")</f>
        <v/>
      </c>
    </row>
    <row r="3607" spans="1:9" ht="90">
      <c r="A3607" s="345">
        <v>3604</v>
      </c>
      <c r="B3607" s="346" t="s">
        <v>320</v>
      </c>
      <c r="C3607" s="347">
        <v>14226.67</v>
      </c>
      <c r="D3607" s="348">
        <v>46327</v>
      </c>
      <c r="E3607" s="348">
        <v>46661</v>
      </c>
      <c r="F3607" s="346" t="s">
        <v>101</v>
      </c>
      <c r="G3607" s="350" t="s">
        <v>714</v>
      </c>
      <c r="H3607" s="351">
        <f t="shared" si="61"/>
        <v>170720.04</v>
      </c>
      <c r="I3607" s="120" t="str">
        <f>IF(OR(D3607&lt;Capa!$A$5,D3607&gt;Capa!$A$7,E3607&lt;Capa!$A$5,E3607&gt;Capa!$A$7,D3607&gt;E3607),"Erro","")</f>
        <v/>
      </c>
    </row>
    <row r="3608" spans="1:9" ht="56.25">
      <c r="A3608" s="345">
        <v>3605</v>
      </c>
      <c r="B3608" s="346" t="s">
        <v>320</v>
      </c>
      <c r="C3608" s="347">
        <v>28445.14</v>
      </c>
      <c r="D3608" s="348">
        <v>46327</v>
      </c>
      <c r="E3608" s="348">
        <v>46661</v>
      </c>
      <c r="F3608" s="346" t="s">
        <v>101</v>
      </c>
      <c r="G3608" s="350" t="s">
        <v>715</v>
      </c>
      <c r="H3608" s="351">
        <f t="shared" si="61"/>
        <v>341341.68</v>
      </c>
      <c r="I3608" s="120" t="str">
        <f>IF(OR(D3608&lt;Capa!$A$5,D3608&gt;Capa!$A$7,E3608&lt;Capa!$A$5,E3608&gt;Capa!$A$7,D3608&gt;E3608),"Erro","")</f>
        <v/>
      </c>
    </row>
    <row r="3609" spans="1:9" ht="90">
      <c r="A3609" s="345">
        <v>3606</v>
      </c>
      <c r="B3609" s="346" t="s">
        <v>320</v>
      </c>
      <c r="C3609" s="347">
        <v>14232.51</v>
      </c>
      <c r="D3609" s="348">
        <v>46692</v>
      </c>
      <c r="E3609" s="348">
        <v>47058</v>
      </c>
      <c r="F3609" s="346" t="s">
        <v>101</v>
      </c>
      <c r="G3609" s="350" t="s">
        <v>714</v>
      </c>
      <c r="H3609" s="351">
        <f t="shared" si="61"/>
        <v>185022.63</v>
      </c>
      <c r="I3609" s="120" t="str">
        <f>IF(OR(D3609&lt;Capa!$A$5,D3609&gt;Capa!$A$7,E3609&lt;Capa!$A$5,E3609&gt;Capa!$A$7,D3609&gt;E3609),"Erro","")</f>
        <v/>
      </c>
    </row>
    <row r="3610" spans="1:9" ht="56.25">
      <c r="A3610" s="345">
        <v>3607</v>
      </c>
      <c r="B3610" s="346" t="s">
        <v>320</v>
      </c>
      <c r="C3610" s="347">
        <v>30116.92</v>
      </c>
      <c r="D3610" s="348">
        <v>46692</v>
      </c>
      <c r="E3610" s="348">
        <v>47058</v>
      </c>
      <c r="F3610" s="346" t="s">
        <v>101</v>
      </c>
      <c r="G3610" s="350" t="s">
        <v>715</v>
      </c>
      <c r="H3610" s="351">
        <f t="shared" si="61"/>
        <v>391519.95999999996</v>
      </c>
      <c r="I3610" s="120" t="str">
        <f>IF(OR(D3610&lt;Capa!$A$5,D3610&gt;Capa!$A$7,E3610&lt;Capa!$A$5,E3610&gt;Capa!$A$7,D3610&gt;E3610),"Erro","")</f>
        <v/>
      </c>
    </row>
    <row r="3611" spans="1:9" ht="315">
      <c r="A3611" s="345">
        <v>3608</v>
      </c>
      <c r="B3611" s="346" t="s">
        <v>320</v>
      </c>
      <c r="C3611" s="347">
        <v>5883.52</v>
      </c>
      <c r="D3611" s="348">
        <v>45261</v>
      </c>
      <c r="E3611" s="348">
        <v>45292</v>
      </c>
      <c r="F3611" s="346" t="s">
        <v>101</v>
      </c>
      <c r="G3611" s="350" t="s">
        <v>565</v>
      </c>
      <c r="H3611" s="351">
        <f t="shared" si="61"/>
        <v>11767.04</v>
      </c>
      <c r="I3611" s="120" t="str">
        <f>IF(OR(D3611&lt;Capa!$A$5,D3611&gt;Capa!$A$7,E3611&lt;Capa!$A$5,E3611&gt;Capa!$A$7,D3611&gt;E3611),"Erro","")</f>
        <v/>
      </c>
    </row>
    <row r="3612" spans="1:9" ht="315">
      <c r="A3612" s="345">
        <v>3609</v>
      </c>
      <c r="B3612" s="346" t="s">
        <v>320</v>
      </c>
      <c r="C3612" s="347">
        <v>37419.120000000003</v>
      </c>
      <c r="D3612" s="348">
        <v>45323</v>
      </c>
      <c r="E3612" s="348">
        <v>45352</v>
      </c>
      <c r="F3612" s="346" t="s">
        <v>101</v>
      </c>
      <c r="G3612" s="350" t="s">
        <v>565</v>
      </c>
      <c r="H3612" s="351">
        <f t="shared" si="61"/>
        <v>74838.240000000005</v>
      </c>
      <c r="I3612" s="120" t="str">
        <f>IF(OR(D3612&lt;Capa!$A$5,D3612&gt;Capa!$A$7,E3612&lt;Capa!$A$5,E3612&gt;Capa!$A$7,D3612&gt;E3612),"Erro","")</f>
        <v/>
      </c>
    </row>
    <row r="3613" spans="1:9" ht="315">
      <c r="A3613" s="345">
        <v>3610</v>
      </c>
      <c r="B3613" s="346" t="s">
        <v>320</v>
      </c>
      <c r="C3613" s="347">
        <v>43655.64</v>
      </c>
      <c r="D3613" s="348">
        <v>45413</v>
      </c>
      <c r="E3613" s="348">
        <v>45627</v>
      </c>
      <c r="F3613" s="346" t="s">
        <v>101</v>
      </c>
      <c r="G3613" s="350" t="s">
        <v>565</v>
      </c>
      <c r="H3613" s="351">
        <f t="shared" si="61"/>
        <v>349245.12</v>
      </c>
      <c r="I3613" s="120" t="str">
        <f>IF(OR(D3613&lt;Capa!$A$5,D3613&gt;Capa!$A$7,E3613&lt;Capa!$A$5,E3613&gt;Capa!$A$7,D3613&gt;E3613),"Erro","")</f>
        <v/>
      </c>
    </row>
    <row r="3614" spans="1:9" ht="315">
      <c r="A3614" s="345">
        <v>3611</v>
      </c>
      <c r="B3614" s="346" t="s">
        <v>320</v>
      </c>
      <c r="C3614" s="347">
        <v>46274.97</v>
      </c>
      <c r="D3614" s="348">
        <v>45658</v>
      </c>
      <c r="E3614" s="348">
        <v>45689</v>
      </c>
      <c r="F3614" s="346" t="s">
        <v>101</v>
      </c>
      <c r="G3614" s="350" t="s">
        <v>565</v>
      </c>
      <c r="H3614" s="351">
        <f t="shared" si="61"/>
        <v>92549.94</v>
      </c>
      <c r="I3614" s="120" t="str">
        <f>IF(OR(D3614&lt;Capa!$A$5,D3614&gt;Capa!$A$7,E3614&lt;Capa!$A$5,E3614&gt;Capa!$A$7,D3614&gt;E3614),"Erro","")</f>
        <v/>
      </c>
    </row>
    <row r="3615" spans="1:9" ht="315">
      <c r="A3615" s="345">
        <v>3612</v>
      </c>
      <c r="B3615" s="346" t="s">
        <v>320</v>
      </c>
      <c r="C3615" s="347">
        <v>52885.68</v>
      </c>
      <c r="D3615" s="348">
        <v>45717</v>
      </c>
      <c r="E3615" s="348">
        <v>45992</v>
      </c>
      <c r="F3615" s="346" t="s">
        <v>101</v>
      </c>
      <c r="G3615" s="350" t="s">
        <v>565</v>
      </c>
      <c r="H3615" s="351">
        <f t="shared" si="61"/>
        <v>528856.80000000005</v>
      </c>
      <c r="I3615" s="120" t="str">
        <f>IF(OR(D3615&lt;Capa!$A$5,D3615&gt;Capa!$A$7,E3615&lt;Capa!$A$5,E3615&gt;Capa!$A$7,D3615&gt;E3615),"Erro","")</f>
        <v/>
      </c>
    </row>
    <row r="3616" spans="1:9" ht="315">
      <c r="A3616" s="345">
        <v>3613</v>
      </c>
      <c r="B3616" s="346" t="s">
        <v>320</v>
      </c>
      <c r="C3616" s="347">
        <v>56058.83</v>
      </c>
      <c r="D3616" s="348">
        <v>46082</v>
      </c>
      <c r="E3616" s="348">
        <v>46357</v>
      </c>
      <c r="F3616" s="346" t="s">
        <v>101</v>
      </c>
      <c r="G3616" s="350" t="s">
        <v>565</v>
      </c>
      <c r="H3616" s="351">
        <f t="shared" si="61"/>
        <v>560588.30000000005</v>
      </c>
      <c r="I3616" s="120" t="str">
        <f>IF(OR(D3616&lt;Capa!$A$5,D3616&gt;Capa!$A$7,E3616&lt;Capa!$A$5,E3616&gt;Capa!$A$7,D3616&gt;E3616),"Erro","")</f>
        <v/>
      </c>
    </row>
    <row r="3617" spans="1:9" ht="315">
      <c r="A3617" s="345">
        <v>3613</v>
      </c>
      <c r="B3617" s="346" t="s">
        <v>320</v>
      </c>
      <c r="C3617" s="347">
        <v>59422.36</v>
      </c>
      <c r="D3617" s="348">
        <v>46447</v>
      </c>
      <c r="E3617" s="348">
        <v>46722</v>
      </c>
      <c r="F3617" s="346" t="s">
        <v>101</v>
      </c>
      <c r="G3617" s="350" t="s">
        <v>565</v>
      </c>
      <c r="H3617" s="351">
        <f t="shared" si="61"/>
        <v>594223.6</v>
      </c>
      <c r="I3617" s="120" t="str">
        <f>IF(OR(D3617&lt;Capa!$A$5,D3617&gt;Capa!$A$7,E3617&lt;Capa!$A$5,E3617&gt;Capa!$A$7,D3617&gt;E3617),"Erro","")</f>
        <v/>
      </c>
    </row>
    <row r="3618" spans="1:9" ht="315">
      <c r="A3618" s="345">
        <v>3614</v>
      </c>
      <c r="B3618" s="346" t="s">
        <v>320</v>
      </c>
      <c r="C3618" s="347">
        <v>62987.7</v>
      </c>
      <c r="D3618" s="348">
        <v>46813</v>
      </c>
      <c r="E3618" s="348">
        <v>47058</v>
      </c>
      <c r="F3618" s="346" t="s">
        <v>101</v>
      </c>
      <c r="G3618" s="350" t="s">
        <v>565</v>
      </c>
      <c r="H3618" s="351">
        <f t="shared" si="61"/>
        <v>566889.29999999993</v>
      </c>
      <c r="I3618" s="120" t="str">
        <f>IF(OR(D3618&lt;Capa!$A$5,D3618&gt;Capa!$A$7,E3618&lt;Capa!$A$5,E3618&gt;Capa!$A$7,D3618&gt;E3618),"Erro","")</f>
        <v/>
      </c>
    </row>
    <row r="3619" spans="1:9" ht="33.75">
      <c r="A3619" s="345">
        <v>3615</v>
      </c>
      <c r="B3619" s="346" t="s">
        <v>234</v>
      </c>
      <c r="C3619" s="347">
        <v>696.36033333</v>
      </c>
      <c r="D3619" s="348">
        <v>45261</v>
      </c>
      <c r="E3619" s="348">
        <v>47058</v>
      </c>
      <c r="F3619" s="346" t="s">
        <v>101</v>
      </c>
      <c r="G3619" s="350" t="s">
        <v>628</v>
      </c>
      <c r="H3619" s="351">
        <f t="shared" si="61"/>
        <v>41781.619999800001</v>
      </c>
      <c r="I3619" s="120" t="str">
        <f>IF(OR(D3619&lt;Capa!$A$5,D3619&gt;Capa!$A$7,E3619&lt;Capa!$A$5,E3619&gt;Capa!$A$7,D3619&gt;E3619),"Erro","")</f>
        <v/>
      </c>
    </row>
    <row r="3620" spans="1:9" ht="22.5">
      <c r="A3620" s="345">
        <v>3616</v>
      </c>
      <c r="B3620" s="346" t="s">
        <v>208</v>
      </c>
      <c r="C3620" s="347">
        <v>500</v>
      </c>
      <c r="D3620" s="348">
        <v>45261</v>
      </c>
      <c r="E3620" s="348">
        <v>45566</v>
      </c>
      <c r="F3620" s="346" t="s">
        <v>101</v>
      </c>
      <c r="G3620" s="350" t="s">
        <v>721</v>
      </c>
      <c r="H3620" s="351">
        <f t="shared" si="61"/>
        <v>5500</v>
      </c>
      <c r="I3620" s="120" t="str">
        <f>IF(OR(D3620&lt;Capa!$A$5,D3620&gt;Capa!$A$7,E3620&lt;Capa!$A$5,E3620&gt;Capa!$A$7,D3620&gt;E3620),"Erro","")</f>
        <v/>
      </c>
    </row>
    <row r="3621" spans="1:9" ht="22.5">
      <c r="A3621" s="345">
        <v>3617</v>
      </c>
      <c r="B3621" s="346" t="s">
        <v>208</v>
      </c>
      <c r="C3621" s="347">
        <v>529.20000000000005</v>
      </c>
      <c r="D3621" s="348">
        <v>45597</v>
      </c>
      <c r="E3621" s="348">
        <v>45931</v>
      </c>
      <c r="F3621" s="346" t="s">
        <v>101</v>
      </c>
      <c r="G3621" s="350" t="s">
        <v>721</v>
      </c>
      <c r="H3621" s="351">
        <f t="shared" si="61"/>
        <v>6350.4000000000005</v>
      </c>
      <c r="I3621" s="120" t="str">
        <f>IF(OR(D3621&lt;Capa!$A$5,D3621&gt;Capa!$A$7,E3621&lt;Capa!$A$5,E3621&gt;Capa!$A$7,D3621&gt;E3621),"Erro","")</f>
        <v/>
      </c>
    </row>
    <row r="3622" spans="1:9" ht="22.5">
      <c r="A3622" s="345">
        <v>3618</v>
      </c>
      <c r="B3622" s="346" t="s">
        <v>208</v>
      </c>
      <c r="C3622" s="347">
        <v>560.1</v>
      </c>
      <c r="D3622" s="348">
        <v>45962</v>
      </c>
      <c r="E3622" s="348">
        <v>46296</v>
      </c>
      <c r="F3622" s="346" t="s">
        <v>101</v>
      </c>
      <c r="G3622" s="350" t="s">
        <v>721</v>
      </c>
      <c r="H3622" s="351">
        <f t="shared" si="61"/>
        <v>6721.2000000000007</v>
      </c>
      <c r="I3622" s="120" t="str">
        <f>IF(OR(D3622&lt;Capa!$A$5,D3622&gt;Capa!$A$7,E3622&lt;Capa!$A$5,E3622&gt;Capa!$A$7,D3622&gt;E3622),"Erro","")</f>
        <v/>
      </c>
    </row>
    <row r="3623" spans="1:9" ht="22.5">
      <c r="A3623" s="345">
        <v>3619</v>
      </c>
      <c r="B3623" s="346" t="s">
        <v>208</v>
      </c>
      <c r="C3623" s="347">
        <v>592.80999999999995</v>
      </c>
      <c r="D3623" s="348">
        <v>46327</v>
      </c>
      <c r="E3623" s="348">
        <v>46661</v>
      </c>
      <c r="F3623" s="346" t="s">
        <v>101</v>
      </c>
      <c r="G3623" s="350" t="s">
        <v>721</v>
      </c>
      <c r="H3623" s="351">
        <f t="shared" si="61"/>
        <v>7113.7199999999993</v>
      </c>
      <c r="I3623" s="120" t="str">
        <f>IF(OR(D3623&lt;Capa!$A$5,D3623&gt;Capa!$A$7,E3623&lt;Capa!$A$5,E3623&gt;Capa!$A$7,D3623&gt;E3623),"Erro","")</f>
        <v/>
      </c>
    </row>
    <row r="3624" spans="1:9" ht="22.5">
      <c r="A3624" s="345">
        <v>3620</v>
      </c>
      <c r="B3624" s="346" t="s">
        <v>208</v>
      </c>
      <c r="C3624" s="347">
        <v>627.42999999999995</v>
      </c>
      <c r="D3624" s="348">
        <v>46692</v>
      </c>
      <c r="E3624" s="348">
        <v>47058</v>
      </c>
      <c r="F3624" s="346" t="s">
        <v>101</v>
      </c>
      <c r="G3624" s="350" t="s">
        <v>721</v>
      </c>
      <c r="H3624" s="351">
        <f t="shared" si="61"/>
        <v>8156.5899999999992</v>
      </c>
      <c r="I3624" s="120" t="str">
        <f>IF(OR(D3624&lt;Capa!$A$5,D3624&gt;Capa!$A$7,E3624&lt;Capa!$A$5,E3624&gt;Capa!$A$7,D3624&gt;E3624),"Erro","")</f>
        <v/>
      </c>
    </row>
    <row r="3625" spans="1:9" ht="22.5">
      <c r="A3625" s="345">
        <v>3621</v>
      </c>
      <c r="B3625" s="346" t="s">
        <v>320</v>
      </c>
      <c r="C3625" s="347">
        <v>9779.0475000000006</v>
      </c>
      <c r="D3625" s="348">
        <v>45778</v>
      </c>
      <c r="E3625" s="348">
        <v>45992</v>
      </c>
      <c r="F3625" s="346" t="s">
        <v>101</v>
      </c>
      <c r="G3625" s="350" t="s">
        <v>740</v>
      </c>
      <c r="H3625" s="351">
        <f t="shared" si="61"/>
        <v>78232.38</v>
      </c>
    </row>
    <row r="3626" spans="1:9" ht="22.5">
      <c r="A3626" s="345">
        <v>3622</v>
      </c>
      <c r="B3626" s="346" t="s">
        <v>320</v>
      </c>
      <c r="C3626" s="347">
        <v>201.54466666670001</v>
      </c>
      <c r="D3626" s="348">
        <v>45658</v>
      </c>
      <c r="E3626" s="348">
        <v>47058</v>
      </c>
      <c r="F3626" s="346" t="s">
        <v>101</v>
      </c>
      <c r="G3626" s="350" t="s">
        <v>738</v>
      </c>
      <c r="H3626" s="351">
        <f t="shared" si="61"/>
        <v>9472.5993333348997</v>
      </c>
      <c r="I3626" s="120" t="str">
        <f>IF(OR(D3626&lt;Capa!$A$5,D3626&gt;Capa!$A$7,E3626&lt;Capa!$A$5,E3626&gt;Capa!$A$7,D3626&gt;E3626),"Erro","")</f>
        <v/>
      </c>
    </row>
    <row r="3627" spans="1:9" ht="22.5">
      <c r="A3627" s="345">
        <v>3623</v>
      </c>
      <c r="B3627" s="346" t="s">
        <v>230</v>
      </c>
      <c r="C3627" s="347">
        <v>300</v>
      </c>
      <c r="D3627" s="348">
        <v>45261</v>
      </c>
      <c r="E3627" s="348">
        <v>45291</v>
      </c>
      <c r="F3627" s="346" t="s">
        <v>101</v>
      </c>
      <c r="G3627" s="350" t="s">
        <v>720</v>
      </c>
      <c r="H3627" s="351">
        <f t="shared" si="61"/>
        <v>300</v>
      </c>
      <c r="I3627" s="120" t="str">
        <f>IF(OR(D3627&lt;Capa!$A$5,D3627&gt;Capa!$A$7,E3627&lt;Capa!$A$5,E3627&gt;Capa!$A$7,D3627&gt;E3627),"Erro","")</f>
        <v/>
      </c>
    </row>
    <row r="3628" spans="1:9" ht="22.5">
      <c r="A3628" s="345">
        <v>3624</v>
      </c>
      <c r="B3628" s="346" t="s">
        <v>230</v>
      </c>
      <c r="C3628" s="347">
        <v>317.52</v>
      </c>
      <c r="D3628" s="348">
        <v>45627</v>
      </c>
      <c r="E3628" s="348">
        <v>45627</v>
      </c>
      <c r="F3628" s="346" t="s">
        <v>101</v>
      </c>
      <c r="G3628" s="350" t="s">
        <v>720</v>
      </c>
      <c r="H3628" s="351">
        <f t="shared" si="61"/>
        <v>317.52</v>
      </c>
      <c r="I3628" s="120" t="str">
        <f>IF(OR(D3628&lt;Capa!$A$5,D3628&gt;Capa!$A$7,E3628&lt;Capa!$A$5,E3628&gt;Capa!$A$7,D3628&gt;E3628),"Erro","")</f>
        <v/>
      </c>
    </row>
    <row r="3629" spans="1:9" ht="22.5">
      <c r="A3629" s="345">
        <v>3625</v>
      </c>
      <c r="B3629" s="346" t="s">
        <v>230</v>
      </c>
      <c r="C3629" s="347">
        <v>336.06</v>
      </c>
      <c r="D3629" s="348">
        <v>45992</v>
      </c>
      <c r="E3629" s="348">
        <v>45992</v>
      </c>
      <c r="F3629" s="346" t="s">
        <v>101</v>
      </c>
      <c r="G3629" s="350" t="s">
        <v>720</v>
      </c>
      <c r="H3629" s="351">
        <f t="shared" si="61"/>
        <v>336.06</v>
      </c>
      <c r="I3629" s="120" t="str">
        <f>IF(OR(D3629&lt;Capa!$A$5,D3629&gt;Capa!$A$7,E3629&lt;Capa!$A$5,E3629&gt;Capa!$A$7,D3629&gt;E3629),"Erro","")</f>
        <v/>
      </c>
    </row>
    <row r="3630" spans="1:9" ht="22.5">
      <c r="A3630" s="345">
        <v>3626</v>
      </c>
      <c r="B3630" s="346" t="s">
        <v>230</v>
      </c>
      <c r="C3630" s="347">
        <v>355.69</v>
      </c>
      <c r="D3630" s="348">
        <v>46357</v>
      </c>
      <c r="E3630" s="348">
        <v>46357</v>
      </c>
      <c r="F3630" s="346" t="s">
        <v>101</v>
      </c>
      <c r="G3630" s="350" t="s">
        <v>720</v>
      </c>
      <c r="H3630" s="351">
        <f t="shared" si="61"/>
        <v>355.69</v>
      </c>
      <c r="I3630" s="120" t="str">
        <f>IF(OR(D3630&lt;Capa!$A$5,D3630&gt;Capa!$A$7,E3630&lt;Capa!$A$5,E3630&gt;Capa!$A$7,D3630&gt;E3630),"Erro","")</f>
        <v/>
      </c>
    </row>
    <row r="3631" spans="1:9" ht="22.5">
      <c r="A3631" s="345">
        <v>3627</v>
      </c>
      <c r="B3631" s="346" t="s">
        <v>230</v>
      </c>
      <c r="C3631" s="347">
        <v>376.46</v>
      </c>
      <c r="D3631" s="348">
        <v>46722</v>
      </c>
      <c r="E3631" s="348">
        <v>46722</v>
      </c>
      <c r="F3631" s="346" t="s">
        <v>101</v>
      </c>
      <c r="G3631" s="350" t="s">
        <v>720</v>
      </c>
      <c r="H3631" s="351">
        <f t="shared" si="61"/>
        <v>376.46</v>
      </c>
      <c r="I3631" s="120" t="str">
        <f>IF(OR(D3631&lt;Capa!$A$5,D3631&gt;Capa!$A$7,E3631&lt;Capa!$A$5,E3631&gt;Capa!$A$7,D3631&gt;E3631),"Erro","")</f>
        <v/>
      </c>
    </row>
    <row r="3632" spans="1:9" ht="23.25" thickBot="1">
      <c r="A3632" s="345">
        <v>3628</v>
      </c>
      <c r="B3632" s="346" t="s">
        <v>230</v>
      </c>
      <c r="C3632" s="347">
        <v>398.44</v>
      </c>
      <c r="D3632" s="348">
        <v>47027</v>
      </c>
      <c r="E3632" s="348">
        <v>47058</v>
      </c>
      <c r="F3632" s="346" t="s">
        <v>101</v>
      </c>
      <c r="G3632" s="350" t="s">
        <v>720</v>
      </c>
      <c r="H3632" s="351">
        <f t="shared" si="61"/>
        <v>796.88</v>
      </c>
      <c r="I3632" s="120" t="str">
        <f>IF(OR(D3632&lt;Capa!$A$5,D3632&gt;Capa!$A$7,E3632&lt;Capa!$A$5,E3632&gt;Capa!$A$7,D3632&gt;E3632),"Erro","")</f>
        <v/>
      </c>
    </row>
    <row r="3633" spans="1:8" ht="20.25" customHeight="1" thickBot="1">
      <c r="A3633" s="352"/>
      <c r="B3633" s="353"/>
      <c r="C3633" s="352"/>
      <c r="D3633" s="352"/>
      <c r="E3633" s="352"/>
      <c r="F3633" s="353"/>
      <c r="G3633" s="354" t="s">
        <v>406</v>
      </c>
      <c r="H3633" s="355">
        <f>SUM(H4:H3632)</f>
        <v>123690626.70933296</v>
      </c>
    </row>
    <row r="3636" spans="1:8">
      <c r="B3636" s="80"/>
    </row>
    <row r="3637" spans="1:8">
      <c r="B3637" s="80"/>
    </row>
    <row r="3638" spans="1:8">
      <c r="B3638" s="80"/>
    </row>
    <row r="3639" spans="1:8">
      <c r="B3639" s="80"/>
    </row>
    <row r="3640" spans="1:8">
      <c r="B3640" s="80"/>
    </row>
  </sheetData>
  <autoFilter ref="A3:I3633"/>
  <mergeCells count="2">
    <mergeCell ref="A1:H1"/>
    <mergeCell ref="A2:H2"/>
  </mergeCells>
  <conditionalFormatting sqref="B3519:E3519 B3530:E3531 B3538:E3539 B3561 G344:G348 G530:H534 G887:H891 G2154:H2158 G1609:H1613 G2334:H2338 G3032:H3036 G1249:H1253 G1790:H1794 G2497:H2500 G1971:H1975 G2849:H2853 G1068:H1072 D511:E515 A4:C5 B3627:C3632 B2696 C749 G2193:G2197 F2187:F2188 F2527:F2530 F2705 F2887 F3071 B566:C566 B747:C747 B928:C928 B1109:C1109 B1290:C1290 B1475:C1475 B1650:C1650 B1831:C1831 B2015:C2015 B2187:C2187 B2373:C2373 B2531:C2531 B2710:C2710 B2892:C2892 B3076:C3076 B3259:C3259 B3441:C3441 B188:C188 F2710:G2710 F2892:G2892 G3259 G3441 B173:B174 B372:C375 B555:C559 B736:C740 B917:C921 B1098:C1102 B1462:B1467 B1279:E1283 B1639:B1643 B1821:B1825 F2002:F2003 F2711 F2893 F3076:G3077 E3504 E3529 B3532:C3537 E3537 E3540:E3541 E3561:E3564 E3570 E3576 E3588:E3589 B371 B3065:B3069 B2364:B2368 G2364:H2364 B2005:B2009 G1430:H1434 C2238:E2241 D3603:E3611 C2427:E2428 C2482:C2496 F2501:G2517 B2523 F2522:G2523 B2524:G2526 B380:C382 B379 D2425:E2426 E3548:E3550 C349 E349 C350:E357 C359:E362 C358 E358 D3613:E3618 E3612 B711:C715 C2381:C2389 C2429:C2432 C2441:C2452 C2458:C2476 B2375:B2517 C2505:C2512 B3540:C3560 B3562:C3623 F3620:G3632 C647:C650 C828:C831 C1009:C1012 C1190:C1193 C1554:C1557 C1731:C1734 C1912:C1915 C2276:E2279 C2973:C2976 C3156:C3159 C3339:C3342 C428:C431 C614:E617 C1338:C1341 C1521:C1524 C1879:E1882 D363 F1814 F1997 D3427 D3245 D3061 D2878 D2697 D2517:D2518 D2359 D2179 B3458:C3518 C3413:C3416 C3230:C3233 C3047:C3050 C2864:C2867 C2680:C2684 C2685:E2688 F2339:G2358 C2349:E2352 C2169:E2172 C1986:C1989 F1795:G1813 C1805:C1808 C1624:C1627 C1445:C1448 C1264:C1267 C1083:C1086 C902:C905 B716:B729 C721:C724 C540:C543 B3520:C3529 F3444:F3619 G3458:G3619 C3330:C3333 C3147:C3150 C2964:C2967 C2781:C2784 C2602:C2610 D2592:E2615 C2267:C2275 D2267:E2270 D2081:E2085 C2086:E2094 C1903:C1906 C1722:C1725 C1545:C1548 C1362:C1365 C1181:C1184 C1000:C1003 C819:C822 B584:B696 C638:C641 C452:C464 G3296:G3392 B3286:B3421 C3389:C3392 F3078:F3214 B3102:B3238 C3206:C3209 F2894:G3031 B2919:B3055 C3023:C3026 F2712:G2848 B2727:B2872 C2840:C2843 B2567:B2693 C2661:E2664 F2198:G2333 B2193:B2358 C2325:E2328 B2016:B2178 C2145:E2148 B1833:B1994 C1962:C1965 B1652:B1814 C1781:C1784 B1491:B1632 C1600:C1603 B1318:B1453 C1421:C1424 B1157:B1272 C1240:C1243 B966:B1091 B749:B910 B697:C705 C511:C519 B408:B548 B206:B362 D4:E169 B364:B365 B550:B551 B731:B732 B912:B913 B1093:B1094 B1274:B1275 B1455:B1456 B1634:B1635 B1816:B1817 B1999:B2001 B2180:B2181 B2698:B2704 B2879:B2885 B3062:B3063 B3246:B3252 B3428:B3434 D549 D730 D911 D1092 D1273 D1454 D1633 D1814:D1815 G3245:G3247 G3427:G3429 F1998:G2001 F2159:G2184 F2359:F2364 G2359:G2363 E2359:E2360 B2360:C2360 F2518:F2521 G2518:G2519 B2519:C2519 E2518:E2519 F2531:G2704 D365 D551 D732 D913 D1094 D1275 D1456 D1635 D1817 F185:G343 H3438:H3632 F2004:G2153 F2190:F2192 F2707:F2709 F2889:F2891 F3073:F3075 F3256:F3397 F3438:F3442 C496 C682 C863 C1044 C1225 C1406 C1585 C1766 C1947 C2130 C2310 C2641:C2646 C2825 C3008 C3191 C3374 B6:C172 C320:E343 C344 C525 C530 C706:C711 C878:C887 C892:C896 C1059:C1068 C1073:C1077 C1249 C1254 C1430 C1435 C1609 C1614 C1790 C1795 C1971 C1976 C2154 C2159 C2334 C2339 C2670 C2675 C2849 C2854 C3032 C3037 C3215 C3220 C3398 C3403 C364 C550 C731 C912 C1093 C1274 C1455 C1634 C1816 C1999 C230:E252 D253:E253 C254:E315 H380:H561 H1473:H1645 B175:C177 B568:C568 B930:C930 B1111:C1111 B1292:C1292 B1996:B1997 B2874:B2877 B3057:B3060 B3240:B3244 B3423:B3426 G2185:G2187 F3037:G3070 G3078:G3240 G3413:G3423 F349:G529 F535:G886 F892:G1067 F1073:G1248 F1254:G1429 F1435:G1608 F1614:G1789 F1815:G1970 F1976:G1996 F2365:G2496 F2854:G2886 F3220:F3254 F3403:F3436 F4:H183 H186:H377 H564:H742 H745:H923 H926:H1104 H1107:H1285 H1288:H1470 H1648:H1826 H1829:H2010 H2013:H2188 H2191:H2705 H2708:H2887 H2890:H3071 H3074:H3254 H3257:H3436 A6:A3632">
    <cfRule type="expression" dxfId="1762" priority="2877">
      <formula>ISEVEN(ROW())</formula>
    </cfRule>
  </conditionalFormatting>
  <conditionalFormatting sqref="B3443:C3457 F3443:G3443 G3444:G3457">
    <cfRule type="expression" dxfId="1761" priority="2878">
      <formula>ISEVEN(ROW())</formula>
    </cfRule>
  </conditionalFormatting>
  <conditionalFormatting sqref="D196:E205 D215:E217 D208:E211 E206:E207 E212:E214 D220:E223 E218:E219 D226:E229 E224:E225 B190:C205">
    <cfRule type="expression" dxfId="1760" priority="2834">
      <formula>ISEVEN(ROW())</formula>
    </cfRule>
  </conditionalFormatting>
  <conditionalFormatting sqref="B1476:C1490">
    <cfRule type="expression" dxfId="1759" priority="2818">
      <formula>ISEVEN(ROW())</formula>
    </cfRule>
  </conditionalFormatting>
  <conditionalFormatting sqref="B1293:C1317 D1377:E1380 E1375:E1376">
    <cfRule type="expression" dxfId="1758" priority="2820">
      <formula>ISEVEN(ROW())</formula>
    </cfRule>
  </conditionalFormatting>
  <conditionalFormatting sqref="D3543:E3547 E3542">
    <cfRule type="expression" dxfId="1757" priority="2769">
      <formula>ISEVEN(ROW())</formula>
    </cfRule>
  </conditionalFormatting>
  <conditionalFormatting sqref="B1112:C1156 D1196:E1199 E1194:E1195">
    <cfRule type="expression" dxfId="1756" priority="2822">
      <formula>ISEVEN(ROW())</formula>
    </cfRule>
  </conditionalFormatting>
  <conditionalFormatting sqref="B936:C965 B931:B935">
    <cfRule type="expression" dxfId="1755" priority="2824">
      <formula>ISEVEN(ROW())</formula>
    </cfRule>
  </conditionalFormatting>
  <conditionalFormatting sqref="D936:E940">
    <cfRule type="expression" dxfId="1754" priority="2743">
      <formula>ISEVEN(ROW())</formula>
    </cfRule>
  </conditionalFormatting>
  <conditionalFormatting sqref="B569:C583 D574:E583 D653:E656 E651:E652">
    <cfRule type="expression" dxfId="1753" priority="2828">
      <formula>ISEVEN(ROW())</formula>
    </cfRule>
  </conditionalFormatting>
  <conditionalFormatting sqref="B398:C407 B383:B397 B706:B710">
    <cfRule type="expression" dxfId="1752" priority="2832">
      <formula>ISEVEN(ROW())</formula>
    </cfRule>
  </conditionalFormatting>
  <conditionalFormatting sqref="E2894 B2894:C2918 D2896:E2898">
    <cfRule type="expression" dxfId="1751" priority="2802">
      <formula>ISEVEN(ROW())</formula>
    </cfRule>
  </conditionalFormatting>
  <conditionalFormatting sqref="D3262:E3265 B3262:C3285 B3261">
    <cfRule type="expression" dxfId="1750" priority="2798">
      <formula>ISEVEN(ROW())</formula>
    </cfRule>
  </conditionalFormatting>
  <conditionalFormatting sqref="D2016:E2020 D2036:E2040">
    <cfRule type="expression" dxfId="1749" priority="2812">
      <formula>ISEVEN(ROW())</formula>
    </cfRule>
  </conditionalFormatting>
  <conditionalFormatting sqref="D2198:E2202 D2213:E2237">
    <cfRule type="expression" dxfId="1748" priority="2810">
      <formula>ISEVEN(ROW())</formula>
    </cfRule>
  </conditionalFormatting>
  <conditionalFormatting sqref="B2532:B2546 B2547:C2566">
    <cfRule type="expression" dxfId="1747" priority="2806">
      <formula>ISEVEN(ROW())</formula>
    </cfRule>
  </conditionalFormatting>
  <conditionalFormatting sqref="D2713:E2716 B2712:C2726 E2712">
    <cfRule type="expression" dxfId="1746" priority="2804">
      <formula>ISEVEN(ROW())</formula>
    </cfRule>
  </conditionalFormatting>
  <conditionalFormatting sqref="D3078:E3081 B3077:C3101 E3077">
    <cfRule type="expression" dxfId="1745" priority="2800">
      <formula>ISEVEN(ROW())</formula>
    </cfRule>
  </conditionalFormatting>
  <conditionalFormatting sqref="G3261:G3295 G3393:G3402 G3408:G3412">
    <cfRule type="expression" dxfId="1744" priority="2795">
      <formula>ISEVEN(ROW())</formula>
    </cfRule>
  </conditionalFormatting>
  <conditionalFormatting sqref="D3444:E3447">
    <cfRule type="expression" dxfId="1743" priority="2794">
      <formula>ISEVEN(ROW())</formula>
    </cfRule>
  </conditionalFormatting>
  <conditionalFormatting sqref="D3552:E3555 E3551">
    <cfRule type="expression" dxfId="1742" priority="2767">
      <formula>ISEVEN(ROW())</formula>
    </cfRule>
  </conditionalFormatting>
  <conditionalFormatting sqref="C1653:C1657">
    <cfRule type="expression" dxfId="1741" priority="2755">
      <formula>ISEVEN(ROW())</formula>
    </cfRule>
  </conditionalFormatting>
  <conditionalFormatting sqref="D3533:E3536 E3532">
    <cfRule type="expression" dxfId="1740" priority="2770">
      <formula>ISEVEN(ROW())</formula>
    </cfRule>
  </conditionalFormatting>
  <conditionalFormatting sqref="D3499:E3503">
    <cfRule type="expression" dxfId="1739" priority="2782">
      <formula>ISEVEN(ROW())</formula>
    </cfRule>
  </conditionalFormatting>
  <conditionalFormatting sqref="D3506:E3509 E3505">
    <cfRule type="expression" dxfId="1738" priority="2777">
      <formula>ISEVEN(ROW())</formula>
    </cfRule>
  </conditionalFormatting>
  <conditionalFormatting sqref="D3510:E3513">
    <cfRule type="expression" dxfId="1737" priority="2776">
      <formula>ISEVEN(ROW())</formula>
    </cfRule>
  </conditionalFormatting>
  <conditionalFormatting sqref="D3514:E3518">
    <cfRule type="expression" dxfId="1736" priority="2775">
      <formula>ISEVEN(ROW())</formula>
    </cfRule>
  </conditionalFormatting>
  <conditionalFormatting sqref="D3521:E3524 E3520">
    <cfRule type="expression" dxfId="1735" priority="2774">
      <formula>ISEVEN(ROW())</formula>
    </cfRule>
  </conditionalFormatting>
  <conditionalFormatting sqref="D3525:E3528">
    <cfRule type="expression" dxfId="1734" priority="2773">
      <formula>ISEVEN(ROW())</formula>
    </cfRule>
  </conditionalFormatting>
  <conditionalFormatting sqref="D3572:E3575 E3571">
    <cfRule type="expression" dxfId="1733" priority="2764">
      <formula>ISEVEN(ROW())</formula>
    </cfRule>
  </conditionalFormatting>
  <conditionalFormatting sqref="D3557:E3560 E3556">
    <cfRule type="expression" dxfId="1732" priority="2766">
      <formula>ISEVEN(ROW())</formula>
    </cfRule>
  </conditionalFormatting>
  <conditionalFormatting sqref="D3566:E3569 E3565">
    <cfRule type="expression" dxfId="1731" priority="2765">
      <formula>ISEVEN(ROW())</formula>
    </cfRule>
  </conditionalFormatting>
  <conditionalFormatting sqref="D3591:E3594 E3590">
    <cfRule type="expression" dxfId="1730" priority="2760">
      <formula>ISEVEN(ROW())</formula>
    </cfRule>
  </conditionalFormatting>
  <conditionalFormatting sqref="D3577:E3582">
    <cfRule type="expression" dxfId="1729" priority="2762">
      <formula>ISEVEN(ROW())</formula>
    </cfRule>
  </conditionalFormatting>
  <conditionalFormatting sqref="D3584:E3587 E3583">
    <cfRule type="expression" dxfId="1728" priority="2761">
      <formula>ISEVEN(ROW())</formula>
    </cfRule>
  </conditionalFormatting>
  <conditionalFormatting sqref="C750:C754">
    <cfRule type="expression" dxfId="1727" priority="2756">
      <formula>ISEVEN(ROW())</formula>
    </cfRule>
  </conditionalFormatting>
  <conditionalFormatting sqref="D3596:E3600 E3595">
    <cfRule type="expression" dxfId="1726" priority="2759">
      <formula>ISEVEN(ROW())</formula>
    </cfRule>
  </conditionalFormatting>
  <conditionalFormatting sqref="C383:C387">
    <cfRule type="expression" dxfId="1725" priority="2758">
      <formula>ISEVEN(ROW())</formula>
    </cfRule>
  </conditionalFormatting>
  <conditionalFormatting sqref="C931:C935">
    <cfRule type="expression" dxfId="1724" priority="2757">
      <formula>ISEVEN(ROW())</formula>
    </cfRule>
  </conditionalFormatting>
  <conditionalFormatting sqref="C1834:C1838">
    <cfRule type="expression" dxfId="1723" priority="2754">
      <formula>ISEVEN(ROW())</formula>
    </cfRule>
  </conditionalFormatting>
  <conditionalFormatting sqref="C2016:C2020">
    <cfRule type="expression" dxfId="1722" priority="2753">
      <formula>ISEVEN(ROW())</formula>
    </cfRule>
  </conditionalFormatting>
  <conditionalFormatting sqref="C2198:C2202">
    <cfRule type="expression" dxfId="1721" priority="2752">
      <formula>ISEVEN(ROW())</formula>
    </cfRule>
  </conditionalFormatting>
  <conditionalFormatting sqref="C2376:C2380">
    <cfRule type="expression" dxfId="1720" priority="2751">
      <formula>ISEVEN(ROW())</formula>
    </cfRule>
  </conditionalFormatting>
  <conditionalFormatting sqref="C2532:C2536">
    <cfRule type="expression" dxfId="1719" priority="2750">
      <formula>ISEVEN(ROW())</formula>
    </cfRule>
  </conditionalFormatting>
  <conditionalFormatting sqref="D388:E392">
    <cfRule type="expression" dxfId="1718" priority="2749">
      <formula>ISEVEN(ROW())</formula>
    </cfRule>
  </conditionalFormatting>
  <conditionalFormatting sqref="D393:E397">
    <cfRule type="expression" dxfId="1717" priority="2748">
      <formula>ISEVEN(ROW())</formula>
    </cfRule>
  </conditionalFormatting>
  <conditionalFormatting sqref="C388:C397">
    <cfRule type="expression" dxfId="1716" priority="2747">
      <formula>ISEVEN(ROW())</formula>
    </cfRule>
  </conditionalFormatting>
  <conditionalFormatting sqref="D755:E759">
    <cfRule type="expression" dxfId="1715" priority="2746">
      <formula>ISEVEN(ROW())</formula>
    </cfRule>
  </conditionalFormatting>
  <conditionalFormatting sqref="D760:E764">
    <cfRule type="expression" dxfId="1714" priority="2745">
      <formula>ISEVEN(ROW())</formula>
    </cfRule>
  </conditionalFormatting>
  <conditionalFormatting sqref="C755:C764">
    <cfRule type="expression" dxfId="1713" priority="2744">
      <formula>ISEVEN(ROW())</formula>
    </cfRule>
  </conditionalFormatting>
  <conditionalFormatting sqref="D941:E945">
    <cfRule type="expression" dxfId="1712" priority="2742">
      <formula>ISEVEN(ROW())</formula>
    </cfRule>
  </conditionalFormatting>
  <conditionalFormatting sqref="D1117:E1121">
    <cfRule type="expression" dxfId="1711" priority="2741">
      <formula>ISEVEN(ROW())</formula>
    </cfRule>
  </conditionalFormatting>
  <conditionalFormatting sqref="D1122:E1126">
    <cfRule type="expression" dxfId="1710" priority="2740">
      <formula>ISEVEN(ROW())</formula>
    </cfRule>
  </conditionalFormatting>
  <conditionalFormatting sqref="D1298:E1302">
    <cfRule type="expression" dxfId="1709" priority="2739">
      <formula>ISEVEN(ROW())</formula>
    </cfRule>
  </conditionalFormatting>
  <conditionalFormatting sqref="D3082:E3086">
    <cfRule type="expression" dxfId="1708" priority="2713">
      <formula>ISEVEN(ROW())</formula>
    </cfRule>
  </conditionalFormatting>
  <conditionalFormatting sqref="D1486:E1490">
    <cfRule type="expression" dxfId="1707" priority="2736">
      <formula>ISEVEN(ROW())</formula>
    </cfRule>
  </conditionalFormatting>
  <conditionalFormatting sqref="D3266:E3270">
    <cfRule type="expression" dxfId="1706" priority="2711">
      <formula>ISEVEN(ROW())</formula>
    </cfRule>
  </conditionalFormatting>
  <conditionalFormatting sqref="D1663:E1667">
    <cfRule type="expression" dxfId="1705" priority="2734">
      <formula>ISEVEN(ROW())</formula>
    </cfRule>
  </conditionalFormatting>
  <conditionalFormatting sqref="C1658:C1667">
    <cfRule type="expression" dxfId="1704" priority="2733">
      <formula>ISEVEN(ROW())</formula>
    </cfRule>
  </conditionalFormatting>
  <conditionalFormatting sqref="D1839:E1843">
    <cfRule type="expression" dxfId="1703" priority="2732">
      <formula>ISEVEN(ROW())</formula>
    </cfRule>
  </conditionalFormatting>
  <conditionalFormatting sqref="D1844:E1848">
    <cfRule type="expression" dxfId="1702" priority="2731">
      <formula>ISEVEN(ROW())</formula>
    </cfRule>
  </conditionalFormatting>
  <conditionalFormatting sqref="C1839:C1848">
    <cfRule type="expression" dxfId="1701" priority="2730">
      <formula>ISEVEN(ROW())</formula>
    </cfRule>
  </conditionalFormatting>
  <conditionalFormatting sqref="C2021:C2030">
    <cfRule type="expression" dxfId="1700" priority="2727">
      <formula>ISEVEN(ROW())</formula>
    </cfRule>
  </conditionalFormatting>
  <conditionalFormatting sqref="C2203:C2212">
    <cfRule type="expression" dxfId="1699" priority="2724">
      <formula>ISEVEN(ROW())</formula>
    </cfRule>
  </conditionalFormatting>
  <conditionalFormatting sqref="C2537:C2546">
    <cfRule type="expression" dxfId="1698" priority="2720">
      <formula>ISEVEN(ROW())</formula>
    </cfRule>
  </conditionalFormatting>
  <conditionalFormatting sqref="D2717:E2721">
    <cfRule type="expression" dxfId="1697" priority="2717">
      <formula>ISEVEN(ROW())</formula>
    </cfRule>
  </conditionalFormatting>
  <conditionalFormatting sqref="D2722:E2726">
    <cfRule type="expression" dxfId="1696" priority="2716">
      <formula>ISEVEN(ROW())</formula>
    </cfRule>
  </conditionalFormatting>
  <conditionalFormatting sqref="D2899:E2903">
    <cfRule type="expression" dxfId="1695" priority="2715">
      <formula>ISEVEN(ROW())</formula>
    </cfRule>
  </conditionalFormatting>
  <conditionalFormatting sqref="D2904:E2908">
    <cfRule type="expression" dxfId="1694" priority="2714">
      <formula>ISEVEN(ROW())</formula>
    </cfRule>
  </conditionalFormatting>
  <conditionalFormatting sqref="D3087:E3091">
    <cfRule type="expression" dxfId="1693" priority="2712">
      <formula>ISEVEN(ROW())</formula>
    </cfRule>
  </conditionalFormatting>
  <conditionalFormatting sqref="D3621:E3623 D3628:E3632 E3620 E3627">
    <cfRule type="expression" dxfId="1692" priority="2672">
      <formula>ISEVEN(ROW())</formula>
    </cfRule>
  </conditionalFormatting>
  <conditionalFormatting sqref="D3271:E3275">
    <cfRule type="expression" dxfId="1691" priority="2710">
      <formula>ISEVEN(ROW())</formula>
    </cfRule>
  </conditionalFormatting>
  <conditionalFormatting sqref="C2041:C2055">
    <cfRule type="expression" dxfId="1690" priority="2685">
      <formula>ISEVEN(ROW())</formula>
    </cfRule>
  </conditionalFormatting>
  <conditionalFormatting sqref="C1859:C1868">
    <cfRule type="expression" dxfId="1689" priority="2686">
      <formula>ISEVEN(ROW())</formula>
    </cfRule>
  </conditionalFormatting>
  <conditionalFormatting sqref="C206:C217">
    <cfRule type="expression" dxfId="1688" priority="2707">
      <formula>ISEVEN(ROW())</formula>
    </cfRule>
  </conditionalFormatting>
  <conditionalFormatting sqref="C218:C229">
    <cfRule type="expression" dxfId="1687" priority="2706">
      <formula>ISEVEN(ROW())</formula>
    </cfRule>
  </conditionalFormatting>
  <conditionalFormatting sqref="C408:C417">
    <cfRule type="expression" dxfId="1686" priority="2705">
      <formula>ISEVEN(ROW())</formula>
    </cfRule>
  </conditionalFormatting>
  <conditionalFormatting sqref="C584:C608">
    <cfRule type="expression" dxfId="1685" priority="2702">
      <formula>ISEVEN(ROW())</formula>
    </cfRule>
  </conditionalFormatting>
  <conditionalFormatting sqref="C765:C784">
    <cfRule type="expression" dxfId="1684" priority="2701">
      <formula>ISEVEN(ROW())</formula>
    </cfRule>
  </conditionalFormatting>
  <conditionalFormatting sqref="C2727:C2736">
    <cfRule type="expression" dxfId="1683" priority="2700">
      <formula>ISEVEN(ROW())</formula>
    </cfRule>
  </conditionalFormatting>
  <conditionalFormatting sqref="C2737:C2751">
    <cfRule type="expression" dxfId="1682" priority="2699">
      <formula>ISEVEN(ROW())</formula>
    </cfRule>
  </conditionalFormatting>
  <conditionalFormatting sqref="C2919:C2928">
    <cfRule type="expression" dxfId="1681" priority="2698">
      <formula>ISEVEN(ROW())</formula>
    </cfRule>
  </conditionalFormatting>
  <conditionalFormatting sqref="C3102:C3111">
    <cfRule type="expression" dxfId="1680" priority="2697">
      <formula>ISEVEN(ROW())</formula>
    </cfRule>
  </conditionalFormatting>
  <conditionalFormatting sqref="C3286:C3295">
    <cfRule type="expression" dxfId="1679" priority="2696">
      <formula>ISEVEN(ROW())</formula>
    </cfRule>
  </conditionalFormatting>
  <conditionalFormatting sqref="C1491:C1500">
    <cfRule type="expression" dxfId="1678" priority="2695">
      <formula>ISEVEN(ROW())</formula>
    </cfRule>
  </conditionalFormatting>
  <conditionalFormatting sqref="C1668:C1677">
    <cfRule type="expression" dxfId="1677" priority="2694">
      <formula>ISEVEN(ROW())</formula>
    </cfRule>
  </conditionalFormatting>
  <conditionalFormatting sqref="C1849:C1858">
    <cfRule type="expression" dxfId="1676" priority="2693">
      <formula>ISEVEN(ROW())</formula>
    </cfRule>
  </conditionalFormatting>
  <conditionalFormatting sqref="C2031:C2040">
    <cfRule type="expression" dxfId="1675" priority="2692">
      <formula>ISEVEN(ROW())</formula>
    </cfRule>
  </conditionalFormatting>
  <conditionalFormatting sqref="C2213:C2222">
    <cfRule type="expression" dxfId="1674" priority="2691">
      <formula>ISEVEN(ROW())</formula>
    </cfRule>
  </conditionalFormatting>
  <conditionalFormatting sqref="C2390:C2399">
    <cfRule type="expression" dxfId="1673" priority="2690">
      <formula>ISEVEN(ROW())</formula>
    </cfRule>
  </conditionalFormatting>
  <conditionalFormatting sqref="C1318:C1332">
    <cfRule type="expression" dxfId="1672" priority="2689">
      <formula>ISEVEN(ROW())</formula>
    </cfRule>
  </conditionalFormatting>
  <conditionalFormatting sqref="C1501:C1510">
    <cfRule type="expression" dxfId="1671" priority="2688">
      <formula>ISEVEN(ROW())</formula>
    </cfRule>
  </conditionalFormatting>
  <conditionalFormatting sqref="C1678:C1687">
    <cfRule type="expression" dxfId="1670" priority="2687">
      <formula>ISEVEN(ROW())</formula>
    </cfRule>
  </conditionalFormatting>
  <conditionalFormatting sqref="C2223:C2237">
    <cfRule type="expression" dxfId="1669" priority="2684">
      <formula>ISEVEN(ROW())</formula>
    </cfRule>
  </conditionalFormatting>
  <conditionalFormatting sqref="C2400:C2409">
    <cfRule type="expression" dxfId="1668" priority="2683">
      <formula>ISEVEN(ROW())</formula>
    </cfRule>
  </conditionalFormatting>
  <conditionalFormatting sqref="C3027:C3031">
    <cfRule type="expression" dxfId="1667" priority="2577">
      <formula>ISEVEN(ROW())</formula>
    </cfRule>
  </conditionalFormatting>
  <conditionalFormatting sqref="C642:C646 C651:C656 C677:C681">
    <cfRule type="expression" dxfId="1666" priority="2669">
      <formula>ISEVEN(ROW())</formula>
    </cfRule>
  </conditionalFormatting>
  <conditionalFormatting sqref="C1771 C1785:C1789 C1796:C1799">
    <cfRule type="expression" dxfId="1665" priority="2617">
      <formula>ISEVEN(ROW())</formula>
    </cfRule>
  </conditionalFormatting>
  <conditionalFormatting sqref="C1230 C1185:C1189 C1244:C1248 C1255:C1258">
    <cfRule type="expression" dxfId="1664" priority="2663">
      <formula>ISEVEN(ROW())</formula>
    </cfRule>
  </conditionalFormatting>
  <conditionalFormatting sqref="E832:E833">
    <cfRule type="expression" dxfId="1663" priority="2646">
      <formula>ISEVEN(ROW())</formula>
    </cfRule>
  </conditionalFormatting>
  <conditionalFormatting sqref="D1015:E1018 E1013:E1014">
    <cfRule type="expression" dxfId="1662" priority="2642">
      <formula>ISEVEN(ROW())</formula>
    </cfRule>
  </conditionalFormatting>
  <conditionalFormatting sqref="C1366:C1370">
    <cfRule type="expression" dxfId="1661" priority="2637">
      <formula>ISEVEN(ROW())</formula>
    </cfRule>
  </conditionalFormatting>
  <conditionalFormatting sqref="C1411 C1425:C1429 C1436:C1439">
    <cfRule type="expression" dxfId="1660" priority="2633">
      <formula>ISEVEN(ROW())</formula>
    </cfRule>
  </conditionalFormatting>
  <conditionalFormatting sqref="D1560:E1563 E1558:E1559">
    <cfRule type="expression" dxfId="1659" priority="2632">
      <formula>ISEVEN(ROW())</formula>
    </cfRule>
  </conditionalFormatting>
  <conditionalFormatting sqref="C1549:C1553">
    <cfRule type="expression" dxfId="1658" priority="2629">
      <formula>ISEVEN(ROW())</formula>
    </cfRule>
  </conditionalFormatting>
  <conditionalFormatting sqref="D2135:E2135">
    <cfRule type="expression" dxfId="1657" priority="2444">
      <formula>ISEVEN(ROW())</formula>
    </cfRule>
  </conditionalFormatting>
  <conditionalFormatting sqref="C1590 C1604:C1608 C1615:C1618">
    <cfRule type="expression" dxfId="1656" priority="2625">
      <formula>ISEVEN(ROW())</formula>
    </cfRule>
  </conditionalFormatting>
  <conditionalFormatting sqref="D1737:E1740 E1735:E1736">
    <cfRule type="expression" dxfId="1655" priority="2624">
      <formula>ISEVEN(ROW())</formula>
    </cfRule>
  </conditionalFormatting>
  <conditionalFormatting sqref="C1814">
    <cfRule type="expression" dxfId="1654" priority="2618">
      <formula>ISEVEN(ROW())</formula>
    </cfRule>
  </conditionalFormatting>
  <conditionalFormatting sqref="C1726:C1730">
    <cfRule type="expression" dxfId="1653" priority="2621">
      <formula>ISEVEN(ROW())</formula>
    </cfRule>
  </conditionalFormatting>
  <conditionalFormatting sqref="E1814">
    <cfRule type="expression" dxfId="1652" priority="2619">
      <formula>ISEVEN(ROW())</formula>
    </cfRule>
  </conditionalFormatting>
  <conditionalFormatting sqref="D1918:E1921 E1916:E1917">
    <cfRule type="expression" dxfId="1651" priority="2616">
      <formula>ISEVEN(ROW())</formula>
    </cfRule>
  </conditionalFormatting>
  <conditionalFormatting sqref="C1907:C1911">
    <cfRule type="expression" dxfId="1650" priority="2613">
      <formula>ISEVEN(ROW())</formula>
    </cfRule>
  </conditionalFormatting>
  <conditionalFormatting sqref="C1952 C1966:C1970">
    <cfRule type="expression" dxfId="1649" priority="2609">
      <formula>ISEVEN(ROW())</formula>
    </cfRule>
  </conditionalFormatting>
  <conditionalFormatting sqref="C2056:C2060 D2056:E2065">
    <cfRule type="expression" dxfId="1648" priority="2606">
      <formula>ISEVEN(ROW())</formula>
    </cfRule>
  </conditionalFormatting>
  <conditionalFormatting sqref="C2071:C2075">
    <cfRule type="expression" dxfId="1647" priority="2605">
      <formula>ISEVEN(ROW())</formula>
    </cfRule>
  </conditionalFormatting>
  <conditionalFormatting sqref="C2110:C2119 C2135 C2149:C2153 C2122:C2124">
    <cfRule type="expression" dxfId="1646" priority="2601">
      <formula>ISEVEN(ROW())</formula>
    </cfRule>
  </conditionalFormatting>
  <conditionalFormatting sqref="C2252:C2256">
    <cfRule type="expression" dxfId="1645" priority="2597">
      <formula>ISEVEN(ROW())</formula>
    </cfRule>
  </conditionalFormatting>
  <conditionalFormatting sqref="C3393:C3397">
    <cfRule type="expression" dxfId="1644" priority="2561">
      <formula>ISEVEN(ROW())</formula>
    </cfRule>
  </conditionalFormatting>
  <conditionalFormatting sqref="C2290:C2299 C2315 C2329:C2333 C2302:C2304">
    <cfRule type="expression" dxfId="1643" priority="2593">
      <formula>ISEVEN(ROW())</formula>
    </cfRule>
  </conditionalFormatting>
  <conditionalFormatting sqref="D2979:E2982 E2977:E2978">
    <cfRule type="expression" dxfId="1642" priority="2584">
      <formula>ISEVEN(ROW())</formula>
    </cfRule>
  </conditionalFormatting>
  <conditionalFormatting sqref="D2621:E2625">
    <cfRule type="expression" dxfId="1641" priority="2428">
      <formula>ISEVEN(ROW())</formula>
    </cfRule>
  </conditionalFormatting>
  <conditionalFormatting sqref="D2242:E2246">
    <cfRule type="expression" dxfId="1640" priority="2533">
      <formula>ISEVEN(ROW())</formula>
    </cfRule>
  </conditionalFormatting>
  <conditionalFormatting sqref="C2626:C2635 C2665:C2669 C2638:C2640">
    <cfRule type="expression" dxfId="1639" priority="2553">
      <formula>ISEVEN(ROW())</formula>
    </cfRule>
  </conditionalFormatting>
  <conditionalFormatting sqref="D2796:E2799">
    <cfRule type="expression" dxfId="1638" priority="2552">
      <formula>ISEVEN(ROW())</formula>
    </cfRule>
  </conditionalFormatting>
  <conditionalFormatting sqref="C3261">
    <cfRule type="expression" dxfId="1637" priority="2570">
      <formula>ISEVEN(ROW())</formula>
    </cfRule>
  </conditionalFormatting>
  <conditionalFormatting sqref="C3196 C3210:C3214">
    <cfRule type="expression" dxfId="1636" priority="2569">
      <formula>ISEVEN(ROW())</formula>
    </cfRule>
  </conditionalFormatting>
  <conditionalFormatting sqref="D3345:E3348 E3343:E3344">
    <cfRule type="expression" dxfId="1635" priority="2568">
      <formula>ISEVEN(ROW())</formula>
    </cfRule>
  </conditionalFormatting>
  <conditionalFormatting sqref="C2572:C2576">
    <cfRule type="expression" dxfId="1634" priority="2558">
      <formula>ISEVEN(ROW())</formula>
    </cfRule>
  </conditionalFormatting>
  <conditionalFormatting sqref="C2844:C2848">
    <cfRule type="expression" dxfId="1633" priority="2545">
      <formula>ISEVEN(ROW())</formula>
    </cfRule>
  </conditionalFormatting>
  <conditionalFormatting sqref="C2587:C2591">
    <cfRule type="expression" dxfId="1632" priority="2557">
      <formula>ISEVEN(ROW())</formula>
    </cfRule>
  </conditionalFormatting>
  <conditionalFormatting sqref="F530:F534">
    <cfRule type="expression" dxfId="1631" priority="2300">
      <formula>ISEVEN(ROW())</formula>
    </cfRule>
  </conditionalFormatting>
  <conditionalFormatting sqref="D2208:E2212">
    <cfRule type="expression" dxfId="1630" priority="2534">
      <formula>ISEVEN(ROW())</formula>
    </cfRule>
  </conditionalFormatting>
  <conditionalFormatting sqref="D2280:E2284">
    <cfRule type="expression" dxfId="1629" priority="2525">
      <formula>ISEVEN(ROW())</formula>
    </cfRule>
  </conditionalFormatting>
  <conditionalFormatting sqref="D2203:E2207">
    <cfRule type="expression" dxfId="1628" priority="2535">
      <formula>ISEVEN(ROW())</formula>
    </cfRule>
  </conditionalFormatting>
  <conditionalFormatting sqref="D2616:E2620">
    <cfRule type="expression" dxfId="1627" priority="2429">
      <formula>ISEVEN(ROW())</formula>
    </cfRule>
  </conditionalFormatting>
  <conditionalFormatting sqref="D2247:E2251">
    <cfRule type="expression" dxfId="1626" priority="2532">
      <formula>ISEVEN(ROW())</formula>
    </cfRule>
  </conditionalFormatting>
  <conditionalFormatting sqref="D2100:E2104">
    <cfRule type="expression" dxfId="1625" priority="2451">
      <formula>ISEVEN(ROW())</formula>
    </cfRule>
  </conditionalFormatting>
  <conditionalFormatting sqref="D2626:E2630">
    <cfRule type="expression" dxfId="1624" priority="2427">
      <formula>ISEVEN(ROW())</formula>
    </cfRule>
  </conditionalFormatting>
  <conditionalFormatting sqref="D2358:E2358">
    <cfRule type="expression" dxfId="1623" priority="2508">
      <formula>ISEVEN(ROW())</formula>
    </cfRule>
  </conditionalFormatting>
  <conditionalFormatting sqref="D2376:E2380 D2381">
    <cfRule type="expression" dxfId="1622" priority="2507">
      <formula>ISEVEN(ROW())</formula>
    </cfRule>
  </conditionalFormatting>
  <conditionalFormatting sqref="D2382:E2384 E2381">
    <cfRule type="expression" dxfId="1621" priority="2505">
      <formula>ISEVEN(ROW())</formula>
    </cfRule>
  </conditionalFormatting>
  <conditionalFormatting sqref="D2178:E2178">
    <cfRule type="expression" dxfId="1620" priority="2434">
      <formula>ISEVEN(ROW())</formula>
    </cfRule>
  </conditionalFormatting>
  <conditionalFormatting sqref="C2620">
    <cfRule type="expression" dxfId="1619" priority="2464">
      <formula>ISEVEN(ROW())</formula>
    </cfRule>
  </conditionalFormatting>
  <conditionalFormatting sqref="D3162:E3165 E3160:E3161">
    <cfRule type="expression" dxfId="1618" priority="2460">
      <formula>ISEVEN(ROW())</formula>
    </cfRule>
  </conditionalFormatting>
  <conditionalFormatting sqref="C2796:C2799">
    <cfRule type="expression" dxfId="1617" priority="2457">
      <formula>ISEVEN(ROW())</formula>
    </cfRule>
  </conditionalFormatting>
  <conditionalFormatting sqref="D2027:D2030">
    <cfRule type="expression" dxfId="1616" priority="2452">
      <formula>ISEVEN(ROW())</formula>
    </cfRule>
  </conditionalFormatting>
  <conditionalFormatting sqref="D2105:E2109">
    <cfRule type="expression" dxfId="1615" priority="2450">
      <formula>ISEVEN(ROW())</formula>
    </cfRule>
  </conditionalFormatting>
  <conditionalFormatting sqref="D2110:E2114">
    <cfRule type="expression" dxfId="1614" priority="2449">
      <formula>ISEVEN(ROW())</formula>
    </cfRule>
  </conditionalFormatting>
  <conditionalFormatting sqref="D2115:E2119">
    <cfRule type="expression" dxfId="1613" priority="2448">
      <formula>ISEVEN(ROW())</formula>
    </cfRule>
  </conditionalFormatting>
  <conditionalFormatting sqref="D2120:E2124">
    <cfRule type="expression" dxfId="1612" priority="2447">
      <formula>ISEVEN(ROW())</formula>
    </cfRule>
  </conditionalFormatting>
  <conditionalFormatting sqref="D2125:E2129">
    <cfRule type="expression" dxfId="1611" priority="2446">
      <formula>ISEVEN(ROW())</formula>
    </cfRule>
  </conditionalFormatting>
  <conditionalFormatting sqref="D2130:E2134">
    <cfRule type="expression" dxfId="1610" priority="2445">
      <formula>ISEVEN(ROW())</formula>
    </cfRule>
  </conditionalFormatting>
  <conditionalFormatting sqref="D2140:E2144">
    <cfRule type="expression" dxfId="1609" priority="2443">
      <formula>ISEVEN(ROW())</formula>
    </cfRule>
  </conditionalFormatting>
  <conditionalFormatting sqref="D2149:E2153">
    <cfRule type="expression" dxfId="1608" priority="2439">
      <formula>ISEVEN(ROW())</formula>
    </cfRule>
  </conditionalFormatting>
  <conditionalFormatting sqref="D2159:E2163">
    <cfRule type="expression" dxfId="1607" priority="2438">
      <formula>ISEVEN(ROW())</formula>
    </cfRule>
  </conditionalFormatting>
  <conditionalFormatting sqref="D2165:E2168 E2164">
    <cfRule type="expression" dxfId="1606" priority="2437">
      <formula>ISEVEN(ROW())</formula>
    </cfRule>
  </conditionalFormatting>
  <conditionalFormatting sqref="D2173:E2177">
    <cfRule type="expression" dxfId="1605" priority="2435">
      <formula>ISEVEN(ROW())</formula>
    </cfRule>
  </conditionalFormatting>
  <conditionalFormatting sqref="D2532:E2536 D2552:E2556">
    <cfRule type="expression" dxfId="1604" priority="2433">
      <formula>ISEVEN(ROW())</formula>
    </cfRule>
  </conditionalFormatting>
  <conditionalFormatting sqref="D2572:E2581">
    <cfRule type="expression" dxfId="1603" priority="2432">
      <formula>ISEVEN(ROW())</formula>
    </cfRule>
  </conditionalFormatting>
  <conditionalFormatting sqref="D2631:E2635">
    <cfRule type="expression" dxfId="1602" priority="2426">
      <formula>ISEVEN(ROW())</formula>
    </cfRule>
  </conditionalFormatting>
  <conditionalFormatting sqref="D2636:E2640">
    <cfRule type="expression" dxfId="1601" priority="2425">
      <formula>ISEVEN(ROW())</formula>
    </cfRule>
  </conditionalFormatting>
  <conditionalFormatting sqref="D2641:E2645">
    <cfRule type="expression" dxfId="1600" priority="2424">
      <formula>ISEVEN(ROW())</formula>
    </cfRule>
  </conditionalFormatting>
  <conditionalFormatting sqref="D2646:E2650">
    <cfRule type="expression" dxfId="1599" priority="2423">
      <formula>ISEVEN(ROW())</formula>
    </cfRule>
  </conditionalFormatting>
  <conditionalFormatting sqref="D2651:E2655">
    <cfRule type="expression" dxfId="1598" priority="2422">
      <formula>ISEVEN(ROW())</formula>
    </cfRule>
  </conditionalFormatting>
  <conditionalFormatting sqref="D2656:E2660">
    <cfRule type="expression" dxfId="1597" priority="2421">
      <formula>ISEVEN(ROW())</formula>
    </cfRule>
  </conditionalFormatting>
  <conditionalFormatting sqref="D2665:E2669">
    <cfRule type="expression" dxfId="1596" priority="2417">
      <formula>ISEVEN(ROW())</formula>
    </cfRule>
  </conditionalFormatting>
  <conditionalFormatting sqref="D2675:E2679">
    <cfRule type="expression" dxfId="1595" priority="2416">
      <formula>ISEVEN(ROW())</formula>
    </cfRule>
  </conditionalFormatting>
  <conditionalFormatting sqref="D2680:E2684">
    <cfRule type="expression" dxfId="1594" priority="2415">
      <formula>ISEVEN(ROW())</formula>
    </cfRule>
  </conditionalFormatting>
  <conditionalFormatting sqref="C667:C671">
    <cfRule type="expression" dxfId="1593" priority="2255">
      <formula>ISEVEN(ROW())</formula>
    </cfRule>
  </conditionalFormatting>
  <conditionalFormatting sqref="D2689:E2693">
    <cfRule type="expression" dxfId="1592" priority="2413">
      <formula>ISEVEN(ROW())</formula>
    </cfRule>
  </conditionalFormatting>
  <conditionalFormatting sqref="D2696:E2696">
    <cfRule type="expression" dxfId="1591" priority="2412">
      <formula>ISEVEN(ROW())</formula>
    </cfRule>
  </conditionalFormatting>
  <conditionalFormatting sqref="E2026:E2030">
    <cfRule type="expression" dxfId="1590" priority="2411">
      <formula>ISEVEN(ROW())</formula>
    </cfRule>
  </conditionalFormatting>
  <conditionalFormatting sqref="D2538:E2541 E2537">
    <cfRule type="expression" dxfId="1589" priority="2410">
      <formula>ISEVEN(ROW())</formula>
    </cfRule>
  </conditionalFormatting>
  <conditionalFormatting sqref="D2543:D2546">
    <cfRule type="expression" dxfId="1588" priority="2409">
      <formula>ISEVEN(ROW())</formula>
    </cfRule>
  </conditionalFormatting>
  <conditionalFormatting sqref="E2542:E2546">
    <cfRule type="expression" dxfId="1587" priority="2408">
      <formula>ISEVEN(ROW())</formula>
    </cfRule>
  </conditionalFormatting>
  <conditionalFormatting sqref="C2567:C2571">
    <cfRule type="expression" dxfId="1586" priority="2407">
      <formula>ISEVEN(ROW())</formula>
    </cfRule>
  </conditionalFormatting>
  <conditionalFormatting sqref="C2410:C2414">
    <cfRule type="expression" dxfId="1585" priority="2405">
      <formula>ISEVEN(ROW())</formula>
    </cfRule>
  </conditionalFormatting>
  <conditionalFormatting sqref="C2415:E2419">
    <cfRule type="expression" dxfId="1584" priority="2404">
      <formula>ISEVEN(ROW())</formula>
    </cfRule>
  </conditionalFormatting>
  <conditionalFormatting sqref="D2522:D2523 D2527:D2528 D2530">
    <cfRule type="expression" dxfId="1583" priority="2386">
      <formula>ISEVEN(ROW())</formula>
    </cfRule>
  </conditionalFormatting>
  <conditionalFormatting sqref="E423">
    <cfRule type="expression" dxfId="1582" priority="2312">
      <formula>ISEVEN(ROW())</formula>
    </cfRule>
  </conditionalFormatting>
  <conditionalFormatting sqref="C1029:C1033">
    <cfRule type="expression" dxfId="1581" priority="2253">
      <formula>ISEVEN(ROW())</formula>
    </cfRule>
  </conditionalFormatting>
  <conditionalFormatting sqref="D2453:E2456">
    <cfRule type="expression" dxfId="1580" priority="2392">
      <formula>ISEVEN(ROW())</formula>
    </cfRule>
  </conditionalFormatting>
  <conditionalFormatting sqref="D2485:E2488">
    <cfRule type="expression" dxfId="1579" priority="2384">
      <formula>ISEVEN(ROW())</formula>
    </cfRule>
  </conditionalFormatting>
  <conditionalFormatting sqref="D2505:E2508">
    <cfRule type="expression" dxfId="1578" priority="2378">
      <formula>ISEVEN(ROW())</formula>
    </cfRule>
  </conditionalFormatting>
  <conditionalFormatting sqref="D2493:E2496">
    <cfRule type="expression" dxfId="1577" priority="2380">
      <formula>ISEVEN(ROW())</formula>
    </cfRule>
  </conditionalFormatting>
  <conditionalFormatting sqref="C1869:C1873">
    <cfRule type="expression" dxfId="1576" priority="2353">
      <formula>ISEVEN(ROW())</formula>
    </cfRule>
  </conditionalFormatting>
  <conditionalFormatting sqref="C855:C857 E853">
    <cfRule type="expression" dxfId="1575" priority="2245">
      <formula>ISEVEN(ROW())</formula>
    </cfRule>
  </conditionalFormatting>
  <conditionalFormatting sqref="E2517">
    <cfRule type="expression" dxfId="1574" priority="2375">
      <formula>ISEVEN(ROW())</formula>
    </cfRule>
  </conditionalFormatting>
  <conditionalFormatting sqref="D372:E375 E566 E747 E928 E1109 E1290 E1475 E1650 E1831 E2015 E2187 D2373:E2373 D2531:E2531 E2710 E2892 E3076 E3259 E3441 E377 E379:E382">
    <cfRule type="expression" dxfId="1573" priority="2372">
      <formula>ISEVEN(ROW())</formula>
    </cfRule>
  </conditionalFormatting>
  <conditionalFormatting sqref="C501 C424:E427 C418:C423 E465:E466 D467:E470 C520:C524 C471:C485 C488:C495 C434:C446 C526:C529">
    <cfRule type="expression" dxfId="1572" priority="2371">
      <formula>ISEVEN(ROW())</formula>
    </cfRule>
  </conditionalFormatting>
  <conditionalFormatting sqref="C785:C789">
    <cfRule type="expression" dxfId="1571" priority="2368">
      <formula>ISEVEN(ROW())</formula>
    </cfRule>
  </conditionalFormatting>
  <conditionalFormatting sqref="C823:C827">
    <cfRule type="expression" dxfId="1570" priority="2366">
      <formula>ISEVEN(ROW())</formula>
    </cfRule>
  </conditionalFormatting>
  <conditionalFormatting sqref="C966:C970">
    <cfRule type="expression" dxfId="1569" priority="2364">
      <formula>ISEVEN(ROW())</formula>
    </cfRule>
  </conditionalFormatting>
  <conditionalFormatting sqref="C1004:C1008">
    <cfRule type="expression" dxfId="1568" priority="2362">
      <formula>ISEVEN(ROW())</formula>
    </cfRule>
  </conditionalFormatting>
  <conditionalFormatting sqref="C1776:C1780">
    <cfRule type="expression" dxfId="1567" priority="2222">
      <formula>ISEVEN(ROW())</formula>
    </cfRule>
  </conditionalFormatting>
  <conditionalFormatting sqref="C858:C862">
    <cfRule type="expression" dxfId="1566" priority="2359">
      <formula>ISEVEN(ROW())</formula>
    </cfRule>
  </conditionalFormatting>
  <conditionalFormatting sqref="C2140:C2144">
    <cfRule type="expression" dxfId="1565" priority="2220">
      <formula>ISEVEN(ROW())</formula>
    </cfRule>
  </conditionalFormatting>
  <conditionalFormatting sqref="C1039:C1043">
    <cfRule type="expression" dxfId="1564" priority="2356">
      <formula>ISEVEN(ROW())</formula>
    </cfRule>
  </conditionalFormatting>
  <conditionalFormatting sqref="C1511:C1515">
    <cfRule type="expression" dxfId="1563" priority="2355">
      <formula>ISEVEN(ROW())</formula>
    </cfRule>
  </conditionalFormatting>
  <conditionalFormatting sqref="C1688:C1692">
    <cfRule type="expression" dxfId="1562" priority="2354">
      <formula>ISEVEN(ROW())</formula>
    </cfRule>
  </conditionalFormatting>
  <conditionalFormatting sqref="C2433:C2436">
    <cfRule type="expression" dxfId="1561" priority="2176">
      <formula>ISEVEN(ROW())</formula>
    </cfRule>
  </conditionalFormatting>
  <conditionalFormatting sqref="C2929:C2933">
    <cfRule type="expression" dxfId="1560" priority="2349">
      <formula>ISEVEN(ROW())</formula>
    </cfRule>
  </conditionalFormatting>
  <conditionalFormatting sqref="C3112:C3116">
    <cfRule type="expression" dxfId="1559" priority="2348">
      <formula>ISEVEN(ROW())</formula>
    </cfRule>
  </conditionalFormatting>
  <conditionalFormatting sqref="C3296:C3300">
    <cfRule type="expression" dxfId="1558" priority="2347">
      <formula>ISEVEN(ROW())</formula>
    </cfRule>
  </conditionalFormatting>
  <conditionalFormatting sqref="C687">
    <cfRule type="expression" dxfId="1557" priority="2286">
      <formula>ISEVEN(ROW())</formula>
    </cfRule>
  </conditionalFormatting>
  <conditionalFormatting sqref="C3561">
    <cfRule type="expression" dxfId="1556" priority="2315">
      <formula>ISEVEN(ROW())</formula>
    </cfRule>
  </conditionalFormatting>
  <conditionalFormatting sqref="C1619:C1623">
    <cfRule type="expression" dxfId="1555" priority="2189">
      <formula>ISEVEN(ROW())</formula>
    </cfRule>
  </conditionalFormatting>
  <conditionalFormatting sqref="E3601 E3619">
    <cfRule type="expression" dxfId="1554" priority="2316">
      <formula>ISEVEN(ROW())</formula>
    </cfRule>
  </conditionalFormatting>
  <conditionalFormatting sqref="C447:C451">
    <cfRule type="expression" dxfId="1553" priority="2309">
      <formula>ISEVEN(ROW())</formula>
    </cfRule>
  </conditionalFormatting>
  <conditionalFormatting sqref="D345:F348 E344:F344">
    <cfRule type="expression" dxfId="1552" priority="2301">
      <formula>ISEVEN(ROW())</formula>
    </cfRule>
  </conditionalFormatting>
  <conditionalFormatting sqref="C2262:C2266">
    <cfRule type="expression" dxfId="1551" priority="2198">
      <formula>ISEVEN(ROW())</formula>
    </cfRule>
  </conditionalFormatting>
  <conditionalFormatting sqref="C995:C999">
    <cfRule type="expression" dxfId="1550" priority="2287">
      <formula>ISEVEN(ROW())</formula>
    </cfRule>
  </conditionalFormatting>
  <conditionalFormatting sqref="C506:C510">
    <cfRule type="expression" dxfId="1549" priority="2314">
      <formula>ISEVEN(ROW())</formula>
    </cfRule>
  </conditionalFormatting>
  <conditionalFormatting sqref="C809:C813">
    <cfRule type="expression" dxfId="1548" priority="2275">
      <formula>ISEVEN(ROW())</formula>
    </cfRule>
  </conditionalFormatting>
  <conditionalFormatting sqref="C2320:C2324">
    <cfRule type="expression" dxfId="1547" priority="2219">
      <formula>ISEVEN(ROW())</formula>
    </cfRule>
  </conditionalFormatting>
  <conditionalFormatting sqref="C868">
    <cfRule type="expression" dxfId="1546" priority="2285">
      <formula>ISEVEN(ROW())</formula>
    </cfRule>
  </conditionalFormatting>
  <conditionalFormatting sqref="C1049">
    <cfRule type="expression" dxfId="1545" priority="2284">
      <formula>ISEVEN(ROW())</formula>
    </cfRule>
  </conditionalFormatting>
  <conditionalFormatting sqref="C692:C696">
    <cfRule type="expression" dxfId="1544" priority="2292">
      <formula>ISEVEN(ROW())</formula>
    </cfRule>
  </conditionalFormatting>
  <conditionalFormatting sqref="D3241:E3241">
    <cfRule type="expression" dxfId="1543" priority="2319">
      <formula>ISEVEN(ROW())</formula>
    </cfRule>
  </conditionalFormatting>
  <conditionalFormatting sqref="C535:C539">
    <cfRule type="expression" dxfId="1542" priority="2308">
      <formula>ISEVEN(ROW())</formula>
    </cfRule>
  </conditionalFormatting>
  <conditionalFormatting sqref="C1957:C1961">
    <cfRule type="expression" dxfId="1541" priority="2221">
      <formula>ISEVEN(ROW())</formula>
    </cfRule>
  </conditionalFormatting>
  <conditionalFormatting sqref="C976:E979">
    <cfRule type="expression" dxfId="1540" priority="2226">
      <formula>ISEVEN(ROW())</formula>
    </cfRule>
  </conditionalFormatting>
  <conditionalFormatting sqref="C662:C666">
    <cfRule type="expression" dxfId="1539" priority="2249">
      <formula>ISEVEN(ROW())</formula>
    </cfRule>
  </conditionalFormatting>
  <conditionalFormatting sqref="C1054:C1058">
    <cfRule type="expression" dxfId="1538" priority="2290">
      <formula>ISEVEN(ROW())</formula>
    </cfRule>
  </conditionalFormatting>
  <conditionalFormatting sqref="C801:C803">
    <cfRule type="expression" dxfId="1537" priority="2251">
      <formula>ISEVEN(ROW())</formula>
    </cfRule>
  </conditionalFormatting>
  <conditionalFormatting sqref="C1580:C1584">
    <cfRule type="expression" dxfId="1536" priority="2194">
      <formula>ISEVEN(ROW())</formula>
    </cfRule>
  </conditionalFormatting>
  <conditionalFormatting sqref="C873:C877">
    <cfRule type="expression" dxfId="1535" priority="2291">
      <formula>ISEVEN(ROW())</formula>
    </cfRule>
  </conditionalFormatting>
  <conditionalFormatting sqref="C633:C637">
    <cfRule type="expression" dxfId="1534" priority="2277">
      <formula>ISEVEN(ROW())</formula>
    </cfRule>
  </conditionalFormatting>
  <conditionalFormatting sqref="C814:C818">
    <cfRule type="expression" dxfId="1533" priority="2288">
      <formula>ISEVEN(ROW())</formula>
    </cfRule>
  </conditionalFormatting>
  <conditionalFormatting sqref="C897:C901">
    <cfRule type="expression" dxfId="1532" priority="2272">
      <formula>ISEVEN(ROW())</formula>
    </cfRule>
  </conditionalFormatting>
  <conditionalFormatting sqref="C674:C676">
    <cfRule type="expression" dxfId="1531" priority="2246">
      <formula>ISEVEN(ROW())</formula>
    </cfRule>
  </conditionalFormatting>
  <conditionalFormatting sqref="C1024:C1028">
    <cfRule type="expression" dxfId="1530" priority="2247">
      <formula>ISEVEN(ROW())</formula>
    </cfRule>
  </conditionalFormatting>
  <conditionalFormatting sqref="C990:C994">
    <cfRule type="expression" dxfId="1529" priority="2274">
      <formula>ISEVEN(ROW())</formula>
    </cfRule>
  </conditionalFormatting>
  <conditionalFormatting sqref="C628:C632">
    <cfRule type="expression" dxfId="1528" priority="2276">
      <formula>ISEVEN(ROW())</formula>
    </cfRule>
  </conditionalFormatting>
  <conditionalFormatting sqref="C1078:C1082">
    <cfRule type="expression" dxfId="1527" priority="2271">
      <formula>ISEVEN(ROW())</formula>
    </cfRule>
  </conditionalFormatting>
  <conditionalFormatting sqref="C716:C720">
    <cfRule type="expression" dxfId="1526" priority="2273">
      <formula>ISEVEN(ROW())</formula>
    </cfRule>
  </conditionalFormatting>
  <conditionalFormatting sqref="C804:C808">
    <cfRule type="expression" dxfId="1525" priority="2269">
      <formula>ISEVEN(ROW())</formula>
    </cfRule>
  </conditionalFormatting>
  <conditionalFormatting sqref="C985:C989">
    <cfRule type="expression" dxfId="1524" priority="2268">
      <formula>ISEVEN(ROW())</formula>
    </cfRule>
  </conditionalFormatting>
  <conditionalFormatting sqref="C623:C627">
    <cfRule type="expression" dxfId="1523" priority="2270">
      <formula>ISEVEN(ROW())</formula>
    </cfRule>
  </conditionalFormatting>
  <conditionalFormatting sqref="C1401:C1405">
    <cfRule type="expression" dxfId="1522" priority="2195">
      <formula>ISEVEN(ROW())</formula>
    </cfRule>
  </conditionalFormatting>
  <conditionalFormatting sqref="C982:E984 D981:E981 E980">
    <cfRule type="expression" dxfId="1521" priority="2250">
      <formula>ISEVEN(ROW())</formula>
    </cfRule>
  </conditionalFormatting>
  <conditionalFormatting sqref="C620:C622">
    <cfRule type="expression" dxfId="1520" priority="2252">
      <formula>ISEVEN(ROW())</formula>
    </cfRule>
  </conditionalFormatting>
  <conditionalFormatting sqref="C1176:C1180">
    <cfRule type="expression" dxfId="1519" priority="2204">
      <formula>ISEVEN(ROW())</formula>
    </cfRule>
  </conditionalFormatting>
  <conditionalFormatting sqref="C848:C852 E848">
    <cfRule type="expression" dxfId="1518" priority="2254">
      <formula>ISEVEN(ROW())</formula>
    </cfRule>
  </conditionalFormatting>
  <conditionalFormatting sqref="C1036:C1038">
    <cfRule type="expression" dxfId="1517" priority="2244">
      <formula>ISEVEN(ROW())</formula>
    </cfRule>
  </conditionalFormatting>
  <conditionalFormatting sqref="C1800:C1804">
    <cfRule type="expression" dxfId="1516" priority="2188">
      <formula>ISEVEN(ROW())</formula>
    </cfRule>
  </conditionalFormatting>
  <conditionalFormatting sqref="C2164:C2168">
    <cfRule type="expression" dxfId="1515" priority="2186">
      <formula>ISEVEN(ROW())</formula>
    </cfRule>
  </conditionalFormatting>
  <conditionalFormatting sqref="C843:C847 E843">
    <cfRule type="expression" dxfId="1514" priority="2248">
      <formula>ISEVEN(ROW())</formula>
    </cfRule>
  </conditionalFormatting>
  <conditionalFormatting sqref="C657:C661">
    <cfRule type="expression" dxfId="1513" priority="2237">
      <formula>ISEVEN(ROW())</formula>
    </cfRule>
  </conditionalFormatting>
  <conditionalFormatting sqref="C2437:C2440">
    <cfRule type="expression" dxfId="1512" priority="2197">
      <formula>ISEVEN(ROW())</formula>
    </cfRule>
  </conditionalFormatting>
  <conditionalFormatting sqref="C838:C842">
    <cfRule type="expression" dxfId="1511" priority="2236">
      <formula>ISEVEN(ROW())</formula>
    </cfRule>
  </conditionalFormatting>
  <conditionalFormatting sqref="C1019:C1023">
    <cfRule type="expression" dxfId="1510" priority="2235">
      <formula>ISEVEN(ROW())</formula>
    </cfRule>
  </conditionalFormatting>
  <conditionalFormatting sqref="C972:E975 C971 E971">
    <cfRule type="expression" dxfId="1509" priority="2229">
      <formula>ISEVEN(ROW())</formula>
    </cfRule>
  </conditionalFormatting>
  <conditionalFormatting sqref="C3151:C3155">
    <cfRule type="expression" dxfId="1508" priority="2083">
      <formula>ISEVEN(ROW())</formula>
    </cfRule>
  </conditionalFormatting>
  <conditionalFormatting sqref="C610:E613 C609 E609">
    <cfRule type="expression" dxfId="1507" priority="2231">
      <formula>ISEVEN(ROW())</formula>
    </cfRule>
  </conditionalFormatting>
  <conditionalFormatting sqref="C791:E794 C790 E790">
    <cfRule type="expression" dxfId="1506" priority="2230">
      <formula>ISEVEN(ROW())</formula>
    </cfRule>
  </conditionalFormatting>
  <conditionalFormatting sqref="C795:E798">
    <cfRule type="expression" dxfId="1505" priority="2227">
      <formula>ISEVEN(ROW())</formula>
    </cfRule>
  </conditionalFormatting>
  <conditionalFormatting sqref="C1235:C1239">
    <cfRule type="expression" dxfId="1504" priority="2225">
      <formula>ISEVEN(ROW())</formula>
    </cfRule>
  </conditionalFormatting>
  <conditionalFormatting sqref="C1416:C1420">
    <cfRule type="expression" dxfId="1503" priority="2224">
      <formula>ISEVEN(ROW())</formula>
    </cfRule>
  </conditionalFormatting>
  <conditionalFormatting sqref="C1595:C1599">
    <cfRule type="expression" dxfId="1502" priority="2223">
      <formula>ISEVEN(ROW())</formula>
    </cfRule>
  </conditionalFormatting>
  <conditionalFormatting sqref="C1530:C1534">
    <cfRule type="expression" dxfId="1501" priority="2173">
      <formula>ISEVEN(ROW())</formula>
    </cfRule>
  </conditionalFormatting>
  <conditionalFormatting sqref="C2344:C2348">
    <cfRule type="expression" dxfId="1500" priority="2185">
      <formula>ISEVEN(ROW())</formula>
    </cfRule>
  </conditionalFormatting>
  <conditionalFormatting sqref="C1386:C1390">
    <cfRule type="expression" dxfId="1499" priority="2145">
      <formula>ISEVEN(ROW())</formula>
    </cfRule>
  </conditionalFormatting>
  <conditionalFormatting sqref="C1205:C1209">
    <cfRule type="expression" dxfId="1498" priority="2146">
      <formula>ISEVEN(ROW())</formula>
    </cfRule>
  </conditionalFormatting>
  <conditionalFormatting sqref="C1746:C1750">
    <cfRule type="expression" dxfId="1497" priority="2143">
      <formula>ISEVEN(ROW())</formula>
    </cfRule>
  </conditionalFormatting>
  <conditionalFormatting sqref="C2061:C2065">
    <cfRule type="expression" dxfId="1496" priority="2097">
      <formula>ISEVEN(ROW())</formula>
    </cfRule>
  </conditionalFormatting>
  <conditionalFormatting sqref="C1893:C1897">
    <cfRule type="expression" dxfId="1495" priority="2179">
      <formula>ISEVEN(ROW())</formula>
    </cfRule>
  </conditionalFormatting>
  <conditionalFormatting sqref="C1717:C1721">
    <cfRule type="expression" dxfId="1494" priority="2201">
      <formula>ISEVEN(ROW())</formula>
    </cfRule>
  </conditionalFormatting>
  <conditionalFormatting sqref="C1540:C1544">
    <cfRule type="expression" dxfId="1493" priority="2202">
      <formula>ISEVEN(ROW())</formula>
    </cfRule>
  </conditionalFormatting>
  <conditionalFormatting sqref="C1898:C1902">
    <cfRule type="expression" dxfId="1492" priority="2200">
      <formula>ISEVEN(ROW())</formula>
    </cfRule>
  </conditionalFormatting>
  <conditionalFormatting sqref="C1220:C1224">
    <cfRule type="expression" dxfId="1491" priority="2196">
      <formula>ISEVEN(ROW())</formula>
    </cfRule>
  </conditionalFormatting>
  <conditionalFormatting sqref="C1761:C1765">
    <cfRule type="expression" dxfId="1490" priority="2193">
      <formula>ISEVEN(ROW())</formula>
    </cfRule>
  </conditionalFormatting>
  <conditionalFormatting sqref="C2125:C2129 C2305:C2309 C1942:C1946">
    <cfRule type="expression" dxfId="1489" priority="2192">
      <formula>ISEVEN(ROW())</formula>
    </cfRule>
  </conditionalFormatting>
  <conditionalFormatting sqref="C1259:C1263">
    <cfRule type="expression" dxfId="1488" priority="2191">
      <formula>ISEVEN(ROW())</formula>
    </cfRule>
  </conditionalFormatting>
  <conditionalFormatting sqref="C1440:C1444">
    <cfRule type="expression" dxfId="1487" priority="2190">
      <formula>ISEVEN(ROW())</formula>
    </cfRule>
  </conditionalFormatting>
  <conditionalFormatting sqref="C1200:C1204">
    <cfRule type="expression" dxfId="1486" priority="2110">
      <formula>ISEVEN(ROW())</formula>
    </cfRule>
  </conditionalFormatting>
  <conditionalFormatting sqref="C1981:C1985">
    <cfRule type="expression" dxfId="1485" priority="2187">
      <formula>ISEVEN(ROW())</formula>
    </cfRule>
  </conditionalFormatting>
  <conditionalFormatting sqref="C1171:C1175">
    <cfRule type="expression" dxfId="1484" priority="2183">
      <formula>ISEVEN(ROW())</formula>
    </cfRule>
  </conditionalFormatting>
  <conditionalFormatting sqref="C1352:C1356">
    <cfRule type="expression" dxfId="1483" priority="2182">
      <formula>ISEVEN(ROW())</formula>
    </cfRule>
  </conditionalFormatting>
  <conditionalFormatting sqref="C1535:C1539">
    <cfRule type="expression" dxfId="1482" priority="2181">
      <formula>ISEVEN(ROW())</formula>
    </cfRule>
  </conditionalFormatting>
  <conditionalFormatting sqref="C1712:C1716">
    <cfRule type="expression" dxfId="1481" priority="2180">
      <formula>ISEVEN(ROW())</formula>
    </cfRule>
  </conditionalFormatting>
  <conditionalFormatting sqref="C2076:C2080">
    <cfRule type="expression" dxfId="1480" priority="2178">
      <formula>ISEVEN(ROW())</formula>
    </cfRule>
  </conditionalFormatting>
  <conditionalFormatting sqref="C2257:C2261">
    <cfRule type="expression" dxfId="1479" priority="2177">
      <formula>ISEVEN(ROW())</formula>
    </cfRule>
  </conditionalFormatting>
  <conditionalFormatting sqref="C1166:C1170">
    <cfRule type="expression" dxfId="1478" priority="2175">
      <formula>ISEVEN(ROW())</formula>
    </cfRule>
  </conditionalFormatting>
  <conditionalFormatting sqref="C1347:C1351">
    <cfRule type="expression" dxfId="1477" priority="2174">
      <formula>ISEVEN(ROW())</formula>
    </cfRule>
  </conditionalFormatting>
  <conditionalFormatting sqref="C1707:C1711">
    <cfRule type="expression" dxfId="1476" priority="2172">
      <formula>ISEVEN(ROW())</formula>
    </cfRule>
  </conditionalFormatting>
  <conditionalFormatting sqref="C1888:C1892">
    <cfRule type="expression" dxfId="1475" priority="2171">
      <formula>ISEVEN(ROW())</formula>
    </cfRule>
  </conditionalFormatting>
  <conditionalFormatting sqref="E2794:E2795 C2790:C2795">
    <cfRule type="expression" dxfId="1474" priority="2046">
      <formula>ISEVEN(ROW())</formula>
    </cfRule>
  </conditionalFormatting>
  <conditionalFormatting sqref="C1371:E1374">
    <cfRule type="expression" dxfId="1473" priority="2161">
      <formula>ISEVEN(ROW())</formula>
    </cfRule>
  </conditionalFormatting>
  <conditionalFormatting sqref="C2095:C2099">
    <cfRule type="expression" dxfId="1472" priority="2157">
      <formula>ISEVEN(ROW())</formula>
    </cfRule>
  </conditionalFormatting>
  <conditionalFormatting sqref="C1885:C1887">
    <cfRule type="expression" dxfId="1471" priority="2137">
      <formula>ISEVEN(ROW())</formula>
    </cfRule>
  </conditionalFormatting>
  <conditionalFormatting sqref="C3137:C3141">
    <cfRule type="expression" dxfId="1470" priority="2057">
      <formula>ISEVEN(ROW())</formula>
    </cfRule>
  </conditionalFormatting>
  <conditionalFormatting sqref="C1210:C1214">
    <cfRule type="expression" dxfId="1469" priority="2151">
      <formula>ISEVEN(ROW())</formula>
    </cfRule>
  </conditionalFormatting>
  <conditionalFormatting sqref="C1391:C1395">
    <cfRule type="expression" dxfId="1468" priority="2150">
      <formula>ISEVEN(ROW())</formula>
    </cfRule>
  </conditionalFormatting>
  <conditionalFormatting sqref="C1570:C1574">
    <cfRule type="expression" dxfId="1467" priority="2149">
      <formula>ISEVEN(ROW())</formula>
    </cfRule>
  </conditionalFormatting>
  <conditionalFormatting sqref="C1751:C1755">
    <cfRule type="expression" dxfId="1466" priority="2148">
      <formula>ISEVEN(ROW())</formula>
    </cfRule>
  </conditionalFormatting>
  <conditionalFormatting sqref="C1932:C1936">
    <cfRule type="expression" dxfId="1465" priority="2147">
      <formula>ISEVEN(ROW())</formula>
    </cfRule>
  </conditionalFormatting>
  <conditionalFormatting sqref="C1566:E1569 C1565 E1565">
    <cfRule type="expression" dxfId="1464" priority="2144">
      <formula>ISEVEN(ROW())</formula>
    </cfRule>
  </conditionalFormatting>
  <conditionalFormatting sqref="C1927:C1931">
    <cfRule type="expression" dxfId="1463" priority="2142">
      <formula>ISEVEN(ROW())</formula>
    </cfRule>
  </conditionalFormatting>
  <conditionalFormatting sqref="C1163:C1165">
    <cfRule type="expression" dxfId="1462" priority="2141">
      <formula>ISEVEN(ROW())</formula>
    </cfRule>
  </conditionalFormatting>
  <conditionalFormatting sqref="C1344:C1346">
    <cfRule type="expression" dxfId="1461" priority="2140">
      <formula>ISEVEN(ROW())</formula>
    </cfRule>
  </conditionalFormatting>
  <conditionalFormatting sqref="C1525:C1529">
    <cfRule type="expression" dxfId="1460" priority="2139">
      <formula>ISEVEN(ROW())</formula>
    </cfRule>
  </conditionalFormatting>
  <conditionalFormatting sqref="C1704:E1706 D1703:E1703 E1702">
    <cfRule type="expression" dxfId="1459" priority="2138">
      <formula>ISEVEN(ROW())</formula>
    </cfRule>
  </conditionalFormatting>
  <conditionalFormatting sqref="C2068:C2070">
    <cfRule type="expression" dxfId="1458" priority="2136">
      <formula>ISEVEN(ROW())</formula>
    </cfRule>
  </conditionalFormatting>
  <conditionalFormatting sqref="C2249:C2251">
    <cfRule type="expression" dxfId="1457" priority="2135">
      <formula>ISEVEN(ROW())</formula>
    </cfRule>
  </conditionalFormatting>
  <conditionalFormatting sqref="C1217:C1219">
    <cfRule type="expression" dxfId="1456" priority="2133">
      <formula>ISEVEN(ROW())</formula>
    </cfRule>
  </conditionalFormatting>
  <conditionalFormatting sqref="C1398:C1400">
    <cfRule type="expression" dxfId="1455" priority="2132">
      <formula>ISEVEN(ROW())</formula>
    </cfRule>
  </conditionalFormatting>
  <conditionalFormatting sqref="C1577:C1579">
    <cfRule type="expression" dxfId="1454" priority="2131">
      <formula>ISEVEN(ROW())</formula>
    </cfRule>
  </conditionalFormatting>
  <conditionalFormatting sqref="C1758:C1760">
    <cfRule type="expression" dxfId="1453" priority="2130">
      <formula>ISEVEN(ROW())</formula>
    </cfRule>
  </conditionalFormatting>
  <conditionalFormatting sqref="C1939:C1941">
    <cfRule type="expression" dxfId="1452" priority="2129">
      <formula>ISEVEN(ROW())</formula>
    </cfRule>
  </conditionalFormatting>
  <conditionalFormatting sqref="C2597:C2601">
    <cfRule type="expression" dxfId="1451" priority="2072">
      <formula>ISEVEN(ROW())</formula>
    </cfRule>
  </conditionalFormatting>
  <conditionalFormatting sqref="C3142:C3146">
    <cfRule type="expression" dxfId="1450" priority="2069">
      <formula>ISEVEN(ROW())</formula>
    </cfRule>
  </conditionalFormatting>
  <conditionalFormatting sqref="C3003:C3007">
    <cfRule type="expression" dxfId="1449" priority="2066">
      <formula>ISEVEN(ROW())</formula>
    </cfRule>
  </conditionalFormatting>
  <conditionalFormatting sqref="C1694:E1697 C1693 E1693">
    <cfRule type="expression" dxfId="1448" priority="2092">
      <formula>ISEVEN(ROW())</formula>
    </cfRule>
  </conditionalFormatting>
  <conditionalFormatting sqref="C3384:C3388">
    <cfRule type="expression" dxfId="1447" priority="2086">
      <formula>ISEVEN(ROW())</formula>
    </cfRule>
  </conditionalFormatting>
  <conditionalFormatting sqref="C3019:C3022">
    <cfRule type="expression" dxfId="1446" priority="2088">
      <formula>ISEVEN(ROW())</formula>
    </cfRule>
  </conditionalFormatting>
  <conditionalFormatting sqref="C2285:C2289">
    <cfRule type="expression" dxfId="1445" priority="2104">
      <formula>ISEVEN(ROW())</formula>
    </cfRule>
  </conditionalFormatting>
  <conditionalFormatting sqref="C3320:C3324">
    <cfRule type="expression" dxfId="1444" priority="2056">
      <formula>ISEVEN(ROW())</formula>
    </cfRule>
  </conditionalFormatting>
  <conditionalFormatting sqref="C1381:C1385 E1381">
    <cfRule type="expression" dxfId="1443" priority="2109">
      <formula>ISEVEN(ROW())</formula>
    </cfRule>
  </conditionalFormatting>
  <conditionalFormatting sqref="C1564 E1564">
    <cfRule type="expression" dxfId="1442" priority="2108">
      <formula>ISEVEN(ROW())</formula>
    </cfRule>
  </conditionalFormatting>
  <conditionalFormatting sqref="C1741:C1745">
    <cfRule type="expression" dxfId="1441" priority="2107">
      <formula>ISEVEN(ROW())</formula>
    </cfRule>
  </conditionalFormatting>
  <conditionalFormatting sqref="C1922:C1926">
    <cfRule type="expression" dxfId="1440" priority="2106">
      <formula>ISEVEN(ROW())</formula>
    </cfRule>
  </conditionalFormatting>
  <conditionalFormatting sqref="C2105:C2109">
    <cfRule type="expression" dxfId="1439" priority="2105">
      <formula>ISEVEN(ROW())</formula>
    </cfRule>
  </conditionalFormatting>
  <conditionalFormatting sqref="C1157:E1160">
    <cfRule type="expression" dxfId="1438" priority="2102">
      <formula>ISEVEN(ROW())</formula>
    </cfRule>
  </conditionalFormatting>
  <conditionalFormatting sqref="C1698:E1701">
    <cfRule type="expression" dxfId="1437" priority="2099">
      <formula>ISEVEN(ROW())</formula>
    </cfRule>
  </conditionalFormatting>
  <conditionalFormatting sqref="C2993:C2997">
    <cfRule type="expression" dxfId="1436" priority="2040">
      <formula>ISEVEN(ROW())</formula>
    </cfRule>
  </conditionalFormatting>
  <conditionalFormatting sqref="C2242:C2246">
    <cfRule type="expression" dxfId="1435" priority="2096">
      <formula>ISEVEN(ROW())</formula>
    </cfRule>
  </conditionalFormatting>
  <conditionalFormatting sqref="C2420:C2424">
    <cfRule type="expression" dxfId="1434" priority="2095">
      <formula>ISEVEN(ROW())</formula>
    </cfRule>
  </conditionalFormatting>
  <conditionalFormatting sqref="C3366:C3368">
    <cfRule type="expression" dxfId="1433" priority="2025">
      <formula>ISEVEN(ROW())</formula>
    </cfRule>
  </conditionalFormatting>
  <conditionalFormatting sqref="C1334:E1337 C1333 E1333">
    <cfRule type="expression" dxfId="1432" priority="2094">
      <formula>ISEVEN(ROW())</formula>
    </cfRule>
  </conditionalFormatting>
  <conditionalFormatting sqref="C1517:E1520 C1516 E1516">
    <cfRule type="expression" dxfId="1431" priority="2093">
      <formula>ISEVEN(ROW())</formula>
    </cfRule>
  </conditionalFormatting>
  <conditionalFormatting sqref="C2949:C2953">
    <cfRule type="expression" dxfId="1430" priority="2053">
      <formula>ISEVEN(ROW())</formula>
    </cfRule>
  </conditionalFormatting>
  <conditionalFormatting sqref="C1875:E1878 C1874 E1874">
    <cfRule type="expression" dxfId="1429" priority="2091">
      <formula>ISEVEN(ROW())</formula>
    </cfRule>
  </conditionalFormatting>
  <conditionalFormatting sqref="C2656:C2660">
    <cfRule type="expression" dxfId="1428" priority="2090">
      <formula>ISEVEN(ROW())</formula>
    </cfRule>
  </conditionalFormatting>
  <conditionalFormatting sqref="C2835:C2839">
    <cfRule type="expression" dxfId="1427" priority="2089">
      <formula>ISEVEN(ROW())</formula>
    </cfRule>
  </conditionalFormatting>
  <conditionalFormatting sqref="C3201:C3205">
    <cfRule type="expression" dxfId="1426" priority="2087">
      <formula>ISEVEN(ROW())</formula>
    </cfRule>
  </conditionalFormatting>
  <conditionalFormatting sqref="C2785:C2789">
    <cfRule type="expression" dxfId="1425" priority="2085">
      <formula>ISEVEN(ROW())</formula>
    </cfRule>
  </conditionalFormatting>
  <conditionalFormatting sqref="C2968:C2972">
    <cfRule type="expression" dxfId="1424" priority="2084">
      <formula>ISEVEN(ROW())</formula>
    </cfRule>
  </conditionalFormatting>
  <conditionalFormatting sqref="C3334:C3338">
    <cfRule type="expression" dxfId="1423" priority="2082">
      <formula>ISEVEN(ROW())</formula>
    </cfRule>
  </conditionalFormatting>
  <conditionalFormatting sqref="C3183:C3185">
    <cfRule type="expression" dxfId="1422" priority="2026">
      <formula>ISEVEN(ROW())</formula>
    </cfRule>
  </conditionalFormatting>
  <conditionalFormatting sqref="C2800:C2804">
    <cfRule type="expression" dxfId="1421" priority="2011">
      <formula>ISEVEN(ROW())</formula>
    </cfRule>
  </conditionalFormatting>
  <conditionalFormatting sqref="C3354:C3358">
    <cfRule type="expression" dxfId="1420" priority="2034">
      <formula>ISEVEN(ROW())</formula>
    </cfRule>
  </conditionalFormatting>
  <conditionalFormatting sqref="C3312:C3314">
    <cfRule type="expression" dxfId="1419" priority="2030">
      <formula>ISEVEN(ROW())</formula>
    </cfRule>
  </conditionalFormatting>
  <conditionalFormatting sqref="C2651:C2655">
    <cfRule type="expression" dxfId="1418" priority="2076">
      <formula>ISEVEN(ROW())</formula>
    </cfRule>
  </conditionalFormatting>
  <conditionalFormatting sqref="C2830">
    <cfRule type="expression" dxfId="1417" priority="2075">
      <formula>ISEVEN(ROW())</formula>
    </cfRule>
  </conditionalFormatting>
  <conditionalFormatting sqref="C3013:C3014">
    <cfRule type="expression" dxfId="1416" priority="2074">
      <formula>ISEVEN(ROW())</formula>
    </cfRule>
  </conditionalFormatting>
  <conditionalFormatting sqref="C3379">
    <cfRule type="expression" dxfId="1415" priority="2073">
      <formula>ISEVEN(ROW())</formula>
    </cfRule>
  </conditionalFormatting>
  <conditionalFormatting sqref="C2763:C2765">
    <cfRule type="expression" dxfId="1414" priority="2033">
      <formula>ISEVEN(ROW())</formula>
    </cfRule>
  </conditionalFormatting>
  <conditionalFormatting sqref="C2776:C2780">
    <cfRule type="expression" dxfId="1413" priority="2071">
      <formula>ISEVEN(ROW())</formula>
    </cfRule>
  </conditionalFormatting>
  <conditionalFormatting sqref="C2959:C2963">
    <cfRule type="expression" dxfId="1412" priority="2070">
      <formula>ISEVEN(ROW())</formula>
    </cfRule>
  </conditionalFormatting>
  <conditionalFormatting sqref="C3123:E3126 C3122 E3122">
    <cfRule type="expression" dxfId="1411" priority="2004">
      <formula>ISEVEN(ROW())</formula>
    </cfRule>
  </conditionalFormatting>
  <conditionalFormatting sqref="C3325:C3329">
    <cfRule type="expression" dxfId="1410" priority="2068">
      <formula>ISEVEN(ROW())</formula>
    </cfRule>
  </conditionalFormatting>
  <conditionalFormatting sqref="C2820:C2824">
    <cfRule type="expression" dxfId="1409" priority="2067">
      <formula>ISEVEN(ROW())</formula>
    </cfRule>
  </conditionalFormatting>
  <conditionalFormatting sqref="C3000:C3002">
    <cfRule type="expression" dxfId="1408" priority="2027">
      <formula>ISEVEN(ROW())</formula>
    </cfRule>
  </conditionalFormatting>
  <conditionalFormatting sqref="C3186:C3190">
    <cfRule type="expression" dxfId="1407" priority="2065">
      <formula>ISEVEN(ROW())</formula>
    </cfRule>
  </conditionalFormatting>
  <conditionalFormatting sqref="C3369:C3373">
    <cfRule type="expression" dxfId="1406" priority="2064">
      <formula>ISEVEN(ROW())</formula>
    </cfRule>
  </conditionalFormatting>
  <conditionalFormatting sqref="C2859:C2863">
    <cfRule type="expression" dxfId="1405" priority="2063">
      <formula>ISEVEN(ROW())</formula>
    </cfRule>
  </conditionalFormatting>
  <conditionalFormatting sqref="C3042:C3046">
    <cfRule type="expression" dxfId="1404" priority="2062">
      <formula>ISEVEN(ROW())</formula>
    </cfRule>
  </conditionalFormatting>
  <conditionalFormatting sqref="C3225:C3229">
    <cfRule type="expression" dxfId="1403" priority="2061">
      <formula>ISEVEN(ROW())</formula>
    </cfRule>
  </conditionalFormatting>
  <conditionalFormatting sqref="C3408:C3412">
    <cfRule type="expression" dxfId="1402" priority="2060">
      <formula>ISEVEN(ROW())</formula>
    </cfRule>
  </conditionalFormatting>
  <conditionalFormatting sqref="C2771:C2775">
    <cfRule type="expression" dxfId="1401" priority="2059">
      <formula>ISEVEN(ROW())</formula>
    </cfRule>
  </conditionalFormatting>
  <conditionalFormatting sqref="C2954:C2958">
    <cfRule type="expression" dxfId="1400" priority="2058">
      <formula>ISEVEN(ROW())</formula>
    </cfRule>
  </conditionalFormatting>
  <conditionalFormatting sqref="C2592:C2596">
    <cfRule type="expression" dxfId="1399" priority="2055">
      <formula>ISEVEN(ROW())</formula>
    </cfRule>
  </conditionalFormatting>
  <conditionalFormatting sqref="C2766:C2770">
    <cfRule type="expression" dxfId="1398" priority="2054">
      <formula>ISEVEN(ROW())</formula>
    </cfRule>
  </conditionalFormatting>
  <conditionalFormatting sqref="C3132:C3136">
    <cfRule type="expression" dxfId="1397" priority="2052">
      <formula>ISEVEN(ROW())</formula>
    </cfRule>
  </conditionalFormatting>
  <conditionalFormatting sqref="C3315:C3319">
    <cfRule type="expression" dxfId="1396" priority="2051">
      <formula>ISEVEN(ROW())</formula>
    </cfRule>
  </conditionalFormatting>
  <conditionalFormatting sqref="C2611:C2615">
    <cfRule type="expression" dxfId="1395" priority="2042">
      <formula>ISEVEN(ROW())</formula>
    </cfRule>
  </conditionalFormatting>
  <conditionalFormatting sqref="C2810:C2814">
    <cfRule type="expression" dxfId="1394" priority="2041">
      <formula>ISEVEN(ROW())</formula>
    </cfRule>
  </conditionalFormatting>
  <conditionalFormatting sqref="C3176:C3180">
    <cfRule type="expression" dxfId="1393" priority="2039">
      <formula>ISEVEN(ROW())</formula>
    </cfRule>
  </conditionalFormatting>
  <conditionalFormatting sqref="C3359:C3363">
    <cfRule type="expression" dxfId="1392" priority="2038">
      <formula>ISEVEN(ROW())</formula>
    </cfRule>
  </conditionalFormatting>
  <conditionalFormatting sqref="C2805:C2809">
    <cfRule type="expression" dxfId="1391" priority="2037">
      <formula>ISEVEN(ROW())</formula>
    </cfRule>
  </conditionalFormatting>
  <conditionalFormatting sqref="C2988:C2992">
    <cfRule type="expression" dxfId="1390" priority="2036">
      <formula>ISEVEN(ROW())</formula>
    </cfRule>
  </conditionalFormatting>
  <conditionalFormatting sqref="C3171:C3175">
    <cfRule type="expression" dxfId="1389" priority="2035">
      <formula>ISEVEN(ROW())</formula>
    </cfRule>
  </conditionalFormatting>
  <conditionalFormatting sqref="C2946:E2948 D2945:E2945 E2944">
    <cfRule type="expression" dxfId="1388" priority="2032">
      <formula>ISEVEN(ROW())</formula>
    </cfRule>
  </conditionalFormatting>
  <conditionalFormatting sqref="C3129:C3131">
    <cfRule type="expression" dxfId="1387" priority="2031">
      <formula>ISEVEN(ROW())</formula>
    </cfRule>
  </conditionalFormatting>
  <conditionalFormatting sqref="C1972:C1975 C2155:C2158 C2335:C2338 C2497:C2504 C2671:C2674 C1977:C1980 C2160:C2163 C2340:C2343 C2676:C2679">
    <cfRule type="expression" dxfId="1386" priority="1952">
      <formula>ISEVEN(ROW())</formula>
    </cfRule>
  </conditionalFormatting>
  <conditionalFormatting sqref="C2584:C2586">
    <cfRule type="expression" dxfId="1385" priority="2029">
      <formula>ISEVEN(ROW())</formula>
    </cfRule>
  </conditionalFormatting>
  <conditionalFormatting sqref="C2817:C2819">
    <cfRule type="expression" dxfId="1384" priority="2028">
      <formula>ISEVEN(ROW())</formula>
    </cfRule>
  </conditionalFormatting>
  <conditionalFormatting sqref="C1997">
    <cfRule type="expression" dxfId="1383" priority="1989">
      <formula>ISEVEN(ROW())</formula>
    </cfRule>
  </conditionalFormatting>
  <conditionalFormatting sqref="C1462 C1652">
    <cfRule type="expression" dxfId="1382" priority="1911">
      <formula>ISEVEN(ROW())</formula>
    </cfRule>
  </conditionalFormatting>
  <conditionalFormatting sqref="G1997">
    <cfRule type="expression" dxfId="1381" priority="1988">
      <formula>ISEVEN(ROW())</formula>
    </cfRule>
  </conditionalFormatting>
  <conditionalFormatting sqref="F3215:F3219">
    <cfRule type="expression" dxfId="1380" priority="1957">
      <formula>ISEVEN(ROW())</formula>
    </cfRule>
  </conditionalFormatting>
  <conditionalFormatting sqref="C2983:C2987">
    <cfRule type="expression" dxfId="1379" priority="2010">
      <formula>ISEVEN(ROW())</formula>
    </cfRule>
  </conditionalFormatting>
  <conditionalFormatting sqref="C3166:C3170">
    <cfRule type="expression" dxfId="1378" priority="2009">
      <formula>ISEVEN(ROW())</formula>
    </cfRule>
  </conditionalFormatting>
  <conditionalFormatting sqref="C3349:C3353">
    <cfRule type="expression" dxfId="1377" priority="2008">
      <formula>ISEVEN(ROW())</formula>
    </cfRule>
  </conditionalFormatting>
  <conditionalFormatting sqref="C2621:C2625">
    <cfRule type="expression" dxfId="1376" priority="2007">
      <formula>ISEVEN(ROW())</formula>
    </cfRule>
  </conditionalFormatting>
  <conditionalFormatting sqref="C2757:E2760">
    <cfRule type="expression" dxfId="1375" priority="2006">
      <formula>ISEVEN(ROW())</formula>
    </cfRule>
  </conditionalFormatting>
  <conditionalFormatting sqref="C2940:E2943 C2939 E2939">
    <cfRule type="expression" dxfId="1374" priority="2005">
      <formula>ISEVEN(ROW())</formula>
    </cfRule>
  </conditionalFormatting>
  <conditionalFormatting sqref="C1250:C1253">
    <cfRule type="expression" dxfId="1373" priority="1964">
      <formula>ISEVEN(ROW())</formula>
    </cfRule>
  </conditionalFormatting>
  <conditionalFormatting sqref="C3306:E3309">
    <cfRule type="expression" dxfId="1372" priority="2003">
      <formula>ISEVEN(ROW())</formula>
    </cfRule>
  </conditionalFormatting>
  <conditionalFormatting sqref="C2577:C2581">
    <cfRule type="expression" dxfId="1371" priority="2002">
      <formula>ISEVEN(ROW())</formula>
    </cfRule>
  </conditionalFormatting>
  <conditionalFormatting sqref="C2753:E2756 C2752 E2752">
    <cfRule type="expression" dxfId="1370" priority="2001">
      <formula>ISEVEN(ROW())</formula>
    </cfRule>
  </conditionalFormatting>
  <conditionalFormatting sqref="C2935:E2938 C2934 E2934">
    <cfRule type="expression" dxfId="1369" priority="2000">
      <formula>ISEVEN(ROW())</formula>
    </cfRule>
  </conditionalFormatting>
  <conditionalFormatting sqref="C3118:E3121 C3117 E3117">
    <cfRule type="expression" dxfId="1368" priority="1999">
      <formula>ISEVEN(ROW())</formula>
    </cfRule>
  </conditionalFormatting>
  <conditionalFormatting sqref="C3302:E3305 C3301 E3301">
    <cfRule type="expression" dxfId="1367" priority="1998">
      <formula>ISEVEN(ROW())</formula>
    </cfRule>
  </conditionalFormatting>
  <conditionalFormatting sqref="C2178">
    <cfRule type="expression" dxfId="1366" priority="1997">
      <formula>ISEVEN(ROW())</formula>
    </cfRule>
  </conditionalFormatting>
  <conditionalFormatting sqref="C2358">
    <cfRule type="expression" dxfId="1365" priority="1996">
      <formula>ISEVEN(ROW())</formula>
    </cfRule>
  </conditionalFormatting>
  <conditionalFormatting sqref="C2696">
    <cfRule type="expression" dxfId="1364" priority="1995">
      <formula>ISEVEN(ROW())</formula>
    </cfRule>
  </conditionalFormatting>
  <conditionalFormatting sqref="C3241">
    <cfRule type="expression" dxfId="1363" priority="1994">
      <formula>ISEVEN(ROW())</formula>
    </cfRule>
  </conditionalFormatting>
  <conditionalFormatting sqref="G3241">
    <cfRule type="expression" dxfId="1362" priority="1993">
      <formula>ISEVEN(ROW())</formula>
    </cfRule>
  </conditionalFormatting>
  <conditionalFormatting sqref="G1814">
    <cfRule type="expression" dxfId="1361" priority="1991">
      <formula>ISEVEN(ROW())</formula>
    </cfRule>
  </conditionalFormatting>
  <conditionalFormatting sqref="D1997:E1997">
    <cfRule type="expression" dxfId="1360" priority="1990">
      <formula>ISEVEN(ROW())</formula>
    </cfRule>
  </conditionalFormatting>
  <conditionalFormatting sqref="F887:F891">
    <cfRule type="expression" dxfId="1359" priority="1986">
      <formula>ISEVEN(ROW())</formula>
    </cfRule>
  </conditionalFormatting>
  <conditionalFormatting sqref="F1430:F1434">
    <cfRule type="expression" dxfId="1358" priority="1985">
      <formula>ISEVEN(ROW())</formula>
    </cfRule>
  </conditionalFormatting>
  <conditionalFormatting sqref="F2334:F2338">
    <cfRule type="expression" dxfId="1357" priority="1972">
      <formula>ISEVEN(ROW())</formula>
    </cfRule>
  </conditionalFormatting>
  <conditionalFormatting sqref="C1431:C1434">
    <cfRule type="expression" dxfId="1356" priority="1983">
      <formula>ISEVEN(ROW())</formula>
    </cfRule>
  </conditionalFormatting>
  <conditionalFormatting sqref="F2154:F2158">
    <cfRule type="expression" dxfId="1355" priority="1982">
      <formula>ISEVEN(ROW())</formula>
    </cfRule>
  </conditionalFormatting>
  <conditionalFormatting sqref="D2154:E2158">
    <cfRule type="expression" dxfId="1354" priority="1980">
      <formula>ISEVEN(ROW())</formula>
    </cfRule>
  </conditionalFormatting>
  <conditionalFormatting sqref="D2670:E2674">
    <cfRule type="expression" dxfId="1353" priority="1979">
      <formula>ISEVEN(ROW())</formula>
    </cfRule>
  </conditionalFormatting>
  <conditionalFormatting sqref="F1609:F1613">
    <cfRule type="expression" dxfId="1352" priority="1978">
      <formula>ISEVEN(ROW())</formula>
    </cfRule>
  </conditionalFormatting>
  <conditionalFormatting sqref="C1610:C1613">
    <cfRule type="expression" dxfId="1351" priority="1976">
      <formula>ISEVEN(ROW())</formula>
    </cfRule>
  </conditionalFormatting>
  <conditionalFormatting sqref="F3398:F3402">
    <cfRule type="expression" dxfId="1350" priority="1975">
      <formula>ISEVEN(ROW())</formula>
    </cfRule>
  </conditionalFormatting>
  <conditionalFormatting sqref="F3032:F3036">
    <cfRule type="expression" dxfId="1349" priority="1969">
      <formula>ISEVEN(ROW())</formula>
    </cfRule>
  </conditionalFormatting>
  <conditionalFormatting sqref="C2694:C2695">
    <cfRule type="expression" dxfId="1348" priority="1856">
      <formula>ISEVEN(ROW())</formula>
    </cfRule>
  </conditionalFormatting>
  <conditionalFormatting sqref="F1249:F1253">
    <cfRule type="expression" dxfId="1347" priority="1966">
      <formula>ISEVEN(ROW())</formula>
    </cfRule>
  </conditionalFormatting>
  <conditionalFormatting sqref="F1790:F1794">
    <cfRule type="expression" dxfId="1346" priority="1963">
      <formula>ISEVEN(ROW())</formula>
    </cfRule>
  </conditionalFormatting>
  <conditionalFormatting sqref="C1791:C1794">
    <cfRule type="expression" dxfId="1345" priority="1961">
      <formula>ISEVEN(ROW())</formula>
    </cfRule>
  </conditionalFormatting>
  <conditionalFormatting sqref="F2497:F2500">
    <cfRule type="expression" dxfId="1344" priority="1960">
      <formula>ISEVEN(ROW())</formula>
    </cfRule>
  </conditionalFormatting>
  <conditionalFormatting sqref="F1971:F1975">
    <cfRule type="expression" dxfId="1343" priority="1954">
      <formula>ISEVEN(ROW())</formula>
    </cfRule>
  </conditionalFormatting>
  <conditionalFormatting sqref="F2849:F2853">
    <cfRule type="expression" dxfId="1342" priority="1951">
      <formula>ISEVEN(ROW())</formula>
    </cfRule>
  </conditionalFormatting>
  <conditionalFormatting sqref="F1068:F1072">
    <cfRule type="expression" dxfId="1341" priority="1948">
      <formula>ISEVEN(ROW())</formula>
    </cfRule>
  </conditionalFormatting>
  <conditionalFormatting sqref="D2001:E2001">
    <cfRule type="expression" dxfId="1340" priority="1945">
      <formula>ISEVEN(ROW())</formula>
    </cfRule>
  </conditionalFormatting>
  <conditionalFormatting sqref="C2001">
    <cfRule type="expression" dxfId="1339" priority="1944">
      <formula>ISEVEN(ROW())</formula>
    </cfRule>
  </conditionalFormatting>
  <conditionalFormatting sqref="B2694:B2695">
    <cfRule type="expression" dxfId="1338" priority="1858">
      <formula>ISEVEN(ROW())</formula>
    </cfRule>
  </conditionalFormatting>
  <conditionalFormatting sqref="C3424:C3426">
    <cfRule type="expression" dxfId="1337" priority="1838">
      <formula>ISEVEN(ROW())</formula>
    </cfRule>
  </conditionalFormatting>
  <conditionalFormatting sqref="G3242:G3244">
    <cfRule type="expression" dxfId="1336" priority="1825">
      <formula>ISEVEN(ROW())</formula>
    </cfRule>
  </conditionalFormatting>
  <conditionalFormatting sqref="B744:B746">
    <cfRule type="expression" dxfId="1335" priority="1685">
      <formula>ISEVEN(ROW())</formula>
    </cfRule>
  </conditionalFormatting>
  <conditionalFormatting sqref="D2694:E2695">
    <cfRule type="expression" dxfId="1334" priority="1857">
      <formula>ISEVEN(ROW())</formula>
    </cfRule>
  </conditionalFormatting>
  <conditionalFormatting sqref="D2875:E2877">
    <cfRule type="expression" dxfId="1333" priority="1824">
      <formula>ISEVEN(ROW())</formula>
    </cfRule>
  </conditionalFormatting>
  <conditionalFormatting sqref="C2875:C2877">
    <cfRule type="expression" dxfId="1332" priority="1823">
      <formula>ISEVEN(ROW())</formula>
    </cfRule>
  </conditionalFormatting>
  <conditionalFormatting sqref="D3424:E3426">
    <cfRule type="expression" dxfId="1331" priority="1839">
      <formula>ISEVEN(ROW())</formula>
    </cfRule>
  </conditionalFormatting>
  <conditionalFormatting sqref="C2874">
    <cfRule type="expression" dxfId="1330" priority="1779">
      <formula>ISEVEN(ROW())</formula>
    </cfRule>
  </conditionalFormatting>
  <conditionalFormatting sqref="E2874">
    <cfRule type="expression" dxfId="1329" priority="1778">
      <formula>ISEVEN(ROW())</formula>
    </cfRule>
  </conditionalFormatting>
  <conditionalFormatting sqref="C3058:C3060">
    <cfRule type="expression" dxfId="1328" priority="1835">
      <formula>ISEVEN(ROW())</formula>
    </cfRule>
  </conditionalFormatting>
  <conditionalFormatting sqref="G3424:G3426">
    <cfRule type="expression" dxfId="1327" priority="1837">
      <formula>ISEVEN(ROW())</formula>
    </cfRule>
  </conditionalFormatting>
  <conditionalFormatting sqref="D3058:E3060">
    <cfRule type="expression" dxfId="1326" priority="1836">
      <formula>ISEVEN(ROW())</formula>
    </cfRule>
  </conditionalFormatting>
  <conditionalFormatting sqref="C3423">
    <cfRule type="expression" dxfId="1325" priority="1770">
      <formula>ISEVEN(ROW())</formula>
    </cfRule>
  </conditionalFormatting>
  <conditionalFormatting sqref="D3242:E3244">
    <cfRule type="expression" dxfId="1324" priority="1827">
      <formula>ISEVEN(ROW())</formula>
    </cfRule>
  </conditionalFormatting>
  <conditionalFormatting sqref="C3242:C3244">
    <cfRule type="expression" dxfId="1323" priority="1826">
      <formula>ISEVEN(ROW())</formula>
    </cfRule>
  </conditionalFormatting>
  <conditionalFormatting sqref="B2186 F2186 F2193:F2197">
    <cfRule type="expression" dxfId="1322" priority="1732">
      <formula>ISEVEN(ROW())</formula>
    </cfRule>
  </conditionalFormatting>
  <conditionalFormatting sqref="E3423">
    <cfRule type="expression" dxfId="1321" priority="1769">
      <formula>ISEVEN(ROW())</formula>
    </cfRule>
  </conditionalFormatting>
  <conditionalFormatting sqref="C2375">
    <cfRule type="expression" dxfId="1320" priority="1785">
      <formula>ISEVEN(ROW())</formula>
    </cfRule>
  </conditionalFormatting>
  <conditionalFormatting sqref="E2375">
    <cfRule type="expression" dxfId="1319" priority="1784">
      <formula>ISEVEN(ROW())</formula>
    </cfRule>
  </conditionalFormatting>
  <conditionalFormatting sqref="B3624:C3626">
    <cfRule type="expression" dxfId="1318" priority="1736">
      <formula>ISEVEN(ROW())</formula>
    </cfRule>
  </conditionalFormatting>
  <conditionalFormatting sqref="D3624:E3625 E3626">
    <cfRule type="expression" dxfId="1317" priority="1735">
      <formula>ISEVEN(ROW())</formula>
    </cfRule>
  </conditionalFormatting>
  <conditionalFormatting sqref="B178:C181 B189:C189 C182">
    <cfRule type="expression" dxfId="1316" priority="1734">
      <formula>ISEVEN(ROW())</formula>
    </cfRule>
  </conditionalFormatting>
  <conditionalFormatting sqref="E363 E365">
    <cfRule type="expression" dxfId="1315" priority="1640">
      <formula>ISEVEN(ROW())</formula>
    </cfRule>
  </conditionalFormatting>
  <conditionalFormatting sqref="C1821:C1825">
    <cfRule type="expression" dxfId="1314" priority="1724">
      <formula>ISEVEN(ROW())</formula>
    </cfRule>
  </conditionalFormatting>
  <conditionalFormatting sqref="D1821:E1825">
    <cfRule type="expression" dxfId="1313" priority="1723">
      <formula>ISEVEN(ROW())</formula>
    </cfRule>
  </conditionalFormatting>
  <conditionalFormatting sqref="D178:E182 D189:E189">
    <cfRule type="expression" dxfId="1312" priority="1733">
      <formula>ISEVEN(ROW())</formula>
    </cfRule>
  </conditionalFormatting>
  <conditionalFormatting sqref="C2881:C2885">
    <cfRule type="expression" dxfId="1311" priority="1715">
      <formula>ISEVEN(ROW())</formula>
    </cfRule>
  </conditionalFormatting>
  <conditionalFormatting sqref="D2881:E2885">
    <cfRule type="expression" dxfId="1310" priority="1714">
      <formula>ISEVEN(ROW())</formula>
    </cfRule>
  </conditionalFormatting>
  <conditionalFormatting sqref="C1833">
    <cfRule type="expression" dxfId="1309" priority="1751">
      <formula>ISEVEN(ROW())</formula>
    </cfRule>
  </conditionalFormatting>
  <conditionalFormatting sqref="G3434">
    <cfRule type="expression" dxfId="1308" priority="1694">
      <formula>ISEVEN(ROW())</formula>
    </cfRule>
  </conditionalFormatting>
  <conditionalFormatting sqref="E561 E563:E565">
    <cfRule type="expression" dxfId="1307" priority="1686">
      <formula>ISEVEN(ROW())</formula>
    </cfRule>
  </conditionalFormatting>
  <conditionalFormatting sqref="D555:E559">
    <cfRule type="expression" dxfId="1306" priority="1707">
      <formula>ISEVEN(ROW())</formula>
    </cfRule>
  </conditionalFormatting>
  <conditionalFormatting sqref="D736:E740">
    <cfRule type="expression" dxfId="1305" priority="1706">
      <formula>ISEVEN(ROW())</formula>
    </cfRule>
  </conditionalFormatting>
  <conditionalFormatting sqref="C1463:C1467 C1469">
    <cfRule type="expression" dxfId="1304" priority="1728">
      <formula>ISEVEN(ROW())</formula>
    </cfRule>
  </conditionalFormatting>
  <conditionalFormatting sqref="C2186">
    <cfRule type="expression" dxfId="1303" priority="1731">
      <formula>ISEVEN(ROW())</formula>
    </cfRule>
  </conditionalFormatting>
  <conditionalFormatting sqref="D1463:E1467 E1469">
    <cfRule type="expression" dxfId="1302" priority="1727">
      <formula>ISEVEN(ROW())</formula>
    </cfRule>
  </conditionalFormatting>
  <conditionalFormatting sqref="C1639:C1643">
    <cfRule type="expression" dxfId="1301" priority="1726">
      <formula>ISEVEN(ROW())</formula>
    </cfRule>
  </conditionalFormatting>
  <conditionalFormatting sqref="D1639:E1643">
    <cfRule type="expression" dxfId="1300" priority="1725">
      <formula>ISEVEN(ROW())</formula>
    </cfRule>
  </conditionalFormatting>
  <conditionalFormatting sqref="C2006:C2009">
    <cfRule type="expression" dxfId="1299" priority="1722">
      <formula>ISEVEN(ROW())</formula>
    </cfRule>
  </conditionalFormatting>
  <conditionalFormatting sqref="D2006:E2009">
    <cfRule type="expression" dxfId="1298" priority="1721">
      <formula>ISEVEN(ROW())</formula>
    </cfRule>
  </conditionalFormatting>
  <conditionalFormatting sqref="C2365:C2368">
    <cfRule type="expression" dxfId="1297" priority="1720">
      <formula>ISEVEN(ROW())</formula>
    </cfRule>
  </conditionalFormatting>
  <conditionalFormatting sqref="D2365:E2368">
    <cfRule type="expression" dxfId="1296" priority="1719">
      <formula>ISEVEN(ROW())</formula>
    </cfRule>
  </conditionalFormatting>
  <conditionalFormatting sqref="D2700:E2704">
    <cfRule type="expression" dxfId="1295" priority="1716">
      <formula>ISEVEN(ROW())</formula>
    </cfRule>
  </conditionalFormatting>
  <conditionalFormatting sqref="B183:C183 C379 C563 C1106 C1287 C1472 C1647 C1828 C2012 C2190 C2370 C2528 C2707 C2889 C3073 C3256 C3438 C432:C433 C618:C619 C744 C925 B185:C187 C377 C561 C742 C923 C1104 C1285 B182 B376:B377 B560:B561 B741:B742 B922:B923 B1103:B1104 B1284:B1285 B1468:B1470 B1644:B1645 B1826 B2010 B2188 B2369 B2527 B2705 B2886:B2887 B3070:B3071 B3253:B3254 B3435:B3436">
    <cfRule type="expression" dxfId="1294" priority="1689">
      <formula>ISEVEN(ROW())</formula>
    </cfRule>
  </conditionalFormatting>
  <conditionalFormatting sqref="D2707:E2709 E2705">
    <cfRule type="expression" dxfId="1293" priority="1659">
      <formula>ISEVEN(ROW())</formula>
    </cfRule>
  </conditionalFormatting>
  <conditionalFormatting sqref="C3065:C3069">
    <cfRule type="expression" dxfId="1292" priority="1713">
      <formula>ISEVEN(ROW())</formula>
    </cfRule>
  </conditionalFormatting>
  <conditionalFormatting sqref="D3066:E3069">
    <cfRule type="expression" dxfId="1291" priority="1712">
      <formula>ISEVEN(ROW())</formula>
    </cfRule>
  </conditionalFormatting>
  <conditionalFormatting sqref="C3248:C3252">
    <cfRule type="expression" dxfId="1290" priority="1711">
      <formula>ISEVEN(ROW())</formula>
    </cfRule>
  </conditionalFormatting>
  <conditionalFormatting sqref="D3248:E3252">
    <cfRule type="expression" dxfId="1289" priority="1710">
      <formula>ISEVEN(ROW())</formula>
    </cfRule>
  </conditionalFormatting>
  <conditionalFormatting sqref="D3430:E3434">
    <cfRule type="expression" dxfId="1288" priority="1708">
      <formula>ISEVEN(ROW())</formula>
    </cfRule>
  </conditionalFormatting>
  <conditionalFormatting sqref="D917:E921">
    <cfRule type="expression" dxfId="1287" priority="1705">
      <formula>ISEVEN(ROW())</formula>
    </cfRule>
  </conditionalFormatting>
  <conditionalFormatting sqref="D1098:E1102">
    <cfRule type="expression" dxfId="1286" priority="1704">
      <formula>ISEVEN(ROW())</formula>
    </cfRule>
  </conditionalFormatting>
  <conditionalFormatting sqref="G3248">
    <cfRule type="expression" dxfId="1285" priority="1703">
      <formula>ISEVEN(ROW())</formula>
    </cfRule>
  </conditionalFormatting>
  <conditionalFormatting sqref="G3249">
    <cfRule type="expression" dxfId="1284" priority="1702">
      <formula>ISEVEN(ROW())</formula>
    </cfRule>
  </conditionalFormatting>
  <conditionalFormatting sqref="G3250">
    <cfRule type="expression" dxfId="1283" priority="1701">
      <formula>ISEVEN(ROW())</formula>
    </cfRule>
  </conditionalFormatting>
  <conditionalFormatting sqref="G3251">
    <cfRule type="expression" dxfId="1282" priority="1700">
      <formula>ISEVEN(ROW())</formula>
    </cfRule>
  </conditionalFormatting>
  <conditionalFormatting sqref="G3252">
    <cfRule type="expression" dxfId="1281" priority="1699">
      <formula>ISEVEN(ROW())</formula>
    </cfRule>
  </conditionalFormatting>
  <conditionalFormatting sqref="G3430">
    <cfRule type="expression" dxfId="1280" priority="1698">
      <formula>ISEVEN(ROW())</formula>
    </cfRule>
  </conditionalFormatting>
  <conditionalFormatting sqref="G3431">
    <cfRule type="expression" dxfId="1279" priority="1697">
      <formula>ISEVEN(ROW())</formula>
    </cfRule>
  </conditionalFormatting>
  <conditionalFormatting sqref="G3432">
    <cfRule type="expression" dxfId="1278" priority="1696">
      <formula>ISEVEN(ROW())</formula>
    </cfRule>
  </conditionalFormatting>
  <conditionalFormatting sqref="G3433">
    <cfRule type="expression" dxfId="1277" priority="1695">
      <formula>ISEVEN(ROW())</formula>
    </cfRule>
  </conditionalFormatting>
  <conditionalFormatting sqref="C2193:C2197">
    <cfRule type="expression" dxfId="1276" priority="1693">
      <formula>ISEVEN(ROW())</formula>
    </cfRule>
  </conditionalFormatting>
  <conditionalFormatting sqref="D2193:E2197">
    <cfRule type="expression" dxfId="1275" priority="1692">
      <formula>ISEVEN(ROW())</formula>
    </cfRule>
  </conditionalFormatting>
  <conditionalFormatting sqref="C2700:C2704">
    <cfRule type="expression" dxfId="1274" priority="1691">
      <formula>ISEVEN(ROW())</formula>
    </cfRule>
  </conditionalFormatting>
  <conditionalFormatting sqref="C3430:C3434">
    <cfRule type="expression" dxfId="1273" priority="1690">
      <formula>ISEVEN(ROW())</formula>
    </cfRule>
  </conditionalFormatting>
  <conditionalFormatting sqref="B564:C565 B563">
    <cfRule type="expression" dxfId="1272" priority="1687">
      <formula>ISEVEN(ROW())</formula>
    </cfRule>
  </conditionalFormatting>
  <conditionalFormatting sqref="E3436 E3438:E3440">
    <cfRule type="expression" dxfId="1271" priority="1647">
      <formula>ISEVEN(ROW())</formula>
    </cfRule>
  </conditionalFormatting>
  <conditionalFormatting sqref="C173:C174">
    <cfRule type="expression" dxfId="1270" priority="1645">
      <formula>ISEVEN(ROW())</formula>
    </cfRule>
  </conditionalFormatting>
  <conditionalFormatting sqref="E742 E744:E746">
    <cfRule type="expression" dxfId="1269" priority="1684">
      <formula>ISEVEN(ROW())</formula>
    </cfRule>
  </conditionalFormatting>
  <conditionalFormatting sqref="B925:B927">
    <cfRule type="expression" dxfId="1268" priority="1683">
      <formula>ISEVEN(ROW())</formula>
    </cfRule>
  </conditionalFormatting>
  <conditionalFormatting sqref="E923 E925:E927">
    <cfRule type="expression" dxfId="1267" priority="1682">
      <formula>ISEVEN(ROW())</formula>
    </cfRule>
  </conditionalFormatting>
  <conditionalFormatting sqref="B1107:C1108 B1106">
    <cfRule type="expression" dxfId="1266" priority="1681">
      <formula>ISEVEN(ROW())</formula>
    </cfRule>
  </conditionalFormatting>
  <conditionalFormatting sqref="E1104 E1106:E1108">
    <cfRule type="expression" dxfId="1265" priority="1680">
      <formula>ISEVEN(ROW())</formula>
    </cfRule>
  </conditionalFormatting>
  <conditionalFormatting sqref="B1288:C1289 B1287">
    <cfRule type="expression" dxfId="1264" priority="1679">
      <formula>ISEVEN(ROW())</formula>
    </cfRule>
  </conditionalFormatting>
  <conditionalFormatting sqref="E1285 E1287:E1289">
    <cfRule type="expression" dxfId="1263" priority="1678">
      <formula>ISEVEN(ROW())</formula>
    </cfRule>
  </conditionalFormatting>
  <conditionalFormatting sqref="B1473:C1474 B1472">
    <cfRule type="expression" dxfId="1262" priority="1677">
      <formula>ISEVEN(ROW())</formula>
    </cfRule>
  </conditionalFormatting>
  <conditionalFormatting sqref="E1470 E1472:E1474">
    <cfRule type="expression" dxfId="1261" priority="1676">
      <formula>ISEVEN(ROW())</formula>
    </cfRule>
  </conditionalFormatting>
  <conditionalFormatting sqref="B1648:C1649 B1647">
    <cfRule type="expression" dxfId="1260" priority="1675">
      <formula>ISEVEN(ROW())</formula>
    </cfRule>
  </conditionalFormatting>
  <conditionalFormatting sqref="E1645 E1647:E1649">
    <cfRule type="expression" dxfId="1259" priority="1674">
      <formula>ISEVEN(ROW())</formula>
    </cfRule>
  </conditionalFormatting>
  <conditionalFormatting sqref="B1829:C1830 B1828">
    <cfRule type="expression" dxfId="1258" priority="1673">
      <formula>ISEVEN(ROW())</formula>
    </cfRule>
  </conditionalFormatting>
  <conditionalFormatting sqref="E1826 E1828:E1830">
    <cfRule type="expression" dxfId="1257" priority="1672">
      <formula>ISEVEN(ROW())</formula>
    </cfRule>
  </conditionalFormatting>
  <conditionalFormatting sqref="B2013:C2014 B2012">
    <cfRule type="expression" dxfId="1256" priority="1671">
      <formula>ISEVEN(ROW())</formula>
    </cfRule>
  </conditionalFormatting>
  <conditionalFormatting sqref="E2010 E2012:E2014">
    <cfRule type="expression" dxfId="1255" priority="1670">
      <formula>ISEVEN(ROW())</formula>
    </cfRule>
  </conditionalFormatting>
  <conditionalFormatting sqref="B2191:C2192 B2190">
    <cfRule type="expression" dxfId="1254" priority="1669">
      <formula>ISEVEN(ROW())</formula>
    </cfRule>
  </conditionalFormatting>
  <conditionalFormatting sqref="D2190:E2192 E2188">
    <cfRule type="expression" dxfId="1253" priority="1668">
      <formula>ISEVEN(ROW())</formula>
    </cfRule>
  </conditionalFormatting>
  <conditionalFormatting sqref="G2188 G2190:G2192">
    <cfRule type="expression" dxfId="1252" priority="1667">
      <formula>ISEVEN(ROW())</formula>
    </cfRule>
  </conditionalFormatting>
  <conditionalFormatting sqref="B2371:C2372 B2370">
    <cfRule type="expression" dxfId="1251" priority="1666">
      <formula>ISEVEN(ROW())</formula>
    </cfRule>
  </conditionalFormatting>
  <conditionalFormatting sqref="D2371:E2372 E2369:E2370">
    <cfRule type="expression" dxfId="1250" priority="1665">
      <formula>ISEVEN(ROW())</formula>
    </cfRule>
  </conditionalFormatting>
  <conditionalFormatting sqref="B2529:C2530 B2528">
    <cfRule type="expression" dxfId="1249" priority="1663">
      <formula>ISEVEN(ROW())</formula>
    </cfRule>
  </conditionalFormatting>
  <conditionalFormatting sqref="D2529:E2529 E2527:E2528 E2530">
    <cfRule type="expression" dxfId="1248" priority="1662">
      <formula>ISEVEN(ROW())</formula>
    </cfRule>
  </conditionalFormatting>
  <conditionalFormatting sqref="G2527:G2530">
    <cfRule type="expression" dxfId="1247" priority="1661">
      <formula>ISEVEN(ROW())</formula>
    </cfRule>
  </conditionalFormatting>
  <conditionalFormatting sqref="B2708:C2709 B2707">
    <cfRule type="expression" dxfId="1246" priority="1660">
      <formula>ISEVEN(ROW())</formula>
    </cfRule>
  </conditionalFormatting>
  <conditionalFormatting sqref="G2705 G2707:G2709">
    <cfRule type="expression" dxfId="1245" priority="1658">
      <formula>ISEVEN(ROW())</formula>
    </cfRule>
  </conditionalFormatting>
  <conditionalFormatting sqref="B2890:C2891 B2889">
    <cfRule type="expression" dxfId="1244" priority="1657">
      <formula>ISEVEN(ROW())</formula>
    </cfRule>
  </conditionalFormatting>
  <conditionalFormatting sqref="E2887 E2889:E2891">
    <cfRule type="expression" dxfId="1243" priority="1656">
      <formula>ISEVEN(ROW())</formula>
    </cfRule>
  </conditionalFormatting>
  <conditionalFormatting sqref="G2887 G2889:G2891">
    <cfRule type="expression" dxfId="1242" priority="1655">
      <formula>ISEVEN(ROW())</formula>
    </cfRule>
  </conditionalFormatting>
  <conditionalFormatting sqref="B3074:C3075 B3073">
    <cfRule type="expression" dxfId="1241" priority="1654">
      <formula>ISEVEN(ROW())</formula>
    </cfRule>
  </conditionalFormatting>
  <conditionalFormatting sqref="E3071 E3073:E3075">
    <cfRule type="expression" dxfId="1240" priority="1653">
      <formula>ISEVEN(ROW())</formula>
    </cfRule>
  </conditionalFormatting>
  <conditionalFormatting sqref="G3071 G3073:G3075">
    <cfRule type="expression" dxfId="1239" priority="1652">
      <formula>ISEVEN(ROW())</formula>
    </cfRule>
  </conditionalFormatting>
  <conditionalFormatting sqref="B3257:C3258 B3256">
    <cfRule type="expression" dxfId="1238" priority="1651">
      <formula>ISEVEN(ROW())</formula>
    </cfRule>
  </conditionalFormatting>
  <conditionalFormatting sqref="E3254 E3256:E3258">
    <cfRule type="expression" dxfId="1237" priority="1650">
      <formula>ISEVEN(ROW())</formula>
    </cfRule>
  </conditionalFormatting>
  <conditionalFormatting sqref="G3254 G3256:G3258">
    <cfRule type="expression" dxfId="1236" priority="1649">
      <formula>ISEVEN(ROW())</formula>
    </cfRule>
  </conditionalFormatting>
  <conditionalFormatting sqref="B3439:C3440 B3438">
    <cfRule type="expression" dxfId="1235" priority="1648">
      <formula>ISEVEN(ROW())</formula>
    </cfRule>
  </conditionalFormatting>
  <conditionalFormatting sqref="G3436 G3438:G3440">
    <cfRule type="expression" dxfId="1234" priority="1646">
      <formula>ISEVEN(ROW())</formula>
    </cfRule>
  </conditionalFormatting>
  <conditionalFormatting sqref="C1818:C1819">
    <cfRule type="expression" dxfId="1233" priority="1591">
      <formula>ISEVEN(ROW())</formula>
    </cfRule>
  </conditionalFormatting>
  <conditionalFormatting sqref="D173:E174">
    <cfRule type="expression" dxfId="1232" priority="1644">
      <formula>ISEVEN(ROW())</formula>
    </cfRule>
  </conditionalFormatting>
  <conditionalFormatting sqref="B363:C363 B366:B367 D371:E371 B368:C368 E368 C365 B370:C370">
    <cfRule type="expression" dxfId="1231" priority="1643">
      <formula>ISEVEN(ROW())</formula>
    </cfRule>
  </conditionalFormatting>
  <conditionalFormatting sqref="B2002:B2003 B2004:C2004 D2005:E2005 E2004">
    <cfRule type="expression" dxfId="1230" priority="1583">
      <formula>ISEVEN(ROW())</formula>
    </cfRule>
  </conditionalFormatting>
  <conditionalFormatting sqref="C366:C367">
    <cfRule type="expression" dxfId="1229" priority="1639">
      <formula>ISEVEN(ROW())</formula>
    </cfRule>
  </conditionalFormatting>
  <conditionalFormatting sqref="D366:E367">
    <cfRule type="expression" dxfId="1228" priority="1638">
      <formula>ISEVEN(ROW())</formula>
    </cfRule>
  </conditionalFormatting>
  <conditionalFormatting sqref="B549:C549 B552:B553 B554:C554 E554 C551">
    <cfRule type="expression" dxfId="1227" priority="1637">
      <formula>ISEVEN(ROW())</formula>
    </cfRule>
  </conditionalFormatting>
  <conditionalFormatting sqref="E549 E551">
    <cfRule type="expression" dxfId="1226" priority="1634">
      <formula>ISEVEN(ROW())</formula>
    </cfRule>
  </conditionalFormatting>
  <conditionalFormatting sqref="C552:C553">
    <cfRule type="expression" dxfId="1225" priority="1633">
      <formula>ISEVEN(ROW())</formula>
    </cfRule>
  </conditionalFormatting>
  <conditionalFormatting sqref="D552:E553">
    <cfRule type="expression" dxfId="1224" priority="1632">
      <formula>ISEVEN(ROW())</formula>
    </cfRule>
  </conditionalFormatting>
  <conditionalFormatting sqref="B730:C730 B733:B734 B735:C735 E735 C732">
    <cfRule type="expression" dxfId="1223" priority="1631">
      <formula>ISEVEN(ROW())</formula>
    </cfRule>
  </conditionalFormatting>
  <conditionalFormatting sqref="E730 E732">
    <cfRule type="expression" dxfId="1222" priority="1628">
      <formula>ISEVEN(ROW())</formula>
    </cfRule>
  </conditionalFormatting>
  <conditionalFormatting sqref="C733:C734">
    <cfRule type="expression" dxfId="1221" priority="1627">
      <formula>ISEVEN(ROW())</formula>
    </cfRule>
  </conditionalFormatting>
  <conditionalFormatting sqref="D733:E734">
    <cfRule type="expression" dxfId="1220" priority="1626">
      <formula>ISEVEN(ROW())</formula>
    </cfRule>
  </conditionalFormatting>
  <conditionalFormatting sqref="D914:E915">
    <cfRule type="expression" dxfId="1219" priority="1620">
      <formula>ISEVEN(ROW())</formula>
    </cfRule>
  </conditionalFormatting>
  <conditionalFormatting sqref="B911:C911 B914:B915 B916:C916 E916 C913">
    <cfRule type="expression" dxfId="1218" priority="1625">
      <formula>ISEVEN(ROW())</formula>
    </cfRule>
  </conditionalFormatting>
  <conditionalFormatting sqref="E911 E913">
    <cfRule type="expression" dxfId="1217" priority="1622">
      <formula>ISEVEN(ROW())</formula>
    </cfRule>
  </conditionalFormatting>
  <conditionalFormatting sqref="C914:C915">
    <cfRule type="expression" dxfId="1216" priority="1621">
      <formula>ISEVEN(ROW())</formula>
    </cfRule>
  </conditionalFormatting>
  <conditionalFormatting sqref="D1095:E1096">
    <cfRule type="expression" dxfId="1215" priority="1614">
      <formula>ISEVEN(ROW())</formula>
    </cfRule>
  </conditionalFormatting>
  <conditionalFormatting sqref="B1092:C1092 B1095:B1096 B1097:C1097 E1097 C1094">
    <cfRule type="expression" dxfId="1214" priority="1619">
      <formula>ISEVEN(ROW())</formula>
    </cfRule>
  </conditionalFormatting>
  <conditionalFormatting sqref="E1092 E1094">
    <cfRule type="expression" dxfId="1213" priority="1616">
      <formula>ISEVEN(ROW())</formula>
    </cfRule>
  </conditionalFormatting>
  <conditionalFormatting sqref="C1095:C1096">
    <cfRule type="expression" dxfId="1212" priority="1615">
      <formula>ISEVEN(ROW())</formula>
    </cfRule>
  </conditionalFormatting>
  <conditionalFormatting sqref="D1276:E1277">
    <cfRule type="expression" dxfId="1211" priority="1608">
      <formula>ISEVEN(ROW())</formula>
    </cfRule>
  </conditionalFormatting>
  <conditionalFormatting sqref="B1273:C1273 B1276:B1277 B1278:C1278 E1278 C1275">
    <cfRule type="expression" dxfId="1210" priority="1613">
      <formula>ISEVEN(ROW())</formula>
    </cfRule>
  </conditionalFormatting>
  <conditionalFormatting sqref="E1273 E1275">
    <cfRule type="expression" dxfId="1209" priority="1610">
      <formula>ISEVEN(ROW())</formula>
    </cfRule>
  </conditionalFormatting>
  <conditionalFormatting sqref="C1276:C1277">
    <cfRule type="expression" dxfId="1208" priority="1609">
      <formula>ISEVEN(ROW())</formula>
    </cfRule>
  </conditionalFormatting>
  <conditionalFormatting sqref="D1457:E1458">
    <cfRule type="expression" dxfId="1207" priority="1602">
      <formula>ISEVEN(ROW())</formula>
    </cfRule>
  </conditionalFormatting>
  <conditionalFormatting sqref="B1454:C1454 B1457:B1458 B1459:C1460 E1459:E1460 C1456">
    <cfRule type="expression" dxfId="1206" priority="1607">
      <formula>ISEVEN(ROW())</formula>
    </cfRule>
  </conditionalFormatting>
  <conditionalFormatting sqref="E1454 E1456">
    <cfRule type="expression" dxfId="1205" priority="1604">
      <formula>ISEVEN(ROW())</formula>
    </cfRule>
  </conditionalFormatting>
  <conditionalFormatting sqref="C1457:C1458">
    <cfRule type="expression" dxfId="1204" priority="1603">
      <formula>ISEVEN(ROW())</formula>
    </cfRule>
  </conditionalFormatting>
  <conditionalFormatting sqref="D1636:E1637">
    <cfRule type="expression" dxfId="1203" priority="1596">
      <formula>ISEVEN(ROW())</formula>
    </cfRule>
  </conditionalFormatting>
  <conditionalFormatting sqref="B1633:C1633 B1636:B1637 B1638:C1638 E1638 C1635">
    <cfRule type="expression" dxfId="1202" priority="1601">
      <formula>ISEVEN(ROW())</formula>
    </cfRule>
  </conditionalFormatting>
  <conditionalFormatting sqref="C2520:C2521">
    <cfRule type="expression" dxfId="1201" priority="1555">
      <formula>ISEVEN(ROW())</formula>
    </cfRule>
  </conditionalFormatting>
  <conditionalFormatting sqref="E1633 E1635">
    <cfRule type="expression" dxfId="1200" priority="1598">
      <formula>ISEVEN(ROW())</formula>
    </cfRule>
  </conditionalFormatting>
  <conditionalFormatting sqref="C1636:C1637">
    <cfRule type="expression" dxfId="1199" priority="1597">
      <formula>ISEVEN(ROW())</formula>
    </cfRule>
  </conditionalFormatting>
  <conditionalFormatting sqref="G2893">
    <cfRule type="expression" dxfId="1198" priority="1538">
      <formula>ISEVEN(ROW())</formula>
    </cfRule>
  </conditionalFormatting>
  <conditionalFormatting sqref="D1818:E1819">
    <cfRule type="expression" dxfId="1197" priority="1590">
      <formula>ISEVEN(ROW())</formula>
    </cfRule>
  </conditionalFormatting>
  <conditionalFormatting sqref="B1815:C1815 B1818:B1819 B1820:C1820 E1820 C1817">
    <cfRule type="expression" dxfId="1196" priority="1595">
      <formula>ISEVEN(ROW())</formula>
    </cfRule>
  </conditionalFormatting>
  <conditionalFormatting sqref="E1815 E1817">
    <cfRule type="expression" dxfId="1195" priority="1592">
      <formula>ISEVEN(ROW())</formula>
    </cfRule>
  </conditionalFormatting>
  <conditionalFormatting sqref="B1998:C1998 C2000">
    <cfRule type="expression" dxfId="1194" priority="1588">
      <formula>ISEVEN(ROW())</formula>
    </cfRule>
  </conditionalFormatting>
  <conditionalFormatting sqref="E1998 E2000">
    <cfRule type="expression" dxfId="1193" priority="1585">
      <formula>ISEVEN(ROW())</formula>
    </cfRule>
  </conditionalFormatting>
  <conditionalFormatting sqref="D2002:E2003">
    <cfRule type="expression" dxfId="1192" priority="1581">
      <formula>ISEVEN(ROW())</formula>
    </cfRule>
  </conditionalFormatting>
  <conditionalFormatting sqref="C2002:C2003">
    <cfRule type="expression" dxfId="1191" priority="1582">
      <formula>ISEVEN(ROW())</formula>
    </cfRule>
  </conditionalFormatting>
  <conditionalFormatting sqref="G2002:G2003">
    <cfRule type="expression" dxfId="1190" priority="1580">
      <formula>ISEVEN(ROW())</formula>
    </cfRule>
  </conditionalFormatting>
  <conditionalFormatting sqref="D2182:E2183">
    <cfRule type="expression" dxfId="1189" priority="1572">
      <formula>ISEVEN(ROW())</formula>
    </cfRule>
  </conditionalFormatting>
  <conditionalFormatting sqref="B2179:C2179 B2182:B2183 B2184:E2184 C2181">
    <cfRule type="expression" dxfId="1188" priority="1577">
      <formula>ISEVEN(ROW())</formula>
    </cfRule>
  </conditionalFormatting>
  <conditionalFormatting sqref="E2179 E2181">
    <cfRule type="expression" dxfId="1187" priority="1574">
      <formula>ISEVEN(ROW())</formula>
    </cfRule>
  </conditionalFormatting>
  <conditionalFormatting sqref="C2182:C2183">
    <cfRule type="expression" dxfId="1186" priority="1573">
      <formula>ISEVEN(ROW())</formula>
    </cfRule>
  </conditionalFormatting>
  <conditionalFormatting sqref="D2361:E2362">
    <cfRule type="expression" dxfId="1185" priority="1565">
      <formula>ISEVEN(ROW())</formula>
    </cfRule>
  </conditionalFormatting>
  <conditionalFormatting sqref="B2359:C2359 B2361:B2362 B2363:E2363 D2364:E2364">
    <cfRule type="expression" dxfId="1184" priority="1570">
      <formula>ISEVEN(ROW())</formula>
    </cfRule>
  </conditionalFormatting>
  <conditionalFormatting sqref="C2361:C2362">
    <cfRule type="expression" dxfId="1183" priority="1566">
      <formula>ISEVEN(ROW())</formula>
    </cfRule>
  </conditionalFormatting>
  <conditionalFormatting sqref="B2518:C2518">
    <cfRule type="expression" dxfId="1182" priority="1561">
      <formula>ISEVEN(ROW())</formula>
    </cfRule>
  </conditionalFormatting>
  <conditionalFormatting sqref="D2520:E2521">
    <cfRule type="expression" dxfId="1181" priority="1554">
      <formula>ISEVEN(ROW())</formula>
    </cfRule>
  </conditionalFormatting>
  <conditionalFormatting sqref="B2520:B2521 B2522:C2522 E2522:E2523">
    <cfRule type="expression" dxfId="1180" priority="1556">
      <formula>ISEVEN(ROW())</formula>
    </cfRule>
  </conditionalFormatting>
  <conditionalFormatting sqref="G2520:G2521">
    <cfRule type="expression" dxfId="1179" priority="1552">
      <formula>ISEVEN(ROW())</formula>
    </cfRule>
  </conditionalFormatting>
  <conditionalFormatting sqref="B2697:C2697 C2699">
    <cfRule type="expression" dxfId="1178" priority="1550">
      <formula>ISEVEN(ROW())</formula>
    </cfRule>
  </conditionalFormatting>
  <conditionalFormatting sqref="E2697 E2699">
    <cfRule type="expression" dxfId="1177" priority="1547">
      <formula>ISEVEN(ROW())</formula>
    </cfRule>
  </conditionalFormatting>
  <conditionalFormatting sqref="B2711:E2711">
    <cfRule type="expression" dxfId="1176" priority="1545">
      <formula>ISEVEN(ROW())</formula>
    </cfRule>
  </conditionalFormatting>
  <conditionalFormatting sqref="G2711">
    <cfRule type="expression" dxfId="1175" priority="1544">
      <formula>ISEVEN(ROW())</formula>
    </cfRule>
  </conditionalFormatting>
  <conditionalFormatting sqref="B2878:C2878 C2880">
    <cfRule type="expression" dxfId="1174" priority="1543">
      <formula>ISEVEN(ROW())</formula>
    </cfRule>
  </conditionalFormatting>
  <conditionalFormatting sqref="E2878 E2880">
    <cfRule type="expression" dxfId="1173" priority="1540">
      <formula>ISEVEN(ROW())</formula>
    </cfRule>
  </conditionalFormatting>
  <conditionalFormatting sqref="B2893:E2893">
    <cfRule type="expression" dxfId="1172" priority="1539">
      <formula>ISEVEN(ROW())</formula>
    </cfRule>
  </conditionalFormatting>
  <conditionalFormatting sqref="B3061:C3061 C3063">
    <cfRule type="expression" dxfId="1171" priority="1537">
      <formula>ISEVEN(ROW())</formula>
    </cfRule>
  </conditionalFormatting>
  <conditionalFormatting sqref="E3061 E3063">
    <cfRule type="expression" dxfId="1170" priority="1534">
      <formula>ISEVEN(ROW())</formula>
    </cfRule>
  </conditionalFormatting>
  <conditionalFormatting sqref="B3064:E3064 D3065:E3065">
    <cfRule type="expression" dxfId="1169" priority="1533">
      <formula>ISEVEN(ROW())</formula>
    </cfRule>
  </conditionalFormatting>
  <conditionalFormatting sqref="G3442">
    <cfRule type="expression" dxfId="1168" priority="1517">
      <formula>ISEVEN(ROW())</formula>
    </cfRule>
  </conditionalFormatting>
  <conditionalFormatting sqref="B3245:C3245 C3247">
    <cfRule type="expression" dxfId="1167" priority="1530">
      <formula>ISEVEN(ROW())</formula>
    </cfRule>
  </conditionalFormatting>
  <conditionalFormatting sqref="E3245 E3247">
    <cfRule type="expression" dxfId="1166" priority="1527">
      <formula>ISEVEN(ROW())</formula>
    </cfRule>
  </conditionalFormatting>
  <conditionalFormatting sqref="B3260:C3260 E3260">
    <cfRule type="expression" dxfId="1165" priority="1525">
      <formula>ISEVEN(ROW())</formula>
    </cfRule>
  </conditionalFormatting>
  <conditionalFormatting sqref="G3260">
    <cfRule type="expression" dxfId="1164" priority="1524">
      <formula>ISEVEN(ROW())</formula>
    </cfRule>
  </conditionalFormatting>
  <conditionalFormatting sqref="B3427:C3427 C3429">
    <cfRule type="expression" dxfId="1163" priority="1523">
      <formula>ISEVEN(ROW())</formula>
    </cfRule>
  </conditionalFormatting>
  <conditionalFormatting sqref="E3427 E3429">
    <cfRule type="expression" dxfId="1162" priority="1520">
      <formula>ISEVEN(ROW())</formula>
    </cfRule>
  </conditionalFormatting>
  <conditionalFormatting sqref="B3442:C3442 E3442">
    <cfRule type="expression" dxfId="1161" priority="1518">
      <formula>ISEVEN(ROW())</formula>
    </cfRule>
  </conditionalFormatting>
  <conditionalFormatting sqref="D191:E195 E190">
    <cfRule type="expression" dxfId="1160" priority="1516">
      <formula>ISEVEN(ROW())</formula>
    </cfRule>
  </conditionalFormatting>
  <conditionalFormatting sqref="D384:E387 E383">
    <cfRule type="expression" dxfId="1159" priority="1515">
      <formula>ISEVEN(ROW())</formula>
    </cfRule>
  </conditionalFormatting>
  <conditionalFormatting sqref="D570:E573 E569">
    <cfRule type="expression" dxfId="1158" priority="1514">
      <formula>ISEVEN(ROW())</formula>
    </cfRule>
  </conditionalFormatting>
  <conditionalFormatting sqref="D751:E754 E750">
    <cfRule type="expression" dxfId="1157" priority="1513">
      <formula>ISEVEN(ROW())</formula>
    </cfRule>
  </conditionalFormatting>
  <conditionalFormatting sqref="D932:E935 E931">
    <cfRule type="expression" dxfId="1156" priority="1512">
      <formula>ISEVEN(ROW())</formula>
    </cfRule>
  </conditionalFormatting>
  <conditionalFormatting sqref="D1113:E1116 E1112">
    <cfRule type="expression" dxfId="1155" priority="1511">
      <formula>ISEVEN(ROW())</formula>
    </cfRule>
  </conditionalFormatting>
  <conditionalFormatting sqref="D1294:E1297 E1293">
    <cfRule type="expression" dxfId="1154" priority="1510">
      <formula>ISEVEN(ROW())</formula>
    </cfRule>
  </conditionalFormatting>
  <conditionalFormatting sqref="D1477:E1480 E1476">
    <cfRule type="expression" dxfId="1153" priority="1509">
      <formula>ISEVEN(ROW())</formula>
    </cfRule>
  </conditionalFormatting>
  <conditionalFormatting sqref="D1654:E1657 E1653">
    <cfRule type="expression" dxfId="1152" priority="1508">
      <formula>ISEVEN(ROW())</formula>
    </cfRule>
  </conditionalFormatting>
  <conditionalFormatting sqref="D1835:E1838 E1834">
    <cfRule type="expression" dxfId="1151" priority="1507">
      <formula>ISEVEN(ROW())</formula>
    </cfRule>
  </conditionalFormatting>
  <conditionalFormatting sqref="E2895">
    <cfRule type="expression" dxfId="1150" priority="1506">
      <formula>ISEVEN(ROW())</formula>
    </cfRule>
  </conditionalFormatting>
  <conditionalFormatting sqref="E3261">
    <cfRule type="expression" dxfId="1149" priority="1505">
      <formula>ISEVEN(ROW())</formula>
    </cfRule>
  </conditionalFormatting>
  <conditionalFormatting sqref="E3443">
    <cfRule type="expression" dxfId="1148" priority="1504">
      <formula>ISEVEN(ROW())</formula>
    </cfRule>
  </conditionalFormatting>
  <conditionalFormatting sqref="G3404">
    <cfRule type="expression" dxfId="1147" priority="1371">
      <formula>ISEVEN(ROW())</formula>
    </cfRule>
  </conditionalFormatting>
  <conditionalFormatting sqref="E3602">
    <cfRule type="expression" dxfId="1146" priority="1378">
      <formula>ISEVEN(ROW())</formula>
    </cfRule>
  </conditionalFormatting>
  <conditionalFormatting sqref="C371">
    <cfRule type="expression" dxfId="1145" priority="1376">
      <formula>ISEVEN(ROW())</formula>
    </cfRule>
  </conditionalFormatting>
  <conditionalFormatting sqref="C2364">
    <cfRule type="expression" dxfId="1144" priority="1375">
      <formula>ISEVEN(ROW())</formula>
    </cfRule>
  </conditionalFormatting>
  <conditionalFormatting sqref="C2523">
    <cfRule type="expression" dxfId="1143" priority="1374">
      <formula>ISEVEN(ROW())</formula>
    </cfRule>
  </conditionalFormatting>
  <conditionalFormatting sqref="C2005">
    <cfRule type="expression" dxfId="1142" priority="1373">
      <formula>ISEVEN(ROW())</formula>
    </cfRule>
  </conditionalFormatting>
  <conditionalFormatting sqref="G3403">
    <cfRule type="expression" dxfId="1141" priority="1372">
      <formula>ISEVEN(ROW())</formula>
    </cfRule>
  </conditionalFormatting>
  <conditionalFormatting sqref="G3405">
    <cfRule type="expression" dxfId="1140" priority="1370">
      <formula>ISEVEN(ROW())</formula>
    </cfRule>
  </conditionalFormatting>
  <conditionalFormatting sqref="G3406">
    <cfRule type="expression" dxfId="1139" priority="1369">
      <formula>ISEVEN(ROW())</formula>
    </cfRule>
  </conditionalFormatting>
  <conditionalFormatting sqref="G3407">
    <cfRule type="expression" dxfId="1138" priority="1368">
      <formula>ISEVEN(ROW())</formula>
    </cfRule>
  </conditionalFormatting>
  <conditionalFormatting sqref="E370">
    <cfRule type="expression" dxfId="1137" priority="1309">
      <formula>ISEVEN(ROW())</formula>
    </cfRule>
  </conditionalFormatting>
  <conditionalFormatting sqref="C316:E319">
    <cfRule type="expression" dxfId="1136" priority="1325">
      <formula>ISEVEN(ROW())</formula>
    </cfRule>
  </conditionalFormatting>
  <conditionalFormatting sqref="C502:C505">
    <cfRule type="expression" dxfId="1135" priority="1324">
      <formula>ISEVEN(ROW())</formula>
    </cfRule>
  </conditionalFormatting>
  <conditionalFormatting sqref="C688:C691">
    <cfRule type="expression" dxfId="1134" priority="1323">
      <formula>ISEVEN(ROW())</formula>
    </cfRule>
  </conditionalFormatting>
  <conditionalFormatting sqref="C869:C872">
    <cfRule type="expression" dxfId="1133" priority="1322">
      <formula>ISEVEN(ROW())</formula>
    </cfRule>
  </conditionalFormatting>
  <conditionalFormatting sqref="C1050:C1053">
    <cfRule type="expression" dxfId="1132" priority="1321">
      <formula>ISEVEN(ROW())</formula>
    </cfRule>
  </conditionalFormatting>
  <conditionalFormatting sqref="C1231:C1234">
    <cfRule type="expression" dxfId="1131" priority="1320">
      <formula>ISEVEN(ROW())</formula>
    </cfRule>
  </conditionalFormatting>
  <conditionalFormatting sqref="C1412:C1415">
    <cfRule type="expression" dxfId="1130" priority="1319">
      <formula>ISEVEN(ROW())</formula>
    </cfRule>
  </conditionalFormatting>
  <conditionalFormatting sqref="C1591:C1594">
    <cfRule type="expression" dxfId="1129" priority="1318">
      <formula>ISEVEN(ROW())</formula>
    </cfRule>
  </conditionalFormatting>
  <conditionalFormatting sqref="C1772:C1775">
    <cfRule type="expression" dxfId="1128" priority="1317">
      <formula>ISEVEN(ROW())</formula>
    </cfRule>
  </conditionalFormatting>
  <conditionalFormatting sqref="C1953:C1956">
    <cfRule type="expression" dxfId="1127" priority="1316">
      <formula>ISEVEN(ROW())</formula>
    </cfRule>
  </conditionalFormatting>
  <conditionalFormatting sqref="C2136:E2139">
    <cfRule type="expression" dxfId="1126" priority="1315">
      <formula>ISEVEN(ROW())</formula>
    </cfRule>
  </conditionalFormatting>
  <conditionalFormatting sqref="C2316:C2319">
    <cfRule type="expression" dxfId="1125" priority="1314">
      <formula>ISEVEN(ROW())</formula>
    </cfRule>
  </conditionalFormatting>
  <conditionalFormatting sqref="C2831:C2834">
    <cfRule type="expression" dxfId="1124" priority="1313">
      <formula>ISEVEN(ROW())</formula>
    </cfRule>
  </conditionalFormatting>
  <conditionalFormatting sqref="C3015:C3018">
    <cfRule type="expression" dxfId="1123" priority="1312">
      <formula>ISEVEN(ROW())</formula>
    </cfRule>
  </conditionalFormatting>
  <conditionalFormatting sqref="C3197:C3200">
    <cfRule type="expression" dxfId="1122" priority="1311">
      <formula>ISEVEN(ROW())</formula>
    </cfRule>
  </conditionalFormatting>
  <conditionalFormatting sqref="C3380:C3383">
    <cfRule type="expression" dxfId="1121" priority="1310">
      <formula>ISEVEN(ROW())</formula>
    </cfRule>
  </conditionalFormatting>
  <conditionalFormatting sqref="E568">
    <cfRule type="expression" dxfId="1120" priority="1308">
      <formula>ISEVEN(ROW())</formula>
    </cfRule>
  </conditionalFormatting>
  <conditionalFormatting sqref="E749">
    <cfRule type="expression" dxfId="1119" priority="1307">
      <formula>ISEVEN(ROW())</formula>
    </cfRule>
  </conditionalFormatting>
  <conditionalFormatting sqref="E930">
    <cfRule type="expression" dxfId="1118" priority="1306">
      <formula>ISEVEN(ROW())</formula>
    </cfRule>
  </conditionalFormatting>
  <conditionalFormatting sqref="E1111">
    <cfRule type="expression" dxfId="1117" priority="1305">
      <formula>ISEVEN(ROW())</formula>
    </cfRule>
  </conditionalFormatting>
  <conditionalFormatting sqref="E1292">
    <cfRule type="expression" dxfId="1116" priority="1304">
      <formula>ISEVEN(ROW())</formula>
    </cfRule>
  </conditionalFormatting>
  <conditionalFormatting sqref="E1462">
    <cfRule type="expression" dxfId="1115" priority="1303">
      <formula>ISEVEN(ROW())</formula>
    </cfRule>
  </conditionalFormatting>
  <conditionalFormatting sqref="E1652">
    <cfRule type="expression" dxfId="1114" priority="1302">
      <formula>ISEVEN(ROW())</formula>
    </cfRule>
  </conditionalFormatting>
  <conditionalFormatting sqref="E1833">
    <cfRule type="expression" dxfId="1113" priority="1301">
      <formula>ISEVEN(ROW())</formula>
    </cfRule>
  </conditionalFormatting>
  <conditionalFormatting sqref="E2186">
    <cfRule type="expression" dxfId="1112" priority="1300">
      <formula>ISEVEN(ROW())</formula>
    </cfRule>
  </conditionalFormatting>
  <conditionalFormatting sqref="C2850:C2853 C3033:C3036 C3216:C3219 C3399:C3402 C2855:C2858 C3038:C3041 C3221:C3224 C3404:C3407">
    <cfRule type="expression" dxfId="1111" priority="1202">
      <formula>ISEVEN(ROW())</formula>
    </cfRule>
  </conditionalFormatting>
  <conditionalFormatting sqref="C1045:C1048">
    <cfRule type="expression" dxfId="1110" priority="1236">
      <formula>ISEVEN(ROW())</formula>
    </cfRule>
  </conditionalFormatting>
  <conditionalFormatting sqref="D3454:E3457">
    <cfRule type="expression" dxfId="1109" priority="1266">
      <formula>ISEVEN(ROW())</formula>
    </cfRule>
  </conditionalFormatting>
  <conditionalFormatting sqref="D3449:E3452">
    <cfRule type="expression" dxfId="1108" priority="1268">
      <formula>ISEVEN(ROW())</formula>
    </cfRule>
  </conditionalFormatting>
  <conditionalFormatting sqref="E3448">
    <cfRule type="expression" dxfId="1107" priority="1267">
      <formula>ISEVEN(ROW())</formula>
    </cfRule>
  </conditionalFormatting>
  <conditionalFormatting sqref="C1268:C1272">
    <cfRule type="expression" dxfId="1106" priority="1233">
      <formula>ISEVEN(ROW())</formula>
    </cfRule>
  </conditionalFormatting>
  <conditionalFormatting sqref="C906:C910">
    <cfRule type="expression" dxfId="1105" priority="1237">
      <formula>ISEVEN(ROW())</formula>
    </cfRule>
  </conditionalFormatting>
  <conditionalFormatting sqref="C2636:C2637">
    <cfRule type="expression" dxfId="1104" priority="1183">
      <formula>ISEVEN(ROW())</formula>
    </cfRule>
  </conditionalFormatting>
  <conditionalFormatting sqref="D224:D225">
    <cfRule type="expression" dxfId="1103" priority="1144">
      <formula>ISEVEN(ROW())</formula>
    </cfRule>
  </conditionalFormatting>
  <conditionalFormatting sqref="C2815:C2816">
    <cfRule type="expression" dxfId="1102" priority="1182">
      <formula>ISEVEN(ROW())</formula>
    </cfRule>
  </conditionalFormatting>
  <conditionalFormatting sqref="C1087:C1091">
    <cfRule type="expression" dxfId="1101" priority="1235">
      <formula>ISEVEN(ROW())</formula>
    </cfRule>
  </conditionalFormatting>
  <conditionalFormatting sqref="D344 D349 D358 D368 D380:D383 D423 D465:D466 D554 D609 D651:D652 D735 D790 D832:D833 D843 D848 D853 D916 D971 D980 D1013:D1014 D1097 D1194:D1195 D1278 D1333 D1375:D1376 D1381 D1473:D1476 D1516 D1558:D1559 D1564:D1565 D1638 D1693 D1702 D1735:D1736 D1820 D1874 D1916:D1917 D1998 D2004 D2013:D2015 D2026 D2164 D2537 D2542 D2712 D2752 D2794:D2795 D2894:D2895 D2934 D2939 D2944 D2977:D2978 D3117 D3122 D3160:D3161 D3301 D3343:D3344 D3439:D3443 D3448 D3463 D3468 D3473 D3478 D3483 D3489 D3504:D3505 D3520 D3529 D3532 D3537 D3540:D3542 D3548:D3551 D3556 D3561:D3565 D3570:D3571 D3576 D3583 D3588:D3590 D3595 D3601:D3602 D3612 D3619:D3620 D3627 D2710 D2890:D2892 D3074:D3077 D3257:D3261 D564:D566 D745:D747 D926:D928 D1107:D1109 D1288:D1290 D1459:D1460 D1648:D1650 D1829:D1831 D2187 D569 D750 D931 D1112 D1293 D1653 D1834">
    <cfRule type="expression" dxfId="1100" priority="1143">
      <formula>ISEVEN(ROW())</formula>
    </cfRule>
  </conditionalFormatting>
  <conditionalFormatting sqref="C1069:C1072">
    <cfRule type="expression" dxfId="1099" priority="1205">
      <formula>ISEVEN(ROW())</formula>
    </cfRule>
  </conditionalFormatting>
  <conditionalFormatting sqref="C3009:C3012">
    <cfRule type="expression" dxfId="1098" priority="1214">
      <formula>ISEVEN(ROW())</formula>
    </cfRule>
  </conditionalFormatting>
  <conditionalFormatting sqref="C1767:C1770">
    <cfRule type="expression" dxfId="1097" priority="1228">
      <formula>ISEVEN(ROW())</formula>
    </cfRule>
  </conditionalFormatting>
  <conditionalFormatting sqref="C1948:C1951">
    <cfRule type="expression" dxfId="1096" priority="1226">
      <formula>ISEVEN(ROW())</formula>
    </cfRule>
  </conditionalFormatting>
  <conditionalFormatting sqref="D3453:E3453">
    <cfRule type="expression" dxfId="1095" priority="1265">
      <formula>ISEVEN(ROW())</formula>
    </cfRule>
  </conditionalFormatting>
  <conditionalFormatting sqref="D3479:E3482">
    <cfRule type="expression" dxfId="1094" priority="1250">
      <formula>ISEVEN(ROW())</formula>
    </cfRule>
  </conditionalFormatting>
  <conditionalFormatting sqref="E3478">
    <cfRule type="expression" dxfId="1093" priority="1249">
      <formula>ISEVEN(ROW())</formula>
    </cfRule>
  </conditionalFormatting>
  <conditionalFormatting sqref="D3464:E3467">
    <cfRule type="expression" dxfId="1092" priority="1262">
      <formula>ISEVEN(ROW())</formula>
    </cfRule>
  </conditionalFormatting>
  <conditionalFormatting sqref="E3463">
    <cfRule type="expression" dxfId="1091" priority="1261">
      <formula>ISEVEN(ROW())</formula>
    </cfRule>
  </conditionalFormatting>
  <conditionalFormatting sqref="D3484:E3488">
    <cfRule type="expression" dxfId="1090" priority="1248">
      <formula>ISEVEN(ROW())</formula>
    </cfRule>
  </conditionalFormatting>
  <conditionalFormatting sqref="E3483">
    <cfRule type="expression" dxfId="1089" priority="1247">
      <formula>ISEVEN(ROW())</formula>
    </cfRule>
  </conditionalFormatting>
  <conditionalFormatting sqref="D3459:E3462">
    <cfRule type="expression" dxfId="1088" priority="1256">
      <formula>ISEVEN(ROW())</formula>
    </cfRule>
  </conditionalFormatting>
  <conditionalFormatting sqref="D3458:E3458">
    <cfRule type="expression" dxfId="1087" priority="1255">
      <formula>ISEVEN(ROW())</formula>
    </cfRule>
  </conditionalFormatting>
  <conditionalFormatting sqref="D3469:E3472">
    <cfRule type="expression" dxfId="1086" priority="1254">
      <formula>ISEVEN(ROW())</formula>
    </cfRule>
  </conditionalFormatting>
  <conditionalFormatting sqref="E3468">
    <cfRule type="expression" dxfId="1085" priority="1253">
      <formula>ISEVEN(ROW())</formula>
    </cfRule>
  </conditionalFormatting>
  <conditionalFormatting sqref="D3474:E3477">
    <cfRule type="expression" dxfId="1084" priority="1252">
      <formula>ISEVEN(ROW())</formula>
    </cfRule>
  </conditionalFormatting>
  <conditionalFormatting sqref="E3473">
    <cfRule type="expression" dxfId="1083" priority="1251">
      <formula>ISEVEN(ROW())</formula>
    </cfRule>
  </conditionalFormatting>
  <conditionalFormatting sqref="D3490:E3493">
    <cfRule type="expression" dxfId="1082" priority="1246">
      <formula>ISEVEN(ROW())</formula>
    </cfRule>
  </conditionalFormatting>
  <conditionalFormatting sqref="E3489">
    <cfRule type="expression" dxfId="1081" priority="1245">
      <formula>ISEVEN(ROW())</formula>
    </cfRule>
  </conditionalFormatting>
  <conditionalFormatting sqref="D3495:E3498">
    <cfRule type="expression" dxfId="1080" priority="1244">
      <formula>ISEVEN(ROW())</formula>
    </cfRule>
  </conditionalFormatting>
  <conditionalFormatting sqref="D3494:E3494">
    <cfRule type="expression" dxfId="1079" priority="1243">
      <formula>ISEVEN(ROW())</formula>
    </cfRule>
  </conditionalFormatting>
  <conditionalFormatting sqref="C497:C500">
    <cfRule type="expression" dxfId="1078" priority="1242">
      <formula>ISEVEN(ROW())</formula>
    </cfRule>
  </conditionalFormatting>
  <conditionalFormatting sqref="C544:C548">
    <cfRule type="expression" dxfId="1077" priority="1241">
      <formula>ISEVEN(ROW())</formula>
    </cfRule>
  </conditionalFormatting>
  <conditionalFormatting sqref="C683:C686">
    <cfRule type="expression" dxfId="1076" priority="1240">
      <formula>ISEVEN(ROW())</formula>
    </cfRule>
  </conditionalFormatting>
  <conditionalFormatting sqref="C725:C729">
    <cfRule type="expression" dxfId="1075" priority="1239">
      <formula>ISEVEN(ROW())</formula>
    </cfRule>
  </conditionalFormatting>
  <conditionalFormatting sqref="C864:C867">
    <cfRule type="expression" dxfId="1074" priority="1238">
      <formula>ISEVEN(ROW())</formula>
    </cfRule>
  </conditionalFormatting>
  <conditionalFormatting sqref="C2998:C2999">
    <cfRule type="expression" dxfId="1073" priority="1181">
      <formula>ISEVEN(ROW())</formula>
    </cfRule>
  </conditionalFormatting>
  <conditionalFormatting sqref="C1226:C1229">
    <cfRule type="expression" dxfId="1072" priority="1234">
      <formula>ISEVEN(ROW())</formula>
    </cfRule>
  </conditionalFormatting>
  <conditionalFormatting sqref="C1407:C1410">
    <cfRule type="expression" dxfId="1071" priority="1232">
      <formula>ISEVEN(ROW())</formula>
    </cfRule>
  </conditionalFormatting>
  <conditionalFormatting sqref="C1449:C1453">
    <cfRule type="expression" dxfId="1070" priority="1231">
      <formula>ISEVEN(ROW())</formula>
    </cfRule>
  </conditionalFormatting>
  <conditionalFormatting sqref="C1586:C1589">
    <cfRule type="expression" dxfId="1069" priority="1230">
      <formula>ISEVEN(ROW())</formula>
    </cfRule>
  </conditionalFormatting>
  <conditionalFormatting sqref="C1628:C1632">
    <cfRule type="expression" dxfId="1068" priority="1229">
      <formula>ISEVEN(ROW())</formula>
    </cfRule>
  </conditionalFormatting>
  <conditionalFormatting sqref="C1809:C1813">
    <cfRule type="expression" dxfId="1067" priority="1227">
      <formula>ISEVEN(ROW())</formula>
    </cfRule>
  </conditionalFormatting>
  <conditionalFormatting sqref="C1990:C1994 C1996">
    <cfRule type="expression" dxfId="1066" priority="1225">
      <formula>ISEVEN(ROW())</formula>
    </cfRule>
  </conditionalFormatting>
  <conditionalFormatting sqref="C2131:C2134">
    <cfRule type="expression" dxfId="1065" priority="1224">
      <formula>ISEVEN(ROW())</formula>
    </cfRule>
  </conditionalFormatting>
  <conditionalFormatting sqref="C2173:C2177">
    <cfRule type="expression" dxfId="1064" priority="1223">
      <formula>ISEVEN(ROW())</formula>
    </cfRule>
  </conditionalFormatting>
  <conditionalFormatting sqref="C2311:C2314">
    <cfRule type="expression" dxfId="1063" priority="1222">
      <formula>ISEVEN(ROW())</formula>
    </cfRule>
  </conditionalFormatting>
  <conditionalFormatting sqref="C2353:C2357">
    <cfRule type="expression" dxfId="1062" priority="1221">
      <formula>ISEVEN(ROW())</formula>
    </cfRule>
  </conditionalFormatting>
  <conditionalFormatting sqref="C2477:C2481">
    <cfRule type="expression" dxfId="1061" priority="1220">
      <formula>ISEVEN(ROW())</formula>
    </cfRule>
  </conditionalFormatting>
  <conditionalFormatting sqref="C2513:C2517">
    <cfRule type="expression" dxfId="1060" priority="1219">
      <formula>ISEVEN(ROW())</formula>
    </cfRule>
  </conditionalFormatting>
  <conditionalFormatting sqref="C2647:C2650">
    <cfRule type="expression" dxfId="1059" priority="1218">
      <formula>ISEVEN(ROW())</formula>
    </cfRule>
  </conditionalFormatting>
  <conditionalFormatting sqref="C2689:C2693">
    <cfRule type="expression" dxfId="1058" priority="1217">
      <formula>ISEVEN(ROW())</formula>
    </cfRule>
  </conditionalFormatting>
  <conditionalFormatting sqref="C2826:C2829">
    <cfRule type="expression" dxfId="1057" priority="1216">
      <formula>ISEVEN(ROW())</formula>
    </cfRule>
  </conditionalFormatting>
  <conditionalFormatting sqref="C2868:C2872">
    <cfRule type="expression" dxfId="1056" priority="1215">
      <formula>ISEVEN(ROW())</formula>
    </cfRule>
  </conditionalFormatting>
  <conditionalFormatting sqref="D218:D219">
    <cfRule type="expression" dxfId="1055" priority="1145">
      <formula>ISEVEN(ROW())</formula>
    </cfRule>
  </conditionalFormatting>
  <conditionalFormatting sqref="C3051:C3055 C3057">
    <cfRule type="expression" dxfId="1054" priority="1213">
      <formula>ISEVEN(ROW())</formula>
    </cfRule>
  </conditionalFormatting>
  <conditionalFormatting sqref="C3192:C3195">
    <cfRule type="expression" dxfId="1053" priority="1212">
      <formula>ISEVEN(ROW())</formula>
    </cfRule>
  </conditionalFormatting>
  <conditionalFormatting sqref="C3234:C3238 C3240">
    <cfRule type="expression" dxfId="1052" priority="1211">
      <formula>ISEVEN(ROW())</formula>
    </cfRule>
  </conditionalFormatting>
  <conditionalFormatting sqref="C3375:C3378">
    <cfRule type="expression" dxfId="1051" priority="1210">
      <formula>ISEVEN(ROW())</formula>
    </cfRule>
  </conditionalFormatting>
  <conditionalFormatting sqref="C3417:C3421">
    <cfRule type="expression" dxfId="1050" priority="1209">
      <formula>ISEVEN(ROW())</formula>
    </cfRule>
  </conditionalFormatting>
  <conditionalFormatting sqref="C345:C348">
    <cfRule type="expression" dxfId="1049" priority="1208">
      <formula>ISEVEN(ROW())</formula>
    </cfRule>
  </conditionalFormatting>
  <conditionalFormatting sqref="C531:C534">
    <cfRule type="expression" dxfId="1048" priority="1207">
      <formula>ISEVEN(ROW())</formula>
    </cfRule>
  </conditionalFormatting>
  <conditionalFormatting sqref="C888:C891">
    <cfRule type="expression" dxfId="1047" priority="1206">
      <formula>ISEVEN(ROW())</formula>
    </cfRule>
  </conditionalFormatting>
  <conditionalFormatting sqref="C2066:C2067">
    <cfRule type="expression" dxfId="1046" priority="1165">
      <formula>ISEVEN(ROW())</formula>
    </cfRule>
  </conditionalFormatting>
  <conditionalFormatting sqref="D2021:E2025">
    <cfRule type="expression" dxfId="1045" priority="1124">
      <formula>ISEVEN(ROW())</formula>
    </cfRule>
  </conditionalFormatting>
  <conditionalFormatting sqref="E172">
    <cfRule type="expression" dxfId="1044" priority="1140">
      <formula>ISEVEN(ROW())</formula>
    </cfRule>
  </conditionalFormatting>
  <conditionalFormatting sqref="C2457">
    <cfRule type="expression" dxfId="1043" priority="1195">
      <formula>ISEVEN(ROW())</formula>
    </cfRule>
  </conditionalFormatting>
  <conditionalFormatting sqref="C486:C487">
    <cfRule type="expression" dxfId="1042" priority="1194">
      <formula>ISEVEN(ROW())</formula>
    </cfRule>
  </conditionalFormatting>
  <conditionalFormatting sqref="C672:C673">
    <cfRule type="expression" dxfId="1041" priority="1193">
      <formula>ISEVEN(ROW())</formula>
    </cfRule>
  </conditionalFormatting>
  <conditionalFormatting sqref="C853:C854">
    <cfRule type="expression" dxfId="1040" priority="1192">
      <formula>ISEVEN(ROW())</formula>
    </cfRule>
  </conditionalFormatting>
  <conditionalFormatting sqref="C1034:C1035">
    <cfRule type="expression" dxfId="1039" priority="1191">
      <formula>ISEVEN(ROW())</formula>
    </cfRule>
  </conditionalFormatting>
  <conditionalFormatting sqref="C1215:C1216">
    <cfRule type="expression" dxfId="1038" priority="1190">
      <formula>ISEVEN(ROW())</formula>
    </cfRule>
  </conditionalFormatting>
  <conditionalFormatting sqref="C1396:C1397">
    <cfRule type="expression" dxfId="1037" priority="1189">
      <formula>ISEVEN(ROW())</formula>
    </cfRule>
  </conditionalFormatting>
  <conditionalFormatting sqref="C1575:C1576">
    <cfRule type="expression" dxfId="1036" priority="1188">
      <formula>ISEVEN(ROW())</formula>
    </cfRule>
  </conditionalFormatting>
  <conditionalFormatting sqref="C1756:C1757">
    <cfRule type="expression" dxfId="1035" priority="1187">
      <formula>ISEVEN(ROW())</formula>
    </cfRule>
  </conditionalFormatting>
  <conditionalFormatting sqref="C1937:C1938">
    <cfRule type="expression" dxfId="1034" priority="1186">
      <formula>ISEVEN(ROW())</formula>
    </cfRule>
  </conditionalFormatting>
  <conditionalFormatting sqref="C2120:C2121">
    <cfRule type="expression" dxfId="1033" priority="1185">
      <formula>ISEVEN(ROW())</formula>
    </cfRule>
  </conditionalFormatting>
  <conditionalFormatting sqref="C2300:C2301">
    <cfRule type="expression" dxfId="1032" priority="1184">
      <formula>ISEVEN(ROW())</formula>
    </cfRule>
  </conditionalFormatting>
  <conditionalFormatting sqref="E170:E171">
    <cfRule type="expression" dxfId="1031" priority="1142">
      <formula>ISEVEN(ROW())</formula>
    </cfRule>
  </conditionalFormatting>
  <conditionalFormatting sqref="C3181:C3182">
    <cfRule type="expression" dxfId="1030" priority="1180">
      <formula>ISEVEN(ROW())</formula>
    </cfRule>
  </conditionalFormatting>
  <conditionalFormatting sqref="C3364:C3365">
    <cfRule type="expression" dxfId="1029" priority="1179">
      <formula>ISEVEN(ROW())</formula>
    </cfRule>
  </conditionalFormatting>
  <conditionalFormatting sqref="C745:C746">
    <cfRule type="expression" dxfId="1028" priority="1178">
      <formula>ISEVEN(ROW())</formula>
    </cfRule>
  </conditionalFormatting>
  <conditionalFormatting sqref="C800">
    <cfRule type="expression" dxfId="1027" priority="1177">
      <formula>ISEVEN(ROW())</formula>
    </cfRule>
  </conditionalFormatting>
  <conditionalFormatting sqref="C799">
    <cfRule type="expression" dxfId="1026" priority="1176">
      <formula>ISEVEN(ROW())</formula>
    </cfRule>
  </conditionalFormatting>
  <conditionalFormatting sqref="C927">
    <cfRule type="expression" dxfId="1025" priority="1175">
      <formula>ISEVEN(ROW())</formula>
    </cfRule>
  </conditionalFormatting>
  <conditionalFormatting sqref="C926">
    <cfRule type="expression" dxfId="1024" priority="1174">
      <formula>ISEVEN(ROW())</formula>
    </cfRule>
  </conditionalFormatting>
  <conditionalFormatting sqref="C981">
    <cfRule type="expression" dxfId="1023" priority="1173">
      <formula>ISEVEN(ROW())</formula>
    </cfRule>
  </conditionalFormatting>
  <conditionalFormatting sqref="C980">
    <cfRule type="expression" dxfId="1022" priority="1172">
      <formula>ISEVEN(ROW())</formula>
    </cfRule>
  </conditionalFormatting>
  <conditionalFormatting sqref="C1162">
    <cfRule type="expression" dxfId="1021" priority="1171">
      <formula>ISEVEN(ROW())</formula>
    </cfRule>
  </conditionalFormatting>
  <conditionalFormatting sqref="C1161">
    <cfRule type="expression" dxfId="1020" priority="1170">
      <formula>ISEVEN(ROW())</formula>
    </cfRule>
  </conditionalFormatting>
  <conditionalFormatting sqref="C1343">
    <cfRule type="expression" dxfId="1019" priority="1169">
      <formula>ISEVEN(ROW())</formula>
    </cfRule>
  </conditionalFormatting>
  <conditionalFormatting sqref="C1342">
    <cfRule type="expression" dxfId="1018" priority="1168">
      <formula>ISEVEN(ROW())</formula>
    </cfRule>
  </conditionalFormatting>
  <conditionalFormatting sqref="C1702:C1703">
    <cfRule type="expression" dxfId="1017" priority="1167">
      <formula>ISEVEN(ROW())</formula>
    </cfRule>
  </conditionalFormatting>
  <conditionalFormatting sqref="C1883:C1884">
    <cfRule type="expression" dxfId="1016" priority="1166">
      <formula>ISEVEN(ROW())</formula>
    </cfRule>
  </conditionalFormatting>
  <conditionalFormatting sqref="C2247:C2248">
    <cfRule type="expression" dxfId="1015" priority="1164">
      <formula>ISEVEN(ROW())</formula>
    </cfRule>
  </conditionalFormatting>
  <conditionalFormatting sqref="C2425:C2426">
    <cfRule type="expression" dxfId="1014" priority="1163">
      <formula>ISEVEN(ROW())</formula>
    </cfRule>
  </conditionalFormatting>
  <conditionalFormatting sqref="C2582:C2583">
    <cfRule type="expression" dxfId="1013" priority="1162">
      <formula>ISEVEN(ROW())</formula>
    </cfRule>
  </conditionalFormatting>
  <conditionalFormatting sqref="C2761:C2762">
    <cfRule type="expression" dxfId="1012" priority="1161">
      <formula>ISEVEN(ROW())</formula>
    </cfRule>
  </conditionalFormatting>
  <conditionalFormatting sqref="C2944:C2945">
    <cfRule type="expression" dxfId="1011" priority="1160">
      <formula>ISEVEN(ROW())</formula>
    </cfRule>
  </conditionalFormatting>
  <conditionalFormatting sqref="C3127:C3128">
    <cfRule type="expression" dxfId="1010" priority="1159">
      <formula>ISEVEN(ROW())</formula>
    </cfRule>
  </conditionalFormatting>
  <conditionalFormatting sqref="C3310:C3311">
    <cfRule type="expression" dxfId="1009" priority="1158">
      <formula>ISEVEN(ROW())</formula>
    </cfRule>
  </conditionalFormatting>
  <conditionalFormatting sqref="D2562:E2566">
    <cfRule type="expression" dxfId="1008" priority="1113">
      <formula>ISEVEN(ROW())</formula>
    </cfRule>
  </conditionalFormatting>
  <conditionalFormatting sqref="D2557:E2561">
    <cfRule type="expression" dxfId="1007" priority="1114">
      <formula>ISEVEN(ROW())</formula>
    </cfRule>
  </conditionalFormatting>
  <conditionalFormatting sqref="D2066:E2070">
    <cfRule type="expression" dxfId="1006" priority="1119">
      <formula>ISEVEN(ROW())</formula>
    </cfRule>
  </conditionalFormatting>
  <conditionalFormatting sqref="D2051:E2055">
    <cfRule type="expression" dxfId="1005" priority="1120">
      <formula>ISEVEN(ROW())</formula>
    </cfRule>
  </conditionalFormatting>
  <conditionalFormatting sqref="D2046:E2050">
    <cfRule type="expression" dxfId="1004" priority="1121">
      <formula>ISEVEN(ROW())</formula>
    </cfRule>
  </conditionalFormatting>
  <conditionalFormatting sqref="D2041:E2045">
    <cfRule type="expression" dxfId="1003" priority="1122">
      <formula>ISEVEN(ROW())</formula>
    </cfRule>
  </conditionalFormatting>
  <conditionalFormatting sqref="D2031:E2035">
    <cfRule type="expression" dxfId="1002" priority="1123">
      <formula>ISEVEN(ROW())</formula>
    </cfRule>
  </conditionalFormatting>
  <conditionalFormatting sqref="D190">
    <cfRule type="expression" dxfId="1001" priority="1149">
      <formula>ISEVEN(ROW())</formula>
    </cfRule>
  </conditionalFormatting>
  <conditionalFormatting sqref="D206:D207">
    <cfRule type="expression" dxfId="1000" priority="1148">
      <formula>ISEVEN(ROW())</formula>
    </cfRule>
  </conditionalFormatting>
  <conditionalFormatting sqref="D212:D213">
    <cfRule type="expression" dxfId="999" priority="1147">
      <formula>ISEVEN(ROW())</formula>
    </cfRule>
  </conditionalFormatting>
  <conditionalFormatting sqref="D214">
    <cfRule type="expression" dxfId="998" priority="1146">
      <formula>ISEVEN(ROW())</formula>
    </cfRule>
  </conditionalFormatting>
  <conditionalFormatting sqref="D170:D171">
    <cfRule type="expression" dxfId="997" priority="1141">
      <formula>ISEVEN(ROW())</formula>
    </cfRule>
  </conditionalFormatting>
  <conditionalFormatting sqref="D711">
    <cfRule type="expression" dxfId="996" priority="1062">
      <formula>ISEVEN(ROW())</formula>
    </cfRule>
  </conditionalFormatting>
  <conditionalFormatting sqref="D172">
    <cfRule type="expression" dxfId="995" priority="1139">
      <formula>ISEVEN(ROW())</formula>
    </cfRule>
  </conditionalFormatting>
  <conditionalFormatting sqref="E175:E176">
    <cfRule type="expression" dxfId="994" priority="1138">
      <formula>ISEVEN(ROW())</formula>
    </cfRule>
  </conditionalFormatting>
  <conditionalFormatting sqref="D175:D176">
    <cfRule type="expression" dxfId="993" priority="1137">
      <formula>ISEVEN(ROW())</formula>
    </cfRule>
  </conditionalFormatting>
  <conditionalFormatting sqref="E177">
    <cfRule type="expression" dxfId="992" priority="1136">
      <formula>ISEVEN(ROW())</formula>
    </cfRule>
  </conditionalFormatting>
  <conditionalFormatting sqref="D177 D370 D568 D749 D930 D1111 D1292 D1462 D1652 D1833 D1996 D2186 D2375 D2874 D3057 D3240 D3423">
    <cfRule type="expression" dxfId="991" priority="1135">
      <formula>ISEVEN(ROW())</formula>
    </cfRule>
  </conditionalFormatting>
  <conditionalFormatting sqref="E183">
    <cfRule type="expression" dxfId="990" priority="1134">
      <formula>ISEVEN(ROW())</formula>
    </cfRule>
  </conditionalFormatting>
  <conditionalFormatting sqref="D183 D2705 D2887 D377 D561 D742 D923 D1104 D1285 D1469:D1470 D1645 D1826 D2010 D2188 D2369 D3071 D3254 D3436">
    <cfRule type="expression" dxfId="989" priority="1133">
      <formula>ISEVEN(ROW())</formula>
    </cfRule>
  </conditionalFormatting>
  <conditionalFormatting sqref="E185">
    <cfRule type="expression" dxfId="988" priority="1132">
      <formula>ISEVEN(ROW())</formula>
    </cfRule>
  </conditionalFormatting>
  <conditionalFormatting sqref="D185">
    <cfRule type="expression" dxfId="987" priority="1131">
      <formula>ISEVEN(ROW())</formula>
    </cfRule>
  </conditionalFormatting>
  <conditionalFormatting sqref="E186">
    <cfRule type="expression" dxfId="986" priority="1130">
      <formula>ISEVEN(ROW())</formula>
    </cfRule>
  </conditionalFormatting>
  <conditionalFormatting sqref="D186">
    <cfRule type="expression" dxfId="985" priority="1129">
      <formula>ISEVEN(ROW())</formula>
    </cfRule>
  </conditionalFormatting>
  <conditionalFormatting sqref="E187">
    <cfRule type="expression" dxfId="984" priority="1128">
      <formula>ISEVEN(ROW())</formula>
    </cfRule>
  </conditionalFormatting>
  <conditionalFormatting sqref="D187">
    <cfRule type="expression" dxfId="983" priority="1127">
      <formula>ISEVEN(ROW())</formula>
    </cfRule>
  </conditionalFormatting>
  <conditionalFormatting sqref="E188">
    <cfRule type="expression" dxfId="982" priority="1126">
      <formula>ISEVEN(ROW())</formula>
    </cfRule>
  </conditionalFormatting>
  <conditionalFormatting sqref="D188">
    <cfRule type="expression" dxfId="981" priority="1125">
      <formula>ISEVEN(ROW())</formula>
    </cfRule>
  </conditionalFormatting>
  <conditionalFormatting sqref="D692">
    <cfRule type="expression" dxfId="980" priority="1070">
      <formula>ISEVEN(ROW())</formula>
    </cfRule>
  </conditionalFormatting>
  <conditionalFormatting sqref="D585:E588 E584">
    <cfRule type="expression" dxfId="979" priority="1109">
      <formula>ISEVEN(ROW())</formula>
    </cfRule>
  </conditionalFormatting>
  <conditionalFormatting sqref="D584">
    <cfRule type="expression" dxfId="978" priority="1108">
      <formula>ISEVEN(ROW())</formula>
    </cfRule>
  </conditionalFormatting>
  <conditionalFormatting sqref="D590:E593 E589">
    <cfRule type="expression" dxfId="977" priority="1107">
      <formula>ISEVEN(ROW())</formula>
    </cfRule>
  </conditionalFormatting>
  <conditionalFormatting sqref="D589">
    <cfRule type="expression" dxfId="976" priority="1106">
      <formula>ISEVEN(ROW())</formula>
    </cfRule>
  </conditionalFormatting>
  <conditionalFormatting sqref="D595:E598 E594">
    <cfRule type="expression" dxfId="975" priority="1105">
      <formula>ISEVEN(ROW())</formula>
    </cfRule>
  </conditionalFormatting>
  <conditionalFormatting sqref="D2071:E2075">
    <cfRule type="expression" dxfId="974" priority="1118">
      <formula>ISEVEN(ROW())</formula>
    </cfRule>
  </conditionalFormatting>
  <conditionalFormatting sqref="D2076:E2080">
    <cfRule type="expression" dxfId="973" priority="1117">
      <formula>ISEVEN(ROW())</formula>
    </cfRule>
  </conditionalFormatting>
  <conditionalFormatting sqref="D2095:E2099">
    <cfRule type="expression" dxfId="972" priority="1116">
      <formula>ISEVEN(ROW())</formula>
    </cfRule>
  </conditionalFormatting>
  <conditionalFormatting sqref="D2547:E2551">
    <cfRule type="expression" dxfId="971" priority="1115">
      <formula>ISEVEN(ROW())</formula>
    </cfRule>
  </conditionalFormatting>
  <conditionalFormatting sqref="D604">
    <cfRule type="expression" dxfId="970" priority="1100">
      <formula>ISEVEN(ROW())</formula>
    </cfRule>
  </conditionalFormatting>
  <conditionalFormatting sqref="D619:E622 E618">
    <cfRule type="expression" dxfId="969" priority="1099">
      <formula>ISEVEN(ROW())</formula>
    </cfRule>
  </conditionalFormatting>
  <conditionalFormatting sqref="D2567:E2571">
    <cfRule type="expression" dxfId="968" priority="1112">
      <formula>ISEVEN(ROW())</formula>
    </cfRule>
  </conditionalFormatting>
  <conditionalFormatting sqref="D2582:E2586">
    <cfRule type="expression" dxfId="967" priority="1111">
      <formula>ISEVEN(ROW())</formula>
    </cfRule>
  </conditionalFormatting>
  <conditionalFormatting sqref="D2587:E2591">
    <cfRule type="expression" dxfId="966" priority="1110">
      <formula>ISEVEN(ROW())</formula>
    </cfRule>
  </conditionalFormatting>
  <conditionalFormatting sqref="D766:E769 E765">
    <cfRule type="expression" dxfId="965" priority="1055">
      <formula>ISEVEN(ROW())</formula>
    </cfRule>
  </conditionalFormatting>
  <conditionalFormatting sqref="D765">
    <cfRule type="expression" dxfId="964" priority="1054">
      <formula>ISEVEN(ROW())</formula>
    </cfRule>
  </conditionalFormatting>
  <conditionalFormatting sqref="D771:E774 E770">
    <cfRule type="expression" dxfId="963" priority="1053">
      <formula>ISEVEN(ROW())</formula>
    </cfRule>
  </conditionalFormatting>
  <conditionalFormatting sqref="D770">
    <cfRule type="expression" dxfId="962" priority="1052">
      <formula>ISEVEN(ROW())</formula>
    </cfRule>
  </conditionalFormatting>
  <conditionalFormatting sqref="D776:E779 E775">
    <cfRule type="expression" dxfId="961" priority="1051">
      <formula>ISEVEN(ROW())</formula>
    </cfRule>
  </conditionalFormatting>
  <conditionalFormatting sqref="D594">
    <cfRule type="expression" dxfId="960" priority="1104">
      <formula>ISEVEN(ROW())</formula>
    </cfRule>
  </conditionalFormatting>
  <conditionalFormatting sqref="D600:E603 E599">
    <cfRule type="expression" dxfId="959" priority="1103">
      <formula>ISEVEN(ROW())</formula>
    </cfRule>
  </conditionalFormatting>
  <conditionalFormatting sqref="D599">
    <cfRule type="expression" dxfId="958" priority="1102">
      <formula>ISEVEN(ROW())</formula>
    </cfRule>
  </conditionalFormatting>
  <conditionalFormatting sqref="D605:E608 E604">
    <cfRule type="expression" dxfId="957" priority="1101">
      <formula>ISEVEN(ROW())</formula>
    </cfRule>
  </conditionalFormatting>
  <conditionalFormatting sqref="D785">
    <cfRule type="expression" dxfId="956" priority="1046">
      <formula>ISEVEN(ROW())</formula>
    </cfRule>
  </conditionalFormatting>
  <conditionalFormatting sqref="D800:E803 E799">
    <cfRule type="expression" dxfId="955" priority="1045">
      <formula>ISEVEN(ROW())</formula>
    </cfRule>
  </conditionalFormatting>
  <conditionalFormatting sqref="D618">
    <cfRule type="expression" dxfId="954" priority="1098">
      <formula>ISEVEN(ROW())</formula>
    </cfRule>
  </conditionalFormatting>
  <conditionalFormatting sqref="D624:E627 E623">
    <cfRule type="expression" dxfId="953" priority="1097">
      <formula>ISEVEN(ROW())</formula>
    </cfRule>
  </conditionalFormatting>
  <conditionalFormatting sqref="D623">
    <cfRule type="expression" dxfId="952" priority="1096">
      <formula>ISEVEN(ROW())</formula>
    </cfRule>
  </conditionalFormatting>
  <conditionalFormatting sqref="D629:E632 E628">
    <cfRule type="expression" dxfId="951" priority="1095">
      <formula>ISEVEN(ROW())</formula>
    </cfRule>
  </conditionalFormatting>
  <conditionalFormatting sqref="D628">
    <cfRule type="expression" dxfId="950" priority="1094">
      <formula>ISEVEN(ROW())</formula>
    </cfRule>
  </conditionalFormatting>
  <conditionalFormatting sqref="D634:E637 E633">
    <cfRule type="expression" dxfId="949" priority="1093">
      <formula>ISEVEN(ROW())</formula>
    </cfRule>
  </conditionalFormatting>
  <conditionalFormatting sqref="D633">
    <cfRule type="expression" dxfId="948" priority="1092">
      <formula>ISEVEN(ROW())</formula>
    </cfRule>
  </conditionalFormatting>
  <conditionalFormatting sqref="D638:E641">
    <cfRule type="expression" dxfId="947" priority="1091">
      <formula>ISEVEN(ROW())</formula>
    </cfRule>
  </conditionalFormatting>
  <conditionalFormatting sqref="D643:E646 E642">
    <cfRule type="expression" dxfId="946" priority="1089">
      <formula>ISEVEN(ROW())</formula>
    </cfRule>
  </conditionalFormatting>
  <conditionalFormatting sqref="D642">
    <cfRule type="expression" dxfId="945" priority="1088">
      <formula>ISEVEN(ROW())</formula>
    </cfRule>
  </conditionalFormatting>
  <conditionalFormatting sqref="D647:E650">
    <cfRule type="expression" dxfId="944" priority="1087">
      <formula>ISEVEN(ROW())</formula>
    </cfRule>
  </conditionalFormatting>
  <conditionalFormatting sqref="D658:E661 E657">
    <cfRule type="expression" dxfId="943" priority="1085">
      <formula>ISEVEN(ROW())</formula>
    </cfRule>
  </conditionalFormatting>
  <conditionalFormatting sqref="D657">
    <cfRule type="expression" dxfId="942" priority="1084">
      <formula>ISEVEN(ROW())</formula>
    </cfRule>
  </conditionalFormatting>
  <conditionalFormatting sqref="D663:E666 E662">
    <cfRule type="expression" dxfId="941" priority="1083">
      <formula>ISEVEN(ROW())</formula>
    </cfRule>
  </conditionalFormatting>
  <conditionalFormatting sqref="D662">
    <cfRule type="expression" dxfId="940" priority="1082">
      <formula>ISEVEN(ROW())</formula>
    </cfRule>
  </conditionalFormatting>
  <conditionalFormatting sqref="D668:E671 E667">
    <cfRule type="expression" dxfId="939" priority="1081">
      <formula>ISEVEN(ROW())</formula>
    </cfRule>
  </conditionalFormatting>
  <conditionalFormatting sqref="D667">
    <cfRule type="expression" dxfId="938" priority="1080">
      <formula>ISEVEN(ROW())</formula>
    </cfRule>
  </conditionalFormatting>
  <conditionalFormatting sqref="D673:E676 E672">
    <cfRule type="expression" dxfId="937" priority="1079">
      <formula>ISEVEN(ROW())</formula>
    </cfRule>
  </conditionalFormatting>
  <conditionalFormatting sqref="D672">
    <cfRule type="expression" dxfId="936" priority="1078">
      <formula>ISEVEN(ROW())</formula>
    </cfRule>
  </conditionalFormatting>
  <conditionalFormatting sqref="D678:E681 E677">
    <cfRule type="expression" dxfId="935" priority="1077">
      <formula>ISEVEN(ROW())</formula>
    </cfRule>
  </conditionalFormatting>
  <conditionalFormatting sqref="D677">
    <cfRule type="expression" dxfId="934" priority="1076">
      <formula>ISEVEN(ROW())</formula>
    </cfRule>
  </conditionalFormatting>
  <conditionalFormatting sqref="D683:E686 E682">
    <cfRule type="expression" dxfId="933" priority="1075">
      <formula>ISEVEN(ROW())</formula>
    </cfRule>
  </conditionalFormatting>
  <conditionalFormatting sqref="D682">
    <cfRule type="expression" dxfId="932" priority="1074">
      <formula>ISEVEN(ROW())</formula>
    </cfRule>
  </conditionalFormatting>
  <conditionalFormatting sqref="D688:E691 E687">
    <cfRule type="expression" dxfId="931" priority="1073">
      <formula>ISEVEN(ROW())</formula>
    </cfRule>
  </conditionalFormatting>
  <conditionalFormatting sqref="D687">
    <cfRule type="expression" dxfId="930" priority="1072">
      <formula>ISEVEN(ROW())</formula>
    </cfRule>
  </conditionalFormatting>
  <conditionalFormatting sqref="D693:E696 E692">
    <cfRule type="expression" dxfId="929" priority="1071">
      <formula>ISEVEN(ROW())</formula>
    </cfRule>
  </conditionalFormatting>
  <conditionalFormatting sqref="D834:E837">
    <cfRule type="expression" dxfId="928" priority="1031">
      <formula>ISEVEN(ROW())</formula>
    </cfRule>
  </conditionalFormatting>
  <conditionalFormatting sqref="D697:E700">
    <cfRule type="expression" dxfId="927" priority="1069">
      <formula>ISEVEN(ROW())</formula>
    </cfRule>
  </conditionalFormatting>
  <conditionalFormatting sqref="D702:E705 E701">
    <cfRule type="expression" dxfId="926" priority="1067">
      <formula>ISEVEN(ROW())</formula>
    </cfRule>
  </conditionalFormatting>
  <conditionalFormatting sqref="D701">
    <cfRule type="expression" dxfId="925" priority="1066">
      <formula>ISEVEN(ROW())</formula>
    </cfRule>
  </conditionalFormatting>
  <conditionalFormatting sqref="D707:E710 E706">
    <cfRule type="expression" dxfId="924" priority="1065">
      <formula>ISEVEN(ROW())</formula>
    </cfRule>
  </conditionalFormatting>
  <conditionalFormatting sqref="D706">
    <cfRule type="expression" dxfId="923" priority="1064">
      <formula>ISEVEN(ROW())</formula>
    </cfRule>
  </conditionalFormatting>
  <conditionalFormatting sqref="D712:E715 E711">
    <cfRule type="expression" dxfId="922" priority="1063">
      <formula>ISEVEN(ROW())</formula>
    </cfRule>
  </conditionalFormatting>
  <conditionalFormatting sqref="D882">
    <cfRule type="expression" dxfId="921" priority="1008">
      <formula>ISEVEN(ROW())</formula>
    </cfRule>
  </conditionalFormatting>
  <conditionalFormatting sqref="D717:E720 E716">
    <cfRule type="expression" dxfId="920" priority="1061">
      <formula>ISEVEN(ROW())</formula>
    </cfRule>
  </conditionalFormatting>
  <conditionalFormatting sqref="D716">
    <cfRule type="expression" dxfId="919" priority="1060">
      <formula>ISEVEN(ROW())</formula>
    </cfRule>
  </conditionalFormatting>
  <conditionalFormatting sqref="D721:E724">
    <cfRule type="expression" dxfId="918" priority="1059">
      <formula>ISEVEN(ROW())</formula>
    </cfRule>
  </conditionalFormatting>
  <conditionalFormatting sqref="D726:E729 E725">
    <cfRule type="expression" dxfId="917" priority="1057">
      <formula>ISEVEN(ROW())</formula>
    </cfRule>
  </conditionalFormatting>
  <conditionalFormatting sqref="D725">
    <cfRule type="expression" dxfId="916" priority="1056">
      <formula>ISEVEN(ROW())</formula>
    </cfRule>
  </conditionalFormatting>
  <conditionalFormatting sqref="D1309:E1312 E1308">
    <cfRule type="expression" dxfId="915" priority="990">
      <formula>ISEVEN(ROW())</formula>
    </cfRule>
  </conditionalFormatting>
  <conditionalFormatting sqref="D1308">
    <cfRule type="expression" dxfId="914" priority="989">
      <formula>ISEVEN(ROW())</formula>
    </cfRule>
  </conditionalFormatting>
  <conditionalFormatting sqref="D1314:E1317 E1313">
    <cfRule type="expression" dxfId="913" priority="988">
      <formula>ISEVEN(ROW())</formula>
    </cfRule>
  </conditionalFormatting>
  <conditionalFormatting sqref="D1313">
    <cfRule type="expression" dxfId="912" priority="987">
      <formula>ISEVEN(ROW())</formula>
    </cfRule>
  </conditionalFormatting>
  <conditionalFormatting sqref="D1319:E1322 E1318">
    <cfRule type="expression" dxfId="911" priority="986">
      <formula>ISEVEN(ROW())</formula>
    </cfRule>
  </conditionalFormatting>
  <conditionalFormatting sqref="D775">
    <cfRule type="expression" dxfId="910" priority="1050">
      <formula>ISEVEN(ROW())</formula>
    </cfRule>
  </conditionalFormatting>
  <conditionalFormatting sqref="D781:E784 E780">
    <cfRule type="expression" dxfId="909" priority="1049">
      <formula>ISEVEN(ROW())</formula>
    </cfRule>
  </conditionalFormatting>
  <conditionalFormatting sqref="D780">
    <cfRule type="expression" dxfId="908" priority="1048">
      <formula>ISEVEN(ROW())</formula>
    </cfRule>
  </conditionalFormatting>
  <conditionalFormatting sqref="D786:E789 E785">
    <cfRule type="expression" dxfId="907" priority="1047">
      <formula>ISEVEN(ROW())</formula>
    </cfRule>
  </conditionalFormatting>
  <conditionalFormatting sqref="D1328">
    <cfRule type="expression" dxfId="906" priority="981">
      <formula>ISEVEN(ROW())</formula>
    </cfRule>
  </conditionalFormatting>
  <conditionalFormatting sqref="D1338:E1341">
    <cfRule type="expression" dxfId="905" priority="980">
      <formula>ISEVEN(ROW())</formula>
    </cfRule>
  </conditionalFormatting>
  <conditionalFormatting sqref="D799">
    <cfRule type="expression" dxfId="904" priority="1044">
      <formula>ISEVEN(ROW())</formula>
    </cfRule>
  </conditionalFormatting>
  <conditionalFormatting sqref="D805:E808 E804">
    <cfRule type="expression" dxfId="903" priority="1043">
      <formula>ISEVEN(ROW())</formula>
    </cfRule>
  </conditionalFormatting>
  <conditionalFormatting sqref="D804">
    <cfRule type="expression" dxfId="902" priority="1042">
      <formula>ISEVEN(ROW())</formula>
    </cfRule>
  </conditionalFormatting>
  <conditionalFormatting sqref="D810:E813 E809">
    <cfRule type="expression" dxfId="901" priority="1041">
      <formula>ISEVEN(ROW())</formula>
    </cfRule>
  </conditionalFormatting>
  <conditionalFormatting sqref="D809">
    <cfRule type="expression" dxfId="900" priority="1040">
      <formula>ISEVEN(ROW())</formula>
    </cfRule>
  </conditionalFormatting>
  <conditionalFormatting sqref="D815:E818 E814">
    <cfRule type="expression" dxfId="899" priority="1039">
      <formula>ISEVEN(ROW())</formula>
    </cfRule>
  </conditionalFormatting>
  <conditionalFormatting sqref="D814">
    <cfRule type="expression" dxfId="898" priority="1038">
      <formula>ISEVEN(ROW())</formula>
    </cfRule>
  </conditionalFormatting>
  <conditionalFormatting sqref="D819:E822">
    <cfRule type="expression" dxfId="897" priority="1037">
      <formula>ISEVEN(ROW())</formula>
    </cfRule>
  </conditionalFormatting>
  <conditionalFormatting sqref="D824:E827 E823">
    <cfRule type="expression" dxfId="896" priority="1035">
      <formula>ISEVEN(ROW())</formula>
    </cfRule>
  </conditionalFormatting>
  <conditionalFormatting sqref="D823">
    <cfRule type="expression" dxfId="895" priority="1034">
      <formula>ISEVEN(ROW())</formula>
    </cfRule>
  </conditionalFormatting>
  <conditionalFormatting sqref="D828:E831">
    <cfRule type="expression" dxfId="894" priority="1033">
      <formula>ISEVEN(ROW())</formula>
    </cfRule>
  </conditionalFormatting>
  <conditionalFormatting sqref="E838">
    <cfRule type="expression" dxfId="893" priority="1030">
      <formula>ISEVEN(ROW())</formula>
    </cfRule>
  </conditionalFormatting>
  <conditionalFormatting sqref="D838">
    <cfRule type="expression" dxfId="892" priority="1029">
      <formula>ISEVEN(ROW())</formula>
    </cfRule>
  </conditionalFormatting>
  <conditionalFormatting sqref="D839:E842">
    <cfRule type="expression" dxfId="891" priority="1028">
      <formula>ISEVEN(ROW())</formula>
    </cfRule>
  </conditionalFormatting>
  <conditionalFormatting sqref="D844:E847">
    <cfRule type="expression" dxfId="890" priority="1027">
      <formula>ISEVEN(ROW())</formula>
    </cfRule>
  </conditionalFormatting>
  <conditionalFormatting sqref="D849:E852">
    <cfRule type="expression" dxfId="889" priority="1026">
      <formula>ISEVEN(ROW())</formula>
    </cfRule>
  </conditionalFormatting>
  <conditionalFormatting sqref="D854:E857">
    <cfRule type="expression" dxfId="888" priority="1025">
      <formula>ISEVEN(ROW())</formula>
    </cfRule>
  </conditionalFormatting>
  <conditionalFormatting sqref="E858">
    <cfRule type="expression" dxfId="887" priority="1024">
      <formula>ISEVEN(ROW())</formula>
    </cfRule>
  </conditionalFormatting>
  <conditionalFormatting sqref="D858">
    <cfRule type="expression" dxfId="886" priority="1023">
      <formula>ISEVEN(ROW())</formula>
    </cfRule>
  </conditionalFormatting>
  <conditionalFormatting sqref="D859:E862">
    <cfRule type="expression" dxfId="885" priority="1022">
      <formula>ISEVEN(ROW())</formula>
    </cfRule>
  </conditionalFormatting>
  <conditionalFormatting sqref="E863">
    <cfRule type="expression" dxfId="884" priority="1021">
      <formula>ISEVEN(ROW())</formula>
    </cfRule>
  </conditionalFormatting>
  <conditionalFormatting sqref="D863">
    <cfRule type="expression" dxfId="883" priority="1020">
      <formula>ISEVEN(ROW())</formula>
    </cfRule>
  </conditionalFormatting>
  <conditionalFormatting sqref="D864:E867">
    <cfRule type="expression" dxfId="882" priority="1019">
      <formula>ISEVEN(ROW())</formula>
    </cfRule>
  </conditionalFormatting>
  <conditionalFormatting sqref="E868">
    <cfRule type="expression" dxfId="881" priority="1018">
      <formula>ISEVEN(ROW())</formula>
    </cfRule>
  </conditionalFormatting>
  <conditionalFormatting sqref="D868">
    <cfRule type="expression" dxfId="880" priority="1017">
      <formula>ISEVEN(ROW())</formula>
    </cfRule>
  </conditionalFormatting>
  <conditionalFormatting sqref="D869:E872">
    <cfRule type="expression" dxfId="879" priority="1016">
      <formula>ISEVEN(ROW())</formula>
    </cfRule>
  </conditionalFormatting>
  <conditionalFormatting sqref="E873">
    <cfRule type="expression" dxfId="878" priority="1015">
      <formula>ISEVEN(ROW())</formula>
    </cfRule>
  </conditionalFormatting>
  <conditionalFormatting sqref="D873">
    <cfRule type="expression" dxfId="877" priority="1014">
      <formula>ISEVEN(ROW())</formula>
    </cfRule>
  </conditionalFormatting>
  <conditionalFormatting sqref="D874:E877">
    <cfRule type="expression" dxfId="876" priority="1013">
      <formula>ISEVEN(ROW())</formula>
    </cfRule>
  </conditionalFormatting>
  <conditionalFormatting sqref="D878:E881">
    <cfRule type="expression" dxfId="875" priority="1010">
      <formula>ISEVEN(ROW())</formula>
    </cfRule>
  </conditionalFormatting>
  <conditionalFormatting sqref="E882">
    <cfRule type="expression" dxfId="874" priority="1009">
      <formula>ISEVEN(ROW())</formula>
    </cfRule>
  </conditionalFormatting>
  <conditionalFormatting sqref="D883:E886">
    <cfRule type="expression" dxfId="873" priority="1007">
      <formula>ISEVEN(ROW())</formula>
    </cfRule>
  </conditionalFormatting>
  <conditionalFormatting sqref="E887">
    <cfRule type="expression" dxfId="872" priority="1006">
      <formula>ISEVEN(ROW())</formula>
    </cfRule>
  </conditionalFormatting>
  <conditionalFormatting sqref="D887">
    <cfRule type="expression" dxfId="871" priority="1005">
      <formula>ISEVEN(ROW())</formula>
    </cfRule>
  </conditionalFormatting>
  <conditionalFormatting sqref="D888:E891">
    <cfRule type="expression" dxfId="870" priority="1004">
      <formula>ISEVEN(ROW())</formula>
    </cfRule>
  </conditionalFormatting>
  <conditionalFormatting sqref="E892">
    <cfRule type="expression" dxfId="869" priority="1003">
      <formula>ISEVEN(ROW())</formula>
    </cfRule>
  </conditionalFormatting>
  <conditionalFormatting sqref="D892">
    <cfRule type="expression" dxfId="868" priority="1002">
      <formula>ISEVEN(ROW())</formula>
    </cfRule>
  </conditionalFormatting>
  <conditionalFormatting sqref="D893:E896">
    <cfRule type="expression" dxfId="867" priority="1001">
      <formula>ISEVEN(ROW())</formula>
    </cfRule>
  </conditionalFormatting>
  <conditionalFormatting sqref="E897">
    <cfRule type="expression" dxfId="866" priority="1000">
      <formula>ISEVEN(ROW())</formula>
    </cfRule>
  </conditionalFormatting>
  <conditionalFormatting sqref="D897">
    <cfRule type="expression" dxfId="865" priority="999">
      <formula>ISEVEN(ROW())</formula>
    </cfRule>
  </conditionalFormatting>
  <conditionalFormatting sqref="D898:E901">
    <cfRule type="expression" dxfId="864" priority="998">
      <formula>ISEVEN(ROW())</formula>
    </cfRule>
  </conditionalFormatting>
  <conditionalFormatting sqref="D902:E905">
    <cfRule type="expression" dxfId="863" priority="995">
      <formula>ISEVEN(ROW())</formula>
    </cfRule>
  </conditionalFormatting>
  <conditionalFormatting sqref="E906">
    <cfRule type="expression" dxfId="862" priority="994">
      <formula>ISEVEN(ROW())</formula>
    </cfRule>
  </conditionalFormatting>
  <conditionalFormatting sqref="D906">
    <cfRule type="expression" dxfId="861" priority="993">
      <formula>ISEVEN(ROW())</formula>
    </cfRule>
  </conditionalFormatting>
  <conditionalFormatting sqref="D907:E910">
    <cfRule type="expression" dxfId="860" priority="992">
      <formula>ISEVEN(ROW())</formula>
    </cfRule>
  </conditionalFormatting>
  <conditionalFormatting sqref="D1303:E1307">
    <cfRule type="expression" dxfId="859" priority="991">
      <formula>ISEVEN(ROW())</formula>
    </cfRule>
  </conditionalFormatting>
  <conditionalFormatting sqref="E1411">
    <cfRule type="expression" dxfId="858" priority="950">
      <formula>ISEVEN(ROW())</formula>
    </cfRule>
  </conditionalFormatting>
  <conditionalFormatting sqref="D1411">
    <cfRule type="expression" dxfId="857" priority="949">
      <formula>ISEVEN(ROW())</formula>
    </cfRule>
  </conditionalFormatting>
  <conditionalFormatting sqref="D1412:E1415">
    <cfRule type="expression" dxfId="856" priority="948">
      <formula>ISEVEN(ROW())</formula>
    </cfRule>
  </conditionalFormatting>
  <conditionalFormatting sqref="E1416">
    <cfRule type="expression" dxfId="855" priority="947">
      <formula>ISEVEN(ROW())</formula>
    </cfRule>
  </conditionalFormatting>
  <conditionalFormatting sqref="D1416">
    <cfRule type="expression" dxfId="854" priority="946">
      <formula>ISEVEN(ROW())</formula>
    </cfRule>
  </conditionalFormatting>
  <conditionalFormatting sqref="D1318">
    <cfRule type="expression" dxfId="853" priority="985">
      <formula>ISEVEN(ROW())</formula>
    </cfRule>
  </conditionalFormatting>
  <conditionalFormatting sqref="D1324:E1327 E1323">
    <cfRule type="expression" dxfId="852" priority="984">
      <formula>ISEVEN(ROW())</formula>
    </cfRule>
  </conditionalFormatting>
  <conditionalFormatting sqref="D1323">
    <cfRule type="expression" dxfId="851" priority="983">
      <formula>ISEVEN(ROW())</formula>
    </cfRule>
  </conditionalFormatting>
  <conditionalFormatting sqref="D1329:E1332 E1328">
    <cfRule type="expression" dxfId="850" priority="982">
      <formula>ISEVEN(ROW())</formula>
    </cfRule>
  </conditionalFormatting>
  <conditionalFormatting sqref="E1425">
    <cfRule type="expression" dxfId="849" priority="941">
      <formula>ISEVEN(ROW())</formula>
    </cfRule>
  </conditionalFormatting>
  <conditionalFormatting sqref="D1425">
    <cfRule type="expression" dxfId="848" priority="940">
      <formula>ISEVEN(ROW())</formula>
    </cfRule>
  </conditionalFormatting>
  <conditionalFormatting sqref="D1343:E1346 E1342">
    <cfRule type="expression" dxfId="847" priority="978">
      <formula>ISEVEN(ROW())</formula>
    </cfRule>
  </conditionalFormatting>
  <conditionalFormatting sqref="D1342">
    <cfRule type="expression" dxfId="846" priority="977">
      <formula>ISEVEN(ROW())</formula>
    </cfRule>
  </conditionalFormatting>
  <conditionalFormatting sqref="D1348:E1351 E1347">
    <cfRule type="expression" dxfId="845" priority="976">
      <formula>ISEVEN(ROW())</formula>
    </cfRule>
  </conditionalFormatting>
  <conditionalFormatting sqref="D1347">
    <cfRule type="expression" dxfId="844" priority="975">
      <formula>ISEVEN(ROW())</formula>
    </cfRule>
  </conditionalFormatting>
  <conditionalFormatting sqref="D1353:E1356 E1352">
    <cfRule type="expression" dxfId="843" priority="974">
      <formula>ISEVEN(ROW())</formula>
    </cfRule>
  </conditionalFormatting>
  <conditionalFormatting sqref="D1352">
    <cfRule type="expression" dxfId="842" priority="973">
      <formula>ISEVEN(ROW())</formula>
    </cfRule>
  </conditionalFormatting>
  <conditionalFormatting sqref="D1358:E1361 E1357">
    <cfRule type="expression" dxfId="841" priority="972">
      <formula>ISEVEN(ROW())</formula>
    </cfRule>
  </conditionalFormatting>
  <conditionalFormatting sqref="D1357">
    <cfRule type="expression" dxfId="840" priority="971">
      <formula>ISEVEN(ROW())</formula>
    </cfRule>
  </conditionalFormatting>
  <conditionalFormatting sqref="D1362:E1365">
    <cfRule type="expression" dxfId="839" priority="970">
      <formula>ISEVEN(ROW())</formula>
    </cfRule>
  </conditionalFormatting>
  <conditionalFormatting sqref="D1367:E1370 E1366">
    <cfRule type="expression" dxfId="838" priority="968">
      <formula>ISEVEN(ROW())</formula>
    </cfRule>
  </conditionalFormatting>
  <conditionalFormatting sqref="D1366">
    <cfRule type="expression" dxfId="837" priority="967">
      <formula>ISEVEN(ROW())</formula>
    </cfRule>
  </conditionalFormatting>
  <conditionalFormatting sqref="D1382:E1385">
    <cfRule type="expression" dxfId="836" priority="966">
      <formula>ISEVEN(ROW())</formula>
    </cfRule>
  </conditionalFormatting>
  <conditionalFormatting sqref="E1386">
    <cfRule type="expression" dxfId="835" priority="965">
      <formula>ISEVEN(ROW())</formula>
    </cfRule>
  </conditionalFormatting>
  <conditionalFormatting sqref="D1386">
    <cfRule type="expression" dxfId="834" priority="964">
      <formula>ISEVEN(ROW())</formula>
    </cfRule>
  </conditionalFormatting>
  <conditionalFormatting sqref="D1387:E1390">
    <cfRule type="expression" dxfId="833" priority="963">
      <formula>ISEVEN(ROW())</formula>
    </cfRule>
  </conditionalFormatting>
  <conditionalFormatting sqref="E1391">
    <cfRule type="expression" dxfId="832" priority="962">
      <formula>ISEVEN(ROW())</formula>
    </cfRule>
  </conditionalFormatting>
  <conditionalFormatting sqref="D1391">
    <cfRule type="expression" dxfId="831" priority="961">
      <formula>ISEVEN(ROW())</formula>
    </cfRule>
  </conditionalFormatting>
  <conditionalFormatting sqref="D1392:E1395">
    <cfRule type="expression" dxfId="830" priority="960">
      <formula>ISEVEN(ROW())</formula>
    </cfRule>
  </conditionalFormatting>
  <conditionalFormatting sqref="E1396">
    <cfRule type="expression" dxfId="829" priority="959">
      <formula>ISEVEN(ROW())</formula>
    </cfRule>
  </conditionalFormatting>
  <conditionalFormatting sqref="D1396">
    <cfRule type="expression" dxfId="828" priority="958">
      <formula>ISEVEN(ROW())</formula>
    </cfRule>
  </conditionalFormatting>
  <conditionalFormatting sqref="D1397:E1400">
    <cfRule type="expression" dxfId="827" priority="957">
      <formula>ISEVEN(ROW())</formula>
    </cfRule>
  </conditionalFormatting>
  <conditionalFormatting sqref="E1401">
    <cfRule type="expression" dxfId="826" priority="956">
      <formula>ISEVEN(ROW())</formula>
    </cfRule>
  </conditionalFormatting>
  <conditionalFormatting sqref="D1401">
    <cfRule type="expression" dxfId="825" priority="955">
      <formula>ISEVEN(ROW())</formula>
    </cfRule>
  </conditionalFormatting>
  <conditionalFormatting sqref="D1402:E1405">
    <cfRule type="expression" dxfId="824" priority="954">
      <formula>ISEVEN(ROW())</formula>
    </cfRule>
  </conditionalFormatting>
  <conditionalFormatting sqref="E1406">
    <cfRule type="expression" dxfId="823" priority="953">
      <formula>ISEVEN(ROW())</formula>
    </cfRule>
  </conditionalFormatting>
  <conditionalFormatting sqref="D1406">
    <cfRule type="expression" dxfId="822" priority="952">
      <formula>ISEVEN(ROW())</formula>
    </cfRule>
  </conditionalFormatting>
  <conditionalFormatting sqref="D1407:E1410">
    <cfRule type="expression" dxfId="821" priority="951">
      <formula>ISEVEN(ROW())</formula>
    </cfRule>
  </conditionalFormatting>
  <conditionalFormatting sqref="D1417:E1420">
    <cfRule type="expression" dxfId="820" priority="945">
      <formula>ISEVEN(ROW())</formula>
    </cfRule>
  </conditionalFormatting>
  <conditionalFormatting sqref="D1421:E1424">
    <cfRule type="expression" dxfId="819" priority="942">
      <formula>ISEVEN(ROW())</formula>
    </cfRule>
  </conditionalFormatting>
  <conditionalFormatting sqref="D1426:E1429">
    <cfRule type="expression" dxfId="818" priority="939">
      <formula>ISEVEN(ROW())</formula>
    </cfRule>
  </conditionalFormatting>
  <conditionalFormatting sqref="E1430">
    <cfRule type="expression" dxfId="817" priority="938">
      <formula>ISEVEN(ROW())</formula>
    </cfRule>
  </conditionalFormatting>
  <conditionalFormatting sqref="D1430">
    <cfRule type="expression" dxfId="816" priority="937">
      <formula>ISEVEN(ROW())</formula>
    </cfRule>
  </conditionalFormatting>
  <conditionalFormatting sqref="D1431:E1434">
    <cfRule type="expression" dxfId="815" priority="936">
      <formula>ISEVEN(ROW())</formula>
    </cfRule>
  </conditionalFormatting>
  <conditionalFormatting sqref="E1435">
    <cfRule type="expression" dxfId="814" priority="935">
      <formula>ISEVEN(ROW())</formula>
    </cfRule>
  </conditionalFormatting>
  <conditionalFormatting sqref="D1435">
    <cfRule type="expression" dxfId="813" priority="934">
      <formula>ISEVEN(ROW())</formula>
    </cfRule>
  </conditionalFormatting>
  <conditionalFormatting sqref="D1436:E1439">
    <cfRule type="expression" dxfId="812" priority="933">
      <formula>ISEVEN(ROW())</formula>
    </cfRule>
  </conditionalFormatting>
  <conditionalFormatting sqref="E1440">
    <cfRule type="expression" dxfId="811" priority="932">
      <formula>ISEVEN(ROW())</formula>
    </cfRule>
  </conditionalFormatting>
  <conditionalFormatting sqref="D1440">
    <cfRule type="expression" dxfId="810" priority="931">
      <formula>ISEVEN(ROW())</formula>
    </cfRule>
  </conditionalFormatting>
  <conditionalFormatting sqref="D1441:E1444">
    <cfRule type="expression" dxfId="809" priority="930">
      <formula>ISEVEN(ROW())</formula>
    </cfRule>
  </conditionalFormatting>
  <conditionalFormatting sqref="D1445:E1448">
    <cfRule type="expression" dxfId="808" priority="927">
      <formula>ISEVEN(ROW())</formula>
    </cfRule>
  </conditionalFormatting>
  <conditionalFormatting sqref="E1449">
    <cfRule type="expression" dxfId="807" priority="926">
      <formula>ISEVEN(ROW())</formula>
    </cfRule>
  </conditionalFormatting>
  <conditionalFormatting sqref="D1449">
    <cfRule type="expression" dxfId="806" priority="925">
      <formula>ISEVEN(ROW())</formula>
    </cfRule>
  </conditionalFormatting>
  <conditionalFormatting sqref="D1450:E1453">
    <cfRule type="expression" dxfId="805" priority="924">
      <formula>ISEVEN(ROW())</formula>
    </cfRule>
  </conditionalFormatting>
  <conditionalFormatting sqref="D1482:E1485 E1481">
    <cfRule type="expression" dxfId="804" priority="923">
      <formula>ISEVEN(ROW())</formula>
    </cfRule>
  </conditionalFormatting>
  <conditionalFormatting sqref="D1481">
    <cfRule type="expression" dxfId="803" priority="922">
      <formula>ISEVEN(ROW())</formula>
    </cfRule>
  </conditionalFormatting>
  <conditionalFormatting sqref="D1492:E1495 E1491">
    <cfRule type="expression" dxfId="802" priority="921">
      <formula>ISEVEN(ROW())</formula>
    </cfRule>
  </conditionalFormatting>
  <conditionalFormatting sqref="D1491">
    <cfRule type="expression" dxfId="801" priority="920">
      <formula>ISEVEN(ROW())</formula>
    </cfRule>
  </conditionalFormatting>
  <conditionalFormatting sqref="D1497:E1500 E1496">
    <cfRule type="expression" dxfId="800" priority="919">
      <formula>ISEVEN(ROW())</formula>
    </cfRule>
  </conditionalFormatting>
  <conditionalFormatting sqref="D1496">
    <cfRule type="expression" dxfId="799" priority="918">
      <formula>ISEVEN(ROW())</formula>
    </cfRule>
  </conditionalFormatting>
  <conditionalFormatting sqref="D1502:E1505 E1501">
    <cfRule type="expression" dxfId="798" priority="917">
      <formula>ISEVEN(ROW())</formula>
    </cfRule>
  </conditionalFormatting>
  <conditionalFormatting sqref="D1501">
    <cfRule type="expression" dxfId="797" priority="916">
      <formula>ISEVEN(ROW())</formula>
    </cfRule>
  </conditionalFormatting>
  <conditionalFormatting sqref="D1507:E1510 E1506">
    <cfRule type="expression" dxfId="796" priority="915">
      <formula>ISEVEN(ROW())</formula>
    </cfRule>
  </conditionalFormatting>
  <conditionalFormatting sqref="D1506">
    <cfRule type="expression" dxfId="795" priority="914">
      <formula>ISEVEN(ROW())</formula>
    </cfRule>
  </conditionalFormatting>
  <conditionalFormatting sqref="D1512:E1515 E1511">
    <cfRule type="expression" dxfId="794" priority="913">
      <formula>ISEVEN(ROW())</formula>
    </cfRule>
  </conditionalFormatting>
  <conditionalFormatting sqref="D1511">
    <cfRule type="expression" dxfId="793" priority="912">
      <formula>ISEVEN(ROW())</formula>
    </cfRule>
  </conditionalFormatting>
  <conditionalFormatting sqref="D1521:E1524">
    <cfRule type="expression" dxfId="792" priority="911">
      <formula>ISEVEN(ROW())</formula>
    </cfRule>
  </conditionalFormatting>
  <conditionalFormatting sqref="D1526:E1529 E1525">
    <cfRule type="expression" dxfId="791" priority="909">
      <formula>ISEVEN(ROW())</formula>
    </cfRule>
  </conditionalFormatting>
  <conditionalFormatting sqref="D1525">
    <cfRule type="expression" dxfId="790" priority="908">
      <formula>ISEVEN(ROW())</formula>
    </cfRule>
  </conditionalFormatting>
  <conditionalFormatting sqref="D1531:E1534 E1530">
    <cfRule type="expression" dxfId="789" priority="907">
      <formula>ISEVEN(ROW())</formula>
    </cfRule>
  </conditionalFormatting>
  <conditionalFormatting sqref="D1530">
    <cfRule type="expression" dxfId="788" priority="906">
      <formula>ISEVEN(ROW())</formula>
    </cfRule>
  </conditionalFormatting>
  <conditionalFormatting sqref="D1536:E1539 E1535">
    <cfRule type="expression" dxfId="787" priority="905">
      <formula>ISEVEN(ROW())</formula>
    </cfRule>
  </conditionalFormatting>
  <conditionalFormatting sqref="D1535">
    <cfRule type="expression" dxfId="786" priority="904">
      <formula>ISEVEN(ROW())</formula>
    </cfRule>
  </conditionalFormatting>
  <conditionalFormatting sqref="D1541:E1544 E1540">
    <cfRule type="expression" dxfId="785" priority="903">
      <formula>ISEVEN(ROW())</formula>
    </cfRule>
  </conditionalFormatting>
  <conditionalFormatting sqref="D1540">
    <cfRule type="expression" dxfId="784" priority="902">
      <formula>ISEVEN(ROW())</formula>
    </cfRule>
  </conditionalFormatting>
  <conditionalFormatting sqref="D1545:E1548">
    <cfRule type="expression" dxfId="783" priority="901">
      <formula>ISEVEN(ROW())</formula>
    </cfRule>
  </conditionalFormatting>
  <conditionalFormatting sqref="D1550:E1553 E1549">
    <cfRule type="expression" dxfId="782" priority="899">
      <formula>ISEVEN(ROW())</formula>
    </cfRule>
  </conditionalFormatting>
  <conditionalFormatting sqref="D1549">
    <cfRule type="expression" dxfId="781" priority="898">
      <formula>ISEVEN(ROW())</formula>
    </cfRule>
  </conditionalFormatting>
  <conditionalFormatting sqref="D1554:E1557">
    <cfRule type="expression" dxfId="780" priority="897">
      <formula>ISEVEN(ROW())</formula>
    </cfRule>
  </conditionalFormatting>
  <conditionalFormatting sqref="D1571:E1574 E1570">
    <cfRule type="expression" dxfId="779" priority="895">
      <formula>ISEVEN(ROW())</formula>
    </cfRule>
  </conditionalFormatting>
  <conditionalFormatting sqref="D1570">
    <cfRule type="expression" dxfId="778" priority="894">
      <formula>ISEVEN(ROW())</formula>
    </cfRule>
  </conditionalFormatting>
  <conditionalFormatting sqref="D1576:E1579 E1575">
    <cfRule type="expression" dxfId="777" priority="893">
      <formula>ISEVEN(ROW())</formula>
    </cfRule>
  </conditionalFormatting>
  <conditionalFormatting sqref="D1575">
    <cfRule type="expression" dxfId="776" priority="892">
      <formula>ISEVEN(ROW())</formula>
    </cfRule>
  </conditionalFormatting>
  <conditionalFormatting sqref="D1581:E1584 E1580">
    <cfRule type="expression" dxfId="775" priority="891">
      <formula>ISEVEN(ROW())</formula>
    </cfRule>
  </conditionalFormatting>
  <conditionalFormatting sqref="D1580">
    <cfRule type="expression" dxfId="774" priority="890">
      <formula>ISEVEN(ROW())</formula>
    </cfRule>
  </conditionalFormatting>
  <conditionalFormatting sqref="D1586:E1589 E1585">
    <cfRule type="expression" dxfId="773" priority="889">
      <formula>ISEVEN(ROW())</formula>
    </cfRule>
  </conditionalFormatting>
  <conditionalFormatting sqref="D1585">
    <cfRule type="expression" dxfId="772" priority="888">
      <formula>ISEVEN(ROW())</formula>
    </cfRule>
  </conditionalFormatting>
  <conditionalFormatting sqref="D1591:E1594 E1590">
    <cfRule type="expression" dxfId="771" priority="887">
      <formula>ISEVEN(ROW())</formula>
    </cfRule>
  </conditionalFormatting>
  <conditionalFormatting sqref="D1590">
    <cfRule type="expression" dxfId="770" priority="886">
      <formula>ISEVEN(ROW())</formula>
    </cfRule>
  </conditionalFormatting>
  <conditionalFormatting sqref="D1596:E1599 E1595">
    <cfRule type="expression" dxfId="769" priority="885">
      <formula>ISEVEN(ROW())</formula>
    </cfRule>
  </conditionalFormatting>
  <conditionalFormatting sqref="D1595">
    <cfRule type="expression" dxfId="768" priority="884">
      <formula>ISEVEN(ROW())</formula>
    </cfRule>
  </conditionalFormatting>
  <conditionalFormatting sqref="D1600:E1603">
    <cfRule type="expression" dxfId="767" priority="883">
      <formula>ISEVEN(ROW())</formula>
    </cfRule>
  </conditionalFormatting>
  <conditionalFormatting sqref="D1605:E1608 E1604">
    <cfRule type="expression" dxfId="766" priority="881">
      <formula>ISEVEN(ROW())</formula>
    </cfRule>
  </conditionalFormatting>
  <conditionalFormatting sqref="D1604">
    <cfRule type="expression" dxfId="765" priority="880">
      <formula>ISEVEN(ROW())</formula>
    </cfRule>
  </conditionalFormatting>
  <conditionalFormatting sqref="D1610:E1613 E1609">
    <cfRule type="expression" dxfId="764" priority="879">
      <formula>ISEVEN(ROW())</formula>
    </cfRule>
  </conditionalFormatting>
  <conditionalFormatting sqref="D1609">
    <cfRule type="expression" dxfId="763" priority="878">
      <formula>ISEVEN(ROW())</formula>
    </cfRule>
  </conditionalFormatting>
  <conditionalFormatting sqref="D1615:E1618 E1614">
    <cfRule type="expression" dxfId="762" priority="877">
      <formula>ISEVEN(ROW())</formula>
    </cfRule>
  </conditionalFormatting>
  <conditionalFormatting sqref="D1614">
    <cfRule type="expression" dxfId="761" priority="876">
      <formula>ISEVEN(ROW())</formula>
    </cfRule>
  </conditionalFormatting>
  <conditionalFormatting sqref="D1620:E1623 E1619">
    <cfRule type="expression" dxfId="760" priority="875">
      <formula>ISEVEN(ROW())</formula>
    </cfRule>
  </conditionalFormatting>
  <conditionalFormatting sqref="D1619">
    <cfRule type="expression" dxfId="759" priority="874">
      <formula>ISEVEN(ROW())</formula>
    </cfRule>
  </conditionalFormatting>
  <conditionalFormatting sqref="D1624:E1627">
    <cfRule type="expression" dxfId="758" priority="873">
      <formula>ISEVEN(ROW())</formula>
    </cfRule>
  </conditionalFormatting>
  <conditionalFormatting sqref="D1629:E1632 E1628">
    <cfRule type="expression" dxfId="757" priority="871">
      <formula>ISEVEN(ROW())</formula>
    </cfRule>
  </conditionalFormatting>
  <conditionalFormatting sqref="D1628">
    <cfRule type="expression" dxfId="756" priority="870">
      <formula>ISEVEN(ROW())</formula>
    </cfRule>
  </conditionalFormatting>
  <conditionalFormatting sqref="D399:E402 E398">
    <cfRule type="expression" dxfId="755" priority="869">
      <formula>ISEVEN(ROW())</formula>
    </cfRule>
  </conditionalFormatting>
  <conditionalFormatting sqref="D398">
    <cfRule type="expression" dxfId="754" priority="868">
      <formula>ISEVEN(ROW())</formula>
    </cfRule>
  </conditionalFormatting>
  <conditionalFormatting sqref="D404:E407 E403">
    <cfRule type="expression" dxfId="753" priority="867">
      <formula>ISEVEN(ROW())</formula>
    </cfRule>
  </conditionalFormatting>
  <conditionalFormatting sqref="D403">
    <cfRule type="expression" dxfId="752" priority="866">
      <formula>ISEVEN(ROW())</formula>
    </cfRule>
  </conditionalFormatting>
  <conditionalFormatting sqref="D409:E412 E408">
    <cfRule type="expression" dxfId="751" priority="865">
      <formula>ISEVEN(ROW())</formula>
    </cfRule>
  </conditionalFormatting>
  <conditionalFormatting sqref="D408">
    <cfRule type="expression" dxfId="750" priority="864">
      <formula>ISEVEN(ROW())</formula>
    </cfRule>
  </conditionalFormatting>
  <conditionalFormatting sqref="D414:E417 E413">
    <cfRule type="expression" dxfId="749" priority="863">
      <formula>ISEVEN(ROW())</formula>
    </cfRule>
  </conditionalFormatting>
  <conditionalFormatting sqref="D413">
    <cfRule type="expression" dxfId="748" priority="862">
      <formula>ISEVEN(ROW())</formula>
    </cfRule>
  </conditionalFormatting>
  <conditionalFormatting sqref="D419:E422 E418">
    <cfRule type="expression" dxfId="747" priority="861">
      <formula>ISEVEN(ROW())</formula>
    </cfRule>
  </conditionalFormatting>
  <conditionalFormatting sqref="D418">
    <cfRule type="expression" dxfId="746" priority="860">
      <formula>ISEVEN(ROW())</formula>
    </cfRule>
  </conditionalFormatting>
  <conditionalFormatting sqref="D428:E431">
    <cfRule type="expression" dxfId="745" priority="859">
      <formula>ISEVEN(ROW())</formula>
    </cfRule>
  </conditionalFormatting>
  <conditionalFormatting sqref="D433:E436 E432">
    <cfRule type="expression" dxfId="744" priority="857">
      <formula>ISEVEN(ROW())</formula>
    </cfRule>
  </conditionalFormatting>
  <conditionalFormatting sqref="D432">
    <cfRule type="expression" dxfId="743" priority="856">
      <formula>ISEVEN(ROW())</formula>
    </cfRule>
  </conditionalFormatting>
  <conditionalFormatting sqref="D438:E441 E437">
    <cfRule type="expression" dxfId="742" priority="855">
      <formula>ISEVEN(ROW())</formula>
    </cfRule>
  </conditionalFormatting>
  <conditionalFormatting sqref="D437">
    <cfRule type="expression" dxfId="741" priority="854">
      <formula>ISEVEN(ROW())</formula>
    </cfRule>
  </conditionalFormatting>
  <conditionalFormatting sqref="D443:E446 E442">
    <cfRule type="expression" dxfId="740" priority="853">
      <formula>ISEVEN(ROW())</formula>
    </cfRule>
  </conditionalFormatting>
  <conditionalFormatting sqref="D442">
    <cfRule type="expression" dxfId="739" priority="852">
      <formula>ISEVEN(ROW())</formula>
    </cfRule>
  </conditionalFormatting>
  <conditionalFormatting sqref="D448:E451 E447">
    <cfRule type="expression" dxfId="738" priority="851">
      <formula>ISEVEN(ROW())</formula>
    </cfRule>
  </conditionalFormatting>
  <conditionalFormatting sqref="D447">
    <cfRule type="expression" dxfId="737" priority="850">
      <formula>ISEVEN(ROW())</formula>
    </cfRule>
  </conditionalFormatting>
  <conditionalFormatting sqref="D452:E455">
    <cfRule type="expression" dxfId="736" priority="849">
      <formula>ISEVEN(ROW())</formula>
    </cfRule>
  </conditionalFormatting>
  <conditionalFormatting sqref="D457:E460 E456">
    <cfRule type="expression" dxfId="735" priority="847">
      <formula>ISEVEN(ROW())</formula>
    </cfRule>
  </conditionalFormatting>
  <conditionalFormatting sqref="D456">
    <cfRule type="expression" dxfId="734" priority="846">
      <formula>ISEVEN(ROW())</formula>
    </cfRule>
  </conditionalFormatting>
  <conditionalFormatting sqref="D461:E464">
    <cfRule type="expression" dxfId="733" priority="845">
      <formula>ISEVEN(ROW())</formula>
    </cfRule>
  </conditionalFormatting>
  <conditionalFormatting sqref="E471 D472:E475">
    <cfRule type="expression" dxfId="732" priority="843">
      <formula>ISEVEN(ROW())</formula>
    </cfRule>
  </conditionalFormatting>
  <conditionalFormatting sqref="D471">
    <cfRule type="expression" dxfId="731" priority="842">
      <formula>ISEVEN(ROW())</formula>
    </cfRule>
  </conditionalFormatting>
  <conditionalFormatting sqref="E476 D477:E480">
    <cfRule type="expression" dxfId="730" priority="841">
      <formula>ISEVEN(ROW())</formula>
    </cfRule>
  </conditionalFormatting>
  <conditionalFormatting sqref="D476">
    <cfRule type="expression" dxfId="729" priority="840">
      <formula>ISEVEN(ROW())</formula>
    </cfRule>
  </conditionalFormatting>
  <conditionalFormatting sqref="E481 D482:E485">
    <cfRule type="expression" dxfId="728" priority="839">
      <formula>ISEVEN(ROW())</formula>
    </cfRule>
  </conditionalFormatting>
  <conditionalFormatting sqref="D481">
    <cfRule type="expression" dxfId="727" priority="838">
      <formula>ISEVEN(ROW())</formula>
    </cfRule>
  </conditionalFormatting>
  <conditionalFormatting sqref="E486 D487:E490">
    <cfRule type="expression" dxfId="726" priority="837">
      <formula>ISEVEN(ROW())</formula>
    </cfRule>
  </conditionalFormatting>
  <conditionalFormatting sqref="D486">
    <cfRule type="expression" dxfId="725" priority="836">
      <formula>ISEVEN(ROW())</formula>
    </cfRule>
  </conditionalFormatting>
  <conditionalFormatting sqref="E491 D492:E495">
    <cfRule type="expression" dxfId="724" priority="835">
      <formula>ISEVEN(ROW())</formula>
    </cfRule>
  </conditionalFormatting>
  <conditionalFormatting sqref="D491">
    <cfRule type="expression" dxfId="723" priority="834">
      <formula>ISEVEN(ROW())</formula>
    </cfRule>
  </conditionalFormatting>
  <conditionalFormatting sqref="E496 D497:E500">
    <cfRule type="expression" dxfId="722" priority="833">
      <formula>ISEVEN(ROW())</formula>
    </cfRule>
  </conditionalFormatting>
  <conditionalFormatting sqref="D496">
    <cfRule type="expression" dxfId="721" priority="832">
      <formula>ISEVEN(ROW())</formula>
    </cfRule>
  </conditionalFormatting>
  <conditionalFormatting sqref="E501 D502:E505">
    <cfRule type="expression" dxfId="720" priority="831">
      <formula>ISEVEN(ROW())</formula>
    </cfRule>
  </conditionalFormatting>
  <conditionalFormatting sqref="D501">
    <cfRule type="expression" dxfId="719" priority="830">
      <formula>ISEVEN(ROW())</formula>
    </cfRule>
  </conditionalFormatting>
  <conditionalFormatting sqref="E506 D507:E510">
    <cfRule type="expression" dxfId="718" priority="829">
      <formula>ISEVEN(ROW())</formula>
    </cfRule>
  </conditionalFormatting>
  <conditionalFormatting sqref="D506">
    <cfRule type="expression" dxfId="717" priority="828">
      <formula>ISEVEN(ROW())</formula>
    </cfRule>
  </conditionalFormatting>
  <conditionalFormatting sqref="D516:E519">
    <cfRule type="expression" dxfId="716" priority="827">
      <formula>ISEVEN(ROW())</formula>
    </cfRule>
  </conditionalFormatting>
  <conditionalFormatting sqref="E520 D521:E524">
    <cfRule type="expression" dxfId="715" priority="825">
      <formula>ISEVEN(ROW())</formula>
    </cfRule>
  </conditionalFormatting>
  <conditionalFormatting sqref="D520">
    <cfRule type="expression" dxfId="714" priority="824">
      <formula>ISEVEN(ROW())</formula>
    </cfRule>
  </conditionalFormatting>
  <conditionalFormatting sqref="E525 D526:E529">
    <cfRule type="expression" dxfId="713" priority="823">
      <formula>ISEVEN(ROW())</formula>
    </cfRule>
  </conditionalFormatting>
  <conditionalFormatting sqref="D525">
    <cfRule type="expression" dxfId="712" priority="822">
      <formula>ISEVEN(ROW())</formula>
    </cfRule>
  </conditionalFormatting>
  <conditionalFormatting sqref="E530 D531:E534">
    <cfRule type="expression" dxfId="711" priority="821">
      <formula>ISEVEN(ROW())</formula>
    </cfRule>
  </conditionalFormatting>
  <conditionalFormatting sqref="D530">
    <cfRule type="expression" dxfId="710" priority="820">
      <formula>ISEVEN(ROW())</formula>
    </cfRule>
  </conditionalFormatting>
  <conditionalFormatting sqref="E535 D536:E539">
    <cfRule type="expression" dxfId="709" priority="819">
      <formula>ISEVEN(ROW())</formula>
    </cfRule>
  </conditionalFormatting>
  <conditionalFormatting sqref="D535">
    <cfRule type="expression" dxfId="708" priority="818">
      <formula>ISEVEN(ROW())</formula>
    </cfRule>
  </conditionalFormatting>
  <conditionalFormatting sqref="D540:E543">
    <cfRule type="expression" dxfId="707" priority="817">
      <formula>ISEVEN(ROW())</formula>
    </cfRule>
  </conditionalFormatting>
  <conditionalFormatting sqref="E544 D545:E548">
    <cfRule type="expression" dxfId="706" priority="815">
      <formula>ISEVEN(ROW())</formula>
    </cfRule>
  </conditionalFormatting>
  <conditionalFormatting sqref="D544">
    <cfRule type="expression" dxfId="705" priority="814">
      <formula>ISEVEN(ROW())</formula>
    </cfRule>
  </conditionalFormatting>
  <conditionalFormatting sqref="D3277:E3280">
    <cfRule type="expression" dxfId="704" priority="813">
      <formula>ISEVEN(ROW())</formula>
    </cfRule>
  </conditionalFormatting>
  <conditionalFormatting sqref="E3276">
    <cfRule type="expression" dxfId="703" priority="812">
      <formula>ISEVEN(ROW())</formula>
    </cfRule>
  </conditionalFormatting>
  <conditionalFormatting sqref="D3276">
    <cfRule type="expression" dxfId="702" priority="811">
      <formula>ISEVEN(ROW())</formula>
    </cfRule>
  </conditionalFormatting>
  <conditionalFormatting sqref="D3282:E3285">
    <cfRule type="expression" dxfId="701" priority="810">
      <formula>ISEVEN(ROW())</formula>
    </cfRule>
  </conditionalFormatting>
  <conditionalFormatting sqref="E3281">
    <cfRule type="expression" dxfId="700" priority="809">
      <formula>ISEVEN(ROW())</formula>
    </cfRule>
  </conditionalFormatting>
  <conditionalFormatting sqref="D3281">
    <cfRule type="expression" dxfId="699" priority="808">
      <formula>ISEVEN(ROW())</formula>
    </cfRule>
  </conditionalFormatting>
  <conditionalFormatting sqref="D3287:E3290">
    <cfRule type="expression" dxfId="698" priority="807">
      <formula>ISEVEN(ROW())</formula>
    </cfRule>
  </conditionalFormatting>
  <conditionalFormatting sqref="E3286">
    <cfRule type="expression" dxfId="697" priority="806">
      <formula>ISEVEN(ROW())</formula>
    </cfRule>
  </conditionalFormatting>
  <conditionalFormatting sqref="D3286">
    <cfRule type="expression" dxfId="696" priority="805">
      <formula>ISEVEN(ROW())</formula>
    </cfRule>
  </conditionalFormatting>
  <conditionalFormatting sqref="D3292:E3295">
    <cfRule type="expression" dxfId="695" priority="804">
      <formula>ISEVEN(ROW())</formula>
    </cfRule>
  </conditionalFormatting>
  <conditionalFormatting sqref="E3291">
    <cfRule type="expression" dxfId="694" priority="803">
      <formula>ISEVEN(ROW())</formula>
    </cfRule>
  </conditionalFormatting>
  <conditionalFormatting sqref="D3291">
    <cfRule type="expression" dxfId="693" priority="802">
      <formula>ISEVEN(ROW())</formula>
    </cfRule>
  </conditionalFormatting>
  <conditionalFormatting sqref="D3297:E3300">
    <cfRule type="expression" dxfId="692" priority="801">
      <formula>ISEVEN(ROW())</formula>
    </cfRule>
  </conditionalFormatting>
  <conditionalFormatting sqref="E3296">
    <cfRule type="expression" dxfId="691" priority="800">
      <formula>ISEVEN(ROW())</formula>
    </cfRule>
  </conditionalFormatting>
  <conditionalFormatting sqref="D3296">
    <cfRule type="expression" dxfId="690" priority="799">
      <formula>ISEVEN(ROW())</formula>
    </cfRule>
  </conditionalFormatting>
  <conditionalFormatting sqref="D3311:E3314">
    <cfRule type="expression" dxfId="689" priority="798">
      <formula>ISEVEN(ROW())</formula>
    </cfRule>
  </conditionalFormatting>
  <conditionalFormatting sqref="E3310">
    <cfRule type="expression" dxfId="688" priority="797">
      <formula>ISEVEN(ROW())</formula>
    </cfRule>
  </conditionalFormatting>
  <conditionalFormatting sqref="D3310">
    <cfRule type="expression" dxfId="687" priority="796">
      <formula>ISEVEN(ROW())</formula>
    </cfRule>
  </conditionalFormatting>
  <conditionalFormatting sqref="D3316:E3319">
    <cfRule type="expression" dxfId="686" priority="795">
      <formula>ISEVEN(ROW())</formula>
    </cfRule>
  </conditionalFormatting>
  <conditionalFormatting sqref="E3315">
    <cfRule type="expression" dxfId="685" priority="794">
      <formula>ISEVEN(ROW())</formula>
    </cfRule>
  </conditionalFormatting>
  <conditionalFormatting sqref="D3315">
    <cfRule type="expression" dxfId="684" priority="793">
      <formula>ISEVEN(ROW())</formula>
    </cfRule>
  </conditionalFormatting>
  <conditionalFormatting sqref="D3321:E3324">
    <cfRule type="expression" dxfId="683" priority="792">
      <formula>ISEVEN(ROW())</formula>
    </cfRule>
  </conditionalFormatting>
  <conditionalFormatting sqref="E3320">
    <cfRule type="expression" dxfId="682" priority="791">
      <formula>ISEVEN(ROW())</formula>
    </cfRule>
  </conditionalFormatting>
  <conditionalFormatting sqref="D3320">
    <cfRule type="expression" dxfId="681" priority="790">
      <formula>ISEVEN(ROW())</formula>
    </cfRule>
  </conditionalFormatting>
  <conditionalFormatting sqref="D3326:E3329">
    <cfRule type="expression" dxfId="680" priority="789">
      <formula>ISEVEN(ROW())</formula>
    </cfRule>
  </conditionalFormatting>
  <conditionalFormatting sqref="E3325">
    <cfRule type="expression" dxfId="679" priority="788">
      <formula>ISEVEN(ROW())</formula>
    </cfRule>
  </conditionalFormatting>
  <conditionalFormatting sqref="D3325">
    <cfRule type="expression" dxfId="678" priority="787">
      <formula>ISEVEN(ROW())</formula>
    </cfRule>
  </conditionalFormatting>
  <conditionalFormatting sqref="D3330:E3333">
    <cfRule type="expression" dxfId="677" priority="786">
      <formula>ISEVEN(ROW())</formula>
    </cfRule>
  </conditionalFormatting>
  <conditionalFormatting sqref="D3335:E3338">
    <cfRule type="expression" dxfId="676" priority="783">
      <formula>ISEVEN(ROW())</formula>
    </cfRule>
  </conditionalFormatting>
  <conditionalFormatting sqref="E3334">
    <cfRule type="expression" dxfId="675" priority="782">
      <formula>ISEVEN(ROW())</formula>
    </cfRule>
  </conditionalFormatting>
  <conditionalFormatting sqref="D3334">
    <cfRule type="expression" dxfId="674" priority="781">
      <formula>ISEVEN(ROW())</formula>
    </cfRule>
  </conditionalFormatting>
  <conditionalFormatting sqref="D3339:E3342">
    <cfRule type="expression" dxfId="673" priority="780">
      <formula>ISEVEN(ROW())</formula>
    </cfRule>
  </conditionalFormatting>
  <conditionalFormatting sqref="D3350:E3353 E3349">
    <cfRule type="expression" dxfId="672" priority="777">
      <formula>ISEVEN(ROW())</formula>
    </cfRule>
  </conditionalFormatting>
  <conditionalFormatting sqref="D3349">
    <cfRule type="expression" dxfId="671" priority="776">
      <formula>ISEVEN(ROW())</formula>
    </cfRule>
  </conditionalFormatting>
  <conditionalFormatting sqref="D3355:E3358 E3354">
    <cfRule type="expression" dxfId="670" priority="775">
      <formula>ISEVEN(ROW())</formula>
    </cfRule>
  </conditionalFormatting>
  <conditionalFormatting sqref="D3354">
    <cfRule type="expression" dxfId="669" priority="774">
      <formula>ISEVEN(ROW())</formula>
    </cfRule>
  </conditionalFormatting>
  <conditionalFormatting sqref="D3360:E3363 E3359">
    <cfRule type="expression" dxfId="668" priority="773">
      <formula>ISEVEN(ROW())</formula>
    </cfRule>
  </conditionalFormatting>
  <conditionalFormatting sqref="D3359">
    <cfRule type="expression" dxfId="667" priority="772">
      <formula>ISEVEN(ROW())</formula>
    </cfRule>
  </conditionalFormatting>
  <conditionalFormatting sqref="D3365:E3368 E3364">
    <cfRule type="expression" dxfId="666" priority="771">
      <formula>ISEVEN(ROW())</formula>
    </cfRule>
  </conditionalFormatting>
  <conditionalFormatting sqref="D3364">
    <cfRule type="expression" dxfId="665" priority="770">
      <formula>ISEVEN(ROW())</formula>
    </cfRule>
  </conditionalFormatting>
  <conditionalFormatting sqref="D3370:E3373 E3369">
    <cfRule type="expression" dxfId="664" priority="769">
      <formula>ISEVEN(ROW())</formula>
    </cfRule>
  </conditionalFormatting>
  <conditionalFormatting sqref="D3369">
    <cfRule type="expression" dxfId="663" priority="768">
      <formula>ISEVEN(ROW())</formula>
    </cfRule>
  </conditionalFormatting>
  <conditionalFormatting sqref="D3375:E3378 E3374">
    <cfRule type="expression" dxfId="662" priority="767">
      <formula>ISEVEN(ROW())</formula>
    </cfRule>
  </conditionalFormatting>
  <conditionalFormatting sqref="D3374">
    <cfRule type="expression" dxfId="661" priority="766">
      <formula>ISEVEN(ROW())</formula>
    </cfRule>
  </conditionalFormatting>
  <conditionalFormatting sqref="D3380:E3383 E3379">
    <cfRule type="expression" dxfId="660" priority="765">
      <formula>ISEVEN(ROW())</formula>
    </cfRule>
  </conditionalFormatting>
  <conditionalFormatting sqref="D3379">
    <cfRule type="expression" dxfId="659" priority="764">
      <formula>ISEVEN(ROW())</formula>
    </cfRule>
  </conditionalFormatting>
  <conditionalFormatting sqref="D3385:E3388 E3384">
    <cfRule type="expression" dxfId="658" priority="763">
      <formula>ISEVEN(ROW())</formula>
    </cfRule>
  </conditionalFormatting>
  <conditionalFormatting sqref="D3384">
    <cfRule type="expression" dxfId="657" priority="762">
      <formula>ISEVEN(ROW())</formula>
    </cfRule>
  </conditionalFormatting>
  <conditionalFormatting sqref="D3389:E3392">
    <cfRule type="expression" dxfId="656" priority="761">
      <formula>ISEVEN(ROW())</formula>
    </cfRule>
  </conditionalFormatting>
  <conditionalFormatting sqref="D3394:E3397 E3393">
    <cfRule type="expression" dxfId="655" priority="759">
      <formula>ISEVEN(ROW())</formula>
    </cfRule>
  </conditionalFormatting>
  <conditionalFormatting sqref="D3393">
    <cfRule type="expression" dxfId="654" priority="758">
      <formula>ISEVEN(ROW())</formula>
    </cfRule>
  </conditionalFormatting>
  <conditionalFormatting sqref="D3399:E3402 E3398">
    <cfRule type="expression" dxfId="653" priority="757">
      <formula>ISEVEN(ROW())</formula>
    </cfRule>
  </conditionalFormatting>
  <conditionalFormatting sqref="D3398">
    <cfRule type="expression" dxfId="652" priority="756">
      <formula>ISEVEN(ROW())</formula>
    </cfRule>
  </conditionalFormatting>
  <conditionalFormatting sqref="D3404:E3407 E3403">
    <cfRule type="expression" dxfId="651" priority="755">
      <formula>ISEVEN(ROW())</formula>
    </cfRule>
  </conditionalFormatting>
  <conditionalFormatting sqref="D3403">
    <cfRule type="expression" dxfId="650" priority="754">
      <formula>ISEVEN(ROW())</formula>
    </cfRule>
  </conditionalFormatting>
  <conditionalFormatting sqref="D3409:E3412 E3408">
    <cfRule type="expression" dxfId="649" priority="753">
      <formula>ISEVEN(ROW())</formula>
    </cfRule>
  </conditionalFormatting>
  <conditionalFormatting sqref="D3408">
    <cfRule type="expression" dxfId="648" priority="752">
      <formula>ISEVEN(ROW())</formula>
    </cfRule>
  </conditionalFormatting>
  <conditionalFormatting sqref="D3413:E3416">
    <cfRule type="expression" dxfId="647" priority="751">
      <formula>ISEVEN(ROW())</formula>
    </cfRule>
  </conditionalFormatting>
  <conditionalFormatting sqref="D3418:E3421 E3417">
    <cfRule type="expression" dxfId="646" priority="749">
      <formula>ISEVEN(ROW())</formula>
    </cfRule>
  </conditionalFormatting>
  <conditionalFormatting sqref="D3417">
    <cfRule type="expression" dxfId="645" priority="748">
      <formula>ISEVEN(ROW())</formula>
    </cfRule>
  </conditionalFormatting>
  <conditionalFormatting sqref="E2909 D2911:E2913">
    <cfRule type="expression" dxfId="644" priority="747">
      <formula>ISEVEN(ROW())</formula>
    </cfRule>
  </conditionalFormatting>
  <conditionalFormatting sqref="E2910">
    <cfRule type="expression" dxfId="643" priority="746">
      <formula>ISEVEN(ROW())</formula>
    </cfRule>
  </conditionalFormatting>
  <conditionalFormatting sqref="D2909:D2910">
    <cfRule type="expression" dxfId="642" priority="745">
      <formula>ISEVEN(ROW())</formula>
    </cfRule>
  </conditionalFormatting>
  <conditionalFormatting sqref="E2914 D2916:E2918">
    <cfRule type="expression" dxfId="641" priority="744">
      <formula>ISEVEN(ROW())</formula>
    </cfRule>
  </conditionalFormatting>
  <conditionalFormatting sqref="E2915">
    <cfRule type="expression" dxfId="640" priority="743">
      <formula>ISEVEN(ROW())</formula>
    </cfRule>
  </conditionalFormatting>
  <conditionalFormatting sqref="D2914:D2915">
    <cfRule type="expression" dxfId="639" priority="742">
      <formula>ISEVEN(ROW())</formula>
    </cfRule>
  </conditionalFormatting>
  <conditionalFormatting sqref="E2919 D2921:E2923">
    <cfRule type="expression" dxfId="638" priority="741">
      <formula>ISEVEN(ROW())</formula>
    </cfRule>
  </conditionalFormatting>
  <conditionalFormatting sqref="E2920">
    <cfRule type="expression" dxfId="637" priority="740">
      <formula>ISEVEN(ROW())</formula>
    </cfRule>
  </conditionalFormatting>
  <conditionalFormatting sqref="D2919:D2920">
    <cfRule type="expression" dxfId="636" priority="739">
      <formula>ISEVEN(ROW())</formula>
    </cfRule>
  </conditionalFormatting>
  <conditionalFormatting sqref="E2924 D2926:E2928">
    <cfRule type="expression" dxfId="635" priority="738">
      <formula>ISEVEN(ROW())</formula>
    </cfRule>
  </conditionalFormatting>
  <conditionalFormatting sqref="E2925">
    <cfRule type="expression" dxfId="634" priority="737">
      <formula>ISEVEN(ROW())</formula>
    </cfRule>
  </conditionalFormatting>
  <conditionalFormatting sqref="D2924:D2925">
    <cfRule type="expression" dxfId="633" priority="736">
      <formula>ISEVEN(ROW())</formula>
    </cfRule>
  </conditionalFormatting>
  <conditionalFormatting sqref="E2929 D2931:E2933">
    <cfRule type="expression" dxfId="632" priority="735">
      <formula>ISEVEN(ROW())</formula>
    </cfRule>
  </conditionalFormatting>
  <conditionalFormatting sqref="E2930">
    <cfRule type="expression" dxfId="631" priority="734">
      <formula>ISEVEN(ROW())</formula>
    </cfRule>
  </conditionalFormatting>
  <conditionalFormatting sqref="D2929:D2930">
    <cfRule type="expression" dxfId="630" priority="733">
      <formula>ISEVEN(ROW())</formula>
    </cfRule>
  </conditionalFormatting>
  <conditionalFormatting sqref="D2950:E2953 E2949">
    <cfRule type="expression" dxfId="629" priority="732">
      <formula>ISEVEN(ROW())</formula>
    </cfRule>
  </conditionalFormatting>
  <conditionalFormatting sqref="D2949">
    <cfRule type="expression" dxfId="628" priority="731">
      <formula>ISEVEN(ROW())</formula>
    </cfRule>
  </conditionalFormatting>
  <conditionalFormatting sqref="D2955:E2958 E2954">
    <cfRule type="expression" dxfId="627" priority="730">
      <formula>ISEVEN(ROW())</formula>
    </cfRule>
  </conditionalFormatting>
  <conditionalFormatting sqref="D2954">
    <cfRule type="expression" dxfId="626" priority="729">
      <formula>ISEVEN(ROW())</formula>
    </cfRule>
  </conditionalFormatting>
  <conditionalFormatting sqref="D2960:E2963 E2959">
    <cfRule type="expression" dxfId="625" priority="728">
      <formula>ISEVEN(ROW())</formula>
    </cfRule>
  </conditionalFormatting>
  <conditionalFormatting sqref="D2959">
    <cfRule type="expression" dxfId="624" priority="727">
      <formula>ISEVEN(ROW())</formula>
    </cfRule>
  </conditionalFormatting>
  <conditionalFormatting sqref="D2964:E2967">
    <cfRule type="expression" dxfId="623" priority="726">
      <formula>ISEVEN(ROW())</formula>
    </cfRule>
  </conditionalFormatting>
  <conditionalFormatting sqref="D2969:E2972 E2968">
    <cfRule type="expression" dxfId="622" priority="724">
      <formula>ISEVEN(ROW())</formula>
    </cfRule>
  </conditionalFormatting>
  <conditionalFormatting sqref="D2968">
    <cfRule type="expression" dxfId="621" priority="723">
      <formula>ISEVEN(ROW())</formula>
    </cfRule>
  </conditionalFormatting>
  <conditionalFormatting sqref="D2973:E2976">
    <cfRule type="expression" dxfId="620" priority="722">
      <formula>ISEVEN(ROW())</formula>
    </cfRule>
  </conditionalFormatting>
  <conditionalFormatting sqref="D2984:E2987 E2983">
    <cfRule type="expression" dxfId="619" priority="720">
      <formula>ISEVEN(ROW())</formula>
    </cfRule>
  </conditionalFormatting>
  <conditionalFormatting sqref="D2983">
    <cfRule type="expression" dxfId="618" priority="719">
      <formula>ISEVEN(ROW())</formula>
    </cfRule>
  </conditionalFormatting>
  <conditionalFormatting sqref="D2989:E2992 E2988">
    <cfRule type="expression" dxfId="617" priority="718">
      <formula>ISEVEN(ROW())</formula>
    </cfRule>
  </conditionalFormatting>
  <conditionalFormatting sqref="D2988">
    <cfRule type="expression" dxfId="616" priority="717">
      <formula>ISEVEN(ROW())</formula>
    </cfRule>
  </conditionalFormatting>
  <conditionalFormatting sqref="D2994:E2997 E2993">
    <cfRule type="expression" dxfId="615" priority="716">
      <formula>ISEVEN(ROW())</formula>
    </cfRule>
  </conditionalFormatting>
  <conditionalFormatting sqref="D2993">
    <cfRule type="expression" dxfId="614" priority="715">
      <formula>ISEVEN(ROW())</formula>
    </cfRule>
  </conditionalFormatting>
  <conditionalFormatting sqref="D2999:E3002 E2998">
    <cfRule type="expression" dxfId="613" priority="714">
      <formula>ISEVEN(ROW())</formula>
    </cfRule>
  </conditionalFormatting>
  <conditionalFormatting sqref="D2998">
    <cfRule type="expression" dxfId="612" priority="713">
      <formula>ISEVEN(ROW())</formula>
    </cfRule>
  </conditionalFormatting>
  <conditionalFormatting sqref="D3004:E3007 E3003">
    <cfRule type="expression" dxfId="611" priority="712">
      <formula>ISEVEN(ROW())</formula>
    </cfRule>
  </conditionalFormatting>
  <conditionalFormatting sqref="D3003">
    <cfRule type="expression" dxfId="610" priority="711">
      <formula>ISEVEN(ROW())</formula>
    </cfRule>
  </conditionalFormatting>
  <conditionalFormatting sqref="D3009:E3012 E3008">
    <cfRule type="expression" dxfId="609" priority="710">
      <formula>ISEVEN(ROW())</formula>
    </cfRule>
  </conditionalFormatting>
  <conditionalFormatting sqref="D3008">
    <cfRule type="expression" dxfId="608" priority="709">
      <formula>ISEVEN(ROW())</formula>
    </cfRule>
  </conditionalFormatting>
  <conditionalFormatting sqref="D3014:E3017 E3013">
    <cfRule type="expression" dxfId="607" priority="708">
      <formula>ISEVEN(ROW())</formula>
    </cfRule>
  </conditionalFormatting>
  <conditionalFormatting sqref="D3013">
    <cfRule type="expression" dxfId="606" priority="707">
      <formula>ISEVEN(ROW())</formula>
    </cfRule>
  </conditionalFormatting>
  <conditionalFormatting sqref="D3019:E3022 E3018">
    <cfRule type="expression" dxfId="605" priority="706">
      <formula>ISEVEN(ROW())</formula>
    </cfRule>
  </conditionalFormatting>
  <conditionalFormatting sqref="D3018">
    <cfRule type="expression" dxfId="604" priority="705">
      <formula>ISEVEN(ROW())</formula>
    </cfRule>
  </conditionalFormatting>
  <conditionalFormatting sqref="D3023:E3026">
    <cfRule type="expression" dxfId="603" priority="704">
      <formula>ISEVEN(ROW())</formula>
    </cfRule>
  </conditionalFormatting>
  <conditionalFormatting sqref="D3028:E3031 E3027">
    <cfRule type="expression" dxfId="602" priority="702">
      <formula>ISEVEN(ROW())</formula>
    </cfRule>
  </conditionalFormatting>
  <conditionalFormatting sqref="D3027">
    <cfRule type="expression" dxfId="601" priority="701">
      <formula>ISEVEN(ROW())</formula>
    </cfRule>
  </conditionalFormatting>
  <conditionalFormatting sqref="D3033:E3036 E3032">
    <cfRule type="expression" dxfId="600" priority="700">
      <formula>ISEVEN(ROW())</formula>
    </cfRule>
  </conditionalFormatting>
  <conditionalFormatting sqref="D3032">
    <cfRule type="expression" dxfId="599" priority="699">
      <formula>ISEVEN(ROW())</formula>
    </cfRule>
  </conditionalFormatting>
  <conditionalFormatting sqref="D3038:E3041 E3037">
    <cfRule type="expression" dxfId="598" priority="698">
      <formula>ISEVEN(ROW())</formula>
    </cfRule>
  </conditionalFormatting>
  <conditionalFormatting sqref="D3037">
    <cfRule type="expression" dxfId="597" priority="697">
      <formula>ISEVEN(ROW())</formula>
    </cfRule>
  </conditionalFormatting>
  <conditionalFormatting sqref="D3043:E3046 E3042">
    <cfRule type="expression" dxfId="596" priority="696">
      <formula>ISEVEN(ROW())</formula>
    </cfRule>
  </conditionalFormatting>
  <conditionalFormatting sqref="D3042">
    <cfRule type="expression" dxfId="595" priority="695">
      <formula>ISEVEN(ROW())</formula>
    </cfRule>
  </conditionalFormatting>
  <conditionalFormatting sqref="D3047:E3050">
    <cfRule type="expression" dxfId="594" priority="694">
      <formula>ISEVEN(ROW())</formula>
    </cfRule>
  </conditionalFormatting>
  <conditionalFormatting sqref="D3052:E3055 E3051 E3057">
    <cfRule type="expression" dxfId="593" priority="692">
      <formula>ISEVEN(ROW())</formula>
    </cfRule>
  </conditionalFormatting>
  <conditionalFormatting sqref="D3051">
    <cfRule type="expression" dxfId="592" priority="691">
      <formula>ISEVEN(ROW())</formula>
    </cfRule>
  </conditionalFormatting>
  <conditionalFormatting sqref="D2252:E2256">
    <cfRule type="expression" dxfId="591" priority="689">
      <formula>ISEVEN(ROW())</formula>
    </cfRule>
  </conditionalFormatting>
  <conditionalFormatting sqref="D2257:E2261">
    <cfRule type="expression" dxfId="590" priority="688">
      <formula>ISEVEN(ROW())</formula>
    </cfRule>
  </conditionalFormatting>
  <conditionalFormatting sqref="D2262:E2266">
    <cfRule type="expression" dxfId="589" priority="687">
      <formula>ISEVEN(ROW())</formula>
    </cfRule>
  </conditionalFormatting>
  <conditionalFormatting sqref="D2271:E2275">
    <cfRule type="expression" dxfId="588" priority="685">
      <formula>ISEVEN(ROW())</formula>
    </cfRule>
  </conditionalFormatting>
  <conditionalFormatting sqref="D2285:E2289">
    <cfRule type="expression" dxfId="587" priority="683">
      <formula>ISEVEN(ROW())</formula>
    </cfRule>
  </conditionalFormatting>
  <conditionalFormatting sqref="D2290:E2294">
    <cfRule type="expression" dxfId="586" priority="682">
      <formula>ISEVEN(ROW())</formula>
    </cfRule>
  </conditionalFormatting>
  <conditionalFormatting sqref="D2295:E2299">
    <cfRule type="expression" dxfId="585" priority="681">
      <formula>ISEVEN(ROW())</formula>
    </cfRule>
  </conditionalFormatting>
  <conditionalFormatting sqref="D2300:E2304">
    <cfRule type="expression" dxfId="584" priority="680">
      <formula>ISEVEN(ROW())</formula>
    </cfRule>
  </conditionalFormatting>
  <conditionalFormatting sqref="D2305:E2309">
    <cfRule type="expression" dxfId="583" priority="679">
      <formula>ISEVEN(ROW())</formula>
    </cfRule>
  </conditionalFormatting>
  <conditionalFormatting sqref="D2310:E2314">
    <cfRule type="expression" dxfId="582" priority="678">
      <formula>ISEVEN(ROW())</formula>
    </cfRule>
  </conditionalFormatting>
  <conditionalFormatting sqref="D2315:E2319">
    <cfRule type="expression" dxfId="581" priority="677">
      <formula>ISEVEN(ROW())</formula>
    </cfRule>
  </conditionalFormatting>
  <conditionalFormatting sqref="D2320:E2324">
    <cfRule type="expression" dxfId="580" priority="676">
      <formula>ISEVEN(ROW())</formula>
    </cfRule>
  </conditionalFormatting>
  <conditionalFormatting sqref="D2329:E2333">
    <cfRule type="expression" dxfId="579" priority="674">
      <formula>ISEVEN(ROW())</formula>
    </cfRule>
  </conditionalFormatting>
  <conditionalFormatting sqref="D2334:E2338">
    <cfRule type="expression" dxfId="578" priority="673">
      <formula>ISEVEN(ROW())</formula>
    </cfRule>
  </conditionalFormatting>
  <conditionalFormatting sqref="D2339:E2343">
    <cfRule type="expression" dxfId="577" priority="672">
      <formula>ISEVEN(ROW())</formula>
    </cfRule>
  </conditionalFormatting>
  <conditionalFormatting sqref="D2344:E2348">
    <cfRule type="expression" dxfId="576" priority="671">
      <formula>ISEVEN(ROW())</formula>
    </cfRule>
  </conditionalFormatting>
  <conditionalFormatting sqref="D2353:E2357">
    <cfRule type="expression" dxfId="575" priority="669">
      <formula>ISEVEN(ROW())</formula>
    </cfRule>
  </conditionalFormatting>
  <conditionalFormatting sqref="D1128:E1131 E1127">
    <cfRule type="expression" dxfId="574" priority="668">
      <formula>ISEVEN(ROW())</formula>
    </cfRule>
  </conditionalFormatting>
  <conditionalFormatting sqref="D1127">
    <cfRule type="expression" dxfId="573" priority="667">
      <formula>ISEVEN(ROW())</formula>
    </cfRule>
  </conditionalFormatting>
  <conditionalFormatting sqref="D1133:E1136 E1132">
    <cfRule type="expression" dxfId="572" priority="666">
      <formula>ISEVEN(ROW())</formula>
    </cfRule>
  </conditionalFormatting>
  <conditionalFormatting sqref="D1132">
    <cfRule type="expression" dxfId="571" priority="665">
      <formula>ISEVEN(ROW())</formula>
    </cfRule>
  </conditionalFormatting>
  <conditionalFormatting sqref="D1138:E1141 E1137">
    <cfRule type="expression" dxfId="570" priority="664">
      <formula>ISEVEN(ROW())</formula>
    </cfRule>
  </conditionalFormatting>
  <conditionalFormatting sqref="D1137">
    <cfRule type="expression" dxfId="569" priority="663">
      <formula>ISEVEN(ROW())</formula>
    </cfRule>
  </conditionalFormatting>
  <conditionalFormatting sqref="D1143:E1146 E1142">
    <cfRule type="expression" dxfId="568" priority="662">
      <formula>ISEVEN(ROW())</formula>
    </cfRule>
  </conditionalFormatting>
  <conditionalFormatting sqref="D1142">
    <cfRule type="expression" dxfId="567" priority="661">
      <formula>ISEVEN(ROW())</formula>
    </cfRule>
  </conditionalFormatting>
  <conditionalFormatting sqref="D1148:E1151 E1147">
    <cfRule type="expression" dxfId="566" priority="660">
      <formula>ISEVEN(ROW())</formula>
    </cfRule>
  </conditionalFormatting>
  <conditionalFormatting sqref="D1147">
    <cfRule type="expression" dxfId="565" priority="659">
      <formula>ISEVEN(ROW())</formula>
    </cfRule>
  </conditionalFormatting>
  <conditionalFormatting sqref="D1153:E1156 E1152">
    <cfRule type="expression" dxfId="564" priority="658">
      <formula>ISEVEN(ROW())</formula>
    </cfRule>
  </conditionalFormatting>
  <conditionalFormatting sqref="D1152">
    <cfRule type="expression" dxfId="563" priority="657">
      <formula>ISEVEN(ROW())</formula>
    </cfRule>
  </conditionalFormatting>
  <conditionalFormatting sqref="D1162:E1165 E1161">
    <cfRule type="expression" dxfId="562" priority="656">
      <formula>ISEVEN(ROW())</formula>
    </cfRule>
  </conditionalFormatting>
  <conditionalFormatting sqref="D1161">
    <cfRule type="expression" dxfId="561" priority="655">
      <formula>ISEVEN(ROW())</formula>
    </cfRule>
  </conditionalFormatting>
  <conditionalFormatting sqref="D1167:E1170 E1166">
    <cfRule type="expression" dxfId="560" priority="654">
      <formula>ISEVEN(ROW())</formula>
    </cfRule>
  </conditionalFormatting>
  <conditionalFormatting sqref="D1166">
    <cfRule type="expression" dxfId="559" priority="653">
      <formula>ISEVEN(ROW())</formula>
    </cfRule>
  </conditionalFormatting>
  <conditionalFormatting sqref="D1172:E1175 E1171">
    <cfRule type="expression" dxfId="558" priority="652">
      <formula>ISEVEN(ROW())</formula>
    </cfRule>
  </conditionalFormatting>
  <conditionalFormatting sqref="D1171">
    <cfRule type="expression" dxfId="557" priority="651">
      <formula>ISEVEN(ROW())</formula>
    </cfRule>
  </conditionalFormatting>
  <conditionalFormatting sqref="D1177:E1180 E1176">
    <cfRule type="expression" dxfId="556" priority="650">
      <formula>ISEVEN(ROW())</formula>
    </cfRule>
  </conditionalFormatting>
  <conditionalFormatting sqref="D1176">
    <cfRule type="expression" dxfId="555" priority="649">
      <formula>ISEVEN(ROW())</formula>
    </cfRule>
  </conditionalFormatting>
  <conditionalFormatting sqref="D1181:E1184">
    <cfRule type="expression" dxfId="554" priority="648">
      <formula>ISEVEN(ROW())</formula>
    </cfRule>
  </conditionalFormatting>
  <conditionalFormatting sqref="D1186:E1189 E1185">
    <cfRule type="expression" dxfId="553" priority="646">
      <formula>ISEVEN(ROW())</formula>
    </cfRule>
  </conditionalFormatting>
  <conditionalFormatting sqref="D1185">
    <cfRule type="expression" dxfId="552" priority="645">
      <formula>ISEVEN(ROW())</formula>
    </cfRule>
  </conditionalFormatting>
  <conditionalFormatting sqref="D1190:E1193">
    <cfRule type="expression" dxfId="551" priority="644">
      <formula>ISEVEN(ROW())</formula>
    </cfRule>
  </conditionalFormatting>
  <conditionalFormatting sqref="D1201:E1204 E1200">
    <cfRule type="expression" dxfId="550" priority="642">
      <formula>ISEVEN(ROW())</formula>
    </cfRule>
  </conditionalFormatting>
  <conditionalFormatting sqref="D1200">
    <cfRule type="expression" dxfId="549" priority="641">
      <formula>ISEVEN(ROW())</formula>
    </cfRule>
  </conditionalFormatting>
  <conditionalFormatting sqref="D1206:E1209 E1205">
    <cfRule type="expression" dxfId="548" priority="640">
      <formula>ISEVEN(ROW())</formula>
    </cfRule>
  </conditionalFormatting>
  <conditionalFormatting sqref="D1205">
    <cfRule type="expression" dxfId="547" priority="639">
      <formula>ISEVEN(ROW())</formula>
    </cfRule>
  </conditionalFormatting>
  <conditionalFormatting sqref="D1211:E1214 E1210">
    <cfRule type="expression" dxfId="546" priority="638">
      <formula>ISEVEN(ROW())</formula>
    </cfRule>
  </conditionalFormatting>
  <conditionalFormatting sqref="D1210">
    <cfRule type="expression" dxfId="545" priority="637">
      <formula>ISEVEN(ROW())</formula>
    </cfRule>
  </conditionalFormatting>
  <conditionalFormatting sqref="D1216:E1219 E1215">
    <cfRule type="expression" dxfId="544" priority="636">
      <formula>ISEVEN(ROW())</formula>
    </cfRule>
  </conditionalFormatting>
  <conditionalFormatting sqref="D1215">
    <cfRule type="expression" dxfId="543" priority="635">
      <formula>ISEVEN(ROW())</formula>
    </cfRule>
  </conditionalFormatting>
  <conditionalFormatting sqref="D1221:E1224 E1220">
    <cfRule type="expression" dxfId="542" priority="634">
      <formula>ISEVEN(ROW())</formula>
    </cfRule>
  </conditionalFormatting>
  <conditionalFormatting sqref="D1220">
    <cfRule type="expression" dxfId="541" priority="633">
      <formula>ISEVEN(ROW())</formula>
    </cfRule>
  </conditionalFormatting>
  <conditionalFormatting sqref="D1226:E1229 E1225">
    <cfRule type="expression" dxfId="540" priority="632">
      <formula>ISEVEN(ROW())</formula>
    </cfRule>
  </conditionalFormatting>
  <conditionalFormatting sqref="D1225">
    <cfRule type="expression" dxfId="539" priority="631">
      <formula>ISEVEN(ROW())</formula>
    </cfRule>
  </conditionalFormatting>
  <conditionalFormatting sqref="D1231:E1234 E1230">
    <cfRule type="expression" dxfId="538" priority="630">
      <formula>ISEVEN(ROW())</formula>
    </cfRule>
  </conditionalFormatting>
  <conditionalFormatting sqref="D1230">
    <cfRule type="expression" dxfId="537" priority="629">
      <formula>ISEVEN(ROW())</formula>
    </cfRule>
  </conditionalFormatting>
  <conditionalFormatting sqref="D1236:E1239 E1235">
    <cfRule type="expression" dxfId="536" priority="628">
      <formula>ISEVEN(ROW())</formula>
    </cfRule>
  </conditionalFormatting>
  <conditionalFormatting sqref="D1235">
    <cfRule type="expression" dxfId="535" priority="627">
      <formula>ISEVEN(ROW())</formula>
    </cfRule>
  </conditionalFormatting>
  <conditionalFormatting sqref="D1240:E1243">
    <cfRule type="expression" dxfId="534" priority="626">
      <formula>ISEVEN(ROW())</formula>
    </cfRule>
  </conditionalFormatting>
  <conditionalFormatting sqref="D1245:E1248 E1244">
    <cfRule type="expression" dxfId="533" priority="624">
      <formula>ISEVEN(ROW())</formula>
    </cfRule>
  </conditionalFormatting>
  <conditionalFormatting sqref="D1244">
    <cfRule type="expression" dxfId="532" priority="623">
      <formula>ISEVEN(ROW())</formula>
    </cfRule>
  </conditionalFormatting>
  <conditionalFormatting sqref="D1250:E1253 E1249">
    <cfRule type="expression" dxfId="531" priority="622">
      <formula>ISEVEN(ROW())</formula>
    </cfRule>
  </conditionalFormatting>
  <conditionalFormatting sqref="D1249">
    <cfRule type="expression" dxfId="530" priority="621">
      <formula>ISEVEN(ROW())</formula>
    </cfRule>
  </conditionalFormatting>
  <conditionalFormatting sqref="D1255:E1258 E1254">
    <cfRule type="expression" dxfId="529" priority="620">
      <formula>ISEVEN(ROW())</formula>
    </cfRule>
  </conditionalFormatting>
  <conditionalFormatting sqref="D1254">
    <cfRule type="expression" dxfId="528" priority="619">
      <formula>ISEVEN(ROW())</formula>
    </cfRule>
  </conditionalFormatting>
  <conditionalFormatting sqref="D1260:E1263 E1259">
    <cfRule type="expression" dxfId="527" priority="618">
      <formula>ISEVEN(ROW())</formula>
    </cfRule>
  </conditionalFormatting>
  <conditionalFormatting sqref="D1259">
    <cfRule type="expression" dxfId="526" priority="617">
      <formula>ISEVEN(ROW())</formula>
    </cfRule>
  </conditionalFormatting>
  <conditionalFormatting sqref="D1264:E1267">
    <cfRule type="expression" dxfId="525" priority="616">
      <formula>ISEVEN(ROW())</formula>
    </cfRule>
  </conditionalFormatting>
  <conditionalFormatting sqref="D1269:E1272 E1268">
    <cfRule type="expression" dxfId="524" priority="614">
      <formula>ISEVEN(ROW())</formula>
    </cfRule>
  </conditionalFormatting>
  <conditionalFormatting sqref="D1268">
    <cfRule type="expression" dxfId="523" priority="613">
      <formula>ISEVEN(ROW())</formula>
    </cfRule>
  </conditionalFormatting>
  <conditionalFormatting sqref="D1659:E1662 E1658">
    <cfRule type="expression" dxfId="522" priority="612">
      <formula>ISEVEN(ROW())</formula>
    </cfRule>
  </conditionalFormatting>
  <conditionalFormatting sqref="D1658">
    <cfRule type="expression" dxfId="521" priority="611">
      <formula>ISEVEN(ROW())</formula>
    </cfRule>
  </conditionalFormatting>
  <conditionalFormatting sqref="D1669:E1672 E1668">
    <cfRule type="expression" dxfId="520" priority="610">
      <formula>ISEVEN(ROW())</formula>
    </cfRule>
  </conditionalFormatting>
  <conditionalFormatting sqref="D1668">
    <cfRule type="expression" dxfId="519" priority="609">
      <formula>ISEVEN(ROW())</formula>
    </cfRule>
  </conditionalFormatting>
  <conditionalFormatting sqref="D1674:E1677 E1673">
    <cfRule type="expression" dxfId="518" priority="608">
      <formula>ISEVEN(ROW())</formula>
    </cfRule>
  </conditionalFormatting>
  <conditionalFormatting sqref="D1673">
    <cfRule type="expression" dxfId="517" priority="607">
      <formula>ISEVEN(ROW())</formula>
    </cfRule>
  </conditionalFormatting>
  <conditionalFormatting sqref="D1679:E1682 E1678">
    <cfRule type="expression" dxfId="516" priority="606">
      <formula>ISEVEN(ROW())</formula>
    </cfRule>
  </conditionalFormatting>
  <conditionalFormatting sqref="D1678">
    <cfRule type="expression" dxfId="515" priority="605">
      <formula>ISEVEN(ROW())</formula>
    </cfRule>
  </conditionalFormatting>
  <conditionalFormatting sqref="D1684:E1687 E1683">
    <cfRule type="expression" dxfId="514" priority="604">
      <formula>ISEVEN(ROW())</formula>
    </cfRule>
  </conditionalFormatting>
  <conditionalFormatting sqref="D1683">
    <cfRule type="expression" dxfId="513" priority="603">
      <formula>ISEVEN(ROW())</formula>
    </cfRule>
  </conditionalFormatting>
  <conditionalFormatting sqref="D1689:E1692 E1688">
    <cfRule type="expression" dxfId="512" priority="602">
      <formula>ISEVEN(ROW())</formula>
    </cfRule>
  </conditionalFormatting>
  <conditionalFormatting sqref="D1688">
    <cfRule type="expression" dxfId="511" priority="601">
      <formula>ISEVEN(ROW())</formula>
    </cfRule>
  </conditionalFormatting>
  <conditionalFormatting sqref="D1708:E1711 E1707">
    <cfRule type="expression" dxfId="510" priority="600">
      <formula>ISEVEN(ROW())</formula>
    </cfRule>
  </conditionalFormatting>
  <conditionalFormatting sqref="D1707">
    <cfRule type="expression" dxfId="509" priority="599">
      <formula>ISEVEN(ROW())</formula>
    </cfRule>
  </conditionalFormatting>
  <conditionalFormatting sqref="D1713:E1716 E1712">
    <cfRule type="expression" dxfId="508" priority="598">
      <formula>ISEVEN(ROW())</formula>
    </cfRule>
  </conditionalFormatting>
  <conditionalFormatting sqref="D1712">
    <cfRule type="expression" dxfId="507" priority="597">
      <formula>ISEVEN(ROW())</formula>
    </cfRule>
  </conditionalFormatting>
  <conditionalFormatting sqref="D1718:E1721 E1717">
    <cfRule type="expression" dxfId="506" priority="596">
      <formula>ISEVEN(ROW())</formula>
    </cfRule>
  </conditionalFormatting>
  <conditionalFormatting sqref="D1717">
    <cfRule type="expression" dxfId="505" priority="595">
      <formula>ISEVEN(ROW())</formula>
    </cfRule>
  </conditionalFormatting>
  <conditionalFormatting sqref="D1722:E1725">
    <cfRule type="expression" dxfId="504" priority="594">
      <formula>ISEVEN(ROW())</formula>
    </cfRule>
  </conditionalFormatting>
  <conditionalFormatting sqref="D1727:E1730 E1726">
    <cfRule type="expression" dxfId="503" priority="592">
      <formula>ISEVEN(ROW())</formula>
    </cfRule>
  </conditionalFormatting>
  <conditionalFormatting sqref="D1726">
    <cfRule type="expression" dxfId="502" priority="591">
      <formula>ISEVEN(ROW())</formula>
    </cfRule>
  </conditionalFormatting>
  <conditionalFormatting sqref="D1731:E1734">
    <cfRule type="expression" dxfId="501" priority="590">
      <formula>ISEVEN(ROW())</formula>
    </cfRule>
  </conditionalFormatting>
  <conditionalFormatting sqref="D2433:E2436">
    <cfRule type="expression" dxfId="500" priority="550">
      <formula>ISEVEN(ROW())</formula>
    </cfRule>
  </conditionalFormatting>
  <conditionalFormatting sqref="D1742:E1745 E1741">
    <cfRule type="expression" dxfId="499" priority="588">
      <formula>ISEVEN(ROW())</formula>
    </cfRule>
  </conditionalFormatting>
  <conditionalFormatting sqref="D1741">
    <cfRule type="expression" dxfId="498" priority="587">
      <formula>ISEVEN(ROW())</formula>
    </cfRule>
  </conditionalFormatting>
  <conditionalFormatting sqref="D1747:E1750 E1746">
    <cfRule type="expression" dxfId="497" priority="586">
      <formula>ISEVEN(ROW())</formula>
    </cfRule>
  </conditionalFormatting>
  <conditionalFormatting sqref="D1746">
    <cfRule type="expression" dxfId="496" priority="585">
      <formula>ISEVEN(ROW())</formula>
    </cfRule>
  </conditionalFormatting>
  <conditionalFormatting sqref="D1752:E1755 E1751">
    <cfRule type="expression" dxfId="495" priority="584">
      <formula>ISEVEN(ROW())</formula>
    </cfRule>
  </conditionalFormatting>
  <conditionalFormatting sqref="D1751">
    <cfRule type="expression" dxfId="494" priority="583">
      <formula>ISEVEN(ROW())</formula>
    </cfRule>
  </conditionalFormatting>
  <conditionalFormatting sqref="D1757:E1760 E1756">
    <cfRule type="expression" dxfId="493" priority="582">
      <formula>ISEVEN(ROW())</formula>
    </cfRule>
  </conditionalFormatting>
  <conditionalFormatting sqref="D1756">
    <cfRule type="expression" dxfId="492" priority="581">
      <formula>ISEVEN(ROW())</formula>
    </cfRule>
  </conditionalFormatting>
  <conditionalFormatting sqref="D1762:E1765 E1761">
    <cfRule type="expression" dxfId="491" priority="580">
      <formula>ISEVEN(ROW())</formula>
    </cfRule>
  </conditionalFormatting>
  <conditionalFormatting sqref="D1761">
    <cfRule type="expression" dxfId="490" priority="579">
      <formula>ISEVEN(ROW())</formula>
    </cfRule>
  </conditionalFormatting>
  <conditionalFormatting sqref="D1767:E1770 E1766">
    <cfRule type="expression" dxfId="489" priority="578">
      <formula>ISEVEN(ROW())</formula>
    </cfRule>
  </conditionalFormatting>
  <conditionalFormatting sqref="D1766">
    <cfRule type="expression" dxfId="488" priority="577">
      <formula>ISEVEN(ROW())</formula>
    </cfRule>
  </conditionalFormatting>
  <conditionalFormatting sqref="D1772:E1775 E1771">
    <cfRule type="expression" dxfId="487" priority="576">
      <formula>ISEVEN(ROW())</formula>
    </cfRule>
  </conditionalFormatting>
  <conditionalFormatting sqref="D1771">
    <cfRule type="expression" dxfId="486" priority="575">
      <formula>ISEVEN(ROW())</formula>
    </cfRule>
  </conditionalFormatting>
  <conditionalFormatting sqref="D1777:E1780 E1776">
    <cfRule type="expression" dxfId="485" priority="574">
      <formula>ISEVEN(ROW())</formula>
    </cfRule>
  </conditionalFormatting>
  <conditionalFormatting sqref="D1776">
    <cfRule type="expression" dxfId="484" priority="573">
      <formula>ISEVEN(ROW())</formula>
    </cfRule>
  </conditionalFormatting>
  <conditionalFormatting sqref="D1781:E1784">
    <cfRule type="expression" dxfId="483" priority="572">
      <formula>ISEVEN(ROW())</formula>
    </cfRule>
  </conditionalFormatting>
  <conditionalFormatting sqref="D1786:E1789 E1785">
    <cfRule type="expression" dxfId="482" priority="570">
      <formula>ISEVEN(ROW())</formula>
    </cfRule>
  </conditionalFormatting>
  <conditionalFormatting sqref="D1785">
    <cfRule type="expression" dxfId="481" priority="569">
      <formula>ISEVEN(ROW())</formula>
    </cfRule>
  </conditionalFormatting>
  <conditionalFormatting sqref="D1791:E1794 E1790">
    <cfRule type="expression" dxfId="480" priority="568">
      <formula>ISEVEN(ROW())</formula>
    </cfRule>
  </conditionalFormatting>
  <conditionalFormatting sqref="D1790">
    <cfRule type="expression" dxfId="479" priority="567">
      <formula>ISEVEN(ROW())</formula>
    </cfRule>
  </conditionalFormatting>
  <conditionalFormatting sqref="D1796:E1799 E1795">
    <cfRule type="expression" dxfId="478" priority="566">
      <formula>ISEVEN(ROW())</formula>
    </cfRule>
  </conditionalFormatting>
  <conditionalFormatting sqref="D1795">
    <cfRule type="expression" dxfId="477" priority="565">
      <formula>ISEVEN(ROW())</formula>
    </cfRule>
  </conditionalFormatting>
  <conditionalFormatting sqref="D1801:E1804 E1800">
    <cfRule type="expression" dxfId="476" priority="564">
      <formula>ISEVEN(ROW())</formula>
    </cfRule>
  </conditionalFormatting>
  <conditionalFormatting sqref="D1800">
    <cfRule type="expression" dxfId="475" priority="563">
      <formula>ISEVEN(ROW())</formula>
    </cfRule>
  </conditionalFormatting>
  <conditionalFormatting sqref="D1805:E1808">
    <cfRule type="expression" dxfId="474" priority="562">
      <formula>ISEVEN(ROW())</formula>
    </cfRule>
  </conditionalFormatting>
  <conditionalFormatting sqref="D1810:E1813 E1809">
    <cfRule type="expression" dxfId="473" priority="560">
      <formula>ISEVEN(ROW())</formula>
    </cfRule>
  </conditionalFormatting>
  <conditionalFormatting sqref="D1809">
    <cfRule type="expression" dxfId="472" priority="559">
      <formula>ISEVEN(ROW())</formula>
    </cfRule>
  </conditionalFormatting>
  <conditionalFormatting sqref="D2385:E2389">
    <cfRule type="expression" dxfId="471" priority="558">
      <formula>ISEVEN(ROW())</formula>
    </cfRule>
  </conditionalFormatting>
  <conditionalFormatting sqref="D2390:E2394">
    <cfRule type="expression" dxfId="470" priority="557">
      <formula>ISEVEN(ROW())</formula>
    </cfRule>
  </conditionalFormatting>
  <conditionalFormatting sqref="D2395:E2399">
    <cfRule type="expression" dxfId="469" priority="556">
      <formula>ISEVEN(ROW())</formula>
    </cfRule>
  </conditionalFormatting>
  <conditionalFormatting sqref="D2400:E2404">
    <cfRule type="expression" dxfId="468" priority="555">
      <formula>ISEVEN(ROW())</formula>
    </cfRule>
  </conditionalFormatting>
  <conditionalFormatting sqref="D2405:E2409">
    <cfRule type="expression" dxfId="467" priority="554">
      <formula>ISEVEN(ROW())</formula>
    </cfRule>
  </conditionalFormatting>
  <conditionalFormatting sqref="D2410:E2414">
    <cfRule type="expression" dxfId="466" priority="553">
      <formula>ISEVEN(ROW())</formula>
    </cfRule>
  </conditionalFormatting>
  <conditionalFormatting sqref="D2420:E2424">
    <cfRule type="expression" dxfId="465" priority="552">
      <formula>ISEVEN(ROW())</formula>
    </cfRule>
  </conditionalFormatting>
  <conditionalFormatting sqref="D2429:E2432">
    <cfRule type="expression" dxfId="464" priority="551">
      <formula>ISEVEN(ROW())</formula>
    </cfRule>
  </conditionalFormatting>
  <conditionalFormatting sqref="D2437:E2440">
    <cfRule type="expression" dxfId="463" priority="549">
      <formula>ISEVEN(ROW())</formula>
    </cfRule>
  </conditionalFormatting>
  <conditionalFormatting sqref="D2441:E2444">
    <cfRule type="expression" dxfId="462" priority="548">
      <formula>ISEVEN(ROW())</formula>
    </cfRule>
  </conditionalFormatting>
  <conditionalFormatting sqref="D2445:E2448">
    <cfRule type="expression" dxfId="461" priority="547">
      <formula>ISEVEN(ROW())</formula>
    </cfRule>
  </conditionalFormatting>
  <conditionalFormatting sqref="D2449:E2452">
    <cfRule type="expression" dxfId="460" priority="546">
      <formula>ISEVEN(ROW())</formula>
    </cfRule>
  </conditionalFormatting>
  <conditionalFormatting sqref="D2457:E2460">
    <cfRule type="expression" dxfId="459" priority="545">
      <formula>ISEVEN(ROW())</formula>
    </cfRule>
  </conditionalFormatting>
  <conditionalFormatting sqref="D2461:E2464">
    <cfRule type="expression" dxfId="458" priority="544">
      <formula>ISEVEN(ROW())</formula>
    </cfRule>
  </conditionalFormatting>
  <conditionalFormatting sqref="D2465:E2468">
    <cfRule type="expression" dxfId="457" priority="543">
      <formula>ISEVEN(ROW())</formula>
    </cfRule>
  </conditionalFormatting>
  <conditionalFormatting sqref="D2469:E2472">
    <cfRule type="expression" dxfId="456" priority="542">
      <formula>ISEVEN(ROW())</formula>
    </cfRule>
  </conditionalFormatting>
  <conditionalFormatting sqref="D2473:E2476">
    <cfRule type="expression" dxfId="455" priority="541">
      <formula>ISEVEN(ROW())</formula>
    </cfRule>
  </conditionalFormatting>
  <conditionalFormatting sqref="D2477:E2480">
    <cfRule type="expression" dxfId="454" priority="540">
      <formula>ISEVEN(ROW())</formula>
    </cfRule>
  </conditionalFormatting>
  <conditionalFormatting sqref="D2481:E2484">
    <cfRule type="expression" dxfId="453" priority="539">
      <formula>ISEVEN(ROW())</formula>
    </cfRule>
  </conditionalFormatting>
  <conditionalFormatting sqref="D2489:E2492">
    <cfRule type="expression" dxfId="452" priority="538">
      <formula>ISEVEN(ROW())</formula>
    </cfRule>
  </conditionalFormatting>
  <conditionalFormatting sqref="D2497:E2500">
    <cfRule type="expression" dxfId="451" priority="537">
      <formula>ISEVEN(ROW())</formula>
    </cfRule>
  </conditionalFormatting>
  <conditionalFormatting sqref="D2501:E2504">
    <cfRule type="expression" dxfId="450" priority="536">
      <formula>ISEVEN(ROW())</formula>
    </cfRule>
  </conditionalFormatting>
  <conditionalFormatting sqref="D2509:E2512">
    <cfRule type="expression" dxfId="449" priority="535">
      <formula>ISEVEN(ROW())</formula>
    </cfRule>
  </conditionalFormatting>
  <conditionalFormatting sqref="D2513:E2516">
    <cfRule type="expression" dxfId="448" priority="534">
      <formula>ISEVEN(ROW())</formula>
    </cfRule>
  </conditionalFormatting>
  <conditionalFormatting sqref="D947:E950 E946">
    <cfRule type="expression" dxfId="447" priority="533">
      <formula>ISEVEN(ROW())</formula>
    </cfRule>
  </conditionalFormatting>
  <conditionalFormatting sqref="D946">
    <cfRule type="expression" dxfId="446" priority="532">
      <formula>ISEVEN(ROW())</formula>
    </cfRule>
  </conditionalFormatting>
  <conditionalFormatting sqref="D952:E955 E951">
    <cfRule type="expression" dxfId="445" priority="531">
      <formula>ISEVEN(ROW())</formula>
    </cfRule>
  </conditionalFormatting>
  <conditionalFormatting sqref="D951">
    <cfRule type="expression" dxfId="444" priority="530">
      <formula>ISEVEN(ROW())</formula>
    </cfRule>
  </conditionalFormatting>
  <conditionalFormatting sqref="D957:E960 E956">
    <cfRule type="expression" dxfId="443" priority="529">
      <formula>ISEVEN(ROW())</formula>
    </cfRule>
  </conditionalFormatting>
  <conditionalFormatting sqref="D956">
    <cfRule type="expression" dxfId="442" priority="528">
      <formula>ISEVEN(ROW())</formula>
    </cfRule>
  </conditionalFormatting>
  <conditionalFormatting sqref="D962:E965 E961">
    <cfRule type="expression" dxfId="441" priority="527">
      <formula>ISEVEN(ROW())</formula>
    </cfRule>
  </conditionalFormatting>
  <conditionalFormatting sqref="D961">
    <cfRule type="expression" dxfId="440" priority="526">
      <formula>ISEVEN(ROW())</formula>
    </cfRule>
  </conditionalFormatting>
  <conditionalFormatting sqref="D967:E970 E966">
    <cfRule type="expression" dxfId="439" priority="525">
      <formula>ISEVEN(ROW())</formula>
    </cfRule>
  </conditionalFormatting>
  <conditionalFormatting sqref="D966">
    <cfRule type="expression" dxfId="438" priority="524">
      <formula>ISEVEN(ROW())</formula>
    </cfRule>
  </conditionalFormatting>
  <conditionalFormatting sqref="D986:E989 E985">
    <cfRule type="expression" dxfId="437" priority="523">
      <formula>ISEVEN(ROW())</formula>
    </cfRule>
  </conditionalFormatting>
  <conditionalFormatting sqref="D985">
    <cfRule type="expression" dxfId="436" priority="522">
      <formula>ISEVEN(ROW())</formula>
    </cfRule>
  </conditionalFormatting>
  <conditionalFormatting sqref="D991:E994 E990">
    <cfRule type="expression" dxfId="435" priority="521">
      <formula>ISEVEN(ROW())</formula>
    </cfRule>
  </conditionalFormatting>
  <conditionalFormatting sqref="D990">
    <cfRule type="expression" dxfId="434" priority="520">
      <formula>ISEVEN(ROW())</formula>
    </cfRule>
  </conditionalFormatting>
  <conditionalFormatting sqref="D996:E999 E995">
    <cfRule type="expression" dxfId="433" priority="519">
      <formula>ISEVEN(ROW())</formula>
    </cfRule>
  </conditionalFormatting>
  <conditionalFormatting sqref="D995">
    <cfRule type="expression" dxfId="432" priority="518">
      <formula>ISEVEN(ROW())</formula>
    </cfRule>
  </conditionalFormatting>
  <conditionalFormatting sqref="D1000:E1003">
    <cfRule type="expression" dxfId="431" priority="517">
      <formula>ISEVEN(ROW())</formula>
    </cfRule>
  </conditionalFormatting>
  <conditionalFormatting sqref="D1005:E1008 E1004">
    <cfRule type="expression" dxfId="430" priority="515">
      <formula>ISEVEN(ROW())</formula>
    </cfRule>
  </conditionalFormatting>
  <conditionalFormatting sqref="D1004">
    <cfRule type="expression" dxfId="429" priority="514">
      <formula>ISEVEN(ROW())</formula>
    </cfRule>
  </conditionalFormatting>
  <conditionalFormatting sqref="D1009:E1012">
    <cfRule type="expression" dxfId="428" priority="513">
      <formula>ISEVEN(ROW())</formula>
    </cfRule>
  </conditionalFormatting>
  <conditionalFormatting sqref="D1020:E1023 E1019">
    <cfRule type="expression" dxfId="427" priority="511">
      <formula>ISEVEN(ROW())</formula>
    </cfRule>
  </conditionalFormatting>
  <conditionalFormatting sqref="D1019">
    <cfRule type="expression" dxfId="426" priority="510">
      <formula>ISEVEN(ROW())</formula>
    </cfRule>
  </conditionalFormatting>
  <conditionalFormatting sqref="D1025:E1028 E1024">
    <cfRule type="expression" dxfId="425" priority="509">
      <formula>ISEVEN(ROW())</formula>
    </cfRule>
  </conditionalFormatting>
  <conditionalFormatting sqref="D1024">
    <cfRule type="expression" dxfId="424" priority="508">
      <formula>ISEVEN(ROW())</formula>
    </cfRule>
  </conditionalFormatting>
  <conditionalFormatting sqref="D1030:E1033 E1029">
    <cfRule type="expression" dxfId="423" priority="507">
      <formula>ISEVEN(ROW())</formula>
    </cfRule>
  </conditionalFormatting>
  <conditionalFormatting sqref="D1029">
    <cfRule type="expression" dxfId="422" priority="506">
      <formula>ISEVEN(ROW())</formula>
    </cfRule>
  </conditionalFormatting>
  <conditionalFormatting sqref="D1035:E1038 E1034">
    <cfRule type="expression" dxfId="421" priority="505">
      <formula>ISEVEN(ROW())</formula>
    </cfRule>
  </conditionalFormatting>
  <conditionalFormatting sqref="D1034">
    <cfRule type="expression" dxfId="420" priority="504">
      <formula>ISEVEN(ROW())</formula>
    </cfRule>
  </conditionalFormatting>
  <conditionalFormatting sqref="D1040:E1043 E1039">
    <cfRule type="expression" dxfId="419" priority="503">
      <formula>ISEVEN(ROW())</formula>
    </cfRule>
  </conditionalFormatting>
  <conditionalFormatting sqref="D1039">
    <cfRule type="expression" dxfId="418" priority="502">
      <formula>ISEVEN(ROW())</formula>
    </cfRule>
  </conditionalFormatting>
  <conditionalFormatting sqref="D1045:E1048 E1044">
    <cfRule type="expression" dxfId="417" priority="501">
      <formula>ISEVEN(ROW())</formula>
    </cfRule>
  </conditionalFormatting>
  <conditionalFormatting sqref="D1044">
    <cfRule type="expression" dxfId="416" priority="500">
      <formula>ISEVEN(ROW())</formula>
    </cfRule>
  </conditionalFormatting>
  <conditionalFormatting sqref="D1050:E1053 E1049">
    <cfRule type="expression" dxfId="415" priority="499">
      <formula>ISEVEN(ROW())</formula>
    </cfRule>
  </conditionalFormatting>
  <conditionalFormatting sqref="D1049">
    <cfRule type="expression" dxfId="414" priority="498">
      <formula>ISEVEN(ROW())</formula>
    </cfRule>
  </conditionalFormatting>
  <conditionalFormatting sqref="D1055:E1058 E1054">
    <cfRule type="expression" dxfId="413" priority="497">
      <formula>ISEVEN(ROW())</formula>
    </cfRule>
  </conditionalFormatting>
  <conditionalFormatting sqref="D1054">
    <cfRule type="expression" dxfId="412" priority="496">
      <formula>ISEVEN(ROW())</formula>
    </cfRule>
  </conditionalFormatting>
  <conditionalFormatting sqref="D1059:E1062">
    <cfRule type="expression" dxfId="411" priority="495">
      <formula>ISEVEN(ROW())</formula>
    </cfRule>
  </conditionalFormatting>
  <conditionalFormatting sqref="D1064:E1067 E1063">
    <cfRule type="expression" dxfId="410" priority="493">
      <formula>ISEVEN(ROW())</formula>
    </cfRule>
  </conditionalFormatting>
  <conditionalFormatting sqref="D1063">
    <cfRule type="expression" dxfId="409" priority="492">
      <formula>ISEVEN(ROW())</formula>
    </cfRule>
  </conditionalFormatting>
  <conditionalFormatting sqref="D1069:E1072 E1068">
    <cfRule type="expression" dxfId="408" priority="491">
      <formula>ISEVEN(ROW())</formula>
    </cfRule>
  </conditionalFormatting>
  <conditionalFormatting sqref="D1068">
    <cfRule type="expression" dxfId="407" priority="490">
      <formula>ISEVEN(ROW())</formula>
    </cfRule>
  </conditionalFormatting>
  <conditionalFormatting sqref="D1074:E1077 E1073">
    <cfRule type="expression" dxfId="406" priority="489">
      <formula>ISEVEN(ROW())</formula>
    </cfRule>
  </conditionalFormatting>
  <conditionalFormatting sqref="D1073">
    <cfRule type="expression" dxfId="405" priority="488">
      <formula>ISEVEN(ROW())</formula>
    </cfRule>
  </conditionalFormatting>
  <conditionalFormatting sqref="D1079:E1082 E1078">
    <cfRule type="expression" dxfId="404" priority="487">
      <formula>ISEVEN(ROW())</formula>
    </cfRule>
  </conditionalFormatting>
  <conditionalFormatting sqref="D1078">
    <cfRule type="expression" dxfId="403" priority="486">
      <formula>ISEVEN(ROW())</formula>
    </cfRule>
  </conditionalFormatting>
  <conditionalFormatting sqref="D1083:E1086">
    <cfRule type="expression" dxfId="402" priority="485">
      <formula>ISEVEN(ROW())</formula>
    </cfRule>
  </conditionalFormatting>
  <conditionalFormatting sqref="D1088:E1091 E1087">
    <cfRule type="expression" dxfId="401" priority="483">
      <formula>ISEVEN(ROW())</formula>
    </cfRule>
  </conditionalFormatting>
  <conditionalFormatting sqref="D1087">
    <cfRule type="expression" dxfId="400" priority="482">
      <formula>ISEVEN(ROW())</formula>
    </cfRule>
  </conditionalFormatting>
  <conditionalFormatting sqref="D3093:E3096 E3092">
    <cfRule type="expression" dxfId="399" priority="481">
      <formula>ISEVEN(ROW())</formula>
    </cfRule>
  </conditionalFormatting>
  <conditionalFormatting sqref="D3092">
    <cfRule type="expression" dxfId="398" priority="480">
      <formula>ISEVEN(ROW())</formula>
    </cfRule>
  </conditionalFormatting>
  <conditionalFormatting sqref="D3098:E3101 E3097">
    <cfRule type="expression" dxfId="397" priority="479">
      <formula>ISEVEN(ROW())</formula>
    </cfRule>
  </conditionalFormatting>
  <conditionalFormatting sqref="D3097">
    <cfRule type="expression" dxfId="396" priority="478">
      <formula>ISEVEN(ROW())</formula>
    </cfRule>
  </conditionalFormatting>
  <conditionalFormatting sqref="D3103:E3106 E3102">
    <cfRule type="expression" dxfId="395" priority="477">
      <formula>ISEVEN(ROW())</formula>
    </cfRule>
  </conditionalFormatting>
  <conditionalFormatting sqref="D3102">
    <cfRule type="expression" dxfId="394" priority="476">
      <formula>ISEVEN(ROW())</formula>
    </cfRule>
  </conditionalFormatting>
  <conditionalFormatting sqref="D3108:E3111 E3107">
    <cfRule type="expression" dxfId="393" priority="475">
      <formula>ISEVEN(ROW())</formula>
    </cfRule>
  </conditionalFormatting>
  <conditionalFormatting sqref="D3107">
    <cfRule type="expression" dxfId="392" priority="474">
      <formula>ISEVEN(ROW())</formula>
    </cfRule>
  </conditionalFormatting>
  <conditionalFormatting sqref="D3113:E3116 E3112">
    <cfRule type="expression" dxfId="391" priority="473">
      <formula>ISEVEN(ROW())</formula>
    </cfRule>
  </conditionalFormatting>
  <conditionalFormatting sqref="D3112">
    <cfRule type="expression" dxfId="390" priority="472">
      <formula>ISEVEN(ROW())</formula>
    </cfRule>
  </conditionalFormatting>
  <conditionalFormatting sqref="D3128:E3131 E3127">
    <cfRule type="expression" dxfId="389" priority="471">
      <formula>ISEVEN(ROW())</formula>
    </cfRule>
  </conditionalFormatting>
  <conditionalFormatting sqref="D3127">
    <cfRule type="expression" dxfId="388" priority="470">
      <formula>ISEVEN(ROW())</formula>
    </cfRule>
  </conditionalFormatting>
  <conditionalFormatting sqref="D3133:E3136 E3132">
    <cfRule type="expression" dxfId="387" priority="469">
      <formula>ISEVEN(ROW())</formula>
    </cfRule>
  </conditionalFormatting>
  <conditionalFormatting sqref="D3132">
    <cfRule type="expression" dxfId="386" priority="468">
      <formula>ISEVEN(ROW())</formula>
    </cfRule>
  </conditionalFormatting>
  <conditionalFormatting sqref="D3138:E3141 E3137">
    <cfRule type="expression" dxfId="385" priority="467">
      <formula>ISEVEN(ROW())</formula>
    </cfRule>
  </conditionalFormatting>
  <conditionalFormatting sqref="D3137">
    <cfRule type="expression" dxfId="384" priority="466">
      <formula>ISEVEN(ROW())</formula>
    </cfRule>
  </conditionalFormatting>
  <conditionalFormatting sqref="D3143:E3146 E3142">
    <cfRule type="expression" dxfId="383" priority="465">
      <formula>ISEVEN(ROW())</formula>
    </cfRule>
  </conditionalFormatting>
  <conditionalFormatting sqref="D3142">
    <cfRule type="expression" dxfId="382" priority="464">
      <formula>ISEVEN(ROW())</formula>
    </cfRule>
  </conditionalFormatting>
  <conditionalFormatting sqref="D3147:E3150">
    <cfRule type="expression" dxfId="381" priority="463">
      <formula>ISEVEN(ROW())</formula>
    </cfRule>
  </conditionalFormatting>
  <conditionalFormatting sqref="D3152:E3155 E3151">
    <cfRule type="expression" dxfId="380" priority="461">
      <formula>ISEVEN(ROW())</formula>
    </cfRule>
  </conditionalFormatting>
  <conditionalFormatting sqref="D3151">
    <cfRule type="expression" dxfId="379" priority="460">
      <formula>ISEVEN(ROW())</formula>
    </cfRule>
  </conditionalFormatting>
  <conditionalFormatting sqref="D3156:E3159">
    <cfRule type="expression" dxfId="378" priority="459">
      <formula>ISEVEN(ROW())</formula>
    </cfRule>
  </conditionalFormatting>
  <conditionalFormatting sqref="D3167:E3170 E3166">
    <cfRule type="expression" dxfId="377" priority="457">
      <formula>ISEVEN(ROW())</formula>
    </cfRule>
  </conditionalFormatting>
  <conditionalFormatting sqref="D3166">
    <cfRule type="expression" dxfId="376" priority="456">
      <formula>ISEVEN(ROW())</formula>
    </cfRule>
  </conditionalFormatting>
  <conditionalFormatting sqref="D3172:E3175 E3171">
    <cfRule type="expression" dxfId="375" priority="455">
      <formula>ISEVEN(ROW())</formula>
    </cfRule>
  </conditionalFormatting>
  <conditionalFormatting sqref="D3171">
    <cfRule type="expression" dxfId="374" priority="454">
      <formula>ISEVEN(ROW())</formula>
    </cfRule>
  </conditionalFormatting>
  <conditionalFormatting sqref="D3177:E3180 E3176">
    <cfRule type="expression" dxfId="373" priority="453">
      <formula>ISEVEN(ROW())</formula>
    </cfRule>
  </conditionalFormatting>
  <conditionalFormatting sqref="D3176">
    <cfRule type="expression" dxfId="372" priority="452">
      <formula>ISEVEN(ROW())</formula>
    </cfRule>
  </conditionalFormatting>
  <conditionalFormatting sqref="D3182:E3185 E3181">
    <cfRule type="expression" dxfId="371" priority="451">
      <formula>ISEVEN(ROW())</formula>
    </cfRule>
  </conditionalFormatting>
  <conditionalFormatting sqref="D3181">
    <cfRule type="expression" dxfId="370" priority="450">
      <formula>ISEVEN(ROW())</formula>
    </cfRule>
  </conditionalFormatting>
  <conditionalFormatting sqref="D3187:E3190 E3186">
    <cfRule type="expression" dxfId="369" priority="449">
      <formula>ISEVEN(ROW())</formula>
    </cfRule>
  </conditionalFormatting>
  <conditionalFormatting sqref="D3186">
    <cfRule type="expression" dxfId="368" priority="448">
      <formula>ISEVEN(ROW())</formula>
    </cfRule>
  </conditionalFormatting>
  <conditionalFormatting sqref="D3192:E3195 E3191">
    <cfRule type="expression" dxfId="367" priority="447">
      <formula>ISEVEN(ROW())</formula>
    </cfRule>
  </conditionalFormatting>
  <conditionalFormatting sqref="D3191">
    <cfRule type="expression" dxfId="366" priority="446">
      <formula>ISEVEN(ROW())</formula>
    </cfRule>
  </conditionalFormatting>
  <conditionalFormatting sqref="D3197:E3200 E3196">
    <cfRule type="expression" dxfId="365" priority="445">
      <formula>ISEVEN(ROW())</formula>
    </cfRule>
  </conditionalFormatting>
  <conditionalFormatting sqref="D3196">
    <cfRule type="expression" dxfId="364" priority="444">
      <formula>ISEVEN(ROW())</formula>
    </cfRule>
  </conditionalFormatting>
  <conditionalFormatting sqref="D3202:E3205 E3201">
    <cfRule type="expression" dxfId="363" priority="443">
      <formula>ISEVEN(ROW())</formula>
    </cfRule>
  </conditionalFormatting>
  <conditionalFormatting sqref="D3201">
    <cfRule type="expression" dxfId="362" priority="442">
      <formula>ISEVEN(ROW())</formula>
    </cfRule>
  </conditionalFormatting>
  <conditionalFormatting sqref="D3206:E3209">
    <cfRule type="expression" dxfId="361" priority="441">
      <formula>ISEVEN(ROW())</formula>
    </cfRule>
  </conditionalFormatting>
  <conditionalFormatting sqref="D3211:E3214 E3210">
    <cfRule type="expression" dxfId="360" priority="439">
      <formula>ISEVEN(ROW())</formula>
    </cfRule>
  </conditionalFormatting>
  <conditionalFormatting sqref="D3210">
    <cfRule type="expression" dxfId="359" priority="438">
      <formula>ISEVEN(ROW())</formula>
    </cfRule>
  </conditionalFormatting>
  <conditionalFormatting sqref="D3216:E3219 E3215">
    <cfRule type="expression" dxfId="358" priority="437">
      <formula>ISEVEN(ROW())</formula>
    </cfRule>
  </conditionalFormatting>
  <conditionalFormatting sqref="D3215">
    <cfRule type="expression" dxfId="357" priority="436">
      <formula>ISEVEN(ROW())</formula>
    </cfRule>
  </conditionalFormatting>
  <conditionalFormatting sqref="D3221:E3224 E3220">
    <cfRule type="expression" dxfId="356" priority="435">
      <formula>ISEVEN(ROW())</formula>
    </cfRule>
  </conditionalFormatting>
  <conditionalFormatting sqref="D3220">
    <cfRule type="expression" dxfId="355" priority="434">
      <formula>ISEVEN(ROW())</formula>
    </cfRule>
  </conditionalFormatting>
  <conditionalFormatting sqref="D3226:E3229 E3225">
    <cfRule type="expression" dxfId="354" priority="433">
      <formula>ISEVEN(ROW())</formula>
    </cfRule>
  </conditionalFormatting>
  <conditionalFormatting sqref="D3225">
    <cfRule type="expression" dxfId="353" priority="432">
      <formula>ISEVEN(ROW())</formula>
    </cfRule>
  </conditionalFormatting>
  <conditionalFormatting sqref="D3230:E3233">
    <cfRule type="expression" dxfId="352" priority="431">
      <formula>ISEVEN(ROW())</formula>
    </cfRule>
  </conditionalFormatting>
  <conditionalFormatting sqref="D3235:E3238 E3234 E3240">
    <cfRule type="expression" dxfId="351" priority="429">
      <formula>ISEVEN(ROW())</formula>
    </cfRule>
  </conditionalFormatting>
  <conditionalFormatting sqref="D3234">
    <cfRule type="expression" dxfId="350" priority="428">
      <formula>ISEVEN(ROW())</formula>
    </cfRule>
  </conditionalFormatting>
  <conditionalFormatting sqref="D2728:E2731 E2727">
    <cfRule type="expression" dxfId="349" priority="427">
      <formula>ISEVEN(ROW())</formula>
    </cfRule>
  </conditionalFormatting>
  <conditionalFormatting sqref="D2727">
    <cfRule type="expression" dxfId="348" priority="426">
      <formula>ISEVEN(ROW())</formula>
    </cfRule>
  </conditionalFormatting>
  <conditionalFormatting sqref="D2733:E2736 E2732">
    <cfRule type="expression" dxfId="347" priority="425">
      <formula>ISEVEN(ROW())</formula>
    </cfRule>
  </conditionalFormatting>
  <conditionalFormatting sqref="D2732">
    <cfRule type="expression" dxfId="346" priority="424">
      <formula>ISEVEN(ROW())</formula>
    </cfRule>
  </conditionalFormatting>
  <conditionalFormatting sqref="D2738:E2741 E2737">
    <cfRule type="expression" dxfId="345" priority="423">
      <formula>ISEVEN(ROW())</formula>
    </cfRule>
  </conditionalFormatting>
  <conditionalFormatting sqref="D2737">
    <cfRule type="expression" dxfId="344" priority="422">
      <formula>ISEVEN(ROW())</formula>
    </cfRule>
  </conditionalFormatting>
  <conditionalFormatting sqref="D2743:E2746 E2742">
    <cfRule type="expression" dxfId="343" priority="421">
      <formula>ISEVEN(ROW())</formula>
    </cfRule>
  </conditionalFormatting>
  <conditionalFormatting sqref="D2742">
    <cfRule type="expression" dxfId="342" priority="420">
      <formula>ISEVEN(ROW())</formula>
    </cfRule>
  </conditionalFormatting>
  <conditionalFormatting sqref="D2748:E2751 E2747">
    <cfRule type="expression" dxfId="341" priority="419">
      <formula>ISEVEN(ROW())</formula>
    </cfRule>
  </conditionalFormatting>
  <conditionalFormatting sqref="D2747">
    <cfRule type="expression" dxfId="340" priority="418">
      <formula>ISEVEN(ROW())</formula>
    </cfRule>
  </conditionalFormatting>
  <conditionalFormatting sqref="D2762:E2765 E2761">
    <cfRule type="expression" dxfId="339" priority="417">
      <formula>ISEVEN(ROW())</formula>
    </cfRule>
  </conditionalFormatting>
  <conditionalFormatting sqref="D2761">
    <cfRule type="expression" dxfId="338" priority="416">
      <formula>ISEVEN(ROW())</formula>
    </cfRule>
  </conditionalFormatting>
  <conditionalFormatting sqref="D2767:E2770 E2766">
    <cfRule type="expression" dxfId="337" priority="415">
      <formula>ISEVEN(ROW())</formula>
    </cfRule>
  </conditionalFormatting>
  <conditionalFormatting sqref="D2766">
    <cfRule type="expression" dxfId="336" priority="414">
      <formula>ISEVEN(ROW())</formula>
    </cfRule>
  </conditionalFormatting>
  <conditionalFormatting sqref="D2772:E2775 E2771">
    <cfRule type="expression" dxfId="335" priority="413">
      <formula>ISEVEN(ROW())</formula>
    </cfRule>
  </conditionalFormatting>
  <conditionalFormatting sqref="D2771">
    <cfRule type="expression" dxfId="334" priority="412">
      <formula>ISEVEN(ROW())</formula>
    </cfRule>
  </conditionalFormatting>
  <conditionalFormatting sqref="D2777:E2780 E2776">
    <cfRule type="expression" dxfId="333" priority="411">
      <formula>ISEVEN(ROW())</formula>
    </cfRule>
  </conditionalFormatting>
  <conditionalFormatting sqref="D2776">
    <cfRule type="expression" dxfId="332" priority="410">
      <formula>ISEVEN(ROW())</formula>
    </cfRule>
  </conditionalFormatting>
  <conditionalFormatting sqref="D2781:E2784">
    <cfRule type="expression" dxfId="331" priority="409">
      <formula>ISEVEN(ROW())</formula>
    </cfRule>
  </conditionalFormatting>
  <conditionalFormatting sqref="D2786:E2789 E2785">
    <cfRule type="expression" dxfId="330" priority="407">
      <formula>ISEVEN(ROW())</formula>
    </cfRule>
  </conditionalFormatting>
  <conditionalFormatting sqref="D2785">
    <cfRule type="expression" dxfId="329" priority="406">
      <formula>ISEVEN(ROW())</formula>
    </cfRule>
  </conditionalFormatting>
  <conditionalFormatting sqref="D2790:E2793">
    <cfRule type="expression" dxfId="328" priority="405">
      <formula>ISEVEN(ROW())</formula>
    </cfRule>
  </conditionalFormatting>
  <conditionalFormatting sqref="D2801:E2804">
    <cfRule type="expression" dxfId="327" priority="403">
      <formula>ISEVEN(ROW())</formula>
    </cfRule>
  </conditionalFormatting>
  <conditionalFormatting sqref="E2800">
    <cfRule type="expression" dxfId="326" priority="402">
      <formula>ISEVEN(ROW())</formula>
    </cfRule>
  </conditionalFormatting>
  <conditionalFormatting sqref="D2800">
    <cfRule type="expression" dxfId="325" priority="401">
      <formula>ISEVEN(ROW())</formula>
    </cfRule>
  </conditionalFormatting>
  <conditionalFormatting sqref="D2806:E2809">
    <cfRule type="expression" dxfId="324" priority="400">
      <formula>ISEVEN(ROW())</formula>
    </cfRule>
  </conditionalFormatting>
  <conditionalFormatting sqref="E2805">
    <cfRule type="expression" dxfId="323" priority="399">
      <formula>ISEVEN(ROW())</formula>
    </cfRule>
  </conditionalFormatting>
  <conditionalFormatting sqref="D2805">
    <cfRule type="expression" dxfId="322" priority="398">
      <formula>ISEVEN(ROW())</formula>
    </cfRule>
  </conditionalFormatting>
  <conditionalFormatting sqref="D2811:E2814">
    <cfRule type="expression" dxfId="321" priority="397">
      <formula>ISEVEN(ROW())</formula>
    </cfRule>
  </conditionalFormatting>
  <conditionalFormatting sqref="E2810">
    <cfRule type="expression" dxfId="320" priority="396">
      <formula>ISEVEN(ROW())</formula>
    </cfRule>
  </conditionalFormatting>
  <conditionalFormatting sqref="D2810">
    <cfRule type="expression" dxfId="319" priority="395">
      <formula>ISEVEN(ROW())</formula>
    </cfRule>
  </conditionalFormatting>
  <conditionalFormatting sqref="D2816:E2819">
    <cfRule type="expression" dxfId="318" priority="394">
      <formula>ISEVEN(ROW())</formula>
    </cfRule>
  </conditionalFormatting>
  <conditionalFormatting sqref="E2815">
    <cfRule type="expression" dxfId="317" priority="393">
      <formula>ISEVEN(ROW())</formula>
    </cfRule>
  </conditionalFormatting>
  <conditionalFormatting sqref="D2815">
    <cfRule type="expression" dxfId="316" priority="392">
      <formula>ISEVEN(ROW())</formula>
    </cfRule>
  </conditionalFormatting>
  <conditionalFormatting sqref="D2821:E2824">
    <cfRule type="expression" dxfId="315" priority="391">
      <formula>ISEVEN(ROW())</formula>
    </cfRule>
  </conditionalFormatting>
  <conditionalFormatting sqref="E2820">
    <cfRule type="expression" dxfId="314" priority="390">
      <formula>ISEVEN(ROW())</formula>
    </cfRule>
  </conditionalFormatting>
  <conditionalFormatting sqref="D2820">
    <cfRule type="expression" dxfId="313" priority="389">
      <formula>ISEVEN(ROW())</formula>
    </cfRule>
  </conditionalFormatting>
  <conditionalFormatting sqref="D2826:E2829">
    <cfRule type="expression" dxfId="312" priority="388">
      <formula>ISEVEN(ROW())</formula>
    </cfRule>
  </conditionalFormatting>
  <conditionalFormatting sqref="E2825">
    <cfRule type="expression" dxfId="311" priority="387">
      <formula>ISEVEN(ROW())</formula>
    </cfRule>
  </conditionalFormatting>
  <conditionalFormatting sqref="D2825">
    <cfRule type="expression" dxfId="310" priority="386">
      <formula>ISEVEN(ROW())</formula>
    </cfRule>
  </conditionalFormatting>
  <conditionalFormatting sqref="D2831:E2834">
    <cfRule type="expression" dxfId="309" priority="385">
      <formula>ISEVEN(ROW())</formula>
    </cfRule>
  </conditionalFormatting>
  <conditionalFormatting sqref="E2830">
    <cfRule type="expression" dxfId="308" priority="384">
      <formula>ISEVEN(ROW())</formula>
    </cfRule>
  </conditionalFormatting>
  <conditionalFormatting sqref="D2830">
    <cfRule type="expression" dxfId="307" priority="383">
      <formula>ISEVEN(ROW())</formula>
    </cfRule>
  </conditionalFormatting>
  <conditionalFormatting sqref="D2836:E2839">
    <cfRule type="expression" dxfId="306" priority="382">
      <formula>ISEVEN(ROW())</formula>
    </cfRule>
  </conditionalFormatting>
  <conditionalFormatting sqref="E2835">
    <cfRule type="expression" dxfId="305" priority="381">
      <formula>ISEVEN(ROW())</formula>
    </cfRule>
  </conditionalFormatting>
  <conditionalFormatting sqref="D2835">
    <cfRule type="expression" dxfId="304" priority="380">
      <formula>ISEVEN(ROW())</formula>
    </cfRule>
  </conditionalFormatting>
  <conditionalFormatting sqref="D2840:E2843">
    <cfRule type="expression" dxfId="303" priority="379">
      <formula>ISEVEN(ROW())</formula>
    </cfRule>
  </conditionalFormatting>
  <conditionalFormatting sqref="D2845:E2848">
    <cfRule type="expression" dxfId="302" priority="376">
      <formula>ISEVEN(ROW())</formula>
    </cfRule>
  </conditionalFormatting>
  <conditionalFormatting sqref="E2844">
    <cfRule type="expression" dxfId="301" priority="375">
      <formula>ISEVEN(ROW())</formula>
    </cfRule>
  </conditionalFormatting>
  <conditionalFormatting sqref="D2844">
    <cfRule type="expression" dxfId="300" priority="374">
      <formula>ISEVEN(ROW())</formula>
    </cfRule>
  </conditionalFormatting>
  <conditionalFormatting sqref="D2850:E2853">
    <cfRule type="expression" dxfId="299" priority="373">
      <formula>ISEVEN(ROW())</formula>
    </cfRule>
  </conditionalFormatting>
  <conditionalFormatting sqref="E2849">
    <cfRule type="expression" dxfId="298" priority="372">
      <formula>ISEVEN(ROW())</formula>
    </cfRule>
  </conditionalFormatting>
  <conditionalFormatting sqref="D2849">
    <cfRule type="expression" dxfId="297" priority="371">
      <formula>ISEVEN(ROW())</formula>
    </cfRule>
  </conditionalFormatting>
  <conditionalFormatting sqref="D2855:E2858">
    <cfRule type="expression" dxfId="296" priority="370">
      <formula>ISEVEN(ROW())</formula>
    </cfRule>
  </conditionalFormatting>
  <conditionalFormatting sqref="E2854">
    <cfRule type="expression" dxfId="295" priority="369">
      <formula>ISEVEN(ROW())</formula>
    </cfRule>
  </conditionalFormatting>
  <conditionalFormatting sqref="D2854">
    <cfRule type="expression" dxfId="294" priority="368">
      <formula>ISEVEN(ROW())</formula>
    </cfRule>
  </conditionalFormatting>
  <conditionalFormatting sqref="D2860:E2863">
    <cfRule type="expression" dxfId="293" priority="367">
      <formula>ISEVEN(ROW())</formula>
    </cfRule>
  </conditionalFormatting>
  <conditionalFormatting sqref="E2859">
    <cfRule type="expression" dxfId="292" priority="366">
      <formula>ISEVEN(ROW())</formula>
    </cfRule>
  </conditionalFormatting>
  <conditionalFormatting sqref="D2859">
    <cfRule type="expression" dxfId="291" priority="365">
      <formula>ISEVEN(ROW())</formula>
    </cfRule>
  </conditionalFormatting>
  <conditionalFormatting sqref="D2864:E2867">
    <cfRule type="expression" dxfId="290" priority="364">
      <formula>ISEVEN(ROW())</formula>
    </cfRule>
  </conditionalFormatting>
  <conditionalFormatting sqref="D2869:E2872">
    <cfRule type="expression" dxfId="289" priority="361">
      <formula>ISEVEN(ROW())</formula>
    </cfRule>
  </conditionalFormatting>
  <conditionalFormatting sqref="E2868">
    <cfRule type="expression" dxfId="288" priority="360">
      <formula>ISEVEN(ROW())</formula>
    </cfRule>
  </conditionalFormatting>
  <conditionalFormatting sqref="D2868">
    <cfRule type="expression" dxfId="287" priority="359">
      <formula>ISEVEN(ROW())</formula>
    </cfRule>
  </conditionalFormatting>
  <conditionalFormatting sqref="D1850:E1853 E1849">
    <cfRule type="expression" dxfId="286" priority="358">
      <formula>ISEVEN(ROW())</formula>
    </cfRule>
  </conditionalFormatting>
  <conditionalFormatting sqref="D1849">
    <cfRule type="expression" dxfId="285" priority="357">
      <formula>ISEVEN(ROW())</formula>
    </cfRule>
  </conditionalFormatting>
  <conditionalFormatting sqref="D1855:E1858 E1854">
    <cfRule type="expression" dxfId="284" priority="356">
      <formula>ISEVEN(ROW())</formula>
    </cfRule>
  </conditionalFormatting>
  <conditionalFormatting sqref="D1854">
    <cfRule type="expression" dxfId="283" priority="355">
      <formula>ISEVEN(ROW())</formula>
    </cfRule>
  </conditionalFormatting>
  <conditionalFormatting sqref="D1860:E1863 E1859">
    <cfRule type="expression" dxfId="282" priority="354">
      <formula>ISEVEN(ROW())</formula>
    </cfRule>
  </conditionalFormatting>
  <conditionalFormatting sqref="D1859">
    <cfRule type="expression" dxfId="281" priority="353">
      <formula>ISEVEN(ROW())</formula>
    </cfRule>
  </conditionalFormatting>
  <conditionalFormatting sqref="D1865:E1868 E1864">
    <cfRule type="expression" dxfId="280" priority="352">
      <formula>ISEVEN(ROW())</formula>
    </cfRule>
  </conditionalFormatting>
  <conditionalFormatting sqref="D1864">
    <cfRule type="expression" dxfId="279" priority="351">
      <formula>ISEVEN(ROW())</formula>
    </cfRule>
  </conditionalFormatting>
  <conditionalFormatting sqref="D1870:E1873 E1869">
    <cfRule type="expression" dxfId="278" priority="350">
      <formula>ISEVEN(ROW())</formula>
    </cfRule>
  </conditionalFormatting>
  <conditionalFormatting sqref="D1869">
    <cfRule type="expression" dxfId="277" priority="349">
      <formula>ISEVEN(ROW())</formula>
    </cfRule>
  </conditionalFormatting>
  <conditionalFormatting sqref="D1884:E1887 E1883">
    <cfRule type="expression" dxfId="276" priority="348">
      <formula>ISEVEN(ROW())</formula>
    </cfRule>
  </conditionalFormatting>
  <conditionalFormatting sqref="D1883">
    <cfRule type="expression" dxfId="275" priority="347">
      <formula>ISEVEN(ROW())</formula>
    </cfRule>
  </conditionalFormatting>
  <conditionalFormatting sqref="D1889:E1892 E1888">
    <cfRule type="expression" dxfId="274" priority="346">
      <formula>ISEVEN(ROW())</formula>
    </cfRule>
  </conditionalFormatting>
  <conditionalFormatting sqref="D1888">
    <cfRule type="expression" dxfId="273" priority="345">
      <formula>ISEVEN(ROW())</formula>
    </cfRule>
  </conditionalFormatting>
  <conditionalFormatting sqref="D1894:E1897 E1893">
    <cfRule type="expression" dxfId="272" priority="344">
      <formula>ISEVEN(ROW())</formula>
    </cfRule>
  </conditionalFormatting>
  <conditionalFormatting sqref="D1893">
    <cfRule type="expression" dxfId="271" priority="343">
      <formula>ISEVEN(ROW())</formula>
    </cfRule>
  </conditionalFormatting>
  <conditionalFormatting sqref="D1899:E1902 E1898">
    <cfRule type="expression" dxfId="270" priority="342">
      <formula>ISEVEN(ROW())</formula>
    </cfRule>
  </conditionalFormatting>
  <conditionalFormatting sqref="D1898">
    <cfRule type="expression" dxfId="269" priority="341">
      <formula>ISEVEN(ROW())</formula>
    </cfRule>
  </conditionalFormatting>
  <conditionalFormatting sqref="D1903:E1906">
    <cfRule type="expression" dxfId="268" priority="340">
      <formula>ISEVEN(ROW())</formula>
    </cfRule>
  </conditionalFormatting>
  <conditionalFormatting sqref="D1908:E1911 E1907">
    <cfRule type="expression" dxfId="267" priority="338">
      <formula>ISEVEN(ROW())</formula>
    </cfRule>
  </conditionalFormatting>
  <conditionalFormatting sqref="D1907">
    <cfRule type="expression" dxfId="266" priority="337">
      <formula>ISEVEN(ROW())</formula>
    </cfRule>
  </conditionalFormatting>
  <conditionalFormatting sqref="D1912:E1915">
    <cfRule type="expression" dxfId="265" priority="336">
      <formula>ISEVEN(ROW())</formula>
    </cfRule>
  </conditionalFormatting>
  <conditionalFormatting sqref="D1923:E1926 E1922">
    <cfRule type="expression" dxfId="264" priority="334">
      <formula>ISEVEN(ROW())</formula>
    </cfRule>
  </conditionalFormatting>
  <conditionalFormatting sqref="D1922">
    <cfRule type="expression" dxfId="263" priority="333">
      <formula>ISEVEN(ROW())</formula>
    </cfRule>
  </conditionalFormatting>
  <conditionalFormatting sqref="D1928:E1931 E1927">
    <cfRule type="expression" dxfId="262" priority="332">
      <formula>ISEVEN(ROW())</formula>
    </cfRule>
  </conditionalFormatting>
  <conditionalFormatting sqref="D1927">
    <cfRule type="expression" dxfId="261" priority="331">
      <formula>ISEVEN(ROW())</formula>
    </cfRule>
  </conditionalFormatting>
  <conditionalFormatting sqref="D1933:E1936 E1932">
    <cfRule type="expression" dxfId="260" priority="330">
      <formula>ISEVEN(ROW())</formula>
    </cfRule>
  </conditionalFormatting>
  <conditionalFormatting sqref="D1932">
    <cfRule type="expression" dxfId="259" priority="329">
      <formula>ISEVEN(ROW())</formula>
    </cfRule>
  </conditionalFormatting>
  <conditionalFormatting sqref="D1938:E1941 E1937">
    <cfRule type="expression" dxfId="258" priority="328">
      <formula>ISEVEN(ROW())</formula>
    </cfRule>
  </conditionalFormatting>
  <conditionalFormatting sqref="D1937">
    <cfRule type="expression" dxfId="257" priority="327">
      <formula>ISEVEN(ROW())</formula>
    </cfRule>
  </conditionalFormatting>
  <conditionalFormatting sqref="D1943:E1946 E1942">
    <cfRule type="expression" dxfId="256" priority="326">
      <formula>ISEVEN(ROW())</formula>
    </cfRule>
  </conditionalFormatting>
  <conditionalFormatting sqref="D1942">
    <cfRule type="expression" dxfId="255" priority="325">
      <formula>ISEVEN(ROW())</formula>
    </cfRule>
  </conditionalFormatting>
  <conditionalFormatting sqref="D1948:E1951 E1947">
    <cfRule type="expression" dxfId="254" priority="324">
      <formula>ISEVEN(ROW())</formula>
    </cfRule>
  </conditionalFormatting>
  <conditionalFormatting sqref="D1947">
    <cfRule type="expression" dxfId="253" priority="323">
      <formula>ISEVEN(ROW())</formula>
    </cfRule>
  </conditionalFormatting>
  <conditionalFormatting sqref="D1953:E1956 E1952">
    <cfRule type="expression" dxfId="252" priority="322">
      <formula>ISEVEN(ROW())</formula>
    </cfRule>
  </conditionalFormatting>
  <conditionalFormatting sqref="D1952">
    <cfRule type="expression" dxfId="251" priority="321">
      <formula>ISEVEN(ROW())</formula>
    </cfRule>
  </conditionalFormatting>
  <conditionalFormatting sqref="D1958:E1961 E1957">
    <cfRule type="expression" dxfId="250" priority="320">
      <formula>ISEVEN(ROW())</formula>
    </cfRule>
  </conditionalFormatting>
  <conditionalFormatting sqref="D1957">
    <cfRule type="expression" dxfId="249" priority="319">
      <formula>ISEVEN(ROW())</formula>
    </cfRule>
  </conditionalFormatting>
  <conditionalFormatting sqref="D1962:E1965">
    <cfRule type="expression" dxfId="248" priority="318">
      <formula>ISEVEN(ROW())</formula>
    </cfRule>
  </conditionalFormatting>
  <conditionalFormatting sqref="D1967:E1970 E1966">
    <cfRule type="expression" dxfId="247" priority="316">
      <formula>ISEVEN(ROW())</formula>
    </cfRule>
  </conditionalFormatting>
  <conditionalFormatting sqref="D1966">
    <cfRule type="expression" dxfId="246" priority="315">
      <formula>ISEVEN(ROW())</formula>
    </cfRule>
  </conditionalFormatting>
  <conditionalFormatting sqref="D1972:E1975 E1971">
    <cfRule type="expression" dxfId="245" priority="314">
      <formula>ISEVEN(ROW())</formula>
    </cfRule>
  </conditionalFormatting>
  <conditionalFormatting sqref="D1971">
    <cfRule type="expression" dxfId="244" priority="313">
      <formula>ISEVEN(ROW())</formula>
    </cfRule>
  </conditionalFormatting>
  <conditionalFormatting sqref="D1977:E1980 E1976">
    <cfRule type="expression" dxfId="243" priority="312">
      <formula>ISEVEN(ROW())</formula>
    </cfRule>
  </conditionalFormatting>
  <conditionalFormatting sqref="D1976">
    <cfRule type="expression" dxfId="242" priority="311">
      <formula>ISEVEN(ROW())</formula>
    </cfRule>
  </conditionalFormatting>
  <conditionalFormatting sqref="D1982:E1985 E1981">
    <cfRule type="expression" dxfId="241" priority="310">
      <formula>ISEVEN(ROW())</formula>
    </cfRule>
  </conditionalFormatting>
  <conditionalFormatting sqref="D1981">
    <cfRule type="expression" dxfId="240" priority="309">
      <formula>ISEVEN(ROW())</formula>
    </cfRule>
  </conditionalFormatting>
  <conditionalFormatting sqref="D1986:E1989">
    <cfRule type="expression" dxfId="239" priority="308">
      <formula>ISEVEN(ROW())</formula>
    </cfRule>
  </conditionalFormatting>
  <conditionalFormatting sqref="D1991:E1994 E1990 E1996">
    <cfRule type="expression" dxfId="238" priority="306">
      <formula>ISEVEN(ROW())</formula>
    </cfRule>
  </conditionalFormatting>
  <conditionalFormatting sqref="D1990">
    <cfRule type="expression" dxfId="237" priority="305">
      <formula>ISEVEN(ROW())</formula>
    </cfRule>
  </conditionalFormatting>
  <conditionalFormatting sqref="C465:C470">
    <cfRule type="expression" dxfId="236" priority="304">
      <formula>ISEVEN(ROW())</formula>
    </cfRule>
  </conditionalFormatting>
  <conditionalFormatting sqref="C832:C837">
    <cfRule type="expression" dxfId="235" priority="303">
      <formula>ISEVEN(ROW())</formula>
    </cfRule>
  </conditionalFormatting>
  <conditionalFormatting sqref="C1013:C1018">
    <cfRule type="expression" dxfId="234" priority="302">
      <formula>ISEVEN(ROW())</formula>
    </cfRule>
  </conditionalFormatting>
  <conditionalFormatting sqref="C1194:C1199">
    <cfRule type="expression" dxfId="233" priority="301">
      <formula>ISEVEN(ROW())</formula>
    </cfRule>
  </conditionalFormatting>
  <conditionalFormatting sqref="C1375:C1380">
    <cfRule type="expression" dxfId="232" priority="300">
      <formula>ISEVEN(ROW())</formula>
    </cfRule>
  </conditionalFormatting>
  <conditionalFormatting sqref="C1558:C1563">
    <cfRule type="expression" dxfId="231" priority="299">
      <formula>ISEVEN(ROW())</formula>
    </cfRule>
  </conditionalFormatting>
  <conditionalFormatting sqref="C1735:C1740">
    <cfRule type="expression" dxfId="230" priority="298">
      <formula>ISEVEN(ROW())</formula>
    </cfRule>
  </conditionalFormatting>
  <conditionalFormatting sqref="C1916:C1921">
    <cfRule type="expression" dxfId="229" priority="297">
      <formula>ISEVEN(ROW())</formula>
    </cfRule>
  </conditionalFormatting>
  <conditionalFormatting sqref="C2100:C2104">
    <cfRule type="expression" dxfId="228" priority="296">
      <formula>ISEVEN(ROW())</formula>
    </cfRule>
  </conditionalFormatting>
  <conditionalFormatting sqref="C2280:C2284">
    <cfRule type="expression" dxfId="227" priority="295">
      <formula>ISEVEN(ROW())</formula>
    </cfRule>
  </conditionalFormatting>
  <conditionalFormatting sqref="C2453:C2456">
    <cfRule type="expression" dxfId="226" priority="294">
      <formula>ISEVEN(ROW())</formula>
    </cfRule>
  </conditionalFormatting>
  <conditionalFormatting sqref="C2616:C2619">
    <cfRule type="expression" dxfId="225" priority="293">
      <formula>ISEVEN(ROW())</formula>
    </cfRule>
  </conditionalFormatting>
  <conditionalFormatting sqref="C2979:C2982">
    <cfRule type="expression" dxfId="224" priority="292">
      <formula>ISEVEN(ROW())</formula>
    </cfRule>
  </conditionalFormatting>
  <conditionalFormatting sqref="C2977:C2978">
    <cfRule type="expression" dxfId="223" priority="291">
      <formula>ISEVEN(ROW())</formula>
    </cfRule>
  </conditionalFormatting>
  <conditionalFormatting sqref="C3162:C3165">
    <cfRule type="expression" dxfId="222" priority="290">
      <formula>ISEVEN(ROW())</formula>
    </cfRule>
  </conditionalFormatting>
  <conditionalFormatting sqref="C3160:C3161">
    <cfRule type="expression" dxfId="221" priority="289">
      <formula>ISEVEN(ROW())</formula>
    </cfRule>
  </conditionalFormatting>
  <conditionalFormatting sqref="C3345:C3348">
    <cfRule type="expression" dxfId="220" priority="288">
      <formula>ISEVEN(ROW())</formula>
    </cfRule>
  </conditionalFormatting>
  <conditionalFormatting sqref="C3343:C3344">
    <cfRule type="expression" dxfId="219" priority="287">
      <formula>ISEVEN(ROW())</formula>
    </cfRule>
  </conditionalFormatting>
  <conditionalFormatting sqref="C1357:C1361">
    <cfRule type="expression" dxfId="218" priority="286">
      <formula>ISEVEN(ROW())</formula>
    </cfRule>
  </conditionalFormatting>
  <conditionalFormatting sqref="C2081:C2085">
    <cfRule type="expression" dxfId="217" priority="285">
      <formula>ISEVEN(ROW())</formula>
    </cfRule>
  </conditionalFormatting>
  <conditionalFormatting sqref="D2000">
    <cfRule type="expression" dxfId="216" priority="283">
      <formula>ISEVEN(ROW())</formula>
    </cfRule>
  </conditionalFormatting>
  <conditionalFormatting sqref="D2181">
    <cfRule type="expression" dxfId="215" priority="282">
      <formula>ISEVEN(ROW())</formula>
    </cfRule>
  </conditionalFormatting>
  <conditionalFormatting sqref="D2360">
    <cfRule type="expression" dxfId="214" priority="281">
      <formula>ISEVEN(ROW())</formula>
    </cfRule>
  </conditionalFormatting>
  <conditionalFormatting sqref="D2519">
    <cfRule type="expression" dxfId="213" priority="280">
      <formula>ISEVEN(ROW())</formula>
    </cfRule>
  </conditionalFormatting>
  <conditionalFormatting sqref="D2699">
    <cfRule type="expression" dxfId="212" priority="279">
      <formula>ISEVEN(ROW())</formula>
    </cfRule>
  </conditionalFormatting>
  <conditionalFormatting sqref="D2880">
    <cfRule type="expression" dxfId="211" priority="278">
      <formula>ISEVEN(ROW())</formula>
    </cfRule>
  </conditionalFormatting>
  <conditionalFormatting sqref="D3063">
    <cfRule type="expression" dxfId="210" priority="277">
      <formula>ISEVEN(ROW())</formula>
    </cfRule>
  </conditionalFormatting>
  <conditionalFormatting sqref="D3247">
    <cfRule type="expression" dxfId="209" priority="276">
      <formula>ISEVEN(ROW())</formula>
    </cfRule>
  </conditionalFormatting>
  <conditionalFormatting sqref="D3429">
    <cfRule type="expression" dxfId="208" priority="275">
      <formula>ISEVEN(ROW())</formula>
    </cfRule>
  </conditionalFormatting>
  <conditionalFormatting sqref="E364">
    <cfRule type="expression" dxfId="207" priority="274">
      <formula>ISEVEN(ROW())</formula>
    </cfRule>
  </conditionalFormatting>
  <conditionalFormatting sqref="D364">
    <cfRule type="expression" dxfId="206" priority="273">
      <formula>ISEVEN(ROW())</formula>
    </cfRule>
  </conditionalFormatting>
  <conditionalFormatting sqref="E550">
    <cfRule type="expression" dxfId="205" priority="272">
      <formula>ISEVEN(ROW())</formula>
    </cfRule>
  </conditionalFormatting>
  <conditionalFormatting sqref="D550">
    <cfRule type="expression" dxfId="204" priority="271">
      <formula>ISEVEN(ROW())</formula>
    </cfRule>
  </conditionalFormatting>
  <conditionalFormatting sqref="E731">
    <cfRule type="expression" dxfId="203" priority="270">
      <formula>ISEVEN(ROW())</formula>
    </cfRule>
  </conditionalFormatting>
  <conditionalFormatting sqref="D731">
    <cfRule type="expression" dxfId="202" priority="269">
      <formula>ISEVEN(ROW())</formula>
    </cfRule>
  </conditionalFormatting>
  <conditionalFormatting sqref="E912">
    <cfRule type="expression" dxfId="201" priority="268">
      <formula>ISEVEN(ROW())</formula>
    </cfRule>
  </conditionalFormatting>
  <conditionalFormatting sqref="D912">
    <cfRule type="expression" dxfId="200" priority="267">
      <formula>ISEVEN(ROW())</formula>
    </cfRule>
  </conditionalFormatting>
  <conditionalFormatting sqref="E1093">
    <cfRule type="expression" dxfId="199" priority="266">
      <formula>ISEVEN(ROW())</formula>
    </cfRule>
  </conditionalFormatting>
  <conditionalFormatting sqref="D1093">
    <cfRule type="expression" dxfId="198" priority="265">
      <formula>ISEVEN(ROW())</formula>
    </cfRule>
  </conditionalFormatting>
  <conditionalFormatting sqref="E1274">
    <cfRule type="expression" dxfId="197" priority="264">
      <formula>ISEVEN(ROW())</formula>
    </cfRule>
  </conditionalFormatting>
  <conditionalFormatting sqref="D1274">
    <cfRule type="expression" dxfId="196" priority="263">
      <formula>ISEVEN(ROW())</formula>
    </cfRule>
  </conditionalFormatting>
  <conditionalFormatting sqref="E1455">
    <cfRule type="expression" dxfId="195" priority="262">
      <formula>ISEVEN(ROW())</formula>
    </cfRule>
  </conditionalFormatting>
  <conditionalFormatting sqref="D1455">
    <cfRule type="expression" dxfId="194" priority="261">
      <formula>ISEVEN(ROW())</formula>
    </cfRule>
  </conditionalFormatting>
  <conditionalFormatting sqref="E1634">
    <cfRule type="expression" dxfId="193" priority="260">
      <formula>ISEVEN(ROW())</formula>
    </cfRule>
  </conditionalFormatting>
  <conditionalFormatting sqref="D1634">
    <cfRule type="expression" dxfId="192" priority="259">
      <formula>ISEVEN(ROW())</formula>
    </cfRule>
  </conditionalFormatting>
  <conditionalFormatting sqref="E1816">
    <cfRule type="expression" dxfId="191" priority="258">
      <formula>ISEVEN(ROW())</formula>
    </cfRule>
  </conditionalFormatting>
  <conditionalFormatting sqref="D1816">
    <cfRule type="expression" dxfId="190" priority="257">
      <formula>ISEVEN(ROW())</formula>
    </cfRule>
  </conditionalFormatting>
  <conditionalFormatting sqref="E1999">
    <cfRule type="expression" dxfId="189" priority="256">
      <formula>ISEVEN(ROW())</formula>
    </cfRule>
  </conditionalFormatting>
  <conditionalFormatting sqref="D1999">
    <cfRule type="expression" dxfId="188" priority="255">
      <formula>ISEVEN(ROW())</formula>
    </cfRule>
  </conditionalFormatting>
  <conditionalFormatting sqref="E2180">
    <cfRule type="expression" dxfId="187" priority="254">
      <formula>ISEVEN(ROW())</formula>
    </cfRule>
  </conditionalFormatting>
  <conditionalFormatting sqref="D2180">
    <cfRule type="expression" dxfId="186" priority="253">
      <formula>ISEVEN(ROW())</formula>
    </cfRule>
  </conditionalFormatting>
  <conditionalFormatting sqref="E2698">
    <cfRule type="expression" dxfId="185" priority="252">
      <formula>ISEVEN(ROW())</formula>
    </cfRule>
  </conditionalFormatting>
  <conditionalFormatting sqref="D2698">
    <cfRule type="expression" dxfId="184" priority="251">
      <formula>ISEVEN(ROW())</formula>
    </cfRule>
  </conditionalFormatting>
  <conditionalFormatting sqref="E2879">
    <cfRule type="expression" dxfId="183" priority="250">
      <formula>ISEVEN(ROW())</formula>
    </cfRule>
  </conditionalFormatting>
  <conditionalFormatting sqref="D2879">
    <cfRule type="expression" dxfId="182" priority="249">
      <formula>ISEVEN(ROW())</formula>
    </cfRule>
  </conditionalFormatting>
  <conditionalFormatting sqref="E3062">
    <cfRule type="expression" dxfId="181" priority="248">
      <formula>ISEVEN(ROW())</formula>
    </cfRule>
  </conditionalFormatting>
  <conditionalFormatting sqref="D3062">
    <cfRule type="expression" dxfId="180" priority="247">
      <formula>ISEVEN(ROW())</formula>
    </cfRule>
  </conditionalFormatting>
  <conditionalFormatting sqref="E3246">
    <cfRule type="expression" dxfId="179" priority="246">
      <formula>ISEVEN(ROW())</formula>
    </cfRule>
  </conditionalFormatting>
  <conditionalFormatting sqref="D3246">
    <cfRule type="expression" dxfId="178" priority="245">
      <formula>ISEVEN(ROW())</formula>
    </cfRule>
  </conditionalFormatting>
  <conditionalFormatting sqref="E3428">
    <cfRule type="expression" dxfId="177" priority="244">
      <formula>ISEVEN(ROW())</formula>
    </cfRule>
  </conditionalFormatting>
  <conditionalFormatting sqref="D3428">
    <cfRule type="expression" dxfId="176" priority="243">
      <formula>ISEVEN(ROW())</formula>
    </cfRule>
  </conditionalFormatting>
  <conditionalFormatting sqref="E743">
    <cfRule type="expression" dxfId="175" priority="200">
      <formula>ISEVEN(ROW())</formula>
    </cfRule>
  </conditionalFormatting>
  <conditionalFormatting sqref="D743">
    <cfRule type="expression" dxfId="174" priority="199">
      <formula>ISEVEN(ROW())</formula>
    </cfRule>
  </conditionalFormatting>
  <conditionalFormatting sqref="B924:C924">
    <cfRule type="expression" dxfId="173" priority="198">
      <formula>ISEVEN(ROW())</formula>
    </cfRule>
  </conditionalFormatting>
  <conditionalFormatting sqref="E924">
    <cfRule type="expression" dxfId="172" priority="197">
      <formula>ISEVEN(ROW())</formula>
    </cfRule>
  </conditionalFormatting>
  <conditionalFormatting sqref="D924">
    <cfRule type="expression" dxfId="171" priority="196">
      <formula>ISEVEN(ROW())</formula>
    </cfRule>
  </conditionalFormatting>
  <conditionalFormatting sqref="B1105:C1105">
    <cfRule type="expression" dxfId="170" priority="195">
      <formula>ISEVEN(ROW())</formula>
    </cfRule>
  </conditionalFormatting>
  <conditionalFormatting sqref="E1105">
    <cfRule type="expression" dxfId="169" priority="194">
      <formula>ISEVEN(ROW())</formula>
    </cfRule>
  </conditionalFormatting>
  <conditionalFormatting sqref="D1105">
    <cfRule type="expression" dxfId="168" priority="193">
      <formula>ISEVEN(ROW())</formula>
    </cfRule>
  </conditionalFormatting>
  <conditionalFormatting sqref="B1286:C1286">
    <cfRule type="expression" dxfId="167" priority="192">
      <formula>ISEVEN(ROW())</formula>
    </cfRule>
  </conditionalFormatting>
  <conditionalFormatting sqref="E1286">
    <cfRule type="expression" dxfId="166" priority="191">
      <formula>ISEVEN(ROW())</formula>
    </cfRule>
  </conditionalFormatting>
  <conditionalFormatting sqref="D1286">
    <cfRule type="expression" dxfId="165" priority="190">
      <formula>ISEVEN(ROW())</formula>
    </cfRule>
  </conditionalFormatting>
  <conditionalFormatting sqref="B1471:C1471">
    <cfRule type="expression" dxfId="164" priority="189">
      <formula>ISEVEN(ROW())</formula>
    </cfRule>
  </conditionalFormatting>
  <conditionalFormatting sqref="D379">
    <cfRule type="expression" dxfId="163" priority="226">
      <formula>ISEVEN(ROW())</formula>
    </cfRule>
  </conditionalFormatting>
  <conditionalFormatting sqref="D563">
    <cfRule type="expression" dxfId="162" priority="225">
      <formula>ISEVEN(ROW())</formula>
    </cfRule>
  </conditionalFormatting>
  <conditionalFormatting sqref="E1471">
    <cfRule type="expression" dxfId="161" priority="188">
      <formula>ISEVEN(ROW())</formula>
    </cfRule>
  </conditionalFormatting>
  <conditionalFormatting sqref="D1471">
    <cfRule type="expression" dxfId="160" priority="187">
      <formula>ISEVEN(ROW())</formula>
    </cfRule>
  </conditionalFormatting>
  <conditionalFormatting sqref="D744">
    <cfRule type="expression" dxfId="159" priority="224">
      <formula>ISEVEN(ROW())</formula>
    </cfRule>
  </conditionalFormatting>
  <conditionalFormatting sqref="D925">
    <cfRule type="expression" dxfId="158" priority="223">
      <formula>ISEVEN(ROW())</formula>
    </cfRule>
  </conditionalFormatting>
  <conditionalFormatting sqref="D1106">
    <cfRule type="expression" dxfId="157" priority="222">
      <formula>ISEVEN(ROW())</formula>
    </cfRule>
  </conditionalFormatting>
  <conditionalFormatting sqref="D1287">
    <cfRule type="expression" dxfId="156" priority="221">
      <formula>ISEVEN(ROW())</formula>
    </cfRule>
  </conditionalFormatting>
  <conditionalFormatting sqref="D1472">
    <cfRule type="expression" dxfId="155" priority="220">
      <formula>ISEVEN(ROW())</formula>
    </cfRule>
  </conditionalFormatting>
  <conditionalFormatting sqref="D1647">
    <cfRule type="expression" dxfId="154" priority="219">
      <formula>ISEVEN(ROW())</formula>
    </cfRule>
  </conditionalFormatting>
  <conditionalFormatting sqref="D1828">
    <cfRule type="expression" dxfId="153" priority="218">
      <formula>ISEVEN(ROW())</formula>
    </cfRule>
  </conditionalFormatting>
  <conditionalFormatting sqref="D2012">
    <cfRule type="expression" dxfId="152" priority="217">
      <formula>ISEVEN(ROW())</formula>
    </cfRule>
  </conditionalFormatting>
  <conditionalFormatting sqref="D2370">
    <cfRule type="expression" dxfId="151" priority="216">
      <formula>ISEVEN(ROW())</formula>
    </cfRule>
  </conditionalFormatting>
  <conditionalFormatting sqref="D2889">
    <cfRule type="expression" dxfId="150" priority="215">
      <formula>ISEVEN(ROW())</formula>
    </cfRule>
  </conditionalFormatting>
  <conditionalFormatting sqref="D3073">
    <cfRule type="expression" dxfId="149" priority="214">
      <formula>ISEVEN(ROW())</formula>
    </cfRule>
  </conditionalFormatting>
  <conditionalFormatting sqref="D3256">
    <cfRule type="expression" dxfId="148" priority="213">
      <formula>ISEVEN(ROW())</formula>
    </cfRule>
  </conditionalFormatting>
  <conditionalFormatting sqref="D3438">
    <cfRule type="expression" dxfId="147" priority="212">
      <formula>ISEVEN(ROW())</formula>
    </cfRule>
  </conditionalFormatting>
  <conditionalFormatting sqref="F184:H184 H185 H378:H379 H562:H563 H743:H744 H924:H925 H1105:H1106 H1286:H1287 H1471:H1472 H1646:H1647 H1827:H1828 H2011:H2012 H2189:H2190 H2706:H2707 H2888:H2889 H3072:H3073 H3255:H3256 H3437">
    <cfRule type="expression" dxfId="146" priority="211">
      <formula>ISEVEN(ROW())</formula>
    </cfRule>
  </conditionalFormatting>
  <conditionalFormatting sqref="B184:C184">
    <cfRule type="expression" dxfId="145" priority="210">
      <formula>ISEVEN(ROW())</formula>
    </cfRule>
  </conditionalFormatting>
  <conditionalFormatting sqref="E184">
    <cfRule type="expression" dxfId="144" priority="209">
      <formula>ISEVEN(ROW())</formula>
    </cfRule>
  </conditionalFormatting>
  <conditionalFormatting sqref="D184">
    <cfRule type="expression" dxfId="143" priority="208">
      <formula>ISEVEN(ROW())</formula>
    </cfRule>
  </conditionalFormatting>
  <conditionalFormatting sqref="B378:C378">
    <cfRule type="expression" dxfId="142" priority="207">
      <formula>ISEVEN(ROW())</formula>
    </cfRule>
  </conditionalFormatting>
  <conditionalFormatting sqref="E378">
    <cfRule type="expression" dxfId="141" priority="206">
      <formula>ISEVEN(ROW())</formula>
    </cfRule>
  </conditionalFormatting>
  <conditionalFormatting sqref="D378">
    <cfRule type="expression" dxfId="140" priority="205">
      <formula>ISEVEN(ROW())</formula>
    </cfRule>
  </conditionalFormatting>
  <conditionalFormatting sqref="B562:C562">
    <cfRule type="expression" dxfId="139" priority="204">
      <formula>ISEVEN(ROW())</formula>
    </cfRule>
  </conditionalFormatting>
  <conditionalFormatting sqref="E562">
    <cfRule type="expression" dxfId="138" priority="203">
      <formula>ISEVEN(ROW())</formula>
    </cfRule>
  </conditionalFormatting>
  <conditionalFormatting sqref="D562">
    <cfRule type="expression" dxfId="137" priority="202">
      <formula>ISEVEN(ROW())</formula>
    </cfRule>
  </conditionalFormatting>
  <conditionalFormatting sqref="B743:C743">
    <cfRule type="expression" dxfId="136" priority="201">
      <formula>ISEVEN(ROW())</formula>
    </cfRule>
  </conditionalFormatting>
  <conditionalFormatting sqref="D1468:E1468">
    <cfRule type="expression" dxfId="135" priority="103">
      <formula>ISEVEN(ROW())</formula>
    </cfRule>
  </conditionalFormatting>
  <conditionalFormatting sqref="D1644:E1644">
    <cfRule type="expression" dxfId="134" priority="102">
      <formula>ISEVEN(ROW())</formula>
    </cfRule>
  </conditionalFormatting>
  <conditionalFormatting sqref="D2886:E2886">
    <cfRule type="expression" dxfId="133" priority="101">
      <formula>ISEVEN(ROW())</formula>
    </cfRule>
  </conditionalFormatting>
  <conditionalFormatting sqref="D3070:E3070">
    <cfRule type="expression" dxfId="132" priority="100">
      <formula>ISEVEN(ROW())</formula>
    </cfRule>
  </conditionalFormatting>
  <conditionalFormatting sqref="D3253:E3253">
    <cfRule type="expression" dxfId="131" priority="99">
      <formula>ISEVEN(ROW())</formula>
    </cfRule>
  </conditionalFormatting>
  <conditionalFormatting sqref="D3435:E3435">
    <cfRule type="expression" dxfId="130" priority="98">
      <formula>ISEVEN(ROW())</formula>
    </cfRule>
  </conditionalFormatting>
  <conditionalFormatting sqref="B369">
    <cfRule type="expression" dxfId="129" priority="97">
      <formula>ISEVEN(ROW())</formula>
    </cfRule>
  </conditionalFormatting>
  <conditionalFormatting sqref="B567">
    <cfRule type="expression" dxfId="128" priority="94">
      <formula>ISEVEN(ROW())</formula>
    </cfRule>
  </conditionalFormatting>
  <conditionalFormatting sqref="B748">
    <cfRule type="expression" dxfId="127" priority="91">
      <formula>ISEVEN(ROW())</formula>
    </cfRule>
  </conditionalFormatting>
  <conditionalFormatting sqref="B1646:C1646">
    <cfRule type="expression" dxfId="126" priority="186">
      <formula>ISEVEN(ROW())</formula>
    </cfRule>
  </conditionalFormatting>
  <conditionalFormatting sqref="E1646">
    <cfRule type="expression" dxfId="125" priority="185">
      <formula>ISEVEN(ROW())</formula>
    </cfRule>
  </conditionalFormatting>
  <conditionalFormatting sqref="D1646">
    <cfRule type="expression" dxfId="124" priority="184">
      <formula>ISEVEN(ROW())</formula>
    </cfRule>
  </conditionalFormatting>
  <conditionalFormatting sqref="B1827:C1827">
    <cfRule type="expression" dxfId="123" priority="183">
      <formula>ISEVEN(ROW())</formula>
    </cfRule>
  </conditionalFormatting>
  <conditionalFormatting sqref="E1827">
    <cfRule type="expression" dxfId="122" priority="182">
      <formula>ISEVEN(ROW())</formula>
    </cfRule>
  </conditionalFormatting>
  <conditionalFormatting sqref="D1827">
    <cfRule type="expression" dxfId="121" priority="181">
      <formula>ISEVEN(ROW())</formula>
    </cfRule>
  </conditionalFormatting>
  <conditionalFormatting sqref="B2011:C2011">
    <cfRule type="expression" dxfId="120" priority="180">
      <formula>ISEVEN(ROW())</formula>
    </cfRule>
  </conditionalFormatting>
  <conditionalFormatting sqref="E2011">
    <cfRule type="expression" dxfId="119" priority="179">
      <formula>ISEVEN(ROW())</formula>
    </cfRule>
  </conditionalFormatting>
  <conditionalFormatting sqref="D2011">
    <cfRule type="expression" dxfId="118" priority="178">
      <formula>ISEVEN(ROW())</formula>
    </cfRule>
  </conditionalFormatting>
  <conditionalFormatting sqref="B2189:C2189">
    <cfRule type="expression" dxfId="117" priority="177">
      <formula>ISEVEN(ROW())</formula>
    </cfRule>
  </conditionalFormatting>
  <conditionalFormatting sqref="E2189">
    <cfRule type="expression" dxfId="116" priority="176">
      <formula>ISEVEN(ROW())</formula>
    </cfRule>
  </conditionalFormatting>
  <conditionalFormatting sqref="D2189">
    <cfRule type="expression" dxfId="115" priority="175">
      <formula>ISEVEN(ROW())</formula>
    </cfRule>
  </conditionalFormatting>
  <conditionalFormatting sqref="B2706:C2706">
    <cfRule type="expression" dxfId="114" priority="171">
      <formula>ISEVEN(ROW())</formula>
    </cfRule>
  </conditionalFormatting>
  <conditionalFormatting sqref="E2706">
    <cfRule type="expression" dxfId="113" priority="170">
      <formula>ISEVEN(ROW())</formula>
    </cfRule>
  </conditionalFormatting>
  <conditionalFormatting sqref="D2706">
    <cfRule type="expression" dxfId="112" priority="169">
      <formula>ISEVEN(ROW())</formula>
    </cfRule>
  </conditionalFormatting>
  <conditionalFormatting sqref="B2888:C2888">
    <cfRule type="expression" dxfId="111" priority="168">
      <formula>ISEVEN(ROW())</formula>
    </cfRule>
  </conditionalFormatting>
  <conditionalFormatting sqref="E2888">
    <cfRule type="expression" dxfId="110" priority="167">
      <formula>ISEVEN(ROW())</formula>
    </cfRule>
  </conditionalFormatting>
  <conditionalFormatting sqref="D2888">
    <cfRule type="expression" dxfId="109" priority="166">
      <formula>ISEVEN(ROW())</formula>
    </cfRule>
  </conditionalFormatting>
  <conditionalFormatting sqref="B3072:C3072">
    <cfRule type="expression" dxfId="108" priority="165">
      <formula>ISEVEN(ROW())</formula>
    </cfRule>
  </conditionalFormatting>
  <conditionalFormatting sqref="E3072">
    <cfRule type="expression" dxfId="107" priority="164">
      <formula>ISEVEN(ROW())</formula>
    </cfRule>
  </conditionalFormatting>
  <conditionalFormatting sqref="D3072">
    <cfRule type="expression" dxfId="106" priority="163">
      <formula>ISEVEN(ROW())</formula>
    </cfRule>
  </conditionalFormatting>
  <conditionalFormatting sqref="B3255:C3255">
    <cfRule type="expression" dxfId="105" priority="162">
      <formula>ISEVEN(ROW())</formula>
    </cfRule>
  </conditionalFormatting>
  <conditionalFormatting sqref="E3255">
    <cfRule type="expression" dxfId="104" priority="161">
      <formula>ISEVEN(ROW())</formula>
    </cfRule>
  </conditionalFormatting>
  <conditionalFormatting sqref="D3255">
    <cfRule type="expression" dxfId="103" priority="160">
      <formula>ISEVEN(ROW())</formula>
    </cfRule>
  </conditionalFormatting>
  <conditionalFormatting sqref="B3437:C3437">
    <cfRule type="expression" dxfId="102" priority="159">
      <formula>ISEVEN(ROW())</formula>
    </cfRule>
  </conditionalFormatting>
  <conditionalFormatting sqref="E3437">
    <cfRule type="expression" dxfId="101" priority="158">
      <formula>ISEVEN(ROW())</formula>
    </cfRule>
  </conditionalFormatting>
  <conditionalFormatting sqref="D3437">
    <cfRule type="expression" dxfId="100" priority="157">
      <formula>ISEVEN(ROW())</formula>
    </cfRule>
  </conditionalFormatting>
  <conditionalFormatting sqref="F2189">
    <cfRule type="expression" dxfId="99" priority="156">
      <formula>ISEVEN(ROW())</formula>
    </cfRule>
  </conditionalFormatting>
  <conditionalFormatting sqref="G2189">
    <cfRule type="expression" dxfId="98" priority="155">
      <formula>ISEVEN(ROW())</formula>
    </cfRule>
  </conditionalFormatting>
  <conditionalFormatting sqref="F2706">
    <cfRule type="expression" dxfId="97" priority="154">
      <formula>ISEVEN(ROW())</formula>
    </cfRule>
  </conditionalFormatting>
  <conditionalFormatting sqref="G2706">
    <cfRule type="expression" dxfId="96" priority="153">
      <formula>ISEVEN(ROW())</formula>
    </cfRule>
  </conditionalFormatting>
  <conditionalFormatting sqref="F2888">
    <cfRule type="expression" dxfId="95" priority="152">
      <formula>ISEVEN(ROW())</formula>
    </cfRule>
  </conditionalFormatting>
  <conditionalFormatting sqref="G2888">
    <cfRule type="expression" dxfId="94" priority="151">
      <formula>ISEVEN(ROW())</formula>
    </cfRule>
  </conditionalFormatting>
  <conditionalFormatting sqref="F3072">
    <cfRule type="expression" dxfId="93" priority="150">
      <formula>ISEVEN(ROW())</formula>
    </cfRule>
  </conditionalFormatting>
  <conditionalFormatting sqref="G3072">
    <cfRule type="expression" dxfId="92" priority="149">
      <formula>ISEVEN(ROW())</formula>
    </cfRule>
  </conditionalFormatting>
  <conditionalFormatting sqref="F3255">
    <cfRule type="expression" dxfId="91" priority="148">
      <formula>ISEVEN(ROW())</formula>
    </cfRule>
  </conditionalFormatting>
  <conditionalFormatting sqref="G3255">
    <cfRule type="expression" dxfId="90" priority="147">
      <formula>ISEVEN(ROW())</formula>
    </cfRule>
  </conditionalFormatting>
  <conditionalFormatting sqref="F3437">
    <cfRule type="expression" dxfId="89" priority="146">
      <formula>ISEVEN(ROW())</formula>
    </cfRule>
  </conditionalFormatting>
  <conditionalFormatting sqref="G3437">
    <cfRule type="expression" dxfId="88" priority="145">
      <formula>ISEVEN(ROW())</formula>
    </cfRule>
  </conditionalFormatting>
  <conditionalFormatting sqref="E369">
    <cfRule type="expression" dxfId="87" priority="47">
      <formula>ISEVEN(ROW())</formula>
    </cfRule>
  </conditionalFormatting>
  <conditionalFormatting sqref="D369">
    <cfRule type="expression" dxfId="86" priority="46">
      <formula>ISEVEN(ROW())</formula>
    </cfRule>
  </conditionalFormatting>
  <conditionalFormatting sqref="C567">
    <cfRule type="expression" dxfId="85" priority="45">
      <formula>ISEVEN(ROW())</formula>
    </cfRule>
  </conditionalFormatting>
  <conditionalFormatting sqref="E567">
    <cfRule type="expression" dxfId="84" priority="44">
      <formula>ISEVEN(ROW())</formula>
    </cfRule>
  </conditionalFormatting>
  <conditionalFormatting sqref="D3626">
    <cfRule type="expression" dxfId="83" priority="140">
      <formula>ISEVEN(ROW())</formula>
    </cfRule>
  </conditionalFormatting>
  <conditionalFormatting sqref="C2180">
    <cfRule type="expression" dxfId="82" priority="139">
      <formula>ISEVEN(ROW())</formula>
    </cfRule>
  </conditionalFormatting>
  <conditionalFormatting sqref="C2698 C2879 C3062 C3246 C3428">
    <cfRule type="expression" dxfId="81" priority="138">
      <formula>ISEVEN(ROW())</formula>
    </cfRule>
  </conditionalFormatting>
  <conditionalFormatting sqref="C1470 C1645 C1826 C2010 C2188 C2369 C2527 C2705 C2887 C3071 C3254 C3436">
    <cfRule type="expression" dxfId="80" priority="137">
      <formula>ISEVEN(ROW())</formula>
    </cfRule>
  </conditionalFormatting>
  <conditionalFormatting sqref="C253">
    <cfRule type="expression" dxfId="79" priority="136">
      <formula>ISEVEN(ROW())</formula>
    </cfRule>
  </conditionalFormatting>
  <conditionalFormatting sqref="G3253">
    <cfRule type="expression" dxfId="78" priority="135">
      <formula>ISEVEN(ROW())</formula>
    </cfRule>
  </conditionalFormatting>
  <conditionalFormatting sqref="G3435">
    <cfRule type="expression" dxfId="77" priority="134">
      <formula>ISEVEN(ROW())</formula>
    </cfRule>
  </conditionalFormatting>
  <conditionalFormatting sqref="C376">
    <cfRule type="expression" dxfId="76" priority="133">
      <formula>ISEVEN(ROW())</formula>
    </cfRule>
  </conditionalFormatting>
  <conditionalFormatting sqref="E1832">
    <cfRule type="expression" dxfId="75" priority="23">
      <formula>ISEVEN(ROW())</formula>
    </cfRule>
  </conditionalFormatting>
  <conditionalFormatting sqref="C560">
    <cfRule type="expression" dxfId="74" priority="131">
      <formula>ISEVEN(ROW())</formula>
    </cfRule>
  </conditionalFormatting>
  <conditionalFormatting sqref="C1644">
    <cfRule type="expression" dxfId="73" priority="119">
      <formula>ISEVEN(ROW())</formula>
    </cfRule>
  </conditionalFormatting>
  <conditionalFormatting sqref="C741">
    <cfRule type="expression" dxfId="72" priority="129">
      <formula>ISEVEN(ROW())</formula>
    </cfRule>
  </conditionalFormatting>
  <conditionalFormatting sqref="C1995">
    <cfRule type="expression" dxfId="71" priority="21">
      <formula>ISEVEN(ROW())</formula>
    </cfRule>
  </conditionalFormatting>
  <conditionalFormatting sqref="C922">
    <cfRule type="expression" dxfId="70" priority="127">
      <formula>ISEVEN(ROW())</formula>
    </cfRule>
  </conditionalFormatting>
  <conditionalFormatting sqref="C2886">
    <cfRule type="expression" dxfId="69" priority="117">
      <formula>ISEVEN(ROW())</formula>
    </cfRule>
  </conditionalFormatting>
  <conditionalFormatting sqref="C1103">
    <cfRule type="expression" dxfId="68" priority="125">
      <formula>ISEVEN(ROW())</formula>
    </cfRule>
  </conditionalFormatting>
  <conditionalFormatting sqref="D1995">
    <cfRule type="expression" dxfId="67" priority="19">
      <formula>ISEVEN(ROW())</formula>
    </cfRule>
  </conditionalFormatting>
  <conditionalFormatting sqref="C1284">
    <cfRule type="expression" dxfId="66" priority="123">
      <formula>ISEVEN(ROW())</formula>
    </cfRule>
  </conditionalFormatting>
  <conditionalFormatting sqref="C3070">
    <cfRule type="expression" dxfId="65" priority="115">
      <formula>ISEVEN(ROW())</formula>
    </cfRule>
  </conditionalFormatting>
  <conditionalFormatting sqref="C1468">
    <cfRule type="expression" dxfId="64" priority="121">
      <formula>ISEVEN(ROW())</formula>
    </cfRule>
  </conditionalFormatting>
  <conditionalFormatting sqref="E2185">
    <cfRule type="expression" dxfId="63" priority="17">
      <formula>ISEVEN(ROW())</formula>
    </cfRule>
  </conditionalFormatting>
  <conditionalFormatting sqref="D1832">
    <cfRule type="expression" dxfId="62" priority="22">
      <formula>ISEVEN(ROW())</formula>
    </cfRule>
  </conditionalFormatting>
  <conditionalFormatting sqref="C3253">
    <cfRule type="expression" dxfId="61" priority="113">
      <formula>ISEVEN(ROW())</formula>
    </cfRule>
  </conditionalFormatting>
  <conditionalFormatting sqref="E1995">
    <cfRule type="expression" dxfId="60" priority="20">
      <formula>ISEVEN(ROW())</formula>
    </cfRule>
  </conditionalFormatting>
  <conditionalFormatting sqref="C2374">
    <cfRule type="expression" dxfId="59" priority="15">
      <formula>ISEVEN(ROW())</formula>
    </cfRule>
  </conditionalFormatting>
  <conditionalFormatting sqref="C2185">
    <cfRule type="expression" dxfId="58" priority="18">
      <formula>ISEVEN(ROW())</formula>
    </cfRule>
  </conditionalFormatting>
  <conditionalFormatting sqref="C3435">
    <cfRule type="expression" dxfId="57" priority="111">
      <formula>ISEVEN(ROW())</formula>
    </cfRule>
  </conditionalFormatting>
  <conditionalFormatting sqref="D2185">
    <cfRule type="expression" dxfId="56" priority="16">
      <formula>ISEVEN(ROW())</formula>
    </cfRule>
  </conditionalFormatting>
  <conditionalFormatting sqref="D2374">
    <cfRule type="expression" dxfId="55" priority="13">
      <formula>ISEVEN(ROW())</formula>
    </cfRule>
  </conditionalFormatting>
  <conditionalFormatting sqref="E2374">
    <cfRule type="expression" dxfId="54" priority="14">
      <formula>ISEVEN(ROW())</formula>
    </cfRule>
  </conditionalFormatting>
  <conditionalFormatting sqref="D376:E376">
    <cfRule type="expression" dxfId="53" priority="109">
      <formula>ISEVEN(ROW())</formula>
    </cfRule>
  </conditionalFormatting>
  <conditionalFormatting sqref="C2873">
    <cfRule type="expression" dxfId="52" priority="12">
      <formula>ISEVEN(ROW())</formula>
    </cfRule>
  </conditionalFormatting>
  <conditionalFormatting sqref="D560:E560">
    <cfRule type="expression" dxfId="51" priority="108">
      <formula>ISEVEN(ROW())</formula>
    </cfRule>
  </conditionalFormatting>
  <conditionalFormatting sqref="D741:E741">
    <cfRule type="expression" dxfId="50" priority="107">
      <formula>ISEVEN(ROW())</formula>
    </cfRule>
  </conditionalFormatting>
  <conditionalFormatting sqref="D922:E922">
    <cfRule type="expression" dxfId="49" priority="106">
      <formula>ISEVEN(ROW())</formula>
    </cfRule>
  </conditionalFormatting>
  <conditionalFormatting sqref="D1103:E1103">
    <cfRule type="expression" dxfId="48" priority="105">
      <formula>ISEVEN(ROW())</formula>
    </cfRule>
  </conditionalFormatting>
  <conditionalFormatting sqref="D1284:E1284">
    <cfRule type="expression" dxfId="47" priority="104">
      <formula>ISEVEN(ROW())</formula>
    </cfRule>
  </conditionalFormatting>
  <conditionalFormatting sqref="C369">
    <cfRule type="expression" dxfId="46" priority="48">
      <formula>ISEVEN(ROW())</formula>
    </cfRule>
  </conditionalFormatting>
  <conditionalFormatting sqref="B929">
    <cfRule type="expression" dxfId="45" priority="88">
      <formula>ISEVEN(ROW())</formula>
    </cfRule>
  </conditionalFormatting>
  <conditionalFormatting sqref="B1110">
    <cfRule type="expression" dxfId="44" priority="85">
      <formula>ISEVEN(ROW())</formula>
    </cfRule>
  </conditionalFormatting>
  <conditionalFormatting sqref="B1291">
    <cfRule type="expression" dxfId="43" priority="82">
      <formula>ISEVEN(ROW())</formula>
    </cfRule>
  </conditionalFormatting>
  <conditionalFormatting sqref="B1461">
    <cfRule type="expression" dxfId="42" priority="79">
      <formula>ISEVEN(ROW())</formula>
    </cfRule>
  </conditionalFormatting>
  <conditionalFormatting sqref="B1651">
    <cfRule type="expression" dxfId="41" priority="76">
      <formula>ISEVEN(ROW())</formula>
    </cfRule>
  </conditionalFormatting>
  <conditionalFormatting sqref="B1832">
    <cfRule type="expression" dxfId="40" priority="73">
      <formula>ISEVEN(ROW())</formula>
    </cfRule>
  </conditionalFormatting>
  <conditionalFormatting sqref="B1995">
    <cfRule type="expression" dxfId="39" priority="70">
      <formula>ISEVEN(ROW())</formula>
    </cfRule>
  </conditionalFormatting>
  <conditionalFormatting sqref="B2185">
    <cfRule type="expression" dxfId="38" priority="67">
      <formula>ISEVEN(ROW())</formula>
    </cfRule>
  </conditionalFormatting>
  <conditionalFormatting sqref="B2374">
    <cfRule type="expression" dxfId="37" priority="64">
      <formula>ISEVEN(ROW())</formula>
    </cfRule>
  </conditionalFormatting>
  <conditionalFormatting sqref="B2873">
    <cfRule type="expression" dxfId="36" priority="61">
      <formula>ISEVEN(ROW())</formula>
    </cfRule>
  </conditionalFormatting>
  <conditionalFormatting sqref="B3056">
    <cfRule type="expression" dxfId="35" priority="58">
      <formula>ISEVEN(ROW())</formula>
    </cfRule>
  </conditionalFormatting>
  <conditionalFormatting sqref="B3239">
    <cfRule type="expression" dxfId="34" priority="55">
      <formula>ISEVEN(ROW())</formula>
    </cfRule>
  </conditionalFormatting>
  <conditionalFormatting sqref="B3422">
    <cfRule type="expression" dxfId="33" priority="52">
      <formula>ISEVEN(ROW())</formula>
    </cfRule>
  </conditionalFormatting>
  <conditionalFormatting sqref="F2185">
    <cfRule type="expression" dxfId="32" priority="49">
      <formula>ISEVEN(ROW())</formula>
    </cfRule>
  </conditionalFormatting>
  <conditionalFormatting sqref="D567">
    <cfRule type="expression" dxfId="31" priority="43">
      <formula>ISEVEN(ROW())</formula>
    </cfRule>
  </conditionalFormatting>
  <conditionalFormatting sqref="C748">
    <cfRule type="expression" dxfId="30" priority="42">
      <formula>ISEVEN(ROW())</formula>
    </cfRule>
  </conditionalFormatting>
  <conditionalFormatting sqref="E748">
    <cfRule type="expression" dxfId="29" priority="41">
      <formula>ISEVEN(ROW())</formula>
    </cfRule>
  </conditionalFormatting>
  <conditionalFormatting sqref="D748">
    <cfRule type="expression" dxfId="28" priority="40">
      <formula>ISEVEN(ROW())</formula>
    </cfRule>
  </conditionalFormatting>
  <conditionalFormatting sqref="C929">
    <cfRule type="expression" dxfId="27" priority="39">
      <formula>ISEVEN(ROW())</formula>
    </cfRule>
  </conditionalFormatting>
  <conditionalFormatting sqref="E929">
    <cfRule type="expression" dxfId="26" priority="38">
      <formula>ISEVEN(ROW())</formula>
    </cfRule>
  </conditionalFormatting>
  <conditionalFormatting sqref="D929">
    <cfRule type="expression" dxfId="25" priority="37">
      <formula>ISEVEN(ROW())</formula>
    </cfRule>
  </conditionalFormatting>
  <conditionalFormatting sqref="C1110">
    <cfRule type="expression" dxfId="24" priority="36">
      <formula>ISEVEN(ROW())</formula>
    </cfRule>
  </conditionalFormatting>
  <conditionalFormatting sqref="E1110">
    <cfRule type="expression" dxfId="23" priority="35">
      <formula>ISEVEN(ROW())</formula>
    </cfRule>
  </conditionalFormatting>
  <conditionalFormatting sqref="D1110">
    <cfRule type="expression" dxfId="22" priority="34">
      <formula>ISEVEN(ROW())</formula>
    </cfRule>
  </conditionalFormatting>
  <conditionalFormatting sqref="C1291">
    <cfRule type="expression" dxfId="21" priority="33">
      <formula>ISEVEN(ROW())</formula>
    </cfRule>
  </conditionalFormatting>
  <conditionalFormatting sqref="E1291">
    <cfRule type="expression" dxfId="20" priority="32">
      <formula>ISEVEN(ROW())</formula>
    </cfRule>
  </conditionalFormatting>
  <conditionalFormatting sqref="D1291">
    <cfRule type="expression" dxfId="19" priority="31">
      <formula>ISEVEN(ROW())</formula>
    </cfRule>
  </conditionalFormatting>
  <conditionalFormatting sqref="C1461">
    <cfRule type="expression" dxfId="18" priority="30">
      <formula>ISEVEN(ROW())</formula>
    </cfRule>
  </conditionalFormatting>
  <conditionalFormatting sqref="E1461">
    <cfRule type="expression" dxfId="17" priority="29">
      <formula>ISEVEN(ROW())</formula>
    </cfRule>
  </conditionalFormatting>
  <conditionalFormatting sqref="D1461">
    <cfRule type="expression" dxfId="16" priority="28">
      <formula>ISEVEN(ROW())</formula>
    </cfRule>
  </conditionalFormatting>
  <conditionalFormatting sqref="C1651">
    <cfRule type="expression" dxfId="15" priority="27">
      <formula>ISEVEN(ROW())</formula>
    </cfRule>
  </conditionalFormatting>
  <conditionalFormatting sqref="E1651">
    <cfRule type="expression" dxfId="14" priority="26">
      <formula>ISEVEN(ROW())</formula>
    </cfRule>
  </conditionalFormatting>
  <conditionalFormatting sqref="D1651">
    <cfRule type="expression" dxfId="13" priority="25">
      <formula>ISEVEN(ROW())</formula>
    </cfRule>
  </conditionalFormatting>
  <conditionalFormatting sqref="C1832">
    <cfRule type="expression" dxfId="12" priority="24">
      <formula>ISEVEN(ROW())</formula>
    </cfRule>
  </conditionalFormatting>
  <conditionalFormatting sqref="E2873">
    <cfRule type="expression" dxfId="11" priority="11">
      <formula>ISEVEN(ROW())</formula>
    </cfRule>
  </conditionalFormatting>
  <conditionalFormatting sqref="D2873">
    <cfRule type="expression" dxfId="10" priority="10">
      <formula>ISEVEN(ROW())</formula>
    </cfRule>
  </conditionalFormatting>
  <conditionalFormatting sqref="C3056">
    <cfRule type="expression" dxfId="9" priority="9">
      <formula>ISEVEN(ROW())</formula>
    </cfRule>
  </conditionalFormatting>
  <conditionalFormatting sqref="E3056">
    <cfRule type="expression" dxfId="8" priority="8">
      <formula>ISEVEN(ROW())</formula>
    </cfRule>
  </conditionalFormatting>
  <conditionalFormatting sqref="D3056">
    <cfRule type="expression" dxfId="7" priority="7">
      <formula>ISEVEN(ROW())</formula>
    </cfRule>
  </conditionalFormatting>
  <conditionalFormatting sqref="C3239">
    <cfRule type="expression" dxfId="6" priority="6">
      <formula>ISEVEN(ROW())</formula>
    </cfRule>
  </conditionalFormatting>
  <conditionalFormatting sqref="E3239">
    <cfRule type="expression" dxfId="5" priority="5">
      <formula>ISEVEN(ROW())</formula>
    </cfRule>
  </conditionalFormatting>
  <conditionalFormatting sqref="D3239">
    <cfRule type="expression" dxfId="4" priority="4">
      <formula>ISEVEN(ROW())</formula>
    </cfRule>
  </conditionalFormatting>
  <conditionalFormatting sqref="C3422">
    <cfRule type="expression" dxfId="3" priority="3">
      <formula>ISEVEN(ROW())</formula>
    </cfRule>
  </conditionalFormatting>
  <conditionalFormatting sqref="E3422">
    <cfRule type="expression" dxfId="2" priority="2">
      <formula>ISEVEN(ROW())</formula>
    </cfRule>
  </conditionalFormatting>
  <conditionalFormatting sqref="D3422">
    <cfRule type="expression" dxfId="1" priority="1">
      <formula>ISEVEN(ROW())</formula>
    </cfRule>
  </conditionalFormatting>
  <dataValidations count="2">
    <dataValidation type="list" allowBlank="1" showInputMessage="1" showErrorMessage="1" sqref="B4:B3632">
      <formula1>Gerais</formula1>
      <formula2>0</formula2>
    </dataValidation>
    <dataValidation type="list" allowBlank="1" showInputMessage="1" showErrorMessage="1" sqref="F4:F3632">
      <formula1>VinculoPTg</formula1>
      <formula2>0</formula2>
    </dataValidation>
  </dataValidations>
  <pageMargins left="0.51180555555555496" right="0.51180555555555496" top="0.78749999999999998" bottom="0.78749999999999998" header="0.51180555555555496" footer="0.31527777777777799"/>
  <pageSetup paperSize="9" scale="91" firstPageNumber="0" fitToHeight="0" orientation="landscape" horizontalDpi="300" verticalDpi="300" r:id="rId1"/>
  <headerFooter>
    <oddFooter>&amp;CPágina &amp;P de &amp;N</oddFooter>
  </headerFooter>
  <rowBreaks count="2" manualBreakCount="2">
    <brk id="3617" max="7" man="1"/>
    <brk id="3626"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1871AA-D936-4735-A8BB-5C394AD19D49}"/>
</file>

<file path=customXml/itemProps2.xml><?xml version="1.0" encoding="utf-8"?>
<ds:datastoreItem xmlns:ds="http://schemas.openxmlformats.org/officeDocument/2006/customXml" ds:itemID="{3FB30C3B-E9BD-4D07-969F-C1BFAE0F9A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Planilhas</vt:lpstr>
      </vt:variant>
      <vt:variant>
        <vt:i4>12</vt:i4>
      </vt:variant>
      <vt:variant>
        <vt:lpstr>Intervalos nomeados</vt:lpstr>
      </vt:variant>
      <vt:variant>
        <vt:i4>31</vt:i4>
      </vt:variant>
    </vt:vector>
  </HeadingPairs>
  <TitlesOfParts>
    <vt:vector size="43" baseType="lpstr">
      <vt:lpstr>Capa</vt:lpstr>
      <vt:lpstr>Cronogramas</vt:lpstr>
      <vt:lpstr>Sintético</vt:lpstr>
      <vt:lpstr>Gastos das Atividades</vt:lpstr>
      <vt:lpstr>Analítico</vt:lpstr>
      <vt:lpstr>Encargos e Benefícios</vt:lpstr>
      <vt:lpstr>Gastos com Pessoal</vt:lpstr>
      <vt:lpstr>Bens</vt:lpstr>
      <vt:lpstr>Gastos Gerais</vt:lpstr>
      <vt:lpstr>Desmobilização</vt:lpstr>
      <vt:lpstr>Assinatura</vt:lpstr>
      <vt:lpstr>Plano</vt:lpstr>
      <vt:lpstr>Aquisição_de_Bens_Permanentes</vt:lpstr>
      <vt:lpstr>Analítico!Area_de_impressao</vt:lpstr>
      <vt:lpstr>Assinatura!Area_de_impressao</vt:lpstr>
      <vt:lpstr>Bens!Area_de_impressao</vt:lpstr>
      <vt:lpstr>Capa!Area_de_impressao</vt:lpstr>
      <vt:lpstr>Desmobilização!Area_de_impressao</vt:lpstr>
      <vt:lpstr>'Encargos e Benefícios'!Area_de_impressao</vt:lpstr>
      <vt:lpstr>'Gastos com Pessoal'!Area_de_impressao</vt:lpstr>
      <vt:lpstr>'Gastos das Atividades'!Area_de_impressao</vt:lpstr>
      <vt:lpstr>'Gastos Gerais'!Area_de_impressao</vt:lpstr>
      <vt:lpstr>Sintético!Area_de_impressao</vt:lpstr>
      <vt:lpstr>área_destinada</vt:lpstr>
      <vt:lpstr>Benefícios</vt:lpstr>
      <vt:lpstr>Beneficios2</vt:lpstr>
      <vt:lpstr>Beneficios3</vt:lpstr>
      <vt:lpstr>Bens</vt:lpstr>
      <vt:lpstr>Categorias</vt:lpstr>
      <vt:lpstr>Gastos_com_Pessoal</vt:lpstr>
      <vt:lpstr>Gastos_Gerais</vt:lpstr>
      <vt:lpstr>Gerais</vt:lpstr>
      <vt:lpstr>Ocorrência</vt:lpstr>
      <vt:lpstr>Receitas</vt:lpstr>
      <vt:lpstr>Rendimentos_de_Aplicações_Fin.</vt:lpstr>
      <vt:lpstr>Reserva</vt:lpstr>
      <vt:lpstr>Analítico!Titulos_de_impressao</vt:lpstr>
      <vt:lpstr>Desmobilização!Titulos_de_impressao</vt:lpstr>
      <vt:lpstr>'Encargos e Benefícios'!Titulos_de_impressao</vt:lpstr>
      <vt:lpstr>'Gastos com Pessoal'!Titulos_de_impressao</vt:lpstr>
      <vt:lpstr>'Gastos Gerais'!Titulos_de_impressao</vt:lpstr>
      <vt:lpstr>Sintético!Titulos_de_impressao</vt:lpstr>
      <vt:lpstr>Transferência_para_Reserva_de_Recursos</vt:lpstr>
    </vt:vector>
  </TitlesOfParts>
  <Company>SEPLAG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dc:description/>
  <cp:lastModifiedBy>Agnaldo José Gonçalves (PEMSE)</cp:lastModifiedBy>
  <cp:revision>1</cp:revision>
  <cp:lastPrinted>2023-12-07T14:26:50Z</cp:lastPrinted>
  <dcterms:created xsi:type="dcterms:W3CDTF">2007-08-22T17:17:00Z</dcterms:created>
  <dcterms:modified xsi:type="dcterms:W3CDTF">2023-12-07T14:56:11Z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ICV">
    <vt:lpwstr>47E515D2FD2A48E699BA43C32D47A141_12</vt:lpwstr>
  </property>
  <property fmtid="{D5CDD505-2E9C-101B-9397-08002B2CF9AE}" pid="4" name="KSOProductBuildVer">
    <vt:lpwstr>1046-12.2.0.13215</vt:lpwstr>
  </property>
</Properties>
</file>